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rels" ContentType="application/vnd.openxmlformats-package.relationships+xml"/>
  <Default Extension="vml" ContentType="application/vnd.openxmlformats-officedocument.vmlDrawing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worksheets/sheet27.xml" ContentType="application/vnd.openxmlformats-officedocument.spreadsheetml.worksheet+xml"/>
  <Override PartName="/xl/worksheets/sheet28.xml" ContentType="application/vnd.openxmlformats-officedocument.spreadsheetml.worksheet+xml"/>
  <Override PartName="/xl/worksheets/sheet29.xml" ContentType="application/vnd.openxmlformats-officedocument.spreadsheetml.worksheet+xml"/>
  <Override PartName="/xl/worksheets/sheet30.xml" ContentType="application/vnd.openxmlformats-officedocument.spreadsheetml.worksheet+xml"/>
  <Override PartName="/xl/worksheets/sheet31.xml" ContentType="application/vnd.openxmlformats-officedocument.spreadsheetml.worksheet+xml"/>
  <Override PartName="/xl/worksheets/sheet32.xml" ContentType="application/vnd.openxmlformats-officedocument.spreadsheetml.worksheet+xml"/>
  <Override PartName="/xl/worksheets/sheet33.xml" ContentType="application/vnd.openxmlformats-officedocument.spreadsheetml.worksheet+xml"/>
  <Override PartName="/xl/worksheets/sheet34.xml" ContentType="application/vnd.openxmlformats-officedocument.spreadsheetml.worksheet+xml"/>
  <Override PartName="/xl/worksheets/sheet35.xml" ContentType="application/vnd.openxmlformats-officedocument.spreadsheetml.worksheet+xml"/>
  <Override PartName="/xl/worksheets/sheet36.xml" ContentType="application/vnd.openxmlformats-officedocument.spreadsheetml.worksheet+xml"/>
  <Override PartName="/xl/worksheets/sheet37.xml" ContentType="application/vnd.openxmlformats-officedocument.spreadsheetml.worksheet+xml"/>
  <Override PartName="/xl/worksheets/sheet38.xml" ContentType="application/vnd.openxmlformats-officedocument.spreadsheetml.worksheet+xml"/>
  <Override PartName="/xl/worksheets/sheet39.xml" ContentType="application/vnd.openxmlformats-officedocument.spreadsheetml.worksheet+xml"/>
  <Override PartName="/xl/worksheets/sheet40.xml" ContentType="application/vnd.openxmlformats-officedocument.spreadsheetml.worksheet+xml"/>
  <Override PartName="/xl/externalLinks/externalLink1.xml" ContentType="application/vnd.openxmlformats-officedocument.spreadsheetml.externalLink+xml"/>
  <Override PartName="/xl/externalLinks/externalLink2.xml" ContentType="application/vnd.openxmlformats-officedocument.spreadsheetml.externalLink+xml"/>
  <Override PartName="/xl/externalLinks/externalLink3.xml" ContentType="application/vnd.openxmlformats-officedocument.spreadsheetml.externalLink+xml"/>
  <Override PartName="/xl/externalLinks/externalLink4.xml" ContentType="application/vnd.openxmlformats-officedocument.spreadsheetml.externalLink+xml"/>
  <Override PartName="/xl/externalLinks/externalLink5.xml" ContentType="application/vnd.openxmlformats-officedocument.spreadsheetml.externalLink+xml"/>
  <Override PartName="/xl/externalLinks/externalLink6.xml" ContentType="application/vnd.openxmlformats-officedocument.spreadsheetml.externalLink+xml"/>
  <Override PartName="/xl/externalLinks/externalLink7.xml" ContentType="application/vnd.openxmlformats-officedocument.spreadsheetml.externalLink+xml"/>
  <Override PartName="/xl/externalLinks/externalLink8.xml" ContentType="application/vnd.openxmlformats-officedocument.spreadsheetml.externalLink+xml"/>
  <Override PartName="/xl/externalLinks/externalLink9.xml" ContentType="application/vnd.openxmlformats-officedocument.spreadsheetml.externalLink+xml"/>
  <Override PartName="/xl/externalLinks/externalLink10.xml" ContentType="application/vnd.openxmlformats-officedocument.spreadsheetml.externalLink+xml"/>
  <Override PartName="/xl/externalLinks/externalLink11.xml" ContentType="application/vnd.openxmlformats-officedocument.spreadsheetml.externalLink+xml"/>
  <Override PartName="/xl/externalLinks/externalLink12.xml" ContentType="application/vnd.openxmlformats-officedocument.spreadsheetml.externalLink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drawings/drawing3.xml" ContentType="application/vnd.openxmlformats-officedocument.drawing+xml"/>
  <Override PartName="/xl/drawings/drawing4.xml" ContentType="application/vnd.openxmlformats-officedocument.drawing+xml"/>
  <Override PartName="/xl/comments1.xml" ContentType="application/vnd.openxmlformats-officedocument.spreadsheetml.comments+xml"/>
  <Override PartName="/xl/comments2.xml" ContentType="application/vnd.openxmlformats-officedocument.spreadsheetml.comments+xml"/>
  <Override PartName="/xl/drawings/drawing5.xml" ContentType="application/vnd.openxmlformats-officedocument.drawing+xml"/>
  <Override PartName="/xl/charts/chart2.xml" ContentType="application/vnd.openxmlformats-officedocument.drawingml.chart+xml"/>
  <Override PartName="/xl/drawings/drawing6.xml" ContentType="application/vnd.openxmlformats-officedocument.drawing+xml"/>
  <Override PartName="/xl/charts/chart3.xml" ContentType="application/vnd.openxmlformats-officedocument.drawingml.chart+xml"/>
  <Override PartName="/xl/drawings/drawing7.xml" ContentType="application/vnd.openxmlformats-officedocument.drawing+xml"/>
  <Override PartName="/xl/charts/chart4.xml" ContentType="application/vnd.openxmlformats-officedocument.drawingml.chart+xml"/>
  <Override PartName="/xl/drawings/drawing8.xml" ContentType="application/vnd.openxmlformats-officedocument.drawing+xml"/>
  <Override PartName="/xl/charts/chart5.xml" ContentType="application/vnd.openxmlformats-officedocument.drawingml.chart+xml"/>
  <Override PartName="/xl/charts/chart6.xml" ContentType="application/vnd.openxmlformats-officedocument.drawingml.chart+xml"/>
  <Override PartName="/xl/charts/chart7.xml" ContentType="application/vnd.openxmlformats-officedocument.drawingml.chart+xml"/>
  <Override PartName="/xl/drawings/drawing9.xml" ContentType="application/vnd.openxmlformats-officedocument.drawing+xml"/>
  <Override PartName="/xl/charts/chart8.xml" ContentType="application/vnd.openxmlformats-officedocument.drawingml.chart+xml"/>
  <Override PartName="/xl/drawings/drawing10.xml" ContentType="application/vnd.openxmlformats-officedocument.drawing+xml"/>
  <Override PartName="/xl/drawings/drawing11.xml" ContentType="application/vnd.openxmlformats-officedocument.drawing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8129"/>
  <workbookPr codeName="ThisWorkbook"/>
  <mc:AlternateContent xmlns:mc="http://schemas.openxmlformats.org/markup-compatibility/2006">
    <mc:Choice Requires="x15">
      <x15ac:absPath xmlns:x15ac="http://schemas.microsoft.com/office/spreadsheetml/2010/11/ac" url="C:\Users\Omen\Desktop\SonelgazData\"/>
    </mc:Choice>
  </mc:AlternateContent>
  <xr:revisionPtr revIDLastSave="0" documentId="13_ncr:1_{F0AE0793-0120-44F3-9F72-660AE5B4893F}" xr6:coauthVersionLast="47" xr6:coauthVersionMax="47" xr10:uidLastSave="{00000000-0000-0000-0000-000000000000}"/>
  <bookViews>
    <workbookView xWindow="-108" yWindow="-108" windowWidth="23256" windowHeight="12456" tabRatio="828" firstSheet="21" activeTab="31" xr2:uid="{00000000-000D-0000-FFFF-FFFF00000000}"/>
  </bookViews>
  <sheets>
    <sheet name="tableau de bord" sheetId="1" r:id="rId1"/>
    <sheet name="Feuille-synthèse" sheetId="132" r:id="rId2"/>
    <sheet name="synthése HT_HP" sheetId="180" r:id="rId3"/>
    <sheet name="HT-HP 2" sheetId="188" r:id="rId4"/>
    <sheet name="Clientele" sheetId="185" r:id="rId5"/>
    <sheet name="Motif Résiliation" sheetId="191" r:id="rId6"/>
    <sheet name="Client-Elec RDC" sheetId="195" r:id="rId7"/>
    <sheet name="Client-GAZ RDC" sheetId="196" r:id="rId8"/>
    <sheet name="RCN NC" sheetId="206" r:id="rId9"/>
    <sheet name="délais " sheetId="157" r:id="rId10"/>
    <sheet name="RCN_Elec  " sheetId="155" r:id="rId11"/>
    <sheet name="RCN_Gaz  " sheetId="156" r:id="rId12"/>
    <sheet name="Instances" sheetId="186" r:id="rId13"/>
    <sheet name="ventes_achats_élec" sheetId="134" r:id="rId14"/>
    <sheet name="TP_élec" sheetId="150" r:id="rId15"/>
    <sheet name="ventes_achats_gaz" sheetId="9" r:id="rId16"/>
    <sheet name="TP_gaz" sheetId="19" r:id="rId17"/>
    <sheet name="CA_élec_gaz" sheetId="6" r:id="rId18"/>
    <sheet name="enc-ag" sheetId="28" r:id="rId19"/>
    <sheet name="Achats et ventes BT agences" sheetId="190" r:id="rId20"/>
    <sheet name="Données agence 2019" sheetId="197" state="hidden" r:id="rId21"/>
    <sheet name="élec" sheetId="27" r:id="rId22"/>
    <sheet name="gaz" sheetId="26" r:id="rId23"/>
    <sheet name="Créanc-agence-compare" sheetId="125" r:id="rId24"/>
    <sheet name="Gros Débit" sheetId="38" state="hidden" r:id="rId25"/>
    <sheet name="Créanc" sheetId="35" r:id="rId26"/>
    <sheet name="Crédit client" sheetId="5" state="hidden" r:id="rId27"/>
    <sheet name="DCC_MT-MP sans eaux" sheetId="136" state="hidden" r:id="rId28"/>
    <sheet name="Solde créances_DCM" sheetId="182" r:id="rId29"/>
    <sheet name="Solde créances Privé-ADM" sheetId="183" r:id="rId30"/>
    <sheet name="Sans ADE APC DSA" sheetId="205" r:id="rId31"/>
    <sheet name="calcul-DCC-TX-Encais" sheetId="201" r:id="rId32"/>
    <sheet name="Détail Solde" sheetId="207" r:id="rId33"/>
    <sheet name="quitancemult" sheetId="18" r:id="rId34"/>
    <sheet name="Feuil-saisie" sheetId="167" r:id="rId35"/>
    <sheet name="Année-mobile elec" sheetId="170" r:id="rId36"/>
    <sheet name="Année-mobile Gaz" sheetId="198" r:id="rId37"/>
    <sheet name="trim_elec" sheetId="42" r:id="rId38"/>
    <sheet name="trim_gaz" sheetId="44" r:id="rId39"/>
    <sheet name="CS" sheetId="33" r:id="rId40"/>
  </sheets>
  <externalReferences>
    <externalReference r:id="rId41"/>
    <externalReference r:id="rId42"/>
    <externalReference r:id="rId43"/>
    <externalReference r:id="rId44"/>
    <externalReference r:id="rId45"/>
    <externalReference r:id="rId46"/>
    <externalReference r:id="rId47"/>
    <externalReference r:id="rId48"/>
    <externalReference r:id="rId49"/>
    <externalReference r:id="rId50"/>
    <externalReference r:id="rId51"/>
    <externalReference r:id="rId52"/>
  </externalReferences>
  <definedNames>
    <definedName name="_____________________hp2">#N/A</definedName>
    <definedName name="____________________hp2">#N/A</definedName>
    <definedName name="___________________hp2">#N/A</definedName>
    <definedName name="__________________hp2">#N/A</definedName>
    <definedName name="_________________hp2">#N/A</definedName>
    <definedName name="________________hp2">#N/A</definedName>
    <definedName name="_______________hp2">#N/A</definedName>
    <definedName name="______________hp2">#N/A</definedName>
    <definedName name="_____________hp2">#N/A</definedName>
    <definedName name="____________hp2">#N/A</definedName>
    <definedName name="___________hp2">#N/A</definedName>
    <definedName name="__________hp2">#N/A</definedName>
    <definedName name="_________hp2">#N/A</definedName>
    <definedName name="________hp2">#N/A</definedName>
    <definedName name="_______hp2">#N/A</definedName>
    <definedName name="______hp2">#N/A</definedName>
    <definedName name="_____hp2">#N/A</definedName>
    <definedName name="____hp2">#N/A</definedName>
    <definedName name="___hp2">#N/A</definedName>
    <definedName name="__hp2">#N/A</definedName>
    <definedName name="_hp2">#N/A</definedName>
    <definedName name="AA" localSheetId="8">#REF!</definedName>
    <definedName name="AA">#REF!</definedName>
    <definedName name="aaaa" localSheetId="8">#REF!</definedName>
    <definedName name="aaaa">#REF!</definedName>
    <definedName name="aaaaaaa" localSheetId="8">#REF!</definedName>
    <definedName name="aaaaaaa">#REF!</definedName>
    <definedName name="adn" localSheetId="8">#REF!</definedName>
    <definedName name="adn" localSheetId="14">#REF!</definedName>
    <definedName name="adn">#REF!</definedName>
    <definedName name="annex">#N/A</definedName>
    <definedName name="_xlnm.Database" localSheetId="8">#REF!</definedName>
    <definedName name="_xlnm.Database">#REF!</definedName>
    <definedName name="Beg_Bal" localSheetId="8">#REF!</definedName>
    <definedName name="Beg_Bal">#REF!</definedName>
    <definedName name="Data" localSheetId="8">#REF!</definedName>
    <definedName name="Data">#REF!</definedName>
    <definedName name="data2" localSheetId="8">ROW(#REF!)</definedName>
    <definedName name="data2">ROW(#REF!)</definedName>
    <definedName name="dcm" localSheetId="8">#REF!</definedName>
    <definedName name="dcm">#REF!</definedName>
    <definedName name="dd" localSheetId="8">#REF!</definedName>
    <definedName name="dd">#REF!</definedName>
    <definedName name="DDD">#N/A</definedName>
    <definedName name="dddd" localSheetId="8">#REF!</definedName>
    <definedName name="dddd">#REF!</definedName>
    <definedName name="ddddddd" localSheetId="8">#REF!</definedName>
    <definedName name="ddddddd">#REF!</definedName>
    <definedName name="decm">#N/A</definedName>
    <definedName name="dzecadc" localSheetId="8">#REF!</definedName>
    <definedName name="dzecadc">#REF!</definedName>
    <definedName name="eeeee" localSheetId="8">#REF!</definedName>
    <definedName name="eeeee">#REF!</definedName>
    <definedName name="End_Bal" localSheetId="8">#REF!</definedName>
    <definedName name="End_Bal">#REF!</definedName>
    <definedName name="Extra_Pay" localSheetId="8">#REF!</definedName>
    <definedName name="Extra_Pay">#REF!</definedName>
    <definedName name="eyeye" localSheetId="8">#REF!</definedName>
    <definedName name="eyeye">#REF!</definedName>
    <definedName name="FF" localSheetId="8">#REF!</definedName>
    <definedName name="FF">#REF!</definedName>
    <definedName name="ffdfdfdfdfdfd" localSheetId="8">#REF!</definedName>
    <definedName name="ffdfdfdfdfdfd">#REF!</definedName>
    <definedName name="ffff">#N/A</definedName>
    <definedName name="Full_Print" localSheetId="8">#REF!</definedName>
    <definedName name="Full_Print">#REF!</definedName>
    <definedName name="GGG">#N/A</definedName>
    <definedName name="gggg" localSheetId="8">#REF!</definedName>
    <definedName name="gggg">#REF!</definedName>
    <definedName name="hd" localSheetId="8">#REF!</definedName>
    <definedName name="hd">#REF!</definedName>
    <definedName name="Header_Row" localSheetId="8">ROW(#REF!)</definedName>
    <definedName name="Header_Row">ROW(#REF!)</definedName>
    <definedName name="hfgdr" localSheetId="8">#REF!</definedName>
    <definedName name="hfgdr">#REF!</definedName>
    <definedName name="hhh" localSheetId="8">Scheduled_Payment+Extra_Payment</definedName>
    <definedName name="hhh">Scheduled_Payment+Extra_Payment</definedName>
    <definedName name="hp" localSheetId="8">IF([1]!Values_Entered,'RCN NC'!Header_Row+[1]!m,'RCN NC'!Header_Row)</definedName>
    <definedName name="hp">IF([1]!Values_Entered,Header_Row+[1]!m,Header_Row)</definedName>
    <definedName name="Int" localSheetId="8">#REF!</definedName>
    <definedName name="Int">#REF!</definedName>
    <definedName name="Interest_Rate" localSheetId="8">#REF!</definedName>
    <definedName name="Interest_Rate">#REF!</definedName>
    <definedName name="jmfh45" localSheetId="19">#REF!</definedName>
    <definedName name="jmfh45" localSheetId="36">#REF!</definedName>
    <definedName name="jmfh45" localSheetId="31">#REF!</definedName>
    <definedName name="jmfh45" localSheetId="9">#REF!</definedName>
    <definedName name="jmfh45" localSheetId="3">#REF!</definedName>
    <definedName name="jmfh45" localSheetId="8">#REF!</definedName>
    <definedName name="jmfh45" localSheetId="10">#REF!</definedName>
    <definedName name="jmfh45" localSheetId="11">#REF!</definedName>
    <definedName name="jmfh45" localSheetId="30">#REF!</definedName>
    <definedName name="jmfh45" localSheetId="29">#REF!</definedName>
    <definedName name="jmfh45" localSheetId="28">#REF!</definedName>
    <definedName name="jmfh45" localSheetId="2">#REF!</definedName>
    <definedName name="jmfh45" localSheetId="14">#REF!</definedName>
    <definedName name="jmfh45">#REF!</definedName>
    <definedName name="khadidja" localSheetId="8">#REF!</definedName>
    <definedName name="khadidja">#REF!</definedName>
    <definedName name="kkkkkkk" localSheetId="8">#REF!</definedName>
    <definedName name="kkkkkkk">#REF!</definedName>
    <definedName name="kkkkkkkkk" localSheetId="8">IF('RCN NC'!Loan_Amount*'RCN NC'!Interest_Rate*'RCN NC'!Loan_Years*'RCN NC'!Loan_Start&gt;0,1,0)</definedName>
    <definedName name="kkkkkkkkk">IF([0]!Loan_Amount*[0]!Interest_Rate*[0]!Loan_Years*[0]!Loan_Start&gt;0,1,0)</definedName>
    <definedName name="kl">IF([2]!Values_Entered,[1]!Header_Row+[1]!m,[1]!Header_Row)</definedName>
    <definedName name="Last_Row" localSheetId="8">#N/A</definedName>
    <definedName name="Last_Row">IF([2]!Values_Entered,Header_Row+'[3]Pertes elec  ACHAT DCM'!Number_of_Payments,Header_Row)</definedName>
    <definedName name="lll" localSheetId="8">#REF!</definedName>
    <definedName name="lll">#REF!</definedName>
    <definedName name="lllllllllll">#N/A</definedName>
    <definedName name="Loan_Amount" localSheetId="8">#REF!</definedName>
    <definedName name="Loan_Amount">#REF!</definedName>
    <definedName name="Loan_Start" localSheetId="8">#REF!</definedName>
    <definedName name="Loan_Start">#REF!</definedName>
    <definedName name="Loan_Years" localSheetId="8">#REF!</definedName>
    <definedName name="Loan_Years">#REF!</definedName>
    <definedName name="LYNA" localSheetId="8">DATE(YEAR([1]!Loan_Start),MONTH([1]!Loan_Start)+Payment_Number,DAY([1]!Loan_Start))</definedName>
    <definedName name="LYNA">DATE(YEAR([1]!Loan_Start),MONTH([1]!Loan_Start)+Payment_Number,DAY([1]!Loan_Start))</definedName>
    <definedName name="m" localSheetId="8">MATCH(0.01,'RCN NC'!End_Bal,-1)+1</definedName>
    <definedName name="m">MATCH(0.01,End_Bal,-1)+1</definedName>
    <definedName name="mm" localSheetId="8">#REF!</definedName>
    <definedName name="mm">#REF!</definedName>
    <definedName name="mmmmm" localSheetId="8">IF([1]!Values_Entered,'RCN NC'!Header_Row+[1]!m,'RCN NC'!Header_Row)</definedName>
    <definedName name="mmmmm">IF([1]!Values_Entered,Header_Row+[1]!m,Header_Row)</definedName>
    <definedName name="mounia" localSheetId="8">DATE(YEAR('RCN NC'!Loan_Start),MONTH('RCN NC'!Loan_Start)+Payment_Number,DAY('RCN NC'!Loan_Start))</definedName>
    <definedName name="mounia">DATE(YEAR(Loan_Start),MONTH(Loan_Start)+Payment_Number,DAY(Loan_Start))</definedName>
    <definedName name="NBR">'[4]SITUATION CUMULEE DES CREANCES'!$B$175</definedName>
    <definedName name="nnnn" localSheetId="8">IF('RCN NC'!Loan_Amount*'RCN NC'!Interest_Rate*'RCN NC'!Loan_Years*'RCN NC'!Loan_Start&gt;0,1,0)</definedName>
    <definedName name="nnnn">IF(Loan_Amount*Interest_Rate*Loan_Years*Loan_Start&gt;0,1,0)</definedName>
    <definedName name="Num_Pmt_Per_Year" localSheetId="8">#REF!</definedName>
    <definedName name="Num_Pmt_Per_Year">#REF!</definedName>
    <definedName name="Number_of_Payments" localSheetId="8">MATCH(0.01,'RCN NC'!End_Bal,-1)+1</definedName>
    <definedName name="Number_of_Payments">MATCH(0.01,End_Bal,-1)+1</definedName>
    <definedName name="Pay_Date" localSheetId="8">#REF!</definedName>
    <definedName name="Pay_Date">#REF!</definedName>
    <definedName name="Pay_Num" localSheetId="8">#REF!</definedName>
    <definedName name="Pay_Num">#REF!</definedName>
    <definedName name="Payment_Date" localSheetId="8">DATE(YEAR('RCN NC'!Loan_Start),MONTH('RCN NC'!Loan_Start)+Payment_Number,DAY('RCN NC'!Loan_Start))</definedName>
    <definedName name="Payment_Date">DATE(YEAR(Loan_Start),MONTH(Loan_Start)+Payment_Number,DAY(Loan_Start))</definedName>
    <definedName name="Princ" localSheetId="8">#REF!</definedName>
    <definedName name="Princ">#REF!</definedName>
    <definedName name="Print_Area_Reset" localSheetId="8">OFFSET('RCN NC'!Full_Print,0,0,'RCN NC'!Last_Row)</definedName>
    <definedName name="Print_Area_Reset">OFFSET(Full_Print,0,0,Last_Row)</definedName>
    <definedName name="QM" localSheetId="8">#REF!</definedName>
    <definedName name="QM">#REF!</definedName>
    <definedName name="Recap" localSheetId="8">#REF!</definedName>
    <definedName name="Recap">#REF!</definedName>
    <definedName name="rerg" localSheetId="8">#REF!</definedName>
    <definedName name="rerg">#REF!</definedName>
    <definedName name="reyey" localSheetId="8">Scheduled_Payment+Extra_Payment</definedName>
    <definedName name="reyey">Scheduled_Payment+Extra_Payment</definedName>
    <definedName name="rezrferferf" localSheetId="8">#REF!</definedName>
    <definedName name="rezrferferf">#REF!</definedName>
    <definedName name="rrr" localSheetId="8">#REF!</definedName>
    <definedName name="rrr">#REF!</definedName>
    <definedName name="rrrr" localSheetId="8">#N/A</definedName>
    <definedName name="rrrr">IF([5]!Values_Entered,Header_Row+'[3]Pertes elec  ACHAT DCM'!Number_of_Payments,Header_Row)</definedName>
    <definedName name="rrrrrr" localSheetId="8">#REF!</definedName>
    <definedName name="rrrrrr">#REF!</definedName>
    <definedName name="rtz">#N/A</definedName>
    <definedName name="s" localSheetId="8">Scheduled_Payment+Extra_Payment</definedName>
    <definedName name="s">Scheduled_Payment+Extra_Payment</definedName>
    <definedName name="Sched_Pay" localSheetId="8">#REF!</definedName>
    <definedName name="Sched_Pay">#REF!</definedName>
    <definedName name="Scheduled_Extra_Payments" localSheetId="8">#REF!</definedName>
    <definedName name="Scheduled_Extra_Payments">#REF!</definedName>
    <definedName name="Scheduled_Interest_Rate" localSheetId="8">#REF!</definedName>
    <definedName name="Scheduled_Interest_Rate">#REF!</definedName>
    <definedName name="Scheduled_Monthly_Payment" localSheetId="8">#REF!</definedName>
    <definedName name="Scheduled_Monthly_Payment">#REF!</definedName>
    <definedName name="SDSDFSD" localSheetId="8">#REF!</definedName>
    <definedName name="SDSDFSD">#REF!</definedName>
    <definedName name="sfg" localSheetId="8">#REF!</definedName>
    <definedName name="sfg">#REF!</definedName>
    <definedName name="SOLDE" localSheetId="8">#REF!</definedName>
    <definedName name="SOLDE">#REF!</definedName>
    <definedName name="srgsg" localSheetId="8">#REF!</definedName>
    <definedName name="srgsg">#REF!</definedName>
    <definedName name="ss" localSheetId="8">#REF!</definedName>
    <definedName name="ss">#REF!</definedName>
    <definedName name="ssssss" localSheetId="31">#REF!</definedName>
    <definedName name="ssssss" localSheetId="8">#REF!</definedName>
    <definedName name="ssssss" localSheetId="30">#REF!</definedName>
    <definedName name="ssssss">#REF!</definedName>
    <definedName name="Total_Interest" localSheetId="8">#REF!</definedName>
    <definedName name="Total_Interest">#REF!</definedName>
    <definedName name="Total_Pay" localSheetId="8">#REF!</definedName>
    <definedName name="Total_Pay">#REF!</definedName>
    <definedName name="Total_Payment" localSheetId="8">Scheduled_Payment+Extra_Payment</definedName>
    <definedName name="Total_Payment">Scheduled_Payment+Extra_Payment</definedName>
    <definedName name="TPECLASSEMENTPRESENTATION" localSheetId="8">#REF!</definedName>
    <definedName name="TPECLASSEMENTPRESENTATION">#REF!</definedName>
    <definedName name="uu" localSheetId="8">#REF!</definedName>
    <definedName name="uu">#REF!</definedName>
    <definedName name="Values_Entered" localSheetId="8">IF('RCN NC'!Loan_Amount*'RCN NC'!Interest_Rate*'RCN NC'!Loan_Years*'RCN NC'!Loan_Start&gt;0,1,0)</definedName>
    <definedName name="Values_Entered">IF(Loan_Amount*Interest_Rate*Loan_Years*Loan_Start&gt;0,1,0)</definedName>
    <definedName name="zer" localSheetId="8">#REF!</definedName>
    <definedName name="zer">#REF!</definedName>
    <definedName name="_xlnm.Print_Area" localSheetId="17">CA_élec_gaz!$C$90:$R$148</definedName>
    <definedName name="_xlnm.Print_Area" localSheetId="4">Clientele!$A$1:$AK$178</definedName>
    <definedName name="_xlnm.Print_Area" localSheetId="25">Créanc!$A$1:$P$118</definedName>
    <definedName name="_xlnm.Print_Area" localSheetId="23">'Créanc-agence-compare'!$B$2:$O$52</definedName>
    <definedName name="_xlnm.Print_Area" localSheetId="26">'Crédit client'!$B$78:$L$88</definedName>
    <definedName name="_xlnm.Print_Area" localSheetId="9">'délais '!$A$1:$Z$17</definedName>
    <definedName name="_xlnm.Print_Area" localSheetId="18">'enc-ag'!$B$1:$L$109</definedName>
    <definedName name="_xlnm.Print_Area" localSheetId="1">'Feuille-synthèse'!$A$1:$R$72</definedName>
    <definedName name="_xlnm.Print_Area" localSheetId="22">gaz!$A$208:$BB$221</definedName>
    <definedName name="_xlnm.Print_Area" localSheetId="24">'Gros Débit'!$A$1:$O$14</definedName>
    <definedName name="_xlnm.Print_Area" localSheetId="33">quitancemult!$A$1:$J$63</definedName>
    <definedName name="_xlnm.Print_Area" localSheetId="8">'RCN NC'!$A$1:$P$17</definedName>
    <definedName name="_xlnm.Print_Area" localSheetId="10">'RCN_Elec  '!$A$1:$L$49</definedName>
    <definedName name="_xlnm.Print_Area" localSheetId="11">'RCN_Gaz  '!$A$1:$L$47</definedName>
    <definedName name="_xlnm.Print_Area" localSheetId="0">'tableau de bord'!$A$1:$I$47</definedName>
    <definedName name="_xlnm.Print_Area" localSheetId="14">TP_élec!$C$1:$V$15</definedName>
    <definedName name="_xlnm.Print_Area" localSheetId="16">TP_gaz!$A$1:$N$38</definedName>
    <definedName name="_xlnm.Print_Area" localSheetId="13">ventes_achats_élec!$A$1:$S$48</definedName>
  </definedName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AO66" i="201" l="1"/>
  <c r="AO50" i="201"/>
  <c r="AO67" i="201"/>
  <c r="AP67" i="201"/>
  <c r="AQ60" i="201"/>
  <c r="AP60" i="201"/>
  <c r="AQ66" i="201"/>
  <c r="AP66" i="201"/>
  <c r="AO60" i="201" l="1"/>
  <c r="AA24" i="201" l="1"/>
  <c r="W24" i="201"/>
  <c r="I100" i="205" l="1"/>
  <c r="H100" i="205"/>
  <c r="G85" i="205"/>
  <c r="G69" i="205"/>
  <c r="F175" i="205" l="1"/>
  <c r="E174" i="205" l="1"/>
  <c r="G174" i="205" s="1"/>
  <c r="E173" i="205"/>
  <c r="G173" i="205" s="1"/>
  <c r="E172" i="205"/>
  <c r="G172" i="205" s="1"/>
  <c r="E171" i="205"/>
  <c r="G171" i="205" s="1"/>
  <c r="E170" i="205"/>
  <c r="G170" i="205" s="1"/>
  <c r="E169" i="205"/>
  <c r="G169" i="205" s="1"/>
  <c r="E168" i="205"/>
  <c r="G168" i="205" s="1"/>
  <c r="E167" i="205"/>
  <c r="G167" i="205" s="1"/>
  <c r="E166" i="205"/>
  <c r="G166" i="205" s="1"/>
  <c r="E165" i="205"/>
  <c r="G165" i="205" s="1"/>
  <c r="E175" i="205" l="1"/>
  <c r="G175" i="205" s="1"/>
  <c r="T227" i="198" l="1"/>
  <c r="S227" i="198"/>
  <c r="R227" i="198"/>
  <c r="Q227" i="198"/>
  <c r="T226" i="198"/>
  <c r="S226" i="198"/>
  <c r="R226" i="198"/>
  <c r="Q226" i="198"/>
  <c r="T225" i="198"/>
  <c r="S225" i="198"/>
  <c r="R225" i="198"/>
  <c r="Q225" i="198"/>
  <c r="T224" i="198"/>
  <c r="S224" i="198"/>
  <c r="R224" i="198"/>
  <c r="Q224" i="198"/>
  <c r="T223" i="198"/>
  <c r="S223" i="198"/>
  <c r="R223" i="198"/>
  <c r="Q223" i="198"/>
  <c r="T222" i="198"/>
  <c r="S222" i="198"/>
  <c r="R222" i="198"/>
  <c r="Q222" i="198"/>
  <c r="T221" i="198"/>
  <c r="S221" i="198"/>
  <c r="R221" i="198"/>
  <c r="Q221" i="198"/>
  <c r="T220" i="198"/>
  <c r="S220" i="198"/>
  <c r="R220" i="198"/>
  <c r="Q220" i="198"/>
  <c r="T219" i="198"/>
  <c r="S219" i="198"/>
  <c r="R219" i="198"/>
  <c r="Q219" i="198"/>
  <c r="T218" i="198"/>
  <c r="S218" i="198"/>
  <c r="R218" i="198"/>
  <c r="Q218" i="198"/>
  <c r="E227" i="198"/>
  <c r="D227" i="198"/>
  <c r="C227" i="198"/>
  <c r="B227" i="198"/>
  <c r="E226" i="198"/>
  <c r="D226" i="198"/>
  <c r="C226" i="198"/>
  <c r="B226" i="198"/>
  <c r="E225" i="198"/>
  <c r="D225" i="198"/>
  <c r="C225" i="198"/>
  <c r="B225" i="198"/>
  <c r="E224" i="198"/>
  <c r="D224" i="198"/>
  <c r="C224" i="198"/>
  <c r="B224" i="198"/>
  <c r="E223" i="198"/>
  <c r="D223" i="198"/>
  <c r="C223" i="198"/>
  <c r="B223" i="198"/>
  <c r="E222" i="198"/>
  <c r="D222" i="198"/>
  <c r="C222" i="198"/>
  <c r="B222" i="198"/>
  <c r="E221" i="198"/>
  <c r="D221" i="198"/>
  <c r="C221" i="198"/>
  <c r="B221" i="198"/>
  <c r="E220" i="198"/>
  <c r="D220" i="198"/>
  <c r="C220" i="198"/>
  <c r="B220" i="198"/>
  <c r="E219" i="198"/>
  <c r="D219" i="198"/>
  <c r="C219" i="198"/>
  <c r="B219" i="198"/>
  <c r="E218" i="198"/>
  <c r="D218" i="198"/>
  <c r="C218" i="198"/>
  <c r="B218" i="198"/>
  <c r="T227" i="170"/>
  <c r="S227" i="170"/>
  <c r="R227" i="170"/>
  <c r="Q227" i="170"/>
  <c r="T226" i="170"/>
  <c r="S226" i="170"/>
  <c r="R226" i="170"/>
  <c r="Q226" i="170"/>
  <c r="T225" i="170"/>
  <c r="S225" i="170"/>
  <c r="R225" i="170"/>
  <c r="Q225" i="170"/>
  <c r="T224" i="170"/>
  <c r="S224" i="170"/>
  <c r="R224" i="170"/>
  <c r="Q224" i="170"/>
  <c r="T223" i="170"/>
  <c r="S223" i="170"/>
  <c r="R223" i="170"/>
  <c r="Q223" i="170"/>
  <c r="T222" i="170"/>
  <c r="S222" i="170"/>
  <c r="R222" i="170"/>
  <c r="Q222" i="170"/>
  <c r="T221" i="170"/>
  <c r="S221" i="170"/>
  <c r="R221" i="170"/>
  <c r="Q221" i="170"/>
  <c r="T220" i="170"/>
  <c r="S220" i="170"/>
  <c r="R220" i="170"/>
  <c r="Q220" i="170"/>
  <c r="T219" i="170"/>
  <c r="S219" i="170"/>
  <c r="R219" i="170"/>
  <c r="Q219" i="170"/>
  <c r="T218" i="170"/>
  <c r="S218" i="170"/>
  <c r="R218" i="170"/>
  <c r="Q218" i="170"/>
  <c r="E227" i="170"/>
  <c r="D227" i="170"/>
  <c r="C227" i="170"/>
  <c r="B227" i="170"/>
  <c r="E226" i="170"/>
  <c r="D226" i="170"/>
  <c r="C226" i="170"/>
  <c r="B226" i="170"/>
  <c r="E225" i="170"/>
  <c r="D225" i="170"/>
  <c r="C225" i="170"/>
  <c r="B225" i="170"/>
  <c r="E224" i="170"/>
  <c r="D224" i="170"/>
  <c r="C224" i="170"/>
  <c r="B224" i="170"/>
  <c r="E223" i="170"/>
  <c r="D223" i="170"/>
  <c r="C223" i="170"/>
  <c r="B223" i="170"/>
  <c r="E222" i="170"/>
  <c r="D222" i="170"/>
  <c r="C222" i="170"/>
  <c r="B222" i="170"/>
  <c r="E221" i="170"/>
  <c r="D221" i="170"/>
  <c r="C221" i="170"/>
  <c r="B221" i="170"/>
  <c r="E220" i="170"/>
  <c r="D220" i="170"/>
  <c r="C220" i="170"/>
  <c r="B220" i="170"/>
  <c r="E219" i="170"/>
  <c r="D219" i="170"/>
  <c r="C219" i="170"/>
  <c r="B219" i="170"/>
  <c r="E218" i="170"/>
  <c r="D218" i="170"/>
  <c r="C218" i="170"/>
  <c r="B218" i="170"/>
  <c r="W22" i="201"/>
  <c r="AA20" i="201"/>
  <c r="BD350" i="26"/>
  <c r="BD334" i="26"/>
  <c r="BD226" i="27"/>
  <c r="BD319" i="26"/>
  <c r="AC311" i="26" l="1"/>
  <c r="AB311" i="26"/>
  <c r="AC310" i="26"/>
  <c r="AB310" i="26"/>
  <c r="AC309" i="26"/>
  <c r="AB309" i="26"/>
  <c r="AC308" i="26"/>
  <c r="AB308" i="26"/>
  <c r="AC307" i="26"/>
  <c r="AB307" i="26"/>
  <c r="AC306" i="26"/>
  <c r="AB306" i="26"/>
  <c r="AC305" i="26"/>
  <c r="AB305" i="26"/>
  <c r="AC304" i="26"/>
  <c r="AB304" i="26"/>
  <c r="AC303" i="26"/>
  <c r="AB303" i="26"/>
  <c r="AC302" i="26"/>
  <c r="AB302" i="26"/>
  <c r="AC283" i="26" l="1"/>
  <c r="AB283" i="26"/>
  <c r="AC282" i="26"/>
  <c r="AB282" i="26"/>
  <c r="AC281" i="26"/>
  <c r="AB281" i="26"/>
  <c r="AC280" i="26"/>
  <c r="AB280" i="26"/>
  <c r="AC279" i="26"/>
  <c r="AB279" i="26"/>
  <c r="AC278" i="26"/>
  <c r="AB278" i="26"/>
  <c r="AC277" i="26"/>
  <c r="AB277" i="26"/>
  <c r="AC276" i="26"/>
  <c r="AB276" i="26"/>
  <c r="AC275" i="26"/>
  <c r="AB275" i="26"/>
  <c r="AC274" i="26"/>
  <c r="AB274" i="26"/>
  <c r="BG350" i="26"/>
  <c r="BE350" i="26"/>
  <c r="BD343" i="26"/>
  <c r="BD342" i="26"/>
  <c r="BD341" i="26"/>
  <c r="BD340" i="26"/>
  <c r="BD339" i="26"/>
  <c r="BD338" i="26"/>
  <c r="BD337" i="26"/>
  <c r="BD336" i="26"/>
  <c r="BD335" i="26"/>
  <c r="BD328" i="26"/>
  <c r="BD327" i="26"/>
  <c r="BD326" i="26"/>
  <c r="BD325" i="26"/>
  <c r="BD324" i="26"/>
  <c r="BD323" i="26"/>
  <c r="BD322" i="26"/>
  <c r="BD321" i="26"/>
  <c r="BD320" i="26"/>
  <c r="BD243" i="26"/>
  <c r="BD228" i="26"/>
  <c r="BE196" i="26"/>
  <c r="BD351" i="26"/>
  <c r="BE351" i="26"/>
  <c r="BG351" i="26"/>
  <c r="BD352" i="26"/>
  <c r="BE352" i="26"/>
  <c r="BG352" i="26"/>
  <c r="BD353" i="26"/>
  <c r="BE353" i="26"/>
  <c r="BG353" i="26"/>
  <c r="BD354" i="26"/>
  <c r="BE354" i="26"/>
  <c r="BG354" i="26"/>
  <c r="BD355" i="26"/>
  <c r="BE355" i="26"/>
  <c r="BG355" i="26"/>
  <c r="BD356" i="26"/>
  <c r="BE356" i="26"/>
  <c r="BG356" i="26"/>
  <c r="BD357" i="26"/>
  <c r="BE357" i="26"/>
  <c r="BG357" i="26"/>
  <c r="BD358" i="26"/>
  <c r="BE358" i="26"/>
  <c r="BG358" i="26"/>
  <c r="BD359" i="26"/>
  <c r="BE359" i="26"/>
  <c r="BG359" i="26"/>
  <c r="BD252" i="26"/>
  <c r="BD251" i="26"/>
  <c r="BD250" i="26"/>
  <c r="BD249" i="26"/>
  <c r="BD248" i="26"/>
  <c r="BD247" i="26"/>
  <c r="BD246" i="26"/>
  <c r="BD245" i="26"/>
  <c r="BD244" i="26"/>
  <c r="BD229" i="26"/>
  <c r="BD230" i="26"/>
  <c r="BD231" i="26"/>
  <c r="BD232" i="26"/>
  <c r="BD233" i="26"/>
  <c r="BD234" i="26"/>
  <c r="BD235" i="26"/>
  <c r="BD236" i="26"/>
  <c r="BD237" i="26"/>
  <c r="BE197" i="26"/>
  <c r="BF197" i="26"/>
  <c r="BG197" i="26"/>
  <c r="BE198" i="26"/>
  <c r="BF198" i="26"/>
  <c r="BG198" i="26"/>
  <c r="BE199" i="26"/>
  <c r="BF199" i="26"/>
  <c r="BG199" i="26"/>
  <c r="BE200" i="26"/>
  <c r="BF200" i="26"/>
  <c r="BG200" i="26"/>
  <c r="BE201" i="26"/>
  <c r="BF201" i="26"/>
  <c r="BG201" i="26"/>
  <c r="BE202" i="26"/>
  <c r="BF202" i="26"/>
  <c r="BG202" i="26"/>
  <c r="BE203" i="26"/>
  <c r="BF203" i="26"/>
  <c r="BG203" i="26"/>
  <c r="BE204" i="26"/>
  <c r="BF204" i="26"/>
  <c r="BG204" i="26"/>
  <c r="BE205" i="26"/>
  <c r="BF205" i="26"/>
  <c r="BG205" i="26"/>
  <c r="BG196" i="26"/>
  <c r="BF196" i="26"/>
  <c r="BE142" i="26"/>
  <c r="BE141" i="26"/>
  <c r="BE140" i="26"/>
  <c r="BE139" i="26"/>
  <c r="BE138" i="26"/>
  <c r="BE137" i="26"/>
  <c r="BE136" i="26"/>
  <c r="BE135" i="26"/>
  <c r="BE134" i="26"/>
  <c r="BE133" i="26"/>
  <c r="BE70" i="26"/>
  <c r="BE71" i="26"/>
  <c r="BE72" i="26"/>
  <c r="BE73" i="26"/>
  <c r="BE74" i="26"/>
  <c r="BE75" i="26"/>
  <c r="BE76" i="26"/>
  <c r="BE77" i="26"/>
  <c r="BE78" i="26"/>
  <c r="BE69" i="26"/>
  <c r="BE41" i="26"/>
  <c r="BD42" i="26"/>
  <c r="BE42" i="26"/>
  <c r="BE43" i="26"/>
  <c r="AZ6" i="26"/>
  <c r="AZ7" i="26"/>
  <c r="AZ8" i="26"/>
  <c r="AZ9" i="26"/>
  <c r="AZ10" i="26"/>
  <c r="AZ11" i="26"/>
  <c r="AZ12" i="26"/>
  <c r="AZ13" i="26"/>
  <c r="AZ14" i="26"/>
  <c r="AZ5" i="26"/>
  <c r="AG46" i="26"/>
  <c r="BE46" i="26" s="1"/>
  <c r="AE46" i="26"/>
  <c r="AD46" i="26"/>
  <c r="AF46" i="26" s="1"/>
  <c r="BC46" i="26" s="1"/>
  <c r="AG45" i="26"/>
  <c r="BE45" i="26" s="1"/>
  <c r="AE45" i="26"/>
  <c r="AD45" i="26"/>
  <c r="AF45" i="26" s="1"/>
  <c r="BC45" i="26" s="1"/>
  <c r="AG44" i="26"/>
  <c r="BE44" i="26" s="1"/>
  <c r="AE44" i="26"/>
  <c r="AD44" i="26"/>
  <c r="AG43" i="26"/>
  <c r="AE43" i="26"/>
  <c r="AD43" i="26"/>
  <c r="AG42" i="26"/>
  <c r="AE42" i="26"/>
  <c r="AD42" i="26"/>
  <c r="AF42" i="26" s="1"/>
  <c r="AG41" i="26"/>
  <c r="AE41" i="26"/>
  <c r="AD41" i="26"/>
  <c r="AG40" i="26"/>
  <c r="BE40" i="26" s="1"/>
  <c r="AE40" i="26"/>
  <c r="AD40" i="26"/>
  <c r="AG39" i="26"/>
  <c r="BE39" i="26" s="1"/>
  <c r="AE39" i="26"/>
  <c r="AD39" i="26"/>
  <c r="AG38" i="26"/>
  <c r="BE38" i="26" s="1"/>
  <c r="AE38" i="26"/>
  <c r="AD38" i="26"/>
  <c r="AF38" i="26" s="1"/>
  <c r="BC38" i="26" s="1"/>
  <c r="AG37" i="26"/>
  <c r="BE37" i="26" s="1"/>
  <c r="AE37" i="26"/>
  <c r="AD37" i="26"/>
  <c r="AF37" i="26" s="1"/>
  <c r="BC37" i="26" s="1"/>
  <c r="BD38" i="26" l="1"/>
  <c r="AF43" i="26"/>
  <c r="BD46" i="26"/>
  <c r="AF40" i="26"/>
  <c r="AF44" i="26"/>
  <c r="BC44" i="26" s="1"/>
  <c r="BC42" i="26"/>
  <c r="BD45" i="26"/>
  <c r="BD44" i="26"/>
  <c r="BD37" i="26"/>
  <c r="AF41" i="26"/>
  <c r="AF39" i="26"/>
  <c r="BD40" i="26" l="1"/>
  <c r="BC40" i="26"/>
  <c r="BD43" i="26"/>
  <c r="BC43" i="26"/>
  <c r="BC39" i="26"/>
  <c r="BD39" i="26"/>
  <c r="BD41" i="26"/>
  <c r="BC41" i="26"/>
  <c r="BD259" i="27" l="1"/>
  <c r="BE259" i="27"/>
  <c r="BG259" i="27"/>
  <c r="BD260" i="27"/>
  <c r="BE260" i="27"/>
  <c r="BG260" i="27"/>
  <c r="BD261" i="27"/>
  <c r="BE261" i="27"/>
  <c r="BG261" i="27"/>
  <c r="BD262" i="27"/>
  <c r="BE262" i="27"/>
  <c r="BG262" i="27"/>
  <c r="BD263" i="27"/>
  <c r="BE263" i="27"/>
  <c r="BG263" i="27"/>
  <c r="BD264" i="27"/>
  <c r="BE264" i="27"/>
  <c r="BG264" i="27"/>
  <c r="BD265" i="27"/>
  <c r="BE265" i="27"/>
  <c r="BG265" i="27"/>
  <c r="BD266" i="27"/>
  <c r="BE266" i="27"/>
  <c r="BG266" i="27"/>
  <c r="BD267" i="27"/>
  <c r="BE267" i="27"/>
  <c r="BG267" i="27"/>
  <c r="BG258" i="27"/>
  <c r="BE258" i="27"/>
  <c r="BD258" i="27"/>
  <c r="BD250" i="27"/>
  <c r="BD249" i="27"/>
  <c r="BD248" i="27"/>
  <c r="BD247" i="27"/>
  <c r="BD246" i="27"/>
  <c r="BD245" i="27"/>
  <c r="BD244" i="27"/>
  <c r="BD243" i="27"/>
  <c r="BD242" i="27"/>
  <c r="BD241" i="27"/>
  <c r="BD227" i="27"/>
  <c r="BD228" i="27"/>
  <c r="BD229" i="27"/>
  <c r="BD230" i="27"/>
  <c r="BD231" i="27"/>
  <c r="BD232" i="27"/>
  <c r="BD233" i="27"/>
  <c r="BD234" i="27"/>
  <c r="BD235" i="27"/>
  <c r="BE195" i="27"/>
  <c r="BF195" i="27"/>
  <c r="BG195" i="27"/>
  <c r="BE196" i="27"/>
  <c r="BF196" i="27"/>
  <c r="BG196" i="27"/>
  <c r="BE197" i="27"/>
  <c r="BF197" i="27"/>
  <c r="BG197" i="27"/>
  <c r="BE198" i="27"/>
  <c r="BF198" i="27"/>
  <c r="BG198" i="27"/>
  <c r="BE199" i="27"/>
  <c r="BF199" i="27"/>
  <c r="BG199" i="27"/>
  <c r="BE200" i="27"/>
  <c r="BF200" i="27"/>
  <c r="BG200" i="27"/>
  <c r="BE201" i="27"/>
  <c r="BF201" i="27"/>
  <c r="BG201" i="27"/>
  <c r="BE202" i="27"/>
  <c r="BF202" i="27"/>
  <c r="BG202" i="27"/>
  <c r="BE203" i="27"/>
  <c r="BF203" i="27"/>
  <c r="BG203" i="27"/>
  <c r="BG194" i="27"/>
  <c r="BF194" i="27"/>
  <c r="BE194" i="27"/>
  <c r="BD140" i="27"/>
  <c r="BD139" i="27"/>
  <c r="BD138" i="27"/>
  <c r="BD137" i="27"/>
  <c r="BD136" i="27"/>
  <c r="BD135" i="27"/>
  <c r="BD134" i="27"/>
  <c r="BD133" i="27"/>
  <c r="BD132" i="27"/>
  <c r="BD131" i="27"/>
  <c r="BD70" i="27"/>
  <c r="BD71" i="27"/>
  <c r="BD72" i="27"/>
  <c r="BD73" i="27"/>
  <c r="BD74" i="27"/>
  <c r="BD75" i="27"/>
  <c r="BD76" i="27"/>
  <c r="BD77" i="27"/>
  <c r="BD78" i="27"/>
  <c r="BD69" i="27"/>
  <c r="BE42" i="27"/>
  <c r="AZ6" i="27"/>
  <c r="AZ7" i="27"/>
  <c r="AZ8" i="27"/>
  <c r="AZ9" i="27"/>
  <c r="AZ10" i="27"/>
  <c r="AZ11" i="27"/>
  <c r="AZ12" i="27"/>
  <c r="AZ13" i="27"/>
  <c r="AZ14" i="27"/>
  <c r="AZ5" i="27"/>
  <c r="AG46" i="27"/>
  <c r="BE46" i="27" s="1"/>
  <c r="AE46" i="27"/>
  <c r="AD46" i="27"/>
  <c r="AG45" i="27"/>
  <c r="AE45" i="27"/>
  <c r="AD45" i="27"/>
  <c r="AF45" i="27" s="1"/>
  <c r="BD45" i="27" s="1"/>
  <c r="AG44" i="27"/>
  <c r="BE44" i="27" s="1"/>
  <c r="AE44" i="27"/>
  <c r="AD44" i="27"/>
  <c r="AF44" i="27" s="1"/>
  <c r="AG43" i="27"/>
  <c r="BE43" i="27" s="1"/>
  <c r="AE43" i="27"/>
  <c r="AD43" i="27"/>
  <c r="AF43" i="27" s="1"/>
  <c r="BD43" i="27" s="1"/>
  <c r="AG42" i="27"/>
  <c r="AE42" i="27"/>
  <c r="AD42" i="27"/>
  <c r="AF42" i="27" s="1"/>
  <c r="BC42" i="27" s="1"/>
  <c r="AG41" i="27"/>
  <c r="BE41" i="27" s="1"/>
  <c r="AE41" i="27"/>
  <c r="AD41" i="27"/>
  <c r="AF41" i="27" s="1"/>
  <c r="BC41" i="27" s="1"/>
  <c r="AG40" i="27"/>
  <c r="BE40" i="27" s="1"/>
  <c r="AE40" i="27"/>
  <c r="AD40" i="27"/>
  <c r="AF40" i="27" s="1"/>
  <c r="AG39" i="27"/>
  <c r="BE39" i="27" s="1"/>
  <c r="AE39" i="27"/>
  <c r="AD39" i="27"/>
  <c r="AG38" i="27"/>
  <c r="BE38" i="27" s="1"/>
  <c r="AE38" i="27"/>
  <c r="AD38" i="27"/>
  <c r="AG37" i="27"/>
  <c r="BE37" i="27" s="1"/>
  <c r="AE37" i="27"/>
  <c r="AD37" i="27"/>
  <c r="AF37" i="27" s="1"/>
  <c r="BD37" i="27" s="1"/>
  <c r="AP107" i="190"/>
  <c r="AO107" i="190"/>
  <c r="AN107" i="190"/>
  <c r="AP103" i="190"/>
  <c r="AO103" i="190"/>
  <c r="AN103" i="190"/>
  <c r="AP92" i="190"/>
  <c r="AO92" i="190"/>
  <c r="AN92" i="190"/>
  <c r="AP85" i="190"/>
  <c r="AO85" i="190"/>
  <c r="AN85" i="190"/>
  <c r="AP75" i="190"/>
  <c r="AO75" i="190"/>
  <c r="AN75" i="190"/>
  <c r="AP68" i="190"/>
  <c r="AO68" i="190"/>
  <c r="AN68" i="190"/>
  <c r="AP56" i="190"/>
  <c r="AO56" i="190"/>
  <c r="AN56" i="190"/>
  <c r="AP38" i="190"/>
  <c r="AO38" i="190"/>
  <c r="AN38" i="190"/>
  <c r="AP29" i="190"/>
  <c r="AO29" i="190"/>
  <c r="AN29" i="190"/>
  <c r="AA107" i="190"/>
  <c r="Z107" i="190"/>
  <c r="Y107" i="190"/>
  <c r="AA103" i="190"/>
  <c r="Z103" i="190"/>
  <c r="Y103" i="190"/>
  <c r="AA92" i="190"/>
  <c r="Z92" i="190"/>
  <c r="Y92" i="190"/>
  <c r="AA85" i="190"/>
  <c r="Z85" i="190"/>
  <c r="Y85" i="190"/>
  <c r="AA75" i="190"/>
  <c r="Z75" i="190"/>
  <c r="Y75" i="190"/>
  <c r="AA68" i="190"/>
  <c r="Z68" i="190"/>
  <c r="Y68" i="190"/>
  <c r="AA56" i="190"/>
  <c r="Z56" i="190"/>
  <c r="Y56" i="190"/>
  <c r="AA38" i="190"/>
  <c r="Z38" i="190"/>
  <c r="Y38" i="190"/>
  <c r="AA29" i="190"/>
  <c r="Z29" i="190"/>
  <c r="Y29" i="190"/>
  <c r="CD19" i="190"/>
  <c r="CC19" i="190"/>
  <c r="CB19" i="190"/>
  <c r="CA19" i="190"/>
  <c r="BZ19" i="190"/>
  <c r="BY19" i="190"/>
  <c r="BX19" i="190"/>
  <c r="BW19" i="190"/>
  <c r="BV19" i="190"/>
  <c r="BU19" i="190"/>
  <c r="BT19" i="190"/>
  <c r="BS19" i="190"/>
  <c r="BR19" i="190"/>
  <c r="BQ19" i="190"/>
  <c r="BP19" i="190"/>
  <c r="BO19" i="190"/>
  <c r="BN19" i="190"/>
  <c r="BM19" i="190"/>
  <c r="BL19" i="190"/>
  <c r="BK19" i="190"/>
  <c r="BJ19" i="190"/>
  <c r="BI19" i="190"/>
  <c r="BH19" i="190"/>
  <c r="BG19" i="190"/>
  <c r="BF19" i="190"/>
  <c r="BE19" i="190"/>
  <c r="BD19" i="190"/>
  <c r="BC19" i="190"/>
  <c r="BB19" i="190"/>
  <c r="BA19" i="190"/>
  <c r="AZ19" i="190"/>
  <c r="AY19" i="190"/>
  <c r="AX19" i="190"/>
  <c r="AW19" i="190"/>
  <c r="AV19" i="190"/>
  <c r="AU19" i="190"/>
  <c r="AT19" i="190"/>
  <c r="AS19" i="190"/>
  <c r="AR19" i="190"/>
  <c r="AP19" i="190"/>
  <c r="AO19" i="190"/>
  <c r="AN19" i="190"/>
  <c r="AA19" i="190"/>
  <c r="Z19" i="190"/>
  <c r="Y19" i="190"/>
  <c r="BC40" i="27" l="1"/>
  <c r="BC44" i="27"/>
  <c r="BC45" i="27"/>
  <c r="BC37" i="27"/>
  <c r="BE45" i="27"/>
  <c r="BD44" i="27"/>
  <c r="BC43" i="27"/>
  <c r="AF38" i="27"/>
  <c r="AF46" i="27"/>
  <c r="BD42" i="27"/>
  <c r="BD40" i="27"/>
  <c r="AF39" i="27"/>
  <c r="BD41" i="27"/>
  <c r="BD46" i="27" l="1"/>
  <c r="BC46" i="27"/>
  <c r="BD39" i="27"/>
  <c r="BC39" i="27"/>
  <c r="BD38" i="27"/>
  <c r="BC38" i="27"/>
  <c r="AD155" i="188" l="1"/>
  <c r="AC155" i="188"/>
  <c r="AD154" i="188"/>
  <c r="AC154" i="188"/>
  <c r="AD153" i="188"/>
  <c r="AC153" i="188"/>
  <c r="AD152" i="188"/>
  <c r="AC152" i="188"/>
  <c r="AD151" i="188"/>
  <c r="AC151" i="188"/>
  <c r="AD150" i="188"/>
  <c r="AC150" i="188"/>
  <c r="AD149" i="188"/>
  <c r="AC149" i="188"/>
  <c r="AD148" i="188"/>
  <c r="AC148" i="188"/>
  <c r="AD147" i="188"/>
  <c r="AC147" i="188"/>
  <c r="AD146" i="188"/>
  <c r="AC146" i="188"/>
  <c r="AD140" i="188"/>
  <c r="AC140" i="188"/>
  <c r="AD139" i="188"/>
  <c r="AC139" i="188"/>
  <c r="AD138" i="188"/>
  <c r="AC138" i="188"/>
  <c r="AD137" i="188"/>
  <c r="AC137" i="188"/>
  <c r="AD136" i="188"/>
  <c r="AC136" i="188"/>
  <c r="AD135" i="188"/>
  <c r="AC135" i="188"/>
  <c r="AD134" i="188"/>
  <c r="AC134" i="188"/>
  <c r="AD133" i="188"/>
  <c r="AC133" i="188"/>
  <c r="AD132" i="188"/>
  <c r="AC132" i="188"/>
  <c r="AD131" i="188"/>
  <c r="AC131" i="188"/>
  <c r="AD92" i="188"/>
  <c r="AC92" i="188"/>
  <c r="AD91" i="188"/>
  <c r="AC91" i="188"/>
  <c r="AD90" i="188"/>
  <c r="AC90" i="188"/>
  <c r="AD89" i="188"/>
  <c r="AC89" i="188"/>
  <c r="AD88" i="188"/>
  <c r="AC88" i="188"/>
  <c r="AD87" i="188"/>
  <c r="AC87" i="188"/>
  <c r="AD86" i="188"/>
  <c r="AC86" i="188"/>
  <c r="AD85" i="188"/>
  <c r="AC85" i="188"/>
  <c r="AD84" i="188"/>
  <c r="AC84" i="188"/>
  <c r="AD83" i="188"/>
  <c r="AC83" i="188"/>
  <c r="AD77" i="188"/>
  <c r="AC77" i="188"/>
  <c r="AD76" i="188"/>
  <c r="AC76" i="188"/>
  <c r="AD75" i="188"/>
  <c r="AC75" i="188"/>
  <c r="AD74" i="188"/>
  <c r="AC74" i="188"/>
  <c r="AD73" i="188"/>
  <c r="AC73" i="188"/>
  <c r="AD72" i="188"/>
  <c r="AC72" i="188"/>
  <c r="AD71" i="188"/>
  <c r="AC71" i="188"/>
  <c r="AD70" i="188"/>
  <c r="AC70" i="188"/>
  <c r="AD69" i="188"/>
  <c r="AC69" i="188"/>
  <c r="AD68" i="188"/>
  <c r="AC68" i="188"/>
  <c r="AC41" i="188"/>
  <c r="AD41" i="188"/>
  <c r="AC42" i="188"/>
  <c r="AD43" i="188"/>
  <c r="AB29" i="188"/>
  <c r="AA29" i="188"/>
  <c r="AB28" i="188"/>
  <c r="AA28" i="188"/>
  <c r="AB27" i="188"/>
  <c r="AA27" i="188"/>
  <c r="AB26" i="188"/>
  <c r="AA26" i="188"/>
  <c r="AB25" i="188"/>
  <c r="AA25" i="188"/>
  <c r="AB24" i="188"/>
  <c r="AA24" i="188"/>
  <c r="AB23" i="188"/>
  <c r="AA23" i="188"/>
  <c r="AB22" i="188"/>
  <c r="AA22" i="188"/>
  <c r="AB21" i="188"/>
  <c r="AA21" i="188"/>
  <c r="AB20" i="188"/>
  <c r="AA20" i="188"/>
  <c r="AA6" i="188"/>
  <c r="AB6" i="188"/>
  <c r="AA7" i="188"/>
  <c r="AB7" i="188"/>
  <c r="AA8" i="188"/>
  <c r="AB8" i="188"/>
  <c r="AA9" i="188"/>
  <c r="AB9" i="188"/>
  <c r="AA10" i="188"/>
  <c r="AB10" i="188"/>
  <c r="AA11" i="188"/>
  <c r="AB11" i="188"/>
  <c r="AA12" i="188"/>
  <c r="AB12" i="188"/>
  <c r="AA13" i="188"/>
  <c r="AB13" i="188"/>
  <c r="AA14" i="188"/>
  <c r="AB14" i="188"/>
  <c r="AB5" i="188"/>
  <c r="AA5" i="188"/>
  <c r="Q61" i="188"/>
  <c r="AD61" i="188" s="1"/>
  <c r="P61" i="188"/>
  <c r="AC61" i="188" s="1"/>
  <c r="Q60" i="188"/>
  <c r="AD60" i="188" s="1"/>
  <c r="P60" i="188"/>
  <c r="AC60" i="188" s="1"/>
  <c r="Q59" i="188"/>
  <c r="AD59" i="188" s="1"/>
  <c r="P59" i="188"/>
  <c r="AC59" i="188" s="1"/>
  <c r="Q58" i="188"/>
  <c r="AD58" i="188" s="1"/>
  <c r="P58" i="188"/>
  <c r="AC58" i="188" s="1"/>
  <c r="Q57" i="188"/>
  <c r="AD57" i="188" s="1"/>
  <c r="P57" i="188"/>
  <c r="AC57" i="188" s="1"/>
  <c r="Q56" i="188"/>
  <c r="AD56" i="188" s="1"/>
  <c r="P56" i="188"/>
  <c r="AC56" i="188" s="1"/>
  <c r="Q55" i="188"/>
  <c r="AD55" i="188" s="1"/>
  <c r="P55" i="188"/>
  <c r="AC55" i="188" s="1"/>
  <c r="Q54" i="188"/>
  <c r="AD54" i="188" s="1"/>
  <c r="P54" i="188"/>
  <c r="AC54" i="188" s="1"/>
  <c r="Q53" i="188"/>
  <c r="AD53" i="188" s="1"/>
  <c r="P53" i="188"/>
  <c r="AC53" i="188" s="1"/>
  <c r="Q52" i="188"/>
  <c r="AD52" i="188" s="1"/>
  <c r="P52" i="188"/>
  <c r="AC52" i="188" s="1"/>
  <c r="Q46" i="188"/>
  <c r="AD46" i="188" s="1"/>
  <c r="P46" i="188"/>
  <c r="AC46" i="188" s="1"/>
  <c r="Q45" i="188"/>
  <c r="AD45" i="188" s="1"/>
  <c r="P45" i="188"/>
  <c r="AC45" i="188" s="1"/>
  <c r="Q44" i="188"/>
  <c r="AD44" i="188" s="1"/>
  <c r="P44" i="188"/>
  <c r="AC44" i="188" s="1"/>
  <c r="Q43" i="188"/>
  <c r="P43" i="188"/>
  <c r="AC43" i="188" s="1"/>
  <c r="Q42" i="188"/>
  <c r="AD42" i="188" s="1"/>
  <c r="P42" i="188"/>
  <c r="Q41" i="188"/>
  <c r="P41" i="188"/>
  <c r="Q40" i="188"/>
  <c r="AD40" i="188" s="1"/>
  <c r="P40" i="188"/>
  <c r="AC40" i="188" s="1"/>
  <c r="Q39" i="188"/>
  <c r="AD39" i="188" s="1"/>
  <c r="P39" i="188"/>
  <c r="AC39" i="188" s="1"/>
  <c r="Q38" i="188"/>
  <c r="AD38" i="188" s="1"/>
  <c r="P38" i="188"/>
  <c r="AC38" i="188" s="1"/>
  <c r="Q37" i="188"/>
  <c r="AD37" i="188" s="1"/>
  <c r="P37" i="188"/>
  <c r="AC37" i="188" s="1"/>
  <c r="AR15" i="201" l="1"/>
  <c r="J115" i="201"/>
  <c r="J116" i="201"/>
  <c r="J117" i="201"/>
  <c r="J118" i="201"/>
  <c r="J119" i="201"/>
  <c r="J120" i="201"/>
  <c r="J121" i="201"/>
  <c r="J122" i="201"/>
  <c r="J123" i="201"/>
  <c r="J114" i="201"/>
  <c r="I115" i="201"/>
  <c r="I116" i="201"/>
  <c r="I117" i="201"/>
  <c r="I118" i="201"/>
  <c r="I119" i="201"/>
  <c r="I120" i="201"/>
  <c r="I121" i="201"/>
  <c r="I122" i="201"/>
  <c r="I123" i="201"/>
  <c r="I114" i="201"/>
  <c r="AV149" i="201"/>
  <c r="AV150" i="201"/>
  <c r="AV151" i="201"/>
  <c r="AV152" i="201"/>
  <c r="AV153" i="201"/>
  <c r="AV154" i="201"/>
  <c r="AV155" i="201"/>
  <c r="AV156" i="201"/>
  <c r="AV157" i="201"/>
  <c r="AV148" i="201"/>
  <c r="BT115" i="201" l="1"/>
  <c r="R41" i="207" l="1"/>
  <c r="R42" i="207" s="1"/>
  <c r="Q41" i="207"/>
  <c r="Q42" i="207" s="1"/>
  <c r="T30" i="201"/>
  <c r="CE30" i="190" l="1"/>
  <c r="CE31" i="190"/>
  <c r="CE32" i="190"/>
  <c r="CE33" i="190"/>
  <c r="CE34" i="190"/>
  <c r="CE35" i="190"/>
  <c r="CE36" i="190"/>
  <c r="CE37" i="190"/>
  <c r="BU83" i="201" l="1"/>
  <c r="G168" i="167" l="1"/>
  <c r="G191" i="167"/>
  <c r="G239" i="167"/>
  <c r="G120" i="167"/>
  <c r="G73" i="167"/>
  <c r="G50" i="167"/>
  <c r="G26" i="167"/>
  <c r="F118" i="205" l="1"/>
  <c r="W28" i="201" l="1"/>
  <c r="M19" i="28" l="1"/>
  <c r="M109" i="28"/>
  <c r="D18" i="28"/>
  <c r="E19" i="28"/>
  <c r="E16" i="28"/>
  <c r="F16" i="28"/>
  <c r="I16" i="28" s="1"/>
  <c r="G16" i="28"/>
  <c r="E17" i="28"/>
  <c r="H17" i="28" s="1"/>
  <c r="L17" i="28" s="1"/>
  <c r="F17" i="28"/>
  <c r="G17" i="28"/>
  <c r="I17" i="28" s="1"/>
  <c r="X19" i="190"/>
  <c r="W19" i="190"/>
  <c r="V19" i="190"/>
  <c r="CF17" i="190"/>
  <c r="CG17" i="190"/>
  <c r="CH17" i="190"/>
  <c r="CI17" i="190"/>
  <c r="CJ17" i="190"/>
  <c r="CK17" i="190"/>
  <c r="CL17" i="190"/>
  <c r="CO17" i="190" s="1"/>
  <c r="CF18" i="190"/>
  <c r="CG18" i="190"/>
  <c r="CH18" i="190"/>
  <c r="CI18" i="190"/>
  <c r="CJ18" i="190"/>
  <c r="CK18" i="190" s="1"/>
  <c r="CL18" i="190"/>
  <c r="CM18" i="190"/>
  <c r="CP18" i="190" s="1"/>
  <c r="CQ18" i="190" s="1"/>
  <c r="CO18" i="190"/>
  <c r="CE17" i="190"/>
  <c r="CM17" i="190" s="1"/>
  <c r="CE18" i="190"/>
  <c r="AQ18" i="190"/>
  <c r="AQ17" i="190"/>
  <c r="CN17" i="190" l="1"/>
  <c r="CP17" i="190"/>
  <c r="CQ17" i="190" s="1"/>
  <c r="CN18" i="190"/>
  <c r="H16" i="28"/>
  <c r="L16" i="28" s="1"/>
  <c r="BV83" i="201"/>
  <c r="BW83" i="201" s="1"/>
  <c r="W20" i="201"/>
  <c r="G131" i="205"/>
  <c r="O61" i="188"/>
  <c r="N61" i="188"/>
  <c r="O60" i="188"/>
  <c r="N60" i="188"/>
  <c r="O59" i="188"/>
  <c r="N59" i="188"/>
  <c r="O58" i="188"/>
  <c r="N58" i="188"/>
  <c r="O57" i="188"/>
  <c r="N57" i="188"/>
  <c r="O56" i="188"/>
  <c r="N56" i="188"/>
  <c r="O55" i="188"/>
  <c r="N55" i="188"/>
  <c r="O54" i="188"/>
  <c r="N54" i="188"/>
  <c r="O53" i="188"/>
  <c r="N53" i="188"/>
  <c r="O52" i="188"/>
  <c r="N52" i="188"/>
  <c r="O46" i="188"/>
  <c r="N46" i="188"/>
  <c r="O45" i="188"/>
  <c r="N45" i="188"/>
  <c r="O44" i="188"/>
  <c r="N44" i="188"/>
  <c r="O43" i="188"/>
  <c r="N43" i="188"/>
  <c r="O42" i="188"/>
  <c r="N42" i="188"/>
  <c r="O41" i="188"/>
  <c r="N41" i="188"/>
  <c r="O40" i="188"/>
  <c r="N40" i="188"/>
  <c r="O39" i="188"/>
  <c r="N39" i="188"/>
  <c r="O38" i="188"/>
  <c r="N38" i="188"/>
  <c r="O37" i="188"/>
  <c r="N37" i="188"/>
  <c r="AC38" i="26"/>
  <c r="AC37" i="26"/>
  <c r="AC46" i="26"/>
  <c r="AA46" i="26"/>
  <c r="Z46" i="26"/>
  <c r="AB46" i="26" s="1"/>
  <c r="AC45" i="26"/>
  <c r="AA45" i="26"/>
  <c r="Z45" i="26"/>
  <c r="AB45" i="26" s="1"/>
  <c r="AC44" i="26"/>
  <c r="AA44" i="26"/>
  <c r="Z44" i="26"/>
  <c r="AB44" i="26" s="1"/>
  <c r="AC43" i="26"/>
  <c r="AA43" i="26"/>
  <c r="Z43" i="26"/>
  <c r="AC42" i="26"/>
  <c r="AA42" i="26"/>
  <c r="Z42" i="26"/>
  <c r="AB42" i="26" s="1"/>
  <c r="AC41" i="26"/>
  <c r="AA41" i="26"/>
  <c r="Z41" i="26"/>
  <c r="AB41" i="26" s="1"/>
  <c r="AC40" i="26"/>
  <c r="AA40" i="26"/>
  <c r="Z40" i="26"/>
  <c r="AB40" i="26" s="1"/>
  <c r="AC39" i="26"/>
  <c r="AA39" i="26"/>
  <c r="Z39" i="26"/>
  <c r="AB39" i="26" s="1"/>
  <c r="AA38" i="26"/>
  <c r="Z38" i="26"/>
  <c r="AA37" i="26"/>
  <c r="Z37" i="26"/>
  <c r="AB37" i="26" s="1"/>
  <c r="AB38" i="26" l="1"/>
  <c r="AB43" i="26"/>
  <c r="AC46" i="27" l="1"/>
  <c r="AA46" i="27"/>
  <c r="Z46" i="27"/>
  <c r="AC45" i="27"/>
  <c r="AA45" i="27"/>
  <c r="Z45" i="27"/>
  <c r="AB45" i="27" s="1"/>
  <c r="AC44" i="27"/>
  <c r="AA44" i="27"/>
  <c r="Z44" i="27"/>
  <c r="AC43" i="27"/>
  <c r="AA43" i="27"/>
  <c r="Z43" i="27"/>
  <c r="AB43" i="27" s="1"/>
  <c r="AC42" i="27"/>
  <c r="AA42" i="27"/>
  <c r="Z42" i="27"/>
  <c r="AC41" i="27"/>
  <c r="AA41" i="27"/>
  <c r="Z41" i="27"/>
  <c r="AB41" i="27" s="1"/>
  <c r="AC40" i="27"/>
  <c r="AA40" i="27"/>
  <c r="Z40" i="27"/>
  <c r="AB40" i="27" s="1"/>
  <c r="AC39" i="27"/>
  <c r="AA39" i="27"/>
  <c r="Z39" i="27"/>
  <c r="AB39" i="27" s="1"/>
  <c r="AC38" i="27"/>
  <c r="AA38" i="27"/>
  <c r="Z38" i="27"/>
  <c r="AC37" i="27"/>
  <c r="AA37" i="27"/>
  <c r="Z37" i="27"/>
  <c r="AB37" i="27" s="1"/>
  <c r="AB44" i="27" l="1"/>
  <c r="AB38" i="27"/>
  <c r="AB42" i="27"/>
  <c r="AB46" i="27"/>
  <c r="J253" i="26"/>
  <c r="C381" i="167" l="1"/>
  <c r="R60" i="167" l="1"/>
  <c r="R59" i="167"/>
  <c r="R58" i="167"/>
  <c r="R57" i="167"/>
  <c r="R56" i="167"/>
  <c r="R55" i="167"/>
  <c r="R54" i="167"/>
  <c r="R53" i="167"/>
  <c r="R52" i="167"/>
  <c r="R51" i="167"/>
  <c r="O60" i="167"/>
  <c r="O59" i="167"/>
  <c r="O58" i="167"/>
  <c r="O57" i="167"/>
  <c r="O56" i="167"/>
  <c r="O55" i="167"/>
  <c r="O54" i="167"/>
  <c r="O53" i="167"/>
  <c r="O52" i="167"/>
  <c r="O51" i="167"/>
  <c r="N61" i="167"/>
  <c r="P61" i="167"/>
  <c r="M61" i="167"/>
  <c r="O61" i="167" l="1"/>
  <c r="Q61" i="167"/>
  <c r="R61" i="167"/>
  <c r="V41" i="201" l="1"/>
  <c r="T107" i="185" l="1"/>
  <c r="K29" i="28" l="1"/>
  <c r="M25" i="167" l="1"/>
  <c r="Y311" i="26" l="1"/>
  <c r="X311" i="26"/>
  <c r="Y310" i="26"/>
  <c r="X310" i="26"/>
  <c r="Y309" i="26"/>
  <c r="X309" i="26"/>
  <c r="Y308" i="26"/>
  <c r="X308" i="26"/>
  <c r="Y307" i="26"/>
  <c r="X307" i="26"/>
  <c r="Y306" i="26"/>
  <c r="X306" i="26"/>
  <c r="Y305" i="26"/>
  <c r="X305" i="26"/>
  <c r="Y304" i="26"/>
  <c r="X304" i="26"/>
  <c r="Y303" i="26"/>
  <c r="X303" i="26"/>
  <c r="Y302" i="26"/>
  <c r="X302" i="26"/>
  <c r="Y283" i="26"/>
  <c r="X283" i="26"/>
  <c r="Y282" i="26"/>
  <c r="X282" i="26"/>
  <c r="Y281" i="26"/>
  <c r="X281" i="26"/>
  <c r="Y280" i="26"/>
  <c r="X280" i="26"/>
  <c r="Y279" i="26"/>
  <c r="X279" i="26"/>
  <c r="Y278" i="26"/>
  <c r="X278" i="26"/>
  <c r="Y277" i="26"/>
  <c r="X277" i="26"/>
  <c r="Y276" i="26"/>
  <c r="X276" i="26"/>
  <c r="Y275" i="26"/>
  <c r="X275" i="26"/>
  <c r="Y274" i="26"/>
  <c r="X274" i="26"/>
  <c r="Y46" i="26"/>
  <c r="W46" i="26"/>
  <c r="V46" i="26"/>
  <c r="X46" i="26" s="1"/>
  <c r="Y45" i="26"/>
  <c r="W45" i="26"/>
  <c r="V45" i="26"/>
  <c r="X45" i="26" s="1"/>
  <c r="Y44" i="26"/>
  <c r="W44" i="26"/>
  <c r="V44" i="26"/>
  <c r="Y43" i="26"/>
  <c r="W43" i="26"/>
  <c r="V43" i="26"/>
  <c r="X43" i="26" s="1"/>
  <c r="Y42" i="26"/>
  <c r="W42" i="26"/>
  <c r="V42" i="26"/>
  <c r="X42" i="26" s="1"/>
  <c r="Y41" i="26"/>
  <c r="W41" i="26"/>
  <c r="V41" i="26"/>
  <c r="X41" i="26" s="1"/>
  <c r="Y40" i="26"/>
  <c r="W40" i="26"/>
  <c r="V40" i="26"/>
  <c r="Y39" i="26"/>
  <c r="W39" i="26"/>
  <c r="V39" i="26"/>
  <c r="X39" i="26" s="1"/>
  <c r="Y38" i="26"/>
  <c r="W38" i="26"/>
  <c r="V38" i="26"/>
  <c r="Y37" i="26"/>
  <c r="W37" i="26"/>
  <c r="V37" i="26"/>
  <c r="X37" i="26" s="1"/>
  <c r="X38" i="26" l="1"/>
  <c r="X40" i="26"/>
  <c r="X44" i="26"/>
  <c r="U107" i="190" l="1"/>
  <c r="T107" i="190"/>
  <c r="S107" i="190"/>
  <c r="U103" i="190"/>
  <c r="T103" i="190"/>
  <c r="S103" i="190"/>
  <c r="U92" i="190"/>
  <c r="T92" i="190"/>
  <c r="S92" i="190"/>
  <c r="U85" i="190"/>
  <c r="T85" i="190"/>
  <c r="S85" i="190"/>
  <c r="U75" i="190"/>
  <c r="T75" i="190"/>
  <c r="S75" i="190"/>
  <c r="U68" i="190"/>
  <c r="T68" i="190"/>
  <c r="S68" i="190"/>
  <c r="U56" i="190"/>
  <c r="T56" i="190"/>
  <c r="S56" i="190"/>
  <c r="U38" i="190"/>
  <c r="T38" i="190"/>
  <c r="S38" i="190"/>
  <c r="U29" i="190"/>
  <c r="T29" i="190"/>
  <c r="S29" i="190"/>
  <c r="U19" i="190"/>
  <c r="T19" i="190"/>
  <c r="S19" i="190"/>
  <c r="N109" i="28"/>
  <c r="Y46" i="27" l="1"/>
  <c r="W46" i="27"/>
  <c r="V46" i="27"/>
  <c r="X46" i="27" s="1"/>
  <c r="Y45" i="27"/>
  <c r="W45" i="27"/>
  <c r="V45" i="27"/>
  <c r="X45" i="27" s="1"/>
  <c r="Y44" i="27"/>
  <c r="W44" i="27"/>
  <c r="V44" i="27"/>
  <c r="Y43" i="27"/>
  <c r="W43" i="27"/>
  <c r="V43" i="27"/>
  <c r="Y42" i="27"/>
  <c r="W42" i="27"/>
  <c r="V42" i="27"/>
  <c r="Y41" i="27"/>
  <c r="W41" i="27"/>
  <c r="V41" i="27"/>
  <c r="X41" i="27" s="1"/>
  <c r="Y40" i="27"/>
  <c r="W40" i="27"/>
  <c r="V40" i="27"/>
  <c r="X40" i="27" s="1"/>
  <c r="Y39" i="27"/>
  <c r="W39" i="27"/>
  <c r="V39" i="27"/>
  <c r="X39" i="27" s="1"/>
  <c r="Y38" i="27"/>
  <c r="W38" i="27"/>
  <c r="V38" i="27"/>
  <c r="X38" i="27" s="1"/>
  <c r="Y37" i="27"/>
  <c r="W37" i="27"/>
  <c r="V37" i="27"/>
  <c r="X37" i="27" s="1"/>
  <c r="H2" i="134"/>
  <c r="E3" i="150" s="1"/>
  <c r="B2" i="134"/>
  <c r="D3" i="150" s="1"/>
  <c r="M61" i="188"/>
  <c r="L61" i="188"/>
  <c r="M60" i="188"/>
  <c r="L60" i="188"/>
  <c r="M59" i="188"/>
  <c r="L59" i="188"/>
  <c r="M58" i="188"/>
  <c r="L58" i="188"/>
  <c r="M57" i="188"/>
  <c r="L57" i="188"/>
  <c r="M56" i="188"/>
  <c r="L56" i="188"/>
  <c r="M55" i="188"/>
  <c r="L55" i="188"/>
  <c r="M54" i="188"/>
  <c r="L54" i="188"/>
  <c r="M53" i="188"/>
  <c r="L53" i="188"/>
  <c r="M52" i="188"/>
  <c r="L52" i="188"/>
  <c r="M46" i="188"/>
  <c r="L46" i="188"/>
  <c r="M45" i="188"/>
  <c r="L45" i="188"/>
  <c r="M44" i="188"/>
  <c r="L44" i="188"/>
  <c r="M43" i="188"/>
  <c r="L43" i="188"/>
  <c r="M42" i="188"/>
  <c r="L42" i="188"/>
  <c r="M41" i="188"/>
  <c r="L41" i="188"/>
  <c r="M40" i="188"/>
  <c r="L40" i="188"/>
  <c r="M39" i="188"/>
  <c r="L39" i="188"/>
  <c r="M38" i="188"/>
  <c r="L38" i="188"/>
  <c r="M37" i="188"/>
  <c r="L37" i="188"/>
  <c r="X43" i="27" l="1"/>
  <c r="X44" i="27"/>
  <c r="X42" i="27"/>
  <c r="H127" i="205" l="1"/>
  <c r="U311" i="26" l="1"/>
  <c r="T311" i="26"/>
  <c r="U310" i="26"/>
  <c r="T310" i="26"/>
  <c r="U309" i="26"/>
  <c r="T309" i="26"/>
  <c r="U308" i="26"/>
  <c r="T308" i="26"/>
  <c r="U307" i="26"/>
  <c r="T307" i="26"/>
  <c r="U306" i="26"/>
  <c r="T306" i="26"/>
  <c r="U305" i="26"/>
  <c r="T305" i="26"/>
  <c r="U304" i="26"/>
  <c r="T304" i="26"/>
  <c r="U303" i="26"/>
  <c r="T303" i="26"/>
  <c r="U302" i="26"/>
  <c r="T302" i="26"/>
  <c r="U283" i="26" l="1"/>
  <c r="T283" i="26"/>
  <c r="U282" i="26"/>
  <c r="T282" i="26"/>
  <c r="U281" i="26"/>
  <c r="T281" i="26"/>
  <c r="U280" i="26"/>
  <c r="T280" i="26"/>
  <c r="U279" i="26"/>
  <c r="T279" i="26"/>
  <c r="U278" i="26"/>
  <c r="T278" i="26"/>
  <c r="U277" i="26"/>
  <c r="T277" i="26"/>
  <c r="U276" i="26"/>
  <c r="T276" i="26"/>
  <c r="U275" i="26"/>
  <c r="T275" i="26"/>
  <c r="U274" i="26"/>
  <c r="T274" i="26"/>
  <c r="O44" i="167" l="1"/>
  <c r="P24" i="167"/>
  <c r="P25" i="167"/>
  <c r="P26" i="167"/>
  <c r="P27" i="167"/>
  <c r="P28" i="167"/>
  <c r="P29" i="167"/>
  <c r="P30" i="167"/>
  <c r="P31" i="167"/>
  <c r="P32" i="167"/>
  <c r="P33" i="167"/>
  <c r="P34" i="167"/>
  <c r="P35" i="167"/>
  <c r="P36" i="167"/>
  <c r="P37" i="167"/>
  <c r="P41" i="167"/>
  <c r="P42" i="167"/>
  <c r="P44" i="167"/>
  <c r="P45" i="167"/>
  <c r="O25" i="167"/>
  <c r="O45" i="167"/>
  <c r="O42" i="167"/>
  <c r="O41" i="167"/>
  <c r="O37" i="167"/>
  <c r="O36" i="167"/>
  <c r="O35" i="167"/>
  <c r="O34" i="167"/>
  <c r="O33" i="167"/>
  <c r="O32" i="167"/>
  <c r="O31" i="167"/>
  <c r="O30" i="167"/>
  <c r="O29" i="167"/>
  <c r="O28" i="167"/>
  <c r="O27" i="167"/>
  <c r="O26" i="167"/>
  <c r="O24" i="167"/>
  <c r="BB56" i="201"/>
  <c r="BD56" i="201"/>
  <c r="O43" i="167" l="1"/>
  <c r="O39" i="167"/>
  <c r="P38" i="167"/>
  <c r="O38" i="167"/>
  <c r="P43" i="167"/>
  <c r="P40" i="167"/>
  <c r="O40" i="167"/>
  <c r="P39" i="167"/>
  <c r="D29" i="28"/>
  <c r="E28" i="28"/>
  <c r="F28" i="28"/>
  <c r="G28" i="28"/>
  <c r="O46" i="167" l="1"/>
  <c r="H28" i="28"/>
  <c r="L28" i="28" s="1"/>
  <c r="P46" i="167"/>
  <c r="I28" i="28"/>
  <c r="M20" i="28" l="1"/>
  <c r="M21" i="28" s="1"/>
  <c r="M22" i="28" s="1"/>
  <c r="M23" i="28" s="1"/>
  <c r="M24" i="28" s="1"/>
  <c r="M25" i="28" s="1"/>
  <c r="M26" i="28" s="1"/>
  <c r="M27" i="28" s="1"/>
  <c r="T88" i="205"/>
  <c r="U88" i="205"/>
  <c r="U89" i="205"/>
  <c r="T90" i="205"/>
  <c r="U90" i="205"/>
  <c r="T92" i="205"/>
  <c r="U92" i="205"/>
  <c r="T93" i="205"/>
  <c r="U93" i="205"/>
  <c r="T94" i="205"/>
  <c r="U94" i="205"/>
  <c r="T96" i="205"/>
  <c r="U96" i="205"/>
  <c r="T87" i="205"/>
  <c r="K88" i="205"/>
  <c r="L88" i="205"/>
  <c r="M88" i="205"/>
  <c r="N88" i="205"/>
  <c r="O88" i="205"/>
  <c r="K89" i="205"/>
  <c r="L89" i="205"/>
  <c r="M89" i="205"/>
  <c r="N89" i="205"/>
  <c r="O89" i="205"/>
  <c r="K90" i="205"/>
  <c r="L90" i="205"/>
  <c r="M90" i="205"/>
  <c r="N90" i="205"/>
  <c r="O90" i="205"/>
  <c r="K91" i="205"/>
  <c r="L91" i="205"/>
  <c r="M91" i="205"/>
  <c r="N91" i="205"/>
  <c r="O91" i="205"/>
  <c r="K92" i="205"/>
  <c r="L92" i="205"/>
  <c r="M92" i="205"/>
  <c r="N92" i="205"/>
  <c r="O92" i="205"/>
  <c r="K93" i="205"/>
  <c r="L93" i="205"/>
  <c r="M93" i="205"/>
  <c r="N93" i="205"/>
  <c r="O93" i="205"/>
  <c r="K94" i="205"/>
  <c r="L94" i="205"/>
  <c r="M94" i="205"/>
  <c r="N94" i="205"/>
  <c r="O94" i="205"/>
  <c r="K95" i="205"/>
  <c r="L95" i="205"/>
  <c r="M95" i="205"/>
  <c r="N95" i="205"/>
  <c r="O95" i="205"/>
  <c r="K96" i="205"/>
  <c r="L96" i="205"/>
  <c r="M96" i="205"/>
  <c r="N96" i="205"/>
  <c r="O96" i="205"/>
  <c r="L87" i="205"/>
  <c r="M87" i="205"/>
  <c r="N87" i="205"/>
  <c r="O87" i="205"/>
  <c r="K87" i="205"/>
  <c r="M28" i="28" l="1"/>
  <c r="M30" i="28" s="1"/>
  <c r="M31" i="28" s="1"/>
  <c r="M32" i="28" s="1"/>
  <c r="M33" i="28" s="1"/>
  <c r="M34" i="28" s="1"/>
  <c r="M35" i="28" s="1"/>
  <c r="M36" i="28" s="1"/>
  <c r="M37" i="28" s="1"/>
  <c r="M39" i="28" s="1"/>
  <c r="M40" i="28" s="1"/>
  <c r="M41" i="28" s="1"/>
  <c r="M42" i="28" s="1"/>
  <c r="M43" i="28" s="1"/>
  <c r="M44" i="28" s="1"/>
  <c r="M45" i="28" s="1"/>
  <c r="M46" i="28" s="1"/>
  <c r="M47" i="28" s="1"/>
  <c r="M48" i="28" s="1"/>
  <c r="M49" i="28" s="1"/>
  <c r="M50" i="28" s="1"/>
  <c r="M51" i="28" s="1"/>
  <c r="M52" i="28" s="1"/>
  <c r="M53" i="28" s="1"/>
  <c r="M54" i="28" s="1"/>
  <c r="M55" i="28" s="1"/>
  <c r="M57" i="28" s="1"/>
  <c r="M58" i="28" s="1"/>
  <c r="M59" i="28" s="1"/>
  <c r="M60" i="28" s="1"/>
  <c r="M61" i="28" s="1"/>
  <c r="M62" i="28" s="1"/>
  <c r="M63" i="28" s="1"/>
  <c r="M64" i="28" s="1"/>
  <c r="M65" i="28" s="1"/>
  <c r="M66" i="28" s="1"/>
  <c r="M67" i="28" s="1"/>
  <c r="M69" i="28" s="1"/>
  <c r="M70" i="28" s="1"/>
  <c r="M71" i="28" s="1"/>
  <c r="M72" i="28" s="1"/>
  <c r="M73" i="28" s="1"/>
  <c r="M74" i="28" s="1"/>
  <c r="M76" i="28" s="1"/>
  <c r="M77" i="28" s="1"/>
  <c r="M78" i="28" s="1"/>
  <c r="M79" i="28" s="1"/>
  <c r="M80" i="28" s="1"/>
  <c r="M81" i="28" s="1"/>
  <c r="M82" i="28" s="1"/>
  <c r="M83" i="28" s="1"/>
  <c r="M84" i="28" s="1"/>
  <c r="M86" i="28" s="1"/>
  <c r="M87" i="28" s="1"/>
  <c r="M88" i="28" s="1"/>
  <c r="M89" i="28" s="1"/>
  <c r="M90" i="28" s="1"/>
  <c r="M91" i="28" s="1"/>
  <c r="M93" i="28" s="1"/>
  <c r="M94" i="28" s="1"/>
  <c r="M95" i="28" s="1"/>
  <c r="M96" i="28" s="1"/>
  <c r="M97" i="28" s="1"/>
  <c r="M98" i="28" s="1"/>
  <c r="M99" i="28" s="1"/>
  <c r="M100" i="28" s="1"/>
  <c r="M101" i="28" s="1"/>
  <c r="M102" i="28" s="1"/>
  <c r="M104" i="28" s="1"/>
  <c r="M105" i="28" s="1"/>
  <c r="M106" i="28" s="1"/>
  <c r="L56" i="191"/>
  <c r="L55" i="191"/>
  <c r="L54" i="191"/>
  <c r="L53" i="191"/>
  <c r="L48" i="191"/>
  <c r="L47" i="191"/>
  <c r="L46" i="191"/>
  <c r="L45" i="191"/>
  <c r="L40" i="191"/>
  <c r="L39" i="191"/>
  <c r="L38" i="191"/>
  <c r="L37" i="191"/>
  <c r="L32" i="191"/>
  <c r="L31" i="191"/>
  <c r="L30" i="191"/>
  <c r="L29" i="191"/>
  <c r="L24" i="191"/>
  <c r="L23" i="191"/>
  <c r="L22" i="191"/>
  <c r="L21" i="191"/>
  <c r="L16" i="191"/>
  <c r="L15" i="191"/>
  <c r="L14" i="191"/>
  <c r="L13" i="191"/>
  <c r="S9" i="206" l="1"/>
  <c r="U93" i="28" l="1"/>
  <c r="EB443" i="167" l="1"/>
  <c r="H9" i="155" l="1"/>
  <c r="U46" i="26" l="1"/>
  <c r="S46" i="26"/>
  <c r="R46" i="26"/>
  <c r="T46" i="26" s="1"/>
  <c r="U45" i="26"/>
  <c r="S45" i="26"/>
  <c r="R45" i="26"/>
  <c r="T45" i="26" s="1"/>
  <c r="U44" i="26"/>
  <c r="S44" i="26"/>
  <c r="R44" i="26"/>
  <c r="U43" i="26"/>
  <c r="S43" i="26"/>
  <c r="R43" i="26"/>
  <c r="T43" i="26" s="1"/>
  <c r="U42" i="26"/>
  <c r="S42" i="26"/>
  <c r="R42" i="26"/>
  <c r="T42" i="26" s="1"/>
  <c r="U41" i="26"/>
  <c r="S41" i="26"/>
  <c r="R41" i="26"/>
  <c r="T41" i="26" s="1"/>
  <c r="U40" i="26"/>
  <c r="S40" i="26"/>
  <c r="R40" i="26"/>
  <c r="T40" i="26" s="1"/>
  <c r="U39" i="26"/>
  <c r="S39" i="26"/>
  <c r="R39" i="26"/>
  <c r="T39" i="26" s="1"/>
  <c r="U38" i="26"/>
  <c r="S38" i="26"/>
  <c r="R38" i="26"/>
  <c r="T38" i="26" s="1"/>
  <c r="U37" i="26"/>
  <c r="S37" i="26"/>
  <c r="R37" i="26"/>
  <c r="T37" i="26" s="1"/>
  <c r="U46" i="27"/>
  <c r="S46" i="27"/>
  <c r="R46" i="27"/>
  <c r="U45" i="27"/>
  <c r="S45" i="27"/>
  <c r="R45" i="27"/>
  <c r="T45" i="27" s="1"/>
  <c r="U44" i="27"/>
  <c r="S44" i="27"/>
  <c r="R44" i="27"/>
  <c r="U43" i="27"/>
  <c r="S43" i="27"/>
  <c r="R43" i="27"/>
  <c r="T43" i="27" s="1"/>
  <c r="U42" i="27"/>
  <c r="S42" i="27"/>
  <c r="R42" i="27"/>
  <c r="U41" i="27"/>
  <c r="S41" i="27"/>
  <c r="R41" i="27"/>
  <c r="T41" i="27" s="1"/>
  <c r="U40" i="27"/>
  <c r="S40" i="27"/>
  <c r="R40" i="27"/>
  <c r="T40" i="27" s="1"/>
  <c r="U39" i="27"/>
  <c r="S39" i="27"/>
  <c r="R39" i="27"/>
  <c r="T39" i="27" s="1"/>
  <c r="U38" i="27"/>
  <c r="S38" i="27"/>
  <c r="R38" i="27"/>
  <c r="U37" i="27"/>
  <c r="S37" i="27"/>
  <c r="R37" i="27"/>
  <c r="T37" i="27" s="1"/>
  <c r="T42" i="27" l="1"/>
  <c r="T44" i="26"/>
  <c r="T38" i="27"/>
  <c r="T46" i="27"/>
  <c r="T44" i="27"/>
  <c r="K61" i="188"/>
  <c r="J61" i="188"/>
  <c r="K60" i="188"/>
  <c r="J60" i="188"/>
  <c r="K59" i="188"/>
  <c r="J59" i="188"/>
  <c r="K58" i="188"/>
  <c r="J58" i="188"/>
  <c r="K57" i="188"/>
  <c r="J57" i="188"/>
  <c r="K56" i="188"/>
  <c r="J56" i="188"/>
  <c r="K55" i="188"/>
  <c r="J55" i="188"/>
  <c r="K54" i="188"/>
  <c r="J54" i="188"/>
  <c r="K53" i="188"/>
  <c r="J53" i="188"/>
  <c r="K52" i="188"/>
  <c r="J52" i="188"/>
  <c r="K46" i="188"/>
  <c r="J46" i="188"/>
  <c r="K45" i="188"/>
  <c r="J45" i="188"/>
  <c r="K44" i="188"/>
  <c r="J44" i="188"/>
  <c r="K43" i="188"/>
  <c r="J43" i="188"/>
  <c r="K42" i="188"/>
  <c r="J42" i="188"/>
  <c r="K41" i="188"/>
  <c r="J41" i="188"/>
  <c r="K40" i="188"/>
  <c r="J40" i="188"/>
  <c r="K39" i="188"/>
  <c r="J39" i="188"/>
  <c r="K38" i="188"/>
  <c r="J38" i="188"/>
  <c r="K37" i="188"/>
  <c r="J37" i="188"/>
  <c r="F6" i="170" l="1"/>
  <c r="BN110" i="201" l="1"/>
  <c r="BV29" i="201" l="1"/>
  <c r="BU29" i="201"/>
  <c r="BW29" i="201" s="1"/>
  <c r="BV28" i="201"/>
  <c r="BU28" i="201"/>
  <c r="BV27" i="201"/>
  <c r="BU27" i="201"/>
  <c r="BV26" i="201"/>
  <c r="BU26" i="201"/>
  <c r="BV25" i="201"/>
  <c r="BU25" i="201"/>
  <c r="BV24" i="201"/>
  <c r="BU24" i="201"/>
  <c r="BW24" i="201" s="1"/>
  <c r="BV23" i="201"/>
  <c r="BU23" i="201"/>
  <c r="BV22" i="201"/>
  <c r="BU22" i="201"/>
  <c r="BV21" i="201"/>
  <c r="BU21" i="201"/>
  <c r="BV20" i="201"/>
  <c r="BU20" i="201"/>
  <c r="BT21" i="201"/>
  <c r="BT22" i="201"/>
  <c r="BT23" i="201"/>
  <c r="BT24" i="201"/>
  <c r="BT25" i="201"/>
  <c r="BT26" i="201"/>
  <c r="BT27" i="201"/>
  <c r="BT28" i="201"/>
  <c r="BT29" i="201"/>
  <c r="BT20" i="201"/>
  <c r="M45" i="167"/>
  <c r="M44" i="167"/>
  <c r="N44" i="167" s="1"/>
  <c r="M42" i="167"/>
  <c r="N42" i="167" s="1"/>
  <c r="M41" i="167"/>
  <c r="M37" i="167"/>
  <c r="N37" i="167" s="1"/>
  <c r="M36" i="167"/>
  <c r="N36" i="167" s="1"/>
  <c r="M35" i="167"/>
  <c r="N35" i="167" s="1"/>
  <c r="M34" i="167"/>
  <c r="N34" i="167" s="1"/>
  <c r="M33" i="167"/>
  <c r="N33" i="167" s="1"/>
  <c r="M32" i="167"/>
  <c r="N32" i="167" s="1"/>
  <c r="M31" i="167"/>
  <c r="N31" i="167" s="1"/>
  <c r="N25" i="167"/>
  <c r="M26" i="167"/>
  <c r="N26" i="167" s="1"/>
  <c r="M27" i="167"/>
  <c r="N27" i="167" s="1"/>
  <c r="M28" i="167"/>
  <c r="N28" i="167" s="1"/>
  <c r="M29" i="167"/>
  <c r="N29" i="167" s="1"/>
  <c r="M30" i="167"/>
  <c r="N30" i="167" s="1"/>
  <c r="M24" i="167"/>
  <c r="N24" i="167" s="1"/>
  <c r="BW20" i="201" l="1"/>
  <c r="AR24" i="201"/>
  <c r="BW25" i="201"/>
  <c r="BW26" i="201"/>
  <c r="BW27" i="201"/>
  <c r="BW23" i="201"/>
  <c r="AR29" i="201"/>
  <c r="BW22" i="201"/>
  <c r="BW21" i="201"/>
  <c r="BW28" i="201"/>
  <c r="BV30" i="201"/>
  <c r="M40" i="167"/>
  <c r="N40" i="167" s="1"/>
  <c r="N41" i="167"/>
  <c r="M43" i="167"/>
  <c r="N43" i="167" s="1"/>
  <c r="N45" i="167"/>
  <c r="BU30" i="201"/>
  <c r="M38" i="167"/>
  <c r="N38" i="167" s="1"/>
  <c r="M39" i="167"/>
  <c r="AR20" i="201" l="1"/>
  <c r="BW30" i="201"/>
  <c r="AR28" i="201"/>
  <c r="AR27" i="201"/>
  <c r="AR21" i="201"/>
  <c r="AR23" i="201"/>
  <c r="AR22" i="201"/>
  <c r="AR26" i="201"/>
  <c r="AR25" i="201"/>
  <c r="M46" i="167"/>
  <c r="N39" i="167"/>
  <c r="F14" i="207"/>
  <c r="N46" i="167" l="1"/>
  <c r="E338" i="182"/>
  <c r="E337" i="182"/>
  <c r="E308" i="182"/>
  <c r="E307" i="182"/>
  <c r="E278" i="182"/>
  <c r="E277" i="182"/>
  <c r="E248" i="182"/>
  <c r="E247" i="182"/>
  <c r="E218" i="182"/>
  <c r="E217" i="182"/>
  <c r="E188" i="182"/>
  <c r="E187" i="182"/>
  <c r="E158" i="182"/>
  <c r="E157" i="182"/>
  <c r="E128" i="182"/>
  <c r="E127" i="182"/>
  <c r="E98" i="182"/>
  <c r="E97" i="182"/>
  <c r="E68" i="182"/>
  <c r="E67" i="182"/>
  <c r="AC123" i="185" l="1"/>
  <c r="Q311" i="26" l="1"/>
  <c r="P311" i="26"/>
  <c r="Q310" i="26"/>
  <c r="P310" i="26"/>
  <c r="Q309" i="26"/>
  <c r="P309" i="26"/>
  <c r="Q308" i="26"/>
  <c r="P308" i="26"/>
  <c r="Q307" i="26"/>
  <c r="P307" i="26"/>
  <c r="Q306" i="26"/>
  <c r="P306" i="26"/>
  <c r="Q305" i="26"/>
  <c r="P305" i="26"/>
  <c r="Q304" i="26"/>
  <c r="P304" i="26"/>
  <c r="Q303" i="26"/>
  <c r="P303" i="26"/>
  <c r="Q302" i="26"/>
  <c r="P302" i="26"/>
  <c r="Q283" i="26"/>
  <c r="P283" i="26"/>
  <c r="Q282" i="26"/>
  <c r="P282" i="26"/>
  <c r="Q281" i="26"/>
  <c r="P281" i="26"/>
  <c r="Q280" i="26"/>
  <c r="P280" i="26"/>
  <c r="Q279" i="26"/>
  <c r="P279" i="26"/>
  <c r="Q278" i="26"/>
  <c r="P278" i="26"/>
  <c r="Q277" i="26"/>
  <c r="P277" i="26"/>
  <c r="Q276" i="26"/>
  <c r="P276" i="26"/>
  <c r="Q275" i="26"/>
  <c r="P275" i="26"/>
  <c r="Q274" i="26"/>
  <c r="P274" i="26"/>
  <c r="CS93" i="190" l="1"/>
  <c r="BX93" i="201" l="1"/>
  <c r="BY93" i="201"/>
  <c r="BU84" i="201"/>
  <c r="BV84" i="201"/>
  <c r="BU85" i="201"/>
  <c r="BV85" i="201"/>
  <c r="BU86" i="201"/>
  <c r="BV86" i="201"/>
  <c r="BU87" i="201"/>
  <c r="BV87" i="201"/>
  <c r="BU88" i="201"/>
  <c r="BV88" i="201"/>
  <c r="BU89" i="201"/>
  <c r="BV89" i="201"/>
  <c r="BU90" i="201"/>
  <c r="BV90" i="201"/>
  <c r="BU91" i="201"/>
  <c r="BV91" i="201"/>
  <c r="BU92" i="201"/>
  <c r="BV92" i="201"/>
  <c r="F93" i="201"/>
  <c r="AR91" i="201" l="1"/>
  <c r="AS91" i="201" s="1"/>
  <c r="BW91" i="201"/>
  <c r="BW86" i="201"/>
  <c r="BW89" i="201"/>
  <c r="BW88" i="201"/>
  <c r="BW87" i="201"/>
  <c r="BW84" i="201"/>
  <c r="BW92" i="201"/>
  <c r="BW90" i="201"/>
  <c r="BW85" i="201"/>
  <c r="BW93" i="201"/>
  <c r="AR83" i="201"/>
  <c r="AR92" i="201"/>
  <c r="AR86" i="201"/>
  <c r="AR88" i="201"/>
  <c r="AR84" i="201"/>
  <c r="AR89" i="201"/>
  <c r="AR87" i="201"/>
  <c r="AR85" i="201"/>
  <c r="AR90" i="201"/>
  <c r="BV93" i="201"/>
  <c r="BU93" i="201"/>
  <c r="BT92" i="201"/>
  <c r="BT91" i="201"/>
  <c r="BT90" i="201"/>
  <c r="BT89" i="201"/>
  <c r="BT88" i="201"/>
  <c r="BT87" i="201"/>
  <c r="BT86" i="201"/>
  <c r="BT85" i="201"/>
  <c r="BT84" i="201"/>
  <c r="BT83" i="201"/>
  <c r="BV59" i="201" l="1"/>
  <c r="BU59" i="201"/>
  <c r="BV58" i="201"/>
  <c r="BU58" i="201"/>
  <c r="AR58" i="201" s="1"/>
  <c r="BV57" i="201"/>
  <c r="BU57" i="201"/>
  <c r="BV56" i="201"/>
  <c r="BU56" i="201"/>
  <c r="BV55" i="201"/>
  <c r="BU55" i="201"/>
  <c r="AR55" i="201" s="1"/>
  <c r="BV54" i="201"/>
  <c r="BU54" i="201"/>
  <c r="AR54" i="201" s="1"/>
  <c r="BV53" i="201"/>
  <c r="BU53" i="201"/>
  <c r="BV52" i="201"/>
  <c r="BU52" i="201"/>
  <c r="BV51" i="201"/>
  <c r="BU51" i="201"/>
  <c r="BV50" i="201"/>
  <c r="BU50" i="201"/>
  <c r="BV44" i="201"/>
  <c r="BU44" i="201"/>
  <c r="AR44" i="201" s="1"/>
  <c r="BV43" i="201"/>
  <c r="BU43" i="201"/>
  <c r="AR43" i="201" s="1"/>
  <c r="BV42" i="201"/>
  <c r="BU42" i="201"/>
  <c r="BV41" i="201"/>
  <c r="BU41" i="201"/>
  <c r="BV40" i="201"/>
  <c r="BU40" i="201"/>
  <c r="BV39" i="201"/>
  <c r="BU39" i="201"/>
  <c r="BV38" i="201"/>
  <c r="BU38" i="201"/>
  <c r="AR38" i="201" s="1"/>
  <c r="BV37" i="201"/>
  <c r="BU37" i="201"/>
  <c r="AR37" i="201" s="1"/>
  <c r="BV36" i="201"/>
  <c r="BU36" i="201"/>
  <c r="BV35" i="201"/>
  <c r="BU35" i="201"/>
  <c r="AR35" i="201" s="1"/>
  <c r="AR59" i="201"/>
  <c r="AR42" i="201" l="1"/>
  <c r="AR53" i="201"/>
  <c r="AR52" i="201"/>
  <c r="AR50" i="201"/>
  <c r="AR57" i="201"/>
  <c r="AR51" i="201"/>
  <c r="AR39" i="201"/>
  <c r="AR36" i="201"/>
  <c r="AR41" i="201"/>
  <c r="AR40" i="201"/>
  <c r="AR56" i="201"/>
  <c r="E117" i="205"/>
  <c r="AR45" i="201" l="1"/>
  <c r="A1" i="185"/>
  <c r="BF54" i="201" l="1"/>
  <c r="BF39" i="201"/>
  <c r="BF24" i="201"/>
  <c r="U91" i="205" s="1"/>
  <c r="U92" i="201" l="1"/>
  <c r="U91" i="201"/>
  <c r="U90" i="201"/>
  <c r="U89" i="201"/>
  <c r="U88" i="201"/>
  <c r="U87" i="201"/>
  <c r="U86" i="201"/>
  <c r="U85" i="201"/>
  <c r="U84" i="201"/>
  <c r="U83" i="201"/>
  <c r="AA59" i="201"/>
  <c r="Z59" i="201"/>
  <c r="X59" i="201"/>
  <c r="W59" i="201"/>
  <c r="V59" i="201"/>
  <c r="U59" i="201"/>
  <c r="Y59" i="201" s="1"/>
  <c r="AA58" i="201"/>
  <c r="Z58" i="201"/>
  <c r="X58" i="201"/>
  <c r="W58" i="201"/>
  <c r="V58" i="201"/>
  <c r="U58" i="201"/>
  <c r="AA57" i="201"/>
  <c r="Z57" i="201"/>
  <c r="X57" i="201"/>
  <c r="W57" i="201"/>
  <c r="V57" i="201"/>
  <c r="U57" i="201"/>
  <c r="Y57" i="201" s="1"/>
  <c r="AA56" i="201"/>
  <c r="Z56" i="201"/>
  <c r="AB56" i="201" s="1"/>
  <c r="X56" i="201"/>
  <c r="W56" i="201"/>
  <c r="V56" i="201"/>
  <c r="U56" i="201"/>
  <c r="AA55" i="201"/>
  <c r="Z55" i="201"/>
  <c r="X55" i="201"/>
  <c r="W55" i="201"/>
  <c r="V55" i="201"/>
  <c r="U55" i="201"/>
  <c r="Y55" i="201" s="1"/>
  <c r="AA54" i="201"/>
  <c r="Z54" i="201"/>
  <c r="AB54" i="201" s="1"/>
  <c r="X54" i="201"/>
  <c r="W54" i="201"/>
  <c r="V54" i="201"/>
  <c r="U54" i="201"/>
  <c r="Y54" i="201" s="1"/>
  <c r="AA53" i="201"/>
  <c r="Z53" i="201"/>
  <c r="X53" i="201"/>
  <c r="W53" i="201"/>
  <c r="V53" i="201"/>
  <c r="U53" i="201"/>
  <c r="Y53" i="201" s="1"/>
  <c r="AA52" i="201"/>
  <c r="Z52" i="201"/>
  <c r="AB52" i="201" s="1"/>
  <c r="X52" i="201"/>
  <c r="W52" i="201"/>
  <c r="V52" i="201"/>
  <c r="U52" i="201"/>
  <c r="Y52" i="201" s="1"/>
  <c r="AA51" i="201"/>
  <c r="Z51" i="201"/>
  <c r="X51" i="201"/>
  <c r="W51" i="201"/>
  <c r="V51" i="201"/>
  <c r="U51" i="201"/>
  <c r="AA50" i="201"/>
  <c r="Z50" i="201"/>
  <c r="AB50" i="201" s="1"/>
  <c r="X50" i="201"/>
  <c r="W50" i="201"/>
  <c r="V50" i="201"/>
  <c r="U50" i="201"/>
  <c r="Y50" i="201" s="1"/>
  <c r="AA44" i="201"/>
  <c r="Z44" i="201"/>
  <c r="X44" i="201"/>
  <c r="W44" i="201"/>
  <c r="V44" i="201"/>
  <c r="U44" i="201"/>
  <c r="AA43" i="201"/>
  <c r="Z43" i="201"/>
  <c r="AB43" i="201" s="1"/>
  <c r="X43" i="201"/>
  <c r="W43" i="201"/>
  <c r="V43" i="201"/>
  <c r="U43" i="201"/>
  <c r="AA42" i="201"/>
  <c r="Z42" i="201"/>
  <c r="X42" i="201"/>
  <c r="W42" i="201"/>
  <c r="V42" i="201"/>
  <c r="U42" i="201"/>
  <c r="Y42" i="201" s="1"/>
  <c r="AA41" i="201"/>
  <c r="Z41" i="201"/>
  <c r="X41" i="201"/>
  <c r="W41" i="201"/>
  <c r="U41" i="201"/>
  <c r="Y41" i="201" s="1"/>
  <c r="AA40" i="201"/>
  <c r="Z40" i="201"/>
  <c r="X40" i="201"/>
  <c r="W40" i="201"/>
  <c r="V40" i="201"/>
  <c r="U40" i="201"/>
  <c r="AA39" i="201"/>
  <c r="Z39" i="201"/>
  <c r="X39" i="201"/>
  <c r="W39" i="201"/>
  <c r="V39" i="201"/>
  <c r="U39" i="201"/>
  <c r="AA38" i="201"/>
  <c r="Z38" i="201"/>
  <c r="X38" i="201"/>
  <c r="W38" i="201"/>
  <c r="V38" i="201"/>
  <c r="U38" i="201"/>
  <c r="AA37" i="201"/>
  <c r="Z37" i="201"/>
  <c r="X37" i="201"/>
  <c r="W37" i="201"/>
  <c r="V37" i="201"/>
  <c r="U37" i="201"/>
  <c r="Y37" i="201" s="1"/>
  <c r="AA36" i="201"/>
  <c r="Z36" i="201"/>
  <c r="X36" i="201"/>
  <c r="W36" i="201"/>
  <c r="V36" i="201"/>
  <c r="U36" i="201"/>
  <c r="AA35" i="201"/>
  <c r="Z35" i="201"/>
  <c r="X35" i="201"/>
  <c r="W35" i="201"/>
  <c r="V35" i="201"/>
  <c r="U35" i="201"/>
  <c r="U21" i="201"/>
  <c r="V21" i="201"/>
  <c r="W21" i="201"/>
  <c r="Z21" i="201"/>
  <c r="AA21" i="201"/>
  <c r="AB21" i="201" s="1"/>
  <c r="U22" i="201"/>
  <c r="V22" i="201"/>
  <c r="Z22" i="201"/>
  <c r="AA22" i="201"/>
  <c r="U23" i="201"/>
  <c r="V23" i="201"/>
  <c r="W23" i="201"/>
  <c r="Z23" i="201"/>
  <c r="AA23" i="201"/>
  <c r="U24" i="201"/>
  <c r="V24" i="201"/>
  <c r="Z24" i="201"/>
  <c r="U25" i="201"/>
  <c r="V25" i="201"/>
  <c r="W25" i="201"/>
  <c r="Z25" i="201"/>
  <c r="AA25" i="201"/>
  <c r="U26" i="201"/>
  <c r="V26" i="201"/>
  <c r="W26" i="201"/>
  <c r="Z26" i="201"/>
  <c r="AA26" i="201"/>
  <c r="U27" i="201"/>
  <c r="V27" i="201"/>
  <c r="W27" i="201"/>
  <c r="Z27" i="201"/>
  <c r="AA27" i="201"/>
  <c r="U28" i="201"/>
  <c r="V28" i="201"/>
  <c r="Z28" i="201"/>
  <c r="AA28" i="201"/>
  <c r="U29" i="201"/>
  <c r="V29" i="201"/>
  <c r="W29" i="201"/>
  <c r="Z29" i="201"/>
  <c r="AA29" i="201"/>
  <c r="Z20" i="201"/>
  <c r="V20" i="201"/>
  <c r="U20" i="201"/>
  <c r="BG92" i="201"/>
  <c r="BG91" i="201"/>
  <c r="BG90" i="201"/>
  <c r="BG89" i="201"/>
  <c r="BG88" i="201"/>
  <c r="BG87" i="201"/>
  <c r="BG86" i="201"/>
  <c r="BG85" i="201"/>
  <c r="BG84" i="201"/>
  <c r="BG83" i="201"/>
  <c r="BJ58" i="201"/>
  <c r="BJ57" i="201"/>
  <c r="BJ55" i="201"/>
  <c r="BJ54" i="201"/>
  <c r="BJ53" i="201"/>
  <c r="BJ52" i="201"/>
  <c r="BJ44" i="201"/>
  <c r="BJ43" i="201"/>
  <c r="BJ42" i="201"/>
  <c r="BJ40" i="201"/>
  <c r="BJ39" i="201"/>
  <c r="BJ38" i="201"/>
  <c r="BJ37" i="201"/>
  <c r="AB51" i="201" l="1"/>
  <c r="AB53" i="201"/>
  <c r="AB57" i="201"/>
  <c r="AB59" i="201"/>
  <c r="Y51" i="201"/>
  <c r="Y38" i="201"/>
  <c r="Y56" i="201"/>
  <c r="AB22" i="201"/>
  <c r="Y58" i="201"/>
  <c r="AB24" i="201"/>
  <c r="AB39" i="201"/>
  <c r="AB25" i="201"/>
  <c r="AB29" i="201"/>
  <c r="AB37" i="201"/>
  <c r="AB55" i="201"/>
  <c r="AB38" i="201"/>
  <c r="AB42" i="201"/>
  <c r="Y35" i="201"/>
  <c r="Y39" i="201"/>
  <c r="AB35" i="201"/>
  <c r="AB28" i="201"/>
  <c r="Y43" i="201"/>
  <c r="AB41" i="201"/>
  <c r="AB23" i="201"/>
  <c r="AB58" i="201"/>
  <c r="Y36" i="201"/>
  <c r="Y40" i="201"/>
  <c r="Y44" i="201"/>
  <c r="AB36" i="201"/>
  <c r="AB40" i="201"/>
  <c r="AB44" i="201"/>
  <c r="AB26" i="201"/>
  <c r="AB27" i="201"/>
  <c r="N17" i="191"/>
  <c r="E390" i="167" l="1"/>
  <c r="D390" i="167"/>
  <c r="C390" i="167"/>
  <c r="B390" i="167"/>
  <c r="E389" i="167"/>
  <c r="D389" i="167"/>
  <c r="C389" i="167"/>
  <c r="B389" i="167"/>
  <c r="E388" i="167"/>
  <c r="D388" i="167"/>
  <c r="C388" i="167"/>
  <c r="B388" i="167"/>
  <c r="E387" i="167"/>
  <c r="D387" i="167"/>
  <c r="C387" i="167"/>
  <c r="B387" i="167"/>
  <c r="E386" i="167"/>
  <c r="D386" i="167"/>
  <c r="C386" i="167"/>
  <c r="B386" i="167"/>
  <c r="E385" i="167"/>
  <c r="D385" i="167"/>
  <c r="C385" i="167"/>
  <c r="B385" i="167"/>
  <c r="E384" i="167"/>
  <c r="D384" i="167"/>
  <c r="C384" i="167"/>
  <c r="B384" i="167"/>
  <c r="E383" i="167"/>
  <c r="D383" i="167"/>
  <c r="C383" i="167"/>
  <c r="B383" i="167"/>
  <c r="E382" i="167"/>
  <c r="D382" i="167"/>
  <c r="C382" i="167"/>
  <c r="B382" i="167"/>
  <c r="E381" i="167"/>
  <c r="D381" i="167"/>
  <c r="B381" i="167"/>
  <c r="E328" i="167"/>
  <c r="D328" i="167"/>
  <c r="C328" i="167"/>
  <c r="B328" i="167"/>
  <c r="E327" i="167"/>
  <c r="D327" i="167"/>
  <c r="C327" i="167"/>
  <c r="B327" i="167"/>
  <c r="E326" i="167"/>
  <c r="D326" i="167"/>
  <c r="C326" i="167"/>
  <c r="B326" i="167"/>
  <c r="E325" i="167"/>
  <c r="D325" i="167"/>
  <c r="C325" i="167"/>
  <c r="B325" i="167"/>
  <c r="E324" i="167"/>
  <c r="D324" i="167"/>
  <c r="C324" i="167"/>
  <c r="B324" i="167"/>
  <c r="E323" i="167"/>
  <c r="D323" i="167"/>
  <c r="C323" i="167"/>
  <c r="B323" i="167"/>
  <c r="E322" i="167"/>
  <c r="D322" i="167"/>
  <c r="C322" i="167"/>
  <c r="B322" i="167"/>
  <c r="E321" i="167"/>
  <c r="D321" i="167"/>
  <c r="C321" i="167"/>
  <c r="B321" i="167"/>
  <c r="E320" i="167"/>
  <c r="D320" i="167"/>
  <c r="C320" i="167"/>
  <c r="B320" i="167"/>
  <c r="E319" i="167"/>
  <c r="D319" i="167"/>
  <c r="C319" i="167"/>
  <c r="B319" i="167"/>
  <c r="E318" i="167"/>
  <c r="D318" i="167"/>
  <c r="C318" i="167"/>
  <c r="B318" i="167"/>
  <c r="E317" i="167"/>
  <c r="D317" i="167"/>
  <c r="C317" i="167"/>
  <c r="B317" i="167"/>
  <c r="E316" i="167"/>
  <c r="D316" i="167"/>
  <c r="C316" i="167"/>
  <c r="B316" i="167"/>
  <c r="E315" i="167"/>
  <c r="D315" i="167"/>
  <c r="C315" i="167"/>
  <c r="B315" i="167"/>
  <c r="E314" i="167"/>
  <c r="D314" i="167"/>
  <c r="C314" i="167"/>
  <c r="B314" i="167"/>
  <c r="E313" i="167"/>
  <c r="D313" i="167"/>
  <c r="C313" i="167"/>
  <c r="B313" i="167"/>
  <c r="E312" i="167"/>
  <c r="D312" i="167"/>
  <c r="C312" i="167"/>
  <c r="B312" i="167"/>
  <c r="E329" i="167" l="1"/>
  <c r="G97" i="167" s="1"/>
  <c r="B391" i="167"/>
  <c r="D391" i="167"/>
  <c r="E391" i="167"/>
  <c r="G214" i="167" s="1"/>
  <c r="C391" i="167"/>
  <c r="B329" i="167"/>
  <c r="C329" i="167"/>
  <c r="D329" i="167"/>
  <c r="L233" i="167"/>
  <c r="L230" i="167"/>
  <c r="L232" i="167" s="1"/>
  <c r="L234" i="167" s="1"/>
  <c r="O163" i="185"/>
  <c r="O164" i="185" s="1"/>
  <c r="P165" i="185" s="1"/>
  <c r="O162" i="185"/>
  <c r="U146" i="185" l="1"/>
  <c r="T146" i="185"/>
  <c r="R147" i="185"/>
  <c r="S147" i="185"/>
  <c r="R148" i="185"/>
  <c r="S148" i="185"/>
  <c r="R149" i="185"/>
  <c r="S149" i="185"/>
  <c r="R150" i="185"/>
  <c r="S150" i="185"/>
  <c r="R151" i="185"/>
  <c r="S151" i="185"/>
  <c r="R152" i="185"/>
  <c r="S152" i="185"/>
  <c r="R153" i="185"/>
  <c r="S153" i="185"/>
  <c r="R154" i="185"/>
  <c r="S154" i="185"/>
  <c r="R155" i="185"/>
  <c r="S155" i="185"/>
  <c r="S146" i="185"/>
  <c r="R146" i="185"/>
  <c r="L274" i="26" l="1"/>
  <c r="M283" i="26"/>
  <c r="L283" i="26"/>
  <c r="M282" i="26"/>
  <c r="L282" i="26"/>
  <c r="M281" i="26"/>
  <c r="L281" i="26"/>
  <c r="M280" i="26"/>
  <c r="L280" i="26"/>
  <c r="M279" i="26"/>
  <c r="L279" i="26"/>
  <c r="M278" i="26"/>
  <c r="L278" i="26"/>
  <c r="M277" i="26"/>
  <c r="L277" i="26"/>
  <c r="M276" i="26"/>
  <c r="L276" i="26"/>
  <c r="M275" i="26"/>
  <c r="L275" i="26"/>
  <c r="M274" i="26"/>
  <c r="Z88" i="191" l="1"/>
  <c r="Z87" i="191"/>
  <c r="Z86" i="191"/>
  <c r="Z85" i="191"/>
  <c r="Z80" i="191"/>
  <c r="Z79" i="191"/>
  <c r="Z78" i="191"/>
  <c r="Z77" i="191"/>
  <c r="Z72" i="191"/>
  <c r="Z71" i="191"/>
  <c r="Z70" i="191"/>
  <c r="Z69" i="191"/>
  <c r="Z64" i="191"/>
  <c r="Z63" i="191"/>
  <c r="Z62" i="191"/>
  <c r="Z61" i="191"/>
  <c r="Z56" i="191"/>
  <c r="Z55" i="191"/>
  <c r="Z54" i="191"/>
  <c r="Z53" i="191"/>
  <c r="Z48" i="191"/>
  <c r="Z47" i="191"/>
  <c r="Z46" i="191"/>
  <c r="Z45" i="191"/>
  <c r="Z40" i="191"/>
  <c r="Z39" i="191"/>
  <c r="Z38" i="191"/>
  <c r="Z37" i="191"/>
  <c r="Z32" i="191"/>
  <c r="Z31" i="191"/>
  <c r="Z30" i="191"/>
  <c r="Z29" i="191"/>
  <c r="Z24" i="191" l="1"/>
  <c r="Z23" i="191"/>
  <c r="Z22" i="191"/>
  <c r="Z21" i="191"/>
  <c r="Z16" i="191"/>
  <c r="Z15" i="191"/>
  <c r="Z14" i="191"/>
  <c r="Z13" i="191"/>
  <c r="Z46" i="9" l="1"/>
  <c r="Y46" i="9"/>
  <c r="X46" i="134"/>
  <c r="T133" i="6" l="1"/>
  <c r="T44" i="6"/>
  <c r="Q46" i="26" l="1"/>
  <c r="O46" i="26"/>
  <c r="N46" i="26"/>
  <c r="P46" i="26" s="1"/>
  <c r="Q45" i="26"/>
  <c r="O45" i="26"/>
  <c r="N45" i="26"/>
  <c r="Q44" i="26"/>
  <c r="O44" i="26"/>
  <c r="N44" i="26"/>
  <c r="P44" i="26" s="1"/>
  <c r="Q43" i="26"/>
  <c r="O43" i="26"/>
  <c r="N43" i="26"/>
  <c r="P43" i="26" s="1"/>
  <c r="Q42" i="26"/>
  <c r="O42" i="26"/>
  <c r="N42" i="26"/>
  <c r="P42" i="26" s="1"/>
  <c r="Q41" i="26"/>
  <c r="O41" i="26"/>
  <c r="N41" i="26"/>
  <c r="P41" i="26" s="1"/>
  <c r="Q40" i="26"/>
  <c r="O40" i="26"/>
  <c r="N40" i="26"/>
  <c r="P40" i="26" s="1"/>
  <c r="Q39" i="26"/>
  <c r="O39" i="26"/>
  <c r="N39" i="26"/>
  <c r="P39" i="26" s="1"/>
  <c r="Q38" i="26"/>
  <c r="O38" i="26"/>
  <c r="N38" i="26"/>
  <c r="P38" i="26" s="1"/>
  <c r="Q37" i="26"/>
  <c r="O37" i="26"/>
  <c r="N37" i="26"/>
  <c r="P37" i="26" l="1"/>
  <c r="P45" i="26"/>
  <c r="Q46" i="27" l="1"/>
  <c r="O46" i="27"/>
  <c r="N46" i="27"/>
  <c r="P46" i="27" s="1"/>
  <c r="Q45" i="27"/>
  <c r="O45" i="27"/>
  <c r="N45" i="27"/>
  <c r="P45" i="27" s="1"/>
  <c r="Q44" i="27"/>
  <c r="O44" i="27"/>
  <c r="N44" i="27"/>
  <c r="P44" i="27" s="1"/>
  <c r="Q43" i="27"/>
  <c r="O43" i="27"/>
  <c r="N43" i="27"/>
  <c r="P43" i="27" s="1"/>
  <c r="Q42" i="27"/>
  <c r="O42" i="27"/>
  <c r="N42" i="27"/>
  <c r="P42" i="27" s="1"/>
  <c r="Q41" i="27"/>
  <c r="O41" i="27"/>
  <c r="N41" i="27"/>
  <c r="P41" i="27" s="1"/>
  <c r="Q40" i="27"/>
  <c r="O40" i="27"/>
  <c r="N40" i="27"/>
  <c r="P40" i="27" s="1"/>
  <c r="Q39" i="27"/>
  <c r="O39" i="27"/>
  <c r="N39" i="27"/>
  <c r="P39" i="27" s="1"/>
  <c r="Q38" i="27"/>
  <c r="O38" i="27"/>
  <c r="N38" i="27"/>
  <c r="P38" i="27" s="1"/>
  <c r="Q37" i="27"/>
  <c r="O37" i="27"/>
  <c r="N37" i="27"/>
  <c r="P37" i="27" s="1"/>
  <c r="M68" i="190"/>
  <c r="M56" i="190"/>
  <c r="O107" i="190"/>
  <c r="N107" i="190"/>
  <c r="M107" i="190"/>
  <c r="O103" i="190"/>
  <c r="N103" i="190"/>
  <c r="M103" i="190"/>
  <c r="O92" i="190"/>
  <c r="N92" i="190"/>
  <c r="M92" i="190"/>
  <c r="O85" i="190"/>
  <c r="N85" i="190"/>
  <c r="M85" i="190"/>
  <c r="O75" i="190"/>
  <c r="N75" i="190"/>
  <c r="M75" i="190"/>
  <c r="O68" i="190"/>
  <c r="N68" i="190"/>
  <c r="O56" i="190"/>
  <c r="N56" i="190"/>
  <c r="O38" i="190"/>
  <c r="N38" i="190"/>
  <c r="M38" i="190"/>
  <c r="O29" i="190"/>
  <c r="N29" i="190"/>
  <c r="M29" i="190"/>
  <c r="O19" i="190"/>
  <c r="N19" i="190"/>
  <c r="M19" i="190"/>
  <c r="I61" i="188" l="1"/>
  <c r="H61" i="188"/>
  <c r="I60" i="188"/>
  <c r="H60" i="188"/>
  <c r="I59" i="188"/>
  <c r="H59" i="188"/>
  <c r="I58" i="188"/>
  <c r="H58" i="188"/>
  <c r="I57" i="188"/>
  <c r="H57" i="188"/>
  <c r="I56" i="188"/>
  <c r="H56" i="188"/>
  <c r="I55" i="188"/>
  <c r="H55" i="188"/>
  <c r="I54" i="188"/>
  <c r="H54" i="188"/>
  <c r="I53" i="188"/>
  <c r="H53" i="188"/>
  <c r="I52" i="188"/>
  <c r="H52" i="188"/>
  <c r="I46" i="188"/>
  <c r="H46" i="188"/>
  <c r="I45" i="188"/>
  <c r="H45" i="188"/>
  <c r="I44" i="188"/>
  <c r="H44" i="188"/>
  <c r="I43" i="188"/>
  <c r="H43" i="188"/>
  <c r="I42" i="188"/>
  <c r="H42" i="188"/>
  <c r="I41" i="188"/>
  <c r="H41" i="188"/>
  <c r="I40" i="188"/>
  <c r="H40" i="188"/>
  <c r="I39" i="188"/>
  <c r="H39" i="188"/>
  <c r="I38" i="188"/>
  <c r="H38" i="188"/>
  <c r="I37" i="188"/>
  <c r="H37" i="188"/>
  <c r="S349" i="182" l="1"/>
  <c r="S350" i="182"/>
  <c r="S351" i="182"/>
  <c r="S352" i="182"/>
  <c r="S353" i="182"/>
  <c r="S354" i="182"/>
  <c r="S355" i="182"/>
  <c r="S356" i="182"/>
  <c r="S357" i="182"/>
  <c r="S358" i="182"/>
  <c r="S348" i="182"/>
  <c r="Q358" i="182"/>
  <c r="P358" i="182"/>
  <c r="R143" i="185" l="1"/>
  <c r="F117" i="205" l="1"/>
  <c r="F150" i="205" s="1"/>
  <c r="F119" i="205"/>
  <c r="F120" i="205"/>
  <c r="F121" i="205"/>
  <c r="F122" i="205"/>
  <c r="F123" i="205"/>
  <c r="F124" i="205"/>
  <c r="F125" i="205"/>
  <c r="F126" i="205"/>
  <c r="E159" i="205" l="1"/>
  <c r="E158" i="205"/>
  <c r="F157" i="205"/>
  <c r="E157" i="205"/>
  <c r="F156" i="205"/>
  <c r="E156" i="205"/>
  <c r="E155" i="205"/>
  <c r="E154" i="205"/>
  <c r="F153" i="205"/>
  <c r="E153" i="205"/>
  <c r="F152" i="205"/>
  <c r="E152" i="205"/>
  <c r="E151" i="205"/>
  <c r="E150" i="205"/>
  <c r="I127" i="205"/>
  <c r="D127" i="205"/>
  <c r="F159" i="205"/>
  <c r="E126" i="205"/>
  <c r="E125" i="205"/>
  <c r="E124" i="205"/>
  <c r="E123" i="205"/>
  <c r="F155" i="205"/>
  <c r="E122" i="205"/>
  <c r="F154" i="205"/>
  <c r="E121" i="205"/>
  <c r="E120" i="205"/>
  <c r="E119" i="205"/>
  <c r="F151" i="205"/>
  <c r="E118" i="205"/>
  <c r="G100" i="205"/>
  <c r="F100" i="205"/>
  <c r="E100" i="205"/>
  <c r="D100" i="205"/>
  <c r="C100" i="205"/>
  <c r="P95" i="205"/>
  <c r="E95" i="205" s="1"/>
  <c r="E141" i="205" s="1"/>
  <c r="P92" i="205"/>
  <c r="P90" i="205"/>
  <c r="E90" i="205" s="1"/>
  <c r="E136" i="205" s="1"/>
  <c r="F63" i="205"/>
  <c r="E63" i="205"/>
  <c r="F62" i="205"/>
  <c r="E62" i="205"/>
  <c r="F61" i="205"/>
  <c r="E61" i="205"/>
  <c r="F60" i="205"/>
  <c r="E60" i="205"/>
  <c r="F59" i="205"/>
  <c r="E59" i="205"/>
  <c r="F58" i="205"/>
  <c r="E58" i="205"/>
  <c r="F57" i="205"/>
  <c r="E57" i="205"/>
  <c r="F56" i="205"/>
  <c r="E56" i="205"/>
  <c r="F55" i="205"/>
  <c r="E55" i="205"/>
  <c r="F54" i="205"/>
  <c r="E54" i="205"/>
  <c r="F48" i="205"/>
  <c r="E48" i="205"/>
  <c r="F32" i="205"/>
  <c r="E32" i="205"/>
  <c r="F16" i="205"/>
  <c r="E16" i="205"/>
  <c r="K97" i="205" l="1"/>
  <c r="L97" i="205"/>
  <c r="P96" i="205"/>
  <c r="E80" i="205" s="1"/>
  <c r="E64" i="205"/>
  <c r="F64" i="205"/>
  <c r="O97" i="205"/>
  <c r="P89" i="205"/>
  <c r="E73" i="205" s="1"/>
  <c r="P88" i="205"/>
  <c r="E72" i="205" s="1"/>
  <c r="P93" i="205"/>
  <c r="E93" i="205" s="1"/>
  <c r="E139" i="205" s="1"/>
  <c r="E74" i="205"/>
  <c r="M97" i="205"/>
  <c r="E160" i="205"/>
  <c r="E79" i="205"/>
  <c r="N97" i="205"/>
  <c r="E127" i="205"/>
  <c r="E92" i="205"/>
  <c r="E138" i="205" s="1"/>
  <c r="E76" i="205"/>
  <c r="F127" i="205"/>
  <c r="F158" i="205"/>
  <c r="P87" i="205"/>
  <c r="P91" i="205"/>
  <c r="P94" i="205"/>
  <c r="E87" i="205" l="1"/>
  <c r="E133" i="205" s="1"/>
  <c r="E71" i="205"/>
  <c r="P97" i="205"/>
  <c r="E96" i="205"/>
  <c r="E142" i="205" s="1"/>
  <c r="E89" i="205"/>
  <c r="E135" i="205" s="1"/>
  <c r="E88" i="205"/>
  <c r="E134" i="205" s="1"/>
  <c r="E77" i="205"/>
  <c r="F160" i="205"/>
  <c r="E78" i="205"/>
  <c r="E94" i="205"/>
  <c r="E140" i="205" s="1"/>
  <c r="E75" i="205"/>
  <c r="E91" i="205"/>
  <c r="E137" i="205" s="1"/>
  <c r="C127" i="205"/>
  <c r="E143" i="205" l="1"/>
  <c r="E97" i="205"/>
  <c r="E81" i="205"/>
  <c r="K492" i="182" l="1"/>
  <c r="AV89" i="201" l="1"/>
  <c r="AV86" i="201" l="1"/>
  <c r="AV92" i="201" l="1"/>
  <c r="AU54" i="201" l="1"/>
  <c r="BM54" i="201" s="1"/>
  <c r="AV84" i="201" l="1"/>
  <c r="AV85" i="201"/>
  <c r="AV90" i="201"/>
  <c r="AV91" i="201"/>
  <c r="AV83" i="201" l="1"/>
  <c r="N30" i="35" l="1"/>
  <c r="N29" i="35"/>
  <c r="E213" i="182"/>
  <c r="E183" i="182"/>
  <c r="AX54" i="201" l="1"/>
  <c r="AX39" i="201"/>
  <c r="AX25" i="201"/>
  <c r="AX24" i="201"/>
  <c r="BA255" i="26" l="1"/>
  <c r="AZ255" i="26" s="1"/>
  <c r="EV9" i="167" l="1"/>
  <c r="AS83" i="201" l="1"/>
  <c r="L88" i="191" l="1"/>
  <c r="L87" i="191"/>
  <c r="L86" i="191"/>
  <c r="L85" i="191"/>
  <c r="L80" i="191"/>
  <c r="L79" i="191"/>
  <c r="L78" i="191"/>
  <c r="L77" i="191"/>
  <c r="M85" i="26" l="1"/>
  <c r="M86" i="26"/>
  <c r="M87" i="26"/>
  <c r="M88" i="26"/>
  <c r="M89" i="26"/>
  <c r="M90" i="26"/>
  <c r="M91" i="26"/>
  <c r="M92" i="26"/>
  <c r="M93" i="26"/>
  <c r="J85" i="26"/>
  <c r="J86" i="26"/>
  <c r="J87" i="26"/>
  <c r="J88" i="26"/>
  <c r="J89" i="26"/>
  <c r="J90" i="26"/>
  <c r="J91" i="26"/>
  <c r="J92" i="26"/>
  <c r="J93" i="26"/>
  <c r="K85" i="26"/>
  <c r="K86" i="26"/>
  <c r="K87" i="26"/>
  <c r="K88" i="26"/>
  <c r="K89" i="26"/>
  <c r="K90" i="26"/>
  <c r="K91" i="26"/>
  <c r="K92" i="26"/>
  <c r="K93" i="26"/>
  <c r="K85" i="27"/>
  <c r="K86" i="27"/>
  <c r="M85" i="27"/>
  <c r="M86" i="27"/>
  <c r="J85" i="27"/>
  <c r="J86" i="27"/>
  <c r="L86" i="27" s="1"/>
  <c r="E12" i="157"/>
  <c r="G12" i="157"/>
  <c r="K12" i="157"/>
  <c r="M12" i="157"/>
  <c r="R12" i="157"/>
  <c r="T12" i="157"/>
  <c r="X12" i="157"/>
  <c r="Z12" i="157"/>
  <c r="L85" i="27" l="1"/>
  <c r="L27" i="155"/>
  <c r="C27" i="155" s="1"/>
  <c r="I27" i="155" l="1"/>
  <c r="G27" i="155"/>
  <c r="E27" i="155"/>
  <c r="K27" i="155"/>
  <c r="L58" i="155" l="1"/>
  <c r="C58" i="155" s="1"/>
  <c r="L26" i="155"/>
  <c r="I26" i="155" l="1"/>
  <c r="O26" i="155"/>
  <c r="E58" i="155"/>
  <c r="I58" i="155"/>
  <c r="G58" i="155"/>
  <c r="K58" i="155"/>
  <c r="C26" i="155"/>
  <c r="E26" i="155"/>
  <c r="K26" i="155"/>
  <c r="G26" i="155"/>
  <c r="M311" i="26" l="1"/>
  <c r="L311" i="26"/>
  <c r="M310" i="26"/>
  <c r="L310" i="26"/>
  <c r="M309" i="26"/>
  <c r="L309" i="26"/>
  <c r="M308" i="26"/>
  <c r="L308" i="26"/>
  <c r="M307" i="26"/>
  <c r="L307" i="26"/>
  <c r="M306" i="26"/>
  <c r="L306" i="26"/>
  <c r="M305" i="26"/>
  <c r="L305" i="26"/>
  <c r="M304" i="26"/>
  <c r="L304" i="26"/>
  <c r="M303" i="26"/>
  <c r="L303" i="26"/>
  <c r="M302" i="26"/>
  <c r="L302" i="26"/>
  <c r="I311" i="26"/>
  <c r="H311" i="26"/>
  <c r="I310" i="26"/>
  <c r="H310" i="26"/>
  <c r="I309" i="26"/>
  <c r="H309" i="26"/>
  <c r="I308" i="26"/>
  <c r="H308" i="26"/>
  <c r="I307" i="26"/>
  <c r="H307" i="26"/>
  <c r="I306" i="26"/>
  <c r="H306" i="26"/>
  <c r="I305" i="26"/>
  <c r="H305" i="26"/>
  <c r="I304" i="26"/>
  <c r="H304" i="26"/>
  <c r="I303" i="26"/>
  <c r="H303" i="26"/>
  <c r="I302" i="26"/>
  <c r="H302" i="26"/>
  <c r="M46" i="26"/>
  <c r="K46" i="26"/>
  <c r="J46" i="26"/>
  <c r="L46" i="26" s="1"/>
  <c r="M45" i="26"/>
  <c r="K45" i="26"/>
  <c r="J45" i="26"/>
  <c r="L45" i="26" s="1"/>
  <c r="M44" i="26"/>
  <c r="K44" i="26"/>
  <c r="J44" i="26"/>
  <c r="M43" i="26"/>
  <c r="K43" i="26"/>
  <c r="J43" i="26"/>
  <c r="M42" i="26"/>
  <c r="K42" i="26"/>
  <c r="J42" i="26"/>
  <c r="L42" i="26" s="1"/>
  <c r="M41" i="26"/>
  <c r="K41" i="26"/>
  <c r="J41" i="26"/>
  <c r="L41" i="26" s="1"/>
  <c r="M40" i="26"/>
  <c r="K40" i="26"/>
  <c r="J40" i="26"/>
  <c r="M39" i="26"/>
  <c r="K39" i="26"/>
  <c r="J39" i="26"/>
  <c r="M38" i="26"/>
  <c r="K38" i="26"/>
  <c r="J38" i="26"/>
  <c r="L38" i="26" s="1"/>
  <c r="M37" i="26"/>
  <c r="K37" i="26"/>
  <c r="J37" i="26"/>
  <c r="L37" i="26" s="1"/>
  <c r="M46" i="27"/>
  <c r="K46" i="27"/>
  <c r="J46" i="27"/>
  <c r="M45" i="27"/>
  <c r="K45" i="27"/>
  <c r="J45" i="27"/>
  <c r="L45" i="27" s="1"/>
  <c r="M44" i="27"/>
  <c r="K44" i="27"/>
  <c r="J44" i="27"/>
  <c r="M43" i="27"/>
  <c r="K43" i="27"/>
  <c r="J43" i="27"/>
  <c r="L43" i="27" s="1"/>
  <c r="M42" i="27"/>
  <c r="K42" i="27"/>
  <c r="J42" i="27"/>
  <c r="M41" i="27"/>
  <c r="K41" i="27"/>
  <c r="J41" i="27"/>
  <c r="M40" i="27"/>
  <c r="K40" i="27"/>
  <c r="J40" i="27"/>
  <c r="M39" i="27"/>
  <c r="K39" i="27"/>
  <c r="J39" i="27"/>
  <c r="L39" i="27" s="1"/>
  <c r="M38" i="27"/>
  <c r="K38" i="27"/>
  <c r="J38" i="27"/>
  <c r="M37" i="27"/>
  <c r="K37" i="27"/>
  <c r="J37" i="27"/>
  <c r="L37" i="27" s="1"/>
  <c r="C60" i="188"/>
  <c r="G61" i="188"/>
  <c r="F61" i="188"/>
  <c r="G60" i="188"/>
  <c r="F60" i="188"/>
  <c r="G59" i="188"/>
  <c r="F59" i="188"/>
  <c r="G58" i="188"/>
  <c r="F58" i="188"/>
  <c r="G57" i="188"/>
  <c r="F57" i="188"/>
  <c r="G56" i="188"/>
  <c r="F56" i="188"/>
  <c r="G55" i="188"/>
  <c r="F55" i="188"/>
  <c r="G54" i="188"/>
  <c r="F54" i="188"/>
  <c r="G53" i="188"/>
  <c r="F53" i="188"/>
  <c r="G52" i="188"/>
  <c r="F52" i="188"/>
  <c r="G46" i="188"/>
  <c r="F46" i="188"/>
  <c r="G45" i="188"/>
  <c r="F45" i="188"/>
  <c r="G44" i="188"/>
  <c r="F44" i="188"/>
  <c r="G43" i="188"/>
  <c r="F43" i="188"/>
  <c r="G42" i="188"/>
  <c r="F42" i="188"/>
  <c r="G41" i="188"/>
  <c r="F41" i="188"/>
  <c r="G40" i="188"/>
  <c r="F40" i="188"/>
  <c r="G39" i="188"/>
  <c r="F39" i="188"/>
  <c r="G38" i="188"/>
  <c r="F38" i="188"/>
  <c r="G37" i="188"/>
  <c r="F37" i="188"/>
  <c r="L39" i="26" l="1"/>
  <c r="L43" i="26"/>
  <c r="L42" i="27"/>
  <c r="L38" i="27"/>
  <c r="L46" i="27"/>
  <c r="L40" i="26"/>
  <c r="L44" i="26"/>
  <c r="L41" i="27"/>
  <c r="L40" i="27"/>
  <c r="L44" i="27"/>
  <c r="K40" i="183" l="1"/>
  <c r="I40" i="183"/>
  <c r="G40" i="183"/>
  <c r="BC50" i="201" l="1"/>
  <c r="C155" i="26" l="1"/>
  <c r="M73" i="201" l="1"/>
  <c r="O7" i="125"/>
  <c r="N7" i="125"/>
  <c r="AA30" i="201" l="1"/>
  <c r="I46" i="26"/>
  <c r="G46" i="26"/>
  <c r="F46" i="26"/>
  <c r="I45" i="26"/>
  <c r="G45" i="26"/>
  <c r="F45" i="26"/>
  <c r="H45" i="26" s="1"/>
  <c r="I44" i="26"/>
  <c r="G44" i="26"/>
  <c r="F44" i="26"/>
  <c r="H44" i="26" s="1"/>
  <c r="I43" i="26"/>
  <c r="G43" i="26"/>
  <c r="F43" i="26"/>
  <c r="I42" i="26"/>
  <c r="G42" i="26"/>
  <c r="F42" i="26"/>
  <c r="I41" i="26"/>
  <c r="G41" i="26"/>
  <c r="F41" i="26"/>
  <c r="H41" i="26" s="1"/>
  <c r="I40" i="26"/>
  <c r="G40" i="26"/>
  <c r="F40" i="26"/>
  <c r="H40" i="26" s="1"/>
  <c r="I39" i="26"/>
  <c r="G39" i="26"/>
  <c r="F39" i="26"/>
  <c r="I38" i="26"/>
  <c r="G38" i="26"/>
  <c r="F38" i="26"/>
  <c r="I37" i="26"/>
  <c r="G37" i="26"/>
  <c r="F37" i="26"/>
  <c r="H37" i="26" s="1"/>
  <c r="I46" i="27"/>
  <c r="G46" i="27"/>
  <c r="F46" i="27"/>
  <c r="H46" i="27" s="1"/>
  <c r="I45" i="27"/>
  <c r="G45" i="27"/>
  <c r="F45" i="27"/>
  <c r="I44" i="27"/>
  <c r="G44" i="27"/>
  <c r="F44" i="27"/>
  <c r="H44" i="27" s="1"/>
  <c r="I43" i="27"/>
  <c r="G43" i="27"/>
  <c r="F43" i="27"/>
  <c r="H43" i="27" s="1"/>
  <c r="I42" i="27"/>
  <c r="G42" i="27"/>
  <c r="F42" i="27"/>
  <c r="H42" i="27" s="1"/>
  <c r="I41" i="27"/>
  <c r="G41" i="27"/>
  <c r="F41" i="27"/>
  <c r="I40" i="27"/>
  <c r="G40" i="27"/>
  <c r="F40" i="27"/>
  <c r="I39" i="27"/>
  <c r="G39" i="27"/>
  <c r="F39" i="27"/>
  <c r="H39" i="27" s="1"/>
  <c r="I38" i="27"/>
  <c r="G38" i="27"/>
  <c r="F38" i="27"/>
  <c r="H38" i="27" s="1"/>
  <c r="I37" i="27"/>
  <c r="G37" i="27"/>
  <c r="F37" i="27"/>
  <c r="E61" i="188"/>
  <c r="D61" i="188"/>
  <c r="E60" i="188"/>
  <c r="D60" i="188"/>
  <c r="E59" i="188"/>
  <c r="D59" i="188"/>
  <c r="E58" i="188"/>
  <c r="D58" i="188"/>
  <c r="E57" i="188"/>
  <c r="D57" i="188"/>
  <c r="E56" i="188"/>
  <c r="D56" i="188"/>
  <c r="E55" i="188"/>
  <c r="D55" i="188"/>
  <c r="E54" i="188"/>
  <c r="D54" i="188"/>
  <c r="E53" i="188"/>
  <c r="D53" i="188"/>
  <c r="E52" i="188"/>
  <c r="D52" i="188"/>
  <c r="E46" i="188"/>
  <c r="D46" i="188"/>
  <c r="E45" i="188"/>
  <c r="D45" i="188"/>
  <c r="E44" i="188"/>
  <c r="D44" i="188"/>
  <c r="E43" i="188"/>
  <c r="D43" i="188"/>
  <c r="E42" i="188"/>
  <c r="D42" i="188"/>
  <c r="E41" i="188"/>
  <c r="D41" i="188"/>
  <c r="E40" i="188"/>
  <c r="D40" i="188"/>
  <c r="E39" i="188"/>
  <c r="D39" i="188"/>
  <c r="E38" i="188"/>
  <c r="D38" i="188"/>
  <c r="E37" i="188"/>
  <c r="D37" i="188"/>
  <c r="H37" i="27" l="1"/>
  <c r="H45" i="27"/>
  <c r="H40" i="27"/>
  <c r="H41" i="27"/>
  <c r="H39" i="26"/>
  <c r="H43" i="26"/>
  <c r="H38" i="26"/>
  <c r="H42" i="26"/>
  <c r="H46" i="26"/>
  <c r="O17" i="206" l="1"/>
  <c r="P17" i="206" s="1"/>
  <c r="J17" i="206"/>
  <c r="K17" i="206" s="1"/>
  <c r="M17" i="206"/>
  <c r="N17" i="206" s="1"/>
  <c r="M20" i="183" l="1"/>
  <c r="M23" i="183"/>
  <c r="N11" i="183" l="1"/>
  <c r="D33" i="207" l="1"/>
  <c r="C41" i="207"/>
  <c r="H31" i="207"/>
  <c r="K29" i="207"/>
  <c r="H29" i="207"/>
  <c r="H24" i="207"/>
  <c r="K16" i="207"/>
  <c r="K24" i="207" s="1"/>
  <c r="K25" i="207" s="1"/>
  <c r="K26" i="207" s="1"/>
  <c r="H16" i="207"/>
  <c r="H25" i="207" s="1"/>
  <c r="K11" i="207"/>
  <c r="H11" i="207"/>
  <c r="K30" i="207" l="1"/>
  <c r="K32" i="207" s="1"/>
  <c r="H30" i="207"/>
  <c r="H32" i="207" s="1"/>
  <c r="H26" i="207"/>
  <c r="E7" i="157" l="1"/>
  <c r="BE28" i="201" l="1"/>
  <c r="T95" i="205" s="1"/>
  <c r="BF58" i="201"/>
  <c r="BF43" i="201"/>
  <c r="BF28" i="201"/>
  <c r="U95" i="205" s="1"/>
  <c r="AR75" i="190" l="1"/>
  <c r="AS75" i="190"/>
  <c r="AT75" i="190"/>
  <c r="H17" i="206" l="1"/>
  <c r="I17" i="206" s="1"/>
  <c r="B17" i="206"/>
  <c r="C17" i="206" l="1"/>
  <c r="E17" i="206" s="1"/>
  <c r="AP148" i="201"/>
  <c r="BE76" i="201"/>
  <c r="BF76" i="201"/>
  <c r="BE54" i="201"/>
  <c r="BE39" i="201"/>
  <c r="BF50" i="201"/>
  <c r="BF60" i="201" s="1"/>
  <c r="BF35" i="201"/>
  <c r="BF45" i="201" s="1"/>
  <c r="T15" i="201"/>
  <c r="BF15" i="201" l="1"/>
  <c r="BF92" i="201"/>
  <c r="BM92" i="201" s="1"/>
  <c r="BE92" i="201"/>
  <c r="BI92" i="201" s="1"/>
  <c r="BC92" i="201"/>
  <c r="BF91" i="201"/>
  <c r="BM91" i="201" s="1"/>
  <c r="BC91" i="201"/>
  <c r="BF90" i="201"/>
  <c r="BM90" i="201" s="1"/>
  <c r="BE90" i="201"/>
  <c r="BI90" i="201" s="1"/>
  <c r="BC90" i="201"/>
  <c r="BF89" i="201"/>
  <c r="BM89" i="201" s="1"/>
  <c r="BE89" i="201"/>
  <c r="BI89" i="201" s="1"/>
  <c r="BD89" i="201"/>
  <c r="BL89" i="201" s="1"/>
  <c r="BN89" i="201" s="1"/>
  <c r="BF88" i="201"/>
  <c r="BM88" i="201" s="1"/>
  <c r="BE88" i="201"/>
  <c r="BI88" i="201" s="1"/>
  <c r="BD88" i="201"/>
  <c r="BL88" i="201" s="1"/>
  <c r="BC88" i="201"/>
  <c r="BF87" i="201"/>
  <c r="BM87" i="201" s="1"/>
  <c r="BE87" i="201"/>
  <c r="BI87" i="201" s="1"/>
  <c r="BD87" i="201"/>
  <c r="BL87" i="201" s="1"/>
  <c r="BC87" i="201"/>
  <c r="BF86" i="201"/>
  <c r="BM86" i="201" s="1"/>
  <c r="BE86" i="201"/>
  <c r="BI86" i="201" s="1"/>
  <c r="BD86" i="201"/>
  <c r="BL86" i="201" s="1"/>
  <c r="BN86" i="201" s="1"/>
  <c r="BC86" i="201"/>
  <c r="BF85" i="201"/>
  <c r="BM85" i="201" s="1"/>
  <c r="BC85" i="201"/>
  <c r="BF84" i="201"/>
  <c r="BM84" i="201" s="1"/>
  <c r="BE84" i="201"/>
  <c r="BI84" i="201" s="1"/>
  <c r="BD84" i="201"/>
  <c r="BL84" i="201" s="1"/>
  <c r="BF83" i="201"/>
  <c r="BM83" i="201" s="1"/>
  <c r="BE83" i="201"/>
  <c r="BI83" i="201" s="1"/>
  <c r="BD83" i="201"/>
  <c r="BL83" i="201" s="1"/>
  <c r="BN84" i="201" l="1"/>
  <c r="BN88" i="201"/>
  <c r="BN87" i="201"/>
  <c r="BN83" i="201"/>
  <c r="BF93" i="201"/>
  <c r="S45" i="201"/>
  <c r="T45" i="201"/>
  <c r="T92" i="201"/>
  <c r="AA92" i="201" s="1"/>
  <c r="S92" i="201"/>
  <c r="W92" i="201" s="1"/>
  <c r="R92" i="201"/>
  <c r="Z92" i="201" s="1"/>
  <c r="AB92" i="201" s="1"/>
  <c r="Q92" i="201"/>
  <c r="X92" i="201" s="1"/>
  <c r="T91" i="201"/>
  <c r="AA91" i="201" s="1"/>
  <c r="S91" i="201"/>
  <c r="W91" i="201" s="1"/>
  <c r="R91" i="201"/>
  <c r="Z91" i="201" s="1"/>
  <c r="Q91" i="201"/>
  <c r="X91" i="201" s="1"/>
  <c r="T90" i="201"/>
  <c r="AA90" i="201" s="1"/>
  <c r="S90" i="201"/>
  <c r="W90" i="201" s="1"/>
  <c r="R90" i="201"/>
  <c r="Z90" i="201" s="1"/>
  <c r="AB90" i="201" s="1"/>
  <c r="Q90" i="201"/>
  <c r="X90" i="201" s="1"/>
  <c r="T89" i="201"/>
  <c r="AA89" i="201" s="1"/>
  <c r="S89" i="201"/>
  <c r="W89" i="201" s="1"/>
  <c r="R89" i="201"/>
  <c r="Z89" i="201" s="1"/>
  <c r="AB89" i="201" s="1"/>
  <c r="Q89" i="201"/>
  <c r="X89" i="201" s="1"/>
  <c r="T88" i="201"/>
  <c r="AA88" i="201" s="1"/>
  <c r="S88" i="201"/>
  <c r="W88" i="201" s="1"/>
  <c r="R88" i="201"/>
  <c r="Z88" i="201" s="1"/>
  <c r="Q88" i="201"/>
  <c r="X88" i="201" s="1"/>
  <c r="T87" i="201"/>
  <c r="AA87" i="201" s="1"/>
  <c r="S87" i="201"/>
  <c r="W87" i="201" s="1"/>
  <c r="R87" i="201"/>
  <c r="Z87" i="201" s="1"/>
  <c r="Q87" i="201"/>
  <c r="X87" i="201" s="1"/>
  <c r="T86" i="201"/>
  <c r="AA86" i="201" s="1"/>
  <c r="S86" i="201"/>
  <c r="W86" i="201" s="1"/>
  <c r="R86" i="201"/>
  <c r="Z86" i="201" s="1"/>
  <c r="AB86" i="201" s="1"/>
  <c r="Q86" i="201"/>
  <c r="X86" i="201" s="1"/>
  <c r="T85" i="201"/>
  <c r="AA85" i="201" s="1"/>
  <c r="S85" i="201"/>
  <c r="W85" i="201" s="1"/>
  <c r="R85" i="201"/>
  <c r="Z85" i="201" s="1"/>
  <c r="Q85" i="201"/>
  <c r="X85" i="201" s="1"/>
  <c r="T84" i="201"/>
  <c r="AA84" i="201" s="1"/>
  <c r="S84" i="201"/>
  <c r="W84" i="201" s="1"/>
  <c r="R84" i="201"/>
  <c r="Z84" i="201" s="1"/>
  <c r="Q84" i="201"/>
  <c r="X84" i="201" s="1"/>
  <c r="T83" i="201"/>
  <c r="AA83" i="201" s="1"/>
  <c r="S83" i="201"/>
  <c r="W83" i="201" s="1"/>
  <c r="R83" i="201"/>
  <c r="Z83" i="201" s="1"/>
  <c r="AB83" i="201" s="1"/>
  <c r="Q83" i="201"/>
  <c r="X83" i="201" s="1"/>
  <c r="AB85" i="201" l="1"/>
  <c r="AB91" i="201"/>
  <c r="AB88" i="201"/>
  <c r="AB84" i="201"/>
  <c r="AB87" i="201"/>
  <c r="S93" i="201"/>
  <c r="T93" i="201"/>
  <c r="E33" i="207" l="1"/>
  <c r="F33" i="207" s="1"/>
  <c r="BE52" i="201"/>
  <c r="BE58" i="201"/>
  <c r="BE43" i="201"/>
  <c r="BE91" i="201" s="1"/>
  <c r="BI91" i="201" s="1"/>
  <c r="BE37" i="201"/>
  <c r="BE85" i="201" s="1"/>
  <c r="BI85" i="201" s="1"/>
  <c r="BF20" i="201"/>
  <c r="U87" i="205" s="1"/>
  <c r="U97" i="205" s="1"/>
  <c r="F341" i="183"/>
  <c r="F333" i="183"/>
  <c r="F309" i="183"/>
  <c r="F301" i="183"/>
  <c r="F277" i="183"/>
  <c r="F269" i="183"/>
  <c r="F245" i="183"/>
  <c r="F237" i="183"/>
  <c r="F213" i="183"/>
  <c r="F205" i="183"/>
  <c r="F181" i="183"/>
  <c r="F173" i="183"/>
  <c r="F149" i="183"/>
  <c r="F141" i="183"/>
  <c r="F117" i="183"/>
  <c r="F109" i="183"/>
  <c r="F85" i="183"/>
  <c r="F77" i="183"/>
  <c r="C351" i="183"/>
  <c r="C319" i="183"/>
  <c r="C287" i="183"/>
  <c r="C255" i="183"/>
  <c r="C223" i="183"/>
  <c r="C191" i="183"/>
  <c r="C159" i="183"/>
  <c r="C127" i="183"/>
  <c r="C95" i="183"/>
  <c r="C63" i="183"/>
  <c r="F53" i="183"/>
  <c r="F45" i="183"/>
  <c r="E322" i="182"/>
  <c r="E333" i="183" s="1"/>
  <c r="D322" i="182"/>
  <c r="D333" i="183" s="1"/>
  <c r="C322" i="182"/>
  <c r="C333" i="183" s="1"/>
  <c r="E319" i="182"/>
  <c r="D319" i="182"/>
  <c r="D341" i="183" s="1"/>
  <c r="C319" i="182"/>
  <c r="C341" i="183" s="1"/>
  <c r="E292" i="182"/>
  <c r="D292" i="182"/>
  <c r="D301" i="183" s="1"/>
  <c r="C292" i="182"/>
  <c r="C301" i="183" s="1"/>
  <c r="E289" i="182"/>
  <c r="E309" i="183" s="1"/>
  <c r="D289" i="182"/>
  <c r="D309" i="183" s="1"/>
  <c r="C289" i="182"/>
  <c r="C309" i="183" s="1"/>
  <c r="E262" i="182"/>
  <c r="D262" i="182"/>
  <c r="D269" i="183" s="1"/>
  <c r="C262" i="182"/>
  <c r="C269" i="183" s="1"/>
  <c r="E259" i="182"/>
  <c r="E277" i="183" s="1"/>
  <c r="D259" i="182"/>
  <c r="D277" i="183" s="1"/>
  <c r="C259" i="182"/>
  <c r="C277" i="183" s="1"/>
  <c r="E232" i="182"/>
  <c r="D232" i="182"/>
  <c r="C232" i="182"/>
  <c r="C237" i="183" s="1"/>
  <c r="E229" i="182"/>
  <c r="D229" i="182"/>
  <c r="D245" i="183" s="1"/>
  <c r="C229" i="182"/>
  <c r="E202" i="182"/>
  <c r="D202" i="182"/>
  <c r="D205" i="183" s="1"/>
  <c r="C202" i="182"/>
  <c r="C205" i="183" s="1"/>
  <c r="E199" i="182"/>
  <c r="D199" i="182"/>
  <c r="D213" i="183" s="1"/>
  <c r="C199" i="182"/>
  <c r="C213" i="183" s="1"/>
  <c r="D172" i="182"/>
  <c r="D173" i="183" s="1"/>
  <c r="C172" i="182"/>
  <c r="E169" i="182"/>
  <c r="D169" i="182"/>
  <c r="D181" i="183" s="1"/>
  <c r="C169" i="182"/>
  <c r="C181" i="183" s="1"/>
  <c r="E142" i="182"/>
  <c r="D142" i="182"/>
  <c r="D141" i="183" s="1"/>
  <c r="C142" i="182"/>
  <c r="C141" i="183" s="1"/>
  <c r="E139" i="182"/>
  <c r="D139" i="182"/>
  <c r="D149" i="183" s="1"/>
  <c r="C139" i="182"/>
  <c r="C149" i="183" s="1"/>
  <c r="D112" i="182"/>
  <c r="C112" i="182"/>
  <c r="C109" i="183" s="1"/>
  <c r="E109" i="182"/>
  <c r="E117" i="183" s="1"/>
  <c r="D109" i="182"/>
  <c r="D117" i="183" s="1"/>
  <c r="C109" i="182"/>
  <c r="E82" i="182"/>
  <c r="E77" i="183" s="1"/>
  <c r="D82" i="182"/>
  <c r="D77" i="183" s="1"/>
  <c r="C82" i="182"/>
  <c r="C77" i="183" s="1"/>
  <c r="E79" i="182"/>
  <c r="D79" i="182"/>
  <c r="D85" i="183" s="1"/>
  <c r="C79" i="182"/>
  <c r="C85" i="183" s="1"/>
  <c r="E52" i="182"/>
  <c r="E45" i="183" s="1"/>
  <c r="D52" i="182"/>
  <c r="C52" i="182"/>
  <c r="D49" i="182"/>
  <c r="C49" i="182"/>
  <c r="F16" i="182"/>
  <c r="F19" i="182"/>
  <c r="F20" i="182"/>
  <c r="BF30" i="201" l="1"/>
  <c r="BE93" i="201"/>
  <c r="E49" i="182"/>
  <c r="E16" i="182" s="1"/>
  <c r="BE60" i="201"/>
  <c r="I333" i="183"/>
  <c r="J333" i="183" s="1"/>
  <c r="E269" i="183"/>
  <c r="E205" i="183"/>
  <c r="I205" i="183" s="1"/>
  <c r="J205" i="183" s="1"/>
  <c r="E141" i="183"/>
  <c r="K141" i="183" s="1"/>
  <c r="C245" i="183"/>
  <c r="C19" i="182"/>
  <c r="C173" i="183"/>
  <c r="C117" i="183"/>
  <c r="I117" i="183" s="1"/>
  <c r="J117" i="183" s="1"/>
  <c r="C45" i="183"/>
  <c r="D53" i="183"/>
  <c r="D21" i="183" s="1"/>
  <c r="D16" i="182"/>
  <c r="E237" i="183"/>
  <c r="G117" i="183"/>
  <c r="K117" i="183"/>
  <c r="H117" i="183"/>
  <c r="L117" i="183"/>
  <c r="G309" i="183"/>
  <c r="K309" i="183"/>
  <c r="H309" i="183"/>
  <c r="L309" i="183"/>
  <c r="I309" i="183"/>
  <c r="J309" i="183" s="1"/>
  <c r="G77" i="183"/>
  <c r="K77" i="183"/>
  <c r="H77" i="183"/>
  <c r="L77" i="183"/>
  <c r="G269" i="183"/>
  <c r="K269" i="183"/>
  <c r="H269" i="183"/>
  <c r="L269" i="183"/>
  <c r="G333" i="183"/>
  <c r="K333" i="183"/>
  <c r="H333" i="183"/>
  <c r="L333" i="183"/>
  <c r="I269" i="183"/>
  <c r="J269" i="183" s="1"/>
  <c r="G277" i="183"/>
  <c r="K277" i="183"/>
  <c r="H277" i="183"/>
  <c r="L277" i="183"/>
  <c r="E53" i="183"/>
  <c r="L53" i="183" s="1"/>
  <c r="E181" i="183"/>
  <c r="E245" i="183"/>
  <c r="I277" i="183"/>
  <c r="J277" i="183" s="1"/>
  <c r="I77" i="183"/>
  <c r="J77" i="183" s="1"/>
  <c r="E341" i="183"/>
  <c r="D45" i="183"/>
  <c r="G45" i="183" s="1"/>
  <c r="E85" i="183"/>
  <c r="D109" i="183"/>
  <c r="E149" i="183"/>
  <c r="E213" i="183"/>
  <c r="D237" i="183"/>
  <c r="E301" i="183"/>
  <c r="L45" i="183"/>
  <c r="C53" i="183"/>
  <c r="F13" i="183"/>
  <c r="F21" i="183"/>
  <c r="K45" i="183"/>
  <c r="D19" i="182"/>
  <c r="C16" i="182"/>
  <c r="L205" i="183" l="1"/>
  <c r="H205" i="183"/>
  <c r="K205" i="183"/>
  <c r="G205" i="183"/>
  <c r="G141" i="183"/>
  <c r="D19" i="207"/>
  <c r="C21" i="183"/>
  <c r="L141" i="183"/>
  <c r="I141" i="183"/>
  <c r="J141" i="183" s="1"/>
  <c r="H16" i="182"/>
  <c r="H141" i="183"/>
  <c r="I16" i="182"/>
  <c r="H45" i="183"/>
  <c r="K53" i="183"/>
  <c r="E21" i="183"/>
  <c r="C13" i="183"/>
  <c r="I45" i="183"/>
  <c r="J45" i="183" s="1"/>
  <c r="G149" i="183"/>
  <c r="K149" i="183"/>
  <c r="H149" i="183"/>
  <c r="L149" i="183"/>
  <c r="I149" i="183"/>
  <c r="J149" i="183" s="1"/>
  <c r="G181" i="183"/>
  <c r="K181" i="183"/>
  <c r="H181" i="183"/>
  <c r="L181" i="183"/>
  <c r="I181" i="183"/>
  <c r="J181" i="183" s="1"/>
  <c r="G85" i="183"/>
  <c r="K85" i="183"/>
  <c r="H85" i="183"/>
  <c r="L85" i="183"/>
  <c r="I85" i="183"/>
  <c r="J85" i="183" s="1"/>
  <c r="G53" i="183"/>
  <c r="H53" i="183"/>
  <c r="G213" i="183"/>
  <c r="K213" i="183"/>
  <c r="H213" i="183"/>
  <c r="L213" i="183"/>
  <c r="I213" i="183"/>
  <c r="J213" i="183" s="1"/>
  <c r="D13" i="183"/>
  <c r="G341" i="183"/>
  <c r="K341" i="183"/>
  <c r="H341" i="183"/>
  <c r="L341" i="183"/>
  <c r="I341" i="183"/>
  <c r="J341" i="183" s="1"/>
  <c r="G245" i="183"/>
  <c r="K245" i="183"/>
  <c r="H245" i="183"/>
  <c r="L245" i="183"/>
  <c r="I245" i="183"/>
  <c r="J245" i="183" s="1"/>
  <c r="G237" i="183"/>
  <c r="K237" i="183"/>
  <c r="H237" i="183"/>
  <c r="L237" i="183"/>
  <c r="I237" i="183"/>
  <c r="J237" i="183" s="1"/>
  <c r="G301" i="183"/>
  <c r="K301" i="183"/>
  <c r="I301" i="183"/>
  <c r="J301" i="183" s="1"/>
  <c r="H301" i="183"/>
  <c r="L301" i="183"/>
  <c r="G16" i="182"/>
  <c r="J16" i="182"/>
  <c r="I53" i="183"/>
  <c r="J53" i="183" s="1"/>
  <c r="C19" i="207" l="1"/>
  <c r="D6" i="207"/>
  <c r="C6" i="207"/>
  <c r="G21" i="183"/>
  <c r="E19" i="207"/>
  <c r="F19" i="207" s="1"/>
  <c r="I21" i="183"/>
  <c r="J21" i="183" s="1"/>
  <c r="H21" i="183"/>
  <c r="L21" i="183"/>
  <c r="K21" i="183"/>
  <c r="CT454" i="167"/>
  <c r="CU454" i="167"/>
  <c r="CV454" i="167"/>
  <c r="CW454" i="167"/>
  <c r="CX454" i="167"/>
  <c r="CY454" i="167"/>
  <c r="CZ454" i="167"/>
  <c r="DA454" i="167"/>
  <c r="CT455" i="167"/>
  <c r="CU455" i="167"/>
  <c r="CV455" i="167"/>
  <c r="CW455" i="167"/>
  <c r="CX455" i="167"/>
  <c r="CY455" i="167"/>
  <c r="CZ455" i="167"/>
  <c r="DA455" i="167"/>
  <c r="CT456" i="167"/>
  <c r="CU456" i="167"/>
  <c r="CV456" i="167"/>
  <c r="CW456" i="167"/>
  <c r="CX456" i="167"/>
  <c r="CY456" i="167"/>
  <c r="CZ456" i="167"/>
  <c r="DA456" i="167"/>
  <c r="CT457" i="167"/>
  <c r="CU457" i="167"/>
  <c r="CV457" i="167"/>
  <c r="CW457" i="167"/>
  <c r="CX457" i="167"/>
  <c r="CY457" i="167"/>
  <c r="CZ457" i="167"/>
  <c r="DA457" i="167"/>
  <c r="CT458" i="167"/>
  <c r="CU458" i="167"/>
  <c r="CV458" i="167"/>
  <c r="CW458" i="167"/>
  <c r="CX458" i="167"/>
  <c r="CY458" i="167"/>
  <c r="CZ458" i="167"/>
  <c r="DA458" i="167"/>
  <c r="CT459" i="167"/>
  <c r="CU459" i="167"/>
  <c r="CV459" i="167"/>
  <c r="CW459" i="167"/>
  <c r="CX459" i="167"/>
  <c r="CY459" i="167"/>
  <c r="CZ459" i="167"/>
  <c r="DA459" i="167"/>
  <c r="CT460" i="167"/>
  <c r="CU460" i="167"/>
  <c r="CV460" i="167"/>
  <c r="CW460" i="167"/>
  <c r="CX460" i="167"/>
  <c r="CY460" i="167"/>
  <c r="CZ460" i="167"/>
  <c r="DA460" i="167"/>
  <c r="CT461" i="167"/>
  <c r="CU461" i="167"/>
  <c r="CV461" i="167"/>
  <c r="CW461" i="167"/>
  <c r="CX461" i="167"/>
  <c r="CY461" i="167"/>
  <c r="CZ461" i="167"/>
  <c r="DA461" i="167"/>
  <c r="CT462" i="167"/>
  <c r="CU462" i="167"/>
  <c r="CV462" i="167"/>
  <c r="CW462" i="167"/>
  <c r="CX462" i="167"/>
  <c r="CY462" i="167"/>
  <c r="CZ462" i="167"/>
  <c r="DA462" i="167"/>
  <c r="DA453" i="167"/>
  <c r="CU453" i="167"/>
  <c r="CV453" i="167"/>
  <c r="CW453" i="167"/>
  <c r="CX453" i="167"/>
  <c r="CY453" i="167"/>
  <c r="CZ453" i="167"/>
  <c r="CT453" i="167"/>
  <c r="BN463" i="167"/>
  <c r="BO463" i="167"/>
  <c r="BP463" i="167"/>
  <c r="BQ463" i="167"/>
  <c r="BR463" i="167"/>
  <c r="BS463" i="167"/>
  <c r="BT463" i="167"/>
  <c r="BU463" i="167"/>
  <c r="BV463" i="167"/>
  <c r="BW463" i="167"/>
  <c r="BX463" i="167"/>
  <c r="BY463" i="167"/>
  <c r="BZ463" i="167"/>
  <c r="CA463" i="167"/>
  <c r="CB463" i="167"/>
  <c r="CC463" i="167"/>
  <c r="CD463" i="167"/>
  <c r="CE463" i="167"/>
  <c r="CF463" i="167"/>
  <c r="CG463" i="167"/>
  <c r="CH463" i="167"/>
  <c r="CI463" i="167"/>
  <c r="CJ463" i="167"/>
  <c r="CK463" i="167"/>
  <c r="CL463" i="167"/>
  <c r="CM463" i="167"/>
  <c r="CN463" i="167"/>
  <c r="CO463" i="167"/>
  <c r="CP463" i="167"/>
  <c r="CQ463" i="167"/>
  <c r="CR463" i="167"/>
  <c r="CS463" i="167"/>
  <c r="R463" i="167"/>
  <c r="S463" i="167"/>
  <c r="T463" i="167"/>
  <c r="U463" i="167"/>
  <c r="V463" i="167"/>
  <c r="W463" i="167"/>
  <c r="X463" i="167"/>
  <c r="Y463" i="167"/>
  <c r="Z463" i="167"/>
  <c r="AA463" i="167"/>
  <c r="AB463" i="167"/>
  <c r="AC463" i="167"/>
  <c r="AD463" i="167"/>
  <c r="AE463" i="167"/>
  <c r="AF463" i="167"/>
  <c r="AG463" i="167"/>
  <c r="AH463" i="167"/>
  <c r="AI463" i="167"/>
  <c r="AJ463" i="167"/>
  <c r="AK463" i="167"/>
  <c r="AL463" i="167"/>
  <c r="AM463" i="167"/>
  <c r="AN463" i="167"/>
  <c r="AO463" i="167"/>
  <c r="AP463" i="167"/>
  <c r="AQ463" i="167"/>
  <c r="AR463" i="167"/>
  <c r="AS463" i="167"/>
  <c r="AT463" i="167"/>
  <c r="AU463" i="167"/>
  <c r="AV463" i="167"/>
  <c r="AW463" i="167"/>
  <c r="AX463" i="167"/>
  <c r="AY463" i="167"/>
  <c r="AZ463" i="167"/>
  <c r="BA463" i="167"/>
  <c r="BB463" i="167"/>
  <c r="BC463" i="167"/>
  <c r="BD463" i="167"/>
  <c r="BE463" i="167"/>
  <c r="BF463" i="167"/>
  <c r="BG463" i="167"/>
  <c r="BH463" i="167"/>
  <c r="BI463" i="167"/>
  <c r="BJ463" i="167"/>
  <c r="BK463" i="167"/>
  <c r="BL463" i="167"/>
  <c r="BM463" i="167"/>
  <c r="J463" i="167"/>
  <c r="K463" i="167"/>
  <c r="L463" i="167"/>
  <c r="M463" i="167"/>
  <c r="N463" i="167"/>
  <c r="O463" i="167"/>
  <c r="P463" i="167"/>
  <c r="Q463" i="167"/>
  <c r="I463" i="167"/>
  <c r="H463" i="167"/>
  <c r="G463" i="167"/>
  <c r="F463" i="167"/>
  <c r="E463" i="167"/>
  <c r="D463" i="167"/>
  <c r="C463" i="167"/>
  <c r="B463" i="167"/>
  <c r="CW463" i="167" l="1"/>
  <c r="CY463" i="167"/>
  <c r="CU463" i="167"/>
  <c r="CX463" i="167"/>
  <c r="CV463" i="167"/>
  <c r="DA463" i="167"/>
  <c r="CZ463" i="167"/>
  <c r="CT463" i="167"/>
  <c r="K18" i="125"/>
  <c r="D203" i="27"/>
  <c r="D202" i="27"/>
  <c r="D201" i="27"/>
  <c r="D200" i="27"/>
  <c r="D199" i="27"/>
  <c r="D198" i="27"/>
  <c r="D197" i="27"/>
  <c r="D196" i="27"/>
  <c r="D195" i="27"/>
  <c r="D190" i="27" s="1"/>
  <c r="D194" i="27"/>
  <c r="AT190" i="27" l="1"/>
  <c r="E190" i="27"/>
  <c r="AU190" i="27" s="1"/>
  <c r="D140" i="27"/>
  <c r="D139" i="27"/>
  <c r="D138" i="27"/>
  <c r="D137" i="27"/>
  <c r="D136" i="27"/>
  <c r="D135" i="27"/>
  <c r="D134" i="27"/>
  <c r="D133" i="27"/>
  <c r="D132" i="27"/>
  <c r="D131" i="27"/>
  <c r="D210" i="182"/>
  <c r="E79" i="9" l="1"/>
  <c r="Z7" i="157" l="1"/>
  <c r="AP149" i="201" l="1"/>
  <c r="AS149" i="201"/>
  <c r="AP150" i="201"/>
  <c r="AS150" i="201"/>
  <c r="AP151" i="201"/>
  <c r="AS151" i="201"/>
  <c r="AP154" i="201"/>
  <c r="AS154" i="201"/>
  <c r="AP155" i="201"/>
  <c r="AS155" i="201"/>
  <c r="AP156" i="201"/>
  <c r="AS156" i="201"/>
  <c r="AP157" i="201"/>
  <c r="AS157" i="201"/>
  <c r="AS148" i="201"/>
  <c r="D351" i="183"/>
  <c r="D319" i="183"/>
  <c r="D287" i="183"/>
  <c r="D255" i="183"/>
  <c r="D223" i="183"/>
  <c r="D191" i="183"/>
  <c r="D159" i="183"/>
  <c r="D127" i="183"/>
  <c r="D95" i="183"/>
  <c r="D63" i="183"/>
  <c r="J34" i="35"/>
  <c r="D34" i="35"/>
  <c r="C34" i="35"/>
  <c r="J33" i="35"/>
  <c r="D33" i="35"/>
  <c r="C33" i="35"/>
  <c r="J32" i="35"/>
  <c r="D32" i="35"/>
  <c r="C32" i="35"/>
  <c r="J31" i="35"/>
  <c r="D31" i="35"/>
  <c r="C31" i="35"/>
  <c r="J30" i="35"/>
  <c r="D30" i="35"/>
  <c r="C30" i="35"/>
  <c r="J29" i="35"/>
  <c r="D29" i="35"/>
  <c r="C29" i="35"/>
  <c r="J28" i="35"/>
  <c r="D28" i="35"/>
  <c r="C28" i="35"/>
  <c r="J27" i="35"/>
  <c r="D27" i="35"/>
  <c r="C27" i="35"/>
  <c r="J26" i="35"/>
  <c r="D26" i="35"/>
  <c r="C26" i="35"/>
  <c r="J25" i="35"/>
  <c r="D25" i="35"/>
  <c r="C25" i="35"/>
  <c r="K17" i="35"/>
  <c r="J17" i="35"/>
  <c r="D17" i="35"/>
  <c r="C17" i="35"/>
  <c r="K16" i="35"/>
  <c r="J16" i="35"/>
  <c r="D16" i="35"/>
  <c r="C16" i="35"/>
  <c r="K15" i="35"/>
  <c r="J15" i="35"/>
  <c r="D15" i="35"/>
  <c r="C15" i="35"/>
  <c r="K14" i="35"/>
  <c r="J14" i="35"/>
  <c r="D14" i="35"/>
  <c r="C14" i="35"/>
  <c r="K13" i="35"/>
  <c r="J13" i="35"/>
  <c r="D13" i="35"/>
  <c r="C13" i="35"/>
  <c r="K12" i="35"/>
  <c r="J12" i="35"/>
  <c r="D12" i="35"/>
  <c r="C12" i="35"/>
  <c r="K11" i="35"/>
  <c r="J11" i="35"/>
  <c r="D11" i="35"/>
  <c r="C11" i="35"/>
  <c r="K10" i="35"/>
  <c r="J10" i="35"/>
  <c r="D10" i="35"/>
  <c r="C10" i="35"/>
  <c r="K9" i="35"/>
  <c r="J9" i="35"/>
  <c r="D9" i="35"/>
  <c r="C9" i="35"/>
  <c r="K8" i="35"/>
  <c r="J8" i="35"/>
  <c r="D8" i="35"/>
  <c r="C8" i="35"/>
  <c r="J160" i="125"/>
  <c r="I160" i="125"/>
  <c r="D160" i="125"/>
  <c r="J159" i="125"/>
  <c r="I159" i="125"/>
  <c r="D159" i="125"/>
  <c r="J158" i="125"/>
  <c r="I158" i="125"/>
  <c r="D158" i="125"/>
  <c r="J157" i="125"/>
  <c r="I157" i="125"/>
  <c r="D157" i="125"/>
  <c r="J156" i="125"/>
  <c r="I156" i="125"/>
  <c r="D156" i="125"/>
  <c r="J155" i="125"/>
  <c r="I155" i="125"/>
  <c r="D155" i="125"/>
  <c r="J154" i="125"/>
  <c r="I154" i="125"/>
  <c r="D154" i="125"/>
  <c r="J153" i="125"/>
  <c r="I153" i="125"/>
  <c r="D153" i="125"/>
  <c r="J152" i="125"/>
  <c r="I152" i="125"/>
  <c r="D152" i="125"/>
  <c r="J151" i="125"/>
  <c r="I151" i="125"/>
  <c r="D151" i="125"/>
  <c r="L145" i="125"/>
  <c r="K145" i="125"/>
  <c r="D145" i="125"/>
  <c r="C145" i="125"/>
  <c r="L144" i="125"/>
  <c r="K144" i="125"/>
  <c r="D144" i="125"/>
  <c r="C144" i="125"/>
  <c r="L143" i="125"/>
  <c r="K143" i="125"/>
  <c r="D143" i="125"/>
  <c r="C143" i="125"/>
  <c r="L142" i="125"/>
  <c r="K142" i="125"/>
  <c r="D142" i="125"/>
  <c r="C142" i="125"/>
  <c r="L141" i="125"/>
  <c r="K141" i="125"/>
  <c r="D141" i="125"/>
  <c r="C141" i="125"/>
  <c r="L140" i="125"/>
  <c r="K140" i="125"/>
  <c r="D140" i="125"/>
  <c r="C140" i="125"/>
  <c r="L139" i="125"/>
  <c r="K139" i="125"/>
  <c r="D139" i="125"/>
  <c r="C139" i="125"/>
  <c r="L138" i="125"/>
  <c r="K138" i="125"/>
  <c r="D138" i="125"/>
  <c r="C138" i="125"/>
  <c r="L137" i="125"/>
  <c r="K137" i="125"/>
  <c r="D137" i="125"/>
  <c r="C137" i="125"/>
  <c r="L136" i="125"/>
  <c r="K136" i="125"/>
  <c r="D136" i="125"/>
  <c r="C136" i="125"/>
  <c r="C131" i="125"/>
  <c r="C130" i="125"/>
  <c r="C129" i="125"/>
  <c r="C128" i="125"/>
  <c r="C127" i="125"/>
  <c r="C126" i="125"/>
  <c r="C125" i="125"/>
  <c r="C124" i="125"/>
  <c r="C123" i="125"/>
  <c r="C122" i="125"/>
  <c r="D117" i="125"/>
  <c r="C117" i="125"/>
  <c r="D116" i="125"/>
  <c r="C116" i="125"/>
  <c r="D115" i="125"/>
  <c r="C115" i="125"/>
  <c r="D114" i="125"/>
  <c r="C114" i="125"/>
  <c r="D113" i="125"/>
  <c r="C113" i="125"/>
  <c r="D112" i="125"/>
  <c r="C112" i="125"/>
  <c r="D111" i="125"/>
  <c r="C111" i="125"/>
  <c r="D110" i="125"/>
  <c r="C110" i="125"/>
  <c r="D109" i="125"/>
  <c r="C109" i="125"/>
  <c r="D108" i="125"/>
  <c r="C108" i="125"/>
  <c r="D101" i="125"/>
  <c r="C101" i="125"/>
  <c r="D100" i="125"/>
  <c r="C100" i="125"/>
  <c r="D99" i="125"/>
  <c r="C99" i="125"/>
  <c r="D98" i="125"/>
  <c r="C98" i="125"/>
  <c r="D97" i="125"/>
  <c r="C97" i="125"/>
  <c r="D96" i="125"/>
  <c r="C96" i="125"/>
  <c r="D95" i="125"/>
  <c r="C95" i="125"/>
  <c r="D94" i="125"/>
  <c r="C94" i="125"/>
  <c r="D93" i="125"/>
  <c r="C93" i="125"/>
  <c r="D92" i="125"/>
  <c r="C92" i="125"/>
  <c r="C85" i="125"/>
  <c r="C84" i="125"/>
  <c r="C83" i="125"/>
  <c r="C82" i="125"/>
  <c r="C81" i="125"/>
  <c r="C80" i="125"/>
  <c r="C79" i="125"/>
  <c r="C78" i="125"/>
  <c r="C77" i="125"/>
  <c r="C76" i="125"/>
  <c r="D68" i="125"/>
  <c r="C68" i="125"/>
  <c r="D67" i="125"/>
  <c r="C67" i="125"/>
  <c r="D66" i="125"/>
  <c r="C66" i="125"/>
  <c r="D65" i="125"/>
  <c r="C65" i="125"/>
  <c r="D64" i="125"/>
  <c r="C64" i="125"/>
  <c r="D63" i="125"/>
  <c r="C63" i="125"/>
  <c r="D62" i="125"/>
  <c r="C62" i="125"/>
  <c r="D61" i="125"/>
  <c r="C61" i="125"/>
  <c r="D60" i="125"/>
  <c r="C60" i="125"/>
  <c r="D59" i="125"/>
  <c r="C59" i="125"/>
  <c r="D51" i="125"/>
  <c r="C51" i="125"/>
  <c r="D50" i="125"/>
  <c r="C50" i="125"/>
  <c r="D49" i="125"/>
  <c r="C49" i="125"/>
  <c r="D48" i="125"/>
  <c r="C48" i="125"/>
  <c r="D47" i="125"/>
  <c r="C47" i="125"/>
  <c r="D46" i="125"/>
  <c r="C46" i="125"/>
  <c r="D45" i="125"/>
  <c r="C45" i="125"/>
  <c r="D44" i="125"/>
  <c r="C44" i="125"/>
  <c r="D43" i="125"/>
  <c r="C43" i="125"/>
  <c r="D42" i="125"/>
  <c r="C42" i="125"/>
  <c r="D33" i="125"/>
  <c r="C33" i="125"/>
  <c r="D32" i="125"/>
  <c r="C32" i="125"/>
  <c r="D31" i="125"/>
  <c r="C31" i="125"/>
  <c r="D30" i="125"/>
  <c r="C30" i="125"/>
  <c r="D29" i="125"/>
  <c r="C29" i="125"/>
  <c r="D28" i="125"/>
  <c r="C28" i="125"/>
  <c r="D27" i="125"/>
  <c r="C27" i="125"/>
  <c r="D26" i="125"/>
  <c r="C26" i="125"/>
  <c r="D25" i="125"/>
  <c r="C25" i="125"/>
  <c r="D24" i="125"/>
  <c r="C24" i="125"/>
  <c r="N146" i="125" l="1"/>
  <c r="L146" i="125"/>
  <c r="N151" i="125"/>
  <c r="C68" i="182" l="1"/>
  <c r="F68" i="182" s="1"/>
  <c r="C67" i="182"/>
  <c r="F67" i="182" s="1"/>
  <c r="F66" i="182" s="1"/>
  <c r="C338" i="182"/>
  <c r="F338" i="182" s="1"/>
  <c r="C337" i="182"/>
  <c r="F337" i="182" s="1"/>
  <c r="F336" i="182" s="1"/>
  <c r="C334" i="182"/>
  <c r="F334" i="182" s="1"/>
  <c r="C333" i="182"/>
  <c r="F333" i="182" s="1"/>
  <c r="F332" i="182" s="1"/>
  <c r="C330" i="182"/>
  <c r="C328" i="182"/>
  <c r="F328" i="182" s="1"/>
  <c r="C327" i="182"/>
  <c r="C325" i="182"/>
  <c r="F325" i="182" s="1"/>
  <c r="C321" i="182"/>
  <c r="F321" i="182" s="1"/>
  <c r="C318" i="182"/>
  <c r="F318" i="182" s="1"/>
  <c r="C314" i="182"/>
  <c r="C308" i="182"/>
  <c r="F308" i="182" s="1"/>
  <c r="C307" i="182"/>
  <c r="F307" i="182" s="1"/>
  <c r="F306" i="182" s="1"/>
  <c r="C304" i="182"/>
  <c r="F304" i="182" s="1"/>
  <c r="C303" i="182"/>
  <c r="F303" i="182" s="1"/>
  <c r="F302" i="182" s="1"/>
  <c r="C300" i="182"/>
  <c r="C298" i="182"/>
  <c r="F298" i="182" s="1"/>
  <c r="C297" i="182"/>
  <c r="C295" i="182"/>
  <c r="F295" i="182" s="1"/>
  <c r="C291" i="182"/>
  <c r="F291" i="182" s="1"/>
  <c r="C288" i="182"/>
  <c r="F288" i="182" s="1"/>
  <c r="C284" i="182"/>
  <c r="C278" i="182"/>
  <c r="F278" i="182" s="1"/>
  <c r="C277" i="182"/>
  <c r="F277" i="182" s="1"/>
  <c r="F276" i="182" s="1"/>
  <c r="C274" i="182"/>
  <c r="F274" i="182" s="1"/>
  <c r="C273" i="182"/>
  <c r="F273" i="182" s="1"/>
  <c r="F272" i="182" s="1"/>
  <c r="C270" i="182"/>
  <c r="C268" i="182"/>
  <c r="F268" i="182" s="1"/>
  <c r="C267" i="182"/>
  <c r="C265" i="182"/>
  <c r="F265" i="182" s="1"/>
  <c r="C261" i="182"/>
  <c r="F261" i="182" s="1"/>
  <c r="C258" i="182"/>
  <c r="F258" i="182" s="1"/>
  <c r="C254" i="182"/>
  <c r="C248" i="182"/>
  <c r="F248" i="182" s="1"/>
  <c r="C247" i="182"/>
  <c r="F247" i="182" s="1"/>
  <c r="C244" i="182"/>
  <c r="F244" i="182" s="1"/>
  <c r="C243" i="182"/>
  <c r="F243" i="182" s="1"/>
  <c r="F242" i="182" s="1"/>
  <c r="C240" i="182"/>
  <c r="C238" i="182"/>
  <c r="F238" i="182" s="1"/>
  <c r="C237" i="182"/>
  <c r="C235" i="182"/>
  <c r="F235" i="182" s="1"/>
  <c r="C231" i="182"/>
  <c r="F231" i="182" s="1"/>
  <c r="C228" i="182"/>
  <c r="F228" i="182" s="1"/>
  <c r="C224" i="182"/>
  <c r="C218" i="182"/>
  <c r="F218" i="182" s="1"/>
  <c r="C217" i="182"/>
  <c r="F217" i="182" s="1"/>
  <c r="C214" i="182"/>
  <c r="F214" i="182" s="1"/>
  <c r="C213" i="182"/>
  <c r="F213" i="182" s="1"/>
  <c r="F212" i="182" s="1"/>
  <c r="C210" i="182"/>
  <c r="C208" i="182"/>
  <c r="F208" i="182" s="1"/>
  <c r="C207" i="182"/>
  <c r="C205" i="182"/>
  <c r="F205" i="182" s="1"/>
  <c r="C201" i="182"/>
  <c r="F201" i="182" s="1"/>
  <c r="C198" i="182"/>
  <c r="F198" i="182" s="1"/>
  <c r="C194" i="182"/>
  <c r="C188" i="182"/>
  <c r="F188" i="182" s="1"/>
  <c r="C187" i="182"/>
  <c r="F187" i="182" s="1"/>
  <c r="C184" i="182"/>
  <c r="F184" i="182" s="1"/>
  <c r="C183" i="182"/>
  <c r="F183" i="182" s="1"/>
  <c r="C180" i="182"/>
  <c r="C178" i="182"/>
  <c r="F178" i="182" s="1"/>
  <c r="C177" i="182"/>
  <c r="C175" i="182"/>
  <c r="F175" i="182" s="1"/>
  <c r="C171" i="182"/>
  <c r="F171" i="182" s="1"/>
  <c r="C168" i="182"/>
  <c r="F168" i="182" s="1"/>
  <c r="C164" i="182"/>
  <c r="C158" i="182"/>
  <c r="F158" i="182" s="1"/>
  <c r="C157" i="182"/>
  <c r="F157" i="182" s="1"/>
  <c r="F156" i="182" s="1"/>
  <c r="C154" i="182"/>
  <c r="F154" i="182" s="1"/>
  <c r="C153" i="182"/>
  <c r="F153" i="182" s="1"/>
  <c r="F152" i="182" s="1"/>
  <c r="C150" i="182"/>
  <c r="C148" i="182"/>
  <c r="F148" i="182" s="1"/>
  <c r="C147" i="182"/>
  <c r="C145" i="182"/>
  <c r="F145" i="182" s="1"/>
  <c r="C141" i="182"/>
  <c r="F141" i="182" s="1"/>
  <c r="C138" i="182"/>
  <c r="F138" i="182" s="1"/>
  <c r="C134" i="182"/>
  <c r="C128" i="182"/>
  <c r="F128" i="182" s="1"/>
  <c r="C127" i="182"/>
  <c r="F127" i="182" s="1"/>
  <c r="F126" i="182" s="1"/>
  <c r="C124" i="182"/>
  <c r="F124" i="182" s="1"/>
  <c r="C123" i="182"/>
  <c r="F123" i="182" s="1"/>
  <c r="C120" i="182"/>
  <c r="C118" i="182"/>
  <c r="F118" i="182" s="1"/>
  <c r="C117" i="182"/>
  <c r="C115" i="182"/>
  <c r="F115" i="182" s="1"/>
  <c r="C111" i="182"/>
  <c r="F111" i="182" s="1"/>
  <c r="C108" i="182"/>
  <c r="F108" i="182" s="1"/>
  <c r="C104" i="182"/>
  <c r="C98" i="182"/>
  <c r="F98" i="182" s="1"/>
  <c r="C97" i="182"/>
  <c r="F97" i="182" s="1"/>
  <c r="F96" i="182" s="1"/>
  <c r="C94" i="182"/>
  <c r="F94" i="182" s="1"/>
  <c r="C93" i="182"/>
  <c r="F93" i="182" s="1"/>
  <c r="F92" i="182" s="1"/>
  <c r="C90" i="182"/>
  <c r="C88" i="182"/>
  <c r="F88" i="182" s="1"/>
  <c r="C87" i="182"/>
  <c r="C85" i="182"/>
  <c r="F85" i="182" s="1"/>
  <c r="C81" i="182"/>
  <c r="F81" i="182" s="1"/>
  <c r="C78" i="182"/>
  <c r="F78" i="182" s="1"/>
  <c r="C74" i="182"/>
  <c r="C64" i="182"/>
  <c r="F64" i="182" s="1"/>
  <c r="C63" i="182"/>
  <c r="F63" i="182" s="1"/>
  <c r="C60" i="182"/>
  <c r="C58" i="182"/>
  <c r="F58" i="182" s="1"/>
  <c r="C57" i="182"/>
  <c r="C55" i="182"/>
  <c r="F55" i="182" s="1"/>
  <c r="C51" i="182"/>
  <c r="F51" i="182" s="1"/>
  <c r="C48" i="182"/>
  <c r="F48" i="182" s="1"/>
  <c r="C44" i="182"/>
  <c r="M187" i="182"/>
  <c r="L308" i="182"/>
  <c r="L307" i="182"/>
  <c r="L278" i="182"/>
  <c r="L277" i="182"/>
  <c r="L248" i="182"/>
  <c r="L247" i="182"/>
  <c r="L218" i="182"/>
  <c r="L217" i="182"/>
  <c r="L128" i="182"/>
  <c r="L127" i="182"/>
  <c r="L98" i="182"/>
  <c r="L97" i="182"/>
  <c r="L68" i="182"/>
  <c r="L67" i="182"/>
  <c r="L36" i="182"/>
  <c r="L35" i="182"/>
  <c r="L285" i="182"/>
  <c r="L255" i="182"/>
  <c r="L225" i="182"/>
  <c r="L195" i="182"/>
  <c r="L165" i="182"/>
  <c r="L135" i="182"/>
  <c r="L105" i="182"/>
  <c r="L75" i="182"/>
  <c r="F216" i="182" l="1"/>
  <c r="F182" i="182"/>
  <c r="F246" i="182"/>
  <c r="F122" i="182"/>
  <c r="F186" i="182"/>
  <c r="F47" i="182"/>
  <c r="F320" i="182"/>
  <c r="F317" i="182"/>
  <c r="F260" i="182"/>
  <c r="F257" i="182"/>
  <c r="F54" i="182"/>
  <c r="F324" i="182"/>
  <c r="F140" i="182"/>
  <c r="F137" i="182"/>
  <c r="F204" i="182"/>
  <c r="F110" i="182"/>
  <c r="F107" i="182"/>
  <c r="F114" i="182"/>
  <c r="F290" i="182"/>
  <c r="F287" i="182"/>
  <c r="F230" i="182"/>
  <c r="F227" i="182"/>
  <c r="F174" i="182"/>
  <c r="F264" i="182"/>
  <c r="F80" i="182"/>
  <c r="F77" i="182"/>
  <c r="F144" i="182"/>
  <c r="F170" i="182"/>
  <c r="F167" i="182"/>
  <c r="F294" i="182"/>
  <c r="F234" i="182"/>
  <c r="F200" i="182"/>
  <c r="F197" i="182"/>
  <c r="F84" i="182"/>
  <c r="C320" i="182"/>
  <c r="C290" i="182"/>
  <c r="C323" i="182"/>
  <c r="C293" i="182"/>
  <c r="C260" i="182"/>
  <c r="C263" i="182"/>
  <c r="C233" i="182"/>
  <c r="C230" i="182"/>
  <c r="C203" i="182"/>
  <c r="C200" i="182"/>
  <c r="C173" i="182"/>
  <c r="C170" i="182"/>
  <c r="C140" i="182"/>
  <c r="C143" i="182"/>
  <c r="C110" i="182"/>
  <c r="C113" i="182"/>
  <c r="C80" i="182"/>
  <c r="C83" i="182"/>
  <c r="C18" i="182"/>
  <c r="C53" i="182"/>
  <c r="F50" i="182"/>
  <c r="C50" i="182"/>
  <c r="BT107" i="201"/>
  <c r="BT106" i="201"/>
  <c r="BT105" i="201"/>
  <c r="BT104" i="201"/>
  <c r="BT103" i="201"/>
  <c r="BT102" i="201"/>
  <c r="BT101" i="201"/>
  <c r="BT100" i="201"/>
  <c r="BT99" i="201"/>
  <c r="BT98" i="201"/>
  <c r="AH107" i="201"/>
  <c r="L306" i="182"/>
  <c r="AH106" i="201"/>
  <c r="L276" i="182"/>
  <c r="AH105" i="201"/>
  <c r="L246" i="182"/>
  <c r="AH104" i="201"/>
  <c r="L216" i="182"/>
  <c r="AH103" i="201"/>
  <c r="AH102" i="201"/>
  <c r="AH101" i="201"/>
  <c r="L126" i="182"/>
  <c r="AH100" i="201"/>
  <c r="L96" i="182"/>
  <c r="AH99" i="201"/>
  <c r="AH98" i="201"/>
  <c r="F17" i="182" l="1"/>
  <c r="C20" i="182"/>
  <c r="C17" i="182"/>
  <c r="F18" i="182"/>
  <c r="L34" i="182"/>
  <c r="N30" i="183" s="1"/>
  <c r="L66" i="182"/>
  <c r="F115" i="201"/>
  <c r="F116" i="201"/>
  <c r="F117" i="201"/>
  <c r="F118" i="201"/>
  <c r="F119" i="201"/>
  <c r="F120" i="201"/>
  <c r="F121" i="201"/>
  <c r="F122" i="201"/>
  <c r="F123" i="201"/>
  <c r="F114" i="201"/>
  <c r="D338" i="182"/>
  <c r="D337" i="182"/>
  <c r="D308" i="182"/>
  <c r="D307" i="182"/>
  <c r="D278" i="182"/>
  <c r="D277" i="182"/>
  <c r="D248" i="182"/>
  <c r="D247" i="182"/>
  <c r="D218" i="182"/>
  <c r="D217" i="182"/>
  <c r="D188" i="182"/>
  <c r="D187" i="182"/>
  <c r="D158" i="182"/>
  <c r="D157" i="182"/>
  <c r="D128" i="182"/>
  <c r="D127" i="182"/>
  <c r="D98" i="182"/>
  <c r="D97" i="182"/>
  <c r="D68" i="182"/>
  <c r="D67" i="182"/>
  <c r="AJ30" i="201"/>
  <c r="AI30" i="201"/>
  <c r="AK29" i="201"/>
  <c r="F29" i="201" s="1"/>
  <c r="AH29" i="201"/>
  <c r="AK28" i="201"/>
  <c r="F28" i="201" s="1"/>
  <c r="AH28" i="201"/>
  <c r="AK27" i="201"/>
  <c r="F27" i="201" s="1"/>
  <c r="AH27" i="201"/>
  <c r="AK26" i="201"/>
  <c r="AH26" i="201"/>
  <c r="AK25" i="201"/>
  <c r="AH25" i="201"/>
  <c r="AK24" i="201"/>
  <c r="AH24" i="201"/>
  <c r="AK23" i="201"/>
  <c r="AH23" i="201"/>
  <c r="AK22" i="201"/>
  <c r="F22" i="201" s="1"/>
  <c r="AH22" i="201"/>
  <c r="AK21" i="201"/>
  <c r="F21" i="201" s="1"/>
  <c r="X21" i="201" s="1"/>
  <c r="Y21" i="201" s="1"/>
  <c r="AH21" i="201"/>
  <c r="AK20" i="201"/>
  <c r="F20" i="201" s="1"/>
  <c r="AH20" i="201"/>
  <c r="D334" i="182"/>
  <c r="D333" i="182"/>
  <c r="D330" i="182"/>
  <c r="D328" i="182"/>
  <c r="D327" i="182"/>
  <c r="D325" i="182"/>
  <c r="D321" i="182"/>
  <c r="D323" i="182" s="1"/>
  <c r="D318" i="182"/>
  <c r="D320" i="182" s="1"/>
  <c r="D314" i="182"/>
  <c r="D304" i="182"/>
  <c r="D303" i="182"/>
  <c r="D300" i="182"/>
  <c r="D298" i="182"/>
  <c r="D297" i="182"/>
  <c r="D295" i="182"/>
  <c r="D291" i="182"/>
  <c r="D293" i="182" s="1"/>
  <c r="D288" i="182"/>
  <c r="D290" i="182" s="1"/>
  <c r="D284" i="182"/>
  <c r="D274" i="182"/>
  <c r="D273" i="182"/>
  <c r="D270" i="182"/>
  <c r="D268" i="182"/>
  <c r="D267" i="182"/>
  <c r="D265" i="182"/>
  <c r="D261" i="182"/>
  <c r="D263" i="182" s="1"/>
  <c r="D258" i="182"/>
  <c r="D260" i="182" s="1"/>
  <c r="D254" i="182"/>
  <c r="D244" i="182"/>
  <c r="D243" i="182"/>
  <c r="D240" i="182"/>
  <c r="D250" i="183" s="1"/>
  <c r="D238" i="182"/>
  <c r="D237" i="182"/>
  <c r="D235" i="182"/>
  <c r="D231" i="182"/>
  <c r="D233" i="182" s="1"/>
  <c r="D228" i="182"/>
  <c r="D230" i="182" s="1"/>
  <c r="D224" i="182"/>
  <c r="D214" i="182"/>
  <c r="D213" i="182"/>
  <c r="D208" i="182"/>
  <c r="D207" i="182"/>
  <c r="D205" i="182"/>
  <c r="D201" i="182"/>
  <c r="D203" i="182" s="1"/>
  <c r="D198" i="182"/>
  <c r="D200" i="182" s="1"/>
  <c r="D194" i="182"/>
  <c r="D184" i="182"/>
  <c r="D183" i="182"/>
  <c r="D180" i="182"/>
  <c r="D178" i="182"/>
  <c r="D177" i="182"/>
  <c r="D175" i="182"/>
  <c r="D171" i="182"/>
  <c r="D173" i="182" s="1"/>
  <c r="D168" i="182"/>
  <c r="D170" i="182" s="1"/>
  <c r="D164" i="182"/>
  <c r="D154" i="182"/>
  <c r="D153" i="182"/>
  <c r="D150" i="182"/>
  <c r="D148" i="182"/>
  <c r="D147" i="182"/>
  <c r="D145" i="182"/>
  <c r="D141" i="182"/>
  <c r="D143" i="182" s="1"/>
  <c r="D138" i="182"/>
  <c r="D140" i="182" s="1"/>
  <c r="D134" i="182"/>
  <c r="D124" i="182"/>
  <c r="D123" i="182"/>
  <c r="D120" i="182"/>
  <c r="D118" i="182"/>
  <c r="D117" i="182"/>
  <c r="D115" i="182"/>
  <c r="D111" i="182"/>
  <c r="D113" i="182" s="1"/>
  <c r="D108" i="182"/>
  <c r="D110" i="182" s="1"/>
  <c r="D104" i="182"/>
  <c r="D94" i="182"/>
  <c r="D93" i="182"/>
  <c r="D90" i="182"/>
  <c r="D88" i="182"/>
  <c r="D87" i="182"/>
  <c r="D85" i="182"/>
  <c r="D81" i="182"/>
  <c r="D83" i="182" s="1"/>
  <c r="D78" i="182"/>
  <c r="D80" i="182" s="1"/>
  <c r="D74" i="182"/>
  <c r="D64" i="182"/>
  <c r="D63" i="182"/>
  <c r="D60" i="182"/>
  <c r="D58" i="182"/>
  <c r="D57" i="182"/>
  <c r="D55" i="182"/>
  <c r="D51" i="182"/>
  <c r="D48" i="182"/>
  <c r="D50" i="182" s="1"/>
  <c r="D44" i="182"/>
  <c r="E153" i="125" l="1"/>
  <c r="X22" i="201"/>
  <c r="F23" i="201"/>
  <c r="X23" i="201" s="1"/>
  <c r="Y23" i="201" s="1"/>
  <c r="E159" i="125"/>
  <c r="X28" i="201"/>
  <c r="Y28" i="201" s="1"/>
  <c r="F24" i="201"/>
  <c r="X24" i="201" s="1"/>
  <c r="Y24" i="201" s="1"/>
  <c r="F26" i="201"/>
  <c r="E160" i="125"/>
  <c r="X29" i="201"/>
  <c r="Y29" i="201" s="1"/>
  <c r="E151" i="125"/>
  <c r="X20" i="201"/>
  <c r="E158" i="125"/>
  <c r="X27" i="201"/>
  <c r="Y27" i="201" s="1"/>
  <c r="F25" i="201"/>
  <c r="X25" i="201" s="1"/>
  <c r="E152" i="125"/>
  <c r="D17" i="182"/>
  <c r="D18" i="182"/>
  <c r="D53" i="182"/>
  <c r="D20" i="182" s="1"/>
  <c r="AK30" i="201"/>
  <c r="C115" i="201"/>
  <c r="C116" i="201"/>
  <c r="C117" i="201"/>
  <c r="C118" i="201"/>
  <c r="C119" i="201"/>
  <c r="C120" i="201"/>
  <c r="C121" i="201"/>
  <c r="C122" i="201"/>
  <c r="C123" i="201"/>
  <c r="C114" i="201"/>
  <c r="X26" i="201" l="1"/>
  <c r="Y26" i="201" s="1"/>
  <c r="E155" i="125"/>
  <c r="Y22" i="201"/>
  <c r="E157" i="125"/>
  <c r="E154" i="125"/>
  <c r="X30" i="201"/>
  <c r="Y25" i="201"/>
  <c r="E156" i="125"/>
  <c r="C113" i="201"/>
  <c r="L45" i="182"/>
  <c r="L11" i="182"/>
  <c r="D329" i="182"/>
  <c r="D315" i="182"/>
  <c r="D285" i="182"/>
  <c r="D269" i="182"/>
  <c r="D255" i="182"/>
  <c r="D225" i="182"/>
  <c r="D209" i="182"/>
  <c r="D195" i="182"/>
  <c r="D165" i="182"/>
  <c r="D135" i="182"/>
  <c r="D105" i="182"/>
  <c r="D89" i="182"/>
  <c r="D75" i="182"/>
  <c r="D59" i="182"/>
  <c r="D239" i="182"/>
  <c r="D45" i="182"/>
  <c r="C315" i="182"/>
  <c r="F315" i="182" s="1"/>
  <c r="C285" i="182"/>
  <c r="F285" i="182" s="1"/>
  <c r="D299" i="182" l="1"/>
  <c r="D179" i="182"/>
  <c r="D149" i="182"/>
  <c r="D119" i="182"/>
  <c r="C255" i="182"/>
  <c r="F255" i="182" s="1"/>
  <c r="C225" i="182"/>
  <c r="F225" i="182" s="1"/>
  <c r="C195" i="182"/>
  <c r="F195" i="182" s="1"/>
  <c r="C165" i="182"/>
  <c r="F165" i="182" s="1"/>
  <c r="C135" i="182"/>
  <c r="F135" i="182" s="1"/>
  <c r="C105" i="182"/>
  <c r="F105" i="182" s="1"/>
  <c r="C75" i="182"/>
  <c r="F75" i="182" s="1"/>
  <c r="BV14" i="201"/>
  <c r="BU14" i="201"/>
  <c r="C45" i="182" l="1"/>
  <c r="F45" i="182" s="1"/>
  <c r="C62" i="182"/>
  <c r="C336" i="182"/>
  <c r="C332" i="182"/>
  <c r="C329" i="182"/>
  <c r="F329" i="182" s="1"/>
  <c r="F330" i="182" s="1"/>
  <c r="C326" i="182"/>
  <c r="F326" i="182" s="1"/>
  <c r="F327" i="182" s="1"/>
  <c r="C324" i="182"/>
  <c r="C317" i="182"/>
  <c r="C316" i="182"/>
  <c r="F316" i="182" s="1"/>
  <c r="F314" i="182" s="1"/>
  <c r="F331" i="182" s="1"/>
  <c r="F335" i="182" s="1"/>
  <c r="F339" i="182" s="1"/>
  <c r="C306" i="182"/>
  <c r="C302" i="182"/>
  <c r="C299" i="182"/>
  <c r="F299" i="182" s="1"/>
  <c r="F300" i="182" s="1"/>
  <c r="C296" i="182"/>
  <c r="F296" i="182" s="1"/>
  <c r="F297" i="182" s="1"/>
  <c r="C294" i="182"/>
  <c r="C287" i="182"/>
  <c r="C286" i="182"/>
  <c r="F286" i="182" s="1"/>
  <c r="F284" i="182" s="1"/>
  <c r="F301" i="182" s="1"/>
  <c r="F305" i="182" s="1"/>
  <c r="F309" i="182" s="1"/>
  <c r="C276" i="182"/>
  <c r="C272" i="182"/>
  <c r="C269" i="182"/>
  <c r="F269" i="182" s="1"/>
  <c r="F270" i="182" s="1"/>
  <c r="C266" i="182"/>
  <c r="F266" i="182" s="1"/>
  <c r="F267" i="182" s="1"/>
  <c r="C264" i="182"/>
  <c r="C257" i="182"/>
  <c r="C256" i="182"/>
  <c r="F256" i="182" s="1"/>
  <c r="F254" i="182" s="1"/>
  <c r="F271" i="182" s="1"/>
  <c r="F275" i="182" s="1"/>
  <c r="F279" i="182" s="1"/>
  <c r="C246" i="182"/>
  <c r="C242" i="182"/>
  <c r="C239" i="182"/>
  <c r="F239" i="182" s="1"/>
  <c r="F240" i="182" s="1"/>
  <c r="C236" i="182"/>
  <c r="F236" i="182" s="1"/>
  <c r="F237" i="182" s="1"/>
  <c r="C234" i="182"/>
  <c r="C227" i="182"/>
  <c r="C226" i="182"/>
  <c r="F226" i="182" s="1"/>
  <c r="F224" i="182" s="1"/>
  <c r="F241" i="182" s="1"/>
  <c r="F245" i="182" s="1"/>
  <c r="F249" i="182" s="1"/>
  <c r="C216" i="182"/>
  <c r="C212" i="182"/>
  <c r="C209" i="182"/>
  <c r="F209" i="182" s="1"/>
  <c r="F210" i="182" s="1"/>
  <c r="C206" i="182"/>
  <c r="F206" i="182" s="1"/>
  <c r="F207" i="182" s="1"/>
  <c r="C204" i="182"/>
  <c r="C197" i="182"/>
  <c r="C196" i="182"/>
  <c r="F196" i="182" s="1"/>
  <c r="F194" i="182" s="1"/>
  <c r="F211" i="182" s="1"/>
  <c r="F215" i="182" s="1"/>
  <c r="F219" i="182" s="1"/>
  <c r="C186" i="182"/>
  <c r="C182" i="182"/>
  <c r="C179" i="182"/>
  <c r="F179" i="182" s="1"/>
  <c r="F180" i="182" s="1"/>
  <c r="C176" i="182"/>
  <c r="F176" i="182" s="1"/>
  <c r="F177" i="182" s="1"/>
  <c r="C174" i="182"/>
  <c r="C167" i="182"/>
  <c r="C166" i="182"/>
  <c r="F166" i="182" s="1"/>
  <c r="F164" i="182" s="1"/>
  <c r="F181" i="182" s="1"/>
  <c r="F185" i="182" s="1"/>
  <c r="F189" i="182" s="1"/>
  <c r="C156" i="182"/>
  <c r="C152" i="182"/>
  <c r="C149" i="182"/>
  <c r="F149" i="182" s="1"/>
  <c r="F150" i="182" s="1"/>
  <c r="C146" i="182"/>
  <c r="F146" i="182" s="1"/>
  <c r="F147" i="182" s="1"/>
  <c r="C144" i="182"/>
  <c r="C137" i="182"/>
  <c r="C136" i="182"/>
  <c r="F136" i="182" s="1"/>
  <c r="F134" i="182" s="1"/>
  <c r="F151" i="182" s="1"/>
  <c r="F155" i="182" s="1"/>
  <c r="F159" i="182" s="1"/>
  <c r="C126" i="182"/>
  <c r="C122" i="182"/>
  <c r="C119" i="182"/>
  <c r="F119" i="182" s="1"/>
  <c r="F120" i="182" s="1"/>
  <c r="C116" i="182"/>
  <c r="F116" i="182" s="1"/>
  <c r="F117" i="182" s="1"/>
  <c r="C114" i="182"/>
  <c r="C107" i="182"/>
  <c r="C106" i="182"/>
  <c r="F106" i="182" s="1"/>
  <c r="F104" i="182" s="1"/>
  <c r="F121" i="182" s="1"/>
  <c r="F125" i="182" s="1"/>
  <c r="F129" i="182" s="1"/>
  <c r="C89" i="182"/>
  <c r="F89" i="182" s="1"/>
  <c r="F90" i="182" s="1"/>
  <c r="C47" i="182"/>
  <c r="C46" i="182"/>
  <c r="F46" i="182" s="1"/>
  <c r="D336" i="182"/>
  <c r="D332" i="182"/>
  <c r="D326" i="182"/>
  <c r="D324" i="182"/>
  <c r="D317" i="182"/>
  <c r="D316" i="182"/>
  <c r="D306" i="182"/>
  <c r="D302" i="182"/>
  <c r="D296" i="182"/>
  <c r="D294" i="182"/>
  <c r="D287" i="182"/>
  <c r="D286" i="182"/>
  <c r="D276" i="182"/>
  <c r="D272" i="182"/>
  <c r="D266" i="182"/>
  <c r="D264" i="182"/>
  <c r="D257" i="182"/>
  <c r="D256" i="182"/>
  <c r="D246" i="182"/>
  <c r="D242" i="182"/>
  <c r="D236" i="182"/>
  <c r="D234" i="182"/>
  <c r="D227" i="182"/>
  <c r="D226" i="182"/>
  <c r="D216" i="182"/>
  <c r="D212" i="182"/>
  <c r="D206" i="182"/>
  <c r="D204" i="182"/>
  <c r="D197" i="182"/>
  <c r="D196" i="182"/>
  <c r="D186" i="182"/>
  <c r="D182" i="182"/>
  <c r="D176" i="182"/>
  <c r="D174" i="182"/>
  <c r="D167" i="182"/>
  <c r="D166" i="182"/>
  <c r="D156" i="182"/>
  <c r="D152" i="182"/>
  <c r="D146" i="182"/>
  <c r="D144" i="182"/>
  <c r="D137" i="182"/>
  <c r="D136" i="182"/>
  <c r="D126" i="182"/>
  <c r="D122" i="182"/>
  <c r="D116" i="182"/>
  <c r="D114" i="182"/>
  <c r="D107" i="182"/>
  <c r="D106" i="182"/>
  <c r="D96" i="182"/>
  <c r="C96" i="182"/>
  <c r="D92" i="182"/>
  <c r="C92" i="182"/>
  <c r="D86" i="182"/>
  <c r="C86" i="182"/>
  <c r="F86" i="182" s="1"/>
  <c r="F87" i="182" s="1"/>
  <c r="D84" i="182"/>
  <c r="C84" i="182"/>
  <c r="D77" i="182"/>
  <c r="C77" i="182"/>
  <c r="D76" i="182"/>
  <c r="C76" i="182"/>
  <c r="F76" i="182" s="1"/>
  <c r="F74" i="182" s="1"/>
  <c r="F91" i="182" s="1"/>
  <c r="F95" i="182" s="1"/>
  <c r="F99" i="182" s="1"/>
  <c r="D66" i="182"/>
  <c r="D62" i="182"/>
  <c r="D56" i="182"/>
  <c r="D54" i="182"/>
  <c r="D47" i="182"/>
  <c r="D46" i="182"/>
  <c r="C66" i="182"/>
  <c r="P315" i="182" l="1"/>
  <c r="P285" i="182"/>
  <c r="P255" i="182"/>
  <c r="P225" i="182"/>
  <c r="P195" i="182"/>
  <c r="P165" i="182"/>
  <c r="P135" i="182"/>
  <c r="P105" i="182"/>
  <c r="P75" i="182"/>
  <c r="D121" i="182"/>
  <c r="D125" i="182" s="1"/>
  <c r="D129" i="182" s="1"/>
  <c r="D181" i="182"/>
  <c r="D185" i="182" s="1"/>
  <c r="D189" i="182" s="1"/>
  <c r="D151" i="182"/>
  <c r="D155" i="182" s="1"/>
  <c r="D159" i="182" s="1"/>
  <c r="D211" i="182"/>
  <c r="D215" i="182" s="1"/>
  <c r="D219" i="182" s="1"/>
  <c r="D271" i="182"/>
  <c r="D275" i="182" s="1"/>
  <c r="D279" i="182" s="1"/>
  <c r="D331" i="182"/>
  <c r="D335" i="182" s="1"/>
  <c r="D339" i="182" s="1"/>
  <c r="F44" i="182"/>
  <c r="F61" i="182" s="1"/>
  <c r="C211" i="182"/>
  <c r="C215" i="182" s="1"/>
  <c r="C219" i="182" s="1"/>
  <c r="C151" i="182"/>
  <c r="C155" i="182" s="1"/>
  <c r="C159" i="182" s="1"/>
  <c r="C271" i="182"/>
  <c r="C275" i="182" s="1"/>
  <c r="C279" i="182" s="1"/>
  <c r="D91" i="182"/>
  <c r="D95" i="182" s="1"/>
  <c r="D99" i="182" s="1"/>
  <c r="C121" i="182"/>
  <c r="C125" i="182" s="1"/>
  <c r="C129" i="182" s="1"/>
  <c r="C241" i="182"/>
  <c r="C245" i="182" s="1"/>
  <c r="C249" i="182" s="1"/>
  <c r="D301" i="182"/>
  <c r="D305" i="182" s="1"/>
  <c r="D309" i="182" s="1"/>
  <c r="D241" i="182"/>
  <c r="D245" i="182" s="1"/>
  <c r="D249" i="182" s="1"/>
  <c r="D61" i="182"/>
  <c r="D65" i="182" s="1"/>
  <c r="D69" i="182" s="1"/>
  <c r="C59" i="182"/>
  <c r="F59" i="182" s="1"/>
  <c r="F60" i="182" s="1"/>
  <c r="C56" i="182"/>
  <c r="F56" i="182" s="1"/>
  <c r="F57" i="182" s="1"/>
  <c r="C54" i="182"/>
  <c r="C61" i="182" s="1"/>
  <c r="C65" i="182" s="1"/>
  <c r="C69" i="182" s="1"/>
  <c r="C91" i="182"/>
  <c r="C95" i="182" s="1"/>
  <c r="C99" i="182" s="1"/>
  <c r="C331" i="182"/>
  <c r="C335" i="182" s="1"/>
  <c r="C339" i="182" s="1"/>
  <c r="C301" i="182"/>
  <c r="C305" i="182" s="1"/>
  <c r="C309" i="182" s="1"/>
  <c r="C181" i="182"/>
  <c r="C185" i="182" s="1"/>
  <c r="C189" i="182" s="1"/>
  <c r="BD29" i="201"/>
  <c r="S96" i="205" s="1"/>
  <c r="BC29" i="201"/>
  <c r="BB29" i="201"/>
  <c r="Q96" i="205" s="1"/>
  <c r="AY29" i="201"/>
  <c r="AX29" i="201"/>
  <c r="AU29" i="201"/>
  <c r="BM29" i="201" s="1"/>
  <c r="AT29" i="201"/>
  <c r="AQ29" i="201"/>
  <c r="BI29" i="201" s="1"/>
  <c r="AP29" i="201"/>
  <c r="AO29" i="201"/>
  <c r="BD28" i="201"/>
  <c r="S95" i="205" s="1"/>
  <c r="BC28" i="201"/>
  <c r="BB28" i="201"/>
  <c r="Q95" i="205" s="1"/>
  <c r="AY28" i="201"/>
  <c r="AX28" i="201"/>
  <c r="AU28" i="201"/>
  <c r="BM28" i="201" s="1"/>
  <c r="AT28" i="201"/>
  <c r="AQ28" i="201"/>
  <c r="BI28" i="201" s="1"/>
  <c r="AP28" i="201"/>
  <c r="AO28" i="201"/>
  <c r="BD27" i="201"/>
  <c r="S94" i="205" s="1"/>
  <c r="BC27" i="201"/>
  <c r="BB27" i="201"/>
  <c r="Q94" i="205" s="1"/>
  <c r="AY27" i="201"/>
  <c r="AX27" i="201"/>
  <c r="AU27" i="201"/>
  <c r="BM27" i="201" s="1"/>
  <c r="AT27" i="201"/>
  <c r="BL27" i="201" s="1"/>
  <c r="AQ27" i="201"/>
  <c r="BI27" i="201" s="1"/>
  <c r="AP27" i="201"/>
  <c r="AO27" i="201"/>
  <c r="BD26" i="201"/>
  <c r="S93" i="205" s="1"/>
  <c r="BC26" i="201"/>
  <c r="BB26" i="201"/>
  <c r="Q93" i="205" s="1"/>
  <c r="AY26" i="201"/>
  <c r="AX26" i="201"/>
  <c r="AU26" i="201"/>
  <c r="BM26" i="201" s="1"/>
  <c r="AT26" i="201"/>
  <c r="AQ26" i="201"/>
  <c r="BI26" i="201" s="1"/>
  <c r="AP26" i="201"/>
  <c r="AO26" i="201"/>
  <c r="BD25" i="201"/>
  <c r="S92" i="205" s="1"/>
  <c r="BC25" i="201"/>
  <c r="BB25" i="201"/>
  <c r="Q92" i="205" s="1"/>
  <c r="AY25" i="201"/>
  <c r="AU25" i="201"/>
  <c r="BM25" i="201" s="1"/>
  <c r="AT25" i="201"/>
  <c r="BL25" i="201" s="1"/>
  <c r="AQ25" i="201"/>
  <c r="BI25" i="201" s="1"/>
  <c r="AP25" i="201"/>
  <c r="BH25" i="201" s="1"/>
  <c r="AO25" i="201"/>
  <c r="BE24" i="201"/>
  <c r="T91" i="205" s="1"/>
  <c r="BD24" i="201"/>
  <c r="S91" i="205" s="1"/>
  <c r="BC24" i="201"/>
  <c r="BJ24" i="201" s="1"/>
  <c r="BB24" i="201"/>
  <c r="Q91" i="205" s="1"/>
  <c r="AY24" i="201"/>
  <c r="AU24" i="201"/>
  <c r="BM24" i="201" s="1"/>
  <c r="AT24" i="201"/>
  <c r="AQ24" i="201"/>
  <c r="AP24" i="201"/>
  <c r="BH24" i="201" s="1"/>
  <c r="AO24" i="201"/>
  <c r="BD23" i="201"/>
  <c r="S90" i="205" s="1"/>
  <c r="BC23" i="201"/>
  <c r="BB23" i="201"/>
  <c r="Q90" i="205" s="1"/>
  <c r="AY23" i="201"/>
  <c r="AX23" i="201"/>
  <c r="AU23" i="201"/>
  <c r="BM23" i="201" s="1"/>
  <c r="AT23" i="201"/>
  <c r="AQ23" i="201"/>
  <c r="BI23" i="201" s="1"/>
  <c r="AP23" i="201"/>
  <c r="AO23" i="201"/>
  <c r="BE22" i="201"/>
  <c r="BD22" i="201"/>
  <c r="S89" i="205" s="1"/>
  <c r="BC22" i="201"/>
  <c r="BB22" i="201"/>
  <c r="Q89" i="205" s="1"/>
  <c r="AY22" i="201"/>
  <c r="AX22" i="201"/>
  <c r="AU22" i="201"/>
  <c r="BM22" i="201" s="1"/>
  <c r="AT22" i="201"/>
  <c r="AQ22" i="201"/>
  <c r="AP22" i="201"/>
  <c r="AO22" i="201"/>
  <c r="BD21" i="201"/>
  <c r="S88" i="205" s="1"/>
  <c r="BC21" i="201"/>
  <c r="BB21" i="201"/>
  <c r="Q88" i="205" s="1"/>
  <c r="AY21" i="201"/>
  <c r="AX21" i="201"/>
  <c r="AU21" i="201"/>
  <c r="BM21" i="201" s="1"/>
  <c r="AT21" i="201"/>
  <c r="BL21" i="201" s="1"/>
  <c r="BN21" i="201" s="1"/>
  <c r="AQ21" i="201"/>
  <c r="AP21" i="201"/>
  <c r="AO21" i="201"/>
  <c r="BD20" i="201"/>
  <c r="S87" i="205" s="1"/>
  <c r="BC20" i="201"/>
  <c r="BB20" i="201"/>
  <c r="Q87" i="205" s="1"/>
  <c r="AY20" i="201"/>
  <c r="AX20" i="201"/>
  <c r="AU20" i="201"/>
  <c r="BM20" i="201" s="1"/>
  <c r="AT20" i="201"/>
  <c r="BL20" i="201" s="1"/>
  <c r="BJ20" i="201"/>
  <c r="AQ20" i="201"/>
  <c r="BI20" i="201" s="1"/>
  <c r="AP20" i="201"/>
  <c r="AO20" i="201"/>
  <c r="C17" i="125"/>
  <c r="C16" i="125"/>
  <c r="C15" i="125"/>
  <c r="C14" i="125"/>
  <c r="C13" i="125"/>
  <c r="C12" i="125"/>
  <c r="C11" i="125"/>
  <c r="C10" i="125"/>
  <c r="C9" i="125"/>
  <c r="C8" i="125"/>
  <c r="K17" i="125"/>
  <c r="K16" i="125"/>
  <c r="K15" i="125"/>
  <c r="K14" i="125"/>
  <c r="K13" i="125"/>
  <c r="K12" i="125"/>
  <c r="K11" i="125"/>
  <c r="K10" i="125"/>
  <c r="K9" i="125"/>
  <c r="K8" i="125"/>
  <c r="D359" i="26"/>
  <c r="D358" i="26"/>
  <c r="D357" i="26"/>
  <c r="D356" i="26"/>
  <c r="D355" i="26"/>
  <c r="D354" i="26"/>
  <c r="D353" i="26"/>
  <c r="D352" i="26"/>
  <c r="D351" i="26"/>
  <c r="D350" i="26"/>
  <c r="D260" i="26"/>
  <c r="H274" i="26" s="1"/>
  <c r="AV205" i="26"/>
  <c r="AR205" i="26"/>
  <c r="AN205" i="26"/>
  <c r="AJ205" i="26"/>
  <c r="AF205" i="26"/>
  <c r="BD205" i="26" s="1"/>
  <c r="AB205" i="26"/>
  <c r="X205" i="26"/>
  <c r="T205" i="26"/>
  <c r="P205" i="26"/>
  <c r="L205" i="26"/>
  <c r="AV204" i="26"/>
  <c r="AR204" i="26"/>
  <c r="AN204" i="26"/>
  <c r="AJ204" i="26"/>
  <c r="AF204" i="26"/>
  <c r="BD204" i="26" s="1"/>
  <c r="AB204" i="26"/>
  <c r="X204" i="26"/>
  <c r="T204" i="26"/>
  <c r="P204" i="26"/>
  <c r="L204" i="26"/>
  <c r="AV203" i="26"/>
  <c r="AR203" i="26"/>
  <c r="AN203" i="26"/>
  <c r="AJ203" i="26"/>
  <c r="AF203" i="26"/>
  <c r="BD203" i="26" s="1"/>
  <c r="AB203" i="26"/>
  <c r="X203" i="26"/>
  <c r="T203" i="26"/>
  <c r="P203" i="26"/>
  <c r="L203" i="26"/>
  <c r="AV202" i="26"/>
  <c r="AR202" i="26"/>
  <c r="AN202" i="26"/>
  <c r="AJ202" i="26"/>
  <c r="AF202" i="26"/>
  <c r="BD202" i="26" s="1"/>
  <c r="AB202" i="26"/>
  <c r="X202" i="26"/>
  <c r="T202" i="26"/>
  <c r="P202" i="26"/>
  <c r="L202" i="26"/>
  <c r="AV201" i="26"/>
  <c r="AR201" i="26"/>
  <c r="AN201" i="26"/>
  <c r="AJ201" i="26"/>
  <c r="AF201" i="26"/>
  <c r="BD201" i="26" s="1"/>
  <c r="AB201" i="26"/>
  <c r="X201" i="26"/>
  <c r="T201" i="26"/>
  <c r="P201" i="26"/>
  <c r="L201" i="26"/>
  <c r="AV200" i="26"/>
  <c r="AR200" i="26"/>
  <c r="AN200" i="26"/>
  <c r="AJ200" i="26"/>
  <c r="AF200" i="26"/>
  <c r="BD200" i="26" s="1"/>
  <c r="AB200" i="26"/>
  <c r="X200" i="26"/>
  <c r="T200" i="26"/>
  <c r="P200" i="26"/>
  <c r="L200" i="26"/>
  <c r="AV199" i="26"/>
  <c r="AR199" i="26"/>
  <c r="AN199" i="26"/>
  <c r="AJ199" i="26"/>
  <c r="AF199" i="26"/>
  <c r="BD199" i="26" s="1"/>
  <c r="AB199" i="26"/>
  <c r="X199" i="26"/>
  <c r="T199" i="26"/>
  <c r="P199" i="26"/>
  <c r="L199" i="26"/>
  <c r="AV198" i="26"/>
  <c r="AR198" i="26"/>
  <c r="AN198" i="26"/>
  <c r="AJ198" i="26"/>
  <c r="AF198" i="26"/>
  <c r="BD198" i="26" s="1"/>
  <c r="AB198" i="26"/>
  <c r="X198" i="26"/>
  <c r="T198" i="26"/>
  <c r="P198" i="26"/>
  <c r="L198" i="26"/>
  <c r="AV197" i="26"/>
  <c r="AR197" i="26"/>
  <c r="AN197" i="26"/>
  <c r="AJ197" i="26"/>
  <c r="AF197" i="26"/>
  <c r="BD197" i="26" s="1"/>
  <c r="AB197" i="26"/>
  <c r="X197" i="26"/>
  <c r="T197" i="26"/>
  <c r="P197" i="26"/>
  <c r="L197" i="26"/>
  <c r="AV196" i="26"/>
  <c r="AR196" i="26"/>
  <c r="AN196" i="26"/>
  <c r="AJ196" i="26"/>
  <c r="AF196" i="26"/>
  <c r="BD196" i="26" s="1"/>
  <c r="AB196" i="26"/>
  <c r="X196" i="26"/>
  <c r="T196" i="26"/>
  <c r="P196" i="26"/>
  <c r="O228" i="26" s="1"/>
  <c r="L196" i="26"/>
  <c r="D205" i="26"/>
  <c r="D204" i="26"/>
  <c r="D203" i="26"/>
  <c r="D202" i="26"/>
  <c r="D201" i="26"/>
  <c r="D200" i="26"/>
  <c r="D199" i="26"/>
  <c r="D198" i="26"/>
  <c r="D197" i="26"/>
  <c r="D196" i="26"/>
  <c r="AV133" i="26"/>
  <c r="AV142" i="26"/>
  <c r="AR142" i="26"/>
  <c r="AN142" i="26"/>
  <c r="AJ142" i="26"/>
  <c r="AF142" i="26"/>
  <c r="BD142" i="26" s="1"/>
  <c r="AB142" i="26"/>
  <c r="X142" i="26"/>
  <c r="T142" i="26"/>
  <c r="P142" i="26"/>
  <c r="L142" i="26"/>
  <c r="AV141" i="26"/>
  <c r="AR141" i="26"/>
  <c r="AN141" i="26"/>
  <c r="AJ141" i="26"/>
  <c r="AF141" i="26"/>
  <c r="BD141" i="26" s="1"/>
  <c r="AB141" i="26"/>
  <c r="X141" i="26"/>
  <c r="T141" i="26"/>
  <c r="P141" i="26"/>
  <c r="L141" i="26"/>
  <c r="AV140" i="26"/>
  <c r="AR140" i="26"/>
  <c r="AN140" i="26"/>
  <c r="AJ140" i="26"/>
  <c r="AF140" i="26"/>
  <c r="BD140" i="26" s="1"/>
  <c r="AB140" i="26"/>
  <c r="X140" i="26"/>
  <c r="T140" i="26"/>
  <c r="P140" i="26"/>
  <c r="L140" i="26"/>
  <c r="AV139" i="26"/>
  <c r="AR139" i="26"/>
  <c r="AN139" i="26"/>
  <c r="AJ139" i="26"/>
  <c r="AF139" i="26"/>
  <c r="BD139" i="26" s="1"/>
  <c r="AB139" i="26"/>
  <c r="X139" i="26"/>
  <c r="T139" i="26"/>
  <c r="P139" i="26"/>
  <c r="L139" i="26"/>
  <c r="AV138" i="26"/>
  <c r="AR138" i="26"/>
  <c r="AN138" i="26"/>
  <c r="AJ138" i="26"/>
  <c r="AF138" i="26"/>
  <c r="BD138" i="26" s="1"/>
  <c r="AB138" i="26"/>
  <c r="X138" i="26"/>
  <c r="T138" i="26"/>
  <c r="P138" i="26"/>
  <c r="L138" i="26"/>
  <c r="AV137" i="26"/>
  <c r="AR137" i="26"/>
  <c r="AN137" i="26"/>
  <c r="AJ137" i="26"/>
  <c r="AF137" i="26"/>
  <c r="BD137" i="26" s="1"/>
  <c r="AB137" i="26"/>
  <c r="X137" i="26"/>
  <c r="T137" i="26"/>
  <c r="P137" i="26"/>
  <c r="L137" i="26"/>
  <c r="AV136" i="26"/>
  <c r="AR136" i="26"/>
  <c r="AN136" i="26"/>
  <c r="AJ136" i="26"/>
  <c r="AF136" i="26"/>
  <c r="BD136" i="26" s="1"/>
  <c r="AB136" i="26"/>
  <c r="X136" i="26"/>
  <c r="T136" i="26"/>
  <c r="P136" i="26"/>
  <c r="L136" i="26"/>
  <c r="AV135" i="26"/>
  <c r="AR135" i="26"/>
  <c r="AN135" i="26"/>
  <c r="AJ135" i="26"/>
  <c r="AF135" i="26"/>
  <c r="BD135" i="26" s="1"/>
  <c r="AB135" i="26"/>
  <c r="X135" i="26"/>
  <c r="T135" i="26"/>
  <c r="P135" i="26"/>
  <c r="L135" i="26"/>
  <c r="AV134" i="26"/>
  <c r="AR134" i="26"/>
  <c r="AN134" i="26"/>
  <c r="AJ134" i="26"/>
  <c r="AF134" i="26"/>
  <c r="BD134" i="26" s="1"/>
  <c r="AB134" i="26"/>
  <c r="X134" i="26"/>
  <c r="T134" i="26"/>
  <c r="P134" i="26"/>
  <c r="L134" i="26"/>
  <c r="AR133" i="26"/>
  <c r="AN133" i="26"/>
  <c r="AJ133" i="26"/>
  <c r="AF133" i="26"/>
  <c r="BD133" i="26" s="1"/>
  <c r="AB133" i="26"/>
  <c r="X133" i="26"/>
  <c r="T133" i="26"/>
  <c r="P133" i="26"/>
  <c r="L133" i="26"/>
  <c r="D142" i="26"/>
  <c r="D141" i="26"/>
  <c r="D140" i="26"/>
  <c r="D139" i="26"/>
  <c r="D138" i="26"/>
  <c r="D137" i="26"/>
  <c r="D136" i="26"/>
  <c r="D135" i="26"/>
  <c r="D134" i="26"/>
  <c r="D133" i="26"/>
  <c r="AV78" i="26"/>
  <c r="AR78" i="26"/>
  <c r="AN78" i="26"/>
  <c r="AJ78" i="26"/>
  <c r="AF78" i="26"/>
  <c r="BD78" i="26" s="1"/>
  <c r="AB78" i="26"/>
  <c r="X78" i="26"/>
  <c r="T78" i="26"/>
  <c r="P78" i="26"/>
  <c r="L78" i="26"/>
  <c r="AV77" i="26"/>
  <c r="AR77" i="26"/>
  <c r="AN77" i="26"/>
  <c r="AJ77" i="26"/>
  <c r="AF77" i="26"/>
  <c r="BD77" i="26" s="1"/>
  <c r="AB77" i="26"/>
  <c r="X77" i="26"/>
  <c r="T77" i="26"/>
  <c r="P77" i="26"/>
  <c r="L77" i="26"/>
  <c r="AV76" i="26"/>
  <c r="AR76" i="26"/>
  <c r="AN76" i="26"/>
  <c r="AJ76" i="26"/>
  <c r="AF76" i="26"/>
  <c r="BD76" i="26" s="1"/>
  <c r="AB76" i="26"/>
  <c r="X76" i="26"/>
  <c r="T76" i="26"/>
  <c r="P76" i="26"/>
  <c r="L76" i="26"/>
  <c r="AV75" i="26"/>
  <c r="AR75" i="26"/>
  <c r="AN75" i="26"/>
  <c r="AJ75" i="26"/>
  <c r="AF75" i="26"/>
  <c r="BD75" i="26" s="1"/>
  <c r="AB75" i="26"/>
  <c r="X75" i="26"/>
  <c r="T75" i="26"/>
  <c r="P75" i="26"/>
  <c r="L75" i="26"/>
  <c r="AV74" i="26"/>
  <c r="AR74" i="26"/>
  <c r="AN74" i="26"/>
  <c r="AJ74" i="26"/>
  <c r="AF74" i="26"/>
  <c r="BD74" i="26" s="1"/>
  <c r="AB74" i="26"/>
  <c r="X74" i="26"/>
  <c r="T74" i="26"/>
  <c r="P74" i="26"/>
  <c r="L74" i="26"/>
  <c r="AV73" i="26"/>
  <c r="AR73" i="26"/>
  <c r="AN73" i="26"/>
  <c r="AJ73" i="26"/>
  <c r="AF73" i="26"/>
  <c r="BD73" i="26" s="1"/>
  <c r="AB73" i="26"/>
  <c r="X73" i="26"/>
  <c r="T73" i="26"/>
  <c r="P73" i="26"/>
  <c r="L73" i="26"/>
  <c r="AV72" i="26"/>
  <c r="AR72" i="26"/>
  <c r="AN72" i="26"/>
  <c r="AJ72" i="26"/>
  <c r="AF72" i="26"/>
  <c r="BD72" i="26" s="1"/>
  <c r="AB72" i="26"/>
  <c r="X72" i="26"/>
  <c r="T72" i="26"/>
  <c r="P72" i="26"/>
  <c r="L72" i="26"/>
  <c r="AV71" i="26"/>
  <c r="AR71" i="26"/>
  <c r="AN71" i="26"/>
  <c r="AJ71" i="26"/>
  <c r="AF71" i="26"/>
  <c r="BD71" i="26" s="1"/>
  <c r="AB71" i="26"/>
  <c r="X71" i="26"/>
  <c r="T71" i="26"/>
  <c r="P71" i="26"/>
  <c r="L71" i="26"/>
  <c r="AV70" i="26"/>
  <c r="AR70" i="26"/>
  <c r="AN70" i="26"/>
  <c r="AJ70" i="26"/>
  <c r="AF70" i="26"/>
  <c r="BD70" i="26" s="1"/>
  <c r="AB70" i="26"/>
  <c r="X70" i="26"/>
  <c r="T70" i="26"/>
  <c r="P70" i="26"/>
  <c r="L70" i="26"/>
  <c r="AV69" i="26"/>
  <c r="AR69" i="26"/>
  <c r="AN69" i="26"/>
  <c r="AJ69" i="26"/>
  <c r="AF69" i="26"/>
  <c r="BD69" i="26" s="1"/>
  <c r="AB69" i="26"/>
  <c r="X69" i="26"/>
  <c r="T69" i="26"/>
  <c r="P69" i="26"/>
  <c r="L69" i="26"/>
  <c r="H78" i="26"/>
  <c r="H77" i="26"/>
  <c r="H76" i="26"/>
  <c r="H75" i="26"/>
  <c r="H74" i="26"/>
  <c r="H73" i="26"/>
  <c r="H72" i="26"/>
  <c r="H71" i="26"/>
  <c r="H70" i="26"/>
  <c r="H69" i="26"/>
  <c r="D78" i="26"/>
  <c r="D77" i="26"/>
  <c r="D76" i="26"/>
  <c r="D75" i="26"/>
  <c r="D74" i="26"/>
  <c r="D73" i="26"/>
  <c r="D72" i="26"/>
  <c r="D71" i="26"/>
  <c r="D70" i="26"/>
  <c r="D69" i="26"/>
  <c r="B84" i="26"/>
  <c r="C84" i="26"/>
  <c r="B85" i="26"/>
  <c r="C85" i="26"/>
  <c r="B86" i="26"/>
  <c r="C86" i="26"/>
  <c r="B87" i="26"/>
  <c r="C87" i="26"/>
  <c r="B88" i="26"/>
  <c r="C88" i="26"/>
  <c r="B89" i="26"/>
  <c r="C89" i="26"/>
  <c r="B90" i="26"/>
  <c r="C90" i="26"/>
  <c r="B91" i="26"/>
  <c r="C91" i="26"/>
  <c r="B92" i="26"/>
  <c r="C92" i="26"/>
  <c r="B93" i="26"/>
  <c r="C93" i="26"/>
  <c r="AB14" i="26"/>
  <c r="AB13" i="26"/>
  <c r="AB12" i="26"/>
  <c r="AB11" i="26"/>
  <c r="AB10" i="26"/>
  <c r="AB9" i="26"/>
  <c r="AB8" i="26"/>
  <c r="AB7" i="26"/>
  <c r="AB6" i="26"/>
  <c r="AB5" i="26"/>
  <c r="AB78" i="27"/>
  <c r="AB77" i="27"/>
  <c r="AB76" i="27"/>
  <c r="AB75" i="27"/>
  <c r="AB74" i="27"/>
  <c r="AB73" i="27"/>
  <c r="AB72" i="27"/>
  <c r="AB71" i="27"/>
  <c r="AB70" i="27"/>
  <c r="AB69" i="27"/>
  <c r="D267" i="27"/>
  <c r="D266" i="27"/>
  <c r="D265" i="27"/>
  <c r="D264" i="27"/>
  <c r="D263" i="27"/>
  <c r="D262" i="27"/>
  <c r="D261" i="27"/>
  <c r="D260" i="27"/>
  <c r="D259" i="27"/>
  <c r="D258" i="27"/>
  <c r="D78" i="27"/>
  <c r="D77" i="27"/>
  <c r="D76" i="27"/>
  <c r="D75" i="27"/>
  <c r="D74" i="27"/>
  <c r="D73" i="27"/>
  <c r="D72" i="27"/>
  <c r="D71" i="27"/>
  <c r="D70" i="27"/>
  <c r="D69" i="27"/>
  <c r="BI21" i="201" l="1"/>
  <c r="BI116" i="201" s="1"/>
  <c r="AQ116" i="201"/>
  <c r="BI24" i="201"/>
  <c r="BI119" i="201" s="1"/>
  <c r="BH29" i="201"/>
  <c r="BL24" i="201"/>
  <c r="BN24" i="201" s="1"/>
  <c r="BH22" i="201"/>
  <c r="BL29" i="201"/>
  <c r="BN29" i="201" s="1"/>
  <c r="BI22" i="201"/>
  <c r="BI135" i="201" s="1"/>
  <c r="BL22" i="201"/>
  <c r="BN22" i="201" s="1"/>
  <c r="BH27" i="201"/>
  <c r="BG28" i="201"/>
  <c r="AU156" i="201"/>
  <c r="BG21" i="201"/>
  <c r="AU149" i="201"/>
  <c r="BG20" i="201"/>
  <c r="AU148" i="201"/>
  <c r="BG25" i="201"/>
  <c r="BM153" i="201" s="1"/>
  <c r="AU153" i="201"/>
  <c r="BG29" i="201"/>
  <c r="BM157" i="201" s="1"/>
  <c r="AU157" i="201"/>
  <c r="BG27" i="201"/>
  <c r="AU155" i="201"/>
  <c r="BG26" i="201"/>
  <c r="AU154" i="201"/>
  <c r="BG24" i="201"/>
  <c r="AU152" i="201"/>
  <c r="BG23" i="201"/>
  <c r="AU151" i="201"/>
  <c r="BG22" i="201"/>
  <c r="AU150" i="201"/>
  <c r="BJ115" i="201"/>
  <c r="BN27" i="201"/>
  <c r="K152" i="125"/>
  <c r="R88" i="205"/>
  <c r="V88" i="205" s="1"/>
  <c r="K157" i="125"/>
  <c r="R93" i="205"/>
  <c r="V93" i="205" s="1"/>
  <c r="K151" i="125"/>
  <c r="R87" i="205"/>
  <c r="V87" i="205" s="1"/>
  <c r="BC115" i="201"/>
  <c r="K160" i="125"/>
  <c r="R96" i="205"/>
  <c r="V96" i="205" s="1"/>
  <c r="K159" i="125"/>
  <c r="R95" i="205"/>
  <c r="V95" i="205" s="1"/>
  <c r="K158" i="125"/>
  <c r="R94" i="205"/>
  <c r="V94" i="205" s="1"/>
  <c r="K156" i="125"/>
  <c r="R92" i="205"/>
  <c r="V92" i="205" s="1"/>
  <c r="R91" i="205"/>
  <c r="V91" i="205"/>
  <c r="T89" i="205"/>
  <c r="T97" i="205" s="1"/>
  <c r="S97" i="205"/>
  <c r="BH23" i="201"/>
  <c r="AP118" i="201"/>
  <c r="BL23" i="201"/>
  <c r="BN23" i="201" s="1"/>
  <c r="K154" i="125"/>
  <c r="R90" i="205"/>
  <c r="V90" i="205" s="1"/>
  <c r="Q97" i="205"/>
  <c r="K153" i="125"/>
  <c r="R89" i="205"/>
  <c r="BH21" i="201"/>
  <c r="BJ21" i="201"/>
  <c r="BJ22" i="201"/>
  <c r="BJ25" i="201"/>
  <c r="BK25" i="201" s="1"/>
  <c r="BJ23" i="201"/>
  <c r="BJ28" i="201"/>
  <c r="BJ29" i="201"/>
  <c r="BK29" i="201" s="1"/>
  <c r="BJ27" i="201"/>
  <c r="BK27" i="201" s="1"/>
  <c r="BJ26" i="201"/>
  <c r="BH20" i="201"/>
  <c r="BK21" i="201"/>
  <c r="BN25" i="201"/>
  <c r="BH28" i="201"/>
  <c r="BH26" i="201"/>
  <c r="BL28" i="201"/>
  <c r="BN28" i="201" s="1"/>
  <c r="BL26" i="201"/>
  <c r="BN26" i="201" s="1"/>
  <c r="K155" i="125"/>
  <c r="P316" i="182"/>
  <c r="Q316" i="182" s="1"/>
  <c r="Q315" i="182"/>
  <c r="P286" i="182"/>
  <c r="Q286" i="182" s="1"/>
  <c r="Q285" i="182"/>
  <c r="P256" i="182"/>
  <c r="Q256" i="182" s="1"/>
  <c r="Q255" i="182"/>
  <c r="P226" i="182"/>
  <c r="Q226" i="182" s="1"/>
  <c r="Q225" i="182"/>
  <c r="P196" i="182"/>
  <c r="Q196" i="182" s="1"/>
  <c r="Q195" i="182"/>
  <c r="P166" i="182"/>
  <c r="Q166" i="182" s="1"/>
  <c r="Q165" i="182"/>
  <c r="P136" i="182"/>
  <c r="Q136" i="182" s="1"/>
  <c r="Q135" i="182"/>
  <c r="P106" i="182"/>
  <c r="Q106" i="182" s="1"/>
  <c r="Q105" i="182"/>
  <c r="Q75" i="182"/>
  <c r="P76" i="182"/>
  <c r="Q76" i="182" s="1"/>
  <c r="E172" i="182"/>
  <c r="E173" i="183" s="1"/>
  <c r="L173" i="183" s="1"/>
  <c r="E112" i="182"/>
  <c r="E109" i="183" s="1"/>
  <c r="M140" i="125"/>
  <c r="M141" i="125"/>
  <c r="E92" i="125"/>
  <c r="E137" i="125"/>
  <c r="F153" i="125"/>
  <c r="M138" i="125"/>
  <c r="F154" i="125"/>
  <c r="M139" i="125"/>
  <c r="E63" i="125"/>
  <c r="E64" i="125"/>
  <c r="E98" i="125"/>
  <c r="E143" i="125"/>
  <c r="F159" i="125"/>
  <c r="M144" i="125"/>
  <c r="E68" i="125"/>
  <c r="E59" i="125"/>
  <c r="F156" i="125"/>
  <c r="E65" i="125"/>
  <c r="E136" i="125"/>
  <c r="F152" i="125"/>
  <c r="M137" i="125"/>
  <c r="E61" i="125"/>
  <c r="E62" i="125"/>
  <c r="E96" i="125"/>
  <c r="E97" i="125"/>
  <c r="E142" i="125"/>
  <c r="F158" i="125"/>
  <c r="M143" i="125"/>
  <c r="E67" i="125"/>
  <c r="E101" i="125"/>
  <c r="E93" i="125"/>
  <c r="E138" i="125"/>
  <c r="E139" i="125"/>
  <c r="F155" i="125"/>
  <c r="E99" i="125"/>
  <c r="E144" i="125"/>
  <c r="F160" i="125"/>
  <c r="M145" i="125"/>
  <c r="F151" i="125"/>
  <c r="M136" i="125"/>
  <c r="E60" i="125"/>
  <c r="E94" i="125"/>
  <c r="E95" i="125"/>
  <c r="E140" i="125"/>
  <c r="E141" i="125"/>
  <c r="F157" i="125"/>
  <c r="M142" i="125"/>
  <c r="E66" i="125"/>
  <c r="E100" i="125"/>
  <c r="E145" i="125"/>
  <c r="AO148" i="201"/>
  <c r="E110" i="125"/>
  <c r="E26" i="125"/>
  <c r="AO150" i="201"/>
  <c r="AO151" i="201"/>
  <c r="E27" i="125"/>
  <c r="E111" i="125"/>
  <c r="E116" i="125"/>
  <c r="AO156" i="201"/>
  <c r="E32" i="125"/>
  <c r="E108" i="125"/>
  <c r="E24" i="125"/>
  <c r="AO149" i="201"/>
  <c r="E109" i="125"/>
  <c r="E25" i="125"/>
  <c r="E45" i="125"/>
  <c r="AR151" i="201"/>
  <c r="E115" i="125"/>
  <c r="E31" i="125"/>
  <c r="AO155" i="201"/>
  <c r="AR156" i="201"/>
  <c r="E50" i="125"/>
  <c r="AR148" i="201"/>
  <c r="E42" i="125"/>
  <c r="E43" i="125"/>
  <c r="AR149" i="201"/>
  <c r="AO154" i="201"/>
  <c r="E114" i="125"/>
  <c r="E30" i="125"/>
  <c r="AR155" i="201"/>
  <c r="E49" i="125"/>
  <c r="AR152" i="201"/>
  <c r="E46" i="125"/>
  <c r="AR153" i="201"/>
  <c r="E47" i="125"/>
  <c r="AR157" i="201"/>
  <c r="E51" i="125"/>
  <c r="E44" i="125"/>
  <c r="AR150" i="201"/>
  <c r="AO152" i="201"/>
  <c r="E28" i="125"/>
  <c r="E112" i="125"/>
  <c r="AO153" i="201"/>
  <c r="E113" i="125"/>
  <c r="E29" i="125"/>
  <c r="AR154" i="201"/>
  <c r="E48" i="125"/>
  <c r="AO157" i="201"/>
  <c r="E33" i="125"/>
  <c r="E117" i="125"/>
  <c r="AS22" i="201"/>
  <c r="AS20" i="201"/>
  <c r="BM155" i="201" l="1"/>
  <c r="BM150" i="201"/>
  <c r="BK24" i="201"/>
  <c r="BM152" i="201"/>
  <c r="BM156" i="201"/>
  <c r="BM149" i="201"/>
  <c r="BM148" i="201"/>
  <c r="BM154" i="201"/>
  <c r="BM151" i="201"/>
  <c r="BK22" i="201"/>
  <c r="BJ117" i="201"/>
  <c r="BK23" i="201"/>
  <c r="R97" i="205"/>
  <c r="V97" i="205" s="1"/>
  <c r="F72" i="205"/>
  <c r="F88" i="205"/>
  <c r="F134" i="205" s="1"/>
  <c r="F93" i="205"/>
  <c r="F139" i="205" s="1"/>
  <c r="F77" i="205"/>
  <c r="F87" i="205"/>
  <c r="F133" i="205" s="1"/>
  <c r="F71" i="205"/>
  <c r="F80" i="205"/>
  <c r="F96" i="205"/>
  <c r="F142" i="205" s="1"/>
  <c r="F79" i="205"/>
  <c r="F95" i="205"/>
  <c r="F141" i="205" s="1"/>
  <c r="F78" i="205"/>
  <c r="F94" i="205"/>
  <c r="F140" i="205" s="1"/>
  <c r="F92" i="205"/>
  <c r="F138" i="205" s="1"/>
  <c r="F76" i="205"/>
  <c r="F91" i="205"/>
  <c r="F137" i="205" s="1"/>
  <c r="F75" i="205"/>
  <c r="F90" i="205"/>
  <c r="F136" i="205" s="1"/>
  <c r="F74" i="205"/>
  <c r="V89" i="205"/>
  <c r="BJ30" i="201"/>
  <c r="BK28" i="201"/>
  <c r="BK26" i="201"/>
  <c r="H173" i="183"/>
  <c r="K173" i="183"/>
  <c r="I173" i="183"/>
  <c r="J173" i="183" s="1"/>
  <c r="G173" i="183"/>
  <c r="E19" i="182"/>
  <c r="I19" i="182" s="1"/>
  <c r="E102" i="125"/>
  <c r="M146" i="125"/>
  <c r="L109" i="183"/>
  <c r="G109" i="183"/>
  <c r="I109" i="183"/>
  <c r="J109" i="183" s="1"/>
  <c r="E13" i="183"/>
  <c r="K109" i="183"/>
  <c r="H109" i="183"/>
  <c r="E52" i="125"/>
  <c r="E34" i="125"/>
  <c r="E118" i="125"/>
  <c r="AB5" i="27"/>
  <c r="AB14" i="27"/>
  <c r="AB13" i="27"/>
  <c r="AB12" i="27"/>
  <c r="AB11" i="27"/>
  <c r="AB10" i="27"/>
  <c r="AB9" i="27"/>
  <c r="AB8" i="27"/>
  <c r="AB7" i="27"/>
  <c r="AB6" i="27"/>
  <c r="F107" i="190"/>
  <c r="E107" i="190"/>
  <c r="D107" i="190"/>
  <c r="F103" i="190"/>
  <c r="E103" i="190"/>
  <c r="D103" i="190"/>
  <c r="F92" i="190"/>
  <c r="E92" i="190"/>
  <c r="D92" i="190"/>
  <c r="F85" i="190"/>
  <c r="E85" i="190"/>
  <c r="D85" i="190"/>
  <c r="F75" i="190"/>
  <c r="E75" i="190"/>
  <c r="D75" i="190"/>
  <c r="F68" i="190"/>
  <c r="E68" i="190"/>
  <c r="D68" i="190"/>
  <c r="F56" i="190"/>
  <c r="E56" i="190"/>
  <c r="D56" i="190"/>
  <c r="F38" i="190"/>
  <c r="E38" i="190"/>
  <c r="D38" i="190"/>
  <c r="F29" i="190"/>
  <c r="E29" i="190"/>
  <c r="D29" i="190"/>
  <c r="F19" i="190"/>
  <c r="E19" i="190"/>
  <c r="D19" i="190"/>
  <c r="Q109" i="28"/>
  <c r="X3" i="19"/>
  <c r="W2" i="19"/>
  <c r="T40" i="196"/>
  <c r="T40" i="195"/>
  <c r="H4" i="195"/>
  <c r="G4" i="195"/>
  <c r="T51" i="185"/>
  <c r="Y143" i="185"/>
  <c r="W143" i="185"/>
  <c r="J19" i="182" l="1"/>
  <c r="G19" i="182"/>
  <c r="H19" i="182"/>
  <c r="F89" i="205"/>
  <c r="F73" i="205"/>
  <c r="F81" i="205" s="1"/>
  <c r="E6" i="207"/>
  <c r="F6" i="207" s="1"/>
  <c r="I13" i="183"/>
  <c r="J13" i="183" s="1"/>
  <c r="H13" i="183"/>
  <c r="G13" i="183"/>
  <c r="L13" i="183"/>
  <c r="K13" i="183"/>
  <c r="C38" i="188"/>
  <c r="E68" i="183" l="1"/>
  <c r="F135" i="205"/>
  <c r="F143" i="205" s="1"/>
  <c r="F97" i="205"/>
  <c r="T37" i="188"/>
  <c r="U37" i="188"/>
  <c r="V37" i="188"/>
  <c r="W37" i="188"/>
  <c r="X37" i="188"/>
  <c r="Y37" i="188"/>
  <c r="T38" i="188"/>
  <c r="U38" i="188"/>
  <c r="V38" i="188"/>
  <c r="W38" i="188"/>
  <c r="X38" i="188"/>
  <c r="Y38" i="188"/>
  <c r="T39" i="188"/>
  <c r="U39" i="188"/>
  <c r="V39" i="188"/>
  <c r="W39" i="188"/>
  <c r="X39" i="188"/>
  <c r="Y39" i="188"/>
  <c r="T40" i="188"/>
  <c r="U40" i="188"/>
  <c r="V40" i="188"/>
  <c r="W40" i="188"/>
  <c r="X40" i="188"/>
  <c r="Y40" i="188"/>
  <c r="T41" i="188"/>
  <c r="U41" i="188"/>
  <c r="V41" i="188"/>
  <c r="W41" i="188"/>
  <c r="X41" i="188"/>
  <c r="Y41" i="188"/>
  <c r="T42" i="188"/>
  <c r="U42" i="188"/>
  <c r="V42" i="188"/>
  <c r="W42" i="188"/>
  <c r="X42" i="188"/>
  <c r="Y42" i="188"/>
  <c r="T43" i="188"/>
  <c r="U43" i="188"/>
  <c r="V43" i="188"/>
  <c r="W43" i="188"/>
  <c r="X43" i="188"/>
  <c r="Y43" i="188"/>
  <c r="T44" i="188"/>
  <c r="U44" i="188"/>
  <c r="V44" i="188"/>
  <c r="W44" i="188"/>
  <c r="X44" i="188"/>
  <c r="Y44" i="188"/>
  <c r="T45" i="188"/>
  <c r="U45" i="188"/>
  <c r="V45" i="188"/>
  <c r="W45" i="188"/>
  <c r="X45" i="188"/>
  <c r="Y45" i="188"/>
  <c r="T46" i="188"/>
  <c r="U46" i="188"/>
  <c r="V46" i="188"/>
  <c r="W46" i="188"/>
  <c r="X46" i="188"/>
  <c r="Y46" i="188"/>
  <c r="D261" i="26" l="1"/>
  <c r="H275" i="26" s="1"/>
  <c r="E261" i="26"/>
  <c r="I275" i="26" s="1"/>
  <c r="D262" i="26"/>
  <c r="H276" i="26" s="1"/>
  <c r="E262" i="26"/>
  <c r="I276" i="26" s="1"/>
  <c r="D263" i="26"/>
  <c r="H277" i="26" s="1"/>
  <c r="E263" i="26"/>
  <c r="I277" i="26" s="1"/>
  <c r="D264" i="26"/>
  <c r="H278" i="26" s="1"/>
  <c r="E264" i="26"/>
  <c r="I278" i="26" s="1"/>
  <c r="D265" i="26"/>
  <c r="H279" i="26" s="1"/>
  <c r="E265" i="26"/>
  <c r="I279" i="26" s="1"/>
  <c r="D266" i="26"/>
  <c r="H280" i="26" s="1"/>
  <c r="E266" i="26"/>
  <c r="I280" i="26" s="1"/>
  <c r="D267" i="26"/>
  <c r="H281" i="26" s="1"/>
  <c r="E267" i="26"/>
  <c r="I281" i="26" s="1"/>
  <c r="D268" i="26"/>
  <c r="H282" i="26" s="1"/>
  <c r="E268" i="26"/>
  <c r="I282" i="26" s="1"/>
  <c r="D269" i="26"/>
  <c r="H283" i="26" s="1"/>
  <c r="E269" i="26"/>
  <c r="I283" i="26" s="1"/>
  <c r="E260" i="26"/>
  <c r="I274" i="26" s="1"/>
  <c r="I270" i="26" l="1"/>
  <c r="AJ297" i="26" l="1"/>
  <c r="AN297" i="26" s="1"/>
  <c r="AR297" i="26" s="1"/>
  <c r="AV297" i="26" s="1"/>
  <c r="AJ290" i="26"/>
  <c r="AN290" i="26" s="1"/>
  <c r="AR290" i="26" s="1"/>
  <c r="AV290" i="26" s="1"/>
  <c r="AJ294" i="26"/>
  <c r="AN294" i="26" s="1"/>
  <c r="AR294" i="26" s="1"/>
  <c r="AV294" i="26" s="1"/>
  <c r="AJ292" i="26"/>
  <c r="AN292" i="26" s="1"/>
  <c r="AR292" i="26" s="1"/>
  <c r="AV292" i="26" s="1"/>
  <c r="AJ289" i="26"/>
  <c r="AN289" i="26" s="1"/>
  <c r="AR289" i="26" s="1"/>
  <c r="AV289" i="26" s="1"/>
  <c r="AJ288" i="26"/>
  <c r="AN288" i="26" s="1"/>
  <c r="AR288" i="26" s="1"/>
  <c r="AV288" i="26" s="1"/>
  <c r="AJ296" i="26"/>
  <c r="AN296" i="26" s="1"/>
  <c r="AR296" i="26" s="1"/>
  <c r="AV296" i="26" s="1"/>
  <c r="AJ293" i="26"/>
  <c r="AN293" i="26" s="1"/>
  <c r="AR293" i="26" s="1"/>
  <c r="AV293" i="26" s="1"/>
  <c r="AJ291" i="26"/>
  <c r="AN291" i="26" s="1"/>
  <c r="AR291" i="26" s="1"/>
  <c r="AV291" i="26" s="1"/>
  <c r="AJ295" i="26"/>
  <c r="AN295" i="26" s="1"/>
  <c r="AR295" i="26" s="1"/>
  <c r="AV295" i="26" s="1"/>
  <c r="S30" i="201"/>
  <c r="AK296" i="26" l="1"/>
  <c r="AO296" i="26" s="1"/>
  <c r="AS296" i="26" s="1"/>
  <c r="AW296" i="26" s="1"/>
  <c r="AK288" i="26"/>
  <c r="AO288" i="26" s="1"/>
  <c r="AS288" i="26" s="1"/>
  <c r="AW288" i="26" s="1"/>
  <c r="AK292" i="26"/>
  <c r="AO292" i="26" s="1"/>
  <c r="AS292" i="26" s="1"/>
  <c r="AW292" i="26" s="1"/>
  <c r="AK289" i="26"/>
  <c r="AO289" i="26" s="1"/>
  <c r="AS289" i="26" s="1"/>
  <c r="AW289" i="26" s="1"/>
  <c r="AK290" i="26"/>
  <c r="AO290" i="26" s="1"/>
  <c r="AS290" i="26" s="1"/>
  <c r="AW290" i="26" s="1"/>
  <c r="AK293" i="26"/>
  <c r="AO293" i="26" s="1"/>
  <c r="AS293" i="26" s="1"/>
  <c r="AW293" i="26" s="1"/>
  <c r="AK295" i="26"/>
  <c r="AO295" i="26" s="1"/>
  <c r="AS295" i="26" s="1"/>
  <c r="AW295" i="26" s="1"/>
  <c r="AK291" i="26"/>
  <c r="AO291" i="26" s="1"/>
  <c r="AS291" i="26" s="1"/>
  <c r="AW291" i="26" s="1"/>
  <c r="AK294" i="26"/>
  <c r="AO294" i="26" s="1"/>
  <c r="AS294" i="26" s="1"/>
  <c r="AW294" i="26" s="1"/>
  <c r="AK297" i="26"/>
  <c r="AO297" i="26" s="1"/>
  <c r="AS297" i="26" s="1"/>
  <c r="AW297" i="26" s="1"/>
  <c r="BB51" i="201"/>
  <c r="BC51" i="201" l="1"/>
  <c r="BJ51" i="201" s="1"/>
  <c r="BB59" i="201" l="1"/>
  <c r="BB58" i="201"/>
  <c r="BB57" i="201"/>
  <c r="BD59" i="201" l="1"/>
  <c r="BD58" i="201"/>
  <c r="BD57" i="201"/>
  <c r="E95" i="183" l="1"/>
  <c r="BC56" i="201" l="1"/>
  <c r="BJ56" i="201" s="1"/>
  <c r="BD37" i="201" l="1"/>
  <c r="BD85" i="201" s="1"/>
  <c r="BL85" i="201" s="1"/>
  <c r="BN85" i="201" s="1"/>
  <c r="BD52" i="201"/>
  <c r="BB52" i="201"/>
  <c r="BC41" i="201" l="1"/>
  <c r="BC89" i="201" l="1"/>
  <c r="BJ41" i="201"/>
  <c r="N35" i="201"/>
  <c r="Y4" i="5" l="1"/>
  <c r="Z4" i="5" s="1"/>
  <c r="AA4" i="5" s="1"/>
  <c r="AW46" i="26" l="1"/>
  <c r="AU46" i="26"/>
  <c r="AT46" i="26"/>
  <c r="AV46" i="26" s="1"/>
  <c r="AW45" i="26"/>
  <c r="AU45" i="26"/>
  <c r="AT45" i="26"/>
  <c r="AV45" i="26" s="1"/>
  <c r="AW44" i="26"/>
  <c r="AU44" i="26"/>
  <c r="AT44" i="26"/>
  <c r="AW43" i="26"/>
  <c r="AU43" i="26"/>
  <c r="AT43" i="26"/>
  <c r="AW42" i="26"/>
  <c r="AU42" i="26"/>
  <c r="AT42" i="26"/>
  <c r="AV42" i="26" s="1"/>
  <c r="AW41" i="26"/>
  <c r="AU41" i="26"/>
  <c r="AT41" i="26"/>
  <c r="AV41" i="26" s="1"/>
  <c r="AW40" i="26"/>
  <c r="AU40" i="26"/>
  <c r="AT40" i="26"/>
  <c r="AW39" i="26"/>
  <c r="AU39" i="26"/>
  <c r="AT39" i="26"/>
  <c r="AV39" i="26" s="1"/>
  <c r="AW38" i="26"/>
  <c r="AU38" i="26"/>
  <c r="AT38" i="26"/>
  <c r="AV38" i="26" s="1"/>
  <c r="AW37" i="26"/>
  <c r="AU37" i="26"/>
  <c r="AT37" i="26"/>
  <c r="AV37" i="26" s="1"/>
  <c r="AW46" i="27"/>
  <c r="AU46" i="27"/>
  <c r="AT46" i="27"/>
  <c r="AW45" i="27"/>
  <c r="AU45" i="27"/>
  <c r="AT45" i="27"/>
  <c r="AV45" i="27" s="1"/>
  <c r="AW44" i="27"/>
  <c r="AU44" i="27"/>
  <c r="AT44" i="27"/>
  <c r="AW43" i="27"/>
  <c r="AU43" i="27"/>
  <c r="AT43" i="27"/>
  <c r="AW42" i="27"/>
  <c r="AU42" i="27"/>
  <c r="AT42" i="27"/>
  <c r="AW41" i="27"/>
  <c r="AU41" i="27"/>
  <c r="AT41" i="27"/>
  <c r="AV41" i="27" s="1"/>
  <c r="AW40" i="27"/>
  <c r="AU40" i="27"/>
  <c r="AT40" i="27"/>
  <c r="AW39" i="27"/>
  <c r="AU39" i="27"/>
  <c r="AT39" i="27"/>
  <c r="AW38" i="27"/>
  <c r="AU38" i="27"/>
  <c r="AT38" i="27"/>
  <c r="AW37" i="27"/>
  <c r="AU37" i="27"/>
  <c r="AT37" i="27"/>
  <c r="AV37" i="27" s="1"/>
  <c r="AK85" i="190"/>
  <c r="AL75" i="190"/>
  <c r="AM75" i="190"/>
  <c r="AK75" i="190"/>
  <c r="Y61" i="188"/>
  <c r="X61" i="188"/>
  <c r="Y60" i="188"/>
  <c r="X60" i="188"/>
  <c r="Y59" i="188"/>
  <c r="X59" i="188"/>
  <c r="Y58" i="188"/>
  <c r="X58" i="188"/>
  <c r="Y57" i="188"/>
  <c r="X57" i="188"/>
  <c r="Y56" i="188"/>
  <c r="X56" i="188"/>
  <c r="Y55" i="188"/>
  <c r="X55" i="188"/>
  <c r="Y54" i="188"/>
  <c r="X54" i="188"/>
  <c r="Y53" i="188"/>
  <c r="X53" i="188"/>
  <c r="Y52" i="188"/>
  <c r="X52" i="188"/>
  <c r="AV38" i="27" l="1"/>
  <c r="AV42" i="27"/>
  <c r="AV46" i="27"/>
  <c r="AV40" i="26"/>
  <c r="AV44" i="26"/>
  <c r="AV43" i="26"/>
  <c r="AV40" i="27"/>
  <c r="AV44" i="27"/>
  <c r="AV39" i="27"/>
  <c r="AV43" i="27"/>
  <c r="BB44" i="201" l="1"/>
  <c r="BB92" i="201" s="1"/>
  <c r="BH92" i="201" s="1"/>
  <c r="BN157" i="201" s="1"/>
  <c r="BB43" i="201"/>
  <c r="BB91" i="201" s="1"/>
  <c r="BH91" i="201" s="1"/>
  <c r="BN156" i="201" s="1"/>
  <c r="BB42" i="201"/>
  <c r="BB90" i="201" s="1"/>
  <c r="BH90" i="201" s="1"/>
  <c r="BN155" i="201" s="1"/>
  <c r="BB41" i="201"/>
  <c r="BB89" i="201" s="1"/>
  <c r="BH89" i="201" s="1"/>
  <c r="BN154" i="201" s="1"/>
  <c r="BB40" i="201"/>
  <c r="BB88" i="201" s="1"/>
  <c r="BH88" i="201" s="1"/>
  <c r="BN153" i="201" s="1"/>
  <c r="BB39" i="201"/>
  <c r="BB87" i="201" s="1"/>
  <c r="BH87" i="201" s="1"/>
  <c r="BN152" i="201" s="1"/>
  <c r="BB38" i="201"/>
  <c r="BB86" i="201" s="1"/>
  <c r="BH86" i="201" s="1"/>
  <c r="BN151" i="201" s="1"/>
  <c r="BB37" i="201"/>
  <c r="BB85" i="201" s="1"/>
  <c r="BH85" i="201" s="1"/>
  <c r="BN150" i="201" s="1"/>
  <c r="BB36" i="201"/>
  <c r="BB84" i="201" s="1"/>
  <c r="BH84" i="201" s="1"/>
  <c r="BN149" i="201" s="1"/>
  <c r="BB35" i="201"/>
  <c r="BB83" i="201" s="1"/>
  <c r="BH83" i="201" s="1"/>
  <c r="BN148" i="201" s="1"/>
  <c r="B192" i="198" l="1"/>
  <c r="CE38" i="190" l="1"/>
  <c r="AS46" i="26" l="1"/>
  <c r="AQ46" i="26"/>
  <c r="AP46" i="26"/>
  <c r="AR46" i="26" s="1"/>
  <c r="AS45" i="26"/>
  <c r="AQ45" i="26"/>
  <c r="AP45" i="26"/>
  <c r="AR45" i="26" s="1"/>
  <c r="AS44" i="26"/>
  <c r="AQ44" i="26"/>
  <c r="AP44" i="26"/>
  <c r="AS43" i="26"/>
  <c r="AQ43" i="26"/>
  <c r="AP43" i="26"/>
  <c r="AS42" i="26"/>
  <c r="AQ42" i="26"/>
  <c r="AP42" i="26"/>
  <c r="AR42" i="26" s="1"/>
  <c r="AS41" i="26"/>
  <c r="AQ41" i="26"/>
  <c r="AP41" i="26"/>
  <c r="AR41" i="26" s="1"/>
  <c r="AS40" i="26"/>
  <c r="AQ40" i="26"/>
  <c r="AP40" i="26"/>
  <c r="AS39" i="26"/>
  <c r="AQ39" i="26"/>
  <c r="AP39" i="26"/>
  <c r="AS38" i="26"/>
  <c r="AQ38" i="26"/>
  <c r="AP38" i="26"/>
  <c r="AS37" i="26"/>
  <c r="AQ37" i="26"/>
  <c r="AP37" i="26"/>
  <c r="AR37" i="26" s="1"/>
  <c r="AR38" i="26" l="1"/>
  <c r="AR39" i="26"/>
  <c r="AR43" i="26"/>
  <c r="AR40" i="26"/>
  <c r="AR44" i="26"/>
  <c r="AS46" i="27"/>
  <c r="AQ46" i="27"/>
  <c r="AP46" i="27"/>
  <c r="AS45" i="27"/>
  <c r="AQ45" i="27"/>
  <c r="AP45" i="27"/>
  <c r="AS44" i="27"/>
  <c r="AQ44" i="27"/>
  <c r="AP44" i="27"/>
  <c r="AS43" i="27"/>
  <c r="AQ43" i="27"/>
  <c r="AP43" i="27"/>
  <c r="AS42" i="27"/>
  <c r="AQ42" i="27"/>
  <c r="AP42" i="27"/>
  <c r="AS41" i="27"/>
  <c r="AQ41" i="27"/>
  <c r="AP41" i="27"/>
  <c r="AS40" i="27"/>
  <c r="AQ40" i="27"/>
  <c r="AP40" i="27"/>
  <c r="AS39" i="27"/>
  <c r="AQ39" i="27"/>
  <c r="AP39" i="27"/>
  <c r="AS38" i="27"/>
  <c r="AQ38" i="27"/>
  <c r="AP38" i="27"/>
  <c r="AR38" i="27" s="1"/>
  <c r="AS37" i="27"/>
  <c r="AQ37" i="27"/>
  <c r="AP37" i="27"/>
  <c r="W61" i="188"/>
  <c r="V61" i="188"/>
  <c r="W60" i="188"/>
  <c r="V60" i="188"/>
  <c r="W59" i="188"/>
  <c r="V59" i="188"/>
  <c r="W58" i="188"/>
  <c r="V58" i="188"/>
  <c r="W57" i="188"/>
  <c r="V57" i="188"/>
  <c r="W56" i="188"/>
  <c r="V56" i="188"/>
  <c r="W55" i="188"/>
  <c r="V55" i="188"/>
  <c r="W54" i="188"/>
  <c r="V54" i="188"/>
  <c r="W53" i="188"/>
  <c r="V53" i="188"/>
  <c r="W52" i="188"/>
  <c r="V52" i="188"/>
  <c r="AR40" i="27" l="1"/>
  <c r="AR44" i="27"/>
  <c r="AR42" i="27"/>
  <c r="AR46" i="27"/>
  <c r="AR39" i="27"/>
  <c r="AR43" i="27"/>
  <c r="AR37" i="27"/>
  <c r="AR41" i="27"/>
  <c r="AR45" i="27"/>
  <c r="D41" i="182" l="1"/>
  <c r="Q6" i="191" l="1"/>
  <c r="R6" i="191"/>
  <c r="S6" i="191"/>
  <c r="T6" i="191"/>
  <c r="U6" i="191"/>
  <c r="V6" i="191"/>
  <c r="W6" i="191"/>
  <c r="X6" i="191"/>
  <c r="Y6" i="191"/>
  <c r="AG85" i="27" l="1"/>
  <c r="BD85" i="27" s="1"/>
  <c r="AG86" i="27"/>
  <c r="BD86" i="27" s="1"/>
  <c r="AG87" i="27"/>
  <c r="BD87" i="27" s="1"/>
  <c r="AG88" i="27"/>
  <c r="BD88" i="27" s="1"/>
  <c r="AG89" i="27"/>
  <c r="BD89" i="27" s="1"/>
  <c r="AG90" i="27"/>
  <c r="BD90" i="27" s="1"/>
  <c r="AG91" i="27"/>
  <c r="BD91" i="27" s="1"/>
  <c r="AG92" i="27"/>
  <c r="BD92" i="27" s="1"/>
  <c r="AG93" i="27"/>
  <c r="BD93" i="27" s="1"/>
  <c r="AC85" i="27"/>
  <c r="AC86" i="27"/>
  <c r="AC87" i="27"/>
  <c r="AC88" i="27"/>
  <c r="AC89" i="27"/>
  <c r="AC90" i="27"/>
  <c r="AC91" i="27"/>
  <c r="AC92" i="27"/>
  <c r="AC93" i="27"/>
  <c r="Y85" i="27"/>
  <c r="Y86" i="27"/>
  <c r="Y87" i="27"/>
  <c r="Y88" i="27"/>
  <c r="Y89" i="27"/>
  <c r="Y90" i="27"/>
  <c r="Y91" i="27"/>
  <c r="Y92" i="27"/>
  <c r="Y93" i="27"/>
  <c r="U85" i="27"/>
  <c r="U86" i="27"/>
  <c r="U87" i="27"/>
  <c r="U88" i="27"/>
  <c r="U89" i="27"/>
  <c r="U90" i="27"/>
  <c r="U91" i="27"/>
  <c r="U92" i="27"/>
  <c r="U93" i="27"/>
  <c r="Q85" i="27"/>
  <c r="Q86" i="27"/>
  <c r="Q87" i="27"/>
  <c r="Q88" i="27"/>
  <c r="Q89" i="27"/>
  <c r="Q90" i="27"/>
  <c r="Q91" i="27"/>
  <c r="Q92" i="27"/>
  <c r="Q93" i="27"/>
  <c r="M87" i="27"/>
  <c r="M88" i="27"/>
  <c r="M89" i="27"/>
  <c r="M90" i="27"/>
  <c r="M91" i="27"/>
  <c r="M92" i="27"/>
  <c r="M93" i="27"/>
  <c r="I85" i="27"/>
  <c r="I86" i="27"/>
  <c r="I87" i="27"/>
  <c r="I88" i="27"/>
  <c r="I89" i="27"/>
  <c r="I90" i="27"/>
  <c r="I91" i="27"/>
  <c r="I92" i="27"/>
  <c r="I93" i="27"/>
  <c r="E85" i="27"/>
  <c r="E86" i="27"/>
  <c r="E87" i="27"/>
  <c r="E88" i="27"/>
  <c r="E89" i="27"/>
  <c r="E90" i="27"/>
  <c r="E91" i="27"/>
  <c r="E92" i="27"/>
  <c r="E93" i="27"/>
  <c r="AK85" i="27"/>
  <c r="AK86" i="27"/>
  <c r="AK87" i="27"/>
  <c r="AK88" i="27"/>
  <c r="AK89" i="27"/>
  <c r="AK90" i="27"/>
  <c r="AK91" i="27"/>
  <c r="AK92" i="27"/>
  <c r="AK93" i="27"/>
  <c r="AO85" i="27"/>
  <c r="AO86" i="27"/>
  <c r="AO87" i="27"/>
  <c r="AO88" i="27"/>
  <c r="AO89" i="27"/>
  <c r="AO90" i="27"/>
  <c r="AO91" i="27"/>
  <c r="AO92" i="27"/>
  <c r="AO93" i="27"/>
  <c r="M46" i="191" l="1"/>
  <c r="DV422" i="167"/>
  <c r="DV423" i="167"/>
  <c r="DV424" i="167"/>
  <c r="DV425" i="167"/>
  <c r="DV426" i="167"/>
  <c r="DV427" i="167"/>
  <c r="DV428" i="167"/>
  <c r="DV429" i="167"/>
  <c r="DV430" i="167"/>
  <c r="G35" i="201" l="1"/>
  <c r="G36" i="201"/>
  <c r="G37" i="201"/>
  <c r="G38" i="201"/>
  <c r="G39" i="201"/>
  <c r="G40" i="201"/>
  <c r="G41" i="201"/>
  <c r="G42" i="201"/>
  <c r="G43" i="201"/>
  <c r="G44" i="201"/>
  <c r="AO46" i="26" l="1"/>
  <c r="AM46" i="26"/>
  <c r="AL46" i="26"/>
  <c r="AO45" i="26"/>
  <c r="AM45" i="26"/>
  <c r="AL45" i="26"/>
  <c r="AN45" i="26" s="1"/>
  <c r="AO44" i="26"/>
  <c r="AM44" i="26"/>
  <c r="AL44" i="26"/>
  <c r="AO43" i="26"/>
  <c r="AM43" i="26"/>
  <c r="AL43" i="26"/>
  <c r="AO42" i="26"/>
  <c r="AM42" i="26"/>
  <c r="AL42" i="26"/>
  <c r="AO41" i="26"/>
  <c r="AM41" i="26"/>
  <c r="AL41" i="26"/>
  <c r="AN41" i="26" s="1"/>
  <c r="AO40" i="26"/>
  <c r="AM40" i="26"/>
  <c r="AL40" i="26"/>
  <c r="AO39" i="26"/>
  <c r="AM39" i="26"/>
  <c r="AL39" i="26"/>
  <c r="AO38" i="26"/>
  <c r="AM38" i="26"/>
  <c r="AL38" i="26"/>
  <c r="AO37" i="26"/>
  <c r="AM37" i="26"/>
  <c r="AL37" i="26"/>
  <c r="AN37" i="26" s="1"/>
  <c r="AO46" i="27"/>
  <c r="AM46" i="27"/>
  <c r="AL46" i="27"/>
  <c r="AO45" i="27"/>
  <c r="AM45" i="27"/>
  <c r="AL45" i="27"/>
  <c r="AN45" i="27" s="1"/>
  <c r="AO44" i="27"/>
  <c r="AM44" i="27"/>
  <c r="AL44" i="27"/>
  <c r="AN44" i="27" s="1"/>
  <c r="AO43" i="27"/>
  <c r="AM43" i="27"/>
  <c r="AL43" i="27"/>
  <c r="AO42" i="27"/>
  <c r="AM42" i="27"/>
  <c r="AL42" i="27"/>
  <c r="AO41" i="27"/>
  <c r="AM41" i="27"/>
  <c r="AL41" i="27"/>
  <c r="AN41" i="27" s="1"/>
  <c r="AO40" i="27"/>
  <c r="AM40" i="27"/>
  <c r="AL40" i="27"/>
  <c r="AN40" i="27" s="1"/>
  <c r="AO39" i="27"/>
  <c r="AM39" i="27"/>
  <c r="AL39" i="27"/>
  <c r="AN39" i="27" s="1"/>
  <c r="AO38" i="27"/>
  <c r="AM38" i="27"/>
  <c r="AL38" i="27"/>
  <c r="AO37" i="27"/>
  <c r="AM37" i="27"/>
  <c r="AL37" i="27"/>
  <c r="AN37" i="27" s="1"/>
  <c r="AN40" i="26" l="1"/>
  <c r="AN44" i="26"/>
  <c r="AN39" i="26"/>
  <c r="AN43" i="26"/>
  <c r="AN38" i="26"/>
  <c r="AN42" i="26"/>
  <c r="AN46" i="26"/>
  <c r="AN43" i="27"/>
  <c r="AN38" i="27"/>
  <c r="AN42" i="27"/>
  <c r="AN46" i="27"/>
  <c r="U61" i="188" l="1"/>
  <c r="T61" i="188"/>
  <c r="U60" i="188"/>
  <c r="T60" i="188"/>
  <c r="U59" i="188"/>
  <c r="T59" i="188"/>
  <c r="U58" i="188"/>
  <c r="T58" i="188"/>
  <c r="U57" i="188"/>
  <c r="T57" i="188"/>
  <c r="U56" i="188"/>
  <c r="T56" i="188"/>
  <c r="U55" i="188"/>
  <c r="T55" i="188"/>
  <c r="U54" i="188"/>
  <c r="T54" i="188"/>
  <c r="U53" i="188"/>
  <c r="T53" i="188"/>
  <c r="U52" i="188"/>
  <c r="T52" i="188"/>
  <c r="AU59" i="201" l="1"/>
  <c r="BM59" i="201" s="1"/>
  <c r="AT59" i="201"/>
  <c r="BL59" i="201" s="1"/>
  <c r="BN59" i="201" s="1"/>
  <c r="AQ59" i="201"/>
  <c r="BI59" i="201" s="1"/>
  <c r="AP59" i="201"/>
  <c r="BH59" i="201" s="1"/>
  <c r="AO59" i="201"/>
  <c r="BG59" i="201" s="1"/>
  <c r="AV59" i="201" l="1"/>
  <c r="AJ40" i="26" l="1"/>
  <c r="AJ44" i="26"/>
  <c r="AJ37" i="26"/>
  <c r="AJ41" i="26"/>
  <c r="AJ45" i="26"/>
  <c r="AJ39" i="26"/>
  <c r="AJ43" i="26"/>
  <c r="AJ38" i="26"/>
  <c r="AJ42" i="26"/>
  <c r="AJ46" i="26"/>
  <c r="AD141" i="27" l="1"/>
  <c r="AJ46" i="27"/>
  <c r="AJ42" i="27"/>
  <c r="AJ40" i="27"/>
  <c r="AJ38" i="27"/>
  <c r="AJ44" i="27" l="1"/>
  <c r="AJ39" i="27"/>
  <c r="AJ43" i="27"/>
  <c r="AJ37" i="27"/>
  <c r="AJ41" i="27"/>
  <c r="AJ45" i="27"/>
  <c r="CB75" i="190" l="1"/>
  <c r="F386" i="183" l="1"/>
  <c r="F385" i="183"/>
  <c r="F384" i="183"/>
  <c r="F383" i="183"/>
  <c r="F382" i="183"/>
  <c r="F381" i="183"/>
  <c r="F380" i="183"/>
  <c r="F379" i="183"/>
  <c r="F378" i="183"/>
  <c r="G377" i="183"/>
  <c r="F377" i="183"/>
  <c r="A45" i="167" l="1"/>
  <c r="A44" i="167"/>
  <c r="A68" i="167"/>
  <c r="A67" i="167"/>
  <c r="P5" i="191" l="1"/>
  <c r="J59" i="201" l="1"/>
  <c r="G59" i="201"/>
  <c r="J58" i="201"/>
  <c r="G58" i="201"/>
  <c r="J57" i="201"/>
  <c r="G57" i="201"/>
  <c r="J56" i="201"/>
  <c r="G56" i="201"/>
  <c r="J55" i="201"/>
  <c r="G55" i="201"/>
  <c r="J54" i="201"/>
  <c r="G54" i="201"/>
  <c r="J53" i="201"/>
  <c r="G53" i="201"/>
  <c r="J52" i="201"/>
  <c r="G52" i="201"/>
  <c r="J51" i="201"/>
  <c r="G51" i="201"/>
  <c r="J50" i="201"/>
  <c r="G50" i="201"/>
  <c r="J35" i="201"/>
  <c r="J44" i="201"/>
  <c r="J43" i="201"/>
  <c r="J42" i="201"/>
  <c r="J41" i="201"/>
  <c r="J40" i="201"/>
  <c r="J39" i="201"/>
  <c r="J38" i="201"/>
  <c r="J37" i="201"/>
  <c r="J36" i="201"/>
  <c r="T14" i="5" l="1"/>
  <c r="S14" i="5"/>
  <c r="R14" i="5"/>
  <c r="T13" i="5"/>
  <c r="S13" i="5"/>
  <c r="R13" i="5"/>
  <c r="T12" i="5"/>
  <c r="S12" i="5"/>
  <c r="R12" i="5"/>
  <c r="T11" i="5"/>
  <c r="S11" i="5"/>
  <c r="R11" i="5"/>
  <c r="T8" i="5"/>
  <c r="S8" i="5"/>
  <c r="R8" i="5"/>
  <c r="T7" i="5"/>
  <c r="S7" i="5"/>
  <c r="R7" i="5"/>
  <c r="T6" i="5"/>
  <c r="S6" i="5"/>
  <c r="R6" i="5"/>
  <c r="T5" i="5"/>
  <c r="S5" i="5"/>
  <c r="R5" i="5"/>
  <c r="AB140" i="27" l="1"/>
  <c r="AB139" i="27"/>
  <c r="AB138" i="27"/>
  <c r="AB137" i="27"/>
  <c r="AB136" i="27"/>
  <c r="AB135" i="27"/>
  <c r="AB134" i="27"/>
  <c r="AB133" i="27"/>
  <c r="AB132" i="27"/>
  <c r="AB131" i="27"/>
  <c r="C68" i="186" l="1"/>
  <c r="F68" i="186"/>
  <c r="E51" i="186"/>
  <c r="F34" i="186"/>
  <c r="I17" i="186"/>
  <c r="E17" i="186"/>
  <c r="C34" i="186"/>
  <c r="I51" i="186"/>
  <c r="G88" i="5" l="1"/>
  <c r="G87" i="5"/>
  <c r="G86" i="5"/>
  <c r="G85" i="5"/>
  <c r="G84" i="5"/>
  <c r="G83" i="5"/>
  <c r="G82" i="5"/>
  <c r="G81" i="5"/>
  <c r="G80" i="5"/>
  <c r="G79" i="5"/>
  <c r="C87" i="5"/>
  <c r="C86" i="5"/>
  <c r="C85" i="5"/>
  <c r="C84" i="5"/>
  <c r="C82" i="5"/>
  <c r="C81" i="5"/>
  <c r="C80" i="5"/>
  <c r="C79" i="5"/>
  <c r="K102" i="5"/>
  <c r="K101" i="5"/>
  <c r="K100" i="5"/>
  <c r="K99" i="5"/>
  <c r="K98" i="5"/>
  <c r="K97" i="5"/>
  <c r="K96" i="5"/>
  <c r="K95" i="5"/>
  <c r="K94" i="5"/>
  <c r="K93" i="5"/>
  <c r="K103" i="5" l="1"/>
  <c r="C89" i="5"/>
  <c r="G89" i="5"/>
  <c r="L25" i="156" l="1"/>
  <c r="C25" i="156" s="1"/>
  <c r="R25" i="156" l="1"/>
  <c r="K25" i="156"/>
  <c r="I25" i="156"/>
  <c r="G25" i="156"/>
  <c r="E25" i="156"/>
  <c r="E16" i="157" l="1"/>
  <c r="G16" i="157"/>
  <c r="K16" i="157"/>
  <c r="M16" i="157"/>
  <c r="R16" i="157"/>
  <c r="T16" i="157"/>
  <c r="X16" i="157"/>
  <c r="Z16" i="157"/>
  <c r="L59" i="156" l="1"/>
  <c r="C59" i="156" s="1"/>
  <c r="F42" i="156"/>
  <c r="J42" i="156" s="1"/>
  <c r="L42" i="156" s="1"/>
  <c r="G7" i="157"/>
  <c r="K7" i="157"/>
  <c r="M7" i="157"/>
  <c r="R7" i="157"/>
  <c r="T7" i="157"/>
  <c r="X7" i="157"/>
  <c r="I59" i="156" l="1"/>
  <c r="G59" i="156"/>
  <c r="E59" i="156"/>
  <c r="K59" i="156"/>
  <c r="H8" i="156" l="1"/>
  <c r="G145" i="167" l="1"/>
  <c r="E45" i="182"/>
  <c r="X15" i="5" l="1"/>
  <c r="AD15" i="5"/>
  <c r="AE15" i="5"/>
  <c r="AF15" i="5"/>
  <c r="AG15" i="5"/>
  <c r="AJ15" i="5"/>
  <c r="AK15" i="5"/>
  <c r="AL15" i="5"/>
  <c r="AM15" i="5"/>
  <c r="AP15" i="5"/>
  <c r="AQ15" i="5"/>
  <c r="AR15" i="5"/>
  <c r="AS15" i="5"/>
  <c r="AV15" i="5"/>
  <c r="AW15" i="5"/>
  <c r="AX15" i="5"/>
  <c r="AY15" i="5"/>
  <c r="BB15" i="5"/>
  <c r="BC15" i="5"/>
  <c r="BD15" i="5"/>
  <c r="BE15" i="5"/>
  <c r="AB194" i="27" l="1"/>
  <c r="AF194" i="27"/>
  <c r="BD194" i="27" s="1"/>
  <c r="T147" i="185" l="1"/>
  <c r="U147" i="185"/>
  <c r="T148" i="185"/>
  <c r="U148" i="185"/>
  <c r="T149" i="185"/>
  <c r="U149" i="185"/>
  <c r="T150" i="185"/>
  <c r="U150" i="185"/>
  <c r="T151" i="185"/>
  <c r="U151" i="185"/>
  <c r="T152" i="185"/>
  <c r="U152" i="185"/>
  <c r="T153" i="185"/>
  <c r="U153" i="185"/>
  <c r="T154" i="185"/>
  <c r="U154" i="185"/>
  <c r="T155" i="185"/>
  <c r="U155" i="185"/>
  <c r="T156" i="185" l="1"/>
  <c r="U156" i="185"/>
  <c r="S156" i="185"/>
  <c r="R156" i="185"/>
  <c r="C156" i="185"/>
  <c r="D156" i="185"/>
  <c r="E156" i="185"/>
  <c r="F156" i="185"/>
  <c r="G156" i="185"/>
  <c r="H156" i="185"/>
  <c r="I156" i="185"/>
  <c r="J156" i="185"/>
  <c r="K156" i="185"/>
  <c r="L156" i="185"/>
  <c r="M156" i="185"/>
  <c r="N156" i="185"/>
  <c r="O156" i="185"/>
  <c r="P156" i="185"/>
  <c r="Q156" i="185"/>
  <c r="B156" i="185"/>
  <c r="C36" i="183" l="1"/>
  <c r="P83" i="201" l="1"/>
  <c r="V83" i="201" s="1"/>
  <c r="Y83" i="201" s="1"/>
  <c r="D39" i="207" l="1"/>
  <c r="E39" i="207"/>
  <c r="E37" i="207"/>
  <c r="D37" i="207"/>
  <c r="D35" i="207"/>
  <c r="E35" i="207"/>
  <c r="F39" i="207" l="1"/>
  <c r="F37" i="207"/>
  <c r="D41" i="207"/>
  <c r="E41" i="207"/>
  <c r="F35" i="207"/>
  <c r="F41" i="207" l="1"/>
  <c r="P38" i="190" l="1"/>
  <c r="Q38" i="190"/>
  <c r="R38" i="190"/>
  <c r="D106" i="183" l="1"/>
  <c r="N44" i="201" l="1"/>
  <c r="N43" i="201"/>
  <c r="N42" i="201"/>
  <c r="N41" i="201"/>
  <c r="N40" i="201"/>
  <c r="N39" i="201"/>
  <c r="N38" i="201"/>
  <c r="N37" i="201"/>
  <c r="BE17" i="201" l="1"/>
  <c r="AX319" i="26" l="1"/>
  <c r="O284" i="26" l="1"/>
  <c r="N284" i="26"/>
  <c r="AA343" i="26"/>
  <c r="AA339" i="26"/>
  <c r="AH312" i="26"/>
  <c r="R312" i="26"/>
  <c r="A300" i="26"/>
  <c r="AW284" i="26"/>
  <c r="AU284" i="26"/>
  <c r="AT284" i="26"/>
  <c r="AS284" i="26"/>
  <c r="AQ284" i="26"/>
  <c r="AP284" i="26"/>
  <c r="AO284" i="26"/>
  <c r="AM284" i="26"/>
  <c r="AL284" i="26"/>
  <c r="AK284" i="26"/>
  <c r="AI284" i="26"/>
  <c r="AH284" i="26"/>
  <c r="AG284" i="26"/>
  <c r="AE284" i="26"/>
  <c r="AD284" i="26"/>
  <c r="AA284" i="26"/>
  <c r="Z284" i="26"/>
  <c r="Y284" i="26"/>
  <c r="W284" i="26"/>
  <c r="V284" i="26"/>
  <c r="U284" i="26"/>
  <c r="S284" i="26"/>
  <c r="R284" i="26"/>
  <c r="AU328" i="26"/>
  <c r="AQ328" i="26"/>
  <c r="AM328" i="26"/>
  <c r="AI328" i="26"/>
  <c r="AE328" i="26"/>
  <c r="BE328" i="26" s="1"/>
  <c r="W328" i="26"/>
  <c r="S328" i="26"/>
  <c r="AU327" i="26"/>
  <c r="AQ327" i="26"/>
  <c r="AM327" i="26"/>
  <c r="AI327" i="26"/>
  <c r="AE327" i="26"/>
  <c r="BE327" i="26" s="1"/>
  <c r="W327" i="26"/>
  <c r="S327" i="26"/>
  <c r="AU326" i="26"/>
  <c r="AQ326" i="26"/>
  <c r="AM326" i="26"/>
  <c r="AI326" i="26"/>
  <c r="AE326" i="26"/>
  <c r="BE326" i="26" s="1"/>
  <c r="W326" i="26"/>
  <c r="S326" i="26"/>
  <c r="AU325" i="26"/>
  <c r="AQ325" i="26"/>
  <c r="AM325" i="26"/>
  <c r="AI325" i="26"/>
  <c r="AE325" i="26"/>
  <c r="BE325" i="26" s="1"/>
  <c r="W325" i="26"/>
  <c r="S325" i="26"/>
  <c r="AU324" i="26"/>
  <c r="AQ324" i="26"/>
  <c r="AM324" i="26"/>
  <c r="AI324" i="26"/>
  <c r="AE324" i="26"/>
  <c r="BE324" i="26" s="1"/>
  <c r="W324" i="26"/>
  <c r="S324" i="26"/>
  <c r="AU323" i="26"/>
  <c r="AQ323" i="26"/>
  <c r="AM323" i="26"/>
  <c r="AI323" i="26"/>
  <c r="AE323" i="26"/>
  <c r="BE323" i="26" s="1"/>
  <c r="W323" i="26"/>
  <c r="S323" i="26"/>
  <c r="AU322" i="26"/>
  <c r="AQ322" i="26"/>
  <c r="AM322" i="26"/>
  <c r="AI322" i="26"/>
  <c r="AE322" i="26"/>
  <c r="BE322" i="26" s="1"/>
  <c r="W322" i="26"/>
  <c r="S322" i="26"/>
  <c r="AU321" i="26"/>
  <c r="AQ321" i="26"/>
  <c r="AM321" i="26"/>
  <c r="AI321" i="26"/>
  <c r="AE321" i="26"/>
  <c r="BE321" i="26" s="1"/>
  <c r="W321" i="26"/>
  <c r="S321" i="26"/>
  <c r="AU320" i="26"/>
  <c r="AQ320" i="26"/>
  <c r="AM320" i="26"/>
  <c r="AI320" i="26"/>
  <c r="AE320" i="26"/>
  <c r="BE320" i="26" s="1"/>
  <c r="W320" i="26"/>
  <c r="S320" i="26"/>
  <c r="AU319" i="26"/>
  <c r="AQ319" i="26"/>
  <c r="AM319" i="26"/>
  <c r="AI319" i="26"/>
  <c r="AE319" i="26"/>
  <c r="BE319" i="26" s="1"/>
  <c r="W319" i="26"/>
  <c r="S319" i="26"/>
  <c r="AS312" i="26" l="1"/>
  <c r="AQ343" i="26"/>
  <c r="AU337" i="26"/>
  <c r="AQ339" i="26"/>
  <c r="G334" i="26"/>
  <c r="C284" i="26"/>
  <c r="AI342" i="26"/>
  <c r="AC312" i="26"/>
  <c r="G323" i="26"/>
  <c r="G341" i="26"/>
  <c r="AU336" i="26"/>
  <c r="AA342" i="26"/>
  <c r="AQ342" i="26"/>
  <c r="AE335" i="26"/>
  <c r="BE335" i="26" s="1"/>
  <c r="S339" i="26"/>
  <c r="AI339" i="26"/>
  <c r="S342" i="26"/>
  <c r="S343" i="26"/>
  <c r="AI343" i="26"/>
  <c r="AE339" i="26"/>
  <c r="BE339" i="26" s="1"/>
  <c r="AU339" i="26"/>
  <c r="AE342" i="26"/>
  <c r="BE342" i="26" s="1"/>
  <c r="AU342" i="26"/>
  <c r="AE343" i="26"/>
  <c r="BE343" i="26" s="1"/>
  <c r="AU343" i="26"/>
  <c r="AQ340" i="26"/>
  <c r="S335" i="26"/>
  <c r="AI335" i="26"/>
  <c r="S336" i="26"/>
  <c r="AI336" i="26"/>
  <c r="S338" i="26"/>
  <c r="AI338" i="26"/>
  <c r="AU335" i="26"/>
  <c r="AE336" i="26"/>
  <c r="BE336" i="26" s="1"/>
  <c r="S312" i="26"/>
  <c r="AE337" i="26"/>
  <c r="BE337" i="26" s="1"/>
  <c r="AI312" i="26"/>
  <c r="S340" i="26"/>
  <c r="AI340" i="26"/>
  <c r="S341" i="26"/>
  <c r="AI341" i="26"/>
  <c r="AA335" i="26"/>
  <c r="AQ335" i="26"/>
  <c r="AA336" i="26"/>
  <c r="AQ336" i="26"/>
  <c r="AA337" i="26"/>
  <c r="AE312" i="26"/>
  <c r="AQ337" i="26"/>
  <c r="AU312" i="26"/>
  <c r="AE340" i="26"/>
  <c r="BE340" i="26" s="1"/>
  <c r="AU340" i="26"/>
  <c r="AU341" i="26"/>
  <c r="AD312" i="26"/>
  <c r="AO312" i="26"/>
  <c r="U312" i="26"/>
  <c r="Z312" i="26"/>
  <c r="AK312" i="26"/>
  <c r="AP312" i="26"/>
  <c r="W337" i="26"/>
  <c r="AA312" i="26"/>
  <c r="AM337" i="26"/>
  <c r="AQ312" i="26"/>
  <c r="AE338" i="26"/>
  <c r="BE338" i="26" s="1"/>
  <c r="AU338" i="26"/>
  <c r="AA340" i="26"/>
  <c r="AE341" i="26"/>
  <c r="BE341" i="26" s="1"/>
  <c r="Y312" i="26"/>
  <c r="AT312" i="26"/>
  <c r="V312" i="26"/>
  <c r="AG312" i="26"/>
  <c r="AL312" i="26"/>
  <c r="AW312" i="26"/>
  <c r="S337" i="26"/>
  <c r="W312" i="26"/>
  <c r="AI337" i="26"/>
  <c r="AM312" i="26"/>
  <c r="AA338" i="26"/>
  <c r="AQ338" i="26"/>
  <c r="AA341" i="26"/>
  <c r="AQ341" i="26"/>
  <c r="J312" i="26"/>
  <c r="K312" i="26"/>
  <c r="C324" i="26"/>
  <c r="C320" i="26"/>
  <c r="G339" i="26"/>
  <c r="C328" i="26"/>
  <c r="E312" i="26"/>
  <c r="B284" i="26"/>
  <c r="G335" i="26"/>
  <c r="C337" i="26"/>
  <c r="G340" i="26"/>
  <c r="G312" i="26"/>
  <c r="C338" i="26"/>
  <c r="C342" i="26"/>
  <c r="C334" i="26"/>
  <c r="G342" i="26"/>
  <c r="C343" i="26"/>
  <c r="I312" i="26"/>
  <c r="C322" i="26"/>
  <c r="C326" i="26"/>
  <c r="G327" i="26"/>
  <c r="G337" i="26"/>
  <c r="G320" i="26"/>
  <c r="G324" i="26"/>
  <c r="G326" i="26"/>
  <c r="G328" i="26"/>
  <c r="G284" i="26"/>
  <c r="Q284" i="26"/>
  <c r="G336" i="26"/>
  <c r="G343" i="26"/>
  <c r="F312" i="26"/>
  <c r="K335" i="26"/>
  <c r="K336" i="26"/>
  <c r="K337" i="26"/>
  <c r="K338" i="26"/>
  <c r="K339" i="26"/>
  <c r="K340" i="26"/>
  <c r="K341" i="26"/>
  <c r="K342" i="26"/>
  <c r="K343" i="26"/>
  <c r="J284" i="26"/>
  <c r="K284" i="26"/>
  <c r="F284" i="26"/>
  <c r="G322" i="26"/>
  <c r="G325" i="26"/>
  <c r="I284" i="26"/>
  <c r="B312" i="26"/>
  <c r="C312" i="26"/>
  <c r="G321" i="26"/>
  <c r="G319" i="26"/>
  <c r="E284" i="26"/>
  <c r="AY312" i="26"/>
  <c r="M312" i="26"/>
  <c r="X284" i="26"/>
  <c r="AN284" i="26"/>
  <c r="AR284" i="26"/>
  <c r="AF284" i="26"/>
  <c r="AV284" i="26"/>
  <c r="T284" i="26"/>
  <c r="AJ284" i="26"/>
  <c r="AY284" i="26"/>
  <c r="AM340" i="26" l="1"/>
  <c r="AM339" i="26"/>
  <c r="AM342" i="26"/>
  <c r="AM343" i="26"/>
  <c r="AM338" i="26"/>
  <c r="AM341" i="26"/>
  <c r="AM336" i="26"/>
  <c r="AM335" i="26"/>
  <c r="W338" i="26"/>
  <c r="W341" i="26"/>
  <c r="W336" i="26"/>
  <c r="W343" i="26"/>
  <c r="W340" i="26"/>
  <c r="W339" i="26"/>
  <c r="W335" i="26"/>
  <c r="W342" i="26"/>
  <c r="G338" i="26"/>
  <c r="AR312" i="26"/>
  <c r="AQ334" i="26"/>
  <c r="C327" i="26"/>
  <c r="AN312" i="26"/>
  <c r="AM334" i="26"/>
  <c r="C325" i="26"/>
  <c r="H312" i="26"/>
  <c r="AJ312" i="26"/>
  <c r="AI334" i="26"/>
  <c r="T312" i="26"/>
  <c r="S334" i="26"/>
  <c r="C323" i="26"/>
  <c r="C336" i="26"/>
  <c r="C335" i="26"/>
  <c r="AB312" i="26"/>
  <c r="AA334" i="26"/>
  <c r="C340" i="26"/>
  <c r="X312" i="26"/>
  <c r="W334" i="26"/>
  <c r="C339" i="26"/>
  <c r="AV312" i="26"/>
  <c r="AU334" i="26"/>
  <c r="AF312" i="26"/>
  <c r="AE334" i="26"/>
  <c r="BE334" i="26" s="1"/>
  <c r="C319" i="26"/>
  <c r="C321" i="26"/>
  <c r="C341" i="26"/>
  <c r="D284" i="26"/>
  <c r="L312" i="26"/>
  <c r="K334" i="26"/>
  <c r="H284" i="26"/>
  <c r="D312" i="26"/>
  <c r="AX284" i="26"/>
  <c r="AX312" i="26"/>
  <c r="BB284" i="26" l="1"/>
  <c r="BB312" i="26"/>
  <c r="CZ2" i="190" l="1"/>
  <c r="DA2" i="190"/>
  <c r="DB2" i="190" s="1"/>
  <c r="CI5" i="190"/>
  <c r="CL5" i="190" s="1"/>
  <c r="CR5" i="190" s="1"/>
  <c r="CJ5" i="190"/>
  <c r="CM5" i="190" s="1"/>
  <c r="AQ6" i="190"/>
  <c r="CE6" i="190"/>
  <c r="CF6" i="190"/>
  <c r="CG6" i="190"/>
  <c r="CI6" i="190"/>
  <c r="CJ6" i="190"/>
  <c r="DA6" i="190"/>
  <c r="DD6" i="190" s="1"/>
  <c r="DB6" i="190"/>
  <c r="DC6" i="190"/>
  <c r="AQ7" i="190"/>
  <c r="CL7" i="190" s="1"/>
  <c r="CO7" i="190" s="1"/>
  <c r="CE7" i="190"/>
  <c r="CM7" i="190" s="1"/>
  <c r="CF7" i="190"/>
  <c r="CG7" i="190"/>
  <c r="CI7" i="190"/>
  <c r="CJ7" i="190"/>
  <c r="DA7" i="190"/>
  <c r="DB7" i="190"/>
  <c r="DC7" i="190"/>
  <c r="DD7" i="190"/>
  <c r="DE7" i="190" s="1"/>
  <c r="AQ8" i="190"/>
  <c r="CL8" i="190" s="1"/>
  <c r="CO8" i="190" s="1"/>
  <c r="CE8" i="190"/>
  <c r="CM8" i="190" s="1"/>
  <c r="CP8" i="190" s="1"/>
  <c r="CF8" i="190"/>
  <c r="CG8" i="190"/>
  <c r="CI8" i="190"/>
  <c r="CJ8" i="190"/>
  <c r="DA8" i="190"/>
  <c r="DD8" i="190" s="1"/>
  <c r="DE8" i="190" s="1"/>
  <c r="DB8" i="190"/>
  <c r="DC8" i="190"/>
  <c r="AQ9" i="190"/>
  <c r="CL9" i="190" s="1"/>
  <c r="CO9" i="190" s="1"/>
  <c r="CE9" i="190"/>
  <c r="CM9" i="190" s="1"/>
  <c r="CP9" i="190" s="1"/>
  <c r="CF9" i="190"/>
  <c r="CG9" i="190"/>
  <c r="CI9" i="190"/>
  <c r="CJ9" i="190"/>
  <c r="DA9" i="190"/>
  <c r="DB9" i="190"/>
  <c r="DC9" i="190"/>
  <c r="AQ10" i="190"/>
  <c r="CL10" i="190" s="1"/>
  <c r="CE10" i="190"/>
  <c r="CM10" i="190" s="1"/>
  <c r="CP10" i="190" s="1"/>
  <c r="CF10" i="190"/>
  <c r="CG10" i="190"/>
  <c r="CI10" i="190"/>
  <c r="CJ10" i="190"/>
  <c r="DA10" i="190"/>
  <c r="DD10" i="190" s="1"/>
  <c r="DB10" i="190"/>
  <c r="DC10" i="190"/>
  <c r="AQ11" i="190"/>
  <c r="CL11" i="190" s="1"/>
  <c r="CO11" i="190" s="1"/>
  <c r="CE11" i="190"/>
  <c r="CM11" i="190" s="1"/>
  <c r="CF11" i="190"/>
  <c r="CG11" i="190"/>
  <c r="CI11" i="190"/>
  <c r="CJ11" i="190"/>
  <c r="DA11" i="190"/>
  <c r="DD11" i="190" s="1"/>
  <c r="DE11" i="190" s="1"/>
  <c r="DB11" i="190"/>
  <c r="DC11" i="190"/>
  <c r="AQ12" i="190"/>
  <c r="CL12" i="190" s="1"/>
  <c r="CE12" i="190"/>
  <c r="CM12" i="190" s="1"/>
  <c r="CP12" i="190" s="1"/>
  <c r="CF12" i="190"/>
  <c r="CG12" i="190"/>
  <c r="CI12" i="190"/>
  <c r="CJ12" i="190"/>
  <c r="DA12" i="190"/>
  <c r="DD12" i="190" s="1"/>
  <c r="DE12" i="190" s="1"/>
  <c r="DB12" i="190"/>
  <c r="DC12" i="190"/>
  <c r="AQ13" i="190"/>
  <c r="CL13" i="190" s="1"/>
  <c r="CE13" i="190"/>
  <c r="CM13" i="190" s="1"/>
  <c r="CP13" i="190" s="1"/>
  <c r="CF13" i="190"/>
  <c r="CG13" i="190"/>
  <c r="CI13" i="190"/>
  <c r="CJ13" i="190"/>
  <c r="DA13" i="190"/>
  <c r="DD13" i="190" s="1"/>
  <c r="DG13" i="190" s="1"/>
  <c r="DB13" i="190"/>
  <c r="DC13" i="190"/>
  <c r="DE13" i="190"/>
  <c r="AQ14" i="190"/>
  <c r="CL14" i="190" s="1"/>
  <c r="CO14" i="190" s="1"/>
  <c r="CE14" i="190"/>
  <c r="CM14" i="190" s="1"/>
  <c r="CF14" i="190"/>
  <c r="CG14" i="190"/>
  <c r="CI14" i="190"/>
  <c r="CJ14" i="190"/>
  <c r="DA14" i="190"/>
  <c r="DD14" i="190" s="1"/>
  <c r="DB14" i="190"/>
  <c r="DC14" i="190"/>
  <c r="AQ15" i="190"/>
  <c r="CL15" i="190" s="1"/>
  <c r="CO15" i="190" s="1"/>
  <c r="CE15" i="190"/>
  <c r="CM15" i="190" s="1"/>
  <c r="CF15" i="190"/>
  <c r="CG15" i="190"/>
  <c r="CI15" i="190"/>
  <c r="CJ15" i="190"/>
  <c r="DA15" i="190"/>
  <c r="DD15" i="190" s="1"/>
  <c r="DE15" i="190" s="1"/>
  <c r="DB15" i="190"/>
  <c r="DC15" i="190"/>
  <c r="AQ16" i="190"/>
  <c r="CL16" i="190" s="1"/>
  <c r="CO16" i="190" s="1"/>
  <c r="CE16" i="190"/>
  <c r="CM16" i="190" s="1"/>
  <c r="CP16" i="190" s="1"/>
  <c r="CF16" i="190"/>
  <c r="CG16" i="190"/>
  <c r="CI16" i="190"/>
  <c r="CJ16" i="190"/>
  <c r="DA16" i="190"/>
  <c r="DD16" i="190" s="1"/>
  <c r="DE16" i="190" s="1"/>
  <c r="DB16" i="190"/>
  <c r="DC16" i="190"/>
  <c r="A19" i="190"/>
  <c r="J19" i="190"/>
  <c r="K19" i="190"/>
  <c r="L19" i="190"/>
  <c r="N109" i="190"/>
  <c r="P19" i="190"/>
  <c r="Q19" i="190"/>
  <c r="R19" i="190"/>
  <c r="AB19" i="190"/>
  <c r="AC19" i="190"/>
  <c r="AD19" i="190"/>
  <c r="AE19" i="190"/>
  <c r="AF19" i="190"/>
  <c r="AG19" i="190"/>
  <c r="AH19" i="190"/>
  <c r="AI19" i="190"/>
  <c r="AJ19" i="190"/>
  <c r="AK19" i="190"/>
  <c r="AL19" i="190"/>
  <c r="AM19" i="190"/>
  <c r="CX19" i="190"/>
  <c r="CY19" i="190"/>
  <c r="CZ19" i="190"/>
  <c r="AQ20" i="190"/>
  <c r="CL20" i="190" s="1"/>
  <c r="CO20" i="190" s="1"/>
  <c r="CE20" i="190"/>
  <c r="CM20" i="190" s="1"/>
  <c r="CP20" i="190" s="1"/>
  <c r="CF20" i="190"/>
  <c r="CG20" i="190"/>
  <c r="CI20" i="190"/>
  <c r="CJ20" i="190"/>
  <c r="DA20" i="190"/>
  <c r="DD20" i="190" s="1"/>
  <c r="DB20" i="190"/>
  <c r="DC20" i="190"/>
  <c r="AQ21" i="190"/>
  <c r="CL21" i="190" s="1"/>
  <c r="CE21" i="190"/>
  <c r="CM21" i="190" s="1"/>
  <c r="CP21" i="190" s="1"/>
  <c r="CF21" i="190"/>
  <c r="CG21" i="190"/>
  <c r="CI21" i="190"/>
  <c r="CJ21" i="190"/>
  <c r="DA21" i="190"/>
  <c r="DD21" i="190" s="1"/>
  <c r="DE21" i="190" s="1"/>
  <c r="DB21" i="190"/>
  <c r="DC21" i="190"/>
  <c r="AQ22" i="190"/>
  <c r="CL22" i="190" s="1"/>
  <c r="CO22" i="190" s="1"/>
  <c r="CE22" i="190"/>
  <c r="CM22" i="190" s="1"/>
  <c r="CP22" i="190" s="1"/>
  <c r="CF22" i="190"/>
  <c r="CG22" i="190"/>
  <c r="CI22" i="190"/>
  <c r="CJ22" i="190"/>
  <c r="DA22" i="190"/>
  <c r="DD22" i="190" s="1"/>
  <c r="DB22" i="190"/>
  <c r="DC22" i="190"/>
  <c r="AQ23" i="190"/>
  <c r="CL23" i="190" s="1"/>
  <c r="CO23" i="190" s="1"/>
  <c r="CE23" i="190"/>
  <c r="CM23" i="190" s="1"/>
  <c r="CP23" i="190" s="1"/>
  <c r="CF23" i="190"/>
  <c r="CG23" i="190"/>
  <c r="CI23" i="190"/>
  <c r="CJ23" i="190"/>
  <c r="DA23" i="190"/>
  <c r="DD23" i="190" s="1"/>
  <c r="DE23" i="190" s="1"/>
  <c r="DB23" i="190"/>
  <c r="DC23" i="190"/>
  <c r="AQ24" i="190"/>
  <c r="CL24" i="190" s="1"/>
  <c r="CO24" i="190" s="1"/>
  <c r="CE24" i="190"/>
  <c r="CM24" i="190" s="1"/>
  <c r="CP24" i="190" s="1"/>
  <c r="CF24" i="190"/>
  <c r="CG24" i="190"/>
  <c r="CI24" i="190"/>
  <c r="CJ24" i="190"/>
  <c r="DA24" i="190"/>
  <c r="DD24" i="190" s="1"/>
  <c r="DB24" i="190"/>
  <c r="DC24" i="190"/>
  <c r="AQ25" i="190"/>
  <c r="CL25" i="190" s="1"/>
  <c r="CO25" i="190" s="1"/>
  <c r="CE25" i="190"/>
  <c r="CM25" i="190" s="1"/>
  <c r="CP25" i="190" s="1"/>
  <c r="CF25" i="190"/>
  <c r="CG25" i="190"/>
  <c r="CI25" i="190"/>
  <c r="CJ25" i="190"/>
  <c r="DA25" i="190"/>
  <c r="DD25" i="190" s="1"/>
  <c r="DE25" i="190" s="1"/>
  <c r="DB25" i="190"/>
  <c r="DC25" i="190"/>
  <c r="AQ26" i="190"/>
  <c r="CL26" i="190" s="1"/>
  <c r="CO26" i="190" s="1"/>
  <c r="CE26" i="190"/>
  <c r="CM26" i="190" s="1"/>
  <c r="CP26" i="190" s="1"/>
  <c r="CF26" i="190"/>
  <c r="CG26" i="190"/>
  <c r="CI26" i="190"/>
  <c r="CJ26" i="190"/>
  <c r="DA26" i="190"/>
  <c r="DD26" i="190" s="1"/>
  <c r="DB26" i="190"/>
  <c r="DC26" i="190"/>
  <c r="AQ27" i="190"/>
  <c r="CL27" i="190" s="1"/>
  <c r="CE27" i="190"/>
  <c r="CM27" i="190" s="1"/>
  <c r="CP27" i="190" s="1"/>
  <c r="CF27" i="190"/>
  <c r="CG27" i="190"/>
  <c r="CI27" i="190"/>
  <c r="CJ27" i="190"/>
  <c r="DA27" i="190"/>
  <c r="DD27" i="190" s="1"/>
  <c r="DB27" i="190"/>
  <c r="DC27" i="190"/>
  <c r="AQ28" i="190"/>
  <c r="CL28" i="190" s="1"/>
  <c r="CO28" i="190" s="1"/>
  <c r="CE28" i="190"/>
  <c r="CM28" i="190" s="1"/>
  <c r="CP28" i="190" s="1"/>
  <c r="CF28" i="190"/>
  <c r="CG28" i="190"/>
  <c r="CI28" i="190"/>
  <c r="CJ28" i="190"/>
  <c r="DA28" i="190"/>
  <c r="DD28" i="190" s="1"/>
  <c r="DB28" i="190"/>
  <c r="DC28" i="190"/>
  <c r="A29" i="190"/>
  <c r="J29" i="190"/>
  <c r="K29" i="190"/>
  <c r="L29" i="190"/>
  <c r="P29" i="190"/>
  <c r="Q29" i="190"/>
  <c r="R29" i="190"/>
  <c r="V29" i="190"/>
  <c r="W29" i="190"/>
  <c r="X29" i="190"/>
  <c r="AB29" i="190"/>
  <c r="AC29" i="190"/>
  <c r="AD29" i="190"/>
  <c r="AE29" i="190"/>
  <c r="AF29" i="190"/>
  <c r="AG29" i="190"/>
  <c r="AH29" i="190"/>
  <c r="AI29" i="190"/>
  <c r="AJ29" i="190"/>
  <c r="AK29" i="190"/>
  <c r="AL29" i="190"/>
  <c r="AM29" i="190"/>
  <c r="AR29" i="190"/>
  <c r="AS29" i="190"/>
  <c r="AT29" i="190"/>
  <c r="AU29" i="190"/>
  <c r="AV29" i="190"/>
  <c r="AW29" i="190"/>
  <c r="AX29" i="190"/>
  <c r="AY29" i="190"/>
  <c r="AZ29" i="190"/>
  <c r="BA29" i="190"/>
  <c r="BB29" i="190"/>
  <c r="BC29" i="190"/>
  <c r="BD29" i="190"/>
  <c r="BE29" i="190"/>
  <c r="BF29" i="190"/>
  <c r="BG29" i="190"/>
  <c r="BH29" i="190"/>
  <c r="BI29" i="190"/>
  <c r="BJ29" i="190"/>
  <c r="BK29" i="190"/>
  <c r="BL29" i="190"/>
  <c r="BM29" i="190"/>
  <c r="BN29" i="190"/>
  <c r="BO29" i="190"/>
  <c r="BP29" i="190"/>
  <c r="BQ29" i="190"/>
  <c r="BR29" i="190"/>
  <c r="BS29" i="190"/>
  <c r="BT29" i="190"/>
  <c r="BU29" i="190"/>
  <c r="BV29" i="190"/>
  <c r="BW29" i="190"/>
  <c r="BX29" i="190"/>
  <c r="BY29" i="190"/>
  <c r="BZ29" i="190"/>
  <c r="CA29" i="190"/>
  <c r="CB29" i="190"/>
  <c r="CC29" i="190"/>
  <c r="CD29" i="190"/>
  <c r="CF29" i="190"/>
  <c r="CX29" i="190"/>
  <c r="CY29" i="190"/>
  <c r="CZ29" i="190"/>
  <c r="AQ30" i="190"/>
  <c r="CL30" i="190" s="1"/>
  <c r="CM30" i="190"/>
  <c r="CF30" i="190"/>
  <c r="CG30" i="190"/>
  <c r="CI30" i="190"/>
  <c r="CJ30" i="190"/>
  <c r="DA30" i="190"/>
  <c r="DD30" i="190" s="1"/>
  <c r="DE30" i="190" s="1"/>
  <c r="DB30" i="190"/>
  <c r="DC30" i="190"/>
  <c r="AQ31" i="190"/>
  <c r="CL31" i="190" s="1"/>
  <c r="CO31" i="190" s="1"/>
  <c r="CM31" i="190"/>
  <c r="CP31" i="190" s="1"/>
  <c r="CF31" i="190"/>
  <c r="CG31" i="190"/>
  <c r="CI31" i="190"/>
  <c r="CJ31" i="190"/>
  <c r="DA31" i="190"/>
  <c r="DB31" i="190"/>
  <c r="DC31" i="190"/>
  <c r="AQ32" i="190"/>
  <c r="CL32" i="190" s="1"/>
  <c r="CO32" i="190" s="1"/>
  <c r="CM32" i="190"/>
  <c r="CP32" i="190" s="1"/>
  <c r="CF32" i="190"/>
  <c r="CG32" i="190"/>
  <c r="CI32" i="190"/>
  <c r="CJ32" i="190"/>
  <c r="DA32" i="190"/>
  <c r="DD32" i="190" s="1"/>
  <c r="DB32" i="190"/>
  <c r="DC32" i="190"/>
  <c r="AQ33" i="190"/>
  <c r="CL33" i="190" s="1"/>
  <c r="CO33" i="190" s="1"/>
  <c r="CM33" i="190"/>
  <c r="CF33" i="190"/>
  <c r="CG33" i="190"/>
  <c r="CI33" i="190"/>
  <c r="CJ33" i="190"/>
  <c r="DA33" i="190"/>
  <c r="DD33" i="190" s="1"/>
  <c r="DE33" i="190" s="1"/>
  <c r="DB33" i="190"/>
  <c r="DC33" i="190"/>
  <c r="AQ34" i="190"/>
  <c r="CL34" i="190" s="1"/>
  <c r="CM34" i="190"/>
  <c r="CF34" i="190"/>
  <c r="CG34" i="190"/>
  <c r="CI34" i="190"/>
  <c r="CJ34" i="190"/>
  <c r="DA34" i="190"/>
  <c r="DD34" i="190" s="1"/>
  <c r="DB34" i="190"/>
  <c r="DC34" i="190"/>
  <c r="AQ35" i="190"/>
  <c r="CL35" i="190" s="1"/>
  <c r="CO35" i="190" s="1"/>
  <c r="CM35" i="190"/>
  <c r="CP35" i="190" s="1"/>
  <c r="CF35" i="190"/>
  <c r="CG35" i="190"/>
  <c r="CI35" i="190"/>
  <c r="CJ35" i="190"/>
  <c r="DA35" i="190"/>
  <c r="DD35" i="190" s="1"/>
  <c r="DG35" i="190" s="1"/>
  <c r="DB35" i="190"/>
  <c r="DC35" i="190"/>
  <c r="AQ36" i="190"/>
  <c r="CL36" i="190" s="1"/>
  <c r="CO36" i="190" s="1"/>
  <c r="CM36" i="190"/>
  <c r="CF36" i="190"/>
  <c r="CG36" i="190"/>
  <c r="CI36" i="190"/>
  <c r="CJ36" i="190"/>
  <c r="DA36" i="190"/>
  <c r="DD36" i="190" s="1"/>
  <c r="DB36" i="190"/>
  <c r="DC36" i="190"/>
  <c r="AQ37" i="190"/>
  <c r="CL37" i="190" s="1"/>
  <c r="CO37" i="190" s="1"/>
  <c r="CF37" i="190"/>
  <c r="CG37" i="190"/>
  <c r="CI37" i="190"/>
  <c r="CJ37" i="190"/>
  <c r="CM37" i="190"/>
  <c r="DA37" i="190"/>
  <c r="DD37" i="190" s="1"/>
  <c r="DE37" i="190" s="1"/>
  <c r="DB37" i="190"/>
  <c r="DC37" i="190"/>
  <c r="A38" i="190"/>
  <c r="J38" i="190"/>
  <c r="K38" i="190"/>
  <c r="L38" i="190"/>
  <c r="V38" i="190"/>
  <c r="W38" i="190"/>
  <c r="X38" i="190"/>
  <c r="AB38" i="190"/>
  <c r="AC38" i="190"/>
  <c r="AD38" i="190"/>
  <c r="AE38" i="190"/>
  <c r="AF38" i="190"/>
  <c r="AG38" i="190"/>
  <c r="AH38" i="190"/>
  <c r="AI38" i="190"/>
  <c r="AJ38" i="190"/>
  <c r="AK38" i="190"/>
  <c r="AL38" i="190"/>
  <c r="AM38" i="190"/>
  <c r="AR38" i="190"/>
  <c r="AS38" i="190"/>
  <c r="AT38" i="190"/>
  <c r="AU38" i="190"/>
  <c r="AV38" i="190"/>
  <c r="AW38" i="190"/>
  <c r="AX38" i="190"/>
  <c r="AY38" i="190"/>
  <c r="AZ38" i="190"/>
  <c r="BA38" i="190"/>
  <c r="BB38" i="190"/>
  <c r="BC38" i="190"/>
  <c r="BD38" i="190"/>
  <c r="BE38" i="190"/>
  <c r="BF38" i="190"/>
  <c r="BG38" i="190"/>
  <c r="BH38" i="190"/>
  <c r="BI38" i="190"/>
  <c r="BJ38" i="190"/>
  <c r="BK38" i="190"/>
  <c r="BL38" i="190"/>
  <c r="BM38" i="190"/>
  <c r="BN38" i="190"/>
  <c r="BO38" i="190"/>
  <c r="BP38" i="190"/>
  <c r="BQ38" i="190"/>
  <c r="BR38" i="190"/>
  <c r="BS38" i="190"/>
  <c r="BT38" i="190"/>
  <c r="BU38" i="190"/>
  <c r="BV38" i="190"/>
  <c r="BW38" i="190"/>
  <c r="BX38" i="190"/>
  <c r="BY38" i="190"/>
  <c r="BZ38" i="190"/>
  <c r="CA38" i="190"/>
  <c r="CB38" i="190"/>
  <c r="CC38" i="190"/>
  <c r="CD38" i="190"/>
  <c r="CF38" i="190"/>
  <c r="CI38" i="190"/>
  <c r="CX38" i="190"/>
  <c r="CY38" i="190"/>
  <c r="CZ38" i="190"/>
  <c r="AQ39" i="190"/>
  <c r="CL39" i="190" s="1"/>
  <c r="CE39" i="190"/>
  <c r="CM39" i="190" s="1"/>
  <c r="CF39" i="190"/>
  <c r="CG39" i="190"/>
  <c r="CI39" i="190"/>
  <c r="CJ39" i="190"/>
  <c r="DA39" i="190"/>
  <c r="DD39" i="190" s="1"/>
  <c r="DG39" i="190" s="1"/>
  <c r="DB39" i="190"/>
  <c r="DC39" i="190"/>
  <c r="AQ40" i="190"/>
  <c r="CL40" i="190" s="1"/>
  <c r="CE40" i="190"/>
  <c r="CM40" i="190" s="1"/>
  <c r="CP40" i="190" s="1"/>
  <c r="CF40" i="190"/>
  <c r="CG40" i="190"/>
  <c r="CI40" i="190"/>
  <c r="CJ40" i="190"/>
  <c r="DA40" i="190"/>
  <c r="DD40" i="190" s="1"/>
  <c r="DB40" i="190"/>
  <c r="DC40" i="190"/>
  <c r="AQ41" i="190"/>
  <c r="CL41" i="190" s="1"/>
  <c r="CO41" i="190" s="1"/>
  <c r="CE41" i="190"/>
  <c r="CM41" i="190" s="1"/>
  <c r="CF41" i="190"/>
  <c r="CG41" i="190"/>
  <c r="CI41" i="190"/>
  <c r="CJ41" i="190"/>
  <c r="DA41" i="190"/>
  <c r="DD41" i="190" s="1"/>
  <c r="DE41" i="190" s="1"/>
  <c r="DB41" i="190"/>
  <c r="DC41" i="190"/>
  <c r="AQ42" i="190"/>
  <c r="CL42" i="190" s="1"/>
  <c r="CO42" i="190" s="1"/>
  <c r="CE42" i="190"/>
  <c r="CM42" i="190" s="1"/>
  <c r="CP42" i="190" s="1"/>
  <c r="CF42" i="190"/>
  <c r="CG42" i="190"/>
  <c r="CI42" i="190"/>
  <c r="CJ42" i="190"/>
  <c r="DA42" i="190"/>
  <c r="DD42" i="190" s="1"/>
  <c r="DE42" i="190" s="1"/>
  <c r="DB42" i="190"/>
  <c r="DC42" i="190"/>
  <c r="AQ43" i="190"/>
  <c r="CL43" i="190" s="1"/>
  <c r="CO43" i="190" s="1"/>
  <c r="CE43" i="190"/>
  <c r="CM43" i="190" s="1"/>
  <c r="CP43" i="190" s="1"/>
  <c r="CF43" i="190"/>
  <c r="CG43" i="190"/>
  <c r="CI43" i="190"/>
  <c r="CJ43" i="190"/>
  <c r="DA43" i="190"/>
  <c r="DD43" i="190" s="1"/>
  <c r="DE43" i="190" s="1"/>
  <c r="DB43" i="190"/>
  <c r="DC43" i="190"/>
  <c r="AQ44" i="190"/>
  <c r="CL44" i="190" s="1"/>
  <c r="CO44" i="190" s="1"/>
  <c r="CE44" i="190"/>
  <c r="CF44" i="190"/>
  <c r="CG44" i="190"/>
  <c r="CI44" i="190"/>
  <c r="CJ44" i="190"/>
  <c r="CM44" i="190"/>
  <c r="CP44" i="190" s="1"/>
  <c r="AQ45" i="190"/>
  <c r="CL45" i="190" s="1"/>
  <c r="CO45" i="190" s="1"/>
  <c r="CE45" i="190"/>
  <c r="CM45" i="190" s="1"/>
  <c r="CP45" i="190" s="1"/>
  <c r="CF45" i="190"/>
  <c r="CG45" i="190"/>
  <c r="CI45" i="190"/>
  <c r="CJ45" i="190"/>
  <c r="DA45" i="190"/>
  <c r="DD45" i="190" s="1"/>
  <c r="DB45" i="190"/>
  <c r="DC45" i="190"/>
  <c r="AQ46" i="190"/>
  <c r="CL46" i="190" s="1"/>
  <c r="CO46" i="190" s="1"/>
  <c r="CE46" i="190"/>
  <c r="CM46" i="190" s="1"/>
  <c r="CP46" i="190" s="1"/>
  <c r="CF46" i="190"/>
  <c r="CG46" i="190"/>
  <c r="CI46" i="190"/>
  <c r="CJ46" i="190"/>
  <c r="DA46" i="190"/>
  <c r="DB46" i="190"/>
  <c r="DC46" i="190"/>
  <c r="AQ47" i="190"/>
  <c r="CL47" i="190" s="1"/>
  <c r="CE47" i="190"/>
  <c r="CM47" i="190" s="1"/>
  <c r="CP47" i="190" s="1"/>
  <c r="CF47" i="190"/>
  <c r="CG47" i="190"/>
  <c r="CI47" i="190"/>
  <c r="CJ47" i="190"/>
  <c r="DA47" i="190"/>
  <c r="DD47" i="190" s="1"/>
  <c r="DB47" i="190"/>
  <c r="DC47" i="190"/>
  <c r="AQ48" i="190"/>
  <c r="CL48" i="190" s="1"/>
  <c r="CO48" i="190" s="1"/>
  <c r="CE48" i="190"/>
  <c r="CF48" i="190"/>
  <c r="CG48" i="190"/>
  <c r="CI48" i="190"/>
  <c r="CJ48" i="190"/>
  <c r="AQ49" i="190"/>
  <c r="CL49" i="190" s="1"/>
  <c r="CO49" i="190" s="1"/>
  <c r="CE49" i="190"/>
  <c r="CM49" i="190" s="1"/>
  <c r="CP49" i="190" s="1"/>
  <c r="CF49" i="190"/>
  <c r="CG49" i="190"/>
  <c r="CI49" i="190"/>
  <c r="CJ49" i="190"/>
  <c r="DA49" i="190"/>
  <c r="DD49" i="190" s="1"/>
  <c r="DB49" i="190"/>
  <c r="DC49" i="190"/>
  <c r="AQ50" i="190"/>
  <c r="CL50" i="190" s="1"/>
  <c r="CO50" i="190" s="1"/>
  <c r="CE50" i="190"/>
  <c r="CM50" i="190" s="1"/>
  <c r="CF50" i="190"/>
  <c r="CG50" i="190"/>
  <c r="CI50" i="190"/>
  <c r="CJ50" i="190"/>
  <c r="AQ51" i="190"/>
  <c r="CL51" i="190" s="1"/>
  <c r="CE51" i="190"/>
  <c r="CM51" i="190" s="1"/>
  <c r="CP51" i="190" s="1"/>
  <c r="CF51" i="190"/>
  <c r="CG51" i="190"/>
  <c r="CI51" i="190"/>
  <c r="CJ51" i="190"/>
  <c r="AQ52" i="190"/>
  <c r="CL52" i="190" s="1"/>
  <c r="CO52" i="190" s="1"/>
  <c r="CE52" i="190"/>
  <c r="CM52" i="190" s="1"/>
  <c r="CP52" i="190" s="1"/>
  <c r="CF52" i="190"/>
  <c r="CG52" i="190"/>
  <c r="CI52" i="190"/>
  <c r="CJ52" i="190"/>
  <c r="DA52" i="190"/>
  <c r="DD52" i="190" s="1"/>
  <c r="DB52" i="190"/>
  <c r="DC52" i="190"/>
  <c r="AQ53" i="190"/>
  <c r="CL53" i="190" s="1"/>
  <c r="CO53" i="190" s="1"/>
  <c r="CE53" i="190"/>
  <c r="CM53" i="190" s="1"/>
  <c r="CP53" i="190" s="1"/>
  <c r="CF53" i="190"/>
  <c r="CG53" i="190"/>
  <c r="CI53" i="190"/>
  <c r="CJ53" i="190"/>
  <c r="DA53" i="190"/>
  <c r="DB53" i="190"/>
  <c r="DC53" i="190"/>
  <c r="DD53" i="190"/>
  <c r="AQ54" i="190"/>
  <c r="CL54" i="190" s="1"/>
  <c r="CO54" i="190" s="1"/>
  <c r="CE54" i="190"/>
  <c r="CM54" i="190" s="1"/>
  <c r="CF54" i="190"/>
  <c r="CG54" i="190"/>
  <c r="CI54" i="190"/>
  <c r="CJ54" i="190"/>
  <c r="DA54" i="190"/>
  <c r="DD54" i="190" s="1"/>
  <c r="DB54" i="190"/>
  <c r="DC54" i="190"/>
  <c r="AQ55" i="190"/>
  <c r="CE55" i="190"/>
  <c r="CM55" i="190" s="1"/>
  <c r="CP55" i="190" s="1"/>
  <c r="CF55" i="190"/>
  <c r="CG55" i="190"/>
  <c r="CI55" i="190"/>
  <c r="CJ55" i="190"/>
  <c r="DA55" i="190"/>
  <c r="DD55" i="190" s="1"/>
  <c r="DB55" i="190"/>
  <c r="DC55" i="190"/>
  <c r="A56" i="190"/>
  <c r="J56" i="190"/>
  <c r="K56" i="190"/>
  <c r="L56" i="190"/>
  <c r="P56" i="190"/>
  <c r="Q56" i="190"/>
  <c r="R56" i="190"/>
  <c r="V56" i="190"/>
  <c r="W56" i="190"/>
  <c r="X56" i="190"/>
  <c r="AB56" i="190"/>
  <c r="AC56" i="190"/>
  <c r="AD56" i="190"/>
  <c r="AE56" i="190"/>
  <c r="AF56" i="190"/>
  <c r="AG56" i="190"/>
  <c r="AH56" i="190"/>
  <c r="AI56" i="190"/>
  <c r="AJ56" i="190"/>
  <c r="AK56" i="190"/>
  <c r="AL56" i="190"/>
  <c r="AM56" i="190"/>
  <c r="AR56" i="190"/>
  <c r="AS56" i="190"/>
  <c r="AT56" i="190"/>
  <c r="AU56" i="190"/>
  <c r="AV56" i="190"/>
  <c r="AW56" i="190"/>
  <c r="AX56" i="190"/>
  <c r="AY56" i="190"/>
  <c r="AZ56" i="190"/>
  <c r="BA56" i="190"/>
  <c r="BB56" i="190"/>
  <c r="BC56" i="190"/>
  <c r="BD56" i="190"/>
  <c r="BE56" i="190"/>
  <c r="BF56" i="190"/>
  <c r="BG56" i="190"/>
  <c r="BH56" i="190"/>
  <c r="BI56" i="190"/>
  <c r="BJ56" i="190"/>
  <c r="BK56" i="190"/>
  <c r="BL56" i="190"/>
  <c r="BM56" i="190"/>
  <c r="BN56" i="190"/>
  <c r="BO56" i="190"/>
  <c r="BP56" i="190"/>
  <c r="BQ56" i="190"/>
  <c r="BR56" i="190"/>
  <c r="BS56" i="190"/>
  <c r="BT56" i="190"/>
  <c r="BU56" i="190"/>
  <c r="BV56" i="190"/>
  <c r="BW56" i="190"/>
  <c r="BX56" i="190"/>
  <c r="BY56" i="190"/>
  <c r="BZ56" i="190"/>
  <c r="CA56" i="190"/>
  <c r="CB56" i="190"/>
  <c r="CC56" i="190"/>
  <c r="CD56" i="190"/>
  <c r="CX56" i="190"/>
  <c r="CY56" i="190"/>
  <c r="CZ56" i="190"/>
  <c r="AQ57" i="190"/>
  <c r="CL57" i="190" s="1"/>
  <c r="CE57" i="190"/>
  <c r="CM57" i="190" s="1"/>
  <c r="CP57" i="190" s="1"/>
  <c r="CF57" i="190"/>
  <c r="CG57" i="190"/>
  <c r="CI57" i="190"/>
  <c r="CJ57" i="190"/>
  <c r="AQ58" i="190"/>
  <c r="CL58" i="190" s="1"/>
  <c r="CO58" i="190" s="1"/>
  <c r="CE58" i="190"/>
  <c r="CM58" i="190" s="1"/>
  <c r="CF58" i="190"/>
  <c r="CG58" i="190"/>
  <c r="CI58" i="190"/>
  <c r="CJ58" i="190"/>
  <c r="AQ59" i="190"/>
  <c r="CL59" i="190" s="1"/>
  <c r="CE59" i="190"/>
  <c r="CM59" i="190" s="1"/>
  <c r="CP59" i="190" s="1"/>
  <c r="CF59" i="190"/>
  <c r="CG59" i="190"/>
  <c r="CI59" i="190"/>
  <c r="CJ59" i="190"/>
  <c r="AQ60" i="190"/>
  <c r="CL60" i="190" s="1"/>
  <c r="CO60" i="190" s="1"/>
  <c r="CE60" i="190"/>
  <c r="CM60" i="190" s="1"/>
  <c r="CP60" i="190" s="1"/>
  <c r="CF60" i="190"/>
  <c r="CG60" i="190"/>
  <c r="CI60" i="190"/>
  <c r="CJ60" i="190"/>
  <c r="AQ61" i="190"/>
  <c r="CL61" i="190" s="1"/>
  <c r="CO61" i="190" s="1"/>
  <c r="CE61" i="190"/>
  <c r="CM61" i="190" s="1"/>
  <c r="CP61" i="190" s="1"/>
  <c r="CF61" i="190"/>
  <c r="CG61" i="190"/>
  <c r="CI61" i="190"/>
  <c r="CJ61" i="190"/>
  <c r="AQ62" i="190"/>
  <c r="CL62" i="190" s="1"/>
  <c r="CO62" i="190" s="1"/>
  <c r="CE62" i="190"/>
  <c r="CF62" i="190"/>
  <c r="CG62" i="190"/>
  <c r="CI62" i="190"/>
  <c r="CJ62" i="190"/>
  <c r="AQ63" i="190"/>
  <c r="CE63" i="190"/>
  <c r="CM63" i="190" s="1"/>
  <c r="CF63" i="190"/>
  <c r="CG63" i="190"/>
  <c r="CI63" i="190"/>
  <c r="CJ63" i="190"/>
  <c r="AQ64" i="190"/>
  <c r="CL64" i="190" s="1"/>
  <c r="CO64" i="190" s="1"/>
  <c r="CE64" i="190"/>
  <c r="CM64" i="190" s="1"/>
  <c r="CP64" i="190" s="1"/>
  <c r="CF64" i="190"/>
  <c r="CG64" i="190"/>
  <c r="CI64" i="190"/>
  <c r="CJ64" i="190"/>
  <c r="AQ65" i="190"/>
  <c r="CL65" i="190" s="1"/>
  <c r="CO65" i="190" s="1"/>
  <c r="CE65" i="190"/>
  <c r="CM65" i="190" s="1"/>
  <c r="CP65" i="190" s="1"/>
  <c r="CF65" i="190"/>
  <c r="CG65" i="190"/>
  <c r="CI65" i="190"/>
  <c r="CJ65" i="190"/>
  <c r="AQ66" i="190"/>
  <c r="CL66" i="190" s="1"/>
  <c r="CE66" i="190"/>
  <c r="CM66" i="190" s="1"/>
  <c r="CP66" i="190" s="1"/>
  <c r="CF66" i="190"/>
  <c r="CG66" i="190"/>
  <c r="CI66" i="190"/>
  <c r="CJ66" i="190"/>
  <c r="AQ67" i="190"/>
  <c r="CL67" i="190" s="1"/>
  <c r="CE67" i="190"/>
  <c r="CM67" i="190" s="1"/>
  <c r="CP67" i="190" s="1"/>
  <c r="CF67" i="190"/>
  <c r="CG67" i="190"/>
  <c r="CI67" i="190"/>
  <c r="CJ67" i="190"/>
  <c r="A68" i="190"/>
  <c r="G109" i="190"/>
  <c r="J68" i="190"/>
  <c r="K68" i="190"/>
  <c r="L68" i="190"/>
  <c r="P68" i="190"/>
  <c r="Q68" i="190"/>
  <c r="R68" i="190"/>
  <c r="V68" i="190"/>
  <c r="W68" i="190"/>
  <c r="X68" i="190"/>
  <c r="AB68" i="190"/>
  <c r="AC68" i="190"/>
  <c r="AD68" i="190"/>
  <c r="AE68" i="190"/>
  <c r="AF68" i="190"/>
  <c r="AG68" i="190"/>
  <c r="AH68" i="190"/>
  <c r="AI68" i="190"/>
  <c r="AJ68" i="190"/>
  <c r="AK68" i="190"/>
  <c r="AL68" i="190"/>
  <c r="AM68" i="190"/>
  <c r="CF68" i="190"/>
  <c r="AR68" i="190"/>
  <c r="AS68" i="190"/>
  <c r="AT68" i="190"/>
  <c r="AU68" i="190"/>
  <c r="AV68" i="190"/>
  <c r="AW68" i="190"/>
  <c r="AX68" i="190"/>
  <c r="AY68" i="190"/>
  <c r="AZ68" i="190"/>
  <c r="BA68" i="190"/>
  <c r="BB68" i="190"/>
  <c r="BC68" i="190"/>
  <c r="BD68" i="190"/>
  <c r="BE68" i="190"/>
  <c r="BF68" i="190"/>
  <c r="BG68" i="190"/>
  <c r="BH68" i="190"/>
  <c r="BI68" i="190"/>
  <c r="BJ68" i="190"/>
  <c r="BK68" i="190"/>
  <c r="BL68" i="190"/>
  <c r="BM68" i="190"/>
  <c r="BN68" i="190"/>
  <c r="BO68" i="190"/>
  <c r="BP68" i="190"/>
  <c r="BQ68" i="190"/>
  <c r="BR68" i="190"/>
  <c r="BS68" i="190"/>
  <c r="BT68" i="190"/>
  <c r="BU68" i="190"/>
  <c r="BV68" i="190"/>
  <c r="BW68" i="190"/>
  <c r="BX68" i="190"/>
  <c r="BY68" i="190"/>
  <c r="BZ68" i="190"/>
  <c r="CA68" i="190"/>
  <c r="CB68" i="190"/>
  <c r="CC68" i="190"/>
  <c r="CD68" i="190"/>
  <c r="AQ69" i="190"/>
  <c r="CL69" i="190" s="1"/>
  <c r="CO69" i="190" s="1"/>
  <c r="CE69" i="190"/>
  <c r="CF69" i="190"/>
  <c r="CG69" i="190"/>
  <c r="CI69" i="190"/>
  <c r="CJ69" i="190"/>
  <c r="AQ70" i="190"/>
  <c r="CL70" i="190" s="1"/>
  <c r="CO70" i="190" s="1"/>
  <c r="CE70" i="190"/>
  <c r="CM70" i="190" s="1"/>
  <c r="CP70" i="190" s="1"/>
  <c r="CF70" i="190"/>
  <c r="CG70" i="190"/>
  <c r="CI70" i="190"/>
  <c r="CJ70" i="190"/>
  <c r="AQ71" i="190"/>
  <c r="CL71" i="190" s="1"/>
  <c r="CE71" i="190"/>
  <c r="CM71" i="190" s="1"/>
  <c r="CP71" i="190" s="1"/>
  <c r="CF71" i="190"/>
  <c r="CG71" i="190"/>
  <c r="CI71" i="190"/>
  <c r="CJ71" i="190"/>
  <c r="AQ72" i="190"/>
  <c r="CE72" i="190"/>
  <c r="CM72" i="190" s="1"/>
  <c r="CP72" i="190" s="1"/>
  <c r="CF72" i="190"/>
  <c r="CG72" i="190"/>
  <c r="CI72" i="190"/>
  <c r="CJ72" i="190"/>
  <c r="AQ73" i="190"/>
  <c r="CL73" i="190" s="1"/>
  <c r="CO73" i="190" s="1"/>
  <c r="CE73" i="190"/>
  <c r="CM73" i="190" s="1"/>
  <c r="CF73" i="190"/>
  <c r="CG73" i="190"/>
  <c r="CI73" i="190"/>
  <c r="CJ73" i="190"/>
  <c r="AQ74" i="190"/>
  <c r="CL74" i="190" s="1"/>
  <c r="CO74" i="190" s="1"/>
  <c r="CE74" i="190"/>
  <c r="CM74" i="190" s="1"/>
  <c r="CP74" i="190" s="1"/>
  <c r="CF74" i="190"/>
  <c r="CG74" i="190"/>
  <c r="CI74" i="190"/>
  <c r="CJ74" i="190"/>
  <c r="DA74" i="190"/>
  <c r="DD74" i="190" s="1"/>
  <c r="DB74" i="190"/>
  <c r="DC74" i="190"/>
  <c r="A75" i="190"/>
  <c r="E109" i="190"/>
  <c r="J75" i="190"/>
  <c r="K75" i="190"/>
  <c r="L75" i="190"/>
  <c r="P75" i="190"/>
  <c r="Q75" i="190"/>
  <c r="R75" i="190"/>
  <c r="V75" i="190"/>
  <c r="W75" i="190"/>
  <c r="X75" i="190"/>
  <c r="AB75" i="190"/>
  <c r="AC75" i="190"/>
  <c r="AD75" i="190"/>
  <c r="AE75" i="190"/>
  <c r="AF75" i="190"/>
  <c r="AG75" i="190"/>
  <c r="AH75" i="190"/>
  <c r="AI75" i="190"/>
  <c r="AJ75" i="190"/>
  <c r="AU75" i="190"/>
  <c r="AV75" i="190"/>
  <c r="AW75" i="190"/>
  <c r="AX75" i="190"/>
  <c r="AY75" i="190"/>
  <c r="AZ75" i="190"/>
  <c r="BA75" i="190"/>
  <c r="BB75" i="190"/>
  <c r="BC75" i="190"/>
  <c r="BD75" i="190"/>
  <c r="BE75" i="190"/>
  <c r="BF75" i="190"/>
  <c r="BG75" i="190"/>
  <c r="BH75" i="190"/>
  <c r="BI75" i="190"/>
  <c r="BJ75" i="190"/>
  <c r="BK75" i="190"/>
  <c r="BL75" i="190"/>
  <c r="BM75" i="190"/>
  <c r="BN75" i="190"/>
  <c r="BO75" i="190"/>
  <c r="BP75" i="190"/>
  <c r="BQ75" i="190"/>
  <c r="BR75" i="190"/>
  <c r="BS75" i="190"/>
  <c r="BT75" i="190"/>
  <c r="BU75" i="190"/>
  <c r="BV75" i="190"/>
  <c r="BW75" i="190"/>
  <c r="BX75" i="190"/>
  <c r="BY75" i="190"/>
  <c r="BZ75" i="190"/>
  <c r="CA75" i="190"/>
  <c r="CC75" i="190"/>
  <c r="CD75" i="190"/>
  <c r="CF75" i="190"/>
  <c r="CX75" i="190"/>
  <c r="CY75" i="190"/>
  <c r="CZ75" i="190"/>
  <c r="AQ76" i="190"/>
  <c r="CL76" i="190" s="1"/>
  <c r="CE76" i="190"/>
  <c r="CM76" i="190" s="1"/>
  <c r="CP76" i="190" s="1"/>
  <c r="CF76" i="190"/>
  <c r="CG76" i="190"/>
  <c r="CI76" i="190"/>
  <c r="CJ76" i="190"/>
  <c r="CR76" i="190"/>
  <c r="CR77" i="190" s="1"/>
  <c r="CR78" i="190" s="1"/>
  <c r="CS76" i="190"/>
  <c r="CS77" i="190" s="1"/>
  <c r="CS78" i="190" s="1"/>
  <c r="CS79" i="190" s="1"/>
  <c r="DA76" i="190"/>
  <c r="DD76" i="190" s="1"/>
  <c r="DE76" i="190" s="1"/>
  <c r="DB76" i="190"/>
  <c r="DC76" i="190"/>
  <c r="AQ77" i="190"/>
  <c r="CL77" i="190" s="1"/>
  <c r="CO77" i="190" s="1"/>
  <c r="CE77" i="190"/>
  <c r="CM77" i="190" s="1"/>
  <c r="CF77" i="190"/>
  <c r="CG77" i="190"/>
  <c r="CI77" i="190"/>
  <c r="CJ77" i="190"/>
  <c r="DA77" i="190"/>
  <c r="DD77" i="190" s="1"/>
  <c r="DE77" i="190" s="1"/>
  <c r="DB77" i="190"/>
  <c r="DC77" i="190"/>
  <c r="AQ78" i="190"/>
  <c r="CL78" i="190" s="1"/>
  <c r="CE78" i="190"/>
  <c r="CM78" i="190" s="1"/>
  <c r="CP78" i="190" s="1"/>
  <c r="CF78" i="190"/>
  <c r="CG78" i="190"/>
  <c r="CI78" i="190"/>
  <c r="CJ78" i="190"/>
  <c r="DA78" i="190"/>
  <c r="DB78" i="190"/>
  <c r="DC78" i="190"/>
  <c r="DD78" i="190"/>
  <c r="AQ79" i="190"/>
  <c r="CL79" i="190" s="1"/>
  <c r="CE79" i="190"/>
  <c r="CM79" i="190" s="1"/>
  <c r="CP79" i="190" s="1"/>
  <c r="CF79" i="190"/>
  <c r="CG79" i="190"/>
  <c r="CI79" i="190"/>
  <c r="CJ79" i="190"/>
  <c r="DA79" i="190"/>
  <c r="DD79" i="190" s="1"/>
  <c r="DG79" i="190" s="1"/>
  <c r="DB79" i="190"/>
  <c r="DC79" i="190"/>
  <c r="AQ80" i="190"/>
  <c r="CL80" i="190" s="1"/>
  <c r="CO80" i="190" s="1"/>
  <c r="CE80" i="190"/>
  <c r="CM80" i="190" s="1"/>
  <c r="CP80" i="190" s="1"/>
  <c r="CF80" i="190"/>
  <c r="CG80" i="190"/>
  <c r="CI80" i="190"/>
  <c r="CJ80" i="190"/>
  <c r="DA80" i="190"/>
  <c r="DD80" i="190" s="1"/>
  <c r="DE80" i="190" s="1"/>
  <c r="DB80" i="190"/>
  <c r="DC80" i="190"/>
  <c r="AQ81" i="190"/>
  <c r="CL81" i="190" s="1"/>
  <c r="CO81" i="190" s="1"/>
  <c r="CE81" i="190"/>
  <c r="CM81" i="190" s="1"/>
  <c r="CF81" i="190"/>
  <c r="CG81" i="190"/>
  <c r="CI81" i="190"/>
  <c r="CJ81" i="190"/>
  <c r="DA81" i="190"/>
  <c r="DD81" i="190" s="1"/>
  <c r="DE81" i="190" s="1"/>
  <c r="DB81" i="190"/>
  <c r="DC81" i="190"/>
  <c r="AQ82" i="190"/>
  <c r="CL82" i="190" s="1"/>
  <c r="CE82" i="190"/>
  <c r="CM82" i="190" s="1"/>
  <c r="CP82" i="190" s="1"/>
  <c r="CF82" i="190"/>
  <c r="CG82" i="190"/>
  <c r="CI82" i="190"/>
  <c r="CJ82" i="190"/>
  <c r="DA82" i="190"/>
  <c r="DD82" i="190" s="1"/>
  <c r="DB82" i="190"/>
  <c r="DC82" i="190"/>
  <c r="AQ83" i="190"/>
  <c r="CL83" i="190" s="1"/>
  <c r="CE83" i="190"/>
  <c r="CM83" i="190" s="1"/>
  <c r="CP83" i="190" s="1"/>
  <c r="CF83" i="190"/>
  <c r="CG83" i="190"/>
  <c r="CI83" i="190"/>
  <c r="CJ83" i="190"/>
  <c r="DA83" i="190"/>
  <c r="DD83" i="190" s="1"/>
  <c r="DG83" i="190" s="1"/>
  <c r="DB83" i="190"/>
  <c r="DC83" i="190"/>
  <c r="AQ84" i="190"/>
  <c r="CL84" i="190" s="1"/>
  <c r="CE84" i="190"/>
  <c r="CM84" i="190" s="1"/>
  <c r="CP84" i="190" s="1"/>
  <c r="CF84" i="190"/>
  <c r="CG84" i="190"/>
  <c r="CI84" i="190"/>
  <c r="CJ84" i="190"/>
  <c r="DA84" i="190"/>
  <c r="DD84" i="190" s="1"/>
  <c r="DE84" i="190" s="1"/>
  <c r="DB84" i="190"/>
  <c r="DC84" i="190"/>
  <c r="A85" i="190"/>
  <c r="J85" i="190"/>
  <c r="K85" i="190"/>
  <c r="L85" i="190"/>
  <c r="P85" i="190"/>
  <c r="Q85" i="190"/>
  <c r="R85" i="190"/>
  <c r="V85" i="190"/>
  <c r="W85" i="190"/>
  <c r="X85" i="190"/>
  <c r="AB85" i="190"/>
  <c r="AC85" i="190"/>
  <c r="AD85" i="190"/>
  <c r="AH85" i="190"/>
  <c r="AI85" i="190"/>
  <c r="AJ85" i="190"/>
  <c r="AL85" i="190"/>
  <c r="AM85" i="190"/>
  <c r="AR85" i="190"/>
  <c r="AS85" i="190"/>
  <c r="AT85" i="190"/>
  <c r="AU85" i="190"/>
  <c r="AV85" i="190"/>
  <c r="AW85" i="190"/>
  <c r="AX85" i="190"/>
  <c r="AY85" i="190"/>
  <c r="AZ85" i="190"/>
  <c r="BA85" i="190"/>
  <c r="BB85" i="190"/>
  <c r="BC85" i="190"/>
  <c r="BD85" i="190"/>
  <c r="BE85" i="190"/>
  <c r="BF85" i="190"/>
  <c r="BG85" i="190"/>
  <c r="BH85" i="190"/>
  <c r="BI85" i="190"/>
  <c r="BJ85" i="190"/>
  <c r="BK85" i="190"/>
  <c r="BL85" i="190"/>
  <c r="BM85" i="190"/>
  <c r="BN85" i="190"/>
  <c r="BO85" i="190"/>
  <c r="BP85" i="190"/>
  <c r="BQ85" i="190"/>
  <c r="BR85" i="190"/>
  <c r="BS85" i="190"/>
  <c r="BT85" i="190"/>
  <c r="BU85" i="190"/>
  <c r="BV85" i="190"/>
  <c r="BW85" i="190"/>
  <c r="BX85" i="190"/>
  <c r="BY85" i="190"/>
  <c r="BZ85" i="190"/>
  <c r="CA85" i="190"/>
  <c r="CB85" i="190"/>
  <c r="CC85" i="190"/>
  <c r="CD85" i="190"/>
  <c r="CX85" i="190"/>
  <c r="DB85" i="190" s="1"/>
  <c r="CY85" i="190"/>
  <c r="CZ85" i="190"/>
  <c r="AQ86" i="190"/>
  <c r="CE86" i="190"/>
  <c r="CM86" i="190" s="1"/>
  <c r="CP86" i="190" s="1"/>
  <c r="CF86" i="190"/>
  <c r="CG86" i="190"/>
  <c r="CI86" i="190"/>
  <c r="CJ86" i="190"/>
  <c r="DA86" i="190"/>
  <c r="DD86" i="190" s="1"/>
  <c r="DE86" i="190" s="1"/>
  <c r="DB86" i="190"/>
  <c r="DC86" i="190"/>
  <c r="AQ87" i="190"/>
  <c r="CL87" i="190" s="1"/>
  <c r="CO87" i="190" s="1"/>
  <c r="CE87" i="190"/>
  <c r="CM87" i="190" s="1"/>
  <c r="CP87" i="190" s="1"/>
  <c r="CF87" i="190"/>
  <c r="CG87" i="190"/>
  <c r="CI87" i="190"/>
  <c r="CJ87" i="190"/>
  <c r="DA87" i="190"/>
  <c r="DB87" i="190"/>
  <c r="DC87" i="190"/>
  <c r="AQ88" i="190"/>
  <c r="CL88" i="190" s="1"/>
  <c r="CO88" i="190" s="1"/>
  <c r="CE88" i="190"/>
  <c r="CM88" i="190" s="1"/>
  <c r="CP88" i="190" s="1"/>
  <c r="CF88" i="190"/>
  <c r="CG88" i="190"/>
  <c r="CI88" i="190"/>
  <c r="CJ88" i="190"/>
  <c r="DA88" i="190"/>
  <c r="DB88" i="190"/>
  <c r="DC88" i="190"/>
  <c r="DD88" i="190"/>
  <c r="AQ89" i="190"/>
  <c r="CL89" i="190" s="1"/>
  <c r="CO89" i="190" s="1"/>
  <c r="CE89" i="190"/>
  <c r="CF89" i="190"/>
  <c r="CG89" i="190"/>
  <c r="CI89" i="190"/>
  <c r="CJ89" i="190"/>
  <c r="DA89" i="190"/>
  <c r="DB89" i="190"/>
  <c r="DC89" i="190"/>
  <c r="DD89" i="190"/>
  <c r="DE89" i="190" s="1"/>
  <c r="AQ90" i="190"/>
  <c r="CL90" i="190" s="1"/>
  <c r="CO90" i="190" s="1"/>
  <c r="CE90" i="190"/>
  <c r="CM90" i="190" s="1"/>
  <c r="CP90" i="190" s="1"/>
  <c r="CF90" i="190"/>
  <c r="CG90" i="190"/>
  <c r="CI90" i="190"/>
  <c r="CJ90" i="190"/>
  <c r="DA90" i="190"/>
  <c r="DD90" i="190" s="1"/>
  <c r="DE90" i="190" s="1"/>
  <c r="DB90" i="190"/>
  <c r="DC90" i="190"/>
  <c r="AQ91" i="190"/>
  <c r="CL91" i="190" s="1"/>
  <c r="CE91" i="190"/>
  <c r="CM91" i="190" s="1"/>
  <c r="CP91" i="190" s="1"/>
  <c r="CF91" i="190"/>
  <c r="CG91" i="190"/>
  <c r="CI91" i="190"/>
  <c r="CJ91" i="190"/>
  <c r="DA91" i="190"/>
  <c r="DD91" i="190" s="1"/>
  <c r="DG91" i="190" s="1"/>
  <c r="DB91" i="190"/>
  <c r="DC91" i="190"/>
  <c r="A92" i="190"/>
  <c r="J92" i="190"/>
  <c r="K92" i="190"/>
  <c r="L92" i="190"/>
  <c r="P92" i="190"/>
  <c r="Q92" i="190"/>
  <c r="R92" i="190"/>
  <c r="V92" i="190"/>
  <c r="W92" i="190"/>
  <c r="X92" i="190"/>
  <c r="AB92" i="190"/>
  <c r="AC92" i="190"/>
  <c r="AD92" i="190"/>
  <c r="AH92" i="190"/>
  <c r="AI92" i="190"/>
  <c r="AJ92" i="190"/>
  <c r="AK92" i="190"/>
  <c r="AL92" i="190"/>
  <c r="AM92" i="190"/>
  <c r="AR92" i="190"/>
  <c r="AS92" i="190"/>
  <c r="AT92" i="190"/>
  <c r="AU92" i="190"/>
  <c r="AV92" i="190"/>
  <c r="AW92" i="190"/>
  <c r="AX92" i="190"/>
  <c r="AY92" i="190"/>
  <c r="AZ92" i="190"/>
  <c r="BA92" i="190"/>
  <c r="BB92" i="190"/>
  <c r="BC92" i="190"/>
  <c r="BD92" i="190"/>
  <c r="BE92" i="190"/>
  <c r="BF92" i="190"/>
  <c r="BG92" i="190"/>
  <c r="BH92" i="190"/>
  <c r="BI92" i="190"/>
  <c r="BJ92" i="190"/>
  <c r="BK92" i="190"/>
  <c r="BL92" i="190"/>
  <c r="BM92" i="190"/>
  <c r="BN92" i="190"/>
  <c r="BO92" i="190"/>
  <c r="BP92" i="190"/>
  <c r="BQ92" i="190"/>
  <c r="BR92" i="190"/>
  <c r="BS92" i="190"/>
  <c r="BT92" i="190"/>
  <c r="BU92" i="190"/>
  <c r="BV92" i="190"/>
  <c r="BW92" i="190"/>
  <c r="BX92" i="190"/>
  <c r="BY92" i="190"/>
  <c r="BZ92" i="190"/>
  <c r="CA92" i="190"/>
  <c r="CB92" i="190"/>
  <c r="CC92" i="190"/>
  <c r="CD92" i="190"/>
  <c r="CX92" i="190"/>
  <c r="CY92" i="190"/>
  <c r="CZ92" i="190"/>
  <c r="AQ93" i="190"/>
  <c r="CL93" i="190" s="1"/>
  <c r="CO93" i="190" s="1"/>
  <c r="CE93" i="190"/>
  <c r="CF93" i="190"/>
  <c r="CG93" i="190"/>
  <c r="CI93" i="190"/>
  <c r="CJ93" i="190"/>
  <c r="CR93" i="190"/>
  <c r="CR94" i="190" s="1"/>
  <c r="CR95" i="190" s="1"/>
  <c r="CS94" i="190"/>
  <c r="CS95" i="190" s="1"/>
  <c r="CS96" i="190" s="1"/>
  <c r="CS97" i="190" s="1"/>
  <c r="DA93" i="190"/>
  <c r="DB93" i="190"/>
  <c r="DC93" i="190"/>
  <c r="AQ94" i="190"/>
  <c r="CE94" i="190"/>
  <c r="CM94" i="190" s="1"/>
  <c r="CP94" i="190" s="1"/>
  <c r="CF94" i="190"/>
  <c r="CG94" i="190"/>
  <c r="CI94" i="190"/>
  <c r="CJ94" i="190"/>
  <c r="AQ95" i="190"/>
  <c r="CL95" i="190" s="1"/>
  <c r="CO95" i="190" s="1"/>
  <c r="CE95" i="190"/>
  <c r="CM95" i="190" s="1"/>
  <c r="CF95" i="190"/>
  <c r="CG95" i="190"/>
  <c r="CI95" i="190"/>
  <c r="CJ95" i="190"/>
  <c r="AQ96" i="190"/>
  <c r="CL96" i="190" s="1"/>
  <c r="CO96" i="190" s="1"/>
  <c r="CE96" i="190"/>
  <c r="CM96" i="190" s="1"/>
  <c r="CP96" i="190" s="1"/>
  <c r="CF96" i="190"/>
  <c r="CG96" i="190"/>
  <c r="CI96" i="190"/>
  <c r="CJ96" i="190"/>
  <c r="AQ97" i="190"/>
  <c r="CL97" i="190" s="1"/>
  <c r="CE97" i="190"/>
  <c r="CM97" i="190" s="1"/>
  <c r="CP97" i="190" s="1"/>
  <c r="CF97" i="190"/>
  <c r="CG97" i="190"/>
  <c r="CI97" i="190"/>
  <c r="CJ97" i="190"/>
  <c r="AQ98" i="190"/>
  <c r="CL98" i="190" s="1"/>
  <c r="CO98" i="190" s="1"/>
  <c r="CE98" i="190"/>
  <c r="CM98" i="190" s="1"/>
  <c r="CP98" i="190" s="1"/>
  <c r="CF98" i="190"/>
  <c r="CG98" i="190"/>
  <c r="CI98" i="190"/>
  <c r="CJ98" i="190"/>
  <c r="AQ99" i="190"/>
  <c r="CL99" i="190" s="1"/>
  <c r="CO99" i="190" s="1"/>
  <c r="CE99" i="190"/>
  <c r="CM99" i="190" s="1"/>
  <c r="CF99" i="190"/>
  <c r="CG99" i="190"/>
  <c r="CI99" i="190"/>
  <c r="CJ99" i="190"/>
  <c r="AQ100" i="190"/>
  <c r="CL100" i="190" s="1"/>
  <c r="CO100" i="190" s="1"/>
  <c r="CE100" i="190"/>
  <c r="CM100" i="190" s="1"/>
  <c r="CP100" i="190" s="1"/>
  <c r="CF100" i="190"/>
  <c r="CG100" i="190"/>
  <c r="CI100" i="190"/>
  <c r="CJ100" i="190"/>
  <c r="AQ101" i="190"/>
  <c r="CL101" i="190" s="1"/>
  <c r="CO101" i="190" s="1"/>
  <c r="CE101" i="190"/>
  <c r="CM101" i="190" s="1"/>
  <c r="CP101" i="190" s="1"/>
  <c r="CF101" i="190"/>
  <c r="CG101" i="190"/>
  <c r="CI101" i="190"/>
  <c r="CJ101" i="190"/>
  <c r="AQ102" i="190"/>
  <c r="CL102" i="190" s="1"/>
  <c r="CE102" i="190"/>
  <c r="CM102" i="190" s="1"/>
  <c r="CP102" i="190" s="1"/>
  <c r="CF102" i="190"/>
  <c r="CG102" i="190"/>
  <c r="CI102" i="190"/>
  <c r="CJ102" i="190"/>
  <c r="DA102" i="190"/>
  <c r="DD102" i="190" s="1"/>
  <c r="DB102" i="190"/>
  <c r="DC102" i="190"/>
  <c r="A103" i="190"/>
  <c r="J103" i="190"/>
  <c r="K103" i="190"/>
  <c r="L103" i="190"/>
  <c r="P103" i="190"/>
  <c r="Q103" i="190"/>
  <c r="R103" i="190"/>
  <c r="V103" i="190"/>
  <c r="W103" i="190"/>
  <c r="X103" i="190"/>
  <c r="AB103" i="190"/>
  <c r="AC103" i="190"/>
  <c r="AD103" i="190"/>
  <c r="AH103" i="190"/>
  <c r="AI103" i="190"/>
  <c r="AJ103" i="190"/>
  <c r="AK103" i="190"/>
  <c r="AL103" i="190"/>
  <c r="AM103" i="190"/>
  <c r="AR103" i="190"/>
  <c r="AS103" i="190"/>
  <c r="AT103" i="190"/>
  <c r="AU103" i="190"/>
  <c r="AV103" i="190"/>
  <c r="AW103" i="190"/>
  <c r="AX103" i="190"/>
  <c r="AY103" i="190"/>
  <c r="AZ103" i="190"/>
  <c r="BA103" i="190"/>
  <c r="BB103" i="190"/>
  <c r="BC103" i="190"/>
  <c r="BD103" i="190"/>
  <c r="BE103" i="190"/>
  <c r="BF103" i="190"/>
  <c r="BG103" i="190"/>
  <c r="BH103" i="190"/>
  <c r="BI103" i="190"/>
  <c r="BJ103" i="190"/>
  <c r="BK103" i="190"/>
  <c r="BL103" i="190"/>
  <c r="BM103" i="190"/>
  <c r="BN103" i="190"/>
  <c r="BO103" i="190"/>
  <c r="BP103" i="190"/>
  <c r="BQ103" i="190"/>
  <c r="BR103" i="190"/>
  <c r="BS103" i="190"/>
  <c r="BT103" i="190"/>
  <c r="BU103" i="190"/>
  <c r="BV103" i="190"/>
  <c r="BW103" i="190"/>
  <c r="BX103" i="190"/>
  <c r="BY103" i="190"/>
  <c r="BZ103" i="190"/>
  <c r="CA103" i="190"/>
  <c r="CB103" i="190"/>
  <c r="CC103" i="190"/>
  <c r="CD103" i="190"/>
  <c r="CX103" i="190"/>
  <c r="CY103" i="190"/>
  <c r="CZ103" i="190"/>
  <c r="AQ104" i="190"/>
  <c r="CE104" i="190"/>
  <c r="CM104" i="190" s="1"/>
  <c r="CP104" i="190" s="1"/>
  <c r="CF104" i="190"/>
  <c r="CG104" i="190"/>
  <c r="CI104" i="190"/>
  <c r="CJ104" i="190"/>
  <c r="DA104" i="190"/>
  <c r="DD104" i="190" s="1"/>
  <c r="DB104" i="190"/>
  <c r="DC104" i="190"/>
  <c r="AQ105" i="190"/>
  <c r="CL105" i="190" s="1"/>
  <c r="CO105" i="190" s="1"/>
  <c r="CE105" i="190"/>
  <c r="CM105" i="190" s="1"/>
  <c r="CF105" i="190"/>
  <c r="CG105" i="190"/>
  <c r="CI105" i="190"/>
  <c r="CJ105" i="190"/>
  <c r="DA105" i="190"/>
  <c r="DB105" i="190"/>
  <c r="DC105" i="190"/>
  <c r="DD105" i="190"/>
  <c r="AQ106" i="190"/>
  <c r="CL106" i="190" s="1"/>
  <c r="CO106" i="190" s="1"/>
  <c r="CE106" i="190"/>
  <c r="CM106" i="190" s="1"/>
  <c r="CP106" i="190" s="1"/>
  <c r="CF106" i="190"/>
  <c r="CG106" i="190"/>
  <c r="CI106" i="190"/>
  <c r="CJ106" i="190"/>
  <c r="DA106" i="190"/>
  <c r="DD106" i="190" s="1"/>
  <c r="DB106" i="190"/>
  <c r="DC106" i="190"/>
  <c r="A107" i="190"/>
  <c r="I109" i="190"/>
  <c r="J107" i="190"/>
  <c r="K107" i="190"/>
  <c r="L107" i="190"/>
  <c r="P107" i="190"/>
  <c r="Q107" i="190"/>
  <c r="R107" i="190"/>
  <c r="V107" i="190"/>
  <c r="W107" i="190"/>
  <c r="X107" i="190"/>
  <c r="AB107" i="190"/>
  <c r="AC107" i="190"/>
  <c r="AD107" i="190"/>
  <c r="AH107" i="190"/>
  <c r="AI107" i="190"/>
  <c r="AJ107" i="190"/>
  <c r="AK107" i="190"/>
  <c r="AL107" i="190"/>
  <c r="AM107" i="190"/>
  <c r="CF107" i="190"/>
  <c r="CI107" i="190"/>
  <c r="AR107" i="190"/>
  <c r="AS107" i="190"/>
  <c r="AT107" i="190"/>
  <c r="AU107" i="190"/>
  <c r="AV107" i="190"/>
  <c r="AW107" i="190"/>
  <c r="AX107" i="190"/>
  <c r="AY107" i="190"/>
  <c r="AZ107" i="190"/>
  <c r="BA107" i="190"/>
  <c r="BB107" i="190"/>
  <c r="BC107" i="190"/>
  <c r="BD107" i="190"/>
  <c r="BE107" i="190"/>
  <c r="BF107" i="190"/>
  <c r="BG107" i="190"/>
  <c r="BH107" i="190"/>
  <c r="BI107" i="190"/>
  <c r="BJ107" i="190"/>
  <c r="BK107" i="190"/>
  <c r="BL107" i="190"/>
  <c r="BM107" i="190"/>
  <c r="BN107" i="190"/>
  <c r="BO107" i="190"/>
  <c r="BP107" i="190"/>
  <c r="BQ107" i="190"/>
  <c r="BR107" i="190"/>
  <c r="BS107" i="190"/>
  <c r="BT107" i="190"/>
  <c r="BU107" i="190"/>
  <c r="BV107" i="190"/>
  <c r="BW107" i="190"/>
  <c r="BX107" i="190"/>
  <c r="BY107" i="190"/>
  <c r="BZ107" i="190"/>
  <c r="CA107" i="190"/>
  <c r="CB107" i="190"/>
  <c r="CC107" i="190"/>
  <c r="CD107" i="190"/>
  <c r="CX107" i="190"/>
  <c r="CY107" i="190"/>
  <c r="CZ107" i="190"/>
  <c r="CQ108" i="190"/>
  <c r="CV108" i="190"/>
  <c r="M109" i="190"/>
  <c r="O109" i="190"/>
  <c r="AO109" i="190"/>
  <c r="CT109" i="190"/>
  <c r="CU109" i="190"/>
  <c r="DG109" i="190"/>
  <c r="CM6" i="190" l="1"/>
  <c r="CP6" i="190" s="1"/>
  <c r="CE19" i="190"/>
  <c r="DG86" i="190"/>
  <c r="CL6" i="190"/>
  <c r="AQ19" i="190"/>
  <c r="CX109" i="190"/>
  <c r="DA103" i="190"/>
  <c r="DG25" i="190"/>
  <c r="DA75" i="190"/>
  <c r="DD75" i="190" s="1"/>
  <c r="DG75" i="190" s="1"/>
  <c r="DE35" i="190"/>
  <c r="W109" i="190"/>
  <c r="DC75" i="190"/>
  <c r="A109" i="190"/>
  <c r="DB19" i="190"/>
  <c r="AK109" i="190"/>
  <c r="DC107" i="190"/>
  <c r="DC56" i="190"/>
  <c r="CZ109" i="190"/>
  <c r="K109" i="190"/>
  <c r="DB29" i="190"/>
  <c r="AV109" i="190"/>
  <c r="AY109" i="190"/>
  <c r="AW109" i="190"/>
  <c r="AS109" i="190"/>
  <c r="AZ109" i="190"/>
  <c r="AR109" i="190"/>
  <c r="BL109" i="190"/>
  <c r="BK109" i="190"/>
  <c r="AU109" i="190"/>
  <c r="BY109" i="190"/>
  <c r="CA109" i="190"/>
  <c r="AM109" i="190"/>
  <c r="AI109" i="190"/>
  <c r="BX109" i="190"/>
  <c r="BW109" i="190"/>
  <c r="BT109" i="190"/>
  <c r="BU109" i="190"/>
  <c r="BS109" i="190"/>
  <c r="AG109" i="190"/>
  <c r="AE109" i="190"/>
  <c r="AC109" i="190"/>
  <c r="BQ109" i="190"/>
  <c r="BP109" i="190"/>
  <c r="CK13" i="190"/>
  <c r="CK97" i="190"/>
  <c r="BO109" i="190"/>
  <c r="CK50" i="190"/>
  <c r="BM109" i="190"/>
  <c r="CK82" i="190"/>
  <c r="CK78" i="190"/>
  <c r="CK43" i="190"/>
  <c r="CK34" i="190"/>
  <c r="Y109" i="190"/>
  <c r="AA109" i="190"/>
  <c r="CH14" i="190"/>
  <c r="CT76" i="190"/>
  <c r="DE34" i="190"/>
  <c r="DG34" i="190"/>
  <c r="DE45" i="190"/>
  <c r="DG45" i="190"/>
  <c r="DE55" i="190"/>
  <c r="DG55" i="190"/>
  <c r="DE102" i="190"/>
  <c r="DG102" i="190"/>
  <c r="DA29" i="190"/>
  <c r="DD29" i="190" s="1"/>
  <c r="F109" i="190"/>
  <c r="CK79" i="190"/>
  <c r="AF109" i="190"/>
  <c r="X109" i="190"/>
  <c r="DB56" i="190"/>
  <c r="DG42" i="190"/>
  <c r="DE39" i="190"/>
  <c r="AT109" i="190"/>
  <c r="AD109" i="190"/>
  <c r="DC29" i="190"/>
  <c r="DG21" i="190"/>
  <c r="BZ109" i="190"/>
  <c r="D109" i="190"/>
  <c r="DD93" i="190"/>
  <c r="DE93" i="190" s="1"/>
  <c r="DE91" i="190"/>
  <c r="DE79" i="190"/>
  <c r="J109" i="190"/>
  <c r="DG16" i="190"/>
  <c r="DG8" i="190"/>
  <c r="BJ109" i="190"/>
  <c r="DC92" i="190"/>
  <c r="L109" i="190"/>
  <c r="AL109" i="190"/>
  <c r="DB75" i="190"/>
  <c r="AJ109" i="190"/>
  <c r="AB109" i="190"/>
  <c r="DG12" i="190"/>
  <c r="DA107" i="190"/>
  <c r="DD107" i="190" s="1"/>
  <c r="DE107" i="190" s="1"/>
  <c r="BR109" i="190"/>
  <c r="V109" i="190"/>
  <c r="DC85" i="190"/>
  <c r="BV109" i="190"/>
  <c r="BN109" i="190"/>
  <c r="AX109" i="190"/>
  <c r="DG90" i="190"/>
  <c r="H109" i="190"/>
  <c r="DG43" i="190"/>
  <c r="AH109" i="190"/>
  <c r="Z109" i="190"/>
  <c r="CH98" i="190"/>
  <c r="CH66" i="190"/>
  <c r="CK61" i="190"/>
  <c r="CH60" i="190"/>
  <c r="CH50" i="190"/>
  <c r="CK49" i="190"/>
  <c r="CH48" i="190"/>
  <c r="CK44" i="190"/>
  <c r="CK62" i="190"/>
  <c r="CJ75" i="190"/>
  <c r="CH72" i="190"/>
  <c r="CJ85" i="190"/>
  <c r="CK101" i="190"/>
  <c r="CG92" i="190"/>
  <c r="BI109" i="190"/>
  <c r="CK106" i="190"/>
  <c r="BG109" i="190"/>
  <c r="CE29" i="190"/>
  <c r="CJ29" i="190"/>
  <c r="CH21" i="190"/>
  <c r="BH109" i="190"/>
  <c r="CK65" i="190"/>
  <c r="CH42" i="190"/>
  <c r="CK40" i="190"/>
  <c r="S109" i="190"/>
  <c r="U109" i="190"/>
  <c r="T109" i="190"/>
  <c r="CH106" i="190"/>
  <c r="CH87" i="190"/>
  <c r="CK64" i="190"/>
  <c r="CH63" i="190"/>
  <c r="CH59" i="190"/>
  <c r="CK66" i="190"/>
  <c r="CK57" i="190"/>
  <c r="CK59" i="190"/>
  <c r="CK58" i="190"/>
  <c r="CH8" i="190"/>
  <c r="CH102" i="190"/>
  <c r="BD109" i="190"/>
  <c r="CH97" i="190"/>
  <c r="CK94" i="190"/>
  <c r="CK102" i="190"/>
  <c r="CH95" i="190"/>
  <c r="CH94" i="190"/>
  <c r="CH93" i="190"/>
  <c r="CH101" i="190"/>
  <c r="CH100" i="190"/>
  <c r="CK98" i="190"/>
  <c r="CH96" i="190"/>
  <c r="CK69" i="190"/>
  <c r="CQ64" i="190"/>
  <c r="CH57" i="190"/>
  <c r="CK67" i="190"/>
  <c r="CH37" i="190"/>
  <c r="CH35" i="190"/>
  <c r="CK31" i="190"/>
  <c r="CK30" i="190"/>
  <c r="CH33" i="190"/>
  <c r="CH12" i="190"/>
  <c r="CH6" i="190"/>
  <c r="CH86" i="190"/>
  <c r="CK86" i="190"/>
  <c r="CK87" i="190"/>
  <c r="BE109" i="190"/>
  <c r="Q109" i="190"/>
  <c r="CH83" i="190"/>
  <c r="CT77" i="190"/>
  <c r="CU76" i="190"/>
  <c r="CK80" i="190"/>
  <c r="CK26" i="190"/>
  <c r="CH23" i="190"/>
  <c r="CQ22" i="190"/>
  <c r="AQ29" i="190"/>
  <c r="CK28" i="190"/>
  <c r="CH26" i="190"/>
  <c r="P109" i="190"/>
  <c r="CJ107" i="190"/>
  <c r="CK107" i="190" s="1"/>
  <c r="CE107" i="190"/>
  <c r="CN39" i="190"/>
  <c r="CK45" i="190"/>
  <c r="CK47" i="190"/>
  <c r="CH39" i="190"/>
  <c r="R109" i="190"/>
  <c r="CH55" i="190"/>
  <c r="CK54" i="190"/>
  <c r="CK52" i="190"/>
  <c r="CN40" i="190"/>
  <c r="BF109" i="190"/>
  <c r="CH104" i="190"/>
  <c r="CH88" i="190"/>
  <c r="CH91" i="190"/>
  <c r="CK90" i="190"/>
  <c r="CK91" i="190"/>
  <c r="CH89" i="190"/>
  <c r="CE92" i="190"/>
  <c r="CN87" i="190"/>
  <c r="CH90" i="190"/>
  <c r="CH74" i="190"/>
  <c r="CH71" i="190"/>
  <c r="CQ70" i="190"/>
  <c r="CQ74" i="190"/>
  <c r="CK73" i="190"/>
  <c r="CK71" i="190"/>
  <c r="BA109" i="190"/>
  <c r="CH73" i="190"/>
  <c r="CK72" i="190"/>
  <c r="CH69" i="190"/>
  <c r="CJ38" i="190"/>
  <c r="CK38" i="190" s="1"/>
  <c r="CK35" i="190"/>
  <c r="CN36" i="190"/>
  <c r="CP36" i="190"/>
  <c r="CQ36" i="190" s="1"/>
  <c r="CN30" i="190"/>
  <c r="CM38" i="190"/>
  <c r="CP30" i="190"/>
  <c r="CN34" i="190"/>
  <c r="CP34" i="190"/>
  <c r="CC109" i="190"/>
  <c r="CG38" i="190"/>
  <c r="CH38" i="190" s="1"/>
  <c r="CH34" i="190"/>
  <c r="CH30" i="190"/>
  <c r="CH76" i="190"/>
  <c r="CB109" i="190"/>
  <c r="CH81" i="190"/>
  <c r="CH80" i="190"/>
  <c r="CH77" i="190"/>
  <c r="CK84" i="190"/>
  <c r="CK83" i="190"/>
  <c r="CU78" i="190"/>
  <c r="CH84" i="190"/>
  <c r="CK76" i="190"/>
  <c r="BC109" i="190"/>
  <c r="CG68" i="190"/>
  <c r="CH68" i="190" s="1"/>
  <c r="CN61" i="190"/>
  <c r="CK60" i="190"/>
  <c r="CJ68" i="190"/>
  <c r="CH65" i="190"/>
  <c r="CH10" i="190"/>
  <c r="CH13" i="190"/>
  <c r="CK12" i="190"/>
  <c r="CK9" i="190"/>
  <c r="CK16" i="190"/>
  <c r="CN14" i="190"/>
  <c r="CH11" i="190"/>
  <c r="CN9" i="190"/>
  <c r="CH16" i="190"/>
  <c r="CH7" i="190"/>
  <c r="CN6" i="190"/>
  <c r="CP14" i="190"/>
  <c r="CQ14" i="190" s="1"/>
  <c r="CH15" i="190"/>
  <c r="CN10" i="190"/>
  <c r="CK8" i="190"/>
  <c r="CU96" i="190"/>
  <c r="CN100" i="190"/>
  <c r="CE103" i="190"/>
  <c r="CU94" i="190"/>
  <c r="CM29" i="190"/>
  <c r="CN28" i="190"/>
  <c r="CH27" i="190"/>
  <c r="CH25" i="190"/>
  <c r="CK23" i="190"/>
  <c r="CK21" i="190"/>
  <c r="CG29" i="190"/>
  <c r="CH29" i="190" s="1"/>
  <c r="CK27" i="190"/>
  <c r="CN26" i="190"/>
  <c r="CK25" i="190"/>
  <c r="CN20" i="190"/>
  <c r="CH105" i="190"/>
  <c r="CK104" i="190"/>
  <c r="CQ46" i="190"/>
  <c r="CH46" i="190"/>
  <c r="CO40" i="190"/>
  <c r="CQ40" i="190" s="1"/>
  <c r="CH47" i="190"/>
  <c r="CN44" i="190"/>
  <c r="CH53" i="190"/>
  <c r="CH51" i="190"/>
  <c r="CH49" i="190"/>
  <c r="CK48" i="190"/>
  <c r="CK46" i="190"/>
  <c r="CP39" i="190"/>
  <c r="CK39" i="190"/>
  <c r="BB109" i="190"/>
  <c r="CV109" i="190"/>
  <c r="CN71" i="190"/>
  <c r="CO71" i="190"/>
  <c r="CQ71" i="190" s="1"/>
  <c r="CN91" i="190"/>
  <c r="CO91" i="190"/>
  <c r="CQ91" i="190" s="1"/>
  <c r="CN97" i="190"/>
  <c r="CO97" i="190"/>
  <c r="CQ97" i="190" s="1"/>
  <c r="AQ107" i="190"/>
  <c r="CN88" i="190"/>
  <c r="CN57" i="190"/>
  <c r="CO57" i="190"/>
  <c r="CQ57" i="190" s="1"/>
  <c r="CQ42" i="190"/>
  <c r="CN78" i="190"/>
  <c r="CO78" i="190"/>
  <c r="CQ78" i="190" s="1"/>
  <c r="AQ75" i="190"/>
  <c r="CN66" i="190"/>
  <c r="CO66" i="190"/>
  <c r="CQ66" i="190" s="1"/>
  <c r="CN60" i="190"/>
  <c r="CO51" i="190"/>
  <c r="CQ51" i="190" s="1"/>
  <c r="CN51" i="190"/>
  <c r="CN49" i="190"/>
  <c r="CO47" i="190"/>
  <c r="CQ47" i="190" s="1"/>
  <c r="CN47" i="190"/>
  <c r="CN35" i="190"/>
  <c r="CN32" i="190"/>
  <c r="CN24" i="190"/>
  <c r="CN13" i="190"/>
  <c r="CO13" i="190"/>
  <c r="CQ13" i="190" s="1"/>
  <c r="CN67" i="190"/>
  <c r="CO67" i="190"/>
  <c r="CQ67" i="190" s="1"/>
  <c r="CN83" i="190"/>
  <c r="CO83" i="190"/>
  <c r="CQ83" i="190" s="1"/>
  <c r="CN53" i="190"/>
  <c r="CQ52" i="190"/>
  <c r="CO39" i="190"/>
  <c r="CQ23" i="190"/>
  <c r="CQ88" i="190"/>
  <c r="CN82" i="190"/>
  <c r="CO82" i="190"/>
  <c r="CQ82" i="190" s="1"/>
  <c r="CL104" i="190"/>
  <c r="CK100" i="190"/>
  <c r="CN96" i="190"/>
  <c r="CK93" i="190"/>
  <c r="AQ92" i="190"/>
  <c r="CN79" i="190"/>
  <c r="CO79" i="190"/>
  <c r="CQ79" i="190" s="1"/>
  <c r="CH79" i="190"/>
  <c r="CN74" i="190"/>
  <c r="CN70" i="190"/>
  <c r="CK55" i="190"/>
  <c r="CH45" i="190"/>
  <c r="AQ38" i="190"/>
  <c r="CQ24" i="190"/>
  <c r="CN22" i="190"/>
  <c r="CQ20" i="190"/>
  <c r="CQ100" i="190"/>
  <c r="CQ96" i="190"/>
  <c r="CT95" i="190"/>
  <c r="CN64" i="190"/>
  <c r="AQ56" i="190"/>
  <c r="CH52" i="190"/>
  <c r="CK51" i="190"/>
  <c r="CN43" i="190"/>
  <c r="CQ32" i="190"/>
  <c r="CN31" i="190"/>
  <c r="CQ26" i="190"/>
  <c r="CO10" i="190"/>
  <c r="CQ10" i="190" s="1"/>
  <c r="CK10" i="190"/>
  <c r="CO6" i="190"/>
  <c r="CQ6" i="190" s="1"/>
  <c r="CK6" i="190"/>
  <c r="CQ106" i="190"/>
  <c r="CN101" i="190"/>
  <c r="CH99" i="190"/>
  <c r="CK96" i="190"/>
  <c r="CK88" i="190"/>
  <c r="CQ87" i="190"/>
  <c r="CK74" i="190"/>
  <c r="CK70" i="190"/>
  <c r="CH64" i="190"/>
  <c r="CH62" i="190"/>
  <c r="CQ61" i="190"/>
  <c r="CQ60" i="190"/>
  <c r="CH58" i="190"/>
  <c r="CL55" i="190"/>
  <c r="CL56" i="190" s="1"/>
  <c r="CH54" i="190"/>
  <c r="CQ53" i="190"/>
  <c r="CK53" i="190"/>
  <c r="CN45" i="190"/>
  <c r="CH43" i="190"/>
  <c r="CH41" i="190"/>
  <c r="CH40" i="190"/>
  <c r="CK36" i="190"/>
  <c r="CK32" i="190"/>
  <c r="CH31" i="190"/>
  <c r="CQ28" i="190"/>
  <c r="CK24" i="190"/>
  <c r="CK22" i="190"/>
  <c r="CK20" i="190"/>
  <c r="CK14" i="190"/>
  <c r="CH9" i="190"/>
  <c r="DG104" i="190"/>
  <c r="DE104" i="190"/>
  <c r="CN77" i="190"/>
  <c r="CP77" i="190"/>
  <c r="CQ77" i="190" s="1"/>
  <c r="CM85" i="190"/>
  <c r="CN73" i="190"/>
  <c r="CP73" i="190"/>
  <c r="CQ73" i="190" s="1"/>
  <c r="CP105" i="190"/>
  <c r="CQ105" i="190" s="1"/>
  <c r="CM107" i="190"/>
  <c r="CN105" i="190"/>
  <c r="CO84" i="190"/>
  <c r="CQ84" i="190" s="1"/>
  <c r="DG106" i="190"/>
  <c r="DE106" i="190"/>
  <c r="CO102" i="190"/>
  <c r="CN95" i="190"/>
  <c r="CP95" i="190"/>
  <c r="CQ95" i="190" s="1"/>
  <c r="CU95" i="190"/>
  <c r="CN81" i="190"/>
  <c r="CP81" i="190"/>
  <c r="CQ81" i="190" s="1"/>
  <c r="DD103" i="190"/>
  <c r="DB103" i="190"/>
  <c r="CN102" i="190"/>
  <c r="DE74" i="190"/>
  <c r="DG74" i="190"/>
  <c r="CO59" i="190"/>
  <c r="CQ59" i="190" s="1"/>
  <c r="CI19" i="190"/>
  <c r="CF19" i="190"/>
  <c r="CP5" i="190"/>
  <c r="CU5" i="190" s="1"/>
  <c r="CS5" i="190"/>
  <c r="CD109" i="190"/>
  <c r="AP109" i="190"/>
  <c r="DB107" i="190"/>
  <c r="CG107" i="190"/>
  <c r="CH107" i="190" s="1"/>
  <c r="DC103" i="190"/>
  <c r="CI103" i="190"/>
  <c r="CF103" i="190"/>
  <c r="CQ98" i="190"/>
  <c r="CR96" i="190"/>
  <c r="AQ103" i="190"/>
  <c r="DB92" i="190"/>
  <c r="CI92" i="190"/>
  <c r="CF92" i="190"/>
  <c r="CQ90" i="190"/>
  <c r="CM89" i="190"/>
  <c r="DE88" i="190"/>
  <c r="DG88" i="190"/>
  <c r="CL86" i="190"/>
  <c r="CN86" i="190" s="1"/>
  <c r="CG85" i="190"/>
  <c r="DE83" i="190"/>
  <c r="DG80" i="190"/>
  <c r="DE78" i="190"/>
  <c r="DG78" i="190"/>
  <c r="CH78" i="190"/>
  <c r="DG76" i="190"/>
  <c r="CL72" i="190"/>
  <c r="CQ65" i="190"/>
  <c r="CP63" i="190"/>
  <c r="CN99" i="190"/>
  <c r="CP99" i="190"/>
  <c r="CQ99" i="190" s="1"/>
  <c r="DD87" i="190"/>
  <c r="DA92" i="190"/>
  <c r="DD92" i="190" s="1"/>
  <c r="CI85" i="190"/>
  <c r="CN84" i="190"/>
  <c r="CU79" i="190"/>
  <c r="CS80" i="190"/>
  <c r="CE75" i="190"/>
  <c r="CL63" i="190"/>
  <c r="CL68" i="190" s="1"/>
  <c r="AQ68" i="190"/>
  <c r="DE20" i="190"/>
  <c r="DG20" i="190"/>
  <c r="CN106" i="190"/>
  <c r="CJ103" i="190"/>
  <c r="CG103" i="190"/>
  <c r="CQ101" i="190"/>
  <c r="CK99" i="190"/>
  <c r="CN98" i="190"/>
  <c r="CL94" i="190"/>
  <c r="CN94" i="190" s="1"/>
  <c r="CM93" i="190"/>
  <c r="CJ92" i="190"/>
  <c r="CN90" i="190"/>
  <c r="DA85" i="190"/>
  <c r="DD85" i="190" s="1"/>
  <c r="CF85" i="190"/>
  <c r="DG84" i="190"/>
  <c r="DE82" i="190"/>
  <c r="DG82" i="190"/>
  <c r="CH82" i="190"/>
  <c r="CQ80" i="190"/>
  <c r="CT78" i="190"/>
  <c r="CR79" i="190"/>
  <c r="CU77" i="190"/>
  <c r="CN76" i="190"/>
  <c r="AQ85" i="190"/>
  <c r="DE75" i="190"/>
  <c r="CI75" i="190"/>
  <c r="CH70" i="190"/>
  <c r="CM69" i="190"/>
  <c r="CH67" i="190"/>
  <c r="CN65" i="190"/>
  <c r="DG52" i="190"/>
  <c r="DE52" i="190"/>
  <c r="DE105" i="190"/>
  <c r="DG105" i="190"/>
  <c r="CI68" i="190"/>
  <c r="CM62" i="190"/>
  <c r="CE68" i="190"/>
  <c r="CO21" i="190"/>
  <c r="CQ21" i="190" s="1"/>
  <c r="CL29" i="190"/>
  <c r="CY109" i="190"/>
  <c r="AN109" i="190"/>
  <c r="CK105" i="190"/>
  <c r="CQ102" i="190"/>
  <c r="CU97" i="190"/>
  <c r="CS98" i="190"/>
  <c r="CK95" i="190"/>
  <c r="CK89" i="190"/>
  <c r="CK81" i="190"/>
  <c r="CN80" i="190"/>
  <c r="CK77" i="190"/>
  <c r="CE85" i="190"/>
  <c r="CL85" i="190"/>
  <c r="CO76" i="190"/>
  <c r="CQ76" i="190" s="1"/>
  <c r="CG75" i="190"/>
  <c r="CH75" i="190" s="1"/>
  <c r="CJ56" i="190"/>
  <c r="CN50" i="190"/>
  <c r="CP50" i="190"/>
  <c r="CQ50" i="190" s="1"/>
  <c r="CE56" i="190"/>
  <c r="CM48" i="190"/>
  <c r="CT93" i="190"/>
  <c r="DG89" i="190"/>
  <c r="DG81" i="190"/>
  <c r="DG77" i="190"/>
  <c r="DE54" i="190"/>
  <c r="DG54" i="190"/>
  <c r="CN54" i="190"/>
  <c r="CP54" i="190"/>
  <c r="CQ54" i="190" s="1"/>
  <c r="DE53" i="190"/>
  <c r="DG53" i="190"/>
  <c r="CQ49" i="190"/>
  <c r="DA56" i="190"/>
  <c r="DD56" i="190" s="1"/>
  <c r="DD46" i="190"/>
  <c r="CO34" i="190"/>
  <c r="DG29" i="190"/>
  <c r="DE29" i="190"/>
  <c r="CK63" i="190"/>
  <c r="CG56" i="190"/>
  <c r="DE47" i="190"/>
  <c r="DG47" i="190"/>
  <c r="CO30" i="190"/>
  <c r="CL38" i="190"/>
  <c r="CH61" i="190"/>
  <c r="CN59" i="190"/>
  <c r="CN58" i="190"/>
  <c r="CP58" i="190"/>
  <c r="CQ58" i="190" s="1"/>
  <c r="CI56" i="190"/>
  <c r="CF56" i="190"/>
  <c r="DE49" i="190"/>
  <c r="DG49" i="190"/>
  <c r="CQ45" i="190"/>
  <c r="CN15" i="190"/>
  <c r="CP15" i="190"/>
  <c r="CQ15" i="190" s="1"/>
  <c r="CO12" i="190"/>
  <c r="CQ12" i="190" s="1"/>
  <c r="CL19" i="190"/>
  <c r="CN52" i="190"/>
  <c r="CN46" i="190"/>
  <c r="CK42" i="190"/>
  <c r="CK41" i="190"/>
  <c r="CN37" i="190"/>
  <c r="CP37" i="190"/>
  <c r="CQ37" i="190" s="1"/>
  <c r="CQ35" i="190"/>
  <c r="CN33" i="190"/>
  <c r="CP33" i="190"/>
  <c r="CQ33" i="190" s="1"/>
  <c r="CN12" i="190"/>
  <c r="CQ43" i="190"/>
  <c r="DE36" i="190"/>
  <c r="DG36" i="190"/>
  <c r="DE32" i="190"/>
  <c r="DG32" i="190"/>
  <c r="CO27" i="190"/>
  <c r="CQ27" i="190" s="1"/>
  <c r="DE26" i="190"/>
  <c r="DG26" i="190"/>
  <c r="CN7" i="190"/>
  <c r="CM19" i="190"/>
  <c r="CP7" i="190"/>
  <c r="CQ7" i="190" s="1"/>
  <c r="CQ44" i="190"/>
  <c r="CH44" i="190"/>
  <c r="CN42" i="190"/>
  <c r="CN41" i="190"/>
  <c r="CP41" i="190"/>
  <c r="CQ41" i="190" s="1"/>
  <c r="DE40" i="190"/>
  <c r="DG40" i="190"/>
  <c r="DB38" i="190"/>
  <c r="DC38" i="190"/>
  <c r="CK37" i="190"/>
  <c r="CH36" i="190"/>
  <c r="CK33" i="190"/>
  <c r="CH32" i="190"/>
  <c r="DA38" i="190"/>
  <c r="DD38" i="190" s="1"/>
  <c r="DD31" i="190"/>
  <c r="CQ31" i="190"/>
  <c r="DG30" i="190"/>
  <c r="DE27" i="190"/>
  <c r="DG27" i="190"/>
  <c r="DG41" i="190"/>
  <c r="DG37" i="190"/>
  <c r="DG33" i="190"/>
  <c r="CI29" i="190"/>
  <c r="DE28" i="190"/>
  <c r="DG28" i="190"/>
  <c r="CH28" i="190"/>
  <c r="CQ25" i="190"/>
  <c r="CN23" i="190"/>
  <c r="CH20" i="190"/>
  <c r="DC19" i="190"/>
  <c r="CJ19" i="190"/>
  <c r="CG19" i="190"/>
  <c r="CQ16" i="190"/>
  <c r="DE14" i="190"/>
  <c r="DG14" i="190"/>
  <c r="CK11" i="190"/>
  <c r="CQ9" i="190"/>
  <c r="CQ8" i="190"/>
  <c r="DE6" i="190"/>
  <c r="DG6" i="190"/>
  <c r="CN25" i="190"/>
  <c r="DE22" i="190"/>
  <c r="DG22" i="190"/>
  <c r="CN16" i="190"/>
  <c r="CN8" i="190"/>
  <c r="CN27" i="190"/>
  <c r="DE24" i="190"/>
  <c r="DG24" i="190"/>
  <c r="CH24" i="190"/>
  <c r="DG23" i="190"/>
  <c r="CH22" i="190"/>
  <c r="CN21" i="190"/>
  <c r="CK15" i="190"/>
  <c r="CN11" i="190"/>
  <c r="CP11" i="190"/>
  <c r="CQ11" i="190" s="1"/>
  <c r="DE10" i="190"/>
  <c r="DG10" i="190"/>
  <c r="DA19" i="190"/>
  <c r="DD9" i="190"/>
  <c r="CK7" i="190"/>
  <c r="CO5" i="190"/>
  <c r="CT5" i="190" s="1"/>
  <c r="DG15" i="190"/>
  <c r="DG11" i="190"/>
  <c r="DG7" i="190"/>
  <c r="DB109" i="190" l="1"/>
  <c r="CH92" i="190"/>
  <c r="CK29" i="190"/>
  <c r="CK75" i="190"/>
  <c r="CP29" i="190"/>
  <c r="CV76" i="190"/>
  <c r="CO38" i="190"/>
  <c r="DG107" i="190"/>
  <c r="DG93" i="190"/>
  <c r="CK85" i="190"/>
  <c r="CP38" i="190"/>
  <c r="CV95" i="190"/>
  <c r="CQ34" i="190"/>
  <c r="AQ109" i="190"/>
  <c r="CQ30" i="190"/>
  <c r="CJ109" i="190"/>
  <c r="CV78" i="190"/>
  <c r="CK68" i="190"/>
  <c r="CI109" i="190"/>
  <c r="CO56" i="190"/>
  <c r="CQ39" i="190"/>
  <c r="CO68" i="190"/>
  <c r="CN104" i="190"/>
  <c r="CO104" i="190"/>
  <c r="CQ104" i="190" s="1"/>
  <c r="CL107" i="190"/>
  <c r="CO107" i="190" s="1"/>
  <c r="CO55" i="190"/>
  <c r="CQ55" i="190" s="1"/>
  <c r="CK92" i="190"/>
  <c r="CK103" i="190"/>
  <c r="CH103" i="190"/>
  <c r="CN55" i="190"/>
  <c r="CO85" i="190"/>
  <c r="DE38" i="190"/>
  <c r="DG38" i="190"/>
  <c r="DG46" i="190"/>
  <c r="DE46" i="190"/>
  <c r="CH85" i="190"/>
  <c r="CP107" i="190"/>
  <c r="DG9" i="190"/>
  <c r="DE9" i="190"/>
  <c r="CG109" i="190"/>
  <c r="CH19" i="190"/>
  <c r="CN19" i="190"/>
  <c r="CP19" i="190"/>
  <c r="DE56" i="190"/>
  <c r="DG56" i="190"/>
  <c r="CU98" i="190"/>
  <c r="CS99" i="190"/>
  <c r="CO29" i="190"/>
  <c r="CN29" i="190"/>
  <c r="DG85" i="190"/>
  <c r="DE85" i="190"/>
  <c r="CN93" i="190"/>
  <c r="CM103" i="190"/>
  <c r="CP93" i="190"/>
  <c r="CQ93" i="190" s="1"/>
  <c r="CU93" i="190"/>
  <c r="CU80" i="190"/>
  <c r="CS81" i="190"/>
  <c r="DG87" i="190"/>
  <c r="DE87" i="190"/>
  <c r="CL75" i="190"/>
  <c r="CO75" i="190" s="1"/>
  <c r="CO72" i="190"/>
  <c r="CQ72" i="190" s="1"/>
  <c r="CN89" i="190"/>
  <c r="CM92" i="190"/>
  <c r="CP89" i="190"/>
  <c r="CQ89" i="190" s="1"/>
  <c r="CN72" i="190"/>
  <c r="CN62" i="190"/>
  <c r="CP62" i="190"/>
  <c r="CQ62" i="190" s="1"/>
  <c r="CM68" i="190"/>
  <c r="DD19" i="190"/>
  <c r="DA109" i="190"/>
  <c r="DD109" i="190" s="1"/>
  <c r="DE109" i="190" s="1"/>
  <c r="CK19" i="190"/>
  <c r="CN48" i="190"/>
  <c r="CM56" i="190"/>
  <c r="CP48" i="190"/>
  <c r="CQ48" i="190" s="1"/>
  <c r="CK56" i="190"/>
  <c r="CO94" i="190"/>
  <c r="CQ94" i="190" s="1"/>
  <c r="CT94" i="190"/>
  <c r="CV94" i="190" s="1"/>
  <c r="CL103" i="190"/>
  <c r="CO103" i="190" s="1"/>
  <c r="CL92" i="190"/>
  <c r="CO92" i="190" s="1"/>
  <c r="CO86" i="190"/>
  <c r="CQ86" i="190" s="1"/>
  <c r="CT96" i="190"/>
  <c r="CV96" i="190" s="1"/>
  <c r="CR97" i="190"/>
  <c r="DE103" i="190"/>
  <c r="DG103" i="190"/>
  <c r="DC109" i="190"/>
  <c r="CP85" i="190"/>
  <c r="CN85" i="190"/>
  <c r="CT79" i="190"/>
  <c r="CV79" i="190" s="1"/>
  <c r="CR80" i="190"/>
  <c r="DE92" i="190"/>
  <c r="DG92" i="190"/>
  <c r="CE109" i="190"/>
  <c r="DG31" i="190"/>
  <c r="DE31" i="190"/>
  <c r="CO19" i="190"/>
  <c r="CH56" i="190"/>
  <c r="CN38" i="190"/>
  <c r="CN69" i="190"/>
  <c r="CP69" i="190"/>
  <c r="CQ69" i="190" s="1"/>
  <c r="CM75" i="190"/>
  <c r="CV77" i="190"/>
  <c r="CO63" i="190"/>
  <c r="CQ63" i="190" s="1"/>
  <c r="CN63" i="190"/>
  <c r="CF109" i="190"/>
  <c r="CQ29" i="190" l="1"/>
  <c r="CQ85" i="190"/>
  <c r="CQ38" i="190"/>
  <c r="CL109" i="190"/>
  <c r="CO109" i="190" s="1"/>
  <c r="CK109" i="190"/>
  <c r="CN107" i="190"/>
  <c r="CQ107" i="190"/>
  <c r="CS100" i="190"/>
  <c r="CU99" i="190"/>
  <c r="CP75" i="190"/>
  <c r="CQ75" i="190" s="1"/>
  <c r="CN75" i="190"/>
  <c r="CR81" i="190"/>
  <c r="CT80" i="190"/>
  <c r="CV80" i="190" s="1"/>
  <c r="CT97" i="190"/>
  <c r="CV97" i="190" s="1"/>
  <c r="CR98" i="190"/>
  <c r="CN56" i="190"/>
  <c r="CP56" i="190"/>
  <c r="CQ56" i="190" s="1"/>
  <c r="DE19" i="190"/>
  <c r="DG19" i="190"/>
  <c r="CM109" i="190"/>
  <c r="CH109" i="190"/>
  <c r="CS82" i="190"/>
  <c r="CU81" i="190"/>
  <c r="CP68" i="190"/>
  <c r="CQ68" i="190" s="1"/>
  <c r="CN68" i="190"/>
  <c r="CV93" i="190"/>
  <c r="CQ19" i="190"/>
  <c r="CN103" i="190"/>
  <c r="CP103" i="190"/>
  <c r="CQ103" i="190" s="1"/>
  <c r="CP92" i="190"/>
  <c r="CQ92" i="190" s="1"/>
  <c r="CN92" i="190"/>
  <c r="A163" i="167"/>
  <c r="A162" i="167"/>
  <c r="CU82" i="190" l="1"/>
  <c r="CS83" i="190"/>
  <c r="CT81" i="190"/>
  <c r="CV81" i="190" s="1"/>
  <c r="CR82" i="190"/>
  <c r="CU100" i="190"/>
  <c r="CS101" i="190"/>
  <c r="CN109" i="190"/>
  <c r="CP109" i="190"/>
  <c r="CQ109" i="190" s="1"/>
  <c r="CR99" i="190"/>
  <c r="CT98" i="190"/>
  <c r="CV98" i="190" l="1"/>
  <c r="CU101" i="190"/>
  <c r="CS102" i="190"/>
  <c r="CT82" i="190"/>
  <c r="CV82" i="190" s="1"/>
  <c r="CR83" i="190"/>
  <c r="CU83" i="190"/>
  <c r="CS84" i="190"/>
  <c r="CT99" i="190"/>
  <c r="CV99" i="190" s="1"/>
  <c r="CR100" i="190"/>
  <c r="CT100" i="190" l="1"/>
  <c r="CV100" i="190" s="1"/>
  <c r="CR101" i="190"/>
  <c r="CU102" i="190"/>
  <c r="CS103" i="190"/>
  <c r="CT83" i="190"/>
  <c r="CV83" i="190" s="1"/>
  <c r="CR84" i="190"/>
  <c r="CU84" i="190"/>
  <c r="CS85" i="190"/>
  <c r="J157" i="26"/>
  <c r="CU103" i="190" l="1"/>
  <c r="CR85" i="190"/>
  <c r="CT84" i="190"/>
  <c r="CT85" i="190" s="1"/>
  <c r="CU85" i="190"/>
  <c r="CT101" i="190"/>
  <c r="CV101" i="190" s="1"/>
  <c r="CR102" i="190"/>
  <c r="CV84" i="190" l="1"/>
  <c r="CR103" i="190"/>
  <c r="CT102" i="190"/>
  <c r="CV85" i="190"/>
  <c r="CT103" i="190" l="1"/>
  <c r="CV103" i="190" s="1"/>
  <c r="CV102" i="190"/>
  <c r="FA14" i="167" l="1"/>
  <c r="EZ14" i="167"/>
  <c r="EY14" i="167"/>
  <c r="EX14" i="167"/>
  <c r="EW14" i="167"/>
  <c r="EV14" i="167"/>
  <c r="EU14" i="167"/>
  <c r="ET14" i="167"/>
  <c r="ES14" i="167"/>
  <c r="ER14" i="167"/>
  <c r="EQ14" i="167"/>
  <c r="EP14" i="167"/>
  <c r="FA13" i="167"/>
  <c r="EZ13" i="167"/>
  <c r="EY13" i="167"/>
  <c r="EX13" i="167"/>
  <c r="EW13" i="167"/>
  <c r="EV13" i="167"/>
  <c r="EU13" i="167"/>
  <c r="ET13" i="167"/>
  <c r="ES13" i="167"/>
  <c r="ER13" i="167"/>
  <c r="EQ13" i="167"/>
  <c r="EP13" i="167"/>
  <c r="FA12" i="167"/>
  <c r="EZ12" i="167"/>
  <c r="EY12" i="167"/>
  <c r="EX12" i="167"/>
  <c r="EW12" i="167"/>
  <c r="EV12" i="167"/>
  <c r="EU12" i="167"/>
  <c r="ET12" i="167"/>
  <c r="ES12" i="167"/>
  <c r="ER12" i="167"/>
  <c r="EQ12" i="167"/>
  <c r="EP12" i="167"/>
  <c r="FA11" i="167"/>
  <c r="EZ11" i="167"/>
  <c r="EY11" i="167"/>
  <c r="EX11" i="167"/>
  <c r="EW11" i="167"/>
  <c r="EV11" i="167"/>
  <c r="EU11" i="167"/>
  <c r="ET11" i="167"/>
  <c r="ES11" i="167"/>
  <c r="ER11" i="167"/>
  <c r="EQ11" i="167"/>
  <c r="EP11" i="167"/>
  <c r="FA10" i="167"/>
  <c r="EZ10" i="167"/>
  <c r="EY10" i="167"/>
  <c r="EX10" i="167"/>
  <c r="EW10" i="167"/>
  <c r="EV10" i="167"/>
  <c r="EU10" i="167"/>
  <c r="ET10" i="167"/>
  <c r="ES10" i="167"/>
  <c r="ER10" i="167"/>
  <c r="EQ10" i="167"/>
  <c r="EP10" i="167"/>
  <c r="FA9" i="167"/>
  <c r="EZ9" i="167"/>
  <c r="EY9" i="167"/>
  <c r="EX9" i="167"/>
  <c r="EW9" i="167"/>
  <c r="EU9" i="167"/>
  <c r="ET9" i="167"/>
  <c r="ES9" i="167"/>
  <c r="ER9" i="167"/>
  <c r="EQ9" i="167"/>
  <c r="EP9" i="167"/>
  <c r="FA8" i="167"/>
  <c r="EZ8" i="167"/>
  <c r="EY8" i="167"/>
  <c r="EX8" i="167"/>
  <c r="EW8" i="167"/>
  <c r="EV8" i="167"/>
  <c r="EU8" i="167"/>
  <c r="ET8" i="167"/>
  <c r="ES8" i="167"/>
  <c r="ER8" i="167"/>
  <c r="EQ8" i="167"/>
  <c r="EP8" i="167"/>
  <c r="FA7" i="167"/>
  <c r="EZ7" i="167"/>
  <c r="EY7" i="167"/>
  <c r="EX7" i="167"/>
  <c r="EW7" i="167"/>
  <c r="EV7" i="167"/>
  <c r="EU7" i="167"/>
  <c r="ET7" i="167"/>
  <c r="ES7" i="167"/>
  <c r="ER7" i="167"/>
  <c r="EQ7" i="167"/>
  <c r="EP7" i="167"/>
  <c r="FA6" i="167"/>
  <c r="EZ6" i="167"/>
  <c r="EY6" i="167"/>
  <c r="EX6" i="167"/>
  <c r="EW6" i="167"/>
  <c r="EV6" i="167"/>
  <c r="EU6" i="167"/>
  <c r="ET6" i="167"/>
  <c r="ES6" i="167"/>
  <c r="ER6" i="167"/>
  <c r="EQ6" i="167"/>
  <c r="EP6" i="167"/>
  <c r="FA5" i="167"/>
  <c r="EZ5" i="167"/>
  <c r="EY5" i="167"/>
  <c r="EX5" i="167"/>
  <c r="EW5" i="167"/>
  <c r="EV5" i="167"/>
  <c r="EU5" i="167"/>
  <c r="ET5" i="167"/>
  <c r="ES5" i="167"/>
  <c r="ER5" i="167"/>
  <c r="EQ5" i="167"/>
  <c r="EP5" i="167"/>
  <c r="A186" i="167" l="1"/>
  <c r="A257" i="167"/>
  <c r="A256" i="167"/>
  <c r="A234" i="167"/>
  <c r="A233" i="167"/>
  <c r="A209" i="167"/>
  <c r="A208" i="167"/>
  <c r="A185" i="167"/>
  <c r="A140" i="167"/>
  <c r="A139" i="167"/>
  <c r="A115" i="167"/>
  <c r="A114" i="167"/>
  <c r="A92" i="167"/>
  <c r="A91" i="167"/>
  <c r="K39" i="28" l="1"/>
  <c r="K40" i="28"/>
  <c r="K41" i="28"/>
  <c r="K42" i="28"/>
  <c r="K43" i="28"/>
  <c r="K44" i="28"/>
  <c r="K45" i="28"/>
  <c r="K46" i="28"/>
  <c r="K47" i="28"/>
  <c r="K48" i="28"/>
  <c r="K49" i="28"/>
  <c r="K50" i="28"/>
  <c r="K51" i="28"/>
  <c r="K52" i="28"/>
  <c r="K53" i="28"/>
  <c r="K54" i="28"/>
  <c r="K55" i="28"/>
  <c r="H5" i="27" l="1"/>
  <c r="H6" i="27"/>
  <c r="H7" i="27"/>
  <c r="H8" i="27"/>
  <c r="H9" i="27"/>
  <c r="H10" i="27"/>
  <c r="H11" i="27"/>
  <c r="H12" i="27"/>
  <c r="H13" i="27"/>
  <c r="H14" i="27"/>
  <c r="L402" i="183" l="1"/>
  <c r="L401" i="183"/>
  <c r="M400" i="183"/>
  <c r="O400" i="183" s="1"/>
  <c r="L400" i="183"/>
  <c r="M399" i="183"/>
  <c r="O399" i="183" s="1"/>
  <c r="L399" i="183"/>
  <c r="M398" i="183"/>
  <c r="O398" i="183" s="1"/>
  <c r="L398" i="183"/>
  <c r="M397" i="183"/>
  <c r="O397" i="183" s="1"/>
  <c r="L397" i="183"/>
  <c r="M396" i="183"/>
  <c r="O396" i="183" s="1"/>
  <c r="L396" i="183"/>
  <c r="M395" i="183"/>
  <c r="O395" i="183" s="1"/>
  <c r="L395" i="183"/>
  <c r="M394" i="183"/>
  <c r="O394" i="183" s="1"/>
  <c r="L394" i="183"/>
  <c r="L393" i="183"/>
  <c r="N394" i="183" l="1"/>
  <c r="N395" i="183"/>
  <c r="N396" i="183"/>
  <c r="N397" i="183"/>
  <c r="N398" i="183"/>
  <c r="N399" i="183"/>
  <c r="N400" i="183"/>
  <c r="B16" i="198" l="1"/>
  <c r="C16" i="198"/>
  <c r="D16" i="198"/>
  <c r="E16" i="198"/>
  <c r="E290" i="27" l="1"/>
  <c r="E63" i="183" l="1"/>
  <c r="H377" i="183" s="1"/>
  <c r="AN32" i="201" l="1"/>
  <c r="AN47" i="201" s="1"/>
  <c r="AN63" i="201" s="1"/>
  <c r="AN80" i="201" s="1"/>
  <c r="AN95" i="201" s="1"/>
  <c r="J17" i="196" l="1"/>
  <c r="J17" i="195"/>
  <c r="K85" i="28" l="1"/>
  <c r="B147" i="27" l="1"/>
  <c r="C147" i="27"/>
  <c r="E147" i="27"/>
  <c r="B148" i="27"/>
  <c r="C148" i="27"/>
  <c r="E148" i="27"/>
  <c r="B149" i="27"/>
  <c r="C149" i="27"/>
  <c r="E149" i="27"/>
  <c r="B150" i="27"/>
  <c r="C150" i="27"/>
  <c r="E150" i="27"/>
  <c r="B151" i="27"/>
  <c r="C151" i="27"/>
  <c r="E151" i="27"/>
  <c r="B152" i="27"/>
  <c r="C152" i="27"/>
  <c r="E152" i="27"/>
  <c r="B153" i="27"/>
  <c r="C153" i="27"/>
  <c r="E153" i="27"/>
  <c r="B154" i="27"/>
  <c r="C154" i="27"/>
  <c r="E154" i="27"/>
  <c r="B155" i="27"/>
  <c r="C155" i="27"/>
  <c r="E155" i="27"/>
  <c r="D149" i="27" l="1"/>
  <c r="D154" i="27"/>
  <c r="D151" i="27"/>
  <c r="D150" i="27"/>
  <c r="D147" i="27"/>
  <c r="D148" i="27"/>
  <c r="D152" i="27"/>
  <c r="D153" i="27"/>
  <c r="D155" i="27"/>
  <c r="L24" i="156" l="1"/>
  <c r="G24" i="156" s="1"/>
  <c r="Z9" i="157" l="1"/>
  <c r="X9" i="157"/>
  <c r="T9" i="157"/>
  <c r="R9" i="157"/>
  <c r="M9" i="157"/>
  <c r="K9" i="157"/>
  <c r="G9" i="157"/>
  <c r="E9" i="157"/>
  <c r="E86" i="26"/>
  <c r="E87" i="26"/>
  <c r="F86" i="26"/>
  <c r="G86" i="26"/>
  <c r="I86" i="26"/>
  <c r="F87" i="26"/>
  <c r="G87" i="26"/>
  <c r="I87" i="26"/>
  <c r="F88" i="26"/>
  <c r="G88" i="26"/>
  <c r="I88" i="26"/>
  <c r="F89" i="26"/>
  <c r="G89" i="26"/>
  <c r="I89" i="26"/>
  <c r="F86" i="27"/>
  <c r="G86" i="27"/>
  <c r="F87" i="27"/>
  <c r="G87" i="27"/>
  <c r="J87" i="27"/>
  <c r="K87" i="27"/>
  <c r="H89" i="26" l="1"/>
  <c r="L88" i="26"/>
  <c r="L86" i="26"/>
  <c r="H87" i="27"/>
  <c r="H86" i="27"/>
  <c r="L87" i="27"/>
  <c r="H88" i="26"/>
  <c r="L89" i="26"/>
  <c r="D86" i="26"/>
  <c r="H86" i="26"/>
  <c r="H87" i="26"/>
  <c r="L87" i="26"/>
  <c r="D87" i="26"/>
  <c r="O337" i="182" l="1"/>
  <c r="O187" i="182"/>
  <c r="N337" i="182" l="1"/>
  <c r="N187" i="182"/>
  <c r="F62" i="182"/>
  <c r="F65" i="182" s="1"/>
  <c r="F69" i="182" s="1"/>
  <c r="G69" i="9"/>
  <c r="G8" i="157"/>
  <c r="G10" i="157"/>
  <c r="G11" i="157"/>
  <c r="T110" i="185" l="1"/>
  <c r="AB111" i="185" s="1"/>
  <c r="AB127" i="185" s="1"/>
  <c r="X127" i="185"/>
  <c r="I276" i="27" l="1"/>
  <c r="B32" i="201" l="1"/>
  <c r="B47" i="201" s="1"/>
  <c r="B63" i="201" s="1"/>
  <c r="B80" i="201" s="1"/>
  <c r="B95" i="201" s="1"/>
  <c r="L60" i="201"/>
  <c r="M60" i="201"/>
  <c r="C14" i="38"/>
  <c r="D14" i="26" l="1"/>
  <c r="D13" i="26"/>
  <c r="D12" i="26"/>
  <c r="D11" i="26"/>
  <c r="D10" i="26"/>
  <c r="D9" i="26"/>
  <c r="D8" i="26"/>
  <c r="D7" i="26"/>
  <c r="D6" i="26"/>
  <c r="D5" i="26"/>
  <c r="D14" i="27" l="1"/>
  <c r="D13" i="27"/>
  <c r="D12" i="27"/>
  <c r="D11" i="27"/>
  <c r="D10" i="27"/>
  <c r="D9" i="27"/>
  <c r="D8" i="27"/>
  <c r="D7" i="27"/>
  <c r="D6" i="27"/>
  <c r="D5" i="27"/>
  <c r="K132" i="6"/>
  <c r="K131" i="6"/>
  <c r="K130" i="6"/>
  <c r="K129" i="6"/>
  <c r="K128" i="6"/>
  <c r="K127" i="6"/>
  <c r="K126" i="6"/>
  <c r="K125" i="6"/>
  <c r="K124" i="6"/>
  <c r="K123" i="6"/>
  <c r="K35" i="6"/>
  <c r="K36" i="6"/>
  <c r="K37" i="6"/>
  <c r="K38" i="6"/>
  <c r="K39" i="6"/>
  <c r="K40" i="6"/>
  <c r="K41" i="6"/>
  <c r="K42" i="6"/>
  <c r="K43" i="6"/>
  <c r="K34" i="6"/>
  <c r="M125" i="6" l="1"/>
  <c r="V125" i="6" s="1"/>
  <c r="M130" i="6"/>
  <c r="V130" i="6" s="1"/>
  <c r="M131" i="6"/>
  <c r="V131" i="6" s="1"/>
  <c r="M126" i="6"/>
  <c r="V126" i="6" s="1"/>
  <c r="M124" i="6"/>
  <c r="V124" i="6" s="1"/>
  <c r="M123" i="6"/>
  <c r="V123" i="6" s="1"/>
  <c r="M129" i="6"/>
  <c r="V129" i="6" s="1"/>
  <c r="M127" i="6"/>
  <c r="V127" i="6" s="1"/>
  <c r="M128" i="6"/>
  <c r="V128" i="6" s="1"/>
  <c r="M132" i="6"/>
  <c r="V132" i="6" s="1"/>
  <c r="M34" i="6"/>
  <c r="V34" i="6" s="1"/>
  <c r="BE30" i="201"/>
  <c r="V133" i="6" l="1"/>
  <c r="P87" i="201"/>
  <c r="V87" i="201" s="1"/>
  <c r="Y87" i="201" s="1"/>
  <c r="P88" i="201"/>
  <c r="V88" i="201" s="1"/>
  <c r="Y88" i="201" s="1"/>
  <c r="P89" i="201"/>
  <c r="V89" i="201" s="1"/>
  <c r="Y89" i="201" s="1"/>
  <c r="P92" i="201"/>
  <c r="V92" i="201" s="1"/>
  <c r="Y92" i="201" s="1"/>
  <c r="P90" i="201"/>
  <c r="V90" i="201" s="1"/>
  <c r="Y90" i="201" s="1"/>
  <c r="D346" i="183"/>
  <c r="P86" i="201" l="1"/>
  <c r="V86" i="201" s="1"/>
  <c r="Y86" i="201" s="1"/>
  <c r="P85" i="201"/>
  <c r="V85" i="201" s="1"/>
  <c r="Y85" i="201" s="1"/>
  <c r="P84" i="201"/>
  <c r="V84" i="201" s="1"/>
  <c r="Y84" i="201" s="1"/>
  <c r="P91" i="201"/>
  <c r="V91" i="201" s="1"/>
  <c r="Y91" i="201" s="1"/>
  <c r="X17" i="5"/>
  <c r="AV139" i="27"/>
  <c r="U5" i="5" l="1"/>
  <c r="U8" i="5"/>
  <c r="U12" i="5"/>
  <c r="U11" i="5"/>
  <c r="U14" i="5"/>
  <c r="U7" i="5"/>
  <c r="U6" i="5"/>
  <c r="U13" i="5"/>
  <c r="BE45" i="201" l="1"/>
  <c r="BE143" i="201" l="1"/>
  <c r="BE142" i="201"/>
  <c r="BE141" i="201"/>
  <c r="BE140" i="201"/>
  <c r="BE139" i="201"/>
  <c r="BE138" i="201"/>
  <c r="BE137" i="201"/>
  <c r="BE136" i="201"/>
  <c r="BE135" i="201"/>
  <c r="BE134" i="201"/>
  <c r="BE133" i="201"/>
  <c r="BE124" i="201"/>
  <c r="BE123" i="201"/>
  <c r="BE122" i="201"/>
  <c r="BE121" i="201"/>
  <c r="BE120" i="201"/>
  <c r="BE119" i="201"/>
  <c r="BE118" i="201"/>
  <c r="BE117" i="201"/>
  <c r="BE116" i="201"/>
  <c r="BE115" i="201"/>
  <c r="AE59" i="201"/>
  <c r="AD59" i="201"/>
  <c r="AE58" i="201"/>
  <c r="AD58" i="201"/>
  <c r="AE57" i="201"/>
  <c r="AD57" i="201"/>
  <c r="AE56" i="201"/>
  <c r="AD56" i="201"/>
  <c r="AE55" i="201"/>
  <c r="AD55" i="201"/>
  <c r="AE54" i="201"/>
  <c r="AD54" i="201"/>
  <c r="AE53" i="201"/>
  <c r="AD53" i="201"/>
  <c r="AE52" i="201"/>
  <c r="AD52" i="201"/>
  <c r="AE51" i="201"/>
  <c r="AD51" i="201"/>
  <c r="AE50" i="201"/>
  <c r="AD50" i="201"/>
  <c r="AE44" i="201"/>
  <c r="AD44" i="201"/>
  <c r="AE43" i="201"/>
  <c r="AD43" i="201"/>
  <c r="AE42" i="201"/>
  <c r="AD42" i="201"/>
  <c r="AE41" i="201"/>
  <c r="AD41" i="201"/>
  <c r="AE40" i="201"/>
  <c r="AD40" i="201"/>
  <c r="AE39" i="201"/>
  <c r="AD39" i="201"/>
  <c r="AE38" i="201"/>
  <c r="AD38" i="201"/>
  <c r="AE37" i="201"/>
  <c r="AD37" i="201"/>
  <c r="AE36" i="201"/>
  <c r="AD36" i="201"/>
  <c r="AE35" i="201"/>
  <c r="AD35" i="201"/>
  <c r="F35" i="5"/>
  <c r="H20" i="5"/>
  <c r="C20" i="5"/>
  <c r="R35" i="35"/>
  <c r="R36" i="35" s="1"/>
  <c r="S35" i="35" l="1"/>
  <c r="U72" i="201"/>
  <c r="W74" i="201"/>
  <c r="AE74" i="201"/>
  <c r="AF51" i="201"/>
  <c r="AF55" i="201"/>
  <c r="AF59" i="201"/>
  <c r="AF37" i="201"/>
  <c r="AF38" i="201"/>
  <c r="AF42" i="201"/>
  <c r="AF56" i="201"/>
  <c r="AA74" i="201"/>
  <c r="AF44" i="201"/>
  <c r="AF52" i="201"/>
  <c r="AA70" i="201"/>
  <c r="AF36" i="201"/>
  <c r="AF40" i="201"/>
  <c r="AF43" i="201"/>
  <c r="AA75" i="201"/>
  <c r="W73" i="201"/>
  <c r="AD73" i="201"/>
  <c r="W75" i="201"/>
  <c r="AF41" i="201"/>
  <c r="Z72" i="201"/>
  <c r="AE72" i="201"/>
  <c r="X45" i="201"/>
  <c r="W70" i="201"/>
  <c r="AF39" i="201"/>
  <c r="AD45" i="201"/>
  <c r="AE45" i="201"/>
  <c r="U67" i="201"/>
  <c r="X60" i="201"/>
  <c r="AF35" i="201"/>
  <c r="Z75" i="201"/>
  <c r="AD71" i="201"/>
  <c r="AA45" i="201"/>
  <c r="AA68" i="201"/>
  <c r="AE69" i="201"/>
  <c r="AF53" i="201"/>
  <c r="AE70" i="201"/>
  <c r="AD75" i="201"/>
  <c r="W45" i="201"/>
  <c r="U68" i="201"/>
  <c r="W66" i="201"/>
  <c r="AD67" i="201"/>
  <c r="Z71" i="201"/>
  <c r="Z66" i="201"/>
  <c r="Z60" i="201"/>
  <c r="AD74" i="201"/>
  <c r="AF58" i="201"/>
  <c r="Z67" i="201"/>
  <c r="U45" i="201"/>
  <c r="V60" i="201"/>
  <c r="AA60" i="201"/>
  <c r="AE67" i="201"/>
  <c r="W68" i="201"/>
  <c r="Z69" i="201"/>
  <c r="Z70" i="201"/>
  <c r="U71" i="201"/>
  <c r="AA72" i="201"/>
  <c r="AE73" i="201"/>
  <c r="AF57" i="201"/>
  <c r="AA66" i="201"/>
  <c r="Z45" i="201"/>
  <c r="W60" i="201"/>
  <c r="AD66" i="201"/>
  <c r="AD60" i="201"/>
  <c r="AF50" i="201"/>
  <c r="W67" i="201"/>
  <c r="AA67" i="201"/>
  <c r="AD68" i="201"/>
  <c r="AA69" i="201"/>
  <c r="AE71" i="201"/>
  <c r="W72" i="201"/>
  <c r="Z73" i="201"/>
  <c r="Z74" i="201"/>
  <c r="U75" i="201"/>
  <c r="AE66" i="201"/>
  <c r="AE60" i="201"/>
  <c r="Z68" i="201"/>
  <c r="AE68" i="201"/>
  <c r="W69" i="201"/>
  <c r="AD69" i="201"/>
  <c r="AD70" i="201"/>
  <c r="AF54" i="201"/>
  <c r="W71" i="201"/>
  <c r="AA71" i="201"/>
  <c r="AD72" i="201"/>
  <c r="AA73" i="201"/>
  <c r="AE75" i="201"/>
  <c r="U60" i="201"/>
  <c r="U69" i="201"/>
  <c r="U73" i="201"/>
  <c r="U66" i="201"/>
  <c r="U70" i="201"/>
  <c r="U74" i="201"/>
  <c r="AC51" i="201" l="1"/>
  <c r="AG51" i="201" s="1"/>
  <c r="AB72" i="201"/>
  <c r="AF73" i="201"/>
  <c r="AC56" i="201"/>
  <c r="AG56" i="201" s="1"/>
  <c r="AF67" i="201"/>
  <c r="AB67" i="201"/>
  <c r="AB68" i="201"/>
  <c r="AB75" i="201"/>
  <c r="AF71" i="201"/>
  <c r="AF74" i="201"/>
  <c r="AF72" i="201"/>
  <c r="AF69" i="201"/>
  <c r="AF68" i="201"/>
  <c r="AB71" i="201"/>
  <c r="AF75" i="201"/>
  <c r="AD76" i="201"/>
  <c r="AF45" i="201"/>
  <c r="AF70" i="201"/>
  <c r="AE76" i="201"/>
  <c r="W76" i="201"/>
  <c r="AB45" i="201"/>
  <c r="U76" i="201"/>
  <c r="AC53" i="201"/>
  <c r="AB69" i="201"/>
  <c r="AC58" i="201"/>
  <c r="AB74" i="201"/>
  <c r="AC54" i="201"/>
  <c r="AB70" i="201"/>
  <c r="Z76" i="201"/>
  <c r="AC52" i="201"/>
  <c r="AC57" i="201"/>
  <c r="AB73" i="201"/>
  <c r="AC50" i="201"/>
  <c r="AB66" i="201"/>
  <c r="AB60" i="201"/>
  <c r="AF66" i="201"/>
  <c r="AF60" i="201"/>
  <c r="AC55" i="201"/>
  <c r="AA76" i="201"/>
  <c r="Y60" i="201"/>
  <c r="AC59" i="201"/>
  <c r="E351" i="183"/>
  <c r="E319" i="183"/>
  <c r="E287" i="183"/>
  <c r="E223" i="183"/>
  <c r="E191" i="183"/>
  <c r="E159" i="183"/>
  <c r="E127" i="183"/>
  <c r="AG55" i="201" l="1"/>
  <c r="AB76" i="201"/>
  <c r="AG57" i="201"/>
  <c r="AG52" i="201"/>
  <c r="AG58" i="201"/>
  <c r="AG59" i="201"/>
  <c r="AF76" i="201"/>
  <c r="AG50" i="201"/>
  <c r="AC60" i="201"/>
  <c r="AG54" i="201"/>
  <c r="AG53" i="201"/>
  <c r="O108" i="5"/>
  <c r="O107" i="5" s="1"/>
  <c r="P108" i="5"/>
  <c r="P107" i="5" s="1"/>
  <c r="N108" i="5"/>
  <c r="N107" i="5" s="1"/>
  <c r="AG60" i="201" l="1"/>
  <c r="F67" i="201" l="1"/>
  <c r="V56" i="28" l="1"/>
  <c r="AX334" i="26" l="1"/>
  <c r="A331" i="26"/>
  <c r="O319" i="26" l="1"/>
  <c r="P284" i="26"/>
  <c r="O321" i="26"/>
  <c r="O324" i="26"/>
  <c r="O323" i="26"/>
  <c r="O328" i="26"/>
  <c r="O322" i="26"/>
  <c r="O325" i="26"/>
  <c r="O320" i="26"/>
  <c r="O327" i="26"/>
  <c r="O326" i="26"/>
  <c r="BA307" i="26"/>
  <c r="O312" i="26"/>
  <c r="BA308" i="26"/>
  <c r="BA305" i="26"/>
  <c r="BA306" i="26"/>
  <c r="N312" i="26"/>
  <c r="BA311" i="26"/>
  <c r="BA303" i="26"/>
  <c r="BA304" i="26"/>
  <c r="BA309" i="26"/>
  <c r="BA310" i="26"/>
  <c r="Q312" i="26"/>
  <c r="BA302" i="26"/>
  <c r="O334" i="26"/>
  <c r="BA312" i="26" l="1"/>
  <c r="AY334" i="26"/>
  <c r="P312" i="26"/>
  <c r="AZ302" i="26"/>
  <c r="O340" i="26"/>
  <c r="AY340" i="26" s="1"/>
  <c r="AZ308" i="26"/>
  <c r="O339" i="26"/>
  <c r="AY339" i="26" s="1"/>
  <c r="AZ307" i="26"/>
  <c r="O341" i="26"/>
  <c r="AY341" i="26" s="1"/>
  <c r="AZ309" i="26"/>
  <c r="O338" i="26"/>
  <c r="AY338" i="26" s="1"/>
  <c r="AZ306" i="26"/>
  <c r="O337" i="26"/>
  <c r="AY337" i="26" s="1"/>
  <c r="AZ305" i="26"/>
  <c r="O336" i="26"/>
  <c r="AY336" i="26" s="1"/>
  <c r="AZ304" i="26"/>
  <c r="AZ303" i="26"/>
  <c r="O335" i="26"/>
  <c r="AY335" i="26" s="1"/>
  <c r="AZ311" i="26"/>
  <c r="O343" i="26"/>
  <c r="AY343" i="26" s="1"/>
  <c r="AZ310" i="26"/>
  <c r="O342" i="26"/>
  <c r="AY342" i="26" s="1"/>
  <c r="AZ312" i="26" l="1"/>
  <c r="P29" i="33"/>
  <c r="O29" i="33"/>
  <c r="N29" i="33"/>
  <c r="M29" i="33"/>
  <c r="L29" i="33"/>
  <c r="K29" i="33"/>
  <c r="J29" i="33"/>
  <c r="I29" i="33"/>
  <c r="H29" i="33"/>
  <c r="G29" i="33"/>
  <c r="F29" i="33"/>
  <c r="E29" i="33"/>
  <c r="D29" i="33"/>
  <c r="C29" i="33"/>
  <c r="B29" i="33"/>
  <c r="P14" i="33"/>
  <c r="O14" i="33"/>
  <c r="N14" i="33"/>
  <c r="J14" i="33"/>
  <c r="I14" i="33"/>
  <c r="H14" i="33"/>
  <c r="G14" i="33"/>
  <c r="F14" i="33"/>
  <c r="E14" i="33"/>
  <c r="D14" i="33"/>
  <c r="C14" i="33"/>
  <c r="B14" i="33"/>
  <c r="Q266" i="44"/>
  <c r="O266" i="44"/>
  <c r="N266" i="44"/>
  <c r="M266" i="44"/>
  <c r="K266" i="44"/>
  <c r="J266" i="44"/>
  <c r="I266" i="44"/>
  <c r="G266" i="44"/>
  <c r="F266" i="44"/>
  <c r="E266" i="44"/>
  <c r="C266" i="44"/>
  <c r="B266" i="44"/>
  <c r="D266" i="44" s="1"/>
  <c r="Q265" i="44"/>
  <c r="O265" i="44"/>
  <c r="N265" i="44"/>
  <c r="M265" i="44"/>
  <c r="K265" i="44"/>
  <c r="J265" i="44"/>
  <c r="I265" i="44"/>
  <c r="G265" i="44"/>
  <c r="F265" i="44"/>
  <c r="E265" i="44"/>
  <c r="C265" i="44"/>
  <c r="B265" i="44"/>
  <c r="Q264" i="44"/>
  <c r="O264" i="44"/>
  <c r="N264" i="44"/>
  <c r="M264" i="44"/>
  <c r="K264" i="44"/>
  <c r="J264" i="44"/>
  <c r="I264" i="44"/>
  <c r="G264" i="44"/>
  <c r="F264" i="44"/>
  <c r="E264" i="44"/>
  <c r="C264" i="44"/>
  <c r="B264" i="44"/>
  <c r="D264" i="44" s="1"/>
  <c r="Q263" i="44"/>
  <c r="O263" i="44"/>
  <c r="N263" i="44"/>
  <c r="M263" i="44"/>
  <c r="K263" i="44"/>
  <c r="J263" i="44"/>
  <c r="I263" i="44"/>
  <c r="G263" i="44"/>
  <c r="F263" i="44"/>
  <c r="E263" i="44"/>
  <c r="C263" i="44"/>
  <c r="B263" i="44"/>
  <c r="Q262" i="44"/>
  <c r="O262" i="44"/>
  <c r="N262" i="44"/>
  <c r="M262" i="44"/>
  <c r="K262" i="44"/>
  <c r="J262" i="44"/>
  <c r="I262" i="44"/>
  <c r="G262" i="44"/>
  <c r="F262" i="44"/>
  <c r="E262" i="44"/>
  <c r="C262" i="44"/>
  <c r="B262" i="44"/>
  <c r="D262" i="44" s="1"/>
  <c r="Q261" i="44"/>
  <c r="O261" i="44"/>
  <c r="N261" i="44"/>
  <c r="M261" i="44"/>
  <c r="K261" i="44"/>
  <c r="J261" i="44"/>
  <c r="I261" i="44"/>
  <c r="G261" i="44"/>
  <c r="F261" i="44"/>
  <c r="E261" i="44"/>
  <c r="C261" i="44"/>
  <c r="B261" i="44"/>
  <c r="Q260" i="44"/>
  <c r="O260" i="44"/>
  <c r="N260" i="44"/>
  <c r="M260" i="44"/>
  <c r="K260" i="44"/>
  <c r="J260" i="44"/>
  <c r="I260" i="44"/>
  <c r="G260" i="44"/>
  <c r="F260" i="44"/>
  <c r="E260" i="44"/>
  <c r="C260" i="44"/>
  <c r="B260" i="44"/>
  <c r="D260" i="44" s="1"/>
  <c r="Q259" i="44"/>
  <c r="O259" i="44"/>
  <c r="N259" i="44"/>
  <c r="M259" i="44"/>
  <c r="K259" i="44"/>
  <c r="J259" i="44"/>
  <c r="I259" i="44"/>
  <c r="G259" i="44"/>
  <c r="F259" i="44"/>
  <c r="E259" i="44"/>
  <c r="C259" i="44"/>
  <c r="B259" i="44"/>
  <c r="Q258" i="44"/>
  <c r="O258" i="44"/>
  <c r="N258" i="44"/>
  <c r="M258" i="44"/>
  <c r="K258" i="44"/>
  <c r="J258" i="44"/>
  <c r="I258" i="44"/>
  <c r="G258" i="44"/>
  <c r="F258" i="44"/>
  <c r="E258" i="44"/>
  <c r="C258" i="44"/>
  <c r="B258" i="44"/>
  <c r="Q257" i="44"/>
  <c r="O257" i="44"/>
  <c r="N257" i="44"/>
  <c r="M257" i="44"/>
  <c r="K257" i="44"/>
  <c r="J257" i="44"/>
  <c r="I257" i="44"/>
  <c r="G257" i="44"/>
  <c r="F257" i="44"/>
  <c r="E257" i="44"/>
  <c r="C257" i="44"/>
  <c r="B257" i="44"/>
  <c r="N249" i="44"/>
  <c r="J249" i="44"/>
  <c r="F249" i="44"/>
  <c r="B249" i="44"/>
  <c r="N248" i="44"/>
  <c r="J248" i="44"/>
  <c r="F248" i="44"/>
  <c r="B248" i="44"/>
  <c r="N247" i="44"/>
  <c r="J247" i="44"/>
  <c r="F247" i="44"/>
  <c r="B247" i="44"/>
  <c r="N246" i="44"/>
  <c r="J246" i="44"/>
  <c r="F246" i="44"/>
  <c r="B246" i="44"/>
  <c r="N245" i="44"/>
  <c r="J245" i="44"/>
  <c r="F245" i="44"/>
  <c r="B245" i="44"/>
  <c r="N244" i="44"/>
  <c r="J244" i="44"/>
  <c r="F244" i="44"/>
  <c r="B244" i="44"/>
  <c r="N243" i="44"/>
  <c r="J243" i="44"/>
  <c r="F243" i="44"/>
  <c r="B243" i="44"/>
  <c r="N242" i="44"/>
  <c r="J242" i="44"/>
  <c r="F242" i="44"/>
  <c r="B242" i="44"/>
  <c r="N241" i="44"/>
  <c r="J241" i="44"/>
  <c r="F241" i="44"/>
  <c r="B241" i="44"/>
  <c r="N240" i="44"/>
  <c r="J240" i="44"/>
  <c r="F240" i="44"/>
  <c r="B240" i="44"/>
  <c r="N234" i="44"/>
  <c r="J234" i="44"/>
  <c r="F234" i="44"/>
  <c r="B234" i="44"/>
  <c r="N233" i="44"/>
  <c r="J233" i="44"/>
  <c r="F233" i="44"/>
  <c r="B233" i="44"/>
  <c r="N232" i="44"/>
  <c r="J232" i="44"/>
  <c r="F232" i="44"/>
  <c r="B232" i="44"/>
  <c r="N231" i="44"/>
  <c r="J231" i="44"/>
  <c r="F231" i="44"/>
  <c r="B231" i="44"/>
  <c r="N230" i="44"/>
  <c r="J230" i="44"/>
  <c r="F230" i="44"/>
  <c r="B230" i="44"/>
  <c r="N229" i="44"/>
  <c r="J229" i="44"/>
  <c r="F229" i="44"/>
  <c r="B229" i="44"/>
  <c r="N228" i="44"/>
  <c r="J228" i="44"/>
  <c r="F228" i="44"/>
  <c r="B228" i="44"/>
  <c r="N227" i="44"/>
  <c r="J227" i="44"/>
  <c r="F227" i="44"/>
  <c r="B227" i="44"/>
  <c r="N226" i="44"/>
  <c r="J226" i="44"/>
  <c r="F226" i="44"/>
  <c r="B226" i="44"/>
  <c r="N225" i="44"/>
  <c r="J225" i="44"/>
  <c r="F225" i="44"/>
  <c r="B225" i="44"/>
  <c r="Q202" i="44"/>
  <c r="O202" i="44"/>
  <c r="N202" i="44"/>
  <c r="M202" i="44"/>
  <c r="K202" i="44"/>
  <c r="J202" i="44"/>
  <c r="I202" i="44"/>
  <c r="G202" i="44"/>
  <c r="F202" i="44"/>
  <c r="E202" i="44"/>
  <c r="C202" i="44"/>
  <c r="B202" i="44"/>
  <c r="Q201" i="44"/>
  <c r="O201" i="44"/>
  <c r="N201" i="44"/>
  <c r="M201" i="44"/>
  <c r="K201" i="44"/>
  <c r="J201" i="44"/>
  <c r="I201" i="44"/>
  <c r="G201" i="44"/>
  <c r="F201" i="44"/>
  <c r="E201" i="44"/>
  <c r="C201" i="44"/>
  <c r="B201" i="44"/>
  <c r="Q200" i="44"/>
  <c r="O200" i="44"/>
  <c r="N200" i="44"/>
  <c r="M200" i="44"/>
  <c r="K200" i="44"/>
  <c r="J200" i="44"/>
  <c r="I200" i="44"/>
  <c r="G200" i="44"/>
  <c r="F200" i="44"/>
  <c r="E200" i="44"/>
  <c r="C200" i="44"/>
  <c r="B200" i="44"/>
  <c r="Q199" i="44"/>
  <c r="O199" i="44"/>
  <c r="N199" i="44"/>
  <c r="M199" i="44"/>
  <c r="K199" i="44"/>
  <c r="J199" i="44"/>
  <c r="I199" i="44"/>
  <c r="G199" i="44"/>
  <c r="F199" i="44"/>
  <c r="E199" i="44"/>
  <c r="C199" i="44"/>
  <c r="B199" i="44"/>
  <c r="Q198" i="44"/>
  <c r="O198" i="44"/>
  <c r="N198" i="44"/>
  <c r="M198" i="44"/>
  <c r="K198" i="44"/>
  <c r="J198" i="44"/>
  <c r="I198" i="44"/>
  <c r="G198" i="44"/>
  <c r="F198" i="44"/>
  <c r="E198" i="44"/>
  <c r="C198" i="44"/>
  <c r="C294" i="44" s="1"/>
  <c r="B198" i="44"/>
  <c r="Q197" i="44"/>
  <c r="O197" i="44"/>
  <c r="N197" i="44"/>
  <c r="M197" i="44"/>
  <c r="K197" i="44"/>
  <c r="J197" i="44"/>
  <c r="I197" i="44"/>
  <c r="G197" i="44"/>
  <c r="F197" i="44"/>
  <c r="E197" i="44"/>
  <c r="C197" i="44"/>
  <c r="B197" i="44"/>
  <c r="Q196" i="44"/>
  <c r="O196" i="44"/>
  <c r="N196" i="44"/>
  <c r="M196" i="44"/>
  <c r="K196" i="44"/>
  <c r="J196" i="44"/>
  <c r="I196" i="44"/>
  <c r="G196" i="44"/>
  <c r="F196" i="44"/>
  <c r="E196" i="44"/>
  <c r="C196" i="44"/>
  <c r="B196" i="44"/>
  <c r="Q195" i="44"/>
  <c r="O195" i="44"/>
  <c r="N195" i="44"/>
  <c r="M195" i="44"/>
  <c r="K195" i="44"/>
  <c r="J195" i="44"/>
  <c r="I195" i="44"/>
  <c r="G195" i="44"/>
  <c r="F195" i="44"/>
  <c r="E195" i="44"/>
  <c r="C195" i="44"/>
  <c r="B195" i="44"/>
  <c r="Q194" i="44"/>
  <c r="O194" i="44"/>
  <c r="N194" i="44"/>
  <c r="M194" i="44"/>
  <c r="K194" i="44"/>
  <c r="J194" i="44"/>
  <c r="I194" i="44"/>
  <c r="G194" i="44"/>
  <c r="F194" i="44"/>
  <c r="E194" i="44"/>
  <c r="C194" i="44"/>
  <c r="B194" i="44"/>
  <c r="Q193" i="44"/>
  <c r="O193" i="44"/>
  <c r="N193" i="44"/>
  <c r="M193" i="44"/>
  <c r="K193" i="44"/>
  <c r="J193" i="44"/>
  <c r="I193" i="44"/>
  <c r="G193" i="44"/>
  <c r="F193" i="44"/>
  <c r="E193" i="44"/>
  <c r="C193" i="44"/>
  <c r="B193" i="44"/>
  <c r="Q140" i="44"/>
  <c r="O140" i="44"/>
  <c r="N140" i="44"/>
  <c r="M140" i="44"/>
  <c r="K140" i="44"/>
  <c r="J140" i="44"/>
  <c r="I140" i="44"/>
  <c r="G140" i="44"/>
  <c r="F140" i="44"/>
  <c r="E140" i="44"/>
  <c r="C140" i="44"/>
  <c r="B140" i="44"/>
  <c r="Q139" i="44"/>
  <c r="O139" i="44"/>
  <c r="N139" i="44"/>
  <c r="M139" i="44"/>
  <c r="K139" i="44"/>
  <c r="J139" i="44"/>
  <c r="I139" i="44"/>
  <c r="G139" i="44"/>
  <c r="F139" i="44"/>
  <c r="E139" i="44"/>
  <c r="C139" i="44"/>
  <c r="B139" i="44"/>
  <c r="Q138" i="44"/>
  <c r="O138" i="44"/>
  <c r="N138" i="44"/>
  <c r="M138" i="44"/>
  <c r="K138" i="44"/>
  <c r="J138" i="44"/>
  <c r="I138" i="44"/>
  <c r="G138" i="44"/>
  <c r="F138" i="44"/>
  <c r="E138" i="44"/>
  <c r="C138" i="44"/>
  <c r="B138" i="44"/>
  <c r="Q137" i="44"/>
  <c r="O137" i="44"/>
  <c r="N137" i="44"/>
  <c r="M137" i="44"/>
  <c r="K137" i="44"/>
  <c r="J137" i="44"/>
  <c r="I137" i="44"/>
  <c r="G137" i="44"/>
  <c r="F137" i="44"/>
  <c r="E137" i="44"/>
  <c r="C137" i="44"/>
  <c r="B137" i="44"/>
  <c r="Q136" i="44"/>
  <c r="O136" i="44"/>
  <c r="N136" i="44"/>
  <c r="M136" i="44"/>
  <c r="K136" i="44"/>
  <c r="J136" i="44"/>
  <c r="I136" i="44"/>
  <c r="G136" i="44"/>
  <c r="F136" i="44"/>
  <c r="E136" i="44"/>
  <c r="C136" i="44"/>
  <c r="B136" i="44"/>
  <c r="Q135" i="44"/>
  <c r="O135" i="44"/>
  <c r="N135" i="44"/>
  <c r="M135" i="44"/>
  <c r="K135" i="44"/>
  <c r="J135" i="44"/>
  <c r="I135" i="44"/>
  <c r="G135" i="44"/>
  <c r="F135" i="44"/>
  <c r="E135" i="44"/>
  <c r="C135" i="44"/>
  <c r="B135" i="44"/>
  <c r="Q134" i="44"/>
  <c r="O134" i="44"/>
  <c r="N134" i="44"/>
  <c r="M134" i="44"/>
  <c r="K134" i="44"/>
  <c r="J134" i="44"/>
  <c r="I134" i="44"/>
  <c r="G134" i="44"/>
  <c r="F134" i="44"/>
  <c r="E134" i="44"/>
  <c r="C134" i="44"/>
  <c r="B134" i="44"/>
  <c r="Q133" i="44"/>
  <c r="O133" i="44"/>
  <c r="N133" i="44"/>
  <c r="M133" i="44"/>
  <c r="K133" i="44"/>
  <c r="J133" i="44"/>
  <c r="I133" i="44"/>
  <c r="G133" i="44"/>
  <c r="F133" i="44"/>
  <c r="E133" i="44"/>
  <c r="C133" i="44"/>
  <c r="B133" i="44"/>
  <c r="Q132" i="44"/>
  <c r="O132" i="44"/>
  <c r="N132" i="44"/>
  <c r="M132" i="44"/>
  <c r="K132" i="44"/>
  <c r="J132" i="44"/>
  <c r="I132" i="44"/>
  <c r="G132" i="44"/>
  <c r="F132" i="44"/>
  <c r="E132" i="44"/>
  <c r="C132" i="44"/>
  <c r="B132" i="44"/>
  <c r="Q131" i="44"/>
  <c r="O131" i="44"/>
  <c r="N131" i="44"/>
  <c r="M131" i="44"/>
  <c r="K131" i="44"/>
  <c r="J131" i="44"/>
  <c r="I131" i="44"/>
  <c r="G131" i="44"/>
  <c r="F131" i="44"/>
  <c r="E131" i="44"/>
  <c r="C131" i="44"/>
  <c r="B131" i="44"/>
  <c r="B86" i="44"/>
  <c r="Q78" i="44"/>
  <c r="O78" i="44"/>
  <c r="N78" i="44"/>
  <c r="M78" i="44"/>
  <c r="K78" i="44"/>
  <c r="J78" i="44"/>
  <c r="I78" i="44"/>
  <c r="G78" i="44"/>
  <c r="F78" i="44"/>
  <c r="E78" i="44"/>
  <c r="C78" i="44"/>
  <c r="B78" i="44"/>
  <c r="Q77" i="44"/>
  <c r="O77" i="44"/>
  <c r="N77" i="44"/>
  <c r="M77" i="44"/>
  <c r="K77" i="44"/>
  <c r="J77" i="44"/>
  <c r="I77" i="44"/>
  <c r="G77" i="44"/>
  <c r="F77" i="44"/>
  <c r="E77" i="44"/>
  <c r="C77" i="44"/>
  <c r="B77" i="44"/>
  <c r="Q76" i="44"/>
  <c r="O76" i="44"/>
  <c r="N76" i="44"/>
  <c r="M76" i="44"/>
  <c r="K76" i="44"/>
  <c r="J76" i="44"/>
  <c r="I76" i="44"/>
  <c r="G76" i="44"/>
  <c r="F76" i="44"/>
  <c r="E76" i="44"/>
  <c r="C76" i="44"/>
  <c r="B76" i="44"/>
  <c r="Q75" i="44"/>
  <c r="O75" i="44"/>
  <c r="N75" i="44"/>
  <c r="M75" i="44"/>
  <c r="K75" i="44"/>
  <c r="J75" i="44"/>
  <c r="I75" i="44"/>
  <c r="G75" i="44"/>
  <c r="F75" i="44"/>
  <c r="E75" i="44"/>
  <c r="C75" i="44"/>
  <c r="B75" i="44"/>
  <c r="Q74" i="44"/>
  <c r="O74" i="44"/>
  <c r="N74" i="44"/>
  <c r="M74" i="44"/>
  <c r="K74" i="44"/>
  <c r="J74" i="44"/>
  <c r="I74" i="44"/>
  <c r="G74" i="44"/>
  <c r="F74" i="44"/>
  <c r="E74" i="44"/>
  <c r="C74" i="44"/>
  <c r="B74" i="44"/>
  <c r="Q73" i="44"/>
  <c r="O73" i="44"/>
  <c r="N73" i="44"/>
  <c r="M73" i="44"/>
  <c r="K73" i="44"/>
  <c r="J73" i="44"/>
  <c r="I73" i="44"/>
  <c r="G73" i="44"/>
  <c r="F73" i="44"/>
  <c r="E73" i="44"/>
  <c r="C73" i="44"/>
  <c r="B73" i="44"/>
  <c r="Q72" i="44"/>
  <c r="O72" i="44"/>
  <c r="N72" i="44"/>
  <c r="M72" i="44"/>
  <c r="K72" i="44"/>
  <c r="J72" i="44"/>
  <c r="I72" i="44"/>
  <c r="G72" i="44"/>
  <c r="F72" i="44"/>
  <c r="E72" i="44"/>
  <c r="C72" i="44"/>
  <c r="B72" i="44"/>
  <c r="Q71" i="44"/>
  <c r="O71" i="44"/>
  <c r="N71" i="44"/>
  <c r="M71" i="44"/>
  <c r="K71" i="44"/>
  <c r="J71" i="44"/>
  <c r="I71" i="44"/>
  <c r="G71" i="44"/>
  <c r="F71" i="44"/>
  <c r="E71" i="44"/>
  <c r="C71" i="44"/>
  <c r="B71" i="44"/>
  <c r="Q70" i="44"/>
  <c r="O70" i="44"/>
  <c r="N70" i="44"/>
  <c r="M70" i="44"/>
  <c r="K70" i="44"/>
  <c r="J70" i="44"/>
  <c r="I70" i="44"/>
  <c r="G70" i="44"/>
  <c r="F70" i="44"/>
  <c r="E70" i="44"/>
  <c r="C70" i="44"/>
  <c r="B70" i="44"/>
  <c r="Q69" i="44"/>
  <c r="O69" i="44"/>
  <c r="N69" i="44"/>
  <c r="M69" i="44"/>
  <c r="K69" i="44"/>
  <c r="J69" i="44"/>
  <c r="I69" i="44"/>
  <c r="G69" i="44"/>
  <c r="F69" i="44"/>
  <c r="E69" i="44"/>
  <c r="C69" i="44"/>
  <c r="B69" i="44"/>
  <c r="A17" i="44"/>
  <c r="Q14" i="44"/>
  <c r="O14" i="44"/>
  <c r="N14" i="44"/>
  <c r="M14" i="44"/>
  <c r="K14" i="44"/>
  <c r="J14" i="44"/>
  <c r="I14" i="44"/>
  <c r="G14" i="44"/>
  <c r="F14" i="44"/>
  <c r="E14" i="44"/>
  <c r="C14" i="44"/>
  <c r="B14" i="44"/>
  <c r="Q13" i="44"/>
  <c r="O13" i="44"/>
  <c r="N13" i="44"/>
  <c r="M13" i="44"/>
  <c r="K13" i="44"/>
  <c r="J13" i="44"/>
  <c r="I13" i="44"/>
  <c r="G13" i="44"/>
  <c r="F13" i="44"/>
  <c r="E13" i="44"/>
  <c r="C13" i="44"/>
  <c r="B13" i="44"/>
  <c r="Q12" i="44"/>
  <c r="O12" i="44"/>
  <c r="N12" i="44"/>
  <c r="M12" i="44"/>
  <c r="K12" i="44"/>
  <c r="J12" i="44"/>
  <c r="I12" i="44"/>
  <c r="G12" i="44"/>
  <c r="F12" i="44"/>
  <c r="E12" i="44"/>
  <c r="C12" i="44"/>
  <c r="B12" i="44"/>
  <c r="Q11" i="44"/>
  <c r="O11" i="44"/>
  <c r="N11" i="44"/>
  <c r="M11" i="44"/>
  <c r="K11" i="44"/>
  <c r="J11" i="44"/>
  <c r="I11" i="44"/>
  <c r="G11" i="44"/>
  <c r="F11" i="44"/>
  <c r="E11" i="44"/>
  <c r="C11" i="44"/>
  <c r="B11" i="44"/>
  <c r="Q10" i="44"/>
  <c r="O10" i="44"/>
  <c r="N10" i="44"/>
  <c r="M10" i="44"/>
  <c r="K10" i="44"/>
  <c r="J10" i="44"/>
  <c r="I10" i="44"/>
  <c r="G10" i="44"/>
  <c r="F10" i="44"/>
  <c r="E10" i="44"/>
  <c r="C10" i="44"/>
  <c r="B10" i="44"/>
  <c r="Q9" i="44"/>
  <c r="O9" i="44"/>
  <c r="N9" i="44"/>
  <c r="M9" i="44"/>
  <c r="K9" i="44"/>
  <c r="J9" i="44"/>
  <c r="I9" i="44"/>
  <c r="G9" i="44"/>
  <c r="F9" i="44"/>
  <c r="E9" i="44"/>
  <c r="C9" i="44"/>
  <c r="B9" i="44"/>
  <c r="Q8" i="44"/>
  <c r="O8" i="44"/>
  <c r="N8" i="44"/>
  <c r="M8" i="44"/>
  <c r="K8" i="44"/>
  <c r="J8" i="44"/>
  <c r="I8" i="44"/>
  <c r="G8" i="44"/>
  <c r="F8" i="44"/>
  <c r="E8" i="44"/>
  <c r="C8" i="44"/>
  <c r="B8" i="44"/>
  <c r="Q7" i="44"/>
  <c r="O7" i="44"/>
  <c r="N7" i="44"/>
  <c r="M7" i="44"/>
  <c r="K7" i="44"/>
  <c r="J7" i="44"/>
  <c r="I7" i="44"/>
  <c r="G7" i="44"/>
  <c r="F7" i="44"/>
  <c r="E7" i="44"/>
  <c r="C7" i="44"/>
  <c r="B7" i="44"/>
  <c r="Q6" i="44"/>
  <c r="O6" i="44"/>
  <c r="N6" i="44"/>
  <c r="M6" i="44"/>
  <c r="K6" i="44"/>
  <c r="J6" i="44"/>
  <c r="I6" i="44"/>
  <c r="G6" i="44"/>
  <c r="F6" i="44"/>
  <c r="E6" i="44"/>
  <c r="C6" i="44"/>
  <c r="B6" i="44"/>
  <c r="Q5" i="44"/>
  <c r="O5" i="44"/>
  <c r="N5" i="44"/>
  <c r="M5" i="44"/>
  <c r="K5" i="44"/>
  <c r="J5" i="44"/>
  <c r="I5" i="44"/>
  <c r="G5" i="44"/>
  <c r="F5" i="44"/>
  <c r="E5" i="44"/>
  <c r="E15" i="44" s="1"/>
  <c r="C5" i="44"/>
  <c r="B5" i="44"/>
  <c r="A2" i="44"/>
  <c r="Q266" i="42"/>
  <c r="O266" i="42"/>
  <c r="N266" i="42"/>
  <c r="M266" i="42"/>
  <c r="K266" i="42"/>
  <c r="J266" i="42"/>
  <c r="I266" i="42"/>
  <c r="G266" i="42"/>
  <c r="F266" i="42"/>
  <c r="E266" i="42"/>
  <c r="C266" i="42"/>
  <c r="B266" i="42"/>
  <c r="Q265" i="42"/>
  <c r="O265" i="42"/>
  <c r="N265" i="42"/>
  <c r="M265" i="42"/>
  <c r="K265" i="42"/>
  <c r="J265" i="42"/>
  <c r="I265" i="42"/>
  <c r="G265" i="42"/>
  <c r="F265" i="42"/>
  <c r="E265" i="42"/>
  <c r="C265" i="42"/>
  <c r="B265" i="42"/>
  <c r="Q264" i="42"/>
  <c r="O264" i="42"/>
  <c r="N264" i="42"/>
  <c r="M264" i="42"/>
  <c r="K264" i="42"/>
  <c r="J264" i="42"/>
  <c r="I264" i="42"/>
  <c r="G264" i="42"/>
  <c r="F264" i="42"/>
  <c r="E264" i="42"/>
  <c r="C264" i="42"/>
  <c r="B264" i="42"/>
  <c r="Q263" i="42"/>
  <c r="O263" i="42"/>
  <c r="N263" i="42"/>
  <c r="M263" i="42"/>
  <c r="K263" i="42"/>
  <c r="J263" i="42"/>
  <c r="I263" i="42"/>
  <c r="G263" i="42"/>
  <c r="F263" i="42"/>
  <c r="E263" i="42"/>
  <c r="C263" i="42"/>
  <c r="B263" i="42"/>
  <c r="Q262" i="42"/>
  <c r="O262" i="42"/>
  <c r="N262" i="42"/>
  <c r="M262" i="42"/>
  <c r="K262" i="42"/>
  <c r="J262" i="42"/>
  <c r="I262" i="42"/>
  <c r="G262" i="42"/>
  <c r="F262" i="42"/>
  <c r="E262" i="42"/>
  <c r="C262" i="42"/>
  <c r="B262" i="42"/>
  <c r="Q261" i="42"/>
  <c r="O261" i="42"/>
  <c r="N261" i="42"/>
  <c r="M261" i="42"/>
  <c r="K261" i="42"/>
  <c r="J261" i="42"/>
  <c r="I261" i="42"/>
  <c r="G261" i="42"/>
  <c r="F261" i="42"/>
  <c r="E261" i="42"/>
  <c r="C261" i="42"/>
  <c r="B261" i="42"/>
  <c r="Q260" i="42"/>
  <c r="O260" i="42"/>
  <c r="N260" i="42"/>
  <c r="M260" i="42"/>
  <c r="K260" i="42"/>
  <c r="J260" i="42"/>
  <c r="I260" i="42"/>
  <c r="G260" i="42"/>
  <c r="F260" i="42"/>
  <c r="E260" i="42"/>
  <c r="C260" i="42"/>
  <c r="B260" i="42"/>
  <c r="Q259" i="42"/>
  <c r="O259" i="42"/>
  <c r="N259" i="42"/>
  <c r="M259" i="42"/>
  <c r="K259" i="42"/>
  <c r="J259" i="42"/>
  <c r="I259" i="42"/>
  <c r="G259" i="42"/>
  <c r="F259" i="42"/>
  <c r="E259" i="42"/>
  <c r="C259" i="42"/>
  <c r="B259" i="42"/>
  <c r="Q258" i="42"/>
  <c r="O258" i="42"/>
  <c r="N258" i="42"/>
  <c r="M258" i="42"/>
  <c r="K258" i="42"/>
  <c r="J258" i="42"/>
  <c r="I258" i="42"/>
  <c r="G258" i="42"/>
  <c r="F258" i="42"/>
  <c r="E258" i="42"/>
  <c r="C258" i="42"/>
  <c r="B258" i="42"/>
  <c r="Q257" i="42"/>
  <c r="O257" i="42"/>
  <c r="N257" i="42"/>
  <c r="M257" i="42"/>
  <c r="K257" i="42"/>
  <c r="J257" i="42"/>
  <c r="I257" i="42"/>
  <c r="G257" i="42"/>
  <c r="F257" i="42"/>
  <c r="E257" i="42"/>
  <c r="C257" i="42"/>
  <c r="B257" i="42"/>
  <c r="N249" i="42"/>
  <c r="J249" i="42"/>
  <c r="F249" i="42"/>
  <c r="B249" i="42"/>
  <c r="N248" i="42"/>
  <c r="J248" i="42"/>
  <c r="F248" i="42"/>
  <c r="B248" i="42"/>
  <c r="N247" i="42"/>
  <c r="J247" i="42"/>
  <c r="F247" i="42"/>
  <c r="B247" i="42"/>
  <c r="N246" i="42"/>
  <c r="J246" i="42"/>
  <c r="F246" i="42"/>
  <c r="B246" i="42"/>
  <c r="N245" i="42"/>
  <c r="J245" i="42"/>
  <c r="F245" i="42"/>
  <c r="B245" i="42"/>
  <c r="N244" i="42"/>
  <c r="J244" i="42"/>
  <c r="F244" i="42"/>
  <c r="B244" i="42"/>
  <c r="N243" i="42"/>
  <c r="J243" i="42"/>
  <c r="F243" i="42"/>
  <c r="B243" i="42"/>
  <c r="N242" i="42"/>
  <c r="J242" i="42"/>
  <c r="F242" i="42"/>
  <c r="B242" i="42"/>
  <c r="N241" i="42"/>
  <c r="J241" i="42"/>
  <c r="F241" i="42"/>
  <c r="B241" i="42"/>
  <c r="N240" i="42"/>
  <c r="J240" i="42"/>
  <c r="F240" i="42"/>
  <c r="B240" i="42"/>
  <c r="N234" i="42"/>
  <c r="J234" i="42"/>
  <c r="F234" i="42"/>
  <c r="B234" i="42"/>
  <c r="N233" i="42"/>
  <c r="J233" i="42"/>
  <c r="F233" i="42"/>
  <c r="B233" i="42"/>
  <c r="N232" i="42"/>
  <c r="J232" i="42"/>
  <c r="F232" i="42"/>
  <c r="B232" i="42"/>
  <c r="N231" i="42"/>
  <c r="J231" i="42"/>
  <c r="F231" i="42"/>
  <c r="B231" i="42"/>
  <c r="N230" i="42"/>
  <c r="J230" i="42"/>
  <c r="F230" i="42"/>
  <c r="B230" i="42"/>
  <c r="N229" i="42"/>
  <c r="J229" i="42"/>
  <c r="F229" i="42"/>
  <c r="B229" i="42"/>
  <c r="N228" i="42"/>
  <c r="J228" i="42"/>
  <c r="F228" i="42"/>
  <c r="B228" i="42"/>
  <c r="N227" i="42"/>
  <c r="J227" i="42"/>
  <c r="F227" i="42"/>
  <c r="B227" i="42"/>
  <c r="N226" i="42"/>
  <c r="J226" i="42"/>
  <c r="F226" i="42"/>
  <c r="B226" i="42"/>
  <c r="N225" i="42"/>
  <c r="J225" i="42"/>
  <c r="F225" i="42"/>
  <c r="B225" i="42"/>
  <c r="H219" i="42"/>
  <c r="Q202" i="42"/>
  <c r="O202" i="42"/>
  <c r="N202" i="42"/>
  <c r="M202" i="42"/>
  <c r="K202" i="42"/>
  <c r="J202" i="42"/>
  <c r="I202" i="42"/>
  <c r="G202" i="42"/>
  <c r="F202" i="42"/>
  <c r="E202" i="42"/>
  <c r="C202" i="42"/>
  <c r="B202" i="42"/>
  <c r="Q201" i="42"/>
  <c r="O201" i="42"/>
  <c r="N201" i="42"/>
  <c r="M201" i="42"/>
  <c r="K201" i="42"/>
  <c r="J201" i="42"/>
  <c r="I201" i="42"/>
  <c r="G201" i="42"/>
  <c r="F201" i="42"/>
  <c r="E201" i="42"/>
  <c r="C201" i="42"/>
  <c r="B201" i="42"/>
  <c r="Q200" i="42"/>
  <c r="O200" i="42"/>
  <c r="N200" i="42"/>
  <c r="M200" i="42"/>
  <c r="K200" i="42"/>
  <c r="J200" i="42"/>
  <c r="I200" i="42"/>
  <c r="G200" i="42"/>
  <c r="F200" i="42"/>
  <c r="E200" i="42"/>
  <c r="C200" i="42"/>
  <c r="B200" i="42"/>
  <c r="Q199" i="42"/>
  <c r="O199" i="42"/>
  <c r="N199" i="42"/>
  <c r="M199" i="42"/>
  <c r="K199" i="42"/>
  <c r="J199" i="42"/>
  <c r="I199" i="42"/>
  <c r="G199" i="42"/>
  <c r="G295" i="42" s="1"/>
  <c r="F199" i="42"/>
  <c r="E199" i="42"/>
  <c r="C199" i="42"/>
  <c r="B199" i="42"/>
  <c r="Q198" i="42"/>
  <c r="O198" i="42"/>
  <c r="N198" i="42"/>
  <c r="M198" i="42"/>
  <c r="K198" i="42"/>
  <c r="J198" i="42"/>
  <c r="I198" i="42"/>
  <c r="G198" i="42"/>
  <c r="F198" i="42"/>
  <c r="E198" i="42"/>
  <c r="C198" i="42"/>
  <c r="B198" i="42"/>
  <c r="Q197" i="42"/>
  <c r="O197" i="42"/>
  <c r="O293" i="42" s="1"/>
  <c r="N197" i="42"/>
  <c r="M197" i="42"/>
  <c r="K197" i="42"/>
  <c r="J197" i="42"/>
  <c r="I197" i="42"/>
  <c r="G197" i="42"/>
  <c r="F197" i="42"/>
  <c r="E197" i="42"/>
  <c r="C197" i="42"/>
  <c r="B197" i="42"/>
  <c r="Q196" i="42"/>
  <c r="O196" i="42"/>
  <c r="N196" i="42"/>
  <c r="M196" i="42"/>
  <c r="K196" i="42"/>
  <c r="J196" i="42"/>
  <c r="I196" i="42"/>
  <c r="G196" i="42"/>
  <c r="G292" i="42" s="1"/>
  <c r="F196" i="42"/>
  <c r="E196" i="42"/>
  <c r="C196" i="42"/>
  <c r="B196" i="42"/>
  <c r="Q195" i="42"/>
  <c r="O195" i="42"/>
  <c r="N195" i="42"/>
  <c r="M195" i="42"/>
  <c r="K195" i="42"/>
  <c r="J195" i="42"/>
  <c r="I195" i="42"/>
  <c r="G195" i="42"/>
  <c r="F195" i="42"/>
  <c r="E195" i="42"/>
  <c r="C195" i="42"/>
  <c r="B195" i="42"/>
  <c r="Q194" i="42"/>
  <c r="O194" i="42"/>
  <c r="N194" i="42"/>
  <c r="M194" i="42"/>
  <c r="K194" i="42"/>
  <c r="J194" i="42"/>
  <c r="I194" i="42"/>
  <c r="G194" i="42"/>
  <c r="G290" i="42" s="1"/>
  <c r="F194" i="42"/>
  <c r="E194" i="42"/>
  <c r="C194" i="42"/>
  <c r="B194" i="42"/>
  <c r="Q193" i="42"/>
  <c r="O193" i="42"/>
  <c r="N193" i="42"/>
  <c r="M193" i="42"/>
  <c r="K193" i="42"/>
  <c r="J193" i="42"/>
  <c r="I193" i="42"/>
  <c r="G193" i="42"/>
  <c r="F193" i="42"/>
  <c r="E193" i="42"/>
  <c r="C193" i="42"/>
  <c r="B193" i="42"/>
  <c r="Q139" i="42"/>
  <c r="O139" i="42"/>
  <c r="N139" i="42"/>
  <c r="M139" i="42"/>
  <c r="K139" i="42"/>
  <c r="J139" i="42"/>
  <c r="I139" i="42"/>
  <c r="G139" i="42"/>
  <c r="F139" i="42"/>
  <c r="E139" i="42"/>
  <c r="C139" i="42"/>
  <c r="B139" i="42"/>
  <c r="Q138" i="42"/>
  <c r="O138" i="42"/>
  <c r="N138" i="42"/>
  <c r="M138" i="42"/>
  <c r="K138" i="42"/>
  <c r="J138" i="42"/>
  <c r="I138" i="42"/>
  <c r="G138" i="42"/>
  <c r="F138" i="42"/>
  <c r="E138" i="42"/>
  <c r="C138" i="42"/>
  <c r="B138" i="42"/>
  <c r="Q137" i="42"/>
  <c r="O137" i="42"/>
  <c r="N137" i="42"/>
  <c r="M137" i="42"/>
  <c r="K137" i="42"/>
  <c r="J137" i="42"/>
  <c r="I137" i="42"/>
  <c r="G137" i="42"/>
  <c r="F137" i="42"/>
  <c r="E137" i="42"/>
  <c r="C137" i="42"/>
  <c r="B137" i="42"/>
  <c r="Q136" i="42"/>
  <c r="O136" i="42"/>
  <c r="N136" i="42"/>
  <c r="M136" i="42"/>
  <c r="K136" i="42"/>
  <c r="J136" i="42"/>
  <c r="I136" i="42"/>
  <c r="G136" i="42"/>
  <c r="F136" i="42"/>
  <c r="E136" i="42"/>
  <c r="C136" i="42"/>
  <c r="B136" i="42"/>
  <c r="Q135" i="42"/>
  <c r="O135" i="42"/>
  <c r="N135" i="42"/>
  <c r="M135" i="42"/>
  <c r="K135" i="42"/>
  <c r="J135" i="42"/>
  <c r="I135" i="42"/>
  <c r="G135" i="42"/>
  <c r="F135" i="42"/>
  <c r="E135" i="42"/>
  <c r="C135" i="42"/>
  <c r="B135" i="42"/>
  <c r="Q134" i="42"/>
  <c r="O134" i="42"/>
  <c r="N134" i="42"/>
  <c r="M134" i="42"/>
  <c r="K134" i="42"/>
  <c r="J134" i="42"/>
  <c r="I134" i="42"/>
  <c r="G134" i="42"/>
  <c r="F134" i="42"/>
  <c r="E134" i="42"/>
  <c r="C134" i="42"/>
  <c r="B134" i="42"/>
  <c r="Q133" i="42"/>
  <c r="O133" i="42"/>
  <c r="N133" i="42"/>
  <c r="M133" i="42"/>
  <c r="K133" i="42"/>
  <c r="J133" i="42"/>
  <c r="I133" i="42"/>
  <c r="G133" i="42"/>
  <c r="F133" i="42"/>
  <c r="E133" i="42"/>
  <c r="C133" i="42"/>
  <c r="B133" i="42"/>
  <c r="Q132" i="42"/>
  <c r="O132" i="42"/>
  <c r="N132" i="42"/>
  <c r="M132" i="42"/>
  <c r="K132" i="42"/>
  <c r="J132" i="42"/>
  <c r="I132" i="42"/>
  <c r="G132" i="42"/>
  <c r="F132" i="42"/>
  <c r="E132" i="42"/>
  <c r="C132" i="42"/>
  <c r="B132" i="42"/>
  <c r="Q131" i="42"/>
  <c r="O131" i="42"/>
  <c r="N131" i="42"/>
  <c r="M131" i="42"/>
  <c r="K131" i="42"/>
  <c r="J131" i="42"/>
  <c r="I131" i="42"/>
  <c r="G131" i="42"/>
  <c r="F131" i="42"/>
  <c r="E131" i="42"/>
  <c r="C131" i="42"/>
  <c r="B131" i="42"/>
  <c r="Q130" i="42"/>
  <c r="O130" i="42"/>
  <c r="N130" i="42"/>
  <c r="M130" i="42"/>
  <c r="K130" i="42"/>
  <c r="J130" i="42"/>
  <c r="I130" i="42"/>
  <c r="G130" i="42"/>
  <c r="F130" i="42"/>
  <c r="E130" i="42"/>
  <c r="C130" i="42"/>
  <c r="B130" i="42"/>
  <c r="Q77" i="42"/>
  <c r="O77" i="42"/>
  <c r="N77" i="42"/>
  <c r="M77" i="42"/>
  <c r="K77" i="42"/>
  <c r="J77" i="42"/>
  <c r="I77" i="42"/>
  <c r="G77" i="42"/>
  <c r="F77" i="42"/>
  <c r="E77" i="42"/>
  <c r="C77" i="42"/>
  <c r="B77" i="42"/>
  <c r="Q76" i="42"/>
  <c r="O76" i="42"/>
  <c r="N76" i="42"/>
  <c r="M76" i="42"/>
  <c r="K76" i="42"/>
  <c r="J76" i="42"/>
  <c r="I76" i="42"/>
  <c r="G76" i="42"/>
  <c r="F76" i="42"/>
  <c r="E76" i="42"/>
  <c r="C76" i="42"/>
  <c r="B76" i="42"/>
  <c r="Q75" i="42"/>
  <c r="O75" i="42"/>
  <c r="N75" i="42"/>
  <c r="M75" i="42"/>
  <c r="K75" i="42"/>
  <c r="J75" i="42"/>
  <c r="I75" i="42"/>
  <c r="G75" i="42"/>
  <c r="F75" i="42"/>
  <c r="E75" i="42"/>
  <c r="C75" i="42"/>
  <c r="B75" i="42"/>
  <c r="Q74" i="42"/>
  <c r="O74" i="42"/>
  <c r="N74" i="42"/>
  <c r="M74" i="42"/>
  <c r="K74" i="42"/>
  <c r="J74" i="42"/>
  <c r="I74" i="42"/>
  <c r="G74" i="42"/>
  <c r="F74" i="42"/>
  <c r="E74" i="42"/>
  <c r="C74" i="42"/>
  <c r="B74" i="42"/>
  <c r="Q73" i="42"/>
  <c r="O73" i="42"/>
  <c r="N73" i="42"/>
  <c r="M73" i="42"/>
  <c r="K73" i="42"/>
  <c r="J73" i="42"/>
  <c r="I73" i="42"/>
  <c r="G73" i="42"/>
  <c r="F73" i="42"/>
  <c r="E73" i="42"/>
  <c r="C73" i="42"/>
  <c r="B73" i="42"/>
  <c r="Q72" i="42"/>
  <c r="O72" i="42"/>
  <c r="N72" i="42"/>
  <c r="M72" i="42"/>
  <c r="K72" i="42"/>
  <c r="J72" i="42"/>
  <c r="I72" i="42"/>
  <c r="G72" i="42"/>
  <c r="F72" i="42"/>
  <c r="E72" i="42"/>
  <c r="C72" i="42"/>
  <c r="B72" i="42"/>
  <c r="Q71" i="42"/>
  <c r="O71" i="42"/>
  <c r="N71" i="42"/>
  <c r="M71" i="42"/>
  <c r="K71" i="42"/>
  <c r="J71" i="42"/>
  <c r="I71" i="42"/>
  <c r="G71" i="42"/>
  <c r="F71" i="42"/>
  <c r="E71" i="42"/>
  <c r="C71" i="42"/>
  <c r="B71" i="42"/>
  <c r="Q70" i="42"/>
  <c r="O70" i="42"/>
  <c r="N70" i="42"/>
  <c r="M70" i="42"/>
  <c r="K70" i="42"/>
  <c r="J70" i="42"/>
  <c r="I70" i="42"/>
  <c r="G70" i="42"/>
  <c r="F70" i="42"/>
  <c r="E70" i="42"/>
  <c r="C70" i="42"/>
  <c r="B70" i="42"/>
  <c r="Q69" i="42"/>
  <c r="O69" i="42"/>
  <c r="N69" i="42"/>
  <c r="M69" i="42"/>
  <c r="K69" i="42"/>
  <c r="J69" i="42"/>
  <c r="I69" i="42"/>
  <c r="G69" i="42"/>
  <c r="F69" i="42"/>
  <c r="E69" i="42"/>
  <c r="C69" i="42"/>
  <c r="B69" i="42"/>
  <c r="Q68" i="42"/>
  <c r="O68" i="42"/>
  <c r="N68" i="42"/>
  <c r="M68" i="42"/>
  <c r="K68" i="42"/>
  <c r="J68" i="42"/>
  <c r="I68" i="42"/>
  <c r="G68" i="42"/>
  <c r="F68" i="42"/>
  <c r="E68" i="42"/>
  <c r="C68" i="42"/>
  <c r="B68" i="42"/>
  <c r="A49" i="42"/>
  <c r="A205" i="42" s="1"/>
  <c r="A34" i="42"/>
  <c r="A34" i="44" s="1"/>
  <c r="A66" i="44" s="1"/>
  <c r="A97" i="44" s="1"/>
  <c r="A128" i="44" s="1"/>
  <c r="A159" i="44" s="1"/>
  <c r="Q14" i="42"/>
  <c r="O14" i="42"/>
  <c r="N14" i="42"/>
  <c r="M14" i="42"/>
  <c r="K14" i="42"/>
  <c r="J14" i="42"/>
  <c r="I14" i="42"/>
  <c r="G14" i="42"/>
  <c r="F14" i="42"/>
  <c r="E14" i="42"/>
  <c r="C14" i="42"/>
  <c r="B14" i="42"/>
  <c r="Q13" i="42"/>
  <c r="O13" i="42"/>
  <c r="N13" i="42"/>
  <c r="M13" i="42"/>
  <c r="K13" i="42"/>
  <c r="J13" i="42"/>
  <c r="I13" i="42"/>
  <c r="G13" i="42"/>
  <c r="F13" i="42"/>
  <c r="E13" i="42"/>
  <c r="C13" i="42"/>
  <c r="B13" i="42"/>
  <c r="Q12" i="42"/>
  <c r="O12" i="42"/>
  <c r="N12" i="42"/>
  <c r="M12" i="42"/>
  <c r="K12" i="42"/>
  <c r="J12" i="42"/>
  <c r="I12" i="42"/>
  <c r="G12" i="42"/>
  <c r="F12" i="42"/>
  <c r="E12" i="42"/>
  <c r="C12" i="42"/>
  <c r="B12" i="42"/>
  <c r="Q11" i="42"/>
  <c r="O11" i="42"/>
  <c r="N11" i="42"/>
  <c r="M11" i="42"/>
  <c r="K11" i="42"/>
  <c r="J11" i="42"/>
  <c r="I11" i="42"/>
  <c r="G11" i="42"/>
  <c r="F11" i="42"/>
  <c r="E11" i="42"/>
  <c r="C11" i="42"/>
  <c r="B11" i="42"/>
  <c r="Q10" i="42"/>
  <c r="O10" i="42"/>
  <c r="N10" i="42"/>
  <c r="M10" i="42"/>
  <c r="K10" i="42"/>
  <c r="J10" i="42"/>
  <c r="I10" i="42"/>
  <c r="G10" i="42"/>
  <c r="F10" i="42"/>
  <c r="E10" i="42"/>
  <c r="C10" i="42"/>
  <c r="B10" i="42"/>
  <c r="Q9" i="42"/>
  <c r="O9" i="42"/>
  <c r="N9" i="42"/>
  <c r="M9" i="42"/>
  <c r="K9" i="42"/>
  <c r="J9" i="42"/>
  <c r="I9" i="42"/>
  <c r="G9" i="42"/>
  <c r="F9" i="42"/>
  <c r="E9" i="42"/>
  <c r="C9" i="42"/>
  <c r="B9" i="42"/>
  <c r="Q8" i="42"/>
  <c r="O8" i="42"/>
  <c r="N8" i="42"/>
  <c r="M8" i="42"/>
  <c r="K8" i="42"/>
  <c r="J8" i="42"/>
  <c r="I8" i="42"/>
  <c r="G8" i="42"/>
  <c r="F8" i="42"/>
  <c r="E8" i="42"/>
  <c r="C8" i="42"/>
  <c r="B8" i="42"/>
  <c r="Q7" i="42"/>
  <c r="O7" i="42"/>
  <c r="N7" i="42"/>
  <c r="M7" i="42"/>
  <c r="K7" i="42"/>
  <c r="J7" i="42"/>
  <c r="I7" i="42"/>
  <c r="G7" i="42"/>
  <c r="F7" i="42"/>
  <c r="E7" i="42"/>
  <c r="C7" i="42"/>
  <c r="B7" i="42"/>
  <c r="Q6" i="42"/>
  <c r="O6" i="42"/>
  <c r="N6" i="42"/>
  <c r="M6" i="42"/>
  <c r="K6" i="42"/>
  <c r="J6" i="42"/>
  <c r="I6" i="42"/>
  <c r="G6" i="42"/>
  <c r="F6" i="42"/>
  <c r="E6" i="42"/>
  <c r="C6" i="42"/>
  <c r="B6" i="42"/>
  <c r="Q5" i="42"/>
  <c r="O5" i="42"/>
  <c r="N5" i="42"/>
  <c r="M5" i="42"/>
  <c r="K5" i="42"/>
  <c r="J5" i="42"/>
  <c r="I5" i="42"/>
  <c r="G5" i="42"/>
  <c r="F5" i="42"/>
  <c r="E5" i="42"/>
  <c r="C5" i="42"/>
  <c r="B5" i="42"/>
  <c r="T202" i="198"/>
  <c r="S202" i="198"/>
  <c r="R202" i="198"/>
  <c r="Q202" i="198"/>
  <c r="E202" i="198"/>
  <c r="D202" i="198"/>
  <c r="C202" i="198"/>
  <c r="B202" i="198"/>
  <c r="V201" i="198"/>
  <c r="U201" i="198"/>
  <c r="W201" i="198" s="1"/>
  <c r="X201" i="198" s="1"/>
  <c r="G201" i="198"/>
  <c r="F201" i="198"/>
  <c r="V200" i="198"/>
  <c r="U200" i="198"/>
  <c r="G200" i="198"/>
  <c r="F200" i="198"/>
  <c r="V199" i="198"/>
  <c r="U199" i="198"/>
  <c r="G199" i="198"/>
  <c r="F199" i="198"/>
  <c r="V198" i="198"/>
  <c r="U198" i="198"/>
  <c r="W198" i="198" s="1"/>
  <c r="X198" i="198" s="1"/>
  <c r="G198" i="198"/>
  <c r="F198" i="198"/>
  <c r="V197" i="198"/>
  <c r="U197" i="198"/>
  <c r="G197" i="198"/>
  <c r="F197" i="198"/>
  <c r="V196" i="198"/>
  <c r="U196" i="198"/>
  <c r="G196" i="198"/>
  <c r="F196" i="198"/>
  <c r="H196" i="198" s="1"/>
  <c r="I196" i="198" s="1"/>
  <c r="V195" i="198"/>
  <c r="U195" i="198"/>
  <c r="G195" i="198"/>
  <c r="F195" i="198"/>
  <c r="V194" i="198"/>
  <c r="U194" i="198"/>
  <c r="G194" i="198"/>
  <c r="F194" i="198"/>
  <c r="V193" i="198"/>
  <c r="U193" i="198"/>
  <c r="G193" i="198"/>
  <c r="H193" i="198" s="1"/>
  <c r="I193" i="198" s="1"/>
  <c r="F193" i="198"/>
  <c r="V192" i="198"/>
  <c r="U192" i="198"/>
  <c r="G192" i="198"/>
  <c r="F192" i="198"/>
  <c r="T185" i="198"/>
  <c r="S185" i="198"/>
  <c r="R185" i="198"/>
  <c r="Q185" i="198"/>
  <c r="E185" i="198"/>
  <c r="D185" i="198"/>
  <c r="C185" i="198"/>
  <c r="B185" i="198"/>
  <c r="V184" i="198"/>
  <c r="U184" i="198"/>
  <c r="G184" i="198"/>
  <c r="F184" i="198"/>
  <c r="V183" i="198"/>
  <c r="U183" i="198"/>
  <c r="G183" i="198"/>
  <c r="F183" i="198"/>
  <c r="V182" i="198"/>
  <c r="U182" i="198"/>
  <c r="G182" i="198"/>
  <c r="F182" i="198"/>
  <c r="V181" i="198"/>
  <c r="U181" i="198"/>
  <c r="G181" i="198"/>
  <c r="F181" i="198"/>
  <c r="V180" i="198"/>
  <c r="U180" i="198"/>
  <c r="G180" i="198"/>
  <c r="F180" i="198"/>
  <c r="V179" i="198"/>
  <c r="U179" i="198"/>
  <c r="G179" i="198"/>
  <c r="F179" i="198"/>
  <c r="V178" i="198"/>
  <c r="U178" i="198"/>
  <c r="G178" i="198"/>
  <c r="F178" i="198"/>
  <c r="V177" i="198"/>
  <c r="U177" i="198"/>
  <c r="W177" i="198" s="1"/>
  <c r="X177" i="198" s="1"/>
  <c r="G177" i="198"/>
  <c r="F177" i="198"/>
  <c r="V176" i="198"/>
  <c r="U176" i="198"/>
  <c r="G176" i="198"/>
  <c r="F176" i="198"/>
  <c r="V175" i="198"/>
  <c r="U175" i="198"/>
  <c r="G175" i="198"/>
  <c r="F175" i="198"/>
  <c r="T168" i="198"/>
  <c r="S168" i="198"/>
  <c r="R168" i="198"/>
  <c r="Q168" i="198"/>
  <c r="E168" i="198"/>
  <c r="D168" i="198"/>
  <c r="C168" i="198"/>
  <c r="B168" i="198"/>
  <c r="V167" i="198"/>
  <c r="U167" i="198"/>
  <c r="G167" i="198"/>
  <c r="F167" i="198"/>
  <c r="V166" i="198"/>
  <c r="U166" i="198"/>
  <c r="G166" i="198"/>
  <c r="F166" i="198"/>
  <c r="V165" i="198"/>
  <c r="U165" i="198"/>
  <c r="G165" i="198"/>
  <c r="F165" i="198"/>
  <c r="V164" i="198"/>
  <c r="U164" i="198"/>
  <c r="G164" i="198"/>
  <c r="F164" i="198"/>
  <c r="V163" i="198"/>
  <c r="U163" i="198"/>
  <c r="G163" i="198"/>
  <c r="F163" i="198"/>
  <c r="V162" i="198"/>
  <c r="U162" i="198"/>
  <c r="G162" i="198"/>
  <c r="F162" i="198"/>
  <c r="V161" i="198"/>
  <c r="U161" i="198"/>
  <c r="G161" i="198"/>
  <c r="F161" i="198"/>
  <c r="V160" i="198"/>
  <c r="U160" i="198"/>
  <c r="G160" i="198"/>
  <c r="F160" i="198"/>
  <c r="V159" i="198"/>
  <c r="U159" i="198"/>
  <c r="G159" i="198"/>
  <c r="F159" i="198"/>
  <c r="V158" i="198"/>
  <c r="U158" i="198"/>
  <c r="G158" i="198"/>
  <c r="F158" i="198"/>
  <c r="T151" i="198"/>
  <c r="S151" i="198"/>
  <c r="R151" i="198"/>
  <c r="Q151" i="198"/>
  <c r="E151" i="198"/>
  <c r="D151" i="198"/>
  <c r="C151" i="198"/>
  <c r="B151" i="198"/>
  <c r="V150" i="198"/>
  <c r="U150" i="198"/>
  <c r="G150" i="198"/>
  <c r="F150" i="198"/>
  <c r="V149" i="198"/>
  <c r="U149" i="198"/>
  <c r="W149" i="198" s="1"/>
  <c r="X149" i="198" s="1"/>
  <c r="G149" i="198"/>
  <c r="F149" i="198"/>
  <c r="V148" i="198"/>
  <c r="U148" i="198"/>
  <c r="G148" i="198"/>
  <c r="F148" i="198"/>
  <c r="V147" i="198"/>
  <c r="U147" i="198"/>
  <c r="W147" i="198" s="1"/>
  <c r="X147" i="198" s="1"/>
  <c r="G147" i="198"/>
  <c r="F147" i="198"/>
  <c r="V146" i="198"/>
  <c r="U146" i="198"/>
  <c r="G146" i="198"/>
  <c r="F146" i="198"/>
  <c r="V145" i="198"/>
  <c r="U145" i="198"/>
  <c r="W145" i="198" s="1"/>
  <c r="X145" i="198" s="1"/>
  <c r="G145" i="198"/>
  <c r="F145" i="198"/>
  <c r="V144" i="198"/>
  <c r="U144" i="198"/>
  <c r="W144" i="198" s="1"/>
  <c r="X144" i="198" s="1"/>
  <c r="G144" i="198"/>
  <c r="F144" i="198"/>
  <c r="V143" i="198"/>
  <c r="U143" i="198"/>
  <c r="G143" i="198"/>
  <c r="F143" i="198"/>
  <c r="V142" i="198"/>
  <c r="U142" i="198"/>
  <c r="G142" i="198"/>
  <c r="F142" i="198"/>
  <c r="V141" i="198"/>
  <c r="U141" i="198"/>
  <c r="G141" i="198"/>
  <c r="F141" i="198"/>
  <c r="T134" i="198"/>
  <c r="T228" i="198" s="1"/>
  <c r="S134" i="198"/>
  <c r="S228" i="198" s="1"/>
  <c r="R134" i="198"/>
  <c r="R228" i="198" s="1"/>
  <c r="Q134" i="198"/>
  <c r="Q228" i="198" s="1"/>
  <c r="E134" i="198"/>
  <c r="E228" i="198" s="1"/>
  <c r="D134" i="198"/>
  <c r="D228" i="198" s="1"/>
  <c r="C134" i="198"/>
  <c r="C228" i="198" s="1"/>
  <c r="B134" i="198"/>
  <c r="B228" i="198" s="1"/>
  <c r="V133" i="198"/>
  <c r="V227" i="198" s="1"/>
  <c r="U133" i="198"/>
  <c r="U227" i="198" s="1"/>
  <c r="G133" i="198"/>
  <c r="G227" i="198" s="1"/>
  <c r="F133" i="198"/>
  <c r="V132" i="198"/>
  <c r="V226" i="198" s="1"/>
  <c r="U132" i="198"/>
  <c r="G132" i="198"/>
  <c r="G226" i="198" s="1"/>
  <c r="F132" i="198"/>
  <c r="F226" i="198" s="1"/>
  <c r="V131" i="198"/>
  <c r="V225" i="198" s="1"/>
  <c r="U131" i="198"/>
  <c r="U225" i="198" s="1"/>
  <c r="G131" i="198"/>
  <c r="G225" i="198" s="1"/>
  <c r="F131" i="198"/>
  <c r="F225" i="198" s="1"/>
  <c r="V130" i="198"/>
  <c r="V224" i="198" s="1"/>
  <c r="U130" i="198"/>
  <c r="U224" i="198" s="1"/>
  <c r="G130" i="198"/>
  <c r="G224" i="198" s="1"/>
  <c r="F130" i="198"/>
  <c r="F224" i="198" s="1"/>
  <c r="V129" i="198"/>
  <c r="V223" i="198" s="1"/>
  <c r="U129" i="198"/>
  <c r="G129" i="198"/>
  <c r="G223" i="198" s="1"/>
  <c r="F129" i="198"/>
  <c r="V128" i="198"/>
  <c r="V222" i="198" s="1"/>
  <c r="U128" i="198"/>
  <c r="U222" i="198" s="1"/>
  <c r="G128" i="198"/>
  <c r="G222" i="198" s="1"/>
  <c r="F128" i="198"/>
  <c r="F222" i="198" s="1"/>
  <c r="V127" i="198"/>
  <c r="V221" i="198" s="1"/>
  <c r="U127" i="198"/>
  <c r="U221" i="198" s="1"/>
  <c r="G127" i="198"/>
  <c r="G221" i="198" s="1"/>
  <c r="F127" i="198"/>
  <c r="V126" i="198"/>
  <c r="V220" i="198" s="1"/>
  <c r="U126" i="198"/>
  <c r="G126" i="198"/>
  <c r="G220" i="198" s="1"/>
  <c r="F126" i="198"/>
  <c r="F220" i="198" s="1"/>
  <c r="V125" i="198"/>
  <c r="V219" i="198" s="1"/>
  <c r="U125" i="198"/>
  <c r="G125" i="198"/>
  <c r="G219" i="198" s="1"/>
  <c r="F125" i="198"/>
  <c r="F219" i="198" s="1"/>
  <c r="V124" i="198"/>
  <c r="V218" i="198" s="1"/>
  <c r="U124" i="198"/>
  <c r="G124" i="198"/>
  <c r="G218" i="198" s="1"/>
  <c r="F124" i="198"/>
  <c r="T117" i="198"/>
  <c r="S117" i="198"/>
  <c r="R117" i="198"/>
  <c r="Q117" i="198"/>
  <c r="E117" i="198"/>
  <c r="D117" i="198"/>
  <c r="C117" i="198"/>
  <c r="B117" i="198"/>
  <c r="V116" i="198"/>
  <c r="U116" i="198"/>
  <c r="G116" i="198"/>
  <c r="F116" i="198"/>
  <c r="V115" i="198"/>
  <c r="U115" i="198"/>
  <c r="G115" i="198"/>
  <c r="F115" i="198"/>
  <c r="V114" i="198"/>
  <c r="U114" i="198"/>
  <c r="G114" i="198"/>
  <c r="F114" i="198"/>
  <c r="V113" i="198"/>
  <c r="U113" i="198"/>
  <c r="W113" i="198" s="1"/>
  <c r="X113" i="198" s="1"/>
  <c r="G113" i="198"/>
  <c r="F113" i="198"/>
  <c r="H113" i="198" s="1"/>
  <c r="I113" i="198" s="1"/>
  <c r="V112" i="198"/>
  <c r="U112" i="198"/>
  <c r="W112" i="198" s="1"/>
  <c r="X112" i="198" s="1"/>
  <c r="G112" i="198"/>
  <c r="F112" i="198"/>
  <c r="V111" i="198"/>
  <c r="U111" i="198"/>
  <c r="G111" i="198"/>
  <c r="F111" i="198"/>
  <c r="V110" i="198"/>
  <c r="U110" i="198"/>
  <c r="G110" i="198"/>
  <c r="F110" i="198"/>
  <c r="V109" i="198"/>
  <c r="U109" i="198"/>
  <c r="G109" i="198"/>
  <c r="F109" i="198"/>
  <c r="V108" i="198"/>
  <c r="U108" i="198"/>
  <c r="G108" i="198"/>
  <c r="F108" i="198"/>
  <c r="V107" i="198"/>
  <c r="U107" i="198"/>
  <c r="W107" i="198" s="1"/>
  <c r="G107" i="198"/>
  <c r="F107" i="198"/>
  <c r="T100" i="198"/>
  <c r="S100" i="198"/>
  <c r="R100" i="198"/>
  <c r="Q100" i="198"/>
  <c r="E100" i="198"/>
  <c r="D100" i="198"/>
  <c r="C100" i="198"/>
  <c r="B100" i="198"/>
  <c r="V99" i="198"/>
  <c r="U99" i="198"/>
  <c r="W99" i="198" s="1"/>
  <c r="X99" i="198" s="1"/>
  <c r="G99" i="198"/>
  <c r="F99" i="198"/>
  <c r="V98" i="198"/>
  <c r="U98" i="198"/>
  <c r="W98" i="198" s="1"/>
  <c r="X98" i="198" s="1"/>
  <c r="G98" i="198"/>
  <c r="F98" i="198"/>
  <c r="V97" i="198"/>
  <c r="U97" i="198"/>
  <c r="W97" i="198" s="1"/>
  <c r="X97" i="198" s="1"/>
  <c r="G97" i="198"/>
  <c r="F97" i="198"/>
  <c r="V96" i="198"/>
  <c r="U96" i="198"/>
  <c r="G96" i="198"/>
  <c r="F96" i="198"/>
  <c r="V95" i="198"/>
  <c r="U95" i="198"/>
  <c r="G95" i="198"/>
  <c r="F95" i="198"/>
  <c r="V94" i="198"/>
  <c r="U94" i="198"/>
  <c r="W94" i="198" s="1"/>
  <c r="X94" i="198" s="1"/>
  <c r="G94" i="198"/>
  <c r="F94" i="198"/>
  <c r="V93" i="198"/>
  <c r="U93" i="198"/>
  <c r="G93" i="198"/>
  <c r="F93" i="198"/>
  <c r="V92" i="198"/>
  <c r="U92" i="198"/>
  <c r="G92" i="198"/>
  <c r="F92" i="198"/>
  <c r="V91" i="198"/>
  <c r="U91" i="198"/>
  <c r="W91" i="198" s="1"/>
  <c r="X91" i="198" s="1"/>
  <c r="G91" i="198"/>
  <c r="F91" i="198"/>
  <c r="V90" i="198"/>
  <c r="U90" i="198"/>
  <c r="G90" i="198"/>
  <c r="F90" i="198"/>
  <c r="T82" i="198"/>
  <c r="S82" i="198"/>
  <c r="R82" i="198"/>
  <c r="Q82" i="198"/>
  <c r="E82" i="198"/>
  <c r="D82" i="198"/>
  <c r="C82" i="198"/>
  <c r="B82" i="198"/>
  <c r="V81" i="198"/>
  <c r="U81" i="198"/>
  <c r="G81" i="198"/>
  <c r="F81" i="198"/>
  <c r="V80" i="198"/>
  <c r="U80" i="198"/>
  <c r="G80" i="198"/>
  <c r="F80" i="198"/>
  <c r="V79" i="198"/>
  <c r="U79" i="198"/>
  <c r="G79" i="198"/>
  <c r="F79" i="198"/>
  <c r="V78" i="198"/>
  <c r="U78" i="198"/>
  <c r="W78" i="198" s="1"/>
  <c r="X78" i="198" s="1"/>
  <c r="G78" i="198"/>
  <c r="F78" i="198"/>
  <c r="V77" i="198"/>
  <c r="U77" i="198"/>
  <c r="W77" i="198" s="1"/>
  <c r="X77" i="198" s="1"/>
  <c r="G77" i="198"/>
  <c r="F77" i="198"/>
  <c r="V76" i="198"/>
  <c r="U76" i="198"/>
  <c r="W76" i="198" s="1"/>
  <c r="X76" i="198" s="1"/>
  <c r="G76" i="198"/>
  <c r="F76" i="198"/>
  <c r="V75" i="198"/>
  <c r="U75" i="198"/>
  <c r="G75" i="198"/>
  <c r="F75" i="198"/>
  <c r="V74" i="198"/>
  <c r="U74" i="198"/>
  <c r="G74" i="198"/>
  <c r="F74" i="198"/>
  <c r="V73" i="198"/>
  <c r="U73" i="198"/>
  <c r="G73" i="198"/>
  <c r="F73" i="198"/>
  <c r="V72" i="198"/>
  <c r="U72" i="198"/>
  <c r="G72" i="198"/>
  <c r="F72" i="198"/>
  <c r="T65" i="198"/>
  <c r="S65" i="198"/>
  <c r="R65" i="198"/>
  <c r="Q65" i="198"/>
  <c r="E65" i="198"/>
  <c r="D65" i="198"/>
  <c r="C65" i="198"/>
  <c r="B65" i="198"/>
  <c r="V64" i="198"/>
  <c r="U64" i="198"/>
  <c r="G64" i="198"/>
  <c r="F64" i="198"/>
  <c r="V63" i="198"/>
  <c r="U63" i="198"/>
  <c r="G63" i="198"/>
  <c r="F63" i="198"/>
  <c r="V62" i="198"/>
  <c r="U62" i="198"/>
  <c r="G62" i="198"/>
  <c r="F62" i="198"/>
  <c r="V61" i="198"/>
  <c r="U61" i="198"/>
  <c r="G61" i="198"/>
  <c r="F61" i="198"/>
  <c r="V60" i="198"/>
  <c r="U60" i="198"/>
  <c r="G60" i="198"/>
  <c r="F60" i="198"/>
  <c r="V59" i="198"/>
  <c r="U59" i="198"/>
  <c r="W59" i="198" s="1"/>
  <c r="X59" i="198" s="1"/>
  <c r="G59" i="198"/>
  <c r="F59" i="198"/>
  <c r="V58" i="198"/>
  <c r="U58" i="198"/>
  <c r="G58" i="198"/>
  <c r="F58" i="198"/>
  <c r="V57" i="198"/>
  <c r="U57" i="198"/>
  <c r="G57" i="198"/>
  <c r="F57" i="198"/>
  <c r="V56" i="198"/>
  <c r="U56" i="198"/>
  <c r="G56" i="198"/>
  <c r="F56" i="198"/>
  <c r="V55" i="198"/>
  <c r="U55" i="198"/>
  <c r="G55" i="198"/>
  <c r="F55" i="198"/>
  <c r="T48" i="198"/>
  <c r="S48" i="198"/>
  <c r="R48" i="198"/>
  <c r="Q48" i="198"/>
  <c r="E48" i="198"/>
  <c r="D48" i="198"/>
  <c r="C48" i="198"/>
  <c r="B48" i="198"/>
  <c r="V47" i="198"/>
  <c r="U47" i="198"/>
  <c r="G47" i="198"/>
  <c r="F47" i="198"/>
  <c r="V46" i="198"/>
  <c r="U46" i="198"/>
  <c r="G46" i="198"/>
  <c r="F46" i="198"/>
  <c r="V45" i="198"/>
  <c r="U45" i="198"/>
  <c r="G45" i="198"/>
  <c r="F45" i="198"/>
  <c r="V44" i="198"/>
  <c r="U44" i="198"/>
  <c r="G44" i="198"/>
  <c r="F44" i="198"/>
  <c r="V43" i="198"/>
  <c r="U43" i="198"/>
  <c r="G43" i="198"/>
  <c r="F43" i="198"/>
  <c r="V42" i="198"/>
  <c r="U42" i="198"/>
  <c r="G42" i="198"/>
  <c r="F42" i="198"/>
  <c r="V41" i="198"/>
  <c r="U41" i="198"/>
  <c r="G41" i="198"/>
  <c r="F41" i="198"/>
  <c r="V40" i="198"/>
  <c r="U40" i="198"/>
  <c r="G40" i="198"/>
  <c r="F40" i="198"/>
  <c r="V39" i="198"/>
  <c r="U39" i="198"/>
  <c r="G39" i="198"/>
  <c r="F39" i="198"/>
  <c r="V38" i="198"/>
  <c r="U38" i="198"/>
  <c r="G38" i="198"/>
  <c r="F38" i="198"/>
  <c r="T32" i="198"/>
  <c r="S32" i="198"/>
  <c r="R32" i="198"/>
  <c r="Q32" i="198"/>
  <c r="E32" i="198"/>
  <c r="D32" i="198"/>
  <c r="C32" i="198"/>
  <c r="B32" i="198"/>
  <c r="V31" i="198"/>
  <c r="U31" i="198"/>
  <c r="G31" i="198"/>
  <c r="F31" i="198"/>
  <c r="V30" i="198"/>
  <c r="U30" i="198"/>
  <c r="G30" i="198"/>
  <c r="F30" i="198"/>
  <c r="H30" i="198" s="1"/>
  <c r="I30" i="198" s="1"/>
  <c r="V29" i="198"/>
  <c r="U29" i="198"/>
  <c r="G29" i="198"/>
  <c r="F29" i="198"/>
  <c r="V28" i="198"/>
  <c r="U28" i="198"/>
  <c r="G28" i="198"/>
  <c r="F28" i="198"/>
  <c r="V27" i="198"/>
  <c r="U27" i="198"/>
  <c r="G27" i="198"/>
  <c r="F27" i="198"/>
  <c r="V26" i="198"/>
  <c r="U26" i="198"/>
  <c r="G26" i="198"/>
  <c r="F26" i="198"/>
  <c r="V25" i="198"/>
  <c r="U25" i="198"/>
  <c r="G25" i="198"/>
  <c r="F25" i="198"/>
  <c r="V24" i="198"/>
  <c r="U24" i="198"/>
  <c r="G24" i="198"/>
  <c r="F24" i="198"/>
  <c r="V23" i="198"/>
  <c r="U23" i="198"/>
  <c r="W23" i="198" s="1"/>
  <c r="X23" i="198" s="1"/>
  <c r="G23" i="198"/>
  <c r="F23" i="198"/>
  <c r="V22" i="198"/>
  <c r="U22" i="198"/>
  <c r="G22" i="198"/>
  <c r="F22" i="198"/>
  <c r="S20" i="198"/>
  <c r="S36" i="198" s="1"/>
  <c r="S53" i="198" s="1"/>
  <c r="S70" i="198" s="1"/>
  <c r="S88" i="198" s="1"/>
  <c r="S105" i="198" s="1"/>
  <c r="S122" i="198" s="1"/>
  <c r="S139" i="198" s="1"/>
  <c r="S156" i="198" s="1"/>
  <c r="S173" i="198" s="1"/>
  <c r="S190" i="198" s="1"/>
  <c r="Q20" i="198"/>
  <c r="Q36" i="198" s="1"/>
  <c r="Q53" i="198" s="1"/>
  <c r="Q70" i="198" s="1"/>
  <c r="Q88" i="198" s="1"/>
  <c r="Q105" i="198" s="1"/>
  <c r="Q122" i="198" s="1"/>
  <c r="Q139" i="198" s="1"/>
  <c r="Q156" i="198" s="1"/>
  <c r="Q173" i="198" s="1"/>
  <c r="Q190" i="198" s="1"/>
  <c r="D20" i="198"/>
  <c r="D36" i="198" s="1"/>
  <c r="D53" i="198" s="1"/>
  <c r="D70" i="198" s="1"/>
  <c r="D88" i="198" s="1"/>
  <c r="D105" i="198" s="1"/>
  <c r="D122" i="198" s="1"/>
  <c r="D139" i="198" s="1"/>
  <c r="D156" i="198" s="1"/>
  <c r="D173" i="198" s="1"/>
  <c r="D190" i="198" s="1"/>
  <c r="B20" i="198"/>
  <c r="B36" i="198" s="1"/>
  <c r="B53" i="198" s="1"/>
  <c r="B70" i="198" s="1"/>
  <c r="B88" i="198" s="1"/>
  <c r="B105" i="198" s="1"/>
  <c r="B122" i="198" s="1"/>
  <c r="B139" i="198" s="1"/>
  <c r="B156" i="198" s="1"/>
  <c r="B173" i="198" s="1"/>
  <c r="B190" i="198" s="1"/>
  <c r="T16" i="198"/>
  <c r="S16" i="198"/>
  <c r="R16" i="198"/>
  <c r="Q16" i="198"/>
  <c r="V15" i="198"/>
  <c r="U15" i="198"/>
  <c r="G15" i="198"/>
  <c r="F15" i="198"/>
  <c r="V14" i="198"/>
  <c r="U14" i="198"/>
  <c r="G14" i="198"/>
  <c r="F14" i="198"/>
  <c r="V13" i="198"/>
  <c r="U13" i="198"/>
  <c r="G13" i="198"/>
  <c r="F13" i="198"/>
  <c r="AB12" i="198"/>
  <c r="AA12" i="198"/>
  <c r="V12" i="198"/>
  <c r="U12" i="198"/>
  <c r="M12" i="198"/>
  <c r="L12" i="198"/>
  <c r="G12" i="198"/>
  <c r="F12" i="198"/>
  <c r="V11" i="198"/>
  <c r="U11" i="198"/>
  <c r="G11" i="198"/>
  <c r="F11" i="198"/>
  <c r="V10" i="198"/>
  <c r="U10" i="198"/>
  <c r="G10" i="198"/>
  <c r="F10" i="198"/>
  <c r="V9" i="198"/>
  <c r="U9" i="198"/>
  <c r="G9" i="198"/>
  <c r="F9" i="198"/>
  <c r="V8" i="198"/>
  <c r="U8" i="198"/>
  <c r="G8" i="198"/>
  <c r="F8" i="198"/>
  <c r="V7" i="198"/>
  <c r="U7" i="198"/>
  <c r="G7" i="198"/>
  <c r="F7" i="198"/>
  <c r="V6" i="198"/>
  <c r="U6" i="198"/>
  <c r="G6" i="198"/>
  <c r="F6" i="198"/>
  <c r="T202" i="170"/>
  <c r="S202" i="170"/>
  <c r="R202" i="170"/>
  <c r="Q202" i="170"/>
  <c r="E202" i="170"/>
  <c r="D202" i="170"/>
  <c r="C202" i="170"/>
  <c r="B202" i="170"/>
  <c r="V201" i="170"/>
  <c r="U201" i="170"/>
  <c r="G201" i="170"/>
  <c r="F201" i="170"/>
  <c r="V200" i="170"/>
  <c r="U200" i="170"/>
  <c r="G200" i="170"/>
  <c r="F200" i="170"/>
  <c r="V199" i="170"/>
  <c r="U199" i="170"/>
  <c r="G199" i="170"/>
  <c r="F199" i="170"/>
  <c r="V198" i="170"/>
  <c r="U198" i="170"/>
  <c r="W198" i="170" s="1"/>
  <c r="X198" i="170" s="1"/>
  <c r="G198" i="170"/>
  <c r="F198" i="170"/>
  <c r="V197" i="170"/>
  <c r="U197" i="170"/>
  <c r="G197" i="170"/>
  <c r="F197" i="170"/>
  <c r="V196" i="170"/>
  <c r="U196" i="170"/>
  <c r="W196" i="170" s="1"/>
  <c r="X196" i="170" s="1"/>
  <c r="G196" i="170"/>
  <c r="F196" i="170"/>
  <c r="V195" i="170"/>
  <c r="U195" i="170"/>
  <c r="G195" i="170"/>
  <c r="F195" i="170"/>
  <c r="V194" i="170"/>
  <c r="U194" i="170"/>
  <c r="G194" i="170"/>
  <c r="F194" i="170"/>
  <c r="V193" i="170"/>
  <c r="U193" i="170"/>
  <c r="G193" i="170"/>
  <c r="F193" i="170"/>
  <c r="V192" i="170"/>
  <c r="U192" i="170"/>
  <c r="G192" i="170"/>
  <c r="F192" i="170"/>
  <c r="T185" i="170"/>
  <c r="S185" i="170"/>
  <c r="R185" i="170"/>
  <c r="Q185" i="170"/>
  <c r="E185" i="170"/>
  <c r="D185" i="170"/>
  <c r="C185" i="170"/>
  <c r="B185" i="170"/>
  <c r="V184" i="170"/>
  <c r="U184" i="170"/>
  <c r="G184" i="170"/>
  <c r="F184" i="170"/>
  <c r="V183" i="170"/>
  <c r="U183" i="170"/>
  <c r="G183" i="170"/>
  <c r="F183" i="170"/>
  <c r="V182" i="170"/>
  <c r="U182" i="170"/>
  <c r="G182" i="170"/>
  <c r="F182" i="170"/>
  <c r="V181" i="170"/>
  <c r="U181" i="170"/>
  <c r="G181" i="170"/>
  <c r="F181" i="170"/>
  <c r="V180" i="170"/>
  <c r="U180" i="170"/>
  <c r="G180" i="170"/>
  <c r="F180" i="170"/>
  <c r="V179" i="170"/>
  <c r="U179" i="170"/>
  <c r="G179" i="170"/>
  <c r="F179" i="170"/>
  <c r="V178" i="170"/>
  <c r="U178" i="170"/>
  <c r="G178" i="170"/>
  <c r="F178" i="170"/>
  <c r="V177" i="170"/>
  <c r="U177" i="170"/>
  <c r="G177" i="170"/>
  <c r="F177" i="170"/>
  <c r="V176" i="170"/>
  <c r="U176" i="170"/>
  <c r="G176" i="170"/>
  <c r="F176" i="170"/>
  <c r="V175" i="170"/>
  <c r="U175" i="170"/>
  <c r="G175" i="170"/>
  <c r="F175" i="170"/>
  <c r="T168" i="170"/>
  <c r="S168" i="170"/>
  <c r="R168" i="170"/>
  <c r="Q168" i="170"/>
  <c r="E168" i="170"/>
  <c r="D168" i="170"/>
  <c r="C168" i="170"/>
  <c r="B168" i="170"/>
  <c r="V167" i="170"/>
  <c r="U167" i="170"/>
  <c r="G167" i="170"/>
  <c r="F167" i="170"/>
  <c r="V166" i="170"/>
  <c r="U166" i="170"/>
  <c r="G166" i="170"/>
  <c r="F166" i="170"/>
  <c r="V165" i="170"/>
  <c r="U165" i="170"/>
  <c r="G165" i="170"/>
  <c r="F165" i="170"/>
  <c r="V164" i="170"/>
  <c r="U164" i="170"/>
  <c r="G164" i="170"/>
  <c r="F164" i="170"/>
  <c r="V163" i="170"/>
  <c r="U163" i="170"/>
  <c r="G163" i="170"/>
  <c r="F163" i="170"/>
  <c r="V162" i="170"/>
  <c r="U162" i="170"/>
  <c r="G162" i="170"/>
  <c r="F162" i="170"/>
  <c r="V161" i="170"/>
  <c r="W161" i="170" s="1"/>
  <c r="X161" i="170" s="1"/>
  <c r="U161" i="170"/>
  <c r="G161" i="170"/>
  <c r="F161" i="170"/>
  <c r="V160" i="170"/>
  <c r="U160" i="170"/>
  <c r="G160" i="170"/>
  <c r="F160" i="170"/>
  <c r="V159" i="170"/>
  <c r="U159" i="170"/>
  <c r="G159" i="170"/>
  <c r="F159" i="170"/>
  <c r="V158" i="170"/>
  <c r="U158" i="170"/>
  <c r="G158" i="170"/>
  <c r="F158" i="170"/>
  <c r="T151" i="170"/>
  <c r="S151" i="170"/>
  <c r="R151" i="170"/>
  <c r="Q151" i="170"/>
  <c r="E151" i="170"/>
  <c r="D151" i="170"/>
  <c r="C151" i="170"/>
  <c r="B151" i="170"/>
  <c r="V150" i="170"/>
  <c r="U150" i="170"/>
  <c r="G150" i="170"/>
  <c r="F150" i="170"/>
  <c r="V149" i="170"/>
  <c r="W149" i="170" s="1"/>
  <c r="X149" i="170" s="1"/>
  <c r="U149" i="170"/>
  <c r="G149" i="170"/>
  <c r="F149" i="170"/>
  <c r="V148" i="170"/>
  <c r="U148" i="170"/>
  <c r="G148" i="170"/>
  <c r="F148" i="170"/>
  <c r="V147" i="170"/>
  <c r="U147" i="170"/>
  <c r="G147" i="170"/>
  <c r="F147" i="170"/>
  <c r="V146" i="170"/>
  <c r="U146" i="170"/>
  <c r="G146" i="170"/>
  <c r="F146" i="170"/>
  <c r="V145" i="170"/>
  <c r="U145" i="170"/>
  <c r="G145" i="170"/>
  <c r="F145" i="170"/>
  <c r="V144" i="170"/>
  <c r="U144" i="170"/>
  <c r="G144" i="170"/>
  <c r="F144" i="170"/>
  <c r="V143" i="170"/>
  <c r="U143" i="170"/>
  <c r="G143" i="170"/>
  <c r="F143" i="170"/>
  <c r="V142" i="170"/>
  <c r="U142" i="170"/>
  <c r="G142" i="170"/>
  <c r="F142" i="170"/>
  <c r="V141" i="170"/>
  <c r="U141" i="170"/>
  <c r="G141" i="170"/>
  <c r="F141" i="170"/>
  <c r="T134" i="170"/>
  <c r="T228" i="170" s="1"/>
  <c r="S134" i="170"/>
  <c r="S228" i="170" s="1"/>
  <c r="R134" i="170"/>
  <c r="R228" i="170" s="1"/>
  <c r="Q134" i="170"/>
  <c r="Q228" i="170" s="1"/>
  <c r="E134" i="170"/>
  <c r="E228" i="170" s="1"/>
  <c r="D134" i="170"/>
  <c r="D228" i="170" s="1"/>
  <c r="C134" i="170"/>
  <c r="C228" i="170" s="1"/>
  <c r="B134" i="170"/>
  <c r="B228" i="170" s="1"/>
  <c r="V133" i="170"/>
  <c r="V227" i="170" s="1"/>
  <c r="U133" i="170"/>
  <c r="U227" i="170" s="1"/>
  <c r="G133" i="170"/>
  <c r="G227" i="170" s="1"/>
  <c r="F133" i="170"/>
  <c r="F227" i="170" s="1"/>
  <c r="V132" i="170"/>
  <c r="V226" i="170" s="1"/>
  <c r="U132" i="170"/>
  <c r="U226" i="170" s="1"/>
  <c r="G132" i="170"/>
  <c r="G226" i="170" s="1"/>
  <c r="F132" i="170"/>
  <c r="F226" i="170" s="1"/>
  <c r="V131" i="170"/>
  <c r="V225" i="170" s="1"/>
  <c r="U131" i="170"/>
  <c r="U225" i="170" s="1"/>
  <c r="G131" i="170"/>
  <c r="G225" i="170" s="1"/>
  <c r="F131" i="170"/>
  <c r="F225" i="170" s="1"/>
  <c r="V130" i="170"/>
  <c r="V224" i="170" s="1"/>
  <c r="U130" i="170"/>
  <c r="U224" i="170" s="1"/>
  <c r="G130" i="170"/>
  <c r="G224" i="170" s="1"/>
  <c r="F130" i="170"/>
  <c r="F224" i="170" s="1"/>
  <c r="V129" i="170"/>
  <c r="V223" i="170" s="1"/>
  <c r="U129" i="170"/>
  <c r="U223" i="170" s="1"/>
  <c r="G129" i="170"/>
  <c r="G223" i="170" s="1"/>
  <c r="F129" i="170"/>
  <c r="F223" i="170" s="1"/>
  <c r="V128" i="170"/>
  <c r="V222" i="170" s="1"/>
  <c r="U128" i="170"/>
  <c r="U222" i="170" s="1"/>
  <c r="G128" i="170"/>
  <c r="G222" i="170" s="1"/>
  <c r="F128" i="170"/>
  <c r="F222" i="170" s="1"/>
  <c r="V127" i="170"/>
  <c r="V221" i="170" s="1"/>
  <c r="U127" i="170"/>
  <c r="U221" i="170" s="1"/>
  <c r="G127" i="170"/>
  <c r="G221" i="170" s="1"/>
  <c r="F127" i="170"/>
  <c r="F221" i="170" s="1"/>
  <c r="V126" i="170"/>
  <c r="V220" i="170" s="1"/>
  <c r="U126" i="170"/>
  <c r="U220" i="170" s="1"/>
  <c r="G126" i="170"/>
  <c r="G220" i="170" s="1"/>
  <c r="F126" i="170"/>
  <c r="F220" i="170" s="1"/>
  <c r="V125" i="170"/>
  <c r="V219" i="170" s="1"/>
  <c r="U125" i="170"/>
  <c r="U219" i="170" s="1"/>
  <c r="G125" i="170"/>
  <c r="G219" i="170" s="1"/>
  <c r="F125" i="170"/>
  <c r="F219" i="170" s="1"/>
  <c r="V124" i="170"/>
  <c r="V218" i="170" s="1"/>
  <c r="U124" i="170"/>
  <c r="U218" i="170" s="1"/>
  <c r="G124" i="170"/>
  <c r="G218" i="170" s="1"/>
  <c r="F124" i="170"/>
  <c r="F218" i="170" s="1"/>
  <c r="T117" i="170"/>
  <c r="S117" i="170"/>
  <c r="R117" i="170"/>
  <c r="Q117" i="170"/>
  <c r="L117" i="170"/>
  <c r="E117" i="170"/>
  <c r="D117" i="170"/>
  <c r="C117" i="170"/>
  <c r="B117" i="170"/>
  <c r="V116" i="170"/>
  <c r="U116" i="170"/>
  <c r="L116" i="170"/>
  <c r="G116" i="170"/>
  <c r="F116" i="170"/>
  <c r="V115" i="170"/>
  <c r="U115" i="170"/>
  <c r="L115" i="170"/>
  <c r="G115" i="170"/>
  <c r="F115" i="170"/>
  <c r="V114" i="170"/>
  <c r="U114" i="170"/>
  <c r="L114" i="170"/>
  <c r="G114" i="170"/>
  <c r="F114" i="170"/>
  <c r="V113" i="170"/>
  <c r="U113" i="170"/>
  <c r="L113" i="170"/>
  <c r="G113" i="170"/>
  <c r="F113" i="170"/>
  <c r="V112" i="170"/>
  <c r="U112" i="170"/>
  <c r="W112" i="170" s="1"/>
  <c r="X112" i="170" s="1"/>
  <c r="L112" i="170"/>
  <c r="G112" i="170"/>
  <c r="F112" i="170"/>
  <c r="V111" i="170"/>
  <c r="U111" i="170"/>
  <c r="L111" i="170"/>
  <c r="G111" i="170"/>
  <c r="F111" i="170"/>
  <c r="V110" i="170"/>
  <c r="U110" i="170"/>
  <c r="L110" i="170"/>
  <c r="G110" i="170"/>
  <c r="F110" i="170"/>
  <c r="V109" i="170"/>
  <c r="U109" i="170"/>
  <c r="L109" i="170"/>
  <c r="G109" i="170"/>
  <c r="F109" i="170"/>
  <c r="V108" i="170"/>
  <c r="U108" i="170"/>
  <c r="W108" i="170" s="1"/>
  <c r="X108" i="170" s="1"/>
  <c r="L108" i="170"/>
  <c r="G108" i="170"/>
  <c r="F108" i="170"/>
  <c r="V107" i="170"/>
  <c r="U107" i="170"/>
  <c r="L107" i="170"/>
  <c r="G107" i="170"/>
  <c r="F107" i="170"/>
  <c r="T100" i="170"/>
  <c r="S100" i="170"/>
  <c r="R100" i="170"/>
  <c r="Q100" i="170"/>
  <c r="E100" i="170"/>
  <c r="D100" i="170"/>
  <c r="C100" i="170"/>
  <c r="B100" i="170"/>
  <c r="V99" i="170"/>
  <c r="U99" i="170"/>
  <c r="G99" i="170"/>
  <c r="F99" i="170"/>
  <c r="V98" i="170"/>
  <c r="U98" i="170"/>
  <c r="G98" i="170"/>
  <c r="F98" i="170"/>
  <c r="V97" i="170"/>
  <c r="U97" i="170"/>
  <c r="G97" i="170"/>
  <c r="F97" i="170"/>
  <c r="V96" i="170"/>
  <c r="U96" i="170"/>
  <c r="G96" i="170"/>
  <c r="F96" i="170"/>
  <c r="V95" i="170"/>
  <c r="U95" i="170"/>
  <c r="G95" i="170"/>
  <c r="F95" i="170"/>
  <c r="V94" i="170"/>
  <c r="U94" i="170"/>
  <c r="G94" i="170"/>
  <c r="F94" i="170"/>
  <c r="V93" i="170"/>
  <c r="U93" i="170"/>
  <c r="G93" i="170"/>
  <c r="F93" i="170"/>
  <c r="V92" i="170"/>
  <c r="U92" i="170"/>
  <c r="G92" i="170"/>
  <c r="F92" i="170"/>
  <c r="V91" i="170"/>
  <c r="U91" i="170"/>
  <c r="G91" i="170"/>
  <c r="F91" i="170"/>
  <c r="V90" i="170"/>
  <c r="U90" i="170"/>
  <c r="G90" i="170"/>
  <c r="F90" i="170"/>
  <c r="T82" i="170"/>
  <c r="S82" i="170"/>
  <c r="R82" i="170"/>
  <c r="Q82" i="170"/>
  <c r="E82" i="170"/>
  <c r="D82" i="170"/>
  <c r="C82" i="170"/>
  <c r="B82" i="170"/>
  <c r="V81" i="170"/>
  <c r="U81" i="170"/>
  <c r="G81" i="170"/>
  <c r="F81" i="170"/>
  <c r="V80" i="170"/>
  <c r="U80" i="170"/>
  <c r="G80" i="170"/>
  <c r="F80" i="170"/>
  <c r="V79" i="170"/>
  <c r="U79" i="170"/>
  <c r="G79" i="170"/>
  <c r="F79" i="170"/>
  <c r="V78" i="170"/>
  <c r="U78" i="170"/>
  <c r="G78" i="170"/>
  <c r="F78" i="170"/>
  <c r="V77" i="170"/>
  <c r="U77" i="170"/>
  <c r="G77" i="170"/>
  <c r="F77" i="170"/>
  <c r="V76" i="170"/>
  <c r="U76" i="170"/>
  <c r="G76" i="170"/>
  <c r="F76" i="170"/>
  <c r="V75" i="170"/>
  <c r="U75" i="170"/>
  <c r="G75" i="170"/>
  <c r="F75" i="170"/>
  <c r="V74" i="170"/>
  <c r="U74" i="170"/>
  <c r="G74" i="170"/>
  <c r="F74" i="170"/>
  <c r="V73" i="170"/>
  <c r="U73" i="170"/>
  <c r="G73" i="170"/>
  <c r="F73" i="170"/>
  <c r="V72" i="170"/>
  <c r="U72" i="170"/>
  <c r="G72" i="170"/>
  <c r="F72" i="170"/>
  <c r="T65" i="170"/>
  <c r="S65" i="170"/>
  <c r="R65" i="170"/>
  <c r="Q65" i="170"/>
  <c r="E65" i="170"/>
  <c r="D65" i="170"/>
  <c r="C65" i="170"/>
  <c r="B65" i="170"/>
  <c r="V64" i="170"/>
  <c r="U64" i="170"/>
  <c r="G64" i="170"/>
  <c r="F64" i="170"/>
  <c r="V63" i="170"/>
  <c r="U63" i="170"/>
  <c r="G63" i="170"/>
  <c r="F63" i="170"/>
  <c r="V62" i="170"/>
  <c r="U62" i="170"/>
  <c r="G62" i="170"/>
  <c r="F62" i="170"/>
  <c r="V61" i="170"/>
  <c r="U61" i="170"/>
  <c r="G61" i="170"/>
  <c r="F61" i="170"/>
  <c r="V60" i="170"/>
  <c r="U60" i="170"/>
  <c r="G60" i="170"/>
  <c r="F60" i="170"/>
  <c r="V59" i="170"/>
  <c r="U59" i="170"/>
  <c r="G59" i="170"/>
  <c r="F59" i="170"/>
  <c r="V58" i="170"/>
  <c r="U58" i="170"/>
  <c r="G58" i="170"/>
  <c r="F58" i="170"/>
  <c r="V57" i="170"/>
  <c r="U57" i="170"/>
  <c r="G57" i="170"/>
  <c r="F57" i="170"/>
  <c r="V56" i="170"/>
  <c r="U56" i="170"/>
  <c r="G56" i="170"/>
  <c r="F56" i="170"/>
  <c r="V55" i="170"/>
  <c r="U55" i="170"/>
  <c r="G55" i="170"/>
  <c r="F55" i="170"/>
  <c r="T48" i="170"/>
  <c r="S48" i="170"/>
  <c r="R48" i="170"/>
  <c r="Q48" i="170"/>
  <c r="E48" i="170"/>
  <c r="D48" i="170"/>
  <c r="C48" i="170"/>
  <c r="B48" i="170"/>
  <c r="V47" i="170"/>
  <c r="U47" i="170"/>
  <c r="G47" i="170"/>
  <c r="F47" i="170"/>
  <c r="V46" i="170"/>
  <c r="U46" i="170"/>
  <c r="G46" i="170"/>
  <c r="F46" i="170"/>
  <c r="V45" i="170"/>
  <c r="U45" i="170"/>
  <c r="G45" i="170"/>
  <c r="F45" i="170"/>
  <c r="V44" i="170"/>
  <c r="U44" i="170"/>
  <c r="G44" i="170"/>
  <c r="F44" i="170"/>
  <c r="V43" i="170"/>
  <c r="U43" i="170"/>
  <c r="G43" i="170"/>
  <c r="F43" i="170"/>
  <c r="V42" i="170"/>
  <c r="U42" i="170"/>
  <c r="G42" i="170"/>
  <c r="F42" i="170"/>
  <c r="V41" i="170"/>
  <c r="U41" i="170"/>
  <c r="G41" i="170"/>
  <c r="F41" i="170"/>
  <c r="V40" i="170"/>
  <c r="U40" i="170"/>
  <c r="G40" i="170"/>
  <c r="F40" i="170"/>
  <c r="V39" i="170"/>
  <c r="U39" i="170"/>
  <c r="G39" i="170"/>
  <c r="F39" i="170"/>
  <c r="V38" i="170"/>
  <c r="U38" i="170"/>
  <c r="G38" i="170"/>
  <c r="F38" i="170"/>
  <c r="T32" i="170"/>
  <c r="S32" i="170"/>
  <c r="R32" i="170"/>
  <c r="Q32" i="170"/>
  <c r="E32" i="170"/>
  <c r="D32" i="170"/>
  <c r="C32" i="170"/>
  <c r="B32" i="170"/>
  <c r="V31" i="170"/>
  <c r="U31" i="170"/>
  <c r="G31" i="170"/>
  <c r="F31" i="170"/>
  <c r="V30" i="170"/>
  <c r="U30" i="170"/>
  <c r="G30" i="170"/>
  <c r="F30" i="170"/>
  <c r="V29" i="170"/>
  <c r="U29" i="170"/>
  <c r="G29" i="170"/>
  <c r="F29" i="170"/>
  <c r="V28" i="170"/>
  <c r="U28" i="170"/>
  <c r="G28" i="170"/>
  <c r="F28" i="170"/>
  <c r="V27" i="170"/>
  <c r="U27" i="170"/>
  <c r="G27" i="170"/>
  <c r="F27" i="170"/>
  <c r="V26" i="170"/>
  <c r="U26" i="170"/>
  <c r="G26" i="170"/>
  <c r="F26" i="170"/>
  <c r="V25" i="170"/>
  <c r="U25" i="170"/>
  <c r="G25" i="170"/>
  <c r="F25" i="170"/>
  <c r="V24" i="170"/>
  <c r="U24" i="170"/>
  <c r="G24" i="170"/>
  <c r="F24" i="170"/>
  <c r="V23" i="170"/>
  <c r="U23" i="170"/>
  <c r="G23" i="170"/>
  <c r="F23" i="170"/>
  <c r="V22" i="170"/>
  <c r="U22" i="170"/>
  <c r="G22" i="170"/>
  <c r="F22" i="170"/>
  <c r="S20" i="170"/>
  <c r="S36" i="170" s="1"/>
  <c r="S53" i="170" s="1"/>
  <c r="S70" i="170" s="1"/>
  <c r="S88" i="170" s="1"/>
  <c r="S105" i="170" s="1"/>
  <c r="S122" i="170" s="1"/>
  <c r="S139" i="170" s="1"/>
  <c r="S156" i="170" s="1"/>
  <c r="S173" i="170" s="1"/>
  <c r="S190" i="170" s="1"/>
  <c r="Q20" i="170"/>
  <c r="Q36" i="170" s="1"/>
  <c r="Q53" i="170" s="1"/>
  <c r="Q70" i="170" s="1"/>
  <c r="Q88" i="170" s="1"/>
  <c r="Q105" i="170" s="1"/>
  <c r="Q122" i="170" s="1"/>
  <c r="Q139" i="170" s="1"/>
  <c r="Q156" i="170" s="1"/>
  <c r="Q173" i="170" s="1"/>
  <c r="Q190" i="170" s="1"/>
  <c r="D20" i="170"/>
  <c r="D36" i="170" s="1"/>
  <c r="D53" i="170" s="1"/>
  <c r="D70" i="170" s="1"/>
  <c r="D88" i="170" s="1"/>
  <c r="D105" i="170" s="1"/>
  <c r="D122" i="170" s="1"/>
  <c r="D139" i="170" s="1"/>
  <c r="D156" i="170" s="1"/>
  <c r="D173" i="170" s="1"/>
  <c r="D190" i="170" s="1"/>
  <c r="B20" i="170"/>
  <c r="B36" i="170" s="1"/>
  <c r="B53" i="170" s="1"/>
  <c r="B70" i="170" s="1"/>
  <c r="B88" i="170" s="1"/>
  <c r="B105" i="170" s="1"/>
  <c r="B122" i="170" s="1"/>
  <c r="B139" i="170" s="1"/>
  <c r="B156" i="170" s="1"/>
  <c r="B173" i="170" s="1"/>
  <c r="B190" i="170" s="1"/>
  <c r="T16" i="170"/>
  <c r="S16" i="170"/>
  <c r="R16" i="170"/>
  <c r="Q16" i="170"/>
  <c r="E16" i="170"/>
  <c r="D16" i="170"/>
  <c r="C16" i="170"/>
  <c r="B16" i="170"/>
  <c r="V15" i="170"/>
  <c r="U15" i="170"/>
  <c r="G15" i="170"/>
  <c r="F15" i="170"/>
  <c r="V14" i="170"/>
  <c r="U14" i="170"/>
  <c r="G14" i="170"/>
  <c r="F14" i="170"/>
  <c r="V13" i="170"/>
  <c r="U13" i="170"/>
  <c r="G13" i="170"/>
  <c r="F13" i="170"/>
  <c r="AB12" i="170"/>
  <c r="AA12" i="170"/>
  <c r="V12" i="170"/>
  <c r="U12" i="170"/>
  <c r="M12" i="170"/>
  <c r="L12" i="170"/>
  <c r="G12" i="170"/>
  <c r="F12" i="170"/>
  <c r="V11" i="170"/>
  <c r="U11" i="170"/>
  <c r="G11" i="170"/>
  <c r="F11" i="170"/>
  <c r="V10" i="170"/>
  <c r="U10" i="170"/>
  <c r="W10" i="170" s="1"/>
  <c r="G10" i="170"/>
  <c r="F10" i="170"/>
  <c r="V9" i="170"/>
  <c r="U9" i="170"/>
  <c r="G9" i="170"/>
  <c r="F9" i="170"/>
  <c r="V8" i="170"/>
  <c r="U8" i="170"/>
  <c r="G8" i="170"/>
  <c r="F8" i="170"/>
  <c r="V7" i="170"/>
  <c r="U7" i="170"/>
  <c r="G7" i="170"/>
  <c r="F7" i="170"/>
  <c r="V6" i="170"/>
  <c r="U6" i="170"/>
  <c r="G6" i="170"/>
  <c r="EB445" i="167"/>
  <c r="EA445" i="167"/>
  <c r="DZ445" i="167"/>
  <c r="DY445" i="167"/>
  <c r="DX445" i="167"/>
  <c r="DW445" i="167"/>
  <c r="DV445" i="167"/>
  <c r="DU445" i="167"/>
  <c r="DT445" i="167"/>
  <c r="DS445" i="167"/>
  <c r="EB444" i="167"/>
  <c r="EA444" i="167"/>
  <c r="DZ444" i="167"/>
  <c r="DY444" i="167"/>
  <c r="DX444" i="167"/>
  <c r="DW444" i="167"/>
  <c r="DV444" i="167"/>
  <c r="DU444" i="167"/>
  <c r="DT444" i="167"/>
  <c r="DS444" i="167"/>
  <c r="EA443" i="167"/>
  <c r="DZ443" i="167"/>
  <c r="DY443" i="167"/>
  <c r="DX443" i="167"/>
  <c r="DW443" i="167"/>
  <c r="DV443" i="167"/>
  <c r="DU443" i="167"/>
  <c r="DT443" i="167"/>
  <c r="DS443" i="167"/>
  <c r="EB442" i="167"/>
  <c r="EA442" i="167"/>
  <c r="DZ442" i="167"/>
  <c r="DY442" i="167"/>
  <c r="DX442" i="167"/>
  <c r="DW442" i="167"/>
  <c r="DV442" i="167"/>
  <c r="DU442" i="167"/>
  <c r="DT442" i="167"/>
  <c r="DS442" i="167"/>
  <c r="EB441" i="167"/>
  <c r="EA441" i="167"/>
  <c r="DZ441" i="167"/>
  <c r="DY441" i="167"/>
  <c r="DX441" i="167"/>
  <c r="DW441" i="167"/>
  <c r="DV441" i="167"/>
  <c r="DU441" i="167"/>
  <c r="DT441" i="167"/>
  <c r="DS441" i="167"/>
  <c r="EB440" i="167"/>
  <c r="EA440" i="167"/>
  <c r="DZ440" i="167"/>
  <c r="DY440" i="167"/>
  <c r="DX440" i="167"/>
  <c r="DW440" i="167"/>
  <c r="DV440" i="167"/>
  <c r="DU440" i="167"/>
  <c r="DT440" i="167"/>
  <c r="DS440" i="167"/>
  <c r="EB439" i="167"/>
  <c r="EA439" i="167"/>
  <c r="DZ439" i="167"/>
  <c r="DY439" i="167"/>
  <c r="DX439" i="167"/>
  <c r="DW439" i="167"/>
  <c r="DV439" i="167"/>
  <c r="DU439" i="167"/>
  <c r="DT439" i="167"/>
  <c r="DS439" i="167"/>
  <c r="EB438" i="167"/>
  <c r="EA438" i="167"/>
  <c r="DZ438" i="167"/>
  <c r="DY438" i="167"/>
  <c r="DX438" i="167"/>
  <c r="DW438" i="167"/>
  <c r="DV438" i="167"/>
  <c r="DU438" i="167"/>
  <c r="DT438" i="167"/>
  <c r="DS438" i="167"/>
  <c r="EB437" i="167"/>
  <c r="EA437" i="167"/>
  <c r="DZ437" i="167"/>
  <c r="DY437" i="167"/>
  <c r="DX437" i="167"/>
  <c r="DW437" i="167"/>
  <c r="DV437" i="167"/>
  <c r="DU437" i="167"/>
  <c r="DT437" i="167"/>
  <c r="DS437" i="167"/>
  <c r="EB436" i="167"/>
  <c r="EA436" i="167"/>
  <c r="DZ436" i="167"/>
  <c r="DY436" i="167"/>
  <c r="DX436" i="167"/>
  <c r="DW436" i="167"/>
  <c r="DV436" i="167"/>
  <c r="DU436" i="167"/>
  <c r="DT436" i="167"/>
  <c r="DS436" i="167"/>
  <c r="EB430" i="167"/>
  <c r="EA430" i="167"/>
  <c r="DZ430" i="167"/>
  <c r="DY430" i="167"/>
  <c r="DX430" i="167"/>
  <c r="DW430" i="167"/>
  <c r="DU430" i="167"/>
  <c r="DT430" i="167"/>
  <c r="DS430" i="167"/>
  <c r="EB429" i="167"/>
  <c r="EA429" i="167"/>
  <c r="DZ429" i="167"/>
  <c r="DY429" i="167"/>
  <c r="DX429" i="167"/>
  <c r="DW429" i="167"/>
  <c r="DU429" i="167"/>
  <c r="DT429" i="167"/>
  <c r="DS429" i="167"/>
  <c r="EB428" i="167"/>
  <c r="EA428" i="167"/>
  <c r="DZ428" i="167"/>
  <c r="DY428" i="167"/>
  <c r="DX428" i="167"/>
  <c r="DW428" i="167"/>
  <c r="DU428" i="167"/>
  <c r="DT428" i="167"/>
  <c r="DS428" i="167"/>
  <c r="EB427" i="167"/>
  <c r="EA427" i="167"/>
  <c r="DZ427" i="167"/>
  <c r="DY427" i="167"/>
  <c r="DX427" i="167"/>
  <c r="DW427" i="167"/>
  <c r="DU427" i="167"/>
  <c r="DT427" i="167"/>
  <c r="DS427" i="167"/>
  <c r="EB426" i="167"/>
  <c r="EA426" i="167"/>
  <c r="DZ426" i="167"/>
  <c r="DY426" i="167"/>
  <c r="DX426" i="167"/>
  <c r="DW426" i="167"/>
  <c r="DU426" i="167"/>
  <c r="DT426" i="167"/>
  <c r="DS426" i="167"/>
  <c r="EB425" i="167"/>
  <c r="EA425" i="167"/>
  <c r="DZ425" i="167"/>
  <c r="DY425" i="167"/>
  <c r="DX425" i="167"/>
  <c r="DW425" i="167"/>
  <c r="DU425" i="167"/>
  <c r="DT425" i="167"/>
  <c r="DS425" i="167"/>
  <c r="EB424" i="167"/>
  <c r="EA424" i="167"/>
  <c r="DZ424" i="167"/>
  <c r="DY424" i="167"/>
  <c r="DX424" i="167"/>
  <c r="DW424" i="167"/>
  <c r="DU424" i="167"/>
  <c r="DT424" i="167"/>
  <c r="DS424" i="167"/>
  <c r="EB423" i="167"/>
  <c r="EA423" i="167"/>
  <c r="DZ423" i="167"/>
  <c r="DY423" i="167"/>
  <c r="DX423" i="167"/>
  <c r="DW423" i="167"/>
  <c r="DU423" i="167"/>
  <c r="DT423" i="167"/>
  <c r="DS423" i="167"/>
  <c r="EB422" i="167"/>
  <c r="EA422" i="167"/>
  <c r="DZ422" i="167"/>
  <c r="DY422" i="167"/>
  <c r="DX422" i="167"/>
  <c r="DW422" i="167"/>
  <c r="DU422" i="167"/>
  <c r="DT422" i="167"/>
  <c r="DS422" i="167"/>
  <c r="EB421" i="167"/>
  <c r="EA421" i="167"/>
  <c r="DZ421" i="167"/>
  <c r="DY421" i="167"/>
  <c r="DX421" i="167"/>
  <c r="DW421" i="167"/>
  <c r="DV421" i="167"/>
  <c r="DV431" i="167" s="1"/>
  <c r="DU421" i="167"/>
  <c r="DT421" i="167"/>
  <c r="DS421" i="167"/>
  <c r="F102" i="28"/>
  <c r="E102" i="28"/>
  <c r="G101" i="28"/>
  <c r="F101" i="28"/>
  <c r="E101" i="28"/>
  <c r="G100" i="28"/>
  <c r="F100" i="28"/>
  <c r="E100" i="28"/>
  <c r="G99" i="28"/>
  <c r="F99" i="28"/>
  <c r="E99" i="28"/>
  <c r="E98" i="28"/>
  <c r="E97" i="28"/>
  <c r="G96" i="28"/>
  <c r="E96" i="28"/>
  <c r="G95" i="28"/>
  <c r="E95" i="28"/>
  <c r="G94" i="28"/>
  <c r="E94" i="28"/>
  <c r="F90" i="18"/>
  <c r="C90" i="18"/>
  <c r="B90" i="18"/>
  <c r="F89" i="18"/>
  <c r="C89" i="18"/>
  <c r="B89" i="18"/>
  <c r="F88" i="18"/>
  <c r="C88" i="18"/>
  <c r="B88" i="18"/>
  <c r="F87" i="18"/>
  <c r="C87" i="18"/>
  <c r="B87" i="18"/>
  <c r="F86" i="18"/>
  <c r="C86" i="18"/>
  <c r="B86" i="18"/>
  <c r="F85" i="18"/>
  <c r="C85" i="18"/>
  <c r="B85" i="18"/>
  <c r="F84" i="18"/>
  <c r="C84" i="18"/>
  <c r="B84" i="18"/>
  <c r="F83" i="18"/>
  <c r="C83" i="18"/>
  <c r="B83" i="18"/>
  <c r="G82" i="18"/>
  <c r="F82" i="18"/>
  <c r="C82" i="18"/>
  <c r="B82" i="18"/>
  <c r="F81" i="18"/>
  <c r="C81" i="18"/>
  <c r="B81" i="18"/>
  <c r="F80" i="18"/>
  <c r="C80" i="18"/>
  <c r="B80" i="18"/>
  <c r="F79" i="18"/>
  <c r="C79" i="18"/>
  <c r="B79" i="18"/>
  <c r="F78" i="18"/>
  <c r="C78" i="18"/>
  <c r="B78" i="18"/>
  <c r="F77" i="18"/>
  <c r="C77" i="18"/>
  <c r="B77" i="18"/>
  <c r="F76" i="18"/>
  <c r="C76" i="18"/>
  <c r="B76" i="18"/>
  <c r="G20" i="18"/>
  <c r="E20" i="18"/>
  <c r="D20" i="18"/>
  <c r="C20" i="18"/>
  <c r="C91" i="18" s="1"/>
  <c r="B20" i="18"/>
  <c r="J19" i="18"/>
  <c r="H19" i="18"/>
  <c r="F19" i="18"/>
  <c r="J18" i="18"/>
  <c r="H18" i="18"/>
  <c r="F18" i="18"/>
  <c r="G89" i="18" s="1"/>
  <c r="J17" i="18"/>
  <c r="H17" i="18"/>
  <c r="F17" i="18"/>
  <c r="I17" i="18" s="1"/>
  <c r="J16" i="18"/>
  <c r="H16" i="18"/>
  <c r="F16" i="18"/>
  <c r="G87" i="18" s="1"/>
  <c r="J15" i="18"/>
  <c r="H15" i="18"/>
  <c r="F15" i="18"/>
  <c r="I15" i="18" s="1"/>
  <c r="J14" i="18"/>
  <c r="H14" i="18"/>
  <c r="F14" i="18"/>
  <c r="G85" i="18" s="1"/>
  <c r="J13" i="18"/>
  <c r="H13" i="18"/>
  <c r="F13" i="18"/>
  <c r="I13" i="18" s="1"/>
  <c r="J12" i="18"/>
  <c r="H12" i="18"/>
  <c r="F12" i="18"/>
  <c r="J11" i="18"/>
  <c r="H11" i="18"/>
  <c r="F11" i="18"/>
  <c r="I11" i="18" s="1"/>
  <c r="J10" i="18"/>
  <c r="H10" i="18"/>
  <c r="F10" i="18"/>
  <c r="G81" i="18" s="1"/>
  <c r="J9" i="18"/>
  <c r="H9" i="18"/>
  <c r="F9" i="18"/>
  <c r="J8" i="18"/>
  <c r="H8" i="18"/>
  <c r="F8" i="18"/>
  <c r="G79" i="18" s="1"/>
  <c r="J7" i="18"/>
  <c r="H7" i="18"/>
  <c r="F7" i="18"/>
  <c r="I7" i="18" s="1"/>
  <c r="J6" i="18"/>
  <c r="H6" i="18"/>
  <c r="F6" i="18"/>
  <c r="G77" i="18" s="1"/>
  <c r="J5" i="18"/>
  <c r="H5" i="18"/>
  <c r="F5" i="18"/>
  <c r="I5" i="18" s="1"/>
  <c r="BD129" i="201"/>
  <c r="D113" i="201"/>
  <c r="BD111" i="201"/>
  <c r="BD108" i="201"/>
  <c r="BC108" i="201"/>
  <c r="BB108" i="201"/>
  <c r="R108" i="201"/>
  <c r="Q108" i="201"/>
  <c r="P108" i="201"/>
  <c r="A98" i="201"/>
  <c r="R93" i="201"/>
  <c r="Q93" i="201"/>
  <c r="P93" i="201"/>
  <c r="BD76" i="201"/>
  <c r="BC76" i="201"/>
  <c r="BB76" i="201"/>
  <c r="R76" i="201"/>
  <c r="Q76" i="201"/>
  <c r="P76" i="201"/>
  <c r="M75" i="201"/>
  <c r="L75" i="201"/>
  <c r="I75" i="201"/>
  <c r="H75" i="201"/>
  <c r="F75" i="201"/>
  <c r="E75" i="201"/>
  <c r="D75" i="201"/>
  <c r="C75" i="201"/>
  <c r="M74" i="201"/>
  <c r="L74" i="201"/>
  <c r="I74" i="201"/>
  <c r="H74" i="201"/>
  <c r="F74" i="201"/>
  <c r="E74" i="201"/>
  <c r="D74" i="201"/>
  <c r="C74" i="201"/>
  <c r="L73" i="201"/>
  <c r="I73" i="201"/>
  <c r="H73" i="201"/>
  <c r="F73" i="201"/>
  <c r="E73" i="201"/>
  <c r="D73" i="201"/>
  <c r="C73" i="201"/>
  <c r="M72" i="201"/>
  <c r="L72" i="201"/>
  <c r="I72" i="201"/>
  <c r="H72" i="201"/>
  <c r="F72" i="201"/>
  <c r="E72" i="201"/>
  <c r="D72" i="201"/>
  <c r="C72" i="201"/>
  <c r="M71" i="201"/>
  <c r="L71" i="201"/>
  <c r="I71" i="201"/>
  <c r="H71" i="201"/>
  <c r="F71" i="201"/>
  <c r="E71" i="201"/>
  <c r="D71" i="201"/>
  <c r="C71" i="201"/>
  <c r="M70" i="201"/>
  <c r="L70" i="201"/>
  <c r="I70" i="201"/>
  <c r="H70" i="201"/>
  <c r="F70" i="201"/>
  <c r="E70" i="201"/>
  <c r="D70" i="201"/>
  <c r="C70" i="201"/>
  <c r="M69" i="201"/>
  <c r="L69" i="201"/>
  <c r="I69" i="201"/>
  <c r="H69" i="201"/>
  <c r="F69" i="201"/>
  <c r="E69" i="201"/>
  <c r="D69" i="201"/>
  <c r="C69" i="201"/>
  <c r="M68" i="201"/>
  <c r="L68" i="201"/>
  <c r="I68" i="201"/>
  <c r="H68" i="201"/>
  <c r="F68" i="201"/>
  <c r="E68" i="201"/>
  <c r="D68" i="201"/>
  <c r="C68" i="201"/>
  <c r="M67" i="201"/>
  <c r="L67" i="201"/>
  <c r="I67" i="201"/>
  <c r="H67" i="201"/>
  <c r="E67" i="201"/>
  <c r="D67" i="201"/>
  <c r="C67" i="201"/>
  <c r="M66" i="201"/>
  <c r="L66" i="201"/>
  <c r="I66" i="201"/>
  <c r="H66" i="201"/>
  <c r="F66" i="201"/>
  <c r="E66" i="201"/>
  <c r="D66" i="201"/>
  <c r="C66" i="201"/>
  <c r="BV60" i="201"/>
  <c r="BD60" i="201"/>
  <c r="BC60" i="201"/>
  <c r="BB60" i="201"/>
  <c r="R60" i="201"/>
  <c r="Q60" i="201"/>
  <c r="P60" i="201"/>
  <c r="I60" i="201"/>
  <c r="H60" i="201"/>
  <c r="F60" i="201"/>
  <c r="E60" i="201"/>
  <c r="D60" i="201"/>
  <c r="C60" i="201"/>
  <c r="BJ59" i="201"/>
  <c r="BK59" i="201" s="1"/>
  <c r="AY59" i="201"/>
  <c r="AX59" i="201"/>
  <c r="N59" i="201"/>
  <c r="AY58" i="201"/>
  <c r="AX58" i="201"/>
  <c r="AU58" i="201"/>
  <c r="BM58" i="201" s="1"/>
  <c r="AT58" i="201"/>
  <c r="BL58" i="201" s="1"/>
  <c r="BN58" i="201" s="1"/>
  <c r="AQ58" i="201"/>
  <c r="BI58" i="201" s="1"/>
  <c r="AP58" i="201"/>
  <c r="BH58" i="201" s="1"/>
  <c r="AO58" i="201"/>
  <c r="BG58" i="201" s="1"/>
  <c r="N58" i="201"/>
  <c r="AY57" i="201"/>
  <c r="AX57" i="201"/>
  <c r="AU57" i="201"/>
  <c r="BM57" i="201" s="1"/>
  <c r="AT57" i="201"/>
  <c r="BL57" i="201" s="1"/>
  <c r="AQ57" i="201"/>
  <c r="BI57" i="201" s="1"/>
  <c r="AP57" i="201"/>
  <c r="BH57" i="201" s="1"/>
  <c r="AO57" i="201"/>
  <c r="BG57" i="201" s="1"/>
  <c r="N57" i="201"/>
  <c r="AY56" i="201"/>
  <c r="AX56" i="201"/>
  <c r="AU56" i="201"/>
  <c r="BM56" i="201" s="1"/>
  <c r="AT56" i="201"/>
  <c r="BL56" i="201" s="1"/>
  <c r="AQ56" i="201"/>
  <c r="BI56" i="201" s="1"/>
  <c r="AP56" i="201"/>
  <c r="BH56" i="201" s="1"/>
  <c r="AO56" i="201"/>
  <c r="BG56" i="201" s="1"/>
  <c r="N56" i="201"/>
  <c r="AY55" i="201"/>
  <c r="AX55" i="201"/>
  <c r="AU55" i="201"/>
  <c r="BM55" i="201" s="1"/>
  <c r="AT55" i="201"/>
  <c r="BL55" i="201" s="1"/>
  <c r="BN55" i="201" s="1"/>
  <c r="AQ55" i="201"/>
  <c r="BI55" i="201" s="1"/>
  <c r="AP55" i="201"/>
  <c r="BH55" i="201" s="1"/>
  <c r="AO55" i="201"/>
  <c r="BG55" i="201" s="1"/>
  <c r="N55" i="201"/>
  <c r="AY54" i="201"/>
  <c r="AT54" i="201"/>
  <c r="BL54" i="201" s="1"/>
  <c r="BN54" i="201" s="1"/>
  <c r="AQ54" i="201"/>
  <c r="BI54" i="201" s="1"/>
  <c r="AP54" i="201"/>
  <c r="BH54" i="201" s="1"/>
  <c r="AO54" i="201"/>
  <c r="BG54" i="201" s="1"/>
  <c r="N54" i="201"/>
  <c r="AY53" i="201"/>
  <c r="AX53" i="201"/>
  <c r="AU53" i="201"/>
  <c r="BM53" i="201" s="1"/>
  <c r="AT53" i="201"/>
  <c r="BL53" i="201" s="1"/>
  <c r="AQ53" i="201"/>
  <c r="BI53" i="201" s="1"/>
  <c r="AP53" i="201"/>
  <c r="BH53" i="201" s="1"/>
  <c r="AO53" i="201"/>
  <c r="BG53" i="201" s="1"/>
  <c r="N53" i="201"/>
  <c r="AY52" i="201"/>
  <c r="AX52" i="201"/>
  <c r="AU52" i="201"/>
  <c r="BM52" i="201" s="1"/>
  <c r="AT52" i="201"/>
  <c r="BL52" i="201" s="1"/>
  <c r="AQ52" i="201"/>
  <c r="BI52" i="201" s="1"/>
  <c r="AP52" i="201"/>
  <c r="BH52" i="201" s="1"/>
  <c r="AO52" i="201"/>
  <c r="BG52" i="201" s="1"/>
  <c r="N52" i="201"/>
  <c r="AY51" i="201"/>
  <c r="AX51" i="201"/>
  <c r="AU51" i="201"/>
  <c r="BM51" i="201" s="1"/>
  <c r="AT51" i="201"/>
  <c r="BL51" i="201" s="1"/>
  <c r="AQ51" i="201"/>
  <c r="BI51" i="201" s="1"/>
  <c r="AP51" i="201"/>
  <c r="BH51" i="201" s="1"/>
  <c r="AO51" i="201"/>
  <c r="BG51" i="201" s="1"/>
  <c r="N51" i="201"/>
  <c r="BJ50" i="201"/>
  <c r="AY50" i="201"/>
  <c r="AX50" i="201"/>
  <c r="AU50" i="201"/>
  <c r="BM50" i="201" s="1"/>
  <c r="AT50" i="201"/>
  <c r="BL50" i="201" s="1"/>
  <c r="AQ50" i="201"/>
  <c r="BI50" i="201" s="1"/>
  <c r="AP50" i="201"/>
  <c r="BH50" i="201" s="1"/>
  <c r="N50" i="201"/>
  <c r="BV45" i="201"/>
  <c r="R45" i="201"/>
  <c r="Q45" i="201"/>
  <c r="M45" i="201"/>
  <c r="L45" i="201"/>
  <c r="I45" i="201"/>
  <c r="H45" i="201"/>
  <c r="F45" i="201"/>
  <c r="E45" i="201"/>
  <c r="D45" i="201"/>
  <c r="C45" i="201"/>
  <c r="BD44" i="201"/>
  <c r="BD92" i="201" s="1"/>
  <c r="BL92" i="201" s="1"/>
  <c r="BN92" i="201" s="1"/>
  <c r="AY44" i="201"/>
  <c r="AY92" i="201" s="1"/>
  <c r="AX44" i="201"/>
  <c r="AX92" i="201" s="1"/>
  <c r="AU44" i="201"/>
  <c r="BM44" i="201" s="1"/>
  <c r="AT44" i="201"/>
  <c r="AQ44" i="201"/>
  <c r="BI44" i="201" s="1"/>
  <c r="AP44" i="201"/>
  <c r="BH44" i="201" s="1"/>
  <c r="AO44" i="201"/>
  <c r="BD43" i="201"/>
  <c r="BD91" i="201" s="1"/>
  <c r="BL91" i="201" s="1"/>
  <c r="BN91" i="201" s="1"/>
  <c r="AY43" i="201"/>
  <c r="AY91" i="201" s="1"/>
  <c r="AX43" i="201"/>
  <c r="AX91" i="201" s="1"/>
  <c r="AU43" i="201"/>
  <c r="BM43" i="201" s="1"/>
  <c r="AT43" i="201"/>
  <c r="AQ43" i="201"/>
  <c r="BI43" i="201" s="1"/>
  <c r="AP43" i="201"/>
  <c r="BH43" i="201" s="1"/>
  <c r="AO43" i="201"/>
  <c r="BG43" i="201" s="1"/>
  <c r="BD42" i="201"/>
  <c r="BD90" i="201" s="1"/>
  <c r="BL90" i="201" s="1"/>
  <c r="BN90" i="201" s="1"/>
  <c r="AY42" i="201"/>
  <c r="AY90" i="201" s="1"/>
  <c r="AX42" i="201"/>
  <c r="AX90" i="201" s="1"/>
  <c r="AU42" i="201"/>
  <c r="BM42" i="201" s="1"/>
  <c r="AT42" i="201"/>
  <c r="AQ42" i="201"/>
  <c r="BI42" i="201" s="1"/>
  <c r="AP42" i="201"/>
  <c r="BH42" i="201" s="1"/>
  <c r="AO42" i="201"/>
  <c r="BG42" i="201" s="1"/>
  <c r="AY41" i="201"/>
  <c r="AY89" i="201" s="1"/>
  <c r="AX41" i="201"/>
  <c r="AX89" i="201" s="1"/>
  <c r="AU41" i="201"/>
  <c r="BM41" i="201" s="1"/>
  <c r="AT41" i="201"/>
  <c r="BL41" i="201" s="1"/>
  <c r="AQ41" i="201"/>
  <c r="BI41" i="201" s="1"/>
  <c r="AP41" i="201"/>
  <c r="BH41" i="201" s="1"/>
  <c r="AO41" i="201"/>
  <c r="BG41" i="201" s="1"/>
  <c r="BJ88" i="201"/>
  <c r="BK88" i="201" s="1"/>
  <c r="AY40" i="201"/>
  <c r="AY88" i="201" s="1"/>
  <c r="AX40" i="201"/>
  <c r="AX88" i="201" s="1"/>
  <c r="AU40" i="201"/>
  <c r="BM40" i="201" s="1"/>
  <c r="AT40" i="201"/>
  <c r="AQ40" i="201"/>
  <c r="BI40" i="201" s="1"/>
  <c r="AP40" i="201"/>
  <c r="BH40" i="201" s="1"/>
  <c r="AO40" i="201"/>
  <c r="BJ87" i="201"/>
  <c r="BK87" i="201" s="1"/>
  <c r="AY39" i="201"/>
  <c r="AU39" i="201"/>
  <c r="BM39" i="201" s="1"/>
  <c r="AT39" i="201"/>
  <c r="AQ39" i="201"/>
  <c r="BI39" i="201" s="1"/>
  <c r="AP39" i="201"/>
  <c r="BH39" i="201" s="1"/>
  <c r="AO39" i="201"/>
  <c r="AY38" i="201"/>
  <c r="AY86" i="201" s="1"/>
  <c r="AX38" i="201"/>
  <c r="AX86" i="201" s="1"/>
  <c r="AU38" i="201"/>
  <c r="BM38" i="201" s="1"/>
  <c r="AT38" i="201"/>
  <c r="BL38" i="201" s="1"/>
  <c r="AQ38" i="201"/>
  <c r="BI38" i="201" s="1"/>
  <c r="AP38" i="201"/>
  <c r="BH38" i="201" s="1"/>
  <c r="AO38" i="201"/>
  <c r="BG38" i="201" s="1"/>
  <c r="AY37" i="201"/>
  <c r="AX37" i="201"/>
  <c r="AU37" i="201"/>
  <c r="BM37" i="201" s="1"/>
  <c r="AT37" i="201"/>
  <c r="BL37" i="201" s="1"/>
  <c r="AQ37" i="201"/>
  <c r="BI37" i="201" s="1"/>
  <c r="AP37" i="201"/>
  <c r="BH37" i="201" s="1"/>
  <c r="AO37" i="201"/>
  <c r="BG37" i="201" s="1"/>
  <c r="BC36" i="201"/>
  <c r="AY36" i="201"/>
  <c r="AY84" i="201" s="1"/>
  <c r="AX36" i="201"/>
  <c r="AX84" i="201" s="1"/>
  <c r="AU36" i="201"/>
  <c r="BM36" i="201" s="1"/>
  <c r="AT36" i="201"/>
  <c r="BL36" i="201" s="1"/>
  <c r="AQ36" i="201"/>
  <c r="BI36" i="201" s="1"/>
  <c r="AP36" i="201"/>
  <c r="BH36" i="201" s="1"/>
  <c r="AO36" i="201"/>
  <c r="BG36" i="201" s="1"/>
  <c r="N36" i="201"/>
  <c r="BC35" i="201"/>
  <c r="AY35" i="201"/>
  <c r="AY83" i="201" s="1"/>
  <c r="AX35" i="201"/>
  <c r="AX83" i="201" s="1"/>
  <c r="AU35" i="201"/>
  <c r="BM35" i="201" s="1"/>
  <c r="AT35" i="201"/>
  <c r="BL35" i="201" s="1"/>
  <c r="AQ35" i="201"/>
  <c r="BI35" i="201" s="1"/>
  <c r="AP35" i="201"/>
  <c r="BH35" i="201" s="1"/>
  <c r="AO35" i="201"/>
  <c r="BG35" i="201" s="1"/>
  <c r="X75" i="201"/>
  <c r="X74" i="201"/>
  <c r="X73" i="201"/>
  <c r="X72" i="201"/>
  <c r="X71" i="201"/>
  <c r="X70" i="201"/>
  <c r="X69" i="201"/>
  <c r="X68" i="201"/>
  <c r="X67" i="201"/>
  <c r="AE422" i="183"/>
  <c r="AD422" i="183"/>
  <c r="AB422" i="183"/>
  <c r="AA422" i="183"/>
  <c r="Y422" i="183"/>
  <c r="X422" i="183"/>
  <c r="U422" i="183"/>
  <c r="T422" i="183"/>
  <c r="R422" i="183"/>
  <c r="Q422" i="183"/>
  <c r="O422" i="183"/>
  <c r="N422" i="183"/>
  <c r="K422" i="183"/>
  <c r="J422" i="183"/>
  <c r="H422" i="183"/>
  <c r="G422" i="183"/>
  <c r="E422" i="183"/>
  <c r="D422" i="183"/>
  <c r="AF421" i="183"/>
  <c r="AC421" i="183"/>
  <c r="Z421" i="183"/>
  <c r="V421" i="183"/>
  <c r="S421" i="183"/>
  <c r="P421" i="183"/>
  <c r="L421" i="183"/>
  <c r="I421" i="183"/>
  <c r="F421" i="183"/>
  <c r="AF420" i="183"/>
  <c r="AC420" i="183"/>
  <c r="Z420" i="183"/>
  <c r="V420" i="183"/>
  <c r="S420" i="183"/>
  <c r="P420" i="183"/>
  <c r="L420" i="183"/>
  <c r="I420" i="183"/>
  <c r="F420" i="183"/>
  <c r="AF419" i="183"/>
  <c r="AC419" i="183"/>
  <c r="Z419" i="183"/>
  <c r="V419" i="183"/>
  <c r="S419" i="183"/>
  <c r="P419" i="183"/>
  <c r="L419" i="183"/>
  <c r="I419" i="183"/>
  <c r="F419" i="183"/>
  <c r="AF418" i="183"/>
  <c r="AC418" i="183"/>
  <c r="Z418" i="183"/>
  <c r="V418" i="183"/>
  <c r="S418" i="183"/>
  <c r="P418" i="183"/>
  <c r="L418" i="183"/>
  <c r="I418" i="183"/>
  <c r="F418" i="183"/>
  <c r="AF417" i="183"/>
  <c r="AC417" i="183"/>
  <c r="Z417" i="183"/>
  <c r="V417" i="183"/>
  <c r="S417" i="183"/>
  <c r="P417" i="183"/>
  <c r="L417" i="183"/>
  <c r="I417" i="183"/>
  <c r="F417" i="183"/>
  <c r="AF416" i="183"/>
  <c r="AC416" i="183"/>
  <c r="Z416" i="183"/>
  <c r="V416" i="183"/>
  <c r="S416" i="183"/>
  <c r="P416" i="183"/>
  <c r="L416" i="183"/>
  <c r="I416" i="183"/>
  <c r="F416" i="183"/>
  <c r="AF415" i="183"/>
  <c r="AC415" i="183"/>
  <c r="Z415" i="183"/>
  <c r="V415" i="183"/>
  <c r="S415" i="183"/>
  <c r="P415" i="183"/>
  <c r="L415" i="183"/>
  <c r="I415" i="183"/>
  <c r="F415" i="183"/>
  <c r="AF414" i="183"/>
  <c r="AC414" i="183"/>
  <c r="Z414" i="183"/>
  <c r="V414" i="183"/>
  <c r="S414" i="183"/>
  <c r="P414" i="183"/>
  <c r="L414" i="183"/>
  <c r="I414" i="183"/>
  <c r="F414" i="183"/>
  <c r="AF413" i="183"/>
  <c r="AC413" i="183"/>
  <c r="Z413" i="183"/>
  <c r="V413" i="183"/>
  <c r="S413" i="183"/>
  <c r="P413" i="183"/>
  <c r="L413" i="183"/>
  <c r="I413" i="183"/>
  <c r="F413" i="183"/>
  <c r="AF412" i="183"/>
  <c r="AC412" i="183"/>
  <c r="Z412" i="183"/>
  <c r="V412" i="183"/>
  <c r="S412" i="183"/>
  <c r="P412" i="183"/>
  <c r="L412" i="183"/>
  <c r="I412" i="183"/>
  <c r="F412" i="183"/>
  <c r="AF411" i="183"/>
  <c r="AC411" i="183"/>
  <c r="Z411" i="183"/>
  <c r="V411" i="183"/>
  <c r="S411" i="183"/>
  <c r="P411" i="183"/>
  <c r="L411" i="183"/>
  <c r="I411" i="183"/>
  <c r="F411" i="183"/>
  <c r="AF410" i="183"/>
  <c r="AC410" i="183"/>
  <c r="Z410" i="183"/>
  <c r="AG410" i="183" s="1"/>
  <c r="V410" i="183"/>
  <c r="S410" i="183"/>
  <c r="P410" i="183"/>
  <c r="L410" i="183"/>
  <c r="I410" i="183"/>
  <c r="F410" i="183"/>
  <c r="C410" i="183"/>
  <c r="H386" i="183"/>
  <c r="G386" i="183"/>
  <c r="H385" i="183"/>
  <c r="G385" i="183"/>
  <c r="H384" i="183"/>
  <c r="G384" i="183"/>
  <c r="G383" i="183"/>
  <c r="H382" i="183"/>
  <c r="G382" i="183"/>
  <c r="H381" i="183"/>
  <c r="G381" i="183"/>
  <c r="H380" i="183"/>
  <c r="G380" i="183"/>
  <c r="H379" i="183"/>
  <c r="G379" i="183"/>
  <c r="G378" i="183"/>
  <c r="T373" i="183"/>
  <c r="S373" i="183"/>
  <c r="T372" i="183"/>
  <c r="S372" i="183"/>
  <c r="T371" i="183"/>
  <c r="S371" i="183"/>
  <c r="T370" i="183"/>
  <c r="S370" i="183"/>
  <c r="T369" i="183"/>
  <c r="S369" i="183"/>
  <c r="T368" i="183"/>
  <c r="S368" i="183"/>
  <c r="T367" i="183"/>
  <c r="S367" i="183"/>
  <c r="T366" i="183"/>
  <c r="S366" i="183"/>
  <c r="T365" i="183"/>
  <c r="S365" i="183"/>
  <c r="T364" i="183"/>
  <c r="S364" i="183"/>
  <c r="T363" i="183"/>
  <c r="S363" i="183"/>
  <c r="Q352" i="183"/>
  <c r="P352" i="183"/>
  <c r="L351" i="183"/>
  <c r="K351" i="183"/>
  <c r="I351" i="183"/>
  <c r="J351" i="183" s="1"/>
  <c r="H351" i="183"/>
  <c r="G351" i="183"/>
  <c r="M350" i="183"/>
  <c r="C350" i="183"/>
  <c r="C349" i="183"/>
  <c r="M347" i="183"/>
  <c r="J386" i="183"/>
  <c r="C346" i="183"/>
  <c r="I386" i="183" s="1"/>
  <c r="M343" i="183"/>
  <c r="C343" i="183"/>
  <c r="M340" i="183"/>
  <c r="C340" i="183"/>
  <c r="Q339" i="183"/>
  <c r="P339" i="183"/>
  <c r="D338" i="183"/>
  <c r="C338" i="183"/>
  <c r="M337" i="183"/>
  <c r="C337" i="183"/>
  <c r="Q336" i="183"/>
  <c r="P336" i="183"/>
  <c r="M335" i="183"/>
  <c r="C335" i="183"/>
  <c r="M332" i="183"/>
  <c r="C332" i="183"/>
  <c r="M331" i="183"/>
  <c r="F331" i="183"/>
  <c r="C331" i="183"/>
  <c r="M330" i="183"/>
  <c r="C330" i="183"/>
  <c r="Q320" i="183"/>
  <c r="P320" i="183"/>
  <c r="L319" i="183"/>
  <c r="K319" i="183"/>
  <c r="I319" i="183"/>
  <c r="J319" i="183" s="1"/>
  <c r="H319" i="183"/>
  <c r="G319" i="183"/>
  <c r="M318" i="183"/>
  <c r="C318" i="183"/>
  <c r="C317" i="183"/>
  <c r="M315" i="183"/>
  <c r="D314" i="183"/>
  <c r="J385" i="183" s="1"/>
  <c r="C314" i="183"/>
  <c r="I385" i="183" s="1"/>
  <c r="M311" i="183"/>
  <c r="C311" i="183"/>
  <c r="M308" i="183"/>
  <c r="C308" i="183"/>
  <c r="Q307" i="183"/>
  <c r="P307" i="183"/>
  <c r="D306" i="183"/>
  <c r="C306" i="183"/>
  <c r="M305" i="183"/>
  <c r="C305" i="183"/>
  <c r="Q304" i="183"/>
  <c r="P304" i="183"/>
  <c r="M303" i="183"/>
  <c r="C303" i="183"/>
  <c r="M300" i="183"/>
  <c r="C300" i="183"/>
  <c r="M299" i="183"/>
  <c r="C299" i="183"/>
  <c r="M298" i="183"/>
  <c r="C298" i="183"/>
  <c r="Q288" i="183"/>
  <c r="P288" i="183"/>
  <c r="L287" i="183"/>
  <c r="K287" i="183"/>
  <c r="I287" i="183"/>
  <c r="J287" i="183" s="1"/>
  <c r="H287" i="183"/>
  <c r="G287" i="183"/>
  <c r="Q286" i="183"/>
  <c r="P286" i="183"/>
  <c r="C286" i="183"/>
  <c r="C285" i="183"/>
  <c r="M283" i="183"/>
  <c r="D282" i="183"/>
  <c r="J384" i="183" s="1"/>
  <c r="C282" i="183"/>
  <c r="I384" i="183" s="1"/>
  <c r="M279" i="183"/>
  <c r="C279" i="183"/>
  <c r="M276" i="183"/>
  <c r="C276" i="183"/>
  <c r="Q275" i="183"/>
  <c r="P275" i="183"/>
  <c r="D274" i="183"/>
  <c r="C274" i="183"/>
  <c r="M273" i="183"/>
  <c r="C273" i="183"/>
  <c r="Q272" i="183"/>
  <c r="P272" i="183"/>
  <c r="M271" i="183"/>
  <c r="C271" i="183"/>
  <c r="M268" i="183"/>
  <c r="C268" i="183"/>
  <c r="M267" i="183"/>
  <c r="F267" i="183"/>
  <c r="C267" i="183"/>
  <c r="M266" i="183"/>
  <c r="C266" i="183"/>
  <c r="Q256" i="183"/>
  <c r="P256" i="183"/>
  <c r="E255" i="183"/>
  <c r="G255" i="183" s="1"/>
  <c r="N254" i="183"/>
  <c r="M254" i="183"/>
  <c r="D254" i="183"/>
  <c r="C254" i="183"/>
  <c r="D253" i="183"/>
  <c r="C253" i="183"/>
  <c r="M251" i="183"/>
  <c r="J383" i="183"/>
  <c r="C250" i="183"/>
  <c r="I383" i="183" s="1"/>
  <c r="M247" i="183"/>
  <c r="D247" i="183"/>
  <c r="C247" i="183"/>
  <c r="M244" i="183"/>
  <c r="D244" i="183"/>
  <c r="C244" i="183"/>
  <c r="Q243" i="183"/>
  <c r="P243" i="183"/>
  <c r="D242" i="183"/>
  <c r="D258" i="183" s="1"/>
  <c r="C242" i="183"/>
  <c r="M241" i="183"/>
  <c r="D241" i="183"/>
  <c r="C241" i="183"/>
  <c r="Q240" i="183"/>
  <c r="P240" i="183"/>
  <c r="M239" i="183"/>
  <c r="D239" i="183"/>
  <c r="C239" i="183"/>
  <c r="M236" i="183"/>
  <c r="D236" i="183"/>
  <c r="C236" i="183"/>
  <c r="N235" i="183"/>
  <c r="M235" i="183"/>
  <c r="D235" i="183"/>
  <c r="C235" i="183"/>
  <c r="M234" i="183"/>
  <c r="D234" i="183"/>
  <c r="C234" i="183"/>
  <c r="Q224" i="183"/>
  <c r="P224" i="183"/>
  <c r="L223" i="183"/>
  <c r="K223" i="183"/>
  <c r="I223" i="183"/>
  <c r="J223" i="183" s="1"/>
  <c r="H223" i="183"/>
  <c r="G223" i="183"/>
  <c r="N222" i="183"/>
  <c r="M222" i="183"/>
  <c r="D222" i="183"/>
  <c r="C222" i="183"/>
  <c r="D221" i="183"/>
  <c r="C221" i="183"/>
  <c r="M219" i="183"/>
  <c r="D218" i="183"/>
  <c r="C218" i="183"/>
  <c r="I382" i="183" s="1"/>
  <c r="M215" i="183"/>
  <c r="D215" i="183"/>
  <c r="C215" i="183"/>
  <c r="M212" i="183"/>
  <c r="D212" i="183"/>
  <c r="C212" i="183"/>
  <c r="Q211" i="183"/>
  <c r="P211" i="183"/>
  <c r="D210" i="183"/>
  <c r="C210" i="183"/>
  <c r="M209" i="183"/>
  <c r="F209" i="183"/>
  <c r="D209" i="183"/>
  <c r="C209" i="183"/>
  <c r="Q208" i="183"/>
  <c r="P208" i="183"/>
  <c r="M207" i="183"/>
  <c r="D207" i="183"/>
  <c r="C207" i="183"/>
  <c r="M204" i="183"/>
  <c r="D204" i="183"/>
  <c r="C204" i="183"/>
  <c r="N203" i="183"/>
  <c r="M203" i="183"/>
  <c r="D203" i="183"/>
  <c r="C203" i="183"/>
  <c r="M202" i="183"/>
  <c r="D202" i="183"/>
  <c r="C202" i="183"/>
  <c r="Q192" i="183"/>
  <c r="P192" i="183"/>
  <c r="L191" i="183"/>
  <c r="K191" i="183"/>
  <c r="I191" i="183"/>
  <c r="J191" i="183" s="1"/>
  <c r="H191" i="183"/>
  <c r="G191" i="183"/>
  <c r="M190" i="183"/>
  <c r="D190" i="183"/>
  <c r="C190" i="183"/>
  <c r="D189" i="183"/>
  <c r="C189" i="183"/>
  <c r="M187" i="183"/>
  <c r="D186" i="183"/>
  <c r="J381" i="183" s="1"/>
  <c r="C186" i="183"/>
  <c r="I381" i="183" s="1"/>
  <c r="M183" i="183"/>
  <c r="D183" i="183"/>
  <c r="C183" i="183"/>
  <c r="M180" i="183"/>
  <c r="D180" i="183"/>
  <c r="C180" i="183"/>
  <c r="Q179" i="183"/>
  <c r="P179" i="183"/>
  <c r="D178" i="183"/>
  <c r="C178" i="183"/>
  <c r="M177" i="183"/>
  <c r="D177" i="183"/>
  <c r="C177" i="183"/>
  <c r="Q176" i="183"/>
  <c r="P176" i="183"/>
  <c r="M175" i="183"/>
  <c r="D175" i="183"/>
  <c r="C175" i="183"/>
  <c r="M172" i="183"/>
  <c r="D172" i="183"/>
  <c r="C172" i="183"/>
  <c r="N171" i="183"/>
  <c r="M171" i="183"/>
  <c r="D171" i="183"/>
  <c r="C171" i="183"/>
  <c r="M170" i="183"/>
  <c r="D170" i="183"/>
  <c r="C170" i="183"/>
  <c r="Q160" i="183"/>
  <c r="P160" i="183"/>
  <c r="L159" i="183"/>
  <c r="K159" i="183"/>
  <c r="I159" i="183"/>
  <c r="J159" i="183" s="1"/>
  <c r="H159" i="183"/>
  <c r="G159" i="183"/>
  <c r="M158" i="183"/>
  <c r="D158" i="183"/>
  <c r="C158" i="183"/>
  <c r="D157" i="183"/>
  <c r="C157" i="183"/>
  <c r="M155" i="183"/>
  <c r="D154" i="183"/>
  <c r="J380" i="183" s="1"/>
  <c r="C154" i="183"/>
  <c r="I380" i="183" s="1"/>
  <c r="M151" i="183"/>
  <c r="D151" i="183"/>
  <c r="C151" i="183"/>
  <c r="M148" i="183"/>
  <c r="D148" i="183"/>
  <c r="C148" i="183"/>
  <c r="Q147" i="183"/>
  <c r="P147" i="183"/>
  <c r="D146" i="183"/>
  <c r="C146" i="183"/>
  <c r="M145" i="183"/>
  <c r="D145" i="183"/>
  <c r="C145" i="183"/>
  <c r="Q144" i="183"/>
  <c r="P144" i="183"/>
  <c r="M143" i="183"/>
  <c r="D143" i="183"/>
  <c r="C143" i="183"/>
  <c r="M140" i="183"/>
  <c r="D140" i="183"/>
  <c r="C140" i="183"/>
  <c r="N139" i="183"/>
  <c r="M139" i="183"/>
  <c r="D139" i="183"/>
  <c r="C139" i="183"/>
  <c r="M138" i="183"/>
  <c r="D138" i="183"/>
  <c r="C138" i="183"/>
  <c r="K136" i="183"/>
  <c r="G136" i="183"/>
  <c r="Q128" i="183"/>
  <c r="P128" i="183"/>
  <c r="L127" i="183"/>
  <c r="K127" i="183"/>
  <c r="I127" i="183"/>
  <c r="J127" i="183" s="1"/>
  <c r="H127" i="183"/>
  <c r="G127" i="183"/>
  <c r="N126" i="183"/>
  <c r="M126" i="183"/>
  <c r="D126" i="183"/>
  <c r="C126" i="183"/>
  <c r="D125" i="183"/>
  <c r="C125" i="183"/>
  <c r="M123" i="183"/>
  <c r="D122" i="183"/>
  <c r="J379" i="183" s="1"/>
  <c r="C122" i="183"/>
  <c r="I379" i="183" s="1"/>
  <c r="M119" i="183"/>
  <c r="D119" i="183"/>
  <c r="C119" i="183"/>
  <c r="M116" i="183"/>
  <c r="D116" i="183"/>
  <c r="C116" i="183"/>
  <c r="Q115" i="183"/>
  <c r="P115" i="183"/>
  <c r="D114" i="183"/>
  <c r="C114" i="183"/>
  <c r="M113" i="183"/>
  <c r="D113" i="183"/>
  <c r="C113" i="183"/>
  <c r="Q112" i="183"/>
  <c r="P112" i="183"/>
  <c r="M111" i="183"/>
  <c r="D111" i="183"/>
  <c r="C111" i="183"/>
  <c r="M108" i="183"/>
  <c r="D108" i="183"/>
  <c r="C108" i="183"/>
  <c r="N107" i="183"/>
  <c r="M107" i="183"/>
  <c r="D107" i="183"/>
  <c r="C107" i="183"/>
  <c r="M106" i="183"/>
  <c r="C106" i="183"/>
  <c r="Q96" i="183"/>
  <c r="P96" i="183"/>
  <c r="H378" i="183"/>
  <c r="N94" i="183"/>
  <c r="M94" i="183"/>
  <c r="D94" i="183"/>
  <c r="C94" i="183"/>
  <c r="D93" i="183"/>
  <c r="C93" i="183"/>
  <c r="M91" i="183"/>
  <c r="C90" i="183"/>
  <c r="I378" i="183" s="1"/>
  <c r="M87" i="183"/>
  <c r="D87" i="183"/>
  <c r="C87" i="183"/>
  <c r="M84" i="183"/>
  <c r="D84" i="183"/>
  <c r="C84" i="183"/>
  <c r="Q83" i="183"/>
  <c r="P83" i="183"/>
  <c r="D82" i="183"/>
  <c r="C82" i="183"/>
  <c r="M81" i="183"/>
  <c r="D81" i="183"/>
  <c r="C81" i="183"/>
  <c r="Q80" i="183"/>
  <c r="P80" i="183"/>
  <c r="M79" i="183"/>
  <c r="D79" i="183"/>
  <c r="C79" i="183"/>
  <c r="M76" i="183"/>
  <c r="D76" i="183"/>
  <c r="C76" i="183"/>
  <c r="N75" i="183"/>
  <c r="M75" i="183"/>
  <c r="D75" i="183"/>
  <c r="C75" i="183"/>
  <c r="M74" i="183"/>
  <c r="D74" i="183"/>
  <c r="C74" i="183"/>
  <c r="L63" i="183"/>
  <c r="K63" i="183"/>
  <c r="I63" i="183"/>
  <c r="J63" i="183" s="1"/>
  <c r="H63" i="183"/>
  <c r="G63" i="183"/>
  <c r="N62" i="183"/>
  <c r="M62" i="183"/>
  <c r="D62" i="183"/>
  <c r="C62" i="183"/>
  <c r="D61" i="183"/>
  <c r="C61" i="183"/>
  <c r="M59" i="183"/>
  <c r="D58" i="183"/>
  <c r="C58" i="183"/>
  <c r="I377" i="183" s="1"/>
  <c r="M55" i="183"/>
  <c r="D55" i="183"/>
  <c r="C55" i="183"/>
  <c r="M52" i="183"/>
  <c r="D52" i="183"/>
  <c r="C52" i="183"/>
  <c r="Q51" i="183"/>
  <c r="P51" i="183"/>
  <c r="D50" i="183"/>
  <c r="C50" i="183"/>
  <c r="C66" i="183" s="1"/>
  <c r="M49" i="183"/>
  <c r="D49" i="183"/>
  <c r="C49" i="183"/>
  <c r="Q48" i="183"/>
  <c r="P48" i="183"/>
  <c r="M47" i="183"/>
  <c r="D47" i="183"/>
  <c r="C47" i="183"/>
  <c r="M44" i="183"/>
  <c r="D44" i="183"/>
  <c r="C44" i="183"/>
  <c r="N43" i="183"/>
  <c r="M43" i="183"/>
  <c r="D43" i="183"/>
  <c r="C43" i="183"/>
  <c r="M42" i="183"/>
  <c r="D42" i="183"/>
  <c r="C42" i="183"/>
  <c r="Q41" i="183"/>
  <c r="Q73" i="183" s="1"/>
  <c r="Q105" i="183" s="1"/>
  <c r="Q137" i="183" s="1"/>
  <c r="Q169" i="183" s="1"/>
  <c r="Q201" i="183" s="1"/>
  <c r="Q233" i="183" s="1"/>
  <c r="Q265" i="183" s="1"/>
  <c r="Q297" i="183" s="1"/>
  <c r="Q329" i="183" s="1"/>
  <c r="P41" i="183"/>
  <c r="P73" i="183" s="1"/>
  <c r="P105" i="183" s="1"/>
  <c r="P137" i="183" s="1"/>
  <c r="P169" i="183" s="1"/>
  <c r="P201" i="183" s="1"/>
  <c r="P233" i="183" s="1"/>
  <c r="P265" i="183" s="1"/>
  <c r="P297" i="183" s="1"/>
  <c r="P329" i="183" s="1"/>
  <c r="F41" i="183"/>
  <c r="F73" i="183" s="1"/>
  <c r="F105" i="183" s="1"/>
  <c r="F137" i="183" s="1"/>
  <c r="F169" i="183" s="1"/>
  <c r="F201" i="183" s="1"/>
  <c r="F233" i="183" s="1"/>
  <c r="F265" i="183" s="1"/>
  <c r="F297" i="183" s="1"/>
  <c r="F329" i="183" s="1"/>
  <c r="F36" i="183"/>
  <c r="F31" i="183"/>
  <c r="D31" i="183"/>
  <c r="C31" i="183"/>
  <c r="Q19" i="183"/>
  <c r="P19" i="183"/>
  <c r="M15" i="183"/>
  <c r="M12" i="183"/>
  <c r="M11" i="183"/>
  <c r="M10" i="183"/>
  <c r="C9" i="183"/>
  <c r="M9" i="183" s="1"/>
  <c r="M41" i="183" s="1"/>
  <c r="M73" i="183" s="1"/>
  <c r="M105" i="183" s="1"/>
  <c r="M137" i="183" s="1"/>
  <c r="M169" i="183" s="1"/>
  <c r="M201" i="183" s="1"/>
  <c r="M233" i="183" s="1"/>
  <c r="M265" i="183" s="1"/>
  <c r="M297" i="183" s="1"/>
  <c r="M329" i="183" s="1"/>
  <c r="M508" i="182"/>
  <c r="C508" i="182"/>
  <c r="M507" i="182"/>
  <c r="C507" i="182"/>
  <c r="M506" i="182"/>
  <c r="F506" i="182"/>
  <c r="C506" i="182"/>
  <c r="N505" i="182"/>
  <c r="M505" i="182"/>
  <c r="D505" i="182"/>
  <c r="C505" i="182"/>
  <c r="N504" i="182"/>
  <c r="M504" i="182"/>
  <c r="D504" i="182"/>
  <c r="C504" i="182"/>
  <c r="N503" i="182"/>
  <c r="M503" i="182"/>
  <c r="D503" i="182"/>
  <c r="C503" i="182"/>
  <c r="N502" i="182"/>
  <c r="M502" i="182"/>
  <c r="D502" i="182"/>
  <c r="C502" i="182"/>
  <c r="N501" i="182"/>
  <c r="M501" i="182"/>
  <c r="D501" i="182"/>
  <c r="C501" i="182"/>
  <c r="N500" i="182"/>
  <c r="M500" i="182"/>
  <c r="D500" i="182"/>
  <c r="C500" i="182"/>
  <c r="N499" i="182"/>
  <c r="M499" i="182"/>
  <c r="D499" i="182"/>
  <c r="C499" i="182"/>
  <c r="C491" i="182"/>
  <c r="C490" i="182"/>
  <c r="C489" i="182"/>
  <c r="D488" i="182"/>
  <c r="C488" i="182"/>
  <c r="D487" i="182"/>
  <c r="C487" i="182"/>
  <c r="D486" i="182"/>
  <c r="C486" i="182"/>
  <c r="D485" i="182"/>
  <c r="C485" i="182"/>
  <c r="D484" i="182"/>
  <c r="C484" i="182"/>
  <c r="D483" i="182"/>
  <c r="C483" i="182"/>
  <c r="D482" i="182"/>
  <c r="C482" i="182"/>
  <c r="K475" i="182"/>
  <c r="K474" i="182"/>
  <c r="C474" i="182"/>
  <c r="K473" i="182"/>
  <c r="C473" i="182"/>
  <c r="K472" i="182"/>
  <c r="C472" i="182"/>
  <c r="K471" i="182"/>
  <c r="D471" i="182"/>
  <c r="C471" i="182"/>
  <c r="K470" i="182"/>
  <c r="D470" i="182"/>
  <c r="C470" i="182"/>
  <c r="K469" i="182"/>
  <c r="D469" i="182"/>
  <c r="C469" i="182"/>
  <c r="K468" i="182"/>
  <c r="D468" i="182"/>
  <c r="C468" i="182"/>
  <c r="K467" i="182"/>
  <c r="D467" i="182"/>
  <c r="C467" i="182"/>
  <c r="K466" i="182"/>
  <c r="D466" i="182"/>
  <c r="C466" i="182"/>
  <c r="K465" i="182"/>
  <c r="D465" i="182"/>
  <c r="C465" i="182"/>
  <c r="K459" i="182"/>
  <c r="K458" i="182"/>
  <c r="C458" i="182"/>
  <c r="K457" i="182"/>
  <c r="C457" i="182"/>
  <c r="K456" i="182"/>
  <c r="C456" i="182"/>
  <c r="K455" i="182"/>
  <c r="F455" i="182"/>
  <c r="D455" i="182"/>
  <c r="C455" i="182"/>
  <c r="K454" i="182"/>
  <c r="D454" i="182"/>
  <c r="C454" i="182"/>
  <c r="K453" i="182"/>
  <c r="D453" i="182"/>
  <c r="C453" i="182"/>
  <c r="K452" i="182"/>
  <c r="D452" i="182"/>
  <c r="C452" i="182"/>
  <c r="K451" i="182"/>
  <c r="D451" i="182"/>
  <c r="C451" i="182"/>
  <c r="K450" i="182"/>
  <c r="D450" i="182"/>
  <c r="C450" i="182"/>
  <c r="K449" i="182"/>
  <c r="D449" i="182"/>
  <c r="C449" i="182"/>
  <c r="K443" i="182"/>
  <c r="K442" i="182"/>
  <c r="C442" i="182"/>
  <c r="K441" i="182"/>
  <c r="C441" i="182"/>
  <c r="K440" i="182"/>
  <c r="C440" i="182"/>
  <c r="K439" i="182"/>
  <c r="D439" i="182"/>
  <c r="C439" i="182"/>
  <c r="K438" i="182"/>
  <c r="D438" i="182"/>
  <c r="C438" i="182"/>
  <c r="K437" i="182"/>
  <c r="D437" i="182"/>
  <c r="C437" i="182"/>
  <c r="K436" i="182"/>
  <c r="D436" i="182"/>
  <c r="C436" i="182"/>
  <c r="K435" i="182"/>
  <c r="D435" i="182"/>
  <c r="C435" i="182"/>
  <c r="K434" i="182"/>
  <c r="D434" i="182"/>
  <c r="C434" i="182"/>
  <c r="K433" i="182"/>
  <c r="D433" i="182"/>
  <c r="C433" i="182"/>
  <c r="K427" i="182"/>
  <c r="K426" i="182"/>
  <c r="C426" i="182"/>
  <c r="K425" i="182"/>
  <c r="C425" i="182"/>
  <c r="K424" i="182"/>
  <c r="C424" i="182"/>
  <c r="K423" i="182"/>
  <c r="D423" i="182"/>
  <c r="C423" i="182"/>
  <c r="K422" i="182"/>
  <c r="D422" i="182"/>
  <c r="C422" i="182"/>
  <c r="K421" i="182"/>
  <c r="F421" i="182"/>
  <c r="D421" i="182"/>
  <c r="C421" i="182"/>
  <c r="K420" i="182"/>
  <c r="D420" i="182"/>
  <c r="C420" i="182"/>
  <c r="K419" i="182"/>
  <c r="D419" i="182"/>
  <c r="C419" i="182"/>
  <c r="K418" i="182"/>
  <c r="D418" i="182"/>
  <c r="C418" i="182"/>
  <c r="K417" i="182"/>
  <c r="D417" i="182"/>
  <c r="C417" i="182"/>
  <c r="K411" i="182"/>
  <c r="K410" i="182"/>
  <c r="C410" i="182"/>
  <c r="K409" i="182"/>
  <c r="C409" i="182"/>
  <c r="K408" i="182"/>
  <c r="C408" i="182"/>
  <c r="K407" i="182"/>
  <c r="D407" i="182"/>
  <c r="C407" i="182"/>
  <c r="K406" i="182"/>
  <c r="D406" i="182"/>
  <c r="C406" i="182"/>
  <c r="K405" i="182"/>
  <c r="D405" i="182"/>
  <c r="C405" i="182"/>
  <c r="K404" i="182"/>
  <c r="D404" i="182"/>
  <c r="C404" i="182"/>
  <c r="K403" i="182"/>
  <c r="D403" i="182"/>
  <c r="C403" i="182"/>
  <c r="K402" i="182"/>
  <c r="D402" i="182"/>
  <c r="C402" i="182"/>
  <c r="K401" i="182"/>
  <c r="D401" i="182"/>
  <c r="C401" i="182"/>
  <c r="K395" i="182"/>
  <c r="K394" i="182"/>
  <c r="F394" i="182"/>
  <c r="C394" i="182"/>
  <c r="K393" i="182"/>
  <c r="C393" i="182"/>
  <c r="K392" i="182"/>
  <c r="C392" i="182"/>
  <c r="L391" i="182"/>
  <c r="K391" i="182"/>
  <c r="D391" i="182"/>
  <c r="C391" i="182"/>
  <c r="L390" i="182"/>
  <c r="K390" i="182"/>
  <c r="D390" i="182"/>
  <c r="C390" i="182"/>
  <c r="L389" i="182"/>
  <c r="K389" i="182"/>
  <c r="D389" i="182"/>
  <c r="C389" i="182"/>
  <c r="L388" i="182"/>
  <c r="K388" i="182"/>
  <c r="D388" i="182"/>
  <c r="C388" i="182"/>
  <c r="L387" i="182"/>
  <c r="K387" i="182"/>
  <c r="D387" i="182"/>
  <c r="C387" i="182"/>
  <c r="L386" i="182"/>
  <c r="K386" i="182"/>
  <c r="D386" i="182"/>
  <c r="C386" i="182"/>
  <c r="L385" i="182"/>
  <c r="K385" i="182"/>
  <c r="F385" i="182"/>
  <c r="D385" i="182"/>
  <c r="C385" i="182"/>
  <c r="C377" i="182"/>
  <c r="C376" i="182"/>
  <c r="C375" i="182"/>
  <c r="D374" i="182"/>
  <c r="C374" i="182"/>
  <c r="D373" i="182"/>
  <c r="C373" i="182"/>
  <c r="D372" i="182"/>
  <c r="C372" i="182"/>
  <c r="D371" i="182"/>
  <c r="C371" i="182"/>
  <c r="D370" i="182"/>
  <c r="C370" i="182"/>
  <c r="D369" i="182"/>
  <c r="C369" i="182"/>
  <c r="D368" i="182"/>
  <c r="C368" i="182"/>
  <c r="C357" i="182"/>
  <c r="C356" i="182"/>
  <c r="C355" i="182"/>
  <c r="D354" i="182"/>
  <c r="C354" i="182"/>
  <c r="D353" i="182"/>
  <c r="C353" i="182"/>
  <c r="D352" i="182"/>
  <c r="C352" i="182"/>
  <c r="D351" i="182"/>
  <c r="C351" i="182"/>
  <c r="D350" i="182"/>
  <c r="C350" i="182"/>
  <c r="D349" i="182"/>
  <c r="C349" i="182"/>
  <c r="D348" i="182"/>
  <c r="C348" i="182"/>
  <c r="N350" i="183"/>
  <c r="F491" i="182"/>
  <c r="E334" i="182"/>
  <c r="N508" i="182"/>
  <c r="F349" i="183"/>
  <c r="E333" i="182"/>
  <c r="N347" i="183"/>
  <c r="F346" i="183"/>
  <c r="E330" i="182"/>
  <c r="E346" i="183" s="1"/>
  <c r="F345" i="183"/>
  <c r="N343" i="183"/>
  <c r="F343" i="183"/>
  <c r="E328" i="182"/>
  <c r="F338" i="183"/>
  <c r="E327" i="182"/>
  <c r="F426" i="182"/>
  <c r="E325" i="182"/>
  <c r="L442" i="182"/>
  <c r="F332" i="183"/>
  <c r="F334" i="183" s="1"/>
  <c r="E321" i="182"/>
  <c r="E323" i="182" s="1"/>
  <c r="D442" i="182"/>
  <c r="L474" i="182"/>
  <c r="F474" i="182"/>
  <c r="E318" i="182"/>
  <c r="E320" i="182" s="1"/>
  <c r="D340" i="183"/>
  <c r="F377" i="182"/>
  <c r="E316" i="182"/>
  <c r="E315" i="182"/>
  <c r="D394" i="182"/>
  <c r="N330" i="183"/>
  <c r="D330" i="183"/>
  <c r="E304" i="182"/>
  <c r="N507" i="182"/>
  <c r="F507" i="182"/>
  <c r="E303" i="182"/>
  <c r="F314" i="183"/>
  <c r="E300" i="182"/>
  <c r="E314" i="183" s="1"/>
  <c r="F313" i="183"/>
  <c r="F311" i="183"/>
  <c r="E298" i="182"/>
  <c r="D311" i="183"/>
  <c r="F306" i="183"/>
  <c r="E297" i="182"/>
  <c r="F425" i="182"/>
  <c r="F303" i="183"/>
  <c r="E295" i="182"/>
  <c r="E291" i="182"/>
  <c r="E293" i="182" s="1"/>
  <c r="D441" i="182"/>
  <c r="F308" i="183"/>
  <c r="F310" i="183" s="1"/>
  <c r="E288" i="182"/>
  <c r="E290" i="182" s="1"/>
  <c r="F376" i="182"/>
  <c r="E286" i="182"/>
  <c r="L393" i="182"/>
  <c r="F299" i="183"/>
  <c r="E285" i="182"/>
  <c r="D299" i="183"/>
  <c r="F285" i="183"/>
  <c r="E274" i="182"/>
  <c r="D31" i="182"/>
  <c r="E273" i="182"/>
  <c r="D506" i="182"/>
  <c r="F282" i="183"/>
  <c r="E270" i="182"/>
  <c r="E282" i="183" s="1"/>
  <c r="F281" i="183"/>
  <c r="F279" i="183"/>
  <c r="E268" i="182"/>
  <c r="D279" i="183"/>
  <c r="F274" i="183"/>
  <c r="E267" i="182"/>
  <c r="F273" i="183"/>
  <c r="E265" i="182"/>
  <c r="D408" i="182"/>
  <c r="F268" i="183"/>
  <c r="F270" i="183" s="1"/>
  <c r="E261" i="182"/>
  <c r="E263" i="182" s="1"/>
  <c r="D440" i="182"/>
  <c r="E258" i="182"/>
  <c r="E260" i="182" s="1"/>
  <c r="E256" i="182"/>
  <c r="N267" i="183"/>
  <c r="E255" i="182"/>
  <c r="D375" i="182"/>
  <c r="E244" i="182"/>
  <c r="F253" i="183"/>
  <c r="E243" i="182"/>
  <c r="F250" i="183"/>
  <c r="E240" i="182"/>
  <c r="F249" i="183"/>
  <c r="F247" i="183"/>
  <c r="E238" i="182"/>
  <c r="F242" i="183"/>
  <c r="E237" i="182"/>
  <c r="F241" i="183"/>
  <c r="E235" i="182"/>
  <c r="F236" i="183"/>
  <c r="F238" i="183" s="1"/>
  <c r="E231" i="182"/>
  <c r="E233" i="182" s="1"/>
  <c r="F471" i="182"/>
  <c r="E228" i="182"/>
  <c r="E230" i="182" s="1"/>
  <c r="E226" i="182"/>
  <c r="F391" i="182"/>
  <c r="E225" i="182"/>
  <c r="F374" i="182"/>
  <c r="E214" i="182"/>
  <c r="F504" i="182"/>
  <c r="F218" i="183"/>
  <c r="E210" i="182"/>
  <c r="E218" i="183" s="1"/>
  <c r="F217" i="183"/>
  <c r="F215" i="183"/>
  <c r="E208" i="182"/>
  <c r="E207" i="182"/>
  <c r="E205" i="182"/>
  <c r="F204" i="183"/>
  <c r="F206" i="183" s="1"/>
  <c r="E201" i="182"/>
  <c r="E203" i="182" s="1"/>
  <c r="F470" i="182"/>
  <c r="E198" i="182"/>
  <c r="E200" i="182" s="1"/>
  <c r="E196" i="182"/>
  <c r="F390" i="182"/>
  <c r="E195" i="182"/>
  <c r="E184" i="182"/>
  <c r="F503" i="182"/>
  <c r="E180" i="182"/>
  <c r="E186" i="183" s="1"/>
  <c r="F183" i="183"/>
  <c r="E178" i="182"/>
  <c r="F178" i="183"/>
  <c r="F194" i="183" s="1"/>
  <c r="E177" i="182"/>
  <c r="F177" i="183"/>
  <c r="E175" i="182"/>
  <c r="F437" i="182"/>
  <c r="E171" i="182"/>
  <c r="E173" i="182" s="1"/>
  <c r="F180" i="183"/>
  <c r="E168" i="182"/>
  <c r="E170" i="182" s="1"/>
  <c r="E166" i="182"/>
  <c r="F389" i="182"/>
  <c r="E165" i="182"/>
  <c r="F170" i="183"/>
  <c r="E154" i="182"/>
  <c r="F502" i="182"/>
  <c r="E153" i="182"/>
  <c r="E150" i="182"/>
  <c r="E154" i="183" s="1"/>
  <c r="F151" i="183"/>
  <c r="E148" i="182"/>
  <c r="F146" i="183"/>
  <c r="F162" i="183" s="1"/>
  <c r="E147" i="182"/>
  <c r="F420" i="182"/>
  <c r="E145" i="182"/>
  <c r="F436" i="182"/>
  <c r="E141" i="182"/>
  <c r="E143" i="182" s="1"/>
  <c r="F148" i="183"/>
  <c r="E138" i="182"/>
  <c r="E140" i="182" s="1"/>
  <c r="E136" i="182"/>
  <c r="F139" i="183"/>
  <c r="E135" i="182"/>
  <c r="E124" i="182"/>
  <c r="F501" i="182"/>
  <c r="E123" i="182"/>
  <c r="E120" i="182"/>
  <c r="E122" i="183" s="1"/>
  <c r="K379" i="183" s="1"/>
  <c r="F119" i="183"/>
  <c r="E118" i="182"/>
  <c r="F114" i="183"/>
  <c r="F130" i="183" s="1"/>
  <c r="E117" i="182"/>
  <c r="F113" i="183"/>
  <c r="F403" i="182"/>
  <c r="E115" i="182"/>
  <c r="F108" i="183"/>
  <c r="F110" i="183" s="1"/>
  <c r="E111" i="182"/>
  <c r="E113" i="182" s="1"/>
  <c r="F116" i="183"/>
  <c r="F118" i="183" s="1"/>
  <c r="E108" i="182"/>
  <c r="E110" i="182" s="1"/>
  <c r="E106" i="182"/>
  <c r="F107" i="183"/>
  <c r="E105" i="182"/>
  <c r="F93" i="183"/>
  <c r="E94" i="182"/>
  <c r="F500" i="182"/>
  <c r="E93" i="182"/>
  <c r="E90" i="182"/>
  <c r="E90" i="183" s="1"/>
  <c r="F87" i="183"/>
  <c r="E88" i="182"/>
  <c r="F82" i="183"/>
  <c r="F98" i="183" s="1"/>
  <c r="E87" i="182"/>
  <c r="F81" i="183"/>
  <c r="E85" i="182"/>
  <c r="F76" i="183"/>
  <c r="F78" i="183" s="1"/>
  <c r="E81" i="182"/>
  <c r="E83" i="182" s="1"/>
  <c r="F84" i="183"/>
  <c r="E78" i="182"/>
  <c r="E80" i="182" s="1"/>
  <c r="E76" i="182"/>
  <c r="F75" i="183"/>
  <c r="E75" i="182"/>
  <c r="F482" i="182"/>
  <c r="G67" i="182"/>
  <c r="E64" i="182"/>
  <c r="E63" i="182"/>
  <c r="E60" i="182"/>
  <c r="E58" i="183" s="1"/>
  <c r="F449" i="182"/>
  <c r="E58" i="182"/>
  <c r="F50" i="183"/>
  <c r="F66" i="183" s="1"/>
  <c r="E57" i="182"/>
  <c r="E50" i="183" s="1"/>
  <c r="F49" i="183"/>
  <c r="F401" i="182"/>
  <c r="E55" i="182"/>
  <c r="F433" i="182"/>
  <c r="E51" i="182"/>
  <c r="F52" i="183"/>
  <c r="F54" i="183" s="1"/>
  <c r="E48" i="182"/>
  <c r="E50" i="182" s="1"/>
  <c r="E46" i="182"/>
  <c r="F43" i="183"/>
  <c r="O43" i="182"/>
  <c r="O73" i="182" s="1"/>
  <c r="O103" i="182" s="1"/>
  <c r="O133" i="182" s="1"/>
  <c r="O163" i="182" s="1"/>
  <c r="O193" i="182" s="1"/>
  <c r="O223" i="182" s="1"/>
  <c r="O253" i="182" s="1"/>
  <c r="O283" i="182" s="1"/>
  <c r="O313" i="182" s="1"/>
  <c r="N43" i="182"/>
  <c r="N73" i="182" s="1"/>
  <c r="N103" i="182" s="1"/>
  <c r="N133" i="182" s="1"/>
  <c r="N163" i="182" s="1"/>
  <c r="N193" i="182" s="1"/>
  <c r="N223" i="182" s="1"/>
  <c r="N253" i="182" s="1"/>
  <c r="N283" i="182" s="1"/>
  <c r="N313" i="182" s="1"/>
  <c r="J43" i="182"/>
  <c r="J73" i="182" s="1"/>
  <c r="J103" i="182" s="1"/>
  <c r="J133" i="182" s="1"/>
  <c r="J163" i="182" s="1"/>
  <c r="J193" i="182" s="1"/>
  <c r="J223" i="182" s="1"/>
  <c r="J253" i="182" s="1"/>
  <c r="J283" i="182" s="1"/>
  <c r="J313" i="182" s="1"/>
  <c r="I43" i="182"/>
  <c r="I73" i="182" s="1"/>
  <c r="I103" i="182" s="1"/>
  <c r="I133" i="182" s="1"/>
  <c r="I163" i="182" s="1"/>
  <c r="I193" i="182" s="1"/>
  <c r="I223" i="182" s="1"/>
  <c r="I253" i="182" s="1"/>
  <c r="I283" i="182" s="1"/>
  <c r="I313" i="182" s="1"/>
  <c r="H43" i="182"/>
  <c r="H73" i="182" s="1"/>
  <c r="H103" i="182" s="1"/>
  <c r="H133" i="182" s="1"/>
  <c r="H163" i="182" s="1"/>
  <c r="H193" i="182" s="1"/>
  <c r="H223" i="182" s="1"/>
  <c r="H253" i="182" s="1"/>
  <c r="H283" i="182" s="1"/>
  <c r="H313" i="182" s="1"/>
  <c r="G43" i="182"/>
  <c r="G73" i="182" s="1"/>
  <c r="G103" i="182" s="1"/>
  <c r="G133" i="182" s="1"/>
  <c r="G163" i="182" s="1"/>
  <c r="G193" i="182" s="1"/>
  <c r="G223" i="182" s="1"/>
  <c r="G253" i="182" s="1"/>
  <c r="G283" i="182" s="1"/>
  <c r="G313" i="182" s="1"/>
  <c r="F43" i="182"/>
  <c r="F73" i="182" s="1"/>
  <c r="F103" i="182" s="1"/>
  <c r="F133" i="182" s="1"/>
  <c r="F163" i="182" s="1"/>
  <c r="F193" i="182" s="1"/>
  <c r="F223" i="182" s="1"/>
  <c r="F253" i="182" s="1"/>
  <c r="F283" i="182" s="1"/>
  <c r="F313" i="182" s="1"/>
  <c r="C43" i="182"/>
  <c r="C73" i="182" s="1"/>
  <c r="C103" i="182" s="1"/>
  <c r="C133" i="182" s="1"/>
  <c r="C163" i="182" s="1"/>
  <c r="C193" i="182" s="1"/>
  <c r="C223" i="182" s="1"/>
  <c r="C253" i="182" s="1"/>
  <c r="C283" i="182" s="1"/>
  <c r="C313" i="182" s="1"/>
  <c r="F40" i="182"/>
  <c r="C36" i="182"/>
  <c r="C35" i="182"/>
  <c r="J32" i="182"/>
  <c r="I32" i="182"/>
  <c r="H32" i="182"/>
  <c r="G32" i="182"/>
  <c r="C31" i="182"/>
  <c r="C30" i="182"/>
  <c r="C27" i="182"/>
  <c r="O26" i="182"/>
  <c r="N26" i="182"/>
  <c r="C26" i="182"/>
  <c r="C25" i="182"/>
  <c r="D24" i="182"/>
  <c r="C24" i="182"/>
  <c r="C23" i="182"/>
  <c r="C15" i="182"/>
  <c r="C14" i="182" s="1"/>
  <c r="O13" i="182"/>
  <c r="N13" i="182"/>
  <c r="J13" i="182"/>
  <c r="I13" i="182"/>
  <c r="H13" i="182"/>
  <c r="G13" i="182"/>
  <c r="C12" i="182"/>
  <c r="C11" i="182"/>
  <c r="K9" i="182"/>
  <c r="K43" i="182" s="1"/>
  <c r="K73" i="182" s="1"/>
  <c r="K103" i="182" s="1"/>
  <c r="K133" i="182" s="1"/>
  <c r="K163" i="182" s="1"/>
  <c r="K193" i="182" s="1"/>
  <c r="K223" i="182" s="1"/>
  <c r="K253" i="182" s="1"/>
  <c r="K283" i="182" s="1"/>
  <c r="K313" i="182" s="1"/>
  <c r="K347" i="182" s="1"/>
  <c r="H89" i="136"/>
  <c r="C89" i="136"/>
  <c r="H88" i="136"/>
  <c r="H87" i="136"/>
  <c r="H86" i="136"/>
  <c r="H85" i="136"/>
  <c r="H84" i="136"/>
  <c r="H83" i="136"/>
  <c r="H82" i="136"/>
  <c r="H81" i="136"/>
  <c r="H80" i="136"/>
  <c r="H79" i="136"/>
  <c r="I67" i="136"/>
  <c r="F67" i="136"/>
  <c r="E67" i="136"/>
  <c r="D67" i="136"/>
  <c r="J67" i="136" s="1"/>
  <c r="C67" i="136"/>
  <c r="H67" i="136" s="1"/>
  <c r="H56" i="136"/>
  <c r="F56" i="136"/>
  <c r="H55" i="136"/>
  <c r="F55" i="136"/>
  <c r="H54" i="136"/>
  <c r="I64" i="136" s="1"/>
  <c r="F54" i="136"/>
  <c r="F64" i="136" s="1"/>
  <c r="H53" i="136"/>
  <c r="F53" i="136"/>
  <c r="H52" i="136"/>
  <c r="F52" i="136"/>
  <c r="H51" i="136"/>
  <c r="I70" i="136" s="1"/>
  <c r="F51" i="136"/>
  <c r="H50" i="136"/>
  <c r="F50" i="136"/>
  <c r="H49" i="136"/>
  <c r="F49" i="136"/>
  <c r="H48" i="136"/>
  <c r="F48" i="136"/>
  <c r="H47" i="136"/>
  <c r="M26" i="136" s="1"/>
  <c r="F47" i="136"/>
  <c r="F39" i="136"/>
  <c r="D39" i="136"/>
  <c r="C39" i="136"/>
  <c r="E39" i="136" s="1"/>
  <c r="I38" i="136"/>
  <c r="G38" i="136"/>
  <c r="E38" i="136"/>
  <c r="I37" i="136"/>
  <c r="G37" i="136"/>
  <c r="E37" i="136"/>
  <c r="I36" i="136"/>
  <c r="G36" i="136"/>
  <c r="E36" i="136"/>
  <c r="I35" i="136"/>
  <c r="G35" i="136"/>
  <c r="J35" i="136" s="1"/>
  <c r="E35" i="136"/>
  <c r="I34" i="136"/>
  <c r="G34" i="136"/>
  <c r="E34" i="136"/>
  <c r="I33" i="136"/>
  <c r="G33" i="136"/>
  <c r="E33" i="136"/>
  <c r="I32" i="136"/>
  <c r="G32" i="136"/>
  <c r="E32" i="136"/>
  <c r="I31" i="136"/>
  <c r="G31" i="136"/>
  <c r="J31" i="136" s="1"/>
  <c r="E31" i="136"/>
  <c r="I30" i="136"/>
  <c r="G30" i="136"/>
  <c r="E30" i="136"/>
  <c r="I29" i="136"/>
  <c r="G29" i="136"/>
  <c r="E29" i="136"/>
  <c r="H28" i="136"/>
  <c r="I28" i="136" s="1"/>
  <c r="G28" i="136"/>
  <c r="E28" i="136"/>
  <c r="I27" i="136"/>
  <c r="G27" i="136"/>
  <c r="E27" i="136"/>
  <c r="I26" i="136"/>
  <c r="G26" i="136"/>
  <c r="E26" i="136"/>
  <c r="F18" i="136"/>
  <c r="E18" i="136"/>
  <c r="D18" i="136"/>
  <c r="I18" i="136" s="1"/>
  <c r="C18" i="136"/>
  <c r="F17" i="136"/>
  <c r="E17" i="136"/>
  <c r="D17" i="136"/>
  <c r="I17" i="136" s="1"/>
  <c r="C17" i="136"/>
  <c r="F16" i="136"/>
  <c r="D16" i="136"/>
  <c r="I16" i="136" s="1"/>
  <c r="F15" i="136"/>
  <c r="D15" i="136"/>
  <c r="I15" i="136" s="1"/>
  <c r="F14" i="136"/>
  <c r="D14" i="136"/>
  <c r="I14" i="136" s="1"/>
  <c r="F13" i="136"/>
  <c r="D13" i="136"/>
  <c r="I13" i="136" s="1"/>
  <c r="F12" i="136"/>
  <c r="D12" i="136"/>
  <c r="I12" i="136" s="1"/>
  <c r="F11" i="136"/>
  <c r="E11" i="136"/>
  <c r="D11" i="136"/>
  <c r="I11" i="136" s="1"/>
  <c r="C11" i="136"/>
  <c r="F10" i="136"/>
  <c r="D10" i="136"/>
  <c r="I10" i="136" s="1"/>
  <c r="F9" i="136"/>
  <c r="D9" i="136"/>
  <c r="I9" i="136" s="1"/>
  <c r="H8" i="136"/>
  <c r="H19" i="136" s="1"/>
  <c r="F8" i="136"/>
  <c r="D8" i="136"/>
  <c r="I8" i="136" s="1"/>
  <c r="F7" i="136"/>
  <c r="D7" i="136"/>
  <c r="I7" i="136" s="1"/>
  <c r="F6" i="136"/>
  <c r="F19" i="136" s="1"/>
  <c r="D6" i="136"/>
  <c r="D19" i="136" s="1"/>
  <c r="Q155" i="5"/>
  <c r="BR123" i="5"/>
  <c r="BQ123" i="5"/>
  <c r="BP123" i="5"/>
  <c r="BL123" i="5"/>
  <c r="BK123" i="5"/>
  <c r="BJ123" i="5"/>
  <c r="BD123" i="5"/>
  <c r="AZ123" i="5"/>
  <c r="AY123" i="5"/>
  <c r="AX123" i="5"/>
  <c r="AU123" i="5"/>
  <c r="AT123" i="5"/>
  <c r="AT124" i="5" s="1"/>
  <c r="AS123" i="5"/>
  <c r="AR123" i="5"/>
  <c r="AO123" i="5"/>
  <c r="AN123" i="5"/>
  <c r="AM123" i="5"/>
  <c r="AL123" i="5"/>
  <c r="AL124" i="5" s="1"/>
  <c r="AI123" i="5"/>
  <c r="AH123" i="5"/>
  <c r="AG123" i="5"/>
  <c r="AF123" i="5"/>
  <c r="AC123" i="5"/>
  <c r="AB123" i="5"/>
  <c r="AA123" i="5"/>
  <c r="Z123" i="5"/>
  <c r="W123" i="5"/>
  <c r="V123" i="5"/>
  <c r="U123" i="5"/>
  <c r="T123" i="5"/>
  <c r="Q123" i="5"/>
  <c r="P123" i="5"/>
  <c r="O123" i="5"/>
  <c r="N123" i="5"/>
  <c r="K123" i="5"/>
  <c r="K124" i="5" s="1"/>
  <c r="J123" i="5"/>
  <c r="J124" i="5" s="1"/>
  <c r="I123" i="5"/>
  <c r="H123" i="5"/>
  <c r="E123" i="5"/>
  <c r="D123" i="5"/>
  <c r="C123" i="5"/>
  <c r="B123" i="5"/>
  <c r="B124" i="5" s="1"/>
  <c r="BX122" i="5"/>
  <c r="BW122" i="5"/>
  <c r="BV122" i="5"/>
  <c r="BS122" i="5"/>
  <c r="BM122" i="5"/>
  <c r="BG122" i="5"/>
  <c r="BA122" i="5"/>
  <c r="BY122" i="5" s="1"/>
  <c r="BX121" i="5"/>
  <c r="BW121" i="5"/>
  <c r="BV121" i="5"/>
  <c r="BS121" i="5"/>
  <c r="BM121" i="5"/>
  <c r="BG121" i="5"/>
  <c r="BA121" i="5"/>
  <c r="BY121" i="5" s="1"/>
  <c r="BX120" i="5"/>
  <c r="BW120" i="5"/>
  <c r="BV120" i="5"/>
  <c r="BS120" i="5"/>
  <c r="BM120" i="5"/>
  <c r="BF120" i="5"/>
  <c r="BE120" i="5"/>
  <c r="BE123" i="5" s="1"/>
  <c r="BA120" i="5"/>
  <c r="BY119" i="5"/>
  <c r="BX119" i="5"/>
  <c r="BW119" i="5"/>
  <c r="BV119" i="5"/>
  <c r="BY118" i="5"/>
  <c r="BX118" i="5"/>
  <c r="BW118" i="5"/>
  <c r="BV118" i="5"/>
  <c r="BY117" i="5"/>
  <c r="BX117" i="5"/>
  <c r="BW117" i="5"/>
  <c r="BV117" i="5"/>
  <c r="BY116" i="5"/>
  <c r="BX116" i="5"/>
  <c r="BW116" i="5"/>
  <c r="BV116" i="5"/>
  <c r="BY115" i="5"/>
  <c r="BX115" i="5"/>
  <c r="BW115" i="5"/>
  <c r="BV115" i="5"/>
  <c r="BY114" i="5"/>
  <c r="BX114" i="5"/>
  <c r="BW114" i="5"/>
  <c r="BV114" i="5"/>
  <c r="BY113" i="5"/>
  <c r="BX113" i="5"/>
  <c r="BW113" i="5"/>
  <c r="BV113" i="5"/>
  <c r="K88" i="5"/>
  <c r="K87" i="5"/>
  <c r="K86" i="5"/>
  <c r="K85" i="5"/>
  <c r="H157" i="125" s="1"/>
  <c r="K84" i="5"/>
  <c r="K83" i="5"/>
  <c r="K82" i="5"/>
  <c r="H154" i="125" s="1"/>
  <c r="K81" i="5"/>
  <c r="K80" i="5"/>
  <c r="K79" i="5"/>
  <c r="BS52" i="5"/>
  <c r="BS53" i="5" s="1"/>
  <c r="BM52" i="5"/>
  <c r="BM53" i="5" s="1"/>
  <c r="O52" i="5"/>
  <c r="O53" i="5" s="1"/>
  <c r="N52" i="5"/>
  <c r="N53" i="5" s="1"/>
  <c r="M52" i="5"/>
  <c r="M53" i="5" s="1"/>
  <c r="G52" i="5"/>
  <c r="G53" i="5" s="1"/>
  <c r="F44" i="5"/>
  <c r="E44" i="5"/>
  <c r="C44" i="5"/>
  <c r="B44" i="5"/>
  <c r="F43" i="5"/>
  <c r="E43" i="5"/>
  <c r="C43" i="5"/>
  <c r="B43" i="5"/>
  <c r="F42" i="5"/>
  <c r="H66" i="125" s="1"/>
  <c r="E42" i="5"/>
  <c r="D90" i="35" s="1"/>
  <c r="C42" i="5"/>
  <c r="B42" i="5"/>
  <c r="F41" i="5"/>
  <c r="E41" i="5"/>
  <c r="C41" i="5"/>
  <c r="B41" i="5"/>
  <c r="F40" i="5"/>
  <c r="E88" i="35" s="1"/>
  <c r="E40" i="5"/>
  <c r="D88" i="35" s="1"/>
  <c r="C40" i="5"/>
  <c r="B40" i="5"/>
  <c r="F39" i="5"/>
  <c r="E39" i="5"/>
  <c r="C39" i="5"/>
  <c r="B39" i="5"/>
  <c r="F38" i="5"/>
  <c r="E38" i="5"/>
  <c r="C38" i="5"/>
  <c r="B38" i="5"/>
  <c r="F37" i="5"/>
  <c r="E37" i="5"/>
  <c r="G94" i="125" s="1"/>
  <c r="C37" i="5"/>
  <c r="B37" i="5"/>
  <c r="F36" i="5"/>
  <c r="E84" i="35" s="1"/>
  <c r="E36" i="5"/>
  <c r="C36" i="5"/>
  <c r="B36" i="5"/>
  <c r="E35" i="5"/>
  <c r="C35" i="5"/>
  <c r="B35" i="5"/>
  <c r="H29" i="5"/>
  <c r="F73" i="35" s="1"/>
  <c r="G29" i="5"/>
  <c r="D29" i="5"/>
  <c r="C29" i="5"/>
  <c r="B29" i="5"/>
  <c r="H28" i="5"/>
  <c r="F72" i="35" s="1"/>
  <c r="G28" i="5"/>
  <c r="E72" i="35" s="1"/>
  <c r="D28" i="5"/>
  <c r="C28" i="5"/>
  <c r="B28" i="5"/>
  <c r="H27" i="5"/>
  <c r="E71" i="35" s="1"/>
  <c r="G27" i="5"/>
  <c r="D27" i="5"/>
  <c r="C27" i="5"/>
  <c r="B27" i="5"/>
  <c r="H26" i="5"/>
  <c r="G26" i="5"/>
  <c r="D26" i="5"/>
  <c r="C26" i="5"/>
  <c r="B26" i="5"/>
  <c r="H25" i="5"/>
  <c r="C52" i="136" s="1"/>
  <c r="G25" i="5"/>
  <c r="D25" i="5"/>
  <c r="C25" i="5"/>
  <c r="B25" i="5"/>
  <c r="H24" i="5"/>
  <c r="G24" i="5"/>
  <c r="D24" i="5"/>
  <c r="D51" i="136" s="1"/>
  <c r="D70" i="136" s="1"/>
  <c r="C24" i="5"/>
  <c r="B24" i="5"/>
  <c r="H23" i="5"/>
  <c r="G23" i="5"/>
  <c r="D23" i="5"/>
  <c r="D50" i="136" s="1"/>
  <c r="C23" i="5"/>
  <c r="B23" i="5"/>
  <c r="H22" i="5"/>
  <c r="G22" i="5"/>
  <c r="D22" i="5"/>
  <c r="C22" i="5"/>
  <c r="B22" i="5"/>
  <c r="H21" i="5"/>
  <c r="G21" i="5"/>
  <c r="E65" i="35" s="1"/>
  <c r="D21" i="5"/>
  <c r="D48" i="136" s="1"/>
  <c r="C21" i="5"/>
  <c r="B21" i="5"/>
  <c r="F64" i="35"/>
  <c r="G20" i="5"/>
  <c r="D20" i="5"/>
  <c r="D47" i="136" s="1"/>
  <c r="B20" i="5"/>
  <c r="AY19" i="5"/>
  <c r="AX19" i="5"/>
  <c r="AW19" i="5"/>
  <c r="AV19" i="5"/>
  <c r="G19" i="5"/>
  <c r="AP17" i="5"/>
  <c r="AQ18" i="5" s="1"/>
  <c r="AC17" i="5"/>
  <c r="N16" i="5"/>
  <c r="CI15" i="5"/>
  <c r="CI16" i="5" s="1"/>
  <c r="CH15" i="5"/>
  <c r="CH16" i="5" s="1"/>
  <c r="CG15" i="5"/>
  <c r="CG16" i="5" s="1"/>
  <c r="CF15" i="5"/>
  <c r="CF16" i="5" s="1"/>
  <c r="CC15" i="5"/>
  <c r="CB15" i="5"/>
  <c r="CB16" i="5" s="1"/>
  <c r="CA15" i="5"/>
  <c r="BZ15" i="5"/>
  <c r="BW15" i="5"/>
  <c r="BV15" i="5"/>
  <c r="BU15" i="5"/>
  <c r="BT15" i="5"/>
  <c r="BQ15" i="5"/>
  <c r="BP15" i="5"/>
  <c r="BO15" i="5"/>
  <c r="BN15" i="5"/>
  <c r="BK15" i="5"/>
  <c r="BJ15" i="5"/>
  <c r="BI15" i="5"/>
  <c r="BH15" i="5"/>
  <c r="BB16" i="5" s="1"/>
  <c r="BE16" i="5"/>
  <c r="BC16" i="5"/>
  <c r="AS16" i="5"/>
  <c r="AR16" i="5"/>
  <c r="AQ16" i="5"/>
  <c r="AF16" i="5"/>
  <c r="X16" i="5"/>
  <c r="O14" i="5"/>
  <c r="O13" i="5"/>
  <c r="Q108" i="5"/>
  <c r="S4" i="5"/>
  <c r="L4" i="5"/>
  <c r="K4" i="5"/>
  <c r="I4" i="5"/>
  <c r="H4" i="5"/>
  <c r="F4" i="5"/>
  <c r="E4" i="5"/>
  <c r="I118" i="35"/>
  <c r="H118" i="35"/>
  <c r="G118" i="35"/>
  <c r="F118" i="35"/>
  <c r="K117" i="35"/>
  <c r="J117" i="35"/>
  <c r="K116" i="35"/>
  <c r="J116" i="35"/>
  <c r="K115" i="35"/>
  <c r="J115" i="35"/>
  <c r="K114" i="35"/>
  <c r="J114" i="35"/>
  <c r="K113" i="35"/>
  <c r="J113" i="35"/>
  <c r="K112" i="35"/>
  <c r="J112" i="35"/>
  <c r="K111" i="35"/>
  <c r="J111" i="35"/>
  <c r="K110" i="35"/>
  <c r="J110" i="35"/>
  <c r="K109" i="35"/>
  <c r="J109" i="35"/>
  <c r="K108" i="35"/>
  <c r="J108" i="35"/>
  <c r="K107" i="35"/>
  <c r="J107" i="35"/>
  <c r="K106" i="35"/>
  <c r="J106" i="35"/>
  <c r="K105" i="35"/>
  <c r="J105" i="35"/>
  <c r="K104" i="35"/>
  <c r="J104" i="35"/>
  <c r="K103" i="35"/>
  <c r="J103" i="35"/>
  <c r="C93" i="35"/>
  <c r="M74" i="35"/>
  <c r="C74" i="35"/>
  <c r="M69" i="35"/>
  <c r="G58" i="35"/>
  <c r="E54" i="35"/>
  <c r="D54" i="35"/>
  <c r="C54" i="35"/>
  <c r="C55" i="35" s="1"/>
  <c r="K53" i="35"/>
  <c r="N73" i="35" s="1"/>
  <c r="K52" i="35"/>
  <c r="N72" i="35" s="1"/>
  <c r="K51" i="35"/>
  <c r="N71" i="35" s="1"/>
  <c r="K50" i="35"/>
  <c r="N70" i="35" s="1"/>
  <c r="K49" i="35"/>
  <c r="N69" i="35" s="1"/>
  <c r="K48" i="35"/>
  <c r="N68" i="35" s="1"/>
  <c r="K47" i="35"/>
  <c r="N67" i="35" s="1"/>
  <c r="K46" i="35"/>
  <c r="N66" i="35" s="1"/>
  <c r="K45" i="35"/>
  <c r="N65" i="35" s="1"/>
  <c r="K44" i="35"/>
  <c r="N64" i="35" s="1"/>
  <c r="O38" i="35"/>
  <c r="E37" i="35"/>
  <c r="C36" i="35"/>
  <c r="L35" i="35"/>
  <c r="F35" i="35"/>
  <c r="O34" i="35"/>
  <c r="N34" i="35"/>
  <c r="E34" i="35"/>
  <c r="O33" i="35"/>
  <c r="N33" i="35"/>
  <c r="J36" i="35"/>
  <c r="E33" i="35"/>
  <c r="O32" i="35"/>
  <c r="N32" i="35"/>
  <c r="E32" i="35"/>
  <c r="O31" i="35"/>
  <c r="N31" i="35"/>
  <c r="E31" i="35"/>
  <c r="O30" i="35"/>
  <c r="E30" i="35"/>
  <c r="O29" i="35"/>
  <c r="E29" i="35"/>
  <c r="O28" i="35"/>
  <c r="N28" i="35"/>
  <c r="E28" i="35"/>
  <c r="O27" i="35"/>
  <c r="N27" i="35"/>
  <c r="E27" i="35"/>
  <c r="O26" i="35"/>
  <c r="N26" i="35"/>
  <c r="E26" i="35"/>
  <c r="O25" i="35"/>
  <c r="N25" i="35"/>
  <c r="E25" i="35"/>
  <c r="C24" i="35"/>
  <c r="D19" i="35"/>
  <c r="C19" i="35"/>
  <c r="F18" i="35"/>
  <c r="L17" i="35"/>
  <c r="E17" i="35"/>
  <c r="L16" i="35"/>
  <c r="E16" i="35"/>
  <c r="L15" i="35"/>
  <c r="J18" i="35"/>
  <c r="E15" i="35"/>
  <c r="L14" i="35"/>
  <c r="E14" i="35"/>
  <c r="L13" i="35"/>
  <c r="E13" i="35"/>
  <c r="L12" i="35"/>
  <c r="E12" i="35"/>
  <c r="L11" i="35"/>
  <c r="E11" i="35"/>
  <c r="L10" i="35"/>
  <c r="E10" i="35"/>
  <c r="L9" i="35"/>
  <c r="E9" i="35"/>
  <c r="L8" i="35"/>
  <c r="M8" i="35" s="1"/>
  <c r="E8" i="35"/>
  <c r="J7" i="35"/>
  <c r="I14" i="38"/>
  <c r="H14" i="38"/>
  <c r="G14" i="38"/>
  <c r="F14" i="38"/>
  <c r="D14" i="38"/>
  <c r="J13" i="38"/>
  <c r="J12" i="38"/>
  <c r="J11" i="38"/>
  <c r="J10" i="38"/>
  <c r="J9" i="38"/>
  <c r="J8" i="38"/>
  <c r="J7" i="38"/>
  <c r="J6" i="38"/>
  <c r="J5" i="38"/>
  <c r="J4" i="38"/>
  <c r="J3" i="38"/>
  <c r="I161" i="125"/>
  <c r="D161" i="125"/>
  <c r="C161" i="125"/>
  <c r="N160" i="125"/>
  <c r="N159" i="125"/>
  <c r="M159" i="125"/>
  <c r="N158" i="125"/>
  <c r="M158" i="125"/>
  <c r="N157" i="125"/>
  <c r="N156" i="125"/>
  <c r="N155" i="125"/>
  <c r="M155" i="125"/>
  <c r="N154" i="125"/>
  <c r="M154" i="125"/>
  <c r="N153" i="125"/>
  <c r="M153" i="125"/>
  <c r="N152" i="125"/>
  <c r="M151" i="125"/>
  <c r="K146" i="125"/>
  <c r="F146" i="125"/>
  <c r="D146" i="125"/>
  <c r="C146" i="125"/>
  <c r="F132" i="125"/>
  <c r="C132" i="125"/>
  <c r="D102" i="125"/>
  <c r="C102" i="125"/>
  <c r="P92" i="125"/>
  <c r="F102" i="125"/>
  <c r="G70" i="125"/>
  <c r="D69" i="125"/>
  <c r="C69" i="125"/>
  <c r="F69" i="125"/>
  <c r="D52" i="125"/>
  <c r="C52" i="125"/>
  <c r="F52" i="125"/>
  <c r="D34" i="125"/>
  <c r="C34" i="125"/>
  <c r="F34" i="125"/>
  <c r="O23" i="125"/>
  <c r="O41" i="125" s="1"/>
  <c r="O58" i="125" s="1"/>
  <c r="O75" i="125" s="1"/>
  <c r="O91" i="125" s="1"/>
  <c r="O107" i="125" s="1"/>
  <c r="O121" i="125" s="1"/>
  <c r="N23" i="125"/>
  <c r="N41" i="125" s="1"/>
  <c r="N58" i="125" s="1"/>
  <c r="N75" i="125" s="1"/>
  <c r="N91" i="125" s="1"/>
  <c r="N107" i="125" s="1"/>
  <c r="N121" i="125" s="1"/>
  <c r="K23" i="125"/>
  <c r="K41" i="125" s="1"/>
  <c r="K58" i="125" s="1"/>
  <c r="K75" i="125" s="1"/>
  <c r="K91" i="125" s="1"/>
  <c r="K107" i="125" s="1"/>
  <c r="K121" i="125" s="1"/>
  <c r="H23" i="125"/>
  <c r="H41" i="125" s="1"/>
  <c r="H58" i="125" s="1"/>
  <c r="H75" i="125" s="1"/>
  <c r="H91" i="125" s="1"/>
  <c r="H107" i="125" s="1"/>
  <c r="H121" i="125" s="1"/>
  <c r="H135" i="125" s="1"/>
  <c r="P135" i="125" s="1"/>
  <c r="G23" i="125"/>
  <c r="G41" i="125" s="1"/>
  <c r="G58" i="125" s="1"/>
  <c r="G75" i="125" s="1"/>
  <c r="G91" i="125" s="1"/>
  <c r="G107" i="125" s="1"/>
  <c r="G121" i="125" s="1"/>
  <c r="G135" i="125" s="1"/>
  <c r="O135" i="125" s="1"/>
  <c r="F23" i="125"/>
  <c r="F41" i="125" s="1"/>
  <c r="F58" i="125" s="1"/>
  <c r="F75" i="125" s="1"/>
  <c r="F91" i="125" s="1"/>
  <c r="F107" i="125" s="1"/>
  <c r="F121" i="125" s="1"/>
  <c r="F135" i="125" s="1"/>
  <c r="C149" i="125" s="1"/>
  <c r="C23" i="125"/>
  <c r="C41" i="125" s="1"/>
  <c r="C58" i="125" s="1"/>
  <c r="C75" i="125" s="1"/>
  <c r="C91" i="125" s="1"/>
  <c r="C107" i="125" s="1"/>
  <c r="C121" i="125" s="1"/>
  <c r="C135" i="125" s="1"/>
  <c r="F18" i="125"/>
  <c r="C18" i="125"/>
  <c r="L17" i="125"/>
  <c r="D17" i="125"/>
  <c r="S60" i="167" s="1"/>
  <c r="L16" i="125"/>
  <c r="D16" i="125"/>
  <c r="S59" i="167" s="1"/>
  <c r="L15" i="125"/>
  <c r="D15" i="125"/>
  <c r="S58" i="167" s="1"/>
  <c r="L14" i="125"/>
  <c r="D14" i="125"/>
  <c r="S57" i="167" s="1"/>
  <c r="L13" i="125"/>
  <c r="D13" i="125"/>
  <c r="S56" i="167" s="1"/>
  <c r="L12" i="125"/>
  <c r="D12" i="125"/>
  <c r="S55" i="167" s="1"/>
  <c r="L11" i="125"/>
  <c r="D11" i="125"/>
  <c r="S54" i="167" s="1"/>
  <c r="L10" i="125"/>
  <c r="D10" i="125"/>
  <c r="S53" i="167" s="1"/>
  <c r="L9" i="125"/>
  <c r="D9" i="125"/>
  <c r="S52" i="167" s="1"/>
  <c r="L8" i="125"/>
  <c r="D8" i="125"/>
  <c r="S51" i="167" s="1"/>
  <c r="AW391" i="26"/>
  <c r="AU391" i="26"/>
  <c r="AT391" i="26"/>
  <c r="AS391" i="26"/>
  <c r="AQ391" i="26"/>
  <c r="AP391" i="26"/>
  <c r="AO391" i="26"/>
  <c r="AM391" i="26"/>
  <c r="AL391" i="26"/>
  <c r="AK391" i="26"/>
  <c r="AI391" i="26"/>
  <c r="AH391" i="26"/>
  <c r="AG391" i="26"/>
  <c r="BE391" i="26" s="1"/>
  <c r="AE391" i="26"/>
  <c r="AD391" i="26"/>
  <c r="AC391" i="26"/>
  <c r="AA391" i="26"/>
  <c r="Z391" i="26"/>
  <c r="Y391" i="26"/>
  <c r="W391" i="26"/>
  <c r="V391" i="26"/>
  <c r="U391" i="26"/>
  <c r="S391" i="26"/>
  <c r="R391" i="26"/>
  <c r="Q391" i="26"/>
  <c r="O391" i="26"/>
  <c r="N391" i="26"/>
  <c r="M391" i="26"/>
  <c r="K391" i="26"/>
  <c r="J391" i="26"/>
  <c r="I391" i="26"/>
  <c r="G391" i="26"/>
  <c r="F391" i="26"/>
  <c r="E391" i="26"/>
  <c r="D391" i="26"/>
  <c r="C391" i="26"/>
  <c r="E147" i="6" s="1"/>
  <c r="B391" i="26"/>
  <c r="AW390" i="26"/>
  <c r="AU390" i="26"/>
  <c r="AT390" i="26"/>
  <c r="AS390" i="26"/>
  <c r="AQ390" i="26"/>
  <c r="AP390" i="26"/>
  <c r="AO390" i="26"/>
  <c r="AM390" i="26"/>
  <c r="AL390" i="26"/>
  <c r="AK390" i="26"/>
  <c r="AI390" i="26"/>
  <c r="AH390" i="26"/>
  <c r="AG390" i="26"/>
  <c r="BE390" i="26" s="1"/>
  <c r="AE390" i="26"/>
  <c r="AD390" i="26"/>
  <c r="AC390" i="26"/>
  <c r="AA390" i="26"/>
  <c r="Z390" i="26"/>
  <c r="Y390" i="26"/>
  <c r="W390" i="26"/>
  <c r="V390" i="26"/>
  <c r="U390" i="26"/>
  <c r="S390" i="26"/>
  <c r="R390" i="26"/>
  <c r="Q390" i="26"/>
  <c r="O390" i="26"/>
  <c r="N390" i="26"/>
  <c r="M390" i="26"/>
  <c r="K390" i="26"/>
  <c r="J390" i="26"/>
  <c r="I390" i="26"/>
  <c r="G390" i="26"/>
  <c r="F390" i="26"/>
  <c r="E390" i="26"/>
  <c r="D390" i="26"/>
  <c r="C390" i="26"/>
  <c r="E146" i="6" s="1"/>
  <c r="B390" i="26"/>
  <c r="D146" i="6" s="1"/>
  <c r="AW389" i="26"/>
  <c r="AU389" i="26"/>
  <c r="AT389" i="26"/>
  <c r="AS389" i="26"/>
  <c r="AQ389" i="26"/>
  <c r="AP389" i="26"/>
  <c r="AO389" i="26"/>
  <c r="AM389" i="26"/>
  <c r="AL389" i="26"/>
  <c r="AK389" i="26"/>
  <c r="AI389" i="26"/>
  <c r="AH389" i="26"/>
  <c r="AG389" i="26"/>
  <c r="BE389" i="26" s="1"/>
  <c r="AE389" i="26"/>
  <c r="AD389" i="26"/>
  <c r="AC389" i="26"/>
  <c r="AA389" i="26"/>
  <c r="Z389" i="26"/>
  <c r="Y389" i="26"/>
  <c r="W389" i="26"/>
  <c r="V389" i="26"/>
  <c r="U389" i="26"/>
  <c r="S389" i="26"/>
  <c r="R389" i="26"/>
  <c r="Q389" i="26"/>
  <c r="O389" i="26"/>
  <c r="N389" i="26"/>
  <c r="M389" i="26"/>
  <c r="K389" i="26"/>
  <c r="J389" i="26"/>
  <c r="I389" i="26"/>
  <c r="G389" i="26"/>
  <c r="F389" i="26"/>
  <c r="E389" i="26"/>
  <c r="G145" i="6" s="1"/>
  <c r="D389" i="26"/>
  <c r="C389" i="26"/>
  <c r="E145" i="6" s="1"/>
  <c r="B389" i="26"/>
  <c r="D145" i="6" s="1"/>
  <c r="AW388" i="26"/>
  <c r="AU388" i="26"/>
  <c r="AT388" i="26"/>
  <c r="AS388" i="26"/>
  <c r="AQ388" i="26"/>
  <c r="AP388" i="26"/>
  <c r="AO388" i="26"/>
  <c r="AM388" i="26"/>
  <c r="AL388" i="26"/>
  <c r="AK388" i="26"/>
  <c r="AI388" i="26"/>
  <c r="AH388" i="26"/>
  <c r="AG388" i="26"/>
  <c r="BE388" i="26" s="1"/>
  <c r="AE388" i="26"/>
  <c r="AD388" i="26"/>
  <c r="AC388" i="26"/>
  <c r="AA388" i="26"/>
  <c r="Z388" i="26"/>
  <c r="Y388" i="26"/>
  <c r="W388" i="26"/>
  <c r="V388" i="26"/>
  <c r="U388" i="26"/>
  <c r="S388" i="26"/>
  <c r="R388" i="26"/>
  <c r="Q388" i="26"/>
  <c r="O388" i="26"/>
  <c r="N388" i="26"/>
  <c r="M388" i="26"/>
  <c r="K388" i="26"/>
  <c r="J388" i="26"/>
  <c r="I388" i="26"/>
  <c r="G388" i="26"/>
  <c r="F388" i="26"/>
  <c r="E388" i="26"/>
  <c r="D388" i="26"/>
  <c r="C388" i="26"/>
  <c r="E144" i="6" s="1"/>
  <c r="B388" i="26"/>
  <c r="D144" i="6" s="1"/>
  <c r="AW387" i="26"/>
  <c r="AU387" i="26"/>
  <c r="AT387" i="26"/>
  <c r="AS387" i="26"/>
  <c r="AQ387" i="26"/>
  <c r="AP387" i="26"/>
  <c r="AO387" i="26"/>
  <c r="AM387" i="26"/>
  <c r="AL387" i="26"/>
  <c r="AK387" i="26"/>
  <c r="AI387" i="26"/>
  <c r="AH387" i="26"/>
  <c r="AG387" i="26"/>
  <c r="BE387" i="26" s="1"/>
  <c r="AE387" i="26"/>
  <c r="AD387" i="26"/>
  <c r="AC387" i="26"/>
  <c r="AA387" i="26"/>
  <c r="Z387" i="26"/>
  <c r="Y387" i="26"/>
  <c r="W387" i="26"/>
  <c r="V387" i="26"/>
  <c r="U387" i="26"/>
  <c r="S387" i="26"/>
  <c r="R387" i="26"/>
  <c r="Q387" i="26"/>
  <c r="O387" i="26"/>
  <c r="N387" i="26"/>
  <c r="M387" i="26"/>
  <c r="K387" i="26"/>
  <c r="J387" i="26"/>
  <c r="I387" i="26"/>
  <c r="G387" i="26"/>
  <c r="F387" i="26"/>
  <c r="E387" i="26"/>
  <c r="D387" i="26"/>
  <c r="C387" i="26"/>
  <c r="E143" i="6" s="1"/>
  <c r="B387" i="26"/>
  <c r="D143" i="6" s="1"/>
  <c r="AW386" i="26"/>
  <c r="AU386" i="26"/>
  <c r="AT386" i="26"/>
  <c r="AS386" i="26"/>
  <c r="AQ386" i="26"/>
  <c r="AP386" i="26"/>
  <c r="AO386" i="26"/>
  <c r="AM386" i="26"/>
  <c r="AL386" i="26"/>
  <c r="AK386" i="26"/>
  <c r="AI386" i="26"/>
  <c r="AH386" i="26"/>
  <c r="AG386" i="26"/>
  <c r="BE386" i="26" s="1"/>
  <c r="AE386" i="26"/>
  <c r="AD386" i="26"/>
  <c r="AC386" i="26"/>
  <c r="AA386" i="26"/>
  <c r="Z386" i="26"/>
  <c r="Y386" i="26"/>
  <c r="W386" i="26"/>
  <c r="V386" i="26"/>
  <c r="U386" i="26"/>
  <c r="S386" i="26"/>
  <c r="R386" i="26"/>
  <c r="Q386" i="26"/>
  <c r="O386" i="26"/>
  <c r="N386" i="26"/>
  <c r="M386" i="26"/>
  <c r="K386" i="26"/>
  <c r="J386" i="26"/>
  <c r="I386" i="26"/>
  <c r="G386" i="26"/>
  <c r="F386" i="26"/>
  <c r="E386" i="26"/>
  <c r="D386" i="26"/>
  <c r="C386" i="26"/>
  <c r="E142" i="6" s="1"/>
  <c r="B386" i="26"/>
  <c r="D142" i="6" s="1"/>
  <c r="AW385" i="26"/>
  <c r="AU385" i="26"/>
  <c r="AT385" i="26"/>
  <c r="AS385" i="26"/>
  <c r="AQ385" i="26"/>
  <c r="AP385" i="26"/>
  <c r="AO385" i="26"/>
  <c r="AM385" i="26"/>
  <c r="AL385" i="26"/>
  <c r="AK385" i="26"/>
  <c r="AI385" i="26"/>
  <c r="AH385" i="26"/>
  <c r="AG385" i="26"/>
  <c r="BE385" i="26" s="1"/>
  <c r="AE385" i="26"/>
  <c r="AD385" i="26"/>
  <c r="AC385" i="26"/>
  <c r="AA385" i="26"/>
  <c r="Z385" i="26"/>
  <c r="Y385" i="26"/>
  <c r="W385" i="26"/>
  <c r="V385" i="26"/>
  <c r="U385" i="26"/>
  <c r="S385" i="26"/>
  <c r="R385" i="26"/>
  <c r="Q385" i="26"/>
  <c r="O385" i="26"/>
  <c r="N385" i="26"/>
  <c r="M385" i="26"/>
  <c r="K385" i="26"/>
  <c r="J385" i="26"/>
  <c r="I385" i="26"/>
  <c r="G385" i="26"/>
  <c r="F385" i="26"/>
  <c r="E385" i="26"/>
  <c r="D385" i="26"/>
  <c r="C385" i="26"/>
  <c r="E141" i="6" s="1"/>
  <c r="B385" i="26"/>
  <c r="D141" i="6" s="1"/>
  <c r="AW384" i="26"/>
  <c r="AU384" i="26"/>
  <c r="AT384" i="26"/>
  <c r="AS384" i="26"/>
  <c r="AQ384" i="26"/>
  <c r="AP384" i="26"/>
  <c r="AO384" i="26"/>
  <c r="AM384" i="26"/>
  <c r="AL384" i="26"/>
  <c r="AK384" i="26"/>
  <c r="AI384" i="26"/>
  <c r="AH384" i="26"/>
  <c r="AG384" i="26"/>
  <c r="BE384" i="26" s="1"/>
  <c r="AE384" i="26"/>
  <c r="AD384" i="26"/>
  <c r="AC384" i="26"/>
  <c r="AA384" i="26"/>
  <c r="Z384" i="26"/>
  <c r="Y384" i="26"/>
  <c r="W384" i="26"/>
  <c r="V384" i="26"/>
  <c r="U384" i="26"/>
  <c r="S384" i="26"/>
  <c r="R384" i="26"/>
  <c r="Q384" i="26"/>
  <c r="O384" i="26"/>
  <c r="N384" i="26"/>
  <c r="M384" i="26"/>
  <c r="K384" i="26"/>
  <c r="J384" i="26"/>
  <c r="I384" i="26"/>
  <c r="G384" i="26"/>
  <c r="F384" i="26"/>
  <c r="E384" i="26"/>
  <c r="D384" i="26"/>
  <c r="C384" i="26"/>
  <c r="E140" i="6" s="1"/>
  <c r="B384" i="26"/>
  <c r="D140" i="6" s="1"/>
  <c r="AW383" i="26"/>
  <c r="AU383" i="26"/>
  <c r="AT383" i="26"/>
  <c r="AS383" i="26"/>
  <c r="AQ383" i="26"/>
  <c r="AP383" i="26"/>
  <c r="AO383" i="26"/>
  <c r="AM383" i="26"/>
  <c r="AL383" i="26"/>
  <c r="AK383" i="26"/>
  <c r="AI383" i="26"/>
  <c r="AH383" i="26"/>
  <c r="AG383" i="26"/>
  <c r="BE383" i="26" s="1"/>
  <c r="AE383" i="26"/>
  <c r="AD383" i="26"/>
  <c r="AC383" i="26"/>
  <c r="AA383" i="26"/>
  <c r="Z383" i="26"/>
  <c r="Y383" i="26"/>
  <c r="W383" i="26"/>
  <c r="V383" i="26"/>
  <c r="U383" i="26"/>
  <c r="S383" i="26"/>
  <c r="R383" i="26"/>
  <c r="Q383" i="26"/>
  <c r="O383" i="26"/>
  <c r="N383" i="26"/>
  <c r="M383" i="26"/>
  <c r="K383" i="26"/>
  <c r="J383" i="26"/>
  <c r="I383" i="26"/>
  <c r="G383" i="26"/>
  <c r="F383" i="26"/>
  <c r="E383" i="26"/>
  <c r="D383" i="26"/>
  <c r="C383" i="26"/>
  <c r="E139" i="6" s="1"/>
  <c r="B383" i="26"/>
  <c r="D139" i="6" s="1"/>
  <c r="AW382" i="26"/>
  <c r="AU382" i="26"/>
  <c r="AT382" i="26"/>
  <c r="AS382" i="26"/>
  <c r="AQ382" i="26"/>
  <c r="AP382" i="26"/>
  <c r="AO382" i="26"/>
  <c r="AM382" i="26"/>
  <c r="AL382" i="26"/>
  <c r="AK382" i="26"/>
  <c r="AI382" i="26"/>
  <c r="AH382" i="26"/>
  <c r="AG382" i="26"/>
  <c r="BE382" i="26" s="1"/>
  <c r="AE382" i="26"/>
  <c r="AD382" i="26"/>
  <c r="AC382" i="26"/>
  <c r="AA382" i="26"/>
  <c r="Z382" i="26"/>
  <c r="Y382" i="26"/>
  <c r="W382" i="26"/>
  <c r="V382" i="26"/>
  <c r="U382" i="26"/>
  <c r="S382" i="26"/>
  <c r="R382" i="26"/>
  <c r="Q382" i="26"/>
  <c r="O382" i="26"/>
  <c r="N382" i="26"/>
  <c r="M382" i="26"/>
  <c r="K382" i="26"/>
  <c r="J382" i="26"/>
  <c r="I382" i="26"/>
  <c r="G382" i="26"/>
  <c r="F382" i="26"/>
  <c r="E382" i="26"/>
  <c r="D382" i="26"/>
  <c r="C382" i="26"/>
  <c r="E138" i="6" s="1"/>
  <c r="B382" i="26"/>
  <c r="D138" i="6" s="1"/>
  <c r="AW374" i="26"/>
  <c r="AU374" i="26"/>
  <c r="AT374" i="26"/>
  <c r="AS374" i="26"/>
  <c r="AQ374" i="26"/>
  <c r="AP374" i="26"/>
  <c r="AO374" i="26"/>
  <c r="AM374" i="26"/>
  <c r="AL374" i="26"/>
  <c r="AK374" i="26"/>
  <c r="AI374" i="26"/>
  <c r="AH374" i="26"/>
  <c r="AG374" i="26"/>
  <c r="BG374" i="26" s="1"/>
  <c r="AE374" i="26"/>
  <c r="BE374" i="26" s="1"/>
  <c r="AD374" i="26"/>
  <c r="BD374" i="26" s="1"/>
  <c r="AC374" i="26"/>
  <c r="AA374" i="26"/>
  <c r="Z374" i="26"/>
  <c r="Y374" i="26"/>
  <c r="W374" i="26"/>
  <c r="V374" i="26"/>
  <c r="U374" i="26"/>
  <c r="S374" i="26"/>
  <c r="R374" i="26"/>
  <c r="Q374" i="26"/>
  <c r="O374" i="26"/>
  <c r="N374" i="26"/>
  <c r="M374" i="26"/>
  <c r="K374" i="26"/>
  <c r="J374" i="26"/>
  <c r="I374" i="26"/>
  <c r="G374" i="26"/>
  <c r="F374" i="26"/>
  <c r="E374" i="26"/>
  <c r="C374" i="26"/>
  <c r="B374" i="26"/>
  <c r="AW373" i="26"/>
  <c r="AU373" i="26"/>
  <c r="AT373" i="26"/>
  <c r="AS373" i="26"/>
  <c r="AQ373" i="26"/>
  <c r="AP373" i="26"/>
  <c r="AO373" i="26"/>
  <c r="AM373" i="26"/>
  <c r="AL373" i="26"/>
  <c r="AK373" i="26"/>
  <c r="AI373" i="26"/>
  <c r="AH373" i="26"/>
  <c r="AG373" i="26"/>
  <c r="BG373" i="26" s="1"/>
  <c r="AE373" i="26"/>
  <c r="BE373" i="26" s="1"/>
  <c r="AD373" i="26"/>
  <c r="BD373" i="26" s="1"/>
  <c r="AC373" i="26"/>
  <c r="AA373" i="26"/>
  <c r="Z373" i="26"/>
  <c r="Y373" i="26"/>
  <c r="W373" i="26"/>
  <c r="V373" i="26"/>
  <c r="U373" i="26"/>
  <c r="S373" i="26"/>
  <c r="R373" i="26"/>
  <c r="Q373" i="26"/>
  <c r="O373" i="26"/>
  <c r="N373" i="26"/>
  <c r="M373" i="26"/>
  <c r="K373" i="26"/>
  <c r="J373" i="26"/>
  <c r="I373" i="26"/>
  <c r="G373" i="26"/>
  <c r="F373" i="26"/>
  <c r="E373" i="26"/>
  <c r="C373" i="26"/>
  <c r="B373" i="26"/>
  <c r="AW372" i="26"/>
  <c r="AU372" i="26"/>
  <c r="AT372" i="26"/>
  <c r="AS372" i="26"/>
  <c r="AQ372" i="26"/>
  <c r="AP372" i="26"/>
  <c r="AO372" i="26"/>
  <c r="AM372" i="26"/>
  <c r="AL372" i="26"/>
  <c r="AK372" i="26"/>
  <c r="AI372" i="26"/>
  <c r="AH372" i="26"/>
  <c r="AG372" i="26"/>
  <c r="BG372" i="26" s="1"/>
  <c r="AE372" i="26"/>
  <c r="BE372" i="26" s="1"/>
  <c r="AD372" i="26"/>
  <c r="BD372" i="26" s="1"/>
  <c r="AC372" i="26"/>
  <c r="AA372" i="26"/>
  <c r="Z372" i="26"/>
  <c r="Y372" i="26"/>
  <c r="W372" i="26"/>
  <c r="V372" i="26"/>
  <c r="U372" i="26"/>
  <c r="S372" i="26"/>
  <c r="R372" i="26"/>
  <c r="Q372" i="26"/>
  <c r="O372" i="26"/>
  <c r="N372" i="26"/>
  <c r="M372" i="26"/>
  <c r="K372" i="26"/>
  <c r="J372" i="26"/>
  <c r="I372" i="26"/>
  <c r="G372" i="26"/>
  <c r="F372" i="26"/>
  <c r="E372" i="26"/>
  <c r="C372" i="26"/>
  <c r="B372" i="26"/>
  <c r="AW371" i="26"/>
  <c r="AU371" i="26"/>
  <c r="AT371" i="26"/>
  <c r="AS371" i="26"/>
  <c r="AQ371" i="26"/>
  <c r="AP371" i="26"/>
  <c r="AO371" i="26"/>
  <c r="AM371" i="26"/>
  <c r="AL371" i="26"/>
  <c r="AK371" i="26"/>
  <c r="AI371" i="26"/>
  <c r="AH371" i="26"/>
  <c r="AG371" i="26"/>
  <c r="BG371" i="26" s="1"/>
  <c r="AE371" i="26"/>
  <c r="BE371" i="26" s="1"/>
  <c r="AD371" i="26"/>
  <c r="BD371" i="26" s="1"/>
  <c r="AC371" i="26"/>
  <c r="AA371" i="26"/>
  <c r="Z371" i="26"/>
  <c r="Y371" i="26"/>
  <c r="W371" i="26"/>
  <c r="V371" i="26"/>
  <c r="U371" i="26"/>
  <c r="S371" i="26"/>
  <c r="R371" i="26"/>
  <c r="Q371" i="26"/>
  <c r="O371" i="26"/>
  <c r="N371" i="26"/>
  <c r="M371" i="26"/>
  <c r="K371" i="26"/>
  <c r="J371" i="26"/>
  <c r="I371" i="26"/>
  <c r="G371" i="26"/>
  <c r="F371" i="26"/>
  <c r="E371" i="26"/>
  <c r="C371" i="26"/>
  <c r="B371" i="26"/>
  <c r="AW370" i="26"/>
  <c r="AU370" i="26"/>
  <c r="AT370" i="26"/>
  <c r="AS370" i="26"/>
  <c r="AQ370" i="26"/>
  <c r="AP370" i="26"/>
  <c r="AO370" i="26"/>
  <c r="AM370" i="26"/>
  <c r="AL370" i="26"/>
  <c r="AK370" i="26"/>
  <c r="AI370" i="26"/>
  <c r="AH370" i="26"/>
  <c r="AG370" i="26"/>
  <c r="BG370" i="26" s="1"/>
  <c r="AE370" i="26"/>
  <c r="BE370" i="26" s="1"/>
  <c r="AD370" i="26"/>
  <c r="BD370" i="26" s="1"/>
  <c r="AC370" i="26"/>
  <c r="AA370" i="26"/>
  <c r="Z370" i="26"/>
  <c r="Y370" i="26"/>
  <c r="W370" i="26"/>
  <c r="V370" i="26"/>
  <c r="U370" i="26"/>
  <c r="S370" i="26"/>
  <c r="R370" i="26"/>
  <c r="Q370" i="26"/>
  <c r="O370" i="26"/>
  <c r="N370" i="26"/>
  <c r="M370" i="26"/>
  <c r="K370" i="26"/>
  <c r="J370" i="26"/>
  <c r="I370" i="26"/>
  <c r="G370" i="26"/>
  <c r="F370" i="26"/>
  <c r="E370" i="26"/>
  <c r="C370" i="26"/>
  <c r="B370" i="26"/>
  <c r="AW369" i="26"/>
  <c r="AU369" i="26"/>
  <c r="AT369" i="26"/>
  <c r="AS369" i="26"/>
  <c r="AQ369" i="26"/>
  <c r="AP369" i="26"/>
  <c r="AO369" i="26"/>
  <c r="AM369" i="26"/>
  <c r="AL369" i="26"/>
  <c r="AK369" i="26"/>
  <c r="AI369" i="26"/>
  <c r="AH369" i="26"/>
  <c r="AG369" i="26"/>
  <c r="BG369" i="26" s="1"/>
  <c r="AE369" i="26"/>
  <c r="BE369" i="26" s="1"/>
  <c r="AD369" i="26"/>
  <c r="BD369" i="26" s="1"/>
  <c r="AC369" i="26"/>
  <c r="AA369" i="26"/>
  <c r="Z369" i="26"/>
  <c r="Y369" i="26"/>
  <c r="W369" i="26"/>
  <c r="V369" i="26"/>
  <c r="U369" i="26"/>
  <c r="S369" i="26"/>
  <c r="R369" i="26"/>
  <c r="Q369" i="26"/>
  <c r="O369" i="26"/>
  <c r="N369" i="26"/>
  <c r="M369" i="26"/>
  <c r="K369" i="26"/>
  <c r="J369" i="26"/>
  <c r="I369" i="26"/>
  <c r="G369" i="26"/>
  <c r="F369" i="26"/>
  <c r="E369" i="26"/>
  <c r="C369" i="26"/>
  <c r="B369" i="26"/>
  <c r="AW368" i="26"/>
  <c r="AU368" i="26"/>
  <c r="AT368" i="26"/>
  <c r="AS368" i="26"/>
  <c r="AQ368" i="26"/>
  <c r="AP368" i="26"/>
  <c r="AO368" i="26"/>
  <c r="AM368" i="26"/>
  <c r="AL368" i="26"/>
  <c r="AK368" i="26"/>
  <c r="AI368" i="26"/>
  <c r="AH368" i="26"/>
  <c r="AG368" i="26"/>
  <c r="BG368" i="26" s="1"/>
  <c r="AE368" i="26"/>
  <c r="BE368" i="26" s="1"/>
  <c r="AD368" i="26"/>
  <c r="BD368" i="26" s="1"/>
  <c r="AC368" i="26"/>
  <c r="AA368" i="26"/>
  <c r="Z368" i="26"/>
  <c r="Y368" i="26"/>
  <c r="W368" i="26"/>
  <c r="V368" i="26"/>
  <c r="U368" i="26"/>
  <c r="S368" i="26"/>
  <c r="R368" i="26"/>
  <c r="Q368" i="26"/>
  <c r="O368" i="26"/>
  <c r="N368" i="26"/>
  <c r="M368" i="26"/>
  <c r="K368" i="26"/>
  <c r="J368" i="26"/>
  <c r="I368" i="26"/>
  <c r="G368" i="26"/>
  <c r="F368" i="26"/>
  <c r="E368" i="26"/>
  <c r="C368" i="26"/>
  <c r="B368" i="26"/>
  <c r="AW367" i="26"/>
  <c r="AU367" i="26"/>
  <c r="AT367" i="26"/>
  <c r="AS367" i="26"/>
  <c r="AQ367" i="26"/>
  <c r="AP367" i="26"/>
  <c r="AO367" i="26"/>
  <c r="AM367" i="26"/>
  <c r="AL367" i="26"/>
  <c r="AK367" i="26"/>
  <c r="AI367" i="26"/>
  <c r="AH367" i="26"/>
  <c r="AG367" i="26"/>
  <c r="BG367" i="26" s="1"/>
  <c r="AE367" i="26"/>
  <c r="BE367" i="26" s="1"/>
  <c r="AD367" i="26"/>
  <c r="BD367" i="26" s="1"/>
  <c r="AC367" i="26"/>
  <c r="AA367" i="26"/>
  <c r="Z367" i="26"/>
  <c r="Y367" i="26"/>
  <c r="W367" i="26"/>
  <c r="V367" i="26"/>
  <c r="U367" i="26"/>
  <c r="S367" i="26"/>
  <c r="R367" i="26"/>
  <c r="Q367" i="26"/>
  <c r="O367" i="26"/>
  <c r="N367" i="26"/>
  <c r="M367" i="26"/>
  <c r="K367" i="26"/>
  <c r="J367" i="26"/>
  <c r="I367" i="26"/>
  <c r="G367" i="26"/>
  <c r="F367" i="26"/>
  <c r="E367" i="26"/>
  <c r="C367" i="26"/>
  <c r="B367" i="26"/>
  <c r="AW366" i="26"/>
  <c r="AU366" i="26"/>
  <c r="AT366" i="26"/>
  <c r="AS366" i="26"/>
  <c r="AQ366" i="26"/>
  <c r="AP366" i="26"/>
  <c r="AO366" i="26"/>
  <c r="AM366" i="26"/>
  <c r="AL366" i="26"/>
  <c r="AK366" i="26"/>
  <c r="AI366" i="26"/>
  <c r="AH366" i="26"/>
  <c r="AG366" i="26"/>
  <c r="BG366" i="26" s="1"/>
  <c r="AE366" i="26"/>
  <c r="BE366" i="26" s="1"/>
  <c r="AD366" i="26"/>
  <c r="BD366" i="26" s="1"/>
  <c r="AC366" i="26"/>
  <c r="AA366" i="26"/>
  <c r="Z366" i="26"/>
  <c r="Y366" i="26"/>
  <c r="W366" i="26"/>
  <c r="V366" i="26"/>
  <c r="U366" i="26"/>
  <c r="S366" i="26"/>
  <c r="R366" i="26"/>
  <c r="Q366" i="26"/>
  <c r="O366" i="26"/>
  <c r="N366" i="26"/>
  <c r="M366" i="26"/>
  <c r="K366" i="26"/>
  <c r="J366" i="26"/>
  <c r="I366" i="26"/>
  <c r="G366" i="26"/>
  <c r="F366" i="26"/>
  <c r="E366" i="26"/>
  <c r="C366" i="26"/>
  <c r="B366" i="26"/>
  <c r="AW365" i="26"/>
  <c r="AU365" i="26"/>
  <c r="AT365" i="26"/>
  <c r="AS365" i="26"/>
  <c r="AQ365" i="26"/>
  <c r="AP365" i="26"/>
  <c r="AO365" i="26"/>
  <c r="AM365" i="26"/>
  <c r="AL365" i="26"/>
  <c r="AK365" i="26"/>
  <c r="AI365" i="26"/>
  <c r="AH365" i="26"/>
  <c r="AG365" i="26"/>
  <c r="BG365" i="26" s="1"/>
  <c r="AE365" i="26"/>
  <c r="BE365" i="26" s="1"/>
  <c r="AD365" i="26"/>
  <c r="BD365" i="26" s="1"/>
  <c r="AC365" i="26"/>
  <c r="AA365" i="26"/>
  <c r="Z365" i="26"/>
  <c r="Y365" i="26"/>
  <c r="W365" i="26"/>
  <c r="V365" i="26"/>
  <c r="U365" i="26"/>
  <c r="S365" i="26"/>
  <c r="R365" i="26"/>
  <c r="Q365" i="26"/>
  <c r="O365" i="26"/>
  <c r="N365" i="26"/>
  <c r="M365" i="26"/>
  <c r="K365" i="26"/>
  <c r="J365" i="26"/>
  <c r="I365" i="26"/>
  <c r="G365" i="26"/>
  <c r="F365" i="26"/>
  <c r="E365" i="26"/>
  <c r="C365" i="26"/>
  <c r="B365" i="26"/>
  <c r="AW360" i="26"/>
  <c r="AU360" i="26"/>
  <c r="AT360" i="26"/>
  <c r="AS360" i="26"/>
  <c r="AQ360" i="26"/>
  <c r="AP360" i="26"/>
  <c r="AO360" i="26"/>
  <c r="AM360" i="26"/>
  <c r="AL360" i="26"/>
  <c r="AK360" i="26"/>
  <c r="AI360" i="26"/>
  <c r="AH360" i="26"/>
  <c r="AG360" i="26"/>
  <c r="BG360" i="26" s="1"/>
  <c r="AE360" i="26"/>
  <c r="BE360" i="26" s="1"/>
  <c r="AD360" i="26"/>
  <c r="BD360" i="26" s="1"/>
  <c r="AC360" i="26"/>
  <c r="AA360" i="26"/>
  <c r="Z360" i="26"/>
  <c r="Y360" i="26"/>
  <c r="W360" i="26"/>
  <c r="V360" i="26"/>
  <c r="U360" i="26"/>
  <c r="S360" i="26"/>
  <c r="R360" i="26"/>
  <c r="Q360" i="26"/>
  <c r="O360" i="26"/>
  <c r="N360" i="26"/>
  <c r="M360" i="26"/>
  <c r="K360" i="26"/>
  <c r="J360" i="26"/>
  <c r="I360" i="26"/>
  <c r="G360" i="26"/>
  <c r="F360" i="26"/>
  <c r="E360" i="26"/>
  <c r="D360" i="26"/>
  <c r="C360" i="26"/>
  <c r="B360" i="26"/>
  <c r="BA359" i="26"/>
  <c r="G117" i="6" s="1"/>
  <c r="AY359" i="26"/>
  <c r="E117" i="6" s="1"/>
  <c r="AX359" i="26"/>
  <c r="D117" i="6" s="1"/>
  <c r="AV359" i="26"/>
  <c r="AR359" i="26"/>
  <c r="AN359" i="26"/>
  <c r="AJ359" i="26"/>
  <c r="AF359" i="26"/>
  <c r="BF359" i="26" s="1"/>
  <c r="AB359" i="26"/>
  <c r="X359" i="26"/>
  <c r="T359" i="26"/>
  <c r="P359" i="26"/>
  <c r="L359" i="26"/>
  <c r="H359" i="26"/>
  <c r="BA358" i="26"/>
  <c r="G116" i="6" s="1"/>
  <c r="AY358" i="26"/>
  <c r="E116" i="6" s="1"/>
  <c r="AX358" i="26"/>
  <c r="D116" i="6" s="1"/>
  <c r="AV358" i="26"/>
  <c r="AR358" i="26"/>
  <c r="AN358" i="26"/>
  <c r="AJ358" i="26"/>
  <c r="AF358" i="26"/>
  <c r="BF358" i="26" s="1"/>
  <c r="AB358" i="26"/>
  <c r="X358" i="26"/>
  <c r="T358" i="26"/>
  <c r="P358" i="26"/>
  <c r="L358" i="26"/>
  <c r="H358" i="26"/>
  <c r="BA357" i="26"/>
  <c r="G115" i="6" s="1"/>
  <c r="AY357" i="26"/>
  <c r="E115" i="6" s="1"/>
  <c r="AX357" i="26"/>
  <c r="D115" i="6" s="1"/>
  <c r="AV357" i="26"/>
  <c r="AR357" i="26"/>
  <c r="AN357" i="26"/>
  <c r="AJ357" i="26"/>
  <c r="AF357" i="26"/>
  <c r="BF357" i="26" s="1"/>
  <c r="AB357" i="26"/>
  <c r="X357" i="26"/>
  <c r="T357" i="26"/>
  <c r="P357" i="26"/>
  <c r="L357" i="26"/>
  <c r="H357" i="26"/>
  <c r="BA356" i="26"/>
  <c r="G114" i="6" s="1"/>
  <c r="AY356" i="26"/>
  <c r="E114" i="6" s="1"/>
  <c r="AX356" i="26"/>
  <c r="D114" i="6" s="1"/>
  <c r="AV356" i="26"/>
  <c r="AR356" i="26"/>
  <c r="AN356" i="26"/>
  <c r="AJ356" i="26"/>
  <c r="AF356" i="26"/>
  <c r="BF356" i="26" s="1"/>
  <c r="AB356" i="26"/>
  <c r="X356" i="26"/>
  <c r="T356" i="26"/>
  <c r="P356" i="26"/>
  <c r="L356" i="26"/>
  <c r="H356" i="26"/>
  <c r="BA355" i="26"/>
  <c r="G113" i="6" s="1"/>
  <c r="AY355" i="26"/>
  <c r="E113" i="6" s="1"/>
  <c r="AX355" i="26"/>
  <c r="D113" i="6" s="1"/>
  <c r="AV355" i="26"/>
  <c r="AR355" i="26"/>
  <c r="AN355" i="26"/>
  <c r="AJ355" i="26"/>
  <c r="AF355" i="26"/>
  <c r="BF355" i="26" s="1"/>
  <c r="AB355" i="26"/>
  <c r="X355" i="26"/>
  <c r="T355" i="26"/>
  <c r="P355" i="26"/>
  <c r="L355" i="26"/>
  <c r="H355" i="26"/>
  <c r="BA354" i="26"/>
  <c r="G112" i="6" s="1"/>
  <c r="AY354" i="26"/>
  <c r="E112" i="6" s="1"/>
  <c r="AX354" i="26"/>
  <c r="D112" i="6" s="1"/>
  <c r="AV354" i="26"/>
  <c r="AR354" i="26"/>
  <c r="AN354" i="26"/>
  <c r="AJ354" i="26"/>
  <c r="AF354" i="26"/>
  <c r="BF354" i="26" s="1"/>
  <c r="AB354" i="26"/>
  <c r="X354" i="26"/>
  <c r="T354" i="26"/>
  <c r="P354" i="26"/>
  <c r="L354" i="26"/>
  <c r="H354" i="26"/>
  <c r="BA353" i="26"/>
  <c r="G111" i="6" s="1"/>
  <c r="AY353" i="26"/>
  <c r="E111" i="6" s="1"/>
  <c r="AX353" i="26"/>
  <c r="D111" i="6" s="1"/>
  <c r="AV353" i="26"/>
  <c r="AR353" i="26"/>
  <c r="AN353" i="26"/>
  <c r="AJ353" i="26"/>
  <c r="AF353" i="26"/>
  <c r="BF353" i="26" s="1"/>
  <c r="AB353" i="26"/>
  <c r="X353" i="26"/>
  <c r="T353" i="26"/>
  <c r="P353" i="26"/>
  <c r="L353" i="26"/>
  <c r="H353" i="26"/>
  <c r="BA352" i="26"/>
  <c r="G110" i="6" s="1"/>
  <c r="AY352" i="26"/>
  <c r="E110" i="6" s="1"/>
  <c r="AX352" i="26"/>
  <c r="D110" i="6" s="1"/>
  <c r="AV352" i="26"/>
  <c r="AR352" i="26"/>
  <c r="AN352" i="26"/>
  <c r="AJ352" i="26"/>
  <c r="AF352" i="26"/>
  <c r="BF352" i="26" s="1"/>
  <c r="AB352" i="26"/>
  <c r="X352" i="26"/>
  <c r="T352" i="26"/>
  <c r="P352" i="26"/>
  <c r="L352" i="26"/>
  <c r="H352" i="26"/>
  <c r="BA351" i="26"/>
  <c r="G109" i="6" s="1"/>
  <c r="AY351" i="26"/>
  <c r="E109" i="6" s="1"/>
  <c r="AX351" i="26"/>
  <c r="AV351" i="26"/>
  <c r="AR351" i="26"/>
  <c r="AN351" i="26"/>
  <c r="AJ351" i="26"/>
  <c r="AF351" i="26"/>
  <c r="BF351" i="26" s="1"/>
  <c r="AB351" i="26"/>
  <c r="X351" i="26"/>
  <c r="T351" i="26"/>
  <c r="P351" i="26"/>
  <c r="L351" i="26"/>
  <c r="H351" i="26"/>
  <c r="BA350" i="26"/>
  <c r="G108" i="6" s="1"/>
  <c r="AY350" i="26"/>
  <c r="E108" i="6" s="1"/>
  <c r="AX350" i="26"/>
  <c r="D108" i="6" s="1"/>
  <c r="AV350" i="26"/>
  <c r="AR350" i="26"/>
  <c r="AN350" i="26"/>
  <c r="AJ350" i="26"/>
  <c r="AF350" i="26"/>
  <c r="BF350" i="26" s="1"/>
  <c r="AB350" i="26"/>
  <c r="X350" i="26"/>
  <c r="T350" i="26"/>
  <c r="P350" i="26"/>
  <c r="L350" i="26"/>
  <c r="H350" i="26"/>
  <c r="AT344" i="26"/>
  <c r="AP344" i="26"/>
  <c r="AL344" i="26"/>
  <c r="AH344" i="26"/>
  <c r="AD344" i="26"/>
  <c r="BD344" i="26" s="1"/>
  <c r="Z344" i="26"/>
  <c r="W344" i="26"/>
  <c r="V344" i="26"/>
  <c r="S344" i="26"/>
  <c r="R344" i="26"/>
  <c r="N344" i="26"/>
  <c r="J344" i="26"/>
  <c r="G344" i="26"/>
  <c r="F344" i="26"/>
  <c r="C344" i="26"/>
  <c r="B344" i="26"/>
  <c r="AX343" i="26"/>
  <c r="X343" i="26"/>
  <c r="Y343" i="26" s="1"/>
  <c r="T343" i="26"/>
  <c r="U343" i="26" s="1"/>
  <c r="P343" i="26"/>
  <c r="Q343" i="26" s="1"/>
  <c r="L343" i="26"/>
  <c r="M343" i="26" s="1"/>
  <c r="H343" i="26"/>
  <c r="I343" i="26" s="1"/>
  <c r="D343" i="26"/>
  <c r="AX342" i="26"/>
  <c r="X342" i="26"/>
  <c r="Y342" i="26" s="1"/>
  <c r="T342" i="26"/>
  <c r="U342" i="26" s="1"/>
  <c r="P342" i="26"/>
  <c r="Q342" i="26" s="1"/>
  <c r="L342" i="26"/>
  <c r="M342" i="26" s="1"/>
  <c r="H342" i="26"/>
  <c r="I342" i="26" s="1"/>
  <c r="D342" i="26"/>
  <c r="AX341" i="26"/>
  <c r="X341" i="26"/>
  <c r="Y341" i="26" s="1"/>
  <c r="T341" i="26"/>
  <c r="U341" i="26" s="1"/>
  <c r="P341" i="26"/>
  <c r="Q341" i="26" s="1"/>
  <c r="L341" i="26"/>
  <c r="M341" i="26" s="1"/>
  <c r="H341" i="26"/>
  <c r="I341" i="26" s="1"/>
  <c r="D341" i="26"/>
  <c r="AX340" i="26"/>
  <c r="X340" i="26"/>
  <c r="Y340" i="26" s="1"/>
  <c r="T340" i="26"/>
  <c r="U340" i="26" s="1"/>
  <c r="P340" i="26"/>
  <c r="Q340" i="26" s="1"/>
  <c r="L340" i="26"/>
  <c r="M340" i="26" s="1"/>
  <c r="H340" i="26"/>
  <c r="I340" i="26" s="1"/>
  <c r="D340" i="26"/>
  <c r="AX339" i="26"/>
  <c r="X339" i="26"/>
  <c r="Y339" i="26" s="1"/>
  <c r="T339" i="26"/>
  <c r="U339" i="26" s="1"/>
  <c r="P339" i="26"/>
  <c r="Q339" i="26" s="1"/>
  <c r="L339" i="26"/>
  <c r="M339" i="26" s="1"/>
  <c r="H339" i="26"/>
  <c r="I339" i="26" s="1"/>
  <c r="D339" i="26"/>
  <c r="AX338" i="26"/>
  <c r="X338" i="26"/>
  <c r="Y338" i="26" s="1"/>
  <c r="T338" i="26"/>
  <c r="U338" i="26" s="1"/>
  <c r="P338" i="26"/>
  <c r="Q338" i="26" s="1"/>
  <c r="L338" i="26"/>
  <c r="M338" i="26" s="1"/>
  <c r="H338" i="26"/>
  <c r="I338" i="26" s="1"/>
  <c r="D338" i="26"/>
  <c r="AX337" i="26"/>
  <c r="X337" i="26"/>
  <c r="Y337" i="26" s="1"/>
  <c r="T337" i="26"/>
  <c r="U337" i="26" s="1"/>
  <c r="P337" i="26"/>
  <c r="Q337" i="26" s="1"/>
  <c r="L337" i="26"/>
  <c r="M337" i="26" s="1"/>
  <c r="H337" i="26"/>
  <c r="I337" i="26" s="1"/>
  <c r="D337" i="26"/>
  <c r="AX336" i="26"/>
  <c r="X336" i="26"/>
  <c r="Y336" i="26" s="1"/>
  <c r="T336" i="26"/>
  <c r="U336" i="26" s="1"/>
  <c r="P336" i="26"/>
  <c r="Q336" i="26" s="1"/>
  <c r="L336" i="26"/>
  <c r="M336" i="26" s="1"/>
  <c r="H336" i="26"/>
  <c r="I336" i="26" s="1"/>
  <c r="D336" i="26"/>
  <c r="AX335" i="26"/>
  <c r="X335" i="26"/>
  <c r="Y335" i="26" s="1"/>
  <c r="T335" i="26"/>
  <c r="U335" i="26" s="1"/>
  <c r="P335" i="26"/>
  <c r="Q335" i="26" s="1"/>
  <c r="L335" i="26"/>
  <c r="M335" i="26" s="1"/>
  <c r="H335" i="26"/>
  <c r="I335" i="26" s="1"/>
  <c r="D335" i="26"/>
  <c r="X334" i="26"/>
  <c r="Y334" i="26" s="1"/>
  <c r="T334" i="26"/>
  <c r="U334" i="26" s="1"/>
  <c r="P334" i="26"/>
  <c r="Q334" i="26" s="1"/>
  <c r="O344" i="26"/>
  <c r="H334" i="26"/>
  <c r="I334" i="26" s="1"/>
  <c r="D334" i="26"/>
  <c r="AT329" i="26"/>
  <c r="AP329" i="26"/>
  <c r="AL329" i="26"/>
  <c r="AH329" i="26"/>
  <c r="AD329" i="26"/>
  <c r="BD329" i="26" s="1"/>
  <c r="Z329" i="26"/>
  <c r="V329" i="26"/>
  <c r="R329" i="26"/>
  <c r="N329" i="26"/>
  <c r="J329" i="26"/>
  <c r="F329" i="26"/>
  <c r="B329" i="26"/>
  <c r="AX328" i="26"/>
  <c r="AV328" i="26"/>
  <c r="AW328" i="26" s="1"/>
  <c r="AR328" i="26"/>
  <c r="AS328" i="26" s="1"/>
  <c r="AN328" i="26"/>
  <c r="AO328" i="26" s="1"/>
  <c r="AJ328" i="26"/>
  <c r="AK328" i="26" s="1"/>
  <c r="AF328" i="26"/>
  <c r="AG328" i="26" s="1"/>
  <c r="AX327" i="26"/>
  <c r="AV327" i="26"/>
  <c r="AW327" i="26" s="1"/>
  <c r="AR327" i="26"/>
  <c r="AS327" i="26" s="1"/>
  <c r="AN327" i="26"/>
  <c r="AO327" i="26" s="1"/>
  <c r="AJ327" i="26"/>
  <c r="AK327" i="26" s="1"/>
  <c r="AF327" i="26"/>
  <c r="AG327" i="26" s="1"/>
  <c r="AX326" i="26"/>
  <c r="AV326" i="26"/>
  <c r="AW326" i="26" s="1"/>
  <c r="AR326" i="26"/>
  <c r="AS326" i="26" s="1"/>
  <c r="AN326" i="26"/>
  <c r="AO326" i="26" s="1"/>
  <c r="AJ326" i="26"/>
  <c r="AK326" i="26" s="1"/>
  <c r="AF326" i="26"/>
  <c r="AG326" i="26" s="1"/>
  <c r="AX325" i="26"/>
  <c r="AV325" i="26"/>
  <c r="AW325" i="26" s="1"/>
  <c r="AR325" i="26"/>
  <c r="AS325" i="26" s="1"/>
  <c r="AN325" i="26"/>
  <c r="AO325" i="26" s="1"/>
  <c r="AJ325" i="26"/>
  <c r="AK325" i="26" s="1"/>
  <c r="AF325" i="26"/>
  <c r="AG325" i="26" s="1"/>
  <c r="AX324" i="26"/>
  <c r="AV324" i="26"/>
  <c r="AW324" i="26" s="1"/>
  <c r="AR324" i="26"/>
  <c r="AS324" i="26" s="1"/>
  <c r="AN324" i="26"/>
  <c r="AO324" i="26" s="1"/>
  <c r="AJ324" i="26"/>
  <c r="AK324" i="26" s="1"/>
  <c r="AF324" i="26"/>
  <c r="AG324" i="26" s="1"/>
  <c r="AX323" i="26"/>
  <c r="AV323" i="26"/>
  <c r="AW323" i="26" s="1"/>
  <c r="AR323" i="26"/>
  <c r="AS323" i="26" s="1"/>
  <c r="AN323" i="26"/>
  <c r="AO323" i="26" s="1"/>
  <c r="AJ323" i="26"/>
  <c r="AK323" i="26" s="1"/>
  <c r="AF323" i="26"/>
  <c r="AG323" i="26" s="1"/>
  <c r="AX322" i="26"/>
  <c r="AV322" i="26"/>
  <c r="AW322" i="26" s="1"/>
  <c r="AR322" i="26"/>
  <c r="AS322" i="26" s="1"/>
  <c r="AN322" i="26"/>
  <c r="AO322" i="26" s="1"/>
  <c r="AJ322" i="26"/>
  <c r="AK322" i="26" s="1"/>
  <c r="AF322" i="26"/>
  <c r="AG322" i="26" s="1"/>
  <c r="AX321" i="26"/>
  <c r="AV321" i="26"/>
  <c r="AW321" i="26" s="1"/>
  <c r="AR321" i="26"/>
  <c r="AS321" i="26" s="1"/>
  <c r="AN321" i="26"/>
  <c r="AO321" i="26" s="1"/>
  <c r="AJ321" i="26"/>
  <c r="AK321" i="26" s="1"/>
  <c r="AF321" i="26"/>
  <c r="AG321" i="26" s="1"/>
  <c r="AX320" i="26"/>
  <c r="AR320" i="26"/>
  <c r="AS320" i="26" s="1"/>
  <c r="AN320" i="26"/>
  <c r="AO320" i="26" s="1"/>
  <c r="AJ320" i="26"/>
  <c r="AK320" i="26" s="1"/>
  <c r="AF320" i="26"/>
  <c r="AG320" i="26" s="1"/>
  <c r="AV319" i="26"/>
  <c r="AW319" i="26" s="1"/>
  <c r="AR319" i="26"/>
  <c r="AS319" i="26" s="1"/>
  <c r="AF319" i="26"/>
  <c r="AG319" i="26" s="1"/>
  <c r="I315" i="26"/>
  <c r="H315" i="26"/>
  <c r="AW298" i="26"/>
  <c r="AV298" i="26"/>
  <c r="AU298" i="26"/>
  <c r="AT298" i="26"/>
  <c r="AS298" i="26"/>
  <c r="AR298" i="26"/>
  <c r="AQ298" i="26"/>
  <c r="AP298" i="26"/>
  <c r="AO298" i="26"/>
  <c r="AN298" i="26"/>
  <c r="AM298" i="26"/>
  <c r="AL298" i="26"/>
  <c r="AK298" i="26"/>
  <c r="AJ298" i="26"/>
  <c r="AI298" i="26"/>
  <c r="AH298" i="26"/>
  <c r="AG298" i="26"/>
  <c r="AF298" i="26"/>
  <c r="AE298" i="26"/>
  <c r="AD298" i="26"/>
  <c r="AC298" i="26"/>
  <c r="AB298" i="26"/>
  <c r="AA298" i="26"/>
  <c r="Z298" i="26"/>
  <c r="Y298" i="26"/>
  <c r="X298" i="26"/>
  <c r="W298" i="26"/>
  <c r="V298" i="26"/>
  <c r="U298" i="26"/>
  <c r="T298" i="26"/>
  <c r="S298" i="26"/>
  <c r="R298" i="26"/>
  <c r="Q298" i="26"/>
  <c r="P298" i="26"/>
  <c r="O298" i="26"/>
  <c r="N298" i="26"/>
  <c r="M298" i="26"/>
  <c r="L298" i="26"/>
  <c r="K298" i="26"/>
  <c r="J298" i="26"/>
  <c r="I298" i="26"/>
  <c r="H298" i="26"/>
  <c r="G298" i="26"/>
  <c r="F298" i="26"/>
  <c r="E298" i="26"/>
  <c r="D298" i="26"/>
  <c r="C298" i="26"/>
  <c r="B298" i="26"/>
  <c r="AU270" i="26"/>
  <c r="AT270" i="26"/>
  <c r="AQ270" i="26"/>
  <c r="AP270" i="26"/>
  <c r="AM270" i="26"/>
  <c r="AL270" i="26"/>
  <c r="AI270" i="26"/>
  <c r="AH270" i="26"/>
  <c r="AE270" i="26"/>
  <c r="AD270" i="26"/>
  <c r="AA270" i="26"/>
  <c r="Z270" i="26"/>
  <c r="W270" i="26"/>
  <c r="V270" i="26"/>
  <c r="S270" i="26"/>
  <c r="R270" i="26"/>
  <c r="O270" i="26"/>
  <c r="N270" i="26"/>
  <c r="K270" i="26"/>
  <c r="J270" i="26"/>
  <c r="G270" i="26"/>
  <c r="F270" i="26"/>
  <c r="C270" i="26"/>
  <c r="B270" i="26"/>
  <c r="X328" i="26"/>
  <c r="Y328" i="26" s="1"/>
  <c r="T328" i="26"/>
  <c r="U328" i="26" s="1"/>
  <c r="P328" i="26"/>
  <c r="Q328" i="26" s="1"/>
  <c r="H328" i="26"/>
  <c r="I328" i="26" s="1"/>
  <c r="X327" i="26"/>
  <c r="Y327" i="26" s="1"/>
  <c r="P327" i="26"/>
  <c r="Q327" i="26" s="1"/>
  <c r="H327" i="26"/>
  <c r="I327" i="26" s="1"/>
  <c r="T326" i="26"/>
  <c r="U326" i="26" s="1"/>
  <c r="X325" i="26"/>
  <c r="Y325" i="26" s="1"/>
  <c r="T325" i="26"/>
  <c r="U325" i="26" s="1"/>
  <c r="P325" i="26"/>
  <c r="Q325" i="26" s="1"/>
  <c r="H325" i="26"/>
  <c r="I325" i="26" s="1"/>
  <c r="X324" i="26"/>
  <c r="Y324" i="26" s="1"/>
  <c r="P324" i="26"/>
  <c r="Q324" i="26" s="1"/>
  <c r="H324" i="26"/>
  <c r="I324" i="26" s="1"/>
  <c r="T323" i="26"/>
  <c r="U323" i="26" s="1"/>
  <c r="X322" i="26"/>
  <c r="Y322" i="26" s="1"/>
  <c r="T322" i="26"/>
  <c r="U322" i="26" s="1"/>
  <c r="P322" i="26"/>
  <c r="Q322" i="26" s="1"/>
  <c r="H322" i="26"/>
  <c r="I322" i="26" s="1"/>
  <c r="P321" i="26"/>
  <c r="Q321" i="26" s="1"/>
  <c r="H321" i="26"/>
  <c r="I321" i="26" s="1"/>
  <c r="X320" i="26"/>
  <c r="Y320" i="26" s="1"/>
  <c r="T320" i="26"/>
  <c r="U320" i="26" s="1"/>
  <c r="P320" i="26"/>
  <c r="Q320" i="26" s="1"/>
  <c r="H320" i="26"/>
  <c r="I320" i="26" s="1"/>
  <c r="AL255" i="26"/>
  <c r="AT253" i="26"/>
  <c r="AP253" i="26"/>
  <c r="AL253" i="26"/>
  <c r="AH253" i="26"/>
  <c r="AD253" i="26"/>
  <c r="BD253" i="26" s="1"/>
  <c r="Z253" i="26"/>
  <c r="V253" i="26"/>
  <c r="R253" i="26"/>
  <c r="N253" i="26"/>
  <c r="F253" i="26"/>
  <c r="B253" i="26"/>
  <c r="AX252" i="26"/>
  <c r="N29" i="9" s="1"/>
  <c r="AX251" i="26"/>
  <c r="N28" i="9" s="1"/>
  <c r="J33" i="132" s="1"/>
  <c r="AX250" i="26"/>
  <c r="N27" i="9" s="1"/>
  <c r="H43" i="9" s="1"/>
  <c r="T43" i="9" s="1"/>
  <c r="L32" i="132" s="1"/>
  <c r="AX249" i="26"/>
  <c r="N26" i="9" s="1"/>
  <c r="AX248" i="26"/>
  <c r="N25" i="9" s="1"/>
  <c r="J30" i="132" s="1"/>
  <c r="AX247" i="26"/>
  <c r="N24" i="9" s="1"/>
  <c r="J29" i="132" s="1"/>
  <c r="AX246" i="26"/>
  <c r="N23" i="9" s="1"/>
  <c r="J28" i="132" s="1"/>
  <c r="AX245" i="26"/>
  <c r="N22" i="9" s="1"/>
  <c r="H38" i="9" s="1"/>
  <c r="T38" i="9" s="1"/>
  <c r="L27" i="132" s="1"/>
  <c r="AX244" i="26"/>
  <c r="N21" i="9" s="1"/>
  <c r="J26" i="132" s="1"/>
  <c r="AX243" i="26"/>
  <c r="N20" i="9" s="1"/>
  <c r="J25" i="132" s="1"/>
  <c r="AT238" i="26"/>
  <c r="AP238" i="26"/>
  <c r="AL238" i="26"/>
  <c r="AH238" i="26"/>
  <c r="AD238" i="26"/>
  <c r="BD238" i="26" s="1"/>
  <c r="Z238" i="26"/>
  <c r="V238" i="26"/>
  <c r="R238" i="26"/>
  <c r="N238" i="26"/>
  <c r="J238" i="26"/>
  <c r="F238" i="26"/>
  <c r="B238" i="26"/>
  <c r="AX237" i="26"/>
  <c r="H29" i="9" s="1"/>
  <c r="C237" i="26"/>
  <c r="D237" i="26" s="1"/>
  <c r="E237" i="26" s="1"/>
  <c r="AX236" i="26"/>
  <c r="H28" i="9" s="1"/>
  <c r="C236" i="26"/>
  <c r="D236" i="26" s="1"/>
  <c r="E236" i="26" s="1"/>
  <c r="AX235" i="26"/>
  <c r="H27" i="9" s="1"/>
  <c r="C235" i="26"/>
  <c r="D235" i="26" s="1"/>
  <c r="E235" i="26" s="1"/>
  <c r="AX234" i="26"/>
  <c r="H26" i="9" s="1"/>
  <c r="C234" i="26"/>
  <c r="D234" i="26" s="1"/>
  <c r="E234" i="26" s="1"/>
  <c r="AX233" i="26"/>
  <c r="H25" i="9" s="1"/>
  <c r="C233" i="26"/>
  <c r="D233" i="26" s="1"/>
  <c r="E233" i="26" s="1"/>
  <c r="AX232" i="26"/>
  <c r="H24" i="9" s="1"/>
  <c r="C232" i="26"/>
  <c r="D232" i="26" s="1"/>
  <c r="E232" i="26" s="1"/>
  <c r="AX231" i="26"/>
  <c r="H23" i="9" s="1"/>
  <c r="C231" i="26"/>
  <c r="D231" i="26" s="1"/>
  <c r="E231" i="26" s="1"/>
  <c r="AX230" i="26"/>
  <c r="H22" i="9" s="1"/>
  <c r="C230" i="26"/>
  <c r="D230" i="26" s="1"/>
  <c r="E230" i="26" s="1"/>
  <c r="AX229" i="26"/>
  <c r="H21" i="9" s="1"/>
  <c r="C229" i="26"/>
  <c r="D229" i="26" s="1"/>
  <c r="E229" i="26" s="1"/>
  <c r="AX228" i="26"/>
  <c r="H20" i="9" s="1"/>
  <c r="C228" i="26"/>
  <c r="D228" i="26" s="1"/>
  <c r="E228" i="26" s="1"/>
  <c r="I224" i="26"/>
  <c r="H224" i="26"/>
  <c r="AW220" i="26"/>
  <c r="AU220" i="26"/>
  <c r="AT220" i="26"/>
  <c r="AS220" i="26"/>
  <c r="AQ220" i="26"/>
  <c r="AP220" i="26"/>
  <c r="AO220" i="26"/>
  <c r="AM220" i="26"/>
  <c r="AL220" i="26"/>
  <c r="AK220" i="26"/>
  <c r="AI220" i="26"/>
  <c r="AH220" i="26"/>
  <c r="AG220" i="26"/>
  <c r="BE220" i="26" s="1"/>
  <c r="AE220" i="26"/>
  <c r="BG220" i="26" s="1"/>
  <c r="AD220" i="26"/>
  <c r="BF220" i="26" s="1"/>
  <c r="AC220" i="26"/>
  <c r="AA220" i="26"/>
  <c r="Z220" i="26"/>
  <c r="Y220" i="26"/>
  <c r="W220" i="26"/>
  <c r="V220" i="26"/>
  <c r="U220" i="26"/>
  <c r="S220" i="26"/>
  <c r="R220" i="26"/>
  <c r="Q220" i="26"/>
  <c r="O220" i="26"/>
  <c r="N220" i="26"/>
  <c r="M220" i="26"/>
  <c r="K220" i="26"/>
  <c r="J220" i="26"/>
  <c r="I220" i="26"/>
  <c r="G220" i="26"/>
  <c r="F220" i="26"/>
  <c r="E220" i="26"/>
  <c r="C220" i="26"/>
  <c r="B220" i="26"/>
  <c r="AW219" i="26"/>
  <c r="AU219" i="26"/>
  <c r="AT219" i="26"/>
  <c r="AS219" i="26"/>
  <c r="AQ219" i="26"/>
  <c r="AP219" i="26"/>
  <c r="AO219" i="26"/>
  <c r="AM219" i="26"/>
  <c r="AL219" i="26"/>
  <c r="AK219" i="26"/>
  <c r="AI219" i="26"/>
  <c r="AH219" i="26"/>
  <c r="AG219" i="26"/>
  <c r="BE219" i="26" s="1"/>
  <c r="AE219" i="26"/>
  <c r="BG219" i="26" s="1"/>
  <c r="AD219" i="26"/>
  <c r="BF219" i="26" s="1"/>
  <c r="AC219" i="26"/>
  <c r="AA219" i="26"/>
  <c r="Z219" i="26"/>
  <c r="Y219" i="26"/>
  <c r="W219" i="26"/>
  <c r="V219" i="26"/>
  <c r="U219" i="26"/>
  <c r="S219" i="26"/>
  <c r="R219" i="26"/>
  <c r="Q219" i="26"/>
  <c r="O219" i="26"/>
  <c r="N219" i="26"/>
  <c r="M219" i="26"/>
  <c r="K219" i="26"/>
  <c r="J219" i="26"/>
  <c r="I219" i="26"/>
  <c r="G219" i="26"/>
  <c r="F219" i="26"/>
  <c r="E219" i="26"/>
  <c r="C219" i="26"/>
  <c r="B219" i="26"/>
  <c r="AW218" i="26"/>
  <c r="AU218" i="26"/>
  <c r="AT218" i="26"/>
  <c r="AS218" i="26"/>
  <c r="AQ218" i="26"/>
  <c r="AP218" i="26"/>
  <c r="AO218" i="26"/>
  <c r="AM218" i="26"/>
  <c r="AL218" i="26"/>
  <c r="AK218" i="26"/>
  <c r="AI218" i="26"/>
  <c r="AH218" i="26"/>
  <c r="AG218" i="26"/>
  <c r="BE218" i="26" s="1"/>
  <c r="AE218" i="26"/>
  <c r="BG218" i="26" s="1"/>
  <c r="AD218" i="26"/>
  <c r="BF218" i="26" s="1"/>
  <c r="AC218" i="26"/>
  <c r="AA218" i="26"/>
  <c r="Z218" i="26"/>
  <c r="Y218" i="26"/>
  <c r="W218" i="26"/>
  <c r="V218" i="26"/>
  <c r="U218" i="26"/>
  <c r="S218" i="26"/>
  <c r="R218" i="26"/>
  <c r="Q218" i="26"/>
  <c r="O218" i="26"/>
  <c r="N218" i="26"/>
  <c r="M218" i="26"/>
  <c r="K218" i="26"/>
  <c r="J218" i="26"/>
  <c r="I218" i="26"/>
  <c r="G218" i="26"/>
  <c r="F218" i="26"/>
  <c r="E218" i="26"/>
  <c r="C218" i="26"/>
  <c r="B218" i="26"/>
  <c r="AW217" i="26"/>
  <c r="AU217" i="26"/>
  <c r="AT217" i="26"/>
  <c r="AS217" i="26"/>
  <c r="AQ217" i="26"/>
  <c r="AP217" i="26"/>
  <c r="AO217" i="26"/>
  <c r="AM217" i="26"/>
  <c r="AL217" i="26"/>
  <c r="AK217" i="26"/>
  <c r="AI217" i="26"/>
  <c r="AH217" i="26"/>
  <c r="AG217" i="26"/>
  <c r="BE217" i="26" s="1"/>
  <c r="AE217" i="26"/>
  <c r="BG217" i="26" s="1"/>
  <c r="AD217" i="26"/>
  <c r="BF217" i="26" s="1"/>
  <c r="AC217" i="26"/>
  <c r="AA217" i="26"/>
  <c r="Z217" i="26"/>
  <c r="Y217" i="26"/>
  <c r="W217" i="26"/>
  <c r="V217" i="26"/>
  <c r="U217" i="26"/>
  <c r="S217" i="26"/>
  <c r="R217" i="26"/>
  <c r="Q217" i="26"/>
  <c r="O217" i="26"/>
  <c r="N217" i="26"/>
  <c r="M217" i="26"/>
  <c r="K217" i="26"/>
  <c r="J217" i="26"/>
  <c r="I217" i="26"/>
  <c r="G217" i="26"/>
  <c r="F217" i="26"/>
  <c r="E217" i="26"/>
  <c r="C217" i="26"/>
  <c r="B217" i="26"/>
  <c r="AW216" i="26"/>
  <c r="AU216" i="26"/>
  <c r="AT216" i="26"/>
  <c r="AS216" i="26"/>
  <c r="AQ216" i="26"/>
  <c r="AP216" i="26"/>
  <c r="AO216" i="26"/>
  <c r="AM216" i="26"/>
  <c r="AL216" i="26"/>
  <c r="AK216" i="26"/>
  <c r="AI216" i="26"/>
  <c r="AH216" i="26"/>
  <c r="AG216" i="26"/>
  <c r="BE216" i="26" s="1"/>
  <c r="AE216" i="26"/>
  <c r="BG216" i="26" s="1"/>
  <c r="AD216" i="26"/>
  <c r="BF216" i="26" s="1"/>
  <c r="AC216" i="26"/>
  <c r="AA216" i="26"/>
  <c r="Z216" i="26"/>
  <c r="Y216" i="26"/>
  <c r="W216" i="26"/>
  <c r="V216" i="26"/>
  <c r="U216" i="26"/>
  <c r="S216" i="26"/>
  <c r="R216" i="26"/>
  <c r="Q216" i="26"/>
  <c r="O216" i="26"/>
  <c r="N216" i="26"/>
  <c r="M216" i="26"/>
  <c r="K216" i="26"/>
  <c r="J216" i="26"/>
  <c r="I216" i="26"/>
  <c r="G216" i="26"/>
  <c r="F216" i="26"/>
  <c r="E216" i="26"/>
  <c r="C216" i="26"/>
  <c r="B216" i="26"/>
  <c r="AW215" i="26"/>
  <c r="AU215" i="26"/>
  <c r="AT215" i="26"/>
  <c r="AS215" i="26"/>
  <c r="AQ215" i="26"/>
  <c r="AP215" i="26"/>
  <c r="AO215" i="26"/>
  <c r="AM215" i="26"/>
  <c r="AL215" i="26"/>
  <c r="AK215" i="26"/>
  <c r="AI215" i="26"/>
  <c r="AH215" i="26"/>
  <c r="AG215" i="26"/>
  <c r="BE215" i="26" s="1"/>
  <c r="AE215" i="26"/>
  <c r="BG215" i="26" s="1"/>
  <c r="AD215" i="26"/>
  <c r="BF215" i="26" s="1"/>
  <c r="AC215" i="26"/>
  <c r="AA215" i="26"/>
  <c r="Z215" i="26"/>
  <c r="Y215" i="26"/>
  <c r="W215" i="26"/>
  <c r="V215" i="26"/>
  <c r="U215" i="26"/>
  <c r="S215" i="26"/>
  <c r="R215" i="26"/>
  <c r="Q215" i="26"/>
  <c r="O215" i="26"/>
  <c r="N215" i="26"/>
  <c r="M215" i="26"/>
  <c r="K215" i="26"/>
  <c r="J215" i="26"/>
  <c r="I215" i="26"/>
  <c r="G215" i="26"/>
  <c r="F215" i="26"/>
  <c r="E215" i="26"/>
  <c r="C215" i="26"/>
  <c r="B215" i="26"/>
  <c r="AW214" i="26"/>
  <c r="AU214" i="26"/>
  <c r="AT214" i="26"/>
  <c r="AS214" i="26"/>
  <c r="AQ214" i="26"/>
  <c r="AP214" i="26"/>
  <c r="AO214" i="26"/>
  <c r="AM214" i="26"/>
  <c r="AL214" i="26"/>
  <c r="AK214" i="26"/>
  <c r="AI214" i="26"/>
  <c r="AH214" i="26"/>
  <c r="AG214" i="26"/>
  <c r="BE214" i="26" s="1"/>
  <c r="AE214" i="26"/>
  <c r="BG214" i="26" s="1"/>
  <c r="AD214" i="26"/>
  <c r="BF214" i="26" s="1"/>
  <c r="AC214" i="26"/>
  <c r="AA214" i="26"/>
  <c r="Z214" i="26"/>
  <c r="Y214" i="26"/>
  <c r="W214" i="26"/>
  <c r="V214" i="26"/>
  <c r="U214" i="26"/>
  <c r="S214" i="26"/>
  <c r="R214" i="26"/>
  <c r="Q214" i="26"/>
  <c r="O214" i="26"/>
  <c r="N214" i="26"/>
  <c r="M214" i="26"/>
  <c r="K214" i="26"/>
  <c r="J214" i="26"/>
  <c r="I214" i="26"/>
  <c r="G214" i="26"/>
  <c r="F214" i="26"/>
  <c r="E214" i="26"/>
  <c r="C214" i="26"/>
  <c r="B214" i="26"/>
  <c r="AW213" i="26"/>
  <c r="AU213" i="26"/>
  <c r="AT213" i="26"/>
  <c r="AS213" i="26"/>
  <c r="AQ213" i="26"/>
  <c r="AP213" i="26"/>
  <c r="AO213" i="26"/>
  <c r="AM213" i="26"/>
  <c r="AL213" i="26"/>
  <c r="AK213" i="26"/>
  <c r="AI213" i="26"/>
  <c r="AH213" i="26"/>
  <c r="AG213" i="26"/>
  <c r="BE213" i="26" s="1"/>
  <c r="AE213" i="26"/>
  <c r="BG213" i="26" s="1"/>
  <c r="AD213" i="26"/>
  <c r="BF213" i="26" s="1"/>
  <c r="AC213" i="26"/>
  <c r="AA213" i="26"/>
  <c r="Z213" i="26"/>
  <c r="Y213" i="26"/>
  <c r="W213" i="26"/>
  <c r="V213" i="26"/>
  <c r="U213" i="26"/>
  <c r="S213" i="26"/>
  <c r="R213" i="26"/>
  <c r="Q213" i="26"/>
  <c r="O213" i="26"/>
  <c r="N213" i="26"/>
  <c r="M213" i="26"/>
  <c r="K213" i="26"/>
  <c r="J213" i="26"/>
  <c r="I213" i="26"/>
  <c r="G213" i="26"/>
  <c r="F213" i="26"/>
  <c r="E213" i="26"/>
  <c r="C213" i="26"/>
  <c r="B213" i="26"/>
  <c r="AW212" i="26"/>
  <c r="AU212" i="26"/>
  <c r="AT212" i="26"/>
  <c r="AS212" i="26"/>
  <c r="AQ212" i="26"/>
  <c r="AP212" i="26"/>
  <c r="AO212" i="26"/>
  <c r="AM212" i="26"/>
  <c r="AL212" i="26"/>
  <c r="AK212" i="26"/>
  <c r="AI212" i="26"/>
  <c r="AH212" i="26"/>
  <c r="AG212" i="26"/>
  <c r="BE212" i="26" s="1"/>
  <c r="AE212" i="26"/>
  <c r="BG212" i="26" s="1"/>
  <c r="AD212" i="26"/>
  <c r="BF212" i="26" s="1"/>
  <c r="AC212" i="26"/>
  <c r="AA212" i="26"/>
  <c r="Z212" i="26"/>
  <c r="Y212" i="26"/>
  <c r="W212" i="26"/>
  <c r="V212" i="26"/>
  <c r="U212" i="26"/>
  <c r="S212" i="26"/>
  <c r="R212" i="26"/>
  <c r="Q212" i="26"/>
  <c r="O212" i="26"/>
  <c r="N212" i="26"/>
  <c r="M212" i="26"/>
  <c r="K212" i="26"/>
  <c r="J212" i="26"/>
  <c r="I212" i="26"/>
  <c r="G212" i="26"/>
  <c r="F212" i="26"/>
  <c r="E212" i="26"/>
  <c r="C212" i="26"/>
  <c r="B212" i="26"/>
  <c r="AW211" i="26"/>
  <c r="AU211" i="26"/>
  <c r="AT211" i="26"/>
  <c r="AS211" i="26"/>
  <c r="AQ211" i="26"/>
  <c r="AP211" i="26"/>
  <c r="AO211" i="26"/>
  <c r="AM211" i="26"/>
  <c r="AL211" i="26"/>
  <c r="AK211" i="26"/>
  <c r="AI211" i="26"/>
  <c r="AH211" i="26"/>
  <c r="AG211" i="26"/>
  <c r="BE211" i="26" s="1"/>
  <c r="AE211" i="26"/>
  <c r="BG211" i="26" s="1"/>
  <c r="AD211" i="26"/>
  <c r="BF211" i="26" s="1"/>
  <c r="AC211" i="26"/>
  <c r="AA211" i="26"/>
  <c r="Z211" i="26"/>
  <c r="Y211" i="26"/>
  <c r="W211" i="26"/>
  <c r="V211" i="26"/>
  <c r="U211" i="26"/>
  <c r="S211" i="26"/>
  <c r="R211" i="26"/>
  <c r="Q211" i="26"/>
  <c r="O211" i="26"/>
  <c r="N211" i="26"/>
  <c r="M211" i="26"/>
  <c r="K211" i="26"/>
  <c r="J211" i="26"/>
  <c r="I211" i="26"/>
  <c r="G211" i="26"/>
  <c r="F211" i="26"/>
  <c r="E211" i="26"/>
  <c r="C211" i="26"/>
  <c r="B211" i="26"/>
  <c r="AW206" i="26"/>
  <c r="AU206" i="26"/>
  <c r="AT206" i="26"/>
  <c r="AS206" i="26"/>
  <c r="AQ206" i="26"/>
  <c r="AP206" i="26"/>
  <c r="AO206" i="26"/>
  <c r="AM206" i="26"/>
  <c r="AL206" i="26"/>
  <c r="AK206" i="26"/>
  <c r="AI206" i="26"/>
  <c r="AH206" i="26"/>
  <c r="AG206" i="26"/>
  <c r="BE206" i="26" s="1"/>
  <c r="AE206" i="26"/>
  <c r="BG206" i="26" s="1"/>
  <c r="AD206" i="26"/>
  <c r="BF206" i="26" s="1"/>
  <c r="AC206" i="26"/>
  <c r="AA206" i="26"/>
  <c r="Z206" i="26"/>
  <c r="Y206" i="26"/>
  <c r="W206" i="26"/>
  <c r="V206" i="26"/>
  <c r="U206" i="26"/>
  <c r="S206" i="26"/>
  <c r="R206" i="26"/>
  <c r="Q206" i="26"/>
  <c r="O206" i="26"/>
  <c r="N206" i="26"/>
  <c r="M206" i="26"/>
  <c r="K206" i="26"/>
  <c r="J206" i="26"/>
  <c r="I206" i="26"/>
  <c r="G206" i="26"/>
  <c r="F206" i="26"/>
  <c r="E206" i="26"/>
  <c r="D206" i="26"/>
  <c r="C206" i="26"/>
  <c r="B206" i="26"/>
  <c r="BA205" i="26"/>
  <c r="F29" i="9" s="1"/>
  <c r="AY205" i="26"/>
  <c r="D29" i="9" s="1"/>
  <c r="AX205" i="26"/>
  <c r="C29" i="9" s="1"/>
  <c r="AM237" i="26"/>
  <c r="AN237" i="26" s="1"/>
  <c r="AO237" i="26" s="1"/>
  <c r="H205" i="26"/>
  <c r="BA204" i="26"/>
  <c r="AY204" i="26"/>
  <c r="AX204" i="26"/>
  <c r="C28" i="9" s="1"/>
  <c r="AM236" i="26"/>
  <c r="AN236" i="26" s="1"/>
  <c r="AO236" i="26" s="1"/>
  <c r="H204" i="26"/>
  <c r="BA203" i="26"/>
  <c r="F27" i="9" s="1"/>
  <c r="AY203" i="26"/>
  <c r="D27" i="9" s="1"/>
  <c r="AX203" i="26"/>
  <c r="C27" i="9" s="1"/>
  <c r="AM235" i="26"/>
  <c r="AN235" i="26" s="1"/>
  <c r="AO235" i="26" s="1"/>
  <c r="H203" i="26"/>
  <c r="BA202" i="26"/>
  <c r="AY202" i="26"/>
  <c r="D26" i="9" s="1"/>
  <c r="AX202" i="26"/>
  <c r="C26" i="9" s="1"/>
  <c r="AM234" i="26"/>
  <c r="AN234" i="26" s="1"/>
  <c r="AO234" i="26" s="1"/>
  <c r="H202" i="26"/>
  <c r="BA201" i="26"/>
  <c r="F25" i="9" s="1"/>
  <c r="AY201" i="26"/>
  <c r="AX201" i="26"/>
  <c r="C25" i="9" s="1"/>
  <c r="H201" i="26"/>
  <c r="BA200" i="26"/>
  <c r="F24" i="9" s="1"/>
  <c r="AY200" i="26"/>
  <c r="AX200" i="26"/>
  <c r="C24" i="9" s="1"/>
  <c r="AM232" i="26"/>
  <c r="AN232" i="26" s="1"/>
  <c r="AO232" i="26" s="1"/>
  <c r="H200" i="26"/>
  <c r="BA199" i="26"/>
  <c r="AY199" i="26"/>
  <c r="D23" i="9" s="1"/>
  <c r="AX199" i="26"/>
  <c r="C23" i="9" s="1"/>
  <c r="AM231" i="26"/>
  <c r="AN231" i="26" s="1"/>
  <c r="AO231" i="26" s="1"/>
  <c r="H199" i="26"/>
  <c r="BA198" i="26"/>
  <c r="AY198" i="26"/>
  <c r="D22" i="9" s="1"/>
  <c r="AX198" i="26"/>
  <c r="AM230" i="26"/>
  <c r="AN230" i="26" s="1"/>
  <c r="AO230" i="26" s="1"/>
  <c r="H198" i="26"/>
  <c r="BA197" i="26"/>
  <c r="F21" i="9" s="1"/>
  <c r="AY197" i="26"/>
  <c r="AX197" i="26"/>
  <c r="C21" i="9" s="1"/>
  <c r="AM229" i="26"/>
  <c r="AN229" i="26" s="1"/>
  <c r="AO229" i="26" s="1"/>
  <c r="H197" i="26"/>
  <c r="BA196" i="26"/>
  <c r="F20" i="9" s="1"/>
  <c r="AY196" i="26"/>
  <c r="D20" i="9" s="1"/>
  <c r="AX196" i="26"/>
  <c r="C20" i="9" s="1"/>
  <c r="H196" i="26"/>
  <c r="AW157" i="26"/>
  <c r="AU157" i="26"/>
  <c r="AT157" i="26"/>
  <c r="AS157" i="26"/>
  <c r="AQ157" i="26"/>
  <c r="AP157" i="26"/>
  <c r="AO157" i="26"/>
  <c r="AM157" i="26"/>
  <c r="AL157" i="26"/>
  <c r="AK157" i="26"/>
  <c r="AI157" i="26"/>
  <c r="AH157" i="26"/>
  <c r="AG157" i="26"/>
  <c r="BE157" i="26" s="1"/>
  <c r="AE157" i="26"/>
  <c r="AD157" i="26"/>
  <c r="AC157" i="26"/>
  <c r="AA157" i="26"/>
  <c r="Z157" i="26"/>
  <c r="Y157" i="26"/>
  <c r="W157" i="26"/>
  <c r="V157" i="26"/>
  <c r="U157" i="26"/>
  <c r="S157" i="26"/>
  <c r="R157" i="26"/>
  <c r="Q157" i="26"/>
  <c r="O157" i="26"/>
  <c r="N157" i="26"/>
  <c r="M157" i="26"/>
  <c r="K157" i="26"/>
  <c r="I157" i="26"/>
  <c r="G157" i="26"/>
  <c r="F157" i="26"/>
  <c r="E157" i="26"/>
  <c r="C157" i="26"/>
  <c r="B157" i="26"/>
  <c r="AW156" i="26"/>
  <c r="AU156" i="26"/>
  <c r="AT156" i="26"/>
  <c r="AS156" i="26"/>
  <c r="AQ156" i="26"/>
  <c r="AP156" i="26"/>
  <c r="AO156" i="26"/>
  <c r="AM156" i="26"/>
  <c r="AL156" i="26"/>
  <c r="AK156" i="26"/>
  <c r="AI156" i="26"/>
  <c r="AH156" i="26"/>
  <c r="AG156" i="26"/>
  <c r="BE156" i="26" s="1"/>
  <c r="AE156" i="26"/>
  <c r="AD156" i="26"/>
  <c r="AC156" i="26"/>
  <c r="AA156" i="26"/>
  <c r="Z156" i="26"/>
  <c r="Y156" i="26"/>
  <c r="W156" i="26"/>
  <c r="V156" i="26"/>
  <c r="U156" i="26"/>
  <c r="S156" i="26"/>
  <c r="R156" i="26"/>
  <c r="Q156" i="26"/>
  <c r="O156" i="26"/>
  <c r="N156" i="26"/>
  <c r="M156" i="26"/>
  <c r="K156" i="26"/>
  <c r="J156" i="26"/>
  <c r="I156" i="26"/>
  <c r="G156" i="26"/>
  <c r="F156" i="26"/>
  <c r="E156" i="26"/>
  <c r="C156" i="26"/>
  <c r="B156" i="26"/>
  <c r="AW155" i="26"/>
  <c r="AU155" i="26"/>
  <c r="AT155" i="26"/>
  <c r="AS155" i="26"/>
  <c r="AQ155" i="26"/>
  <c r="AP155" i="26"/>
  <c r="AO155" i="26"/>
  <c r="AM155" i="26"/>
  <c r="AL155" i="26"/>
  <c r="AK155" i="26"/>
  <c r="AI155" i="26"/>
  <c r="AH155" i="26"/>
  <c r="AG155" i="26"/>
  <c r="BE155" i="26" s="1"/>
  <c r="AE155" i="26"/>
  <c r="AD155" i="26"/>
  <c r="AC155" i="26"/>
  <c r="AA155" i="26"/>
  <c r="Z155" i="26"/>
  <c r="Y155" i="26"/>
  <c r="W155" i="26"/>
  <c r="V155" i="26"/>
  <c r="U155" i="26"/>
  <c r="S155" i="26"/>
  <c r="R155" i="26"/>
  <c r="Q155" i="26"/>
  <c r="O155" i="26"/>
  <c r="N155" i="26"/>
  <c r="M155" i="26"/>
  <c r="K155" i="26"/>
  <c r="J155" i="26"/>
  <c r="I155" i="26"/>
  <c r="G155" i="26"/>
  <c r="F155" i="26"/>
  <c r="E155" i="26"/>
  <c r="B155" i="26"/>
  <c r="AW154" i="26"/>
  <c r="AU154" i="26"/>
  <c r="AT154" i="26"/>
  <c r="AS154" i="26"/>
  <c r="AQ154" i="26"/>
  <c r="AP154" i="26"/>
  <c r="AO154" i="26"/>
  <c r="AM154" i="26"/>
  <c r="AL154" i="26"/>
  <c r="AK154" i="26"/>
  <c r="AI154" i="26"/>
  <c r="AH154" i="26"/>
  <c r="AG154" i="26"/>
  <c r="BE154" i="26" s="1"/>
  <c r="AE154" i="26"/>
  <c r="AD154" i="26"/>
  <c r="AC154" i="26"/>
  <c r="AA154" i="26"/>
  <c r="Z154" i="26"/>
  <c r="Y154" i="26"/>
  <c r="W154" i="26"/>
  <c r="V154" i="26"/>
  <c r="U154" i="26"/>
  <c r="S154" i="26"/>
  <c r="R154" i="26"/>
  <c r="Q154" i="26"/>
  <c r="O154" i="26"/>
  <c r="N154" i="26"/>
  <c r="M154" i="26"/>
  <c r="K154" i="26"/>
  <c r="J154" i="26"/>
  <c r="I154" i="26"/>
  <c r="G154" i="26"/>
  <c r="F154" i="26"/>
  <c r="E154" i="26"/>
  <c r="C154" i="26"/>
  <c r="B154" i="26"/>
  <c r="AW153" i="26"/>
  <c r="AU153" i="26"/>
  <c r="AT153" i="26"/>
  <c r="AS153" i="26"/>
  <c r="AQ153" i="26"/>
  <c r="AP153" i="26"/>
  <c r="AO153" i="26"/>
  <c r="AM153" i="26"/>
  <c r="AL153" i="26"/>
  <c r="AK153" i="26"/>
  <c r="AI153" i="26"/>
  <c r="AH153" i="26"/>
  <c r="AG153" i="26"/>
  <c r="BE153" i="26" s="1"/>
  <c r="AE153" i="26"/>
  <c r="AD153" i="26"/>
  <c r="AC153" i="26"/>
  <c r="AA153" i="26"/>
  <c r="Z153" i="26"/>
  <c r="Y153" i="26"/>
  <c r="W153" i="26"/>
  <c r="V153" i="26"/>
  <c r="U153" i="26"/>
  <c r="S153" i="26"/>
  <c r="R153" i="26"/>
  <c r="Q153" i="26"/>
  <c r="O153" i="26"/>
  <c r="N153" i="26"/>
  <c r="M153" i="26"/>
  <c r="K153" i="26"/>
  <c r="J153" i="26"/>
  <c r="I153" i="26"/>
  <c r="G153" i="26"/>
  <c r="F153" i="26"/>
  <c r="E153" i="26"/>
  <c r="C153" i="26"/>
  <c r="B153" i="26"/>
  <c r="AW152" i="26"/>
  <c r="AU152" i="26"/>
  <c r="AT152" i="26"/>
  <c r="AS152" i="26"/>
  <c r="AQ152" i="26"/>
  <c r="AP152" i="26"/>
  <c r="AO152" i="26"/>
  <c r="AM152" i="26"/>
  <c r="AL152" i="26"/>
  <c r="AK152" i="26"/>
  <c r="AI152" i="26"/>
  <c r="AH152" i="26"/>
  <c r="AG152" i="26"/>
  <c r="BE152" i="26" s="1"/>
  <c r="AE152" i="26"/>
  <c r="AD152" i="26"/>
  <c r="AC152" i="26"/>
  <c r="AA152" i="26"/>
  <c r="Z152" i="26"/>
  <c r="Y152" i="26"/>
  <c r="W152" i="26"/>
  <c r="V152" i="26"/>
  <c r="U152" i="26"/>
  <c r="S152" i="26"/>
  <c r="R152" i="26"/>
  <c r="Q152" i="26"/>
  <c r="O152" i="26"/>
  <c r="N152" i="26"/>
  <c r="M152" i="26"/>
  <c r="K152" i="26"/>
  <c r="J152" i="26"/>
  <c r="I152" i="26"/>
  <c r="G152" i="26"/>
  <c r="F152" i="26"/>
  <c r="E152" i="26"/>
  <c r="C152" i="26"/>
  <c r="B152" i="26"/>
  <c r="AW151" i="26"/>
  <c r="AU151" i="26"/>
  <c r="AT151" i="26"/>
  <c r="AS151" i="26"/>
  <c r="AQ151" i="26"/>
  <c r="AP151" i="26"/>
  <c r="AO151" i="26"/>
  <c r="AM151" i="26"/>
  <c r="AL151" i="26"/>
  <c r="AK151" i="26"/>
  <c r="AI151" i="26"/>
  <c r="AH151" i="26"/>
  <c r="AG151" i="26"/>
  <c r="BE151" i="26" s="1"/>
  <c r="AE151" i="26"/>
  <c r="AD151" i="26"/>
  <c r="AC151" i="26"/>
  <c r="AA151" i="26"/>
  <c r="Z151" i="26"/>
  <c r="Y151" i="26"/>
  <c r="W151" i="26"/>
  <c r="V151" i="26"/>
  <c r="U151" i="26"/>
  <c r="S151" i="26"/>
  <c r="R151" i="26"/>
  <c r="Q151" i="26"/>
  <c r="O151" i="26"/>
  <c r="N151" i="26"/>
  <c r="M151" i="26"/>
  <c r="K151" i="26"/>
  <c r="J151" i="26"/>
  <c r="I151" i="26"/>
  <c r="G151" i="26"/>
  <c r="F151" i="26"/>
  <c r="E151" i="26"/>
  <c r="C151" i="26"/>
  <c r="B151" i="26"/>
  <c r="AW150" i="26"/>
  <c r="AU150" i="26"/>
  <c r="AT150" i="26"/>
  <c r="AS150" i="26"/>
  <c r="AQ150" i="26"/>
  <c r="AP150" i="26"/>
  <c r="AO150" i="26"/>
  <c r="AM150" i="26"/>
  <c r="AL150" i="26"/>
  <c r="AK150" i="26"/>
  <c r="AI150" i="26"/>
  <c r="AH150" i="26"/>
  <c r="AG150" i="26"/>
  <c r="BE150" i="26" s="1"/>
  <c r="AE150" i="26"/>
  <c r="AD150" i="26"/>
  <c r="AC150" i="26"/>
  <c r="AA150" i="26"/>
  <c r="Z150" i="26"/>
  <c r="Y150" i="26"/>
  <c r="W150" i="26"/>
  <c r="V150" i="26"/>
  <c r="U150" i="26"/>
  <c r="S150" i="26"/>
  <c r="R150" i="26"/>
  <c r="Q150" i="26"/>
  <c r="O150" i="26"/>
  <c r="N150" i="26"/>
  <c r="M150" i="26"/>
  <c r="K150" i="26"/>
  <c r="J150" i="26"/>
  <c r="I150" i="26"/>
  <c r="G150" i="26"/>
  <c r="F150" i="26"/>
  <c r="E150" i="26"/>
  <c r="C150" i="26"/>
  <c r="B150" i="26"/>
  <c r="AW149" i="26"/>
  <c r="AU149" i="26"/>
  <c r="AT149" i="26"/>
  <c r="AS149" i="26"/>
  <c r="AQ149" i="26"/>
  <c r="AP149" i="26"/>
  <c r="AO149" i="26"/>
  <c r="AM149" i="26"/>
  <c r="AL149" i="26"/>
  <c r="AK149" i="26"/>
  <c r="AI149" i="26"/>
  <c r="AH149" i="26"/>
  <c r="AG149" i="26"/>
  <c r="BE149" i="26" s="1"/>
  <c r="AE149" i="26"/>
  <c r="AD149" i="26"/>
  <c r="AC149" i="26"/>
  <c r="AA149" i="26"/>
  <c r="Z149" i="26"/>
  <c r="Y149" i="26"/>
  <c r="W149" i="26"/>
  <c r="V149" i="26"/>
  <c r="U149" i="26"/>
  <c r="S149" i="26"/>
  <c r="R149" i="26"/>
  <c r="Q149" i="26"/>
  <c r="O149" i="26"/>
  <c r="N149" i="26"/>
  <c r="M149" i="26"/>
  <c r="K149" i="26"/>
  <c r="J149" i="26"/>
  <c r="I149" i="26"/>
  <c r="G149" i="26"/>
  <c r="F149" i="26"/>
  <c r="E149" i="26"/>
  <c r="C149" i="26"/>
  <c r="B149" i="26"/>
  <c r="AW148" i="26"/>
  <c r="AU148" i="26"/>
  <c r="AT148" i="26"/>
  <c r="AS148" i="26"/>
  <c r="AQ148" i="26"/>
  <c r="AP148" i="26"/>
  <c r="AO148" i="26"/>
  <c r="AM148" i="26"/>
  <c r="AL148" i="26"/>
  <c r="AK148" i="26"/>
  <c r="AI148" i="26"/>
  <c r="AH148" i="26"/>
  <c r="AG148" i="26"/>
  <c r="BE148" i="26" s="1"/>
  <c r="AE148" i="26"/>
  <c r="AD148" i="26"/>
  <c r="AC148" i="26"/>
  <c r="AA148" i="26"/>
  <c r="Z148" i="26"/>
  <c r="Y148" i="26"/>
  <c r="W148" i="26"/>
  <c r="V148" i="26"/>
  <c r="U148" i="26"/>
  <c r="S148" i="26"/>
  <c r="R148" i="26"/>
  <c r="Q148" i="26"/>
  <c r="O148" i="26"/>
  <c r="N148" i="26"/>
  <c r="M148" i="26"/>
  <c r="K148" i="26"/>
  <c r="J148" i="26"/>
  <c r="I148" i="26"/>
  <c r="G148" i="26"/>
  <c r="F148" i="26"/>
  <c r="E148" i="26"/>
  <c r="C148" i="26"/>
  <c r="B148" i="26"/>
  <c r="AW143" i="26"/>
  <c r="AU143" i="26"/>
  <c r="AT143" i="26"/>
  <c r="AS143" i="26"/>
  <c r="AQ143" i="26"/>
  <c r="AP143" i="26"/>
  <c r="AO143" i="26"/>
  <c r="AM143" i="26"/>
  <c r="AL143" i="26"/>
  <c r="AK143" i="26"/>
  <c r="AI143" i="26"/>
  <c r="AH143" i="26"/>
  <c r="AG143" i="26"/>
  <c r="BE143" i="26" s="1"/>
  <c r="AE143" i="26"/>
  <c r="AD143" i="26"/>
  <c r="AC143" i="26"/>
  <c r="AA143" i="26"/>
  <c r="Z143" i="26"/>
  <c r="Y143" i="26"/>
  <c r="W143" i="26"/>
  <c r="V143" i="26"/>
  <c r="U143" i="26"/>
  <c r="S143" i="26"/>
  <c r="R143" i="26"/>
  <c r="Q143" i="26"/>
  <c r="O143" i="26"/>
  <c r="N143" i="26"/>
  <c r="M143" i="26"/>
  <c r="K143" i="26"/>
  <c r="J143" i="26"/>
  <c r="I143" i="26"/>
  <c r="G143" i="26"/>
  <c r="F143" i="26"/>
  <c r="E143" i="26"/>
  <c r="D143" i="26"/>
  <c r="C143" i="26"/>
  <c r="B143" i="26"/>
  <c r="BA142" i="26"/>
  <c r="M112" i="196" s="1"/>
  <c r="AY142" i="26"/>
  <c r="AX142" i="26"/>
  <c r="H142" i="26"/>
  <c r="BA141" i="26"/>
  <c r="M111" i="196" s="1"/>
  <c r="AY141" i="26"/>
  <c r="AX141" i="26"/>
  <c r="H141" i="26"/>
  <c r="BA140" i="26"/>
  <c r="M110" i="196" s="1"/>
  <c r="AY140" i="26"/>
  <c r="AX140" i="26"/>
  <c r="H140" i="26"/>
  <c r="BA139" i="26"/>
  <c r="M109" i="196" s="1"/>
  <c r="AY139" i="26"/>
  <c r="AX139" i="26"/>
  <c r="H139" i="26"/>
  <c r="BA138" i="26"/>
  <c r="M108" i="196" s="1"/>
  <c r="AY138" i="26"/>
  <c r="AX138" i="26"/>
  <c r="H138" i="26"/>
  <c r="BA137" i="26"/>
  <c r="M107" i="196" s="1"/>
  <c r="AY137" i="26"/>
  <c r="AX137" i="26"/>
  <c r="H137" i="26"/>
  <c r="BA136" i="26"/>
  <c r="M106" i="196" s="1"/>
  <c r="AY136" i="26"/>
  <c r="AX136" i="26"/>
  <c r="H136" i="26"/>
  <c r="BA135" i="26"/>
  <c r="M105" i="196" s="1"/>
  <c r="AY135" i="26"/>
  <c r="AX135" i="26"/>
  <c r="H135" i="26"/>
  <c r="BA134" i="26"/>
  <c r="M104" i="196" s="1"/>
  <c r="AY134" i="26"/>
  <c r="AX134" i="26"/>
  <c r="H134" i="26"/>
  <c r="BA133" i="26"/>
  <c r="M103" i="196" s="1"/>
  <c r="AY133" i="26"/>
  <c r="AX133" i="26"/>
  <c r="H133" i="26"/>
  <c r="AW110" i="26"/>
  <c r="AU110" i="26"/>
  <c r="AU173" i="26" s="1"/>
  <c r="AT110" i="26"/>
  <c r="AT173" i="26" s="1"/>
  <c r="AS110" i="26"/>
  <c r="AQ110" i="26"/>
  <c r="AP110" i="26"/>
  <c r="AP173" i="26" s="1"/>
  <c r="AW109" i="26"/>
  <c r="AU109" i="26"/>
  <c r="AU172" i="26" s="1"/>
  <c r="AT109" i="26"/>
  <c r="AT172" i="26" s="1"/>
  <c r="AS109" i="26"/>
  <c r="AQ109" i="26"/>
  <c r="AQ172" i="26" s="1"/>
  <c r="AP109" i="26"/>
  <c r="AW108" i="26"/>
  <c r="AU108" i="26"/>
  <c r="AU171" i="26" s="1"/>
  <c r="AT108" i="26"/>
  <c r="AS108" i="26"/>
  <c r="AQ108" i="26"/>
  <c r="AP108" i="26"/>
  <c r="AP171" i="26" s="1"/>
  <c r="AW107" i="26"/>
  <c r="AU107" i="26"/>
  <c r="AU170" i="26" s="1"/>
  <c r="AT107" i="26"/>
  <c r="AS107" i="26"/>
  <c r="AQ107" i="26"/>
  <c r="AQ170" i="26" s="1"/>
  <c r="AP107" i="26"/>
  <c r="AW106" i="26"/>
  <c r="AU106" i="26"/>
  <c r="AU169" i="26" s="1"/>
  <c r="AT106" i="26"/>
  <c r="AS106" i="26"/>
  <c r="AQ106" i="26"/>
  <c r="AP106" i="26"/>
  <c r="AP169" i="26" s="1"/>
  <c r="AW105" i="26"/>
  <c r="AU105" i="26"/>
  <c r="AU168" i="26" s="1"/>
  <c r="AT105" i="26"/>
  <c r="AS105" i="26"/>
  <c r="AQ105" i="26"/>
  <c r="AQ168" i="26" s="1"/>
  <c r="AP105" i="26"/>
  <c r="AW104" i="26"/>
  <c r="AU104" i="26"/>
  <c r="AU167" i="26" s="1"/>
  <c r="AT104" i="26"/>
  <c r="AT167" i="26" s="1"/>
  <c r="AS104" i="26"/>
  <c r="AQ104" i="26"/>
  <c r="AP104" i="26"/>
  <c r="AP167" i="26" s="1"/>
  <c r="AW103" i="26"/>
  <c r="AU103" i="26"/>
  <c r="AU166" i="26" s="1"/>
  <c r="AT103" i="26"/>
  <c r="AT166" i="26" s="1"/>
  <c r="AS103" i="26"/>
  <c r="AQ103" i="26"/>
  <c r="AQ166" i="26" s="1"/>
  <c r="AP103" i="26"/>
  <c r="AW102" i="26"/>
  <c r="AU102" i="26"/>
  <c r="AU165" i="26" s="1"/>
  <c r="AT102" i="26"/>
  <c r="AT165" i="26" s="1"/>
  <c r="AS102" i="26"/>
  <c r="AQ102" i="26"/>
  <c r="AP102" i="26"/>
  <c r="AP165" i="26" s="1"/>
  <c r="AW101" i="26"/>
  <c r="AU101" i="26"/>
  <c r="AU164" i="26" s="1"/>
  <c r="AT101" i="26"/>
  <c r="AS101" i="26"/>
  <c r="AQ101" i="26"/>
  <c r="AQ164" i="26" s="1"/>
  <c r="AP101" i="26"/>
  <c r="AW93" i="26"/>
  <c r="AU93" i="26"/>
  <c r="AT93" i="26"/>
  <c r="AS93" i="26"/>
  <c r="AQ93" i="26"/>
  <c r="AP93" i="26"/>
  <c r="AO93" i="26"/>
  <c r="AM93" i="26"/>
  <c r="AL93" i="26"/>
  <c r="AK93" i="26"/>
  <c r="AI93" i="26"/>
  <c r="AH93" i="26"/>
  <c r="AG93" i="26"/>
  <c r="BE93" i="26" s="1"/>
  <c r="AE93" i="26"/>
  <c r="AD93" i="26"/>
  <c r="AC93" i="26"/>
  <c r="AA93" i="26"/>
  <c r="Z93" i="26"/>
  <c r="Y93" i="26"/>
  <c r="W93" i="26"/>
  <c r="V93" i="26"/>
  <c r="U93" i="26"/>
  <c r="S93" i="26"/>
  <c r="R93" i="26"/>
  <c r="Q93" i="26"/>
  <c r="O93" i="26"/>
  <c r="N93" i="26"/>
  <c r="I93" i="26"/>
  <c r="G93" i="26"/>
  <c r="F93" i="26"/>
  <c r="E93" i="26"/>
  <c r="AW92" i="26"/>
  <c r="AU92" i="26"/>
  <c r="AT92" i="26"/>
  <c r="AS92" i="26"/>
  <c r="AQ92" i="26"/>
  <c r="AP92" i="26"/>
  <c r="AO92" i="26"/>
  <c r="AM92" i="26"/>
  <c r="AL92" i="26"/>
  <c r="AK92" i="26"/>
  <c r="AI92" i="26"/>
  <c r="AH92" i="26"/>
  <c r="AG92" i="26"/>
  <c r="BE92" i="26" s="1"/>
  <c r="AE92" i="26"/>
  <c r="AD92" i="26"/>
  <c r="AC92" i="26"/>
  <c r="AA92" i="26"/>
  <c r="Z92" i="26"/>
  <c r="Y92" i="26"/>
  <c r="W92" i="26"/>
  <c r="V92" i="26"/>
  <c r="U92" i="26"/>
  <c r="S92" i="26"/>
  <c r="R92" i="26"/>
  <c r="Q92" i="26"/>
  <c r="O92" i="26"/>
  <c r="N92" i="26"/>
  <c r="I92" i="26"/>
  <c r="G92" i="26"/>
  <c r="F92" i="26"/>
  <c r="E92" i="26"/>
  <c r="AW91" i="26"/>
  <c r="AU91" i="26"/>
  <c r="AT91" i="26"/>
  <c r="AS91" i="26"/>
  <c r="AQ91" i="26"/>
  <c r="AP91" i="26"/>
  <c r="AO91" i="26"/>
  <c r="AM91" i="26"/>
  <c r="AL91" i="26"/>
  <c r="AK91" i="26"/>
  <c r="AI91" i="26"/>
  <c r="AH91" i="26"/>
  <c r="AG91" i="26"/>
  <c r="BE91" i="26" s="1"/>
  <c r="AE91" i="26"/>
  <c r="AD91" i="26"/>
  <c r="AC91" i="26"/>
  <c r="AA91" i="26"/>
  <c r="Z91" i="26"/>
  <c r="Y91" i="26"/>
  <c r="W91" i="26"/>
  <c r="V91" i="26"/>
  <c r="U91" i="26"/>
  <c r="S91" i="26"/>
  <c r="R91" i="26"/>
  <c r="Q91" i="26"/>
  <c r="O91" i="26"/>
  <c r="N91" i="26"/>
  <c r="I91" i="26"/>
  <c r="G91" i="26"/>
  <c r="F91" i="26"/>
  <c r="E91" i="26"/>
  <c r="AW90" i="26"/>
  <c r="AU90" i="26"/>
  <c r="AT90" i="26"/>
  <c r="AS90" i="26"/>
  <c r="AQ90" i="26"/>
  <c r="AP90" i="26"/>
  <c r="AO90" i="26"/>
  <c r="AM90" i="26"/>
  <c r="AL90" i="26"/>
  <c r="AK90" i="26"/>
  <c r="AI90" i="26"/>
  <c r="AH90" i="26"/>
  <c r="AG90" i="26"/>
  <c r="BE90" i="26" s="1"/>
  <c r="AE90" i="26"/>
  <c r="AD90" i="26"/>
  <c r="AC90" i="26"/>
  <c r="AA90" i="26"/>
  <c r="Z90" i="26"/>
  <c r="Y90" i="26"/>
  <c r="W90" i="26"/>
  <c r="V90" i="26"/>
  <c r="U90" i="26"/>
  <c r="S90" i="26"/>
  <c r="R90" i="26"/>
  <c r="Q90" i="26"/>
  <c r="O90" i="26"/>
  <c r="N90" i="26"/>
  <c r="I90" i="26"/>
  <c r="G90" i="26"/>
  <c r="F90" i="26"/>
  <c r="E90" i="26"/>
  <c r="AW89" i="26"/>
  <c r="AU89" i="26"/>
  <c r="AT89" i="26"/>
  <c r="AS89" i="26"/>
  <c r="AQ89" i="26"/>
  <c r="AP89" i="26"/>
  <c r="AO89" i="26"/>
  <c r="AM89" i="26"/>
  <c r="AL89" i="26"/>
  <c r="AK89" i="26"/>
  <c r="AI89" i="26"/>
  <c r="AH89" i="26"/>
  <c r="AG89" i="26"/>
  <c r="BE89" i="26" s="1"/>
  <c r="AE89" i="26"/>
  <c r="AD89" i="26"/>
  <c r="AC89" i="26"/>
  <c r="AA89" i="26"/>
  <c r="Z89" i="26"/>
  <c r="Y89" i="26"/>
  <c r="W89" i="26"/>
  <c r="V89" i="26"/>
  <c r="U89" i="26"/>
  <c r="S89" i="26"/>
  <c r="R89" i="26"/>
  <c r="Q89" i="26"/>
  <c r="O89" i="26"/>
  <c r="N89" i="26"/>
  <c r="E89" i="26"/>
  <c r="AW88" i="26"/>
  <c r="AU88" i="26"/>
  <c r="AT88" i="26"/>
  <c r="AS88" i="26"/>
  <c r="AQ88" i="26"/>
  <c r="AP88" i="26"/>
  <c r="AO88" i="26"/>
  <c r="AM88" i="26"/>
  <c r="AL88" i="26"/>
  <c r="AK88" i="26"/>
  <c r="AI88" i="26"/>
  <c r="AH88" i="26"/>
  <c r="AG88" i="26"/>
  <c r="BE88" i="26" s="1"/>
  <c r="AE88" i="26"/>
  <c r="AD88" i="26"/>
  <c r="AC88" i="26"/>
  <c r="AA88" i="26"/>
  <c r="Z88" i="26"/>
  <c r="Y88" i="26"/>
  <c r="W88" i="26"/>
  <c r="V88" i="26"/>
  <c r="U88" i="26"/>
  <c r="S88" i="26"/>
  <c r="R88" i="26"/>
  <c r="Q88" i="26"/>
  <c r="M48" i="191" s="1"/>
  <c r="O88" i="26"/>
  <c r="N88" i="26"/>
  <c r="E88" i="26"/>
  <c r="AW87" i="26"/>
  <c r="AU87" i="26"/>
  <c r="AT87" i="26"/>
  <c r="AS87" i="26"/>
  <c r="AQ87" i="26"/>
  <c r="AP87" i="26"/>
  <c r="AO87" i="26"/>
  <c r="AM87" i="26"/>
  <c r="AL87" i="26"/>
  <c r="AK87" i="26"/>
  <c r="AI87" i="26"/>
  <c r="AH87" i="26"/>
  <c r="AG87" i="26"/>
  <c r="BE87" i="26" s="1"/>
  <c r="AE87" i="26"/>
  <c r="AD87" i="26"/>
  <c r="AC87" i="26"/>
  <c r="AA87" i="26"/>
  <c r="Z87" i="26"/>
  <c r="Y87" i="26"/>
  <c r="W87" i="26"/>
  <c r="V87" i="26"/>
  <c r="U87" i="26"/>
  <c r="S87" i="26"/>
  <c r="R87" i="26"/>
  <c r="Q87" i="26"/>
  <c r="O87" i="26"/>
  <c r="N87" i="26"/>
  <c r="AW86" i="26"/>
  <c r="AU86" i="26"/>
  <c r="AT86" i="26"/>
  <c r="AS86" i="26"/>
  <c r="AQ86" i="26"/>
  <c r="AP86" i="26"/>
  <c r="AO86" i="26"/>
  <c r="AM86" i="26"/>
  <c r="AL86" i="26"/>
  <c r="AK86" i="26"/>
  <c r="AI86" i="26"/>
  <c r="AH86" i="26"/>
  <c r="AG86" i="26"/>
  <c r="BE86" i="26" s="1"/>
  <c r="AE86" i="26"/>
  <c r="AD86" i="26"/>
  <c r="AC86" i="26"/>
  <c r="AA86" i="26"/>
  <c r="Z86" i="26"/>
  <c r="Y86" i="26"/>
  <c r="W86" i="26"/>
  <c r="V86" i="26"/>
  <c r="U86" i="26"/>
  <c r="S86" i="26"/>
  <c r="R86" i="26"/>
  <c r="Q86" i="26"/>
  <c r="O86" i="26"/>
  <c r="N86" i="26"/>
  <c r="AW85" i="26"/>
  <c r="AU85" i="26"/>
  <c r="AT85" i="26"/>
  <c r="AS85" i="26"/>
  <c r="AQ85" i="26"/>
  <c r="AP85" i="26"/>
  <c r="AO85" i="26"/>
  <c r="AM85" i="26"/>
  <c r="AL85" i="26"/>
  <c r="AK85" i="26"/>
  <c r="AI85" i="26"/>
  <c r="AH85" i="26"/>
  <c r="AG85" i="26"/>
  <c r="BE85" i="26" s="1"/>
  <c r="AE85" i="26"/>
  <c r="AD85" i="26"/>
  <c r="AC85" i="26"/>
  <c r="AA85" i="26"/>
  <c r="Z85" i="26"/>
  <c r="Y85" i="26"/>
  <c r="W85" i="26"/>
  <c r="V85" i="26"/>
  <c r="U85" i="26"/>
  <c r="S85" i="26"/>
  <c r="R85" i="26"/>
  <c r="Q85" i="26"/>
  <c r="O85" i="26"/>
  <c r="N85" i="26"/>
  <c r="I85" i="26"/>
  <c r="G85" i="26"/>
  <c r="F85" i="26"/>
  <c r="E85" i="26"/>
  <c r="AW84" i="26"/>
  <c r="AU84" i="26"/>
  <c r="AT84" i="26"/>
  <c r="AS84" i="26"/>
  <c r="AQ84" i="26"/>
  <c r="AP84" i="26"/>
  <c r="AO84" i="26"/>
  <c r="AM84" i="26"/>
  <c r="AL84" i="26"/>
  <c r="AK84" i="26"/>
  <c r="AI84" i="26"/>
  <c r="AH84" i="26"/>
  <c r="AG84" i="26"/>
  <c r="BE84" i="26" s="1"/>
  <c r="AE84" i="26"/>
  <c r="AD84" i="26"/>
  <c r="AC84" i="26"/>
  <c r="AA84" i="26"/>
  <c r="Z84" i="26"/>
  <c r="Y84" i="26"/>
  <c r="W84" i="26"/>
  <c r="V84" i="26"/>
  <c r="U84" i="26"/>
  <c r="S84" i="26"/>
  <c r="R84" i="26"/>
  <c r="Q84" i="26"/>
  <c r="O84" i="26"/>
  <c r="N84" i="26"/>
  <c r="M84" i="26"/>
  <c r="K84" i="26"/>
  <c r="J84" i="26"/>
  <c r="I84" i="26"/>
  <c r="G84" i="26"/>
  <c r="F84" i="26"/>
  <c r="E84" i="26"/>
  <c r="AW79" i="26"/>
  <c r="AU79" i="26"/>
  <c r="AT79" i="26"/>
  <c r="AS79" i="26"/>
  <c r="AQ79" i="26"/>
  <c r="AP79" i="26"/>
  <c r="AO79" i="26"/>
  <c r="AM79" i="26"/>
  <c r="AL79" i="26"/>
  <c r="AK79" i="26"/>
  <c r="AI79" i="26"/>
  <c r="AH79" i="26"/>
  <c r="AG79" i="26"/>
  <c r="BE79" i="26" s="1"/>
  <c r="AE79" i="26"/>
  <c r="AD79" i="26"/>
  <c r="AC79" i="26"/>
  <c r="AA79" i="26"/>
  <c r="Z79" i="26"/>
  <c r="Y79" i="26"/>
  <c r="W79" i="26"/>
  <c r="V79" i="26"/>
  <c r="U79" i="26"/>
  <c r="S79" i="26"/>
  <c r="R79" i="26"/>
  <c r="Q79" i="26"/>
  <c r="O79" i="26"/>
  <c r="N79" i="26"/>
  <c r="M79" i="26"/>
  <c r="K79" i="26"/>
  <c r="J79" i="26"/>
  <c r="I79" i="26"/>
  <c r="G79" i="26"/>
  <c r="F79" i="26"/>
  <c r="E79" i="26"/>
  <c r="D79" i="26"/>
  <c r="C79" i="26"/>
  <c r="B79" i="26"/>
  <c r="BA78" i="26"/>
  <c r="M82" i="196" s="1"/>
  <c r="AY78" i="26"/>
  <c r="AX78" i="26"/>
  <c r="BA77" i="26"/>
  <c r="M81" i="196" s="1"/>
  <c r="AY77" i="26"/>
  <c r="AX77" i="26"/>
  <c r="BA76" i="26"/>
  <c r="M80" i="196" s="1"/>
  <c r="AY76" i="26"/>
  <c r="AX76" i="26"/>
  <c r="BA75" i="26"/>
  <c r="M79" i="196" s="1"/>
  <c r="AY75" i="26"/>
  <c r="AX75" i="26"/>
  <c r="BA74" i="26"/>
  <c r="M78" i="196" s="1"/>
  <c r="AY74" i="26"/>
  <c r="AX74" i="26"/>
  <c r="BA73" i="26"/>
  <c r="M77" i="196" s="1"/>
  <c r="AY73" i="26"/>
  <c r="AX73" i="26"/>
  <c r="BA72" i="26"/>
  <c r="M76" i="196" s="1"/>
  <c r="AY72" i="26"/>
  <c r="AX72" i="26"/>
  <c r="BA71" i="26"/>
  <c r="M75" i="196" s="1"/>
  <c r="AY71" i="26"/>
  <c r="AX71" i="26"/>
  <c r="BA70" i="26"/>
  <c r="M74" i="196" s="1"/>
  <c r="AY70" i="26"/>
  <c r="AX70" i="26"/>
  <c r="BA69" i="26"/>
  <c r="M73" i="196" s="1"/>
  <c r="AY69" i="26"/>
  <c r="AX69" i="26"/>
  <c r="AW47" i="26"/>
  <c r="AV47" i="26"/>
  <c r="AU47" i="26"/>
  <c r="AT47" i="26"/>
  <c r="AS47" i="26"/>
  <c r="AR47" i="26"/>
  <c r="AQ47" i="26"/>
  <c r="AP47" i="26"/>
  <c r="O46" i="44"/>
  <c r="AK110" i="26"/>
  <c r="AI110" i="26"/>
  <c r="AI173" i="26" s="1"/>
  <c r="AG110" i="26"/>
  <c r="BE110" i="26" s="1"/>
  <c r="AE110" i="26"/>
  <c r="AE173" i="26" s="1"/>
  <c r="Y110" i="26"/>
  <c r="W110" i="26"/>
  <c r="W173" i="26" s="1"/>
  <c r="U110" i="26"/>
  <c r="S110" i="26"/>
  <c r="S173" i="26" s="1"/>
  <c r="M110" i="26"/>
  <c r="K110" i="26"/>
  <c r="K173" i="26" s="1"/>
  <c r="I110" i="26"/>
  <c r="G110" i="26"/>
  <c r="G173" i="26" s="1"/>
  <c r="E46" i="26"/>
  <c r="C63" i="185" s="1"/>
  <c r="C46" i="26"/>
  <c r="B46" i="26"/>
  <c r="AK109" i="26"/>
  <c r="AI109" i="26"/>
  <c r="AI172" i="26" s="1"/>
  <c r="AG109" i="26"/>
  <c r="BE109" i="26" s="1"/>
  <c r="AE109" i="26"/>
  <c r="AE172" i="26" s="1"/>
  <c r="Y109" i="26"/>
  <c r="W109" i="26"/>
  <c r="W172" i="26" s="1"/>
  <c r="U109" i="26"/>
  <c r="S109" i="26"/>
  <c r="S172" i="26" s="1"/>
  <c r="M109" i="26"/>
  <c r="K109" i="26"/>
  <c r="K172" i="26" s="1"/>
  <c r="I109" i="26"/>
  <c r="G109" i="26"/>
  <c r="G172" i="26" s="1"/>
  <c r="E45" i="26"/>
  <c r="C45" i="26"/>
  <c r="B45" i="26"/>
  <c r="AK108" i="26"/>
  <c r="AI108" i="26"/>
  <c r="AI171" i="26" s="1"/>
  <c r="AG108" i="26"/>
  <c r="BE108" i="26" s="1"/>
  <c r="AE108" i="26"/>
  <c r="AE171" i="26" s="1"/>
  <c r="Y108" i="26"/>
  <c r="W108" i="26"/>
  <c r="W171" i="26" s="1"/>
  <c r="U108" i="26"/>
  <c r="S108" i="26"/>
  <c r="S171" i="26" s="1"/>
  <c r="M108" i="26"/>
  <c r="K108" i="26"/>
  <c r="K171" i="26" s="1"/>
  <c r="I108" i="26"/>
  <c r="G108" i="26"/>
  <c r="G171" i="26" s="1"/>
  <c r="E44" i="26"/>
  <c r="C44" i="26"/>
  <c r="B44" i="26"/>
  <c r="Q43" i="44"/>
  <c r="Q106" i="44" s="1"/>
  <c r="N43" i="44"/>
  <c r="AK107" i="26"/>
  <c r="AI107" i="26"/>
  <c r="AI170" i="26" s="1"/>
  <c r="AH107" i="26"/>
  <c r="AG107" i="26"/>
  <c r="BE107" i="26" s="1"/>
  <c r="AE107" i="26"/>
  <c r="AE170" i="26" s="1"/>
  <c r="AD107" i="26"/>
  <c r="Y107" i="26"/>
  <c r="W107" i="26"/>
  <c r="W170" i="26" s="1"/>
  <c r="V107" i="26"/>
  <c r="U107" i="26"/>
  <c r="S107" i="26"/>
  <c r="S170" i="26" s="1"/>
  <c r="R107" i="26"/>
  <c r="F43" i="44"/>
  <c r="M107" i="26"/>
  <c r="K107" i="26"/>
  <c r="K170" i="26" s="1"/>
  <c r="J107" i="26"/>
  <c r="I107" i="26"/>
  <c r="G107" i="26"/>
  <c r="G170" i="26" s="1"/>
  <c r="F107" i="26"/>
  <c r="E43" i="26"/>
  <c r="C43" i="26"/>
  <c r="B43" i="26"/>
  <c r="Q42" i="44"/>
  <c r="AK106" i="26"/>
  <c r="AI106" i="26"/>
  <c r="AI169" i="26" s="1"/>
  <c r="AG106" i="26"/>
  <c r="BE106" i="26" s="1"/>
  <c r="AE106" i="26"/>
  <c r="AE169" i="26" s="1"/>
  <c r="Y106" i="26"/>
  <c r="W106" i="26"/>
  <c r="W169" i="26" s="1"/>
  <c r="U106" i="26"/>
  <c r="S106" i="26"/>
  <c r="S169" i="26" s="1"/>
  <c r="M106" i="26"/>
  <c r="K106" i="26"/>
  <c r="K169" i="26" s="1"/>
  <c r="I106" i="26"/>
  <c r="G106" i="26"/>
  <c r="G169" i="26" s="1"/>
  <c r="E42" i="26"/>
  <c r="C42" i="26"/>
  <c r="B42" i="26"/>
  <c r="Q41" i="44"/>
  <c r="Q104" i="44" s="1"/>
  <c r="AK105" i="26"/>
  <c r="AI105" i="26"/>
  <c r="AI168" i="26" s="1"/>
  <c r="AG105" i="26"/>
  <c r="BE105" i="26" s="1"/>
  <c r="AE105" i="26"/>
  <c r="AE168" i="26" s="1"/>
  <c r="Y105" i="26"/>
  <c r="W105" i="26"/>
  <c r="W168" i="26" s="1"/>
  <c r="U105" i="26"/>
  <c r="S105" i="26"/>
  <c r="S168" i="26" s="1"/>
  <c r="M105" i="26"/>
  <c r="K105" i="26"/>
  <c r="K168" i="26" s="1"/>
  <c r="I105" i="26"/>
  <c r="G105" i="26"/>
  <c r="G168" i="26" s="1"/>
  <c r="E41" i="26"/>
  <c r="C41" i="26"/>
  <c r="B41" i="26"/>
  <c r="Q40" i="44"/>
  <c r="O40" i="44"/>
  <c r="AK104" i="26"/>
  <c r="AI104" i="26"/>
  <c r="AG104" i="26"/>
  <c r="BE104" i="26" s="1"/>
  <c r="AE104" i="26"/>
  <c r="AE167" i="26" s="1"/>
  <c r="Y104" i="26"/>
  <c r="W104" i="26"/>
  <c r="W167" i="26" s="1"/>
  <c r="U104" i="26"/>
  <c r="S104" i="26"/>
  <c r="M104" i="26"/>
  <c r="K104" i="26"/>
  <c r="K167" i="26" s="1"/>
  <c r="I104" i="26"/>
  <c r="G104" i="26"/>
  <c r="G167" i="26" s="1"/>
  <c r="E40" i="26"/>
  <c r="C40" i="26"/>
  <c r="B40" i="26"/>
  <c r="O39" i="44"/>
  <c r="N39" i="44"/>
  <c r="AK103" i="26"/>
  <c r="AI103" i="26"/>
  <c r="AI166" i="26" s="1"/>
  <c r="AH103" i="26"/>
  <c r="AG103" i="26"/>
  <c r="BE103" i="26" s="1"/>
  <c r="AE103" i="26"/>
  <c r="AE166" i="26" s="1"/>
  <c r="AD103" i="26"/>
  <c r="Y103" i="26"/>
  <c r="W103" i="26"/>
  <c r="W166" i="26" s="1"/>
  <c r="V103" i="26"/>
  <c r="V166" i="26" s="1"/>
  <c r="U103" i="26"/>
  <c r="S103" i="26"/>
  <c r="S166" i="26" s="1"/>
  <c r="R103" i="26"/>
  <c r="M103" i="26"/>
  <c r="K103" i="26"/>
  <c r="K166" i="26" s="1"/>
  <c r="J103" i="26"/>
  <c r="J166" i="26" s="1"/>
  <c r="I103" i="26"/>
  <c r="G103" i="26"/>
  <c r="G166" i="26" s="1"/>
  <c r="F103" i="26"/>
  <c r="F166" i="26" s="1"/>
  <c r="E39" i="26"/>
  <c r="C39" i="26"/>
  <c r="B39" i="26"/>
  <c r="Q38" i="44"/>
  <c r="Q101" i="44" s="1"/>
  <c r="AK102" i="26"/>
  <c r="AI102" i="26"/>
  <c r="AG102" i="26"/>
  <c r="BE102" i="26" s="1"/>
  <c r="AE102" i="26"/>
  <c r="AE165" i="26" s="1"/>
  <c r="Y102" i="26"/>
  <c r="W102" i="26"/>
  <c r="W165" i="26" s="1"/>
  <c r="U102" i="26"/>
  <c r="S102" i="26"/>
  <c r="S165" i="26" s="1"/>
  <c r="M102" i="26"/>
  <c r="K102" i="26"/>
  <c r="K165" i="26" s="1"/>
  <c r="I102" i="26"/>
  <c r="G102" i="26"/>
  <c r="G165" i="26" s="1"/>
  <c r="E38" i="26"/>
  <c r="C38" i="26"/>
  <c r="B38" i="26"/>
  <c r="Q37" i="44"/>
  <c r="N37" i="44"/>
  <c r="AK101" i="26"/>
  <c r="AI101" i="26"/>
  <c r="AI164" i="26" s="1"/>
  <c r="AH101" i="26"/>
  <c r="AE101" i="26"/>
  <c r="AE164" i="26" s="1"/>
  <c r="AD101" i="26"/>
  <c r="Y101" i="26"/>
  <c r="W101" i="26"/>
  <c r="W164" i="26" s="1"/>
  <c r="U101" i="26"/>
  <c r="S101" i="26"/>
  <c r="M101" i="26"/>
  <c r="K101" i="26"/>
  <c r="K164" i="26" s="1"/>
  <c r="J101" i="26"/>
  <c r="I101" i="26"/>
  <c r="G101" i="26"/>
  <c r="F101" i="26"/>
  <c r="E37" i="26"/>
  <c r="C37" i="26"/>
  <c r="B37" i="26"/>
  <c r="A35" i="26"/>
  <c r="BF30" i="26"/>
  <c r="BD30" i="26"/>
  <c r="BC30" i="26"/>
  <c r="AW29" i="26"/>
  <c r="AU29" i="26"/>
  <c r="AT29" i="26"/>
  <c r="AS29" i="26"/>
  <c r="AQ29" i="26"/>
  <c r="AP29" i="26"/>
  <c r="AO29" i="26"/>
  <c r="AM29" i="26"/>
  <c r="AL29" i="26"/>
  <c r="AK29" i="26"/>
  <c r="AI29" i="26"/>
  <c r="AH29" i="26"/>
  <c r="AG29" i="26"/>
  <c r="AE29" i="26"/>
  <c r="AE61" i="26" s="1"/>
  <c r="AD29" i="26"/>
  <c r="AC29" i="26"/>
  <c r="AA29" i="26"/>
  <c r="Z29" i="26"/>
  <c r="Y29" i="26"/>
  <c r="W29" i="26"/>
  <c r="V29" i="26"/>
  <c r="U29" i="26"/>
  <c r="S29" i="26"/>
  <c r="R29" i="26"/>
  <c r="Q29" i="26"/>
  <c r="O29" i="26"/>
  <c r="N29" i="26"/>
  <c r="M29" i="26"/>
  <c r="K29" i="26"/>
  <c r="J29" i="26"/>
  <c r="I29" i="26"/>
  <c r="G29" i="26"/>
  <c r="F29" i="26"/>
  <c r="E29" i="26"/>
  <c r="C29" i="26"/>
  <c r="C61" i="26" s="1"/>
  <c r="B29" i="26"/>
  <c r="B61" i="26" s="1"/>
  <c r="AW28" i="26"/>
  <c r="AU28" i="26"/>
  <c r="AT28" i="26"/>
  <c r="AS28" i="26"/>
  <c r="AQ28" i="26"/>
  <c r="AP28" i="26"/>
  <c r="AO28" i="26"/>
  <c r="AM28" i="26"/>
  <c r="AL28" i="26"/>
  <c r="AK28" i="26"/>
  <c r="AI28" i="26"/>
  <c r="AH28" i="26"/>
  <c r="AG28" i="26"/>
  <c r="AE28" i="26"/>
  <c r="AE60" i="26" s="1"/>
  <c r="AD28" i="26"/>
  <c r="AC28" i="26"/>
  <c r="AA28" i="26"/>
  <c r="AA60" i="26" s="1"/>
  <c r="Z28" i="26"/>
  <c r="Y28" i="26"/>
  <c r="W28" i="26"/>
  <c r="V28" i="26"/>
  <c r="U28" i="26"/>
  <c r="S28" i="26"/>
  <c r="R28" i="26"/>
  <c r="Q28" i="26"/>
  <c r="O28" i="26"/>
  <c r="N28" i="26"/>
  <c r="M28" i="26"/>
  <c r="K28" i="26"/>
  <c r="J28" i="26"/>
  <c r="I28" i="26"/>
  <c r="G28" i="26"/>
  <c r="F28" i="26"/>
  <c r="E28" i="26"/>
  <c r="C28" i="26"/>
  <c r="C60" i="26" s="1"/>
  <c r="B28" i="26"/>
  <c r="B60" i="26" s="1"/>
  <c r="AW27" i="26"/>
  <c r="AU27" i="26"/>
  <c r="AT27" i="26"/>
  <c r="AS27" i="26"/>
  <c r="AQ27" i="26"/>
  <c r="AP27" i="26"/>
  <c r="AO27" i="26"/>
  <c r="AM27" i="26"/>
  <c r="AL27" i="26"/>
  <c r="AK27" i="26"/>
  <c r="AI27" i="26"/>
  <c r="AH27" i="26"/>
  <c r="AG27" i="26"/>
  <c r="AE27" i="26"/>
  <c r="AE59" i="26" s="1"/>
  <c r="AD27" i="26"/>
  <c r="AC27" i="26"/>
  <c r="AA27" i="26"/>
  <c r="Z27" i="26"/>
  <c r="Y27" i="26"/>
  <c r="W27" i="26"/>
  <c r="V27" i="26"/>
  <c r="U27" i="26"/>
  <c r="S27" i="26"/>
  <c r="R27" i="26"/>
  <c r="Q27" i="26"/>
  <c r="O27" i="26"/>
  <c r="N27" i="26"/>
  <c r="M27" i="26"/>
  <c r="K27" i="26"/>
  <c r="J27" i="26"/>
  <c r="I27" i="26"/>
  <c r="G27" i="26"/>
  <c r="F27" i="26"/>
  <c r="E27" i="26"/>
  <c r="C27" i="26"/>
  <c r="B27" i="26"/>
  <c r="B59" i="26" s="1"/>
  <c r="AW26" i="26"/>
  <c r="AU26" i="26"/>
  <c r="AT26" i="26"/>
  <c r="AS26" i="26"/>
  <c r="AQ26" i="26"/>
  <c r="AP26" i="26"/>
  <c r="AO26" i="26"/>
  <c r="AM26" i="26"/>
  <c r="AL26" i="26"/>
  <c r="AK26" i="26"/>
  <c r="AI26" i="26"/>
  <c r="AH26" i="26"/>
  <c r="AG26" i="26"/>
  <c r="AE26" i="26"/>
  <c r="AE58" i="26" s="1"/>
  <c r="AD26" i="26"/>
  <c r="AC26" i="26"/>
  <c r="AA26" i="26"/>
  <c r="AA58" i="26" s="1"/>
  <c r="Z26" i="26"/>
  <c r="Y26" i="26"/>
  <c r="W26" i="26"/>
  <c r="V26" i="26"/>
  <c r="U26" i="26"/>
  <c r="S26" i="26"/>
  <c r="R26" i="26"/>
  <c r="Q26" i="26"/>
  <c r="O26" i="26"/>
  <c r="N26" i="26"/>
  <c r="M26" i="26"/>
  <c r="K26" i="26"/>
  <c r="J26" i="26"/>
  <c r="I26" i="26"/>
  <c r="G26" i="26"/>
  <c r="F26" i="26"/>
  <c r="E26" i="26"/>
  <c r="C26" i="26"/>
  <c r="B26" i="26"/>
  <c r="B58" i="26" s="1"/>
  <c r="AW25" i="26"/>
  <c r="AU25" i="26"/>
  <c r="AT25" i="26"/>
  <c r="AS25" i="26"/>
  <c r="AQ25" i="26"/>
  <c r="AP25" i="26"/>
  <c r="AO25" i="26"/>
  <c r="AM25" i="26"/>
  <c r="AL25" i="26"/>
  <c r="AK25" i="26"/>
  <c r="AI25" i="26"/>
  <c r="AH25" i="26"/>
  <c r="AG25" i="26"/>
  <c r="AE25" i="26"/>
  <c r="AE57" i="26" s="1"/>
  <c r="AD25" i="26"/>
  <c r="AC25" i="26"/>
  <c r="AA25" i="26"/>
  <c r="Z25" i="26"/>
  <c r="Y25" i="26"/>
  <c r="W25" i="26"/>
  <c r="V25" i="26"/>
  <c r="U25" i="26"/>
  <c r="S25" i="26"/>
  <c r="R25" i="26"/>
  <c r="Q25" i="26"/>
  <c r="O25" i="26"/>
  <c r="N25" i="26"/>
  <c r="M25" i="26"/>
  <c r="K25" i="26"/>
  <c r="J25" i="26"/>
  <c r="I25" i="26"/>
  <c r="G25" i="26"/>
  <c r="F25" i="26"/>
  <c r="E25" i="26"/>
  <c r="C25" i="26"/>
  <c r="C57" i="26" s="1"/>
  <c r="B25" i="26"/>
  <c r="B57" i="26" s="1"/>
  <c r="AW24" i="26"/>
  <c r="AU24" i="26"/>
  <c r="AT24" i="26"/>
  <c r="AS24" i="26"/>
  <c r="AQ24" i="26"/>
  <c r="AP24" i="26"/>
  <c r="AO24" i="26"/>
  <c r="AM24" i="26"/>
  <c r="AL24" i="26"/>
  <c r="AK24" i="26"/>
  <c r="AI24" i="26"/>
  <c r="AH24" i="26"/>
  <c r="AG24" i="26"/>
  <c r="AE24" i="26"/>
  <c r="AE56" i="26" s="1"/>
  <c r="AD24" i="26"/>
  <c r="AC24" i="26"/>
  <c r="AA24" i="26"/>
  <c r="AA56" i="26" s="1"/>
  <c r="Z24" i="26"/>
  <c r="Y24" i="26"/>
  <c r="W24" i="26"/>
  <c r="V24" i="26"/>
  <c r="U24" i="26"/>
  <c r="S24" i="26"/>
  <c r="R24" i="26"/>
  <c r="Q24" i="26"/>
  <c r="O24" i="26"/>
  <c r="N24" i="26"/>
  <c r="M24" i="26"/>
  <c r="K24" i="26"/>
  <c r="J24" i="26"/>
  <c r="I24" i="26"/>
  <c r="G24" i="26"/>
  <c r="F24" i="26"/>
  <c r="E24" i="26"/>
  <c r="C24" i="26"/>
  <c r="B24" i="26"/>
  <c r="B56" i="26" s="1"/>
  <c r="AW23" i="26"/>
  <c r="AU23" i="26"/>
  <c r="AT23" i="26"/>
  <c r="AS23" i="26"/>
  <c r="AQ23" i="26"/>
  <c r="AP23" i="26"/>
  <c r="AO23" i="26"/>
  <c r="AM23" i="26"/>
  <c r="AL23" i="26"/>
  <c r="AK23" i="26"/>
  <c r="AI23" i="26"/>
  <c r="AH23" i="26"/>
  <c r="AG23" i="26"/>
  <c r="AE23" i="26"/>
  <c r="AE55" i="26" s="1"/>
  <c r="AD23" i="26"/>
  <c r="AC23" i="26"/>
  <c r="AA23" i="26"/>
  <c r="Z23" i="26"/>
  <c r="Y23" i="26"/>
  <c r="W23" i="26"/>
  <c r="V23" i="26"/>
  <c r="U23" i="26"/>
  <c r="S23" i="26"/>
  <c r="R23" i="26"/>
  <c r="Q23" i="26"/>
  <c r="O23" i="26"/>
  <c r="N23" i="26"/>
  <c r="M23" i="26"/>
  <c r="K23" i="26"/>
  <c r="J23" i="26"/>
  <c r="I23" i="26"/>
  <c r="G23" i="26"/>
  <c r="F23" i="26"/>
  <c r="E23" i="26"/>
  <c r="C23" i="26"/>
  <c r="B23" i="26"/>
  <c r="B55" i="26" s="1"/>
  <c r="AW22" i="26"/>
  <c r="AU22" i="26"/>
  <c r="AT22" i="26"/>
  <c r="AS22" i="26"/>
  <c r="AQ22" i="26"/>
  <c r="AP22" i="26"/>
  <c r="AO22" i="26"/>
  <c r="AM22" i="26"/>
  <c r="AL22" i="26"/>
  <c r="AK22" i="26"/>
  <c r="AI22" i="26"/>
  <c r="AH22" i="26"/>
  <c r="AG22" i="26"/>
  <c r="AE22" i="26"/>
  <c r="AE54" i="26" s="1"/>
  <c r="AD22" i="26"/>
  <c r="AC22" i="26"/>
  <c r="AA22" i="26"/>
  <c r="AA54" i="26" s="1"/>
  <c r="Z22" i="26"/>
  <c r="Y22" i="26"/>
  <c r="W22" i="26"/>
  <c r="V22" i="26"/>
  <c r="U22" i="26"/>
  <c r="S22" i="26"/>
  <c r="R22" i="26"/>
  <c r="Q22" i="26"/>
  <c r="O22" i="26"/>
  <c r="N22" i="26"/>
  <c r="M22" i="26"/>
  <c r="K22" i="26"/>
  <c r="J22" i="26"/>
  <c r="I22" i="26"/>
  <c r="G22" i="26"/>
  <c r="F22" i="26"/>
  <c r="E22" i="26"/>
  <c r="C22" i="26"/>
  <c r="B22" i="26"/>
  <c r="B54" i="26" s="1"/>
  <c r="AW21" i="26"/>
  <c r="AU21" i="26"/>
  <c r="AT21" i="26"/>
  <c r="AS21" i="26"/>
  <c r="AQ21" i="26"/>
  <c r="AP21" i="26"/>
  <c r="AO21" i="26"/>
  <c r="AM21" i="26"/>
  <c r="AL21" i="26"/>
  <c r="AK21" i="26"/>
  <c r="AI21" i="26"/>
  <c r="AH21" i="26"/>
  <c r="AG21" i="26"/>
  <c r="AE21" i="26"/>
  <c r="AE53" i="26" s="1"/>
  <c r="AD21" i="26"/>
  <c r="AC21" i="26"/>
  <c r="AA21" i="26"/>
  <c r="Z21" i="26"/>
  <c r="Y21" i="26"/>
  <c r="W21" i="26"/>
  <c r="V21" i="26"/>
  <c r="U21" i="26"/>
  <c r="S21" i="26"/>
  <c r="R21" i="26"/>
  <c r="Q21" i="26"/>
  <c r="O21" i="26"/>
  <c r="N21" i="26"/>
  <c r="M21" i="26"/>
  <c r="K21" i="26"/>
  <c r="J21" i="26"/>
  <c r="I21" i="26"/>
  <c r="G21" i="26"/>
  <c r="F21" i="26"/>
  <c r="E21" i="26"/>
  <c r="C21" i="26"/>
  <c r="C53" i="26" s="1"/>
  <c r="B21" i="26"/>
  <c r="B53" i="26" s="1"/>
  <c r="AW20" i="26"/>
  <c r="AU20" i="26"/>
  <c r="AT20" i="26"/>
  <c r="AS20" i="26"/>
  <c r="AQ20" i="26"/>
  <c r="AP20" i="26"/>
  <c r="AO20" i="26"/>
  <c r="AM20" i="26"/>
  <c r="AL20" i="26"/>
  <c r="AK20" i="26"/>
  <c r="AI20" i="26"/>
  <c r="AH20" i="26"/>
  <c r="AG20" i="26"/>
  <c r="AE20" i="26"/>
  <c r="AE52" i="26" s="1"/>
  <c r="AD20" i="26"/>
  <c r="AC20" i="26"/>
  <c r="AA20" i="26"/>
  <c r="AA52" i="26" s="1"/>
  <c r="Z20" i="26"/>
  <c r="Y20" i="26"/>
  <c r="W20" i="26"/>
  <c r="V20" i="26"/>
  <c r="U20" i="26"/>
  <c r="S20" i="26"/>
  <c r="R20" i="26"/>
  <c r="Q20" i="26"/>
  <c r="O20" i="26"/>
  <c r="N20" i="26"/>
  <c r="M20" i="26"/>
  <c r="K20" i="26"/>
  <c r="J20" i="26"/>
  <c r="I20" i="26"/>
  <c r="G20" i="26"/>
  <c r="F20" i="26"/>
  <c r="E20" i="26"/>
  <c r="C20" i="26"/>
  <c r="B20" i="26"/>
  <c r="B52" i="26" s="1"/>
  <c r="A17" i="26"/>
  <c r="A49" i="26" s="1"/>
  <c r="BF15" i="26"/>
  <c r="BD15" i="26"/>
  <c r="BC15" i="26"/>
  <c r="AW15" i="26"/>
  <c r="AU15" i="26"/>
  <c r="AT15" i="26"/>
  <c r="AS15" i="26"/>
  <c r="AQ15" i="26"/>
  <c r="AP15" i="26"/>
  <c r="AO15" i="26"/>
  <c r="AM15" i="26"/>
  <c r="AL15" i="26"/>
  <c r="AK15" i="26"/>
  <c r="AI15" i="26"/>
  <c r="AH15" i="26"/>
  <c r="AG15" i="26"/>
  <c r="AZ15" i="26" s="1"/>
  <c r="AE15" i="26"/>
  <c r="AD15" i="26"/>
  <c r="AC15" i="26"/>
  <c r="AA15" i="26"/>
  <c r="Z15" i="26"/>
  <c r="Y15" i="26"/>
  <c r="W15" i="26"/>
  <c r="V15" i="26"/>
  <c r="U15" i="26"/>
  <c r="S15" i="26"/>
  <c r="R15" i="26"/>
  <c r="Q15" i="26"/>
  <c r="O15" i="26"/>
  <c r="N15" i="26"/>
  <c r="M15" i="26"/>
  <c r="K15" i="26"/>
  <c r="J15" i="26"/>
  <c r="I15" i="26"/>
  <c r="G15" i="26"/>
  <c r="F15" i="26"/>
  <c r="E15" i="26"/>
  <c r="D15" i="26"/>
  <c r="C15" i="26"/>
  <c r="B15" i="26"/>
  <c r="AV14" i="26"/>
  <c r="AR14" i="26"/>
  <c r="AN14" i="26"/>
  <c r="AJ14" i="26"/>
  <c r="AF14" i="26"/>
  <c r="AY14" i="26" s="1"/>
  <c r="X14" i="26"/>
  <c r="T14" i="26"/>
  <c r="P14" i="26"/>
  <c r="L14" i="26"/>
  <c r="H14" i="26"/>
  <c r="AV13" i="26"/>
  <c r="AR13" i="26"/>
  <c r="AN13" i="26"/>
  <c r="AJ13" i="26"/>
  <c r="AF13" i="26"/>
  <c r="AY13" i="26" s="1"/>
  <c r="X13" i="26"/>
  <c r="T13" i="26"/>
  <c r="P13" i="26"/>
  <c r="L13" i="26"/>
  <c r="H13" i="26"/>
  <c r="AV12" i="26"/>
  <c r="AR12" i="26"/>
  <c r="AN12" i="26"/>
  <c r="AJ12" i="26"/>
  <c r="AF12" i="26"/>
  <c r="AY12" i="26" s="1"/>
  <c r="X12" i="26"/>
  <c r="T12" i="26"/>
  <c r="P12" i="26"/>
  <c r="L12" i="26"/>
  <c r="H12" i="26"/>
  <c r="AV11" i="26"/>
  <c r="AR11" i="26"/>
  <c r="AN11" i="26"/>
  <c r="AJ11" i="26"/>
  <c r="AF11" i="26"/>
  <c r="AY11" i="26" s="1"/>
  <c r="X11" i="26"/>
  <c r="T11" i="26"/>
  <c r="P11" i="26"/>
  <c r="L11" i="26"/>
  <c r="H11" i="26"/>
  <c r="AV10" i="26"/>
  <c r="AR10" i="26"/>
  <c r="AN10" i="26"/>
  <c r="AJ10" i="26"/>
  <c r="AF10" i="26"/>
  <c r="AY10" i="26" s="1"/>
  <c r="X10" i="26"/>
  <c r="T10" i="26"/>
  <c r="P10" i="26"/>
  <c r="L10" i="26"/>
  <c r="H10" i="26"/>
  <c r="AV9" i="26"/>
  <c r="AR9" i="26"/>
  <c r="AN9" i="26"/>
  <c r="AJ9" i="26"/>
  <c r="AF9" i="26"/>
  <c r="AY9" i="26" s="1"/>
  <c r="X9" i="26"/>
  <c r="T9" i="26"/>
  <c r="P9" i="26"/>
  <c r="L9" i="26"/>
  <c r="H9" i="26"/>
  <c r="AV8" i="26"/>
  <c r="AR8" i="26"/>
  <c r="AN8" i="26"/>
  <c r="AJ8" i="26"/>
  <c r="AF8" i="26"/>
  <c r="AY8" i="26" s="1"/>
  <c r="X8" i="26"/>
  <c r="T8" i="26"/>
  <c r="P8" i="26"/>
  <c r="L8" i="26"/>
  <c r="H8" i="26"/>
  <c r="AV7" i="26"/>
  <c r="AR7" i="26"/>
  <c r="AN7" i="26"/>
  <c r="AJ7" i="26"/>
  <c r="AF7" i="26"/>
  <c r="AY7" i="26" s="1"/>
  <c r="X7" i="26"/>
  <c r="T7" i="26"/>
  <c r="P7" i="26"/>
  <c r="L7" i="26"/>
  <c r="H7" i="26"/>
  <c r="AV6" i="26"/>
  <c r="AR6" i="26"/>
  <c r="AN6" i="26"/>
  <c r="AJ6" i="26"/>
  <c r="AF6" i="26"/>
  <c r="AY6" i="26" s="1"/>
  <c r="X6" i="26"/>
  <c r="T6" i="26"/>
  <c r="P6" i="26"/>
  <c r="L6" i="26"/>
  <c r="H6" i="26"/>
  <c r="BE15" i="26"/>
  <c r="AV5" i="26"/>
  <c r="AR5" i="26"/>
  <c r="AN5" i="26"/>
  <c r="AJ5" i="26"/>
  <c r="AF5" i="26"/>
  <c r="AY5" i="26" s="1"/>
  <c r="X5" i="26"/>
  <c r="T5" i="26"/>
  <c r="P5" i="26"/>
  <c r="L5" i="26"/>
  <c r="H5" i="26"/>
  <c r="AT2" i="26"/>
  <c r="A2" i="26"/>
  <c r="A34" i="26" s="1"/>
  <c r="A193" i="26" s="1"/>
  <c r="A225" i="26" s="1"/>
  <c r="A347" i="26" s="1"/>
  <c r="A379" i="26" s="1"/>
  <c r="BC304" i="27"/>
  <c r="BC303" i="27"/>
  <c r="BC302" i="27"/>
  <c r="BC301" i="27"/>
  <c r="AW299" i="27"/>
  <c r="AU299" i="27"/>
  <c r="AT299" i="27"/>
  <c r="AS299" i="27"/>
  <c r="AQ299" i="27"/>
  <c r="AP299" i="27"/>
  <c r="AO299" i="27"/>
  <c r="AM299" i="27"/>
  <c r="AL299" i="27"/>
  <c r="AK299" i="27"/>
  <c r="AI299" i="27"/>
  <c r="AH299" i="27"/>
  <c r="AG299" i="27"/>
  <c r="BF299" i="27" s="1"/>
  <c r="AE299" i="27"/>
  <c r="AD299" i="27"/>
  <c r="AC299" i="27"/>
  <c r="AA299" i="27"/>
  <c r="Z299" i="27"/>
  <c r="Y299" i="27"/>
  <c r="W299" i="27"/>
  <c r="V299" i="27"/>
  <c r="U299" i="27"/>
  <c r="S299" i="27"/>
  <c r="R299" i="27"/>
  <c r="Q299" i="27"/>
  <c r="O299" i="27"/>
  <c r="N299" i="27"/>
  <c r="M299" i="27"/>
  <c r="K299" i="27"/>
  <c r="J299" i="27"/>
  <c r="I299" i="27"/>
  <c r="G299" i="27"/>
  <c r="F299" i="27"/>
  <c r="E299" i="27"/>
  <c r="D299" i="27"/>
  <c r="C299" i="27"/>
  <c r="B299" i="27"/>
  <c r="AW298" i="27"/>
  <c r="AU298" i="27"/>
  <c r="AT298" i="27"/>
  <c r="AS298" i="27"/>
  <c r="AQ298" i="27"/>
  <c r="AP298" i="27"/>
  <c r="AO298" i="27"/>
  <c r="AM298" i="27"/>
  <c r="AL298" i="27"/>
  <c r="AK298" i="27"/>
  <c r="AI298" i="27"/>
  <c r="AH298" i="27"/>
  <c r="AG298" i="27"/>
  <c r="BF298" i="27" s="1"/>
  <c r="AE298" i="27"/>
  <c r="AD298" i="27"/>
  <c r="AC298" i="27"/>
  <c r="AA298" i="27"/>
  <c r="Z298" i="27"/>
  <c r="Y298" i="27"/>
  <c r="W298" i="27"/>
  <c r="V298" i="27"/>
  <c r="U298" i="27"/>
  <c r="S298" i="27"/>
  <c r="R298" i="27"/>
  <c r="Q298" i="27"/>
  <c r="O298" i="27"/>
  <c r="N298" i="27"/>
  <c r="M298" i="27"/>
  <c r="K298" i="27"/>
  <c r="J298" i="27"/>
  <c r="I298" i="27"/>
  <c r="G298" i="27"/>
  <c r="F298" i="27"/>
  <c r="E298" i="27"/>
  <c r="D298" i="27"/>
  <c r="C298" i="27"/>
  <c r="B298" i="27"/>
  <c r="AW297" i="27"/>
  <c r="AU297" i="27"/>
  <c r="AT297" i="27"/>
  <c r="AS297" i="27"/>
  <c r="AQ297" i="27"/>
  <c r="AP297" i="27"/>
  <c r="AO297" i="27"/>
  <c r="AM297" i="27"/>
  <c r="AL297" i="27"/>
  <c r="AK297" i="27"/>
  <c r="AI297" i="27"/>
  <c r="AH297" i="27"/>
  <c r="AG297" i="27"/>
  <c r="BF297" i="27" s="1"/>
  <c r="AE297" i="27"/>
  <c r="AD297" i="27"/>
  <c r="AC297" i="27"/>
  <c r="AA297" i="27"/>
  <c r="Z297" i="27"/>
  <c r="Y297" i="27"/>
  <c r="W297" i="27"/>
  <c r="V297" i="27"/>
  <c r="U297" i="27"/>
  <c r="S297" i="27"/>
  <c r="R297" i="27"/>
  <c r="Q297" i="27"/>
  <c r="O297" i="27"/>
  <c r="N297" i="27"/>
  <c r="M297" i="27"/>
  <c r="K297" i="27"/>
  <c r="J297" i="27"/>
  <c r="I297" i="27"/>
  <c r="G297" i="27"/>
  <c r="F297" i="27"/>
  <c r="E297" i="27"/>
  <c r="D297" i="27"/>
  <c r="C297" i="27"/>
  <c r="B297" i="27"/>
  <c r="AW296" i="27"/>
  <c r="AU296" i="27"/>
  <c r="AT296" i="27"/>
  <c r="AS296" i="27"/>
  <c r="AQ296" i="27"/>
  <c r="AP296" i="27"/>
  <c r="AO296" i="27"/>
  <c r="AM296" i="27"/>
  <c r="AL296" i="27"/>
  <c r="AK296" i="27"/>
  <c r="AI296" i="27"/>
  <c r="AH296" i="27"/>
  <c r="AG296" i="27"/>
  <c r="BF296" i="27" s="1"/>
  <c r="AE296" i="27"/>
  <c r="AD296" i="27"/>
  <c r="AC296" i="27"/>
  <c r="AA296" i="27"/>
  <c r="Z296" i="27"/>
  <c r="Y296" i="27"/>
  <c r="W296" i="27"/>
  <c r="V296" i="27"/>
  <c r="U296" i="27"/>
  <c r="S296" i="27"/>
  <c r="R296" i="27"/>
  <c r="Q296" i="27"/>
  <c r="O296" i="27"/>
  <c r="N296" i="27"/>
  <c r="M296" i="27"/>
  <c r="K296" i="27"/>
  <c r="J296" i="27"/>
  <c r="I296" i="27"/>
  <c r="G296" i="27"/>
  <c r="F296" i="27"/>
  <c r="E296" i="27"/>
  <c r="D296" i="27"/>
  <c r="C296" i="27"/>
  <c r="B296" i="27"/>
  <c r="AW295" i="27"/>
  <c r="AU295" i="27"/>
  <c r="AT295" i="27"/>
  <c r="AS295" i="27"/>
  <c r="AQ295" i="27"/>
  <c r="AP295" i="27"/>
  <c r="AO295" i="27"/>
  <c r="AM295" i="27"/>
  <c r="AL295" i="27"/>
  <c r="AK295" i="27"/>
  <c r="AI295" i="27"/>
  <c r="AH295" i="27"/>
  <c r="AG295" i="27"/>
  <c r="BF295" i="27" s="1"/>
  <c r="AE295" i="27"/>
  <c r="AD295" i="27"/>
  <c r="AC295" i="27"/>
  <c r="AA295" i="27"/>
  <c r="Z295" i="27"/>
  <c r="Y295" i="27"/>
  <c r="W295" i="27"/>
  <c r="V295" i="27"/>
  <c r="U295" i="27"/>
  <c r="S295" i="27"/>
  <c r="R295" i="27"/>
  <c r="Q295" i="27"/>
  <c r="O295" i="27"/>
  <c r="N295" i="27"/>
  <c r="M295" i="27"/>
  <c r="K295" i="27"/>
  <c r="J295" i="27"/>
  <c r="I295" i="27"/>
  <c r="G295" i="27"/>
  <c r="F295" i="27"/>
  <c r="E295" i="27"/>
  <c r="D295" i="27"/>
  <c r="C295" i="27"/>
  <c r="B295" i="27"/>
  <c r="AW294" i="27"/>
  <c r="AU294" i="27"/>
  <c r="AT294" i="27"/>
  <c r="AS294" i="27"/>
  <c r="AQ294" i="27"/>
  <c r="AP294" i="27"/>
  <c r="AO294" i="27"/>
  <c r="AM294" i="27"/>
  <c r="AL294" i="27"/>
  <c r="AK294" i="27"/>
  <c r="AI294" i="27"/>
  <c r="AH294" i="27"/>
  <c r="AG294" i="27"/>
  <c r="BF294" i="27" s="1"/>
  <c r="AE294" i="27"/>
  <c r="AD294" i="27"/>
  <c r="AC294" i="27"/>
  <c r="AA294" i="27"/>
  <c r="Z294" i="27"/>
  <c r="Y294" i="27"/>
  <c r="W294" i="27"/>
  <c r="V294" i="27"/>
  <c r="U294" i="27"/>
  <c r="S294" i="27"/>
  <c r="R294" i="27"/>
  <c r="Q294" i="27"/>
  <c r="O294" i="27"/>
  <c r="N294" i="27"/>
  <c r="M294" i="27"/>
  <c r="K294" i="27"/>
  <c r="J294" i="27"/>
  <c r="I294" i="27"/>
  <c r="G294" i="27"/>
  <c r="F294" i="27"/>
  <c r="E294" i="27"/>
  <c r="D294" i="27"/>
  <c r="C294" i="27"/>
  <c r="B294" i="27"/>
  <c r="AW293" i="27"/>
  <c r="AU293" i="27"/>
  <c r="AT293" i="27"/>
  <c r="AS293" i="27"/>
  <c r="AQ293" i="27"/>
  <c r="AP293" i="27"/>
  <c r="AO293" i="27"/>
  <c r="AM293" i="27"/>
  <c r="AL293" i="27"/>
  <c r="AK293" i="27"/>
  <c r="AI293" i="27"/>
  <c r="AH293" i="27"/>
  <c r="AG293" i="27"/>
  <c r="BF293" i="27" s="1"/>
  <c r="AE293" i="27"/>
  <c r="AD293" i="27"/>
  <c r="AC293" i="27"/>
  <c r="AA293" i="27"/>
  <c r="Z293" i="27"/>
  <c r="Y293" i="27"/>
  <c r="W293" i="27"/>
  <c r="V293" i="27"/>
  <c r="U293" i="27"/>
  <c r="S293" i="27"/>
  <c r="R293" i="27"/>
  <c r="Q293" i="27"/>
  <c r="O293" i="27"/>
  <c r="N293" i="27"/>
  <c r="M293" i="27"/>
  <c r="K293" i="27"/>
  <c r="J293" i="27"/>
  <c r="I293" i="27"/>
  <c r="G293" i="27"/>
  <c r="F293" i="27"/>
  <c r="E293" i="27"/>
  <c r="D293" i="27"/>
  <c r="C293" i="27"/>
  <c r="B293" i="27"/>
  <c r="AW292" i="27"/>
  <c r="AU292" i="27"/>
  <c r="AT292" i="27"/>
  <c r="AS292" i="27"/>
  <c r="AQ292" i="27"/>
  <c r="AP292" i="27"/>
  <c r="AO292" i="27"/>
  <c r="AM292" i="27"/>
  <c r="AL292" i="27"/>
  <c r="AK292" i="27"/>
  <c r="AI292" i="27"/>
  <c r="AH292" i="27"/>
  <c r="AG292" i="27"/>
  <c r="BF292" i="27" s="1"/>
  <c r="AE292" i="27"/>
  <c r="AD292" i="27"/>
  <c r="AC292" i="27"/>
  <c r="AA292" i="27"/>
  <c r="Z292" i="27"/>
  <c r="Y292" i="27"/>
  <c r="W292" i="27"/>
  <c r="V292" i="27"/>
  <c r="U292" i="27"/>
  <c r="S292" i="27"/>
  <c r="R292" i="27"/>
  <c r="Q292" i="27"/>
  <c r="O292" i="27"/>
  <c r="N292" i="27"/>
  <c r="M292" i="27"/>
  <c r="K292" i="27"/>
  <c r="J292" i="27"/>
  <c r="I292" i="27"/>
  <c r="G292" i="27"/>
  <c r="F292" i="27"/>
  <c r="E292" i="27"/>
  <c r="D292" i="27"/>
  <c r="C292" i="27"/>
  <c r="B292" i="27"/>
  <c r="AW291" i="27"/>
  <c r="AU291" i="27"/>
  <c r="AT291" i="27"/>
  <c r="AS291" i="27"/>
  <c r="AQ291" i="27"/>
  <c r="AP291" i="27"/>
  <c r="AO291" i="27"/>
  <c r="AM291" i="27"/>
  <c r="AL291" i="27"/>
  <c r="AK291" i="27"/>
  <c r="AI291" i="27"/>
  <c r="AH291" i="27"/>
  <c r="AG291" i="27"/>
  <c r="BF291" i="27" s="1"/>
  <c r="AE291" i="27"/>
  <c r="AD291" i="27"/>
  <c r="AC291" i="27"/>
  <c r="AA291" i="27"/>
  <c r="Z291" i="27"/>
  <c r="Y291" i="27"/>
  <c r="W291" i="27"/>
  <c r="V291" i="27"/>
  <c r="U291" i="27"/>
  <c r="S291" i="27"/>
  <c r="R291" i="27"/>
  <c r="Q291" i="27"/>
  <c r="O291" i="27"/>
  <c r="N291" i="27"/>
  <c r="M291" i="27"/>
  <c r="K291" i="27"/>
  <c r="J291" i="27"/>
  <c r="I291" i="27"/>
  <c r="G291" i="27"/>
  <c r="F291" i="27"/>
  <c r="E291" i="27"/>
  <c r="D291" i="27"/>
  <c r="C291" i="27"/>
  <c r="B291" i="27"/>
  <c r="AW290" i="27"/>
  <c r="AU290" i="27"/>
  <c r="AT290" i="27"/>
  <c r="AS290" i="27"/>
  <c r="AQ290" i="27"/>
  <c r="AP290" i="27"/>
  <c r="AO290" i="27"/>
  <c r="AM290" i="27"/>
  <c r="AL290" i="27"/>
  <c r="AK290" i="27"/>
  <c r="AI290" i="27"/>
  <c r="AH290" i="27"/>
  <c r="AG290" i="27"/>
  <c r="BF290" i="27" s="1"/>
  <c r="AE290" i="27"/>
  <c r="AD290" i="27"/>
  <c r="AC290" i="27"/>
  <c r="AA290" i="27"/>
  <c r="Z290" i="27"/>
  <c r="Y290" i="27"/>
  <c r="W290" i="27"/>
  <c r="V290" i="27"/>
  <c r="U290" i="27"/>
  <c r="S290" i="27"/>
  <c r="R290" i="27"/>
  <c r="Q290" i="27"/>
  <c r="O290" i="27"/>
  <c r="N290" i="27"/>
  <c r="M290" i="27"/>
  <c r="K290" i="27"/>
  <c r="J290" i="27"/>
  <c r="I290" i="27"/>
  <c r="G290" i="27"/>
  <c r="F290" i="27"/>
  <c r="D290" i="27"/>
  <c r="C290" i="27"/>
  <c r="B290" i="27"/>
  <c r="BF284" i="27"/>
  <c r="AW282" i="27"/>
  <c r="AU282" i="27"/>
  <c r="AT282" i="27"/>
  <c r="AS282" i="27"/>
  <c r="AQ282" i="27"/>
  <c r="AP282" i="27"/>
  <c r="AO282" i="27"/>
  <c r="AM282" i="27"/>
  <c r="AL282" i="27"/>
  <c r="AK282" i="27"/>
  <c r="AI282" i="27"/>
  <c r="AH282" i="27"/>
  <c r="AG282" i="27"/>
  <c r="BG282" i="27" s="1"/>
  <c r="AE282" i="27"/>
  <c r="BE282" i="27" s="1"/>
  <c r="AD282" i="27"/>
  <c r="BD282" i="27" s="1"/>
  <c r="AC282" i="27"/>
  <c r="AA282" i="27"/>
  <c r="Z282" i="27"/>
  <c r="Y282" i="27"/>
  <c r="W282" i="27"/>
  <c r="V282" i="27"/>
  <c r="U282" i="27"/>
  <c r="S282" i="27"/>
  <c r="R282" i="27"/>
  <c r="Q282" i="27"/>
  <c r="O282" i="27"/>
  <c r="N282" i="27"/>
  <c r="M282" i="27"/>
  <c r="K282" i="27"/>
  <c r="J282" i="27"/>
  <c r="I282" i="27"/>
  <c r="G282" i="27"/>
  <c r="F282" i="27"/>
  <c r="E282" i="27"/>
  <c r="C282" i="27"/>
  <c r="B282" i="27"/>
  <c r="AW281" i="27"/>
  <c r="AU281" i="27"/>
  <c r="AT281" i="27"/>
  <c r="AS281" i="27"/>
  <c r="AQ281" i="27"/>
  <c r="AP281" i="27"/>
  <c r="AO281" i="27"/>
  <c r="AM281" i="27"/>
  <c r="AL281" i="27"/>
  <c r="AK281" i="27"/>
  <c r="AI281" i="27"/>
  <c r="AH281" i="27"/>
  <c r="AG281" i="27"/>
  <c r="BG281" i="27" s="1"/>
  <c r="AE281" i="27"/>
  <c r="BE281" i="27" s="1"/>
  <c r="AD281" i="27"/>
  <c r="BD281" i="27" s="1"/>
  <c r="AC281" i="27"/>
  <c r="AA281" i="27"/>
  <c r="Z281" i="27"/>
  <c r="Y281" i="27"/>
  <c r="W281" i="27"/>
  <c r="V281" i="27"/>
  <c r="U281" i="27"/>
  <c r="S281" i="27"/>
  <c r="R281" i="27"/>
  <c r="Q281" i="27"/>
  <c r="O281" i="27"/>
  <c r="N281" i="27"/>
  <c r="M281" i="27"/>
  <c r="K281" i="27"/>
  <c r="J281" i="27"/>
  <c r="I281" i="27"/>
  <c r="G281" i="27"/>
  <c r="F281" i="27"/>
  <c r="E281" i="27"/>
  <c r="C281" i="27"/>
  <c r="B281" i="27"/>
  <c r="AW280" i="27"/>
  <c r="AU280" i="27"/>
  <c r="AT280" i="27"/>
  <c r="AS280" i="27"/>
  <c r="AQ280" i="27"/>
  <c r="AP280" i="27"/>
  <c r="AO280" i="27"/>
  <c r="AM280" i="27"/>
  <c r="AL280" i="27"/>
  <c r="AK280" i="27"/>
  <c r="AI280" i="27"/>
  <c r="AH280" i="27"/>
  <c r="AG280" i="27"/>
  <c r="BG280" i="27" s="1"/>
  <c r="AE280" i="27"/>
  <c r="BE280" i="27" s="1"/>
  <c r="AD280" i="27"/>
  <c r="BD280" i="27" s="1"/>
  <c r="AC280" i="27"/>
  <c r="AA280" i="27"/>
  <c r="Z280" i="27"/>
  <c r="Y280" i="27"/>
  <c r="W280" i="27"/>
  <c r="V280" i="27"/>
  <c r="U280" i="27"/>
  <c r="S280" i="27"/>
  <c r="R280" i="27"/>
  <c r="Q280" i="27"/>
  <c r="O280" i="27"/>
  <c r="N280" i="27"/>
  <c r="M280" i="27"/>
  <c r="K280" i="27"/>
  <c r="J280" i="27"/>
  <c r="I280" i="27"/>
  <c r="G280" i="27"/>
  <c r="F280" i="27"/>
  <c r="E280" i="27"/>
  <c r="C280" i="27"/>
  <c r="B280" i="27"/>
  <c r="AW279" i="27"/>
  <c r="AU279" i="27"/>
  <c r="AT279" i="27"/>
  <c r="AS279" i="27"/>
  <c r="AQ279" i="27"/>
  <c r="AP279" i="27"/>
  <c r="AO279" i="27"/>
  <c r="AM279" i="27"/>
  <c r="AL279" i="27"/>
  <c r="AK279" i="27"/>
  <c r="AI279" i="27"/>
  <c r="AH279" i="27"/>
  <c r="AG279" i="27"/>
  <c r="BG279" i="27" s="1"/>
  <c r="AE279" i="27"/>
  <c r="BE279" i="27" s="1"/>
  <c r="AD279" i="27"/>
  <c r="BD279" i="27" s="1"/>
  <c r="AC279" i="27"/>
  <c r="AA279" i="27"/>
  <c r="Z279" i="27"/>
  <c r="Y279" i="27"/>
  <c r="W279" i="27"/>
  <c r="V279" i="27"/>
  <c r="U279" i="27"/>
  <c r="S279" i="27"/>
  <c r="R279" i="27"/>
  <c r="Q279" i="27"/>
  <c r="O279" i="27"/>
  <c r="N279" i="27"/>
  <c r="M279" i="27"/>
  <c r="K279" i="27"/>
  <c r="J279" i="27"/>
  <c r="I279" i="27"/>
  <c r="G279" i="27"/>
  <c r="F279" i="27"/>
  <c r="E279" i="27"/>
  <c r="C279" i="27"/>
  <c r="B279" i="27"/>
  <c r="AW278" i="27"/>
  <c r="AU278" i="27"/>
  <c r="AT278" i="27"/>
  <c r="AS278" i="27"/>
  <c r="AQ278" i="27"/>
  <c r="AP278" i="27"/>
  <c r="AO278" i="27"/>
  <c r="AM278" i="27"/>
  <c r="AL278" i="27"/>
  <c r="AK278" i="27"/>
  <c r="AI278" i="27"/>
  <c r="AH278" i="27"/>
  <c r="AG278" i="27"/>
  <c r="BG278" i="27" s="1"/>
  <c r="AE278" i="27"/>
  <c r="BE278" i="27" s="1"/>
  <c r="AD278" i="27"/>
  <c r="BD278" i="27" s="1"/>
  <c r="AC278" i="27"/>
  <c r="AA278" i="27"/>
  <c r="Z278" i="27"/>
  <c r="Y278" i="27"/>
  <c r="W278" i="27"/>
  <c r="V278" i="27"/>
  <c r="U278" i="27"/>
  <c r="S278" i="27"/>
  <c r="R278" i="27"/>
  <c r="Q278" i="27"/>
  <c r="O278" i="27"/>
  <c r="N278" i="27"/>
  <c r="M278" i="27"/>
  <c r="K278" i="27"/>
  <c r="J278" i="27"/>
  <c r="I278" i="27"/>
  <c r="G278" i="27"/>
  <c r="F278" i="27"/>
  <c r="E278" i="27"/>
  <c r="C278" i="27"/>
  <c r="B278" i="27"/>
  <c r="AW277" i="27"/>
  <c r="AU277" i="27"/>
  <c r="AT277" i="27"/>
  <c r="AS277" i="27"/>
  <c r="AQ277" i="27"/>
  <c r="AP277" i="27"/>
  <c r="AO277" i="27"/>
  <c r="AM277" i="27"/>
  <c r="AL277" i="27"/>
  <c r="AK277" i="27"/>
  <c r="AI277" i="27"/>
  <c r="AH277" i="27"/>
  <c r="AG277" i="27"/>
  <c r="BG277" i="27" s="1"/>
  <c r="AE277" i="27"/>
  <c r="BE277" i="27" s="1"/>
  <c r="AD277" i="27"/>
  <c r="BD277" i="27" s="1"/>
  <c r="AC277" i="27"/>
  <c r="AA277" i="27"/>
  <c r="Z277" i="27"/>
  <c r="Y277" i="27"/>
  <c r="W277" i="27"/>
  <c r="V277" i="27"/>
  <c r="U277" i="27"/>
  <c r="S277" i="27"/>
  <c r="R277" i="27"/>
  <c r="Q277" i="27"/>
  <c r="O277" i="27"/>
  <c r="N277" i="27"/>
  <c r="M277" i="27"/>
  <c r="K277" i="27"/>
  <c r="J277" i="27"/>
  <c r="I277" i="27"/>
  <c r="G277" i="27"/>
  <c r="F277" i="27"/>
  <c r="E277" i="27"/>
  <c r="C277" i="27"/>
  <c r="B277" i="27"/>
  <c r="AW276" i="27"/>
  <c r="AU276" i="27"/>
  <c r="AT276" i="27"/>
  <c r="AS276" i="27"/>
  <c r="AQ276" i="27"/>
  <c r="AP276" i="27"/>
  <c r="AO276" i="27"/>
  <c r="AM276" i="27"/>
  <c r="AL276" i="27"/>
  <c r="AK276" i="27"/>
  <c r="AI276" i="27"/>
  <c r="AH276" i="27"/>
  <c r="AG276" i="27"/>
  <c r="BG276" i="27" s="1"/>
  <c r="AE276" i="27"/>
  <c r="BE276" i="27" s="1"/>
  <c r="AD276" i="27"/>
  <c r="BD276" i="27" s="1"/>
  <c r="AC276" i="27"/>
  <c r="AA276" i="27"/>
  <c r="Z276" i="27"/>
  <c r="Y276" i="27"/>
  <c r="W276" i="27"/>
  <c r="V276" i="27"/>
  <c r="U276" i="27"/>
  <c r="S276" i="27"/>
  <c r="R276" i="27"/>
  <c r="Q276" i="27"/>
  <c r="O276" i="27"/>
  <c r="N276" i="27"/>
  <c r="M276" i="27"/>
  <c r="K276" i="27"/>
  <c r="J276" i="27"/>
  <c r="G276" i="27"/>
  <c r="F276" i="27"/>
  <c r="E276" i="27"/>
  <c r="C276" i="27"/>
  <c r="B276" i="27"/>
  <c r="AW275" i="27"/>
  <c r="AU275" i="27"/>
  <c r="AT275" i="27"/>
  <c r="AS275" i="27"/>
  <c r="AQ275" i="27"/>
  <c r="AP275" i="27"/>
  <c r="AO275" i="27"/>
  <c r="AM275" i="27"/>
  <c r="AL275" i="27"/>
  <c r="AK275" i="27"/>
  <c r="AI275" i="27"/>
  <c r="AH275" i="27"/>
  <c r="AG275" i="27"/>
  <c r="BG275" i="27" s="1"/>
  <c r="AE275" i="27"/>
  <c r="BE275" i="27" s="1"/>
  <c r="AD275" i="27"/>
  <c r="BD275" i="27" s="1"/>
  <c r="AC275" i="27"/>
  <c r="AA275" i="27"/>
  <c r="Z275" i="27"/>
  <c r="Y275" i="27"/>
  <c r="W275" i="27"/>
  <c r="V275" i="27"/>
  <c r="U275" i="27"/>
  <c r="S275" i="27"/>
  <c r="R275" i="27"/>
  <c r="Q275" i="27"/>
  <c r="O275" i="27"/>
  <c r="N275" i="27"/>
  <c r="M275" i="27"/>
  <c r="K275" i="27"/>
  <c r="J275" i="27"/>
  <c r="I275" i="27"/>
  <c r="G275" i="27"/>
  <c r="F275" i="27"/>
  <c r="E275" i="27"/>
  <c r="C275" i="27"/>
  <c r="B275" i="27"/>
  <c r="AW274" i="27"/>
  <c r="AU274" i="27"/>
  <c r="AT274" i="27"/>
  <c r="AS274" i="27"/>
  <c r="AQ274" i="27"/>
  <c r="AP274" i="27"/>
  <c r="AO274" i="27"/>
  <c r="AM274" i="27"/>
  <c r="AL274" i="27"/>
  <c r="AK274" i="27"/>
  <c r="AI274" i="27"/>
  <c r="AH274" i="27"/>
  <c r="AG274" i="27"/>
  <c r="BG274" i="27" s="1"/>
  <c r="AE274" i="27"/>
  <c r="BE274" i="27" s="1"/>
  <c r="AD274" i="27"/>
  <c r="BD274" i="27" s="1"/>
  <c r="AC274" i="27"/>
  <c r="AA274" i="27"/>
  <c r="Z274" i="27"/>
  <c r="Y274" i="27"/>
  <c r="W274" i="27"/>
  <c r="V274" i="27"/>
  <c r="U274" i="27"/>
  <c r="S274" i="27"/>
  <c r="R274" i="27"/>
  <c r="Q274" i="27"/>
  <c r="O274" i="27"/>
  <c r="N274" i="27"/>
  <c r="M274" i="27"/>
  <c r="K274" i="27"/>
  <c r="J274" i="27"/>
  <c r="I274" i="27"/>
  <c r="G274" i="27"/>
  <c r="F274" i="27"/>
  <c r="E274" i="27"/>
  <c r="C274" i="27"/>
  <c r="B274" i="27"/>
  <c r="AW273" i="27"/>
  <c r="AU273" i="27"/>
  <c r="AT273" i="27"/>
  <c r="AS273" i="27"/>
  <c r="AQ273" i="27"/>
  <c r="AP273" i="27"/>
  <c r="AO273" i="27"/>
  <c r="AM273" i="27"/>
  <c r="AL273" i="27"/>
  <c r="AK273" i="27"/>
  <c r="AI273" i="27"/>
  <c r="AH273" i="27"/>
  <c r="AG273" i="27"/>
  <c r="BG273" i="27" s="1"/>
  <c r="AE273" i="27"/>
  <c r="BE273" i="27" s="1"/>
  <c r="AD273" i="27"/>
  <c r="BD273" i="27" s="1"/>
  <c r="AC273" i="27"/>
  <c r="AA273" i="27"/>
  <c r="Z273" i="27"/>
  <c r="Y273" i="27"/>
  <c r="W273" i="27"/>
  <c r="V273" i="27"/>
  <c r="U273" i="27"/>
  <c r="S273" i="27"/>
  <c r="R273" i="27"/>
  <c r="Q273" i="27"/>
  <c r="O273" i="27"/>
  <c r="N273" i="27"/>
  <c r="M273" i="27"/>
  <c r="K273" i="27"/>
  <c r="J273" i="27"/>
  <c r="I273" i="27"/>
  <c r="G273" i="27"/>
  <c r="F273" i="27"/>
  <c r="E273" i="27"/>
  <c r="C273" i="27"/>
  <c r="B273" i="27"/>
  <c r="AW268" i="27"/>
  <c r="AU268" i="27"/>
  <c r="AT268" i="27"/>
  <c r="AS268" i="27"/>
  <c r="AQ268" i="27"/>
  <c r="AP268" i="27"/>
  <c r="AO268" i="27"/>
  <c r="AM268" i="27"/>
  <c r="AL268" i="27"/>
  <c r="AK268" i="27"/>
  <c r="AI268" i="27"/>
  <c r="AH268" i="27"/>
  <c r="AG268" i="27"/>
  <c r="BG268" i="27" s="1"/>
  <c r="AE268" i="27"/>
  <c r="BE268" i="27" s="1"/>
  <c r="AD268" i="27"/>
  <c r="BD268" i="27" s="1"/>
  <c r="AC268" i="27"/>
  <c r="AA268" i="27"/>
  <c r="Z268" i="27"/>
  <c r="Y268" i="27"/>
  <c r="W268" i="27"/>
  <c r="V268" i="27"/>
  <c r="U268" i="27"/>
  <c r="S268" i="27"/>
  <c r="R268" i="27"/>
  <c r="Q268" i="27"/>
  <c r="O268" i="27"/>
  <c r="N268" i="27"/>
  <c r="M268" i="27"/>
  <c r="K268" i="27"/>
  <c r="J268" i="27"/>
  <c r="I268" i="27"/>
  <c r="G268" i="27"/>
  <c r="F268" i="27"/>
  <c r="E268" i="27"/>
  <c r="D268" i="27"/>
  <c r="C268" i="27"/>
  <c r="B268" i="27"/>
  <c r="BA267" i="27"/>
  <c r="G28" i="6" s="1"/>
  <c r="AY267" i="27"/>
  <c r="E28" i="6" s="1"/>
  <c r="AX267" i="27"/>
  <c r="D28" i="6" s="1"/>
  <c r="AV267" i="27"/>
  <c r="AR267" i="27"/>
  <c r="AN267" i="27"/>
  <c r="AJ267" i="27"/>
  <c r="AF267" i="27"/>
  <c r="BF267" i="27" s="1"/>
  <c r="AB267" i="27"/>
  <c r="X267" i="27"/>
  <c r="T267" i="27"/>
  <c r="P267" i="27"/>
  <c r="L267" i="27"/>
  <c r="H267" i="27"/>
  <c r="BA266" i="27"/>
  <c r="G27" i="6" s="1"/>
  <c r="AY266" i="27"/>
  <c r="E27" i="6" s="1"/>
  <c r="AX266" i="27"/>
  <c r="D27" i="6" s="1"/>
  <c r="AV266" i="27"/>
  <c r="AR266" i="27"/>
  <c r="AN266" i="27"/>
  <c r="AJ266" i="27"/>
  <c r="AF266" i="27"/>
  <c r="BF266" i="27" s="1"/>
  <c r="AB266" i="27"/>
  <c r="X266" i="27"/>
  <c r="T266" i="27"/>
  <c r="P266" i="27"/>
  <c r="L266" i="27"/>
  <c r="H266" i="27"/>
  <c r="BA265" i="27"/>
  <c r="G26" i="6" s="1"/>
  <c r="AY265" i="27"/>
  <c r="E26" i="6" s="1"/>
  <c r="AX265" i="27"/>
  <c r="D26" i="6" s="1"/>
  <c r="AV265" i="27"/>
  <c r="AR265" i="27"/>
  <c r="AN265" i="27"/>
  <c r="AJ265" i="27"/>
  <c r="AF265" i="27"/>
  <c r="BF265" i="27" s="1"/>
  <c r="AB265" i="27"/>
  <c r="X265" i="27"/>
  <c r="T265" i="27"/>
  <c r="P265" i="27"/>
  <c r="L265" i="27"/>
  <c r="H265" i="27"/>
  <c r="BA264" i="27"/>
  <c r="G25" i="6" s="1"/>
  <c r="AY264" i="27"/>
  <c r="E25" i="6" s="1"/>
  <c r="AX264" i="27"/>
  <c r="D25" i="6" s="1"/>
  <c r="AV264" i="27"/>
  <c r="AR264" i="27"/>
  <c r="AN264" i="27"/>
  <c r="AJ264" i="27"/>
  <c r="AF264" i="27"/>
  <c r="BF264" i="27" s="1"/>
  <c r="AB264" i="27"/>
  <c r="X264" i="27"/>
  <c r="T264" i="27"/>
  <c r="P264" i="27"/>
  <c r="L264" i="27"/>
  <c r="H264" i="27"/>
  <c r="BA263" i="27"/>
  <c r="G24" i="6" s="1"/>
  <c r="AY263" i="27"/>
  <c r="E24" i="6" s="1"/>
  <c r="AX263" i="27"/>
  <c r="D24" i="6" s="1"/>
  <c r="AV263" i="27"/>
  <c r="AR263" i="27"/>
  <c r="AN263" i="27"/>
  <c r="AJ263" i="27"/>
  <c r="AF263" i="27"/>
  <c r="BF263" i="27" s="1"/>
  <c r="AB263" i="27"/>
  <c r="X263" i="27"/>
  <c r="T263" i="27"/>
  <c r="P263" i="27"/>
  <c r="L263" i="27"/>
  <c r="H263" i="27"/>
  <c r="BA262" i="27"/>
  <c r="G23" i="6" s="1"/>
  <c r="AY262" i="27"/>
  <c r="E23" i="6" s="1"/>
  <c r="AX262" i="27"/>
  <c r="D23" i="6" s="1"/>
  <c r="AV262" i="27"/>
  <c r="AR262" i="27"/>
  <c r="AN262" i="27"/>
  <c r="AJ262" i="27"/>
  <c r="AF262" i="27"/>
  <c r="BF262" i="27" s="1"/>
  <c r="AB262" i="27"/>
  <c r="X262" i="27"/>
  <c r="T262" i="27"/>
  <c r="P262" i="27"/>
  <c r="L262" i="27"/>
  <c r="H262" i="27"/>
  <c r="BA261" i="27"/>
  <c r="G22" i="6" s="1"/>
  <c r="AY261" i="27"/>
  <c r="E22" i="6" s="1"/>
  <c r="AX261" i="27"/>
  <c r="D22" i="6" s="1"/>
  <c r="AV261" i="27"/>
  <c r="AR261" i="27"/>
  <c r="AN261" i="27"/>
  <c r="AJ261" i="27"/>
  <c r="AF261" i="27"/>
  <c r="BF261" i="27" s="1"/>
  <c r="AB261" i="27"/>
  <c r="X261" i="27"/>
  <c r="T261" i="27"/>
  <c r="P261" i="27"/>
  <c r="L261" i="27"/>
  <c r="H261" i="27"/>
  <c r="BA260" i="27"/>
  <c r="G21" i="6" s="1"/>
  <c r="AY260" i="27"/>
  <c r="E21" i="6" s="1"/>
  <c r="AX260" i="27"/>
  <c r="D21" i="6" s="1"/>
  <c r="AV260" i="27"/>
  <c r="AR260" i="27"/>
  <c r="AN260" i="27"/>
  <c r="AJ260" i="27"/>
  <c r="AF260" i="27"/>
  <c r="BF260" i="27" s="1"/>
  <c r="AB260" i="27"/>
  <c r="X260" i="27"/>
  <c r="T260" i="27"/>
  <c r="P260" i="27"/>
  <c r="L260" i="27"/>
  <c r="H260" i="27"/>
  <c r="BA259" i="27"/>
  <c r="G20" i="6" s="1"/>
  <c r="AY259" i="27"/>
  <c r="E20" i="6" s="1"/>
  <c r="AX259" i="27"/>
  <c r="D20" i="6" s="1"/>
  <c r="AV259" i="27"/>
  <c r="AR259" i="27"/>
  <c r="AN259" i="27"/>
  <c r="AJ259" i="27"/>
  <c r="AF259" i="27"/>
  <c r="BF259" i="27" s="1"/>
  <c r="AB259" i="27"/>
  <c r="X259" i="27"/>
  <c r="T259" i="27"/>
  <c r="P259" i="27"/>
  <c r="L259" i="27"/>
  <c r="H259" i="27"/>
  <c r="BA258" i="27"/>
  <c r="G19" i="6" s="1"/>
  <c r="AY258" i="27"/>
  <c r="E19" i="6" s="1"/>
  <c r="AX258" i="27"/>
  <c r="D19" i="6" s="1"/>
  <c r="AV258" i="27"/>
  <c r="AR258" i="27"/>
  <c r="AN258" i="27"/>
  <c r="AJ258" i="27"/>
  <c r="AF258" i="27"/>
  <c r="BF258" i="27" s="1"/>
  <c r="AB258" i="27"/>
  <c r="X258" i="27"/>
  <c r="T258" i="27"/>
  <c r="P258" i="27"/>
  <c r="L258" i="27"/>
  <c r="H258" i="27"/>
  <c r="AZ252" i="27"/>
  <c r="X252" i="27"/>
  <c r="AT251" i="27"/>
  <c r="AP251" i="27"/>
  <c r="AL251" i="27"/>
  <c r="AH251" i="27"/>
  <c r="AD251" i="27"/>
  <c r="BD251" i="27" s="1"/>
  <c r="Z251" i="27"/>
  <c r="V251" i="27"/>
  <c r="R251" i="27"/>
  <c r="N251" i="27"/>
  <c r="J251" i="27"/>
  <c r="F251" i="27"/>
  <c r="B251" i="27"/>
  <c r="AX250" i="27"/>
  <c r="M28" i="134" s="1"/>
  <c r="AX249" i="27"/>
  <c r="M27" i="134" s="1"/>
  <c r="DL103" i="190" s="1"/>
  <c r="AX248" i="27"/>
  <c r="M26" i="134" s="1"/>
  <c r="DL92" i="190" s="1"/>
  <c r="AX247" i="27"/>
  <c r="M25" i="134" s="1"/>
  <c r="DL85" i="190" s="1"/>
  <c r="AX246" i="27"/>
  <c r="M24" i="134" s="1"/>
  <c r="DL75" i="190" s="1"/>
  <c r="AX245" i="27"/>
  <c r="M23" i="134" s="1"/>
  <c r="DL68" i="190" s="1"/>
  <c r="AX244" i="27"/>
  <c r="M22" i="134" s="1"/>
  <c r="DL56" i="190" s="1"/>
  <c r="AX243" i="27"/>
  <c r="M21" i="134" s="1"/>
  <c r="DL38" i="190" s="1"/>
  <c r="AX242" i="27"/>
  <c r="M20" i="134" s="1"/>
  <c r="AX241" i="27"/>
  <c r="M19" i="134" s="1"/>
  <c r="DL19" i="190" s="1"/>
  <c r="AB238" i="27"/>
  <c r="AA238" i="27"/>
  <c r="Z238" i="27"/>
  <c r="AT236" i="27"/>
  <c r="AP236" i="27"/>
  <c r="AL236" i="27"/>
  <c r="AH236" i="27"/>
  <c r="AD236" i="27"/>
  <c r="BD236" i="27" s="1"/>
  <c r="Z236" i="27"/>
  <c r="V236" i="27"/>
  <c r="R236" i="27"/>
  <c r="N236" i="27"/>
  <c r="J236" i="27"/>
  <c r="F236" i="27"/>
  <c r="B236" i="27"/>
  <c r="AX235" i="27"/>
  <c r="G28" i="134" s="1"/>
  <c r="DI107" i="190" s="1"/>
  <c r="C235" i="27"/>
  <c r="D235" i="27" s="1"/>
  <c r="AX234" i="27"/>
  <c r="G27" i="134" s="1"/>
  <c r="DI103" i="190" s="1"/>
  <c r="C234" i="27"/>
  <c r="D234" i="27" s="1"/>
  <c r="AX233" i="27"/>
  <c r="G26" i="134" s="1"/>
  <c r="DI92" i="190" s="1"/>
  <c r="C233" i="27"/>
  <c r="D233" i="27" s="1"/>
  <c r="AX232" i="27"/>
  <c r="G25" i="134" s="1"/>
  <c r="DI85" i="190" s="1"/>
  <c r="C232" i="27"/>
  <c r="D232" i="27" s="1"/>
  <c r="AX231" i="27"/>
  <c r="G24" i="134" s="1"/>
  <c r="DI75" i="190" s="1"/>
  <c r="C231" i="27"/>
  <c r="D231" i="27" s="1"/>
  <c r="AX230" i="27"/>
  <c r="G23" i="134" s="1"/>
  <c r="DI68" i="190" s="1"/>
  <c r="C230" i="27"/>
  <c r="D230" i="27" s="1"/>
  <c r="AX229" i="27"/>
  <c r="G22" i="134" s="1"/>
  <c r="DI56" i="190" s="1"/>
  <c r="C229" i="27"/>
  <c r="D229" i="27" s="1"/>
  <c r="AX228" i="27"/>
  <c r="G21" i="134" s="1"/>
  <c r="DI38" i="190" s="1"/>
  <c r="C228" i="27"/>
  <c r="D228" i="27" s="1"/>
  <c r="AX227" i="27"/>
  <c r="G20" i="134" s="1"/>
  <c r="DI29" i="190" s="1"/>
  <c r="C227" i="27"/>
  <c r="D227" i="27" s="1"/>
  <c r="AX226" i="27"/>
  <c r="G19" i="134" s="1"/>
  <c r="DI19" i="190" s="1"/>
  <c r="C226" i="27"/>
  <c r="Q220" i="27"/>
  <c r="AW218" i="27"/>
  <c r="AU218" i="27"/>
  <c r="AT218" i="27"/>
  <c r="AS218" i="27"/>
  <c r="AQ218" i="27"/>
  <c r="AP218" i="27"/>
  <c r="AO218" i="27"/>
  <c r="AM218" i="27"/>
  <c r="AL218" i="27"/>
  <c r="AK218" i="27"/>
  <c r="AI218" i="27"/>
  <c r="AH218" i="27"/>
  <c r="AG218" i="27"/>
  <c r="BE218" i="27" s="1"/>
  <c r="AE218" i="27"/>
  <c r="BG218" i="27" s="1"/>
  <c r="AD218" i="27"/>
  <c r="BF218" i="27" s="1"/>
  <c r="AC218" i="27"/>
  <c r="AA218" i="27"/>
  <c r="Z218" i="27"/>
  <c r="Y218" i="27"/>
  <c r="W218" i="27"/>
  <c r="V218" i="27"/>
  <c r="U218" i="27"/>
  <c r="S218" i="27"/>
  <c r="R218" i="27"/>
  <c r="Q218" i="27"/>
  <c r="O218" i="27"/>
  <c r="N218" i="27"/>
  <c r="M218" i="27"/>
  <c r="K218" i="27"/>
  <c r="J218" i="27"/>
  <c r="I218" i="27"/>
  <c r="G218" i="27"/>
  <c r="F218" i="27"/>
  <c r="E218" i="27"/>
  <c r="C218" i="27"/>
  <c r="B218" i="27"/>
  <c r="AW217" i="27"/>
  <c r="AU217" i="27"/>
  <c r="AT217" i="27"/>
  <c r="AS217" i="27"/>
  <c r="AQ217" i="27"/>
  <c r="AP217" i="27"/>
  <c r="AO217" i="27"/>
  <c r="AM217" i="27"/>
  <c r="AL217" i="27"/>
  <c r="AK217" i="27"/>
  <c r="AI217" i="27"/>
  <c r="AH217" i="27"/>
  <c r="AG217" i="27"/>
  <c r="BE217" i="27" s="1"/>
  <c r="AE217" i="27"/>
  <c r="BG217" i="27" s="1"/>
  <c r="AD217" i="27"/>
  <c r="BF217" i="27" s="1"/>
  <c r="AC217" i="27"/>
  <c r="AA217" i="27"/>
  <c r="Z217" i="27"/>
  <c r="Y217" i="27"/>
  <c r="W217" i="27"/>
  <c r="V217" i="27"/>
  <c r="U217" i="27"/>
  <c r="S217" i="27"/>
  <c r="R217" i="27"/>
  <c r="Q217" i="27"/>
  <c r="O217" i="27"/>
  <c r="N217" i="27"/>
  <c r="M217" i="27"/>
  <c r="K217" i="27"/>
  <c r="J217" i="27"/>
  <c r="I217" i="27"/>
  <c r="G217" i="27"/>
  <c r="F217" i="27"/>
  <c r="E217" i="27"/>
  <c r="C217" i="27"/>
  <c r="B217" i="27"/>
  <c r="AW216" i="27"/>
  <c r="AU216" i="27"/>
  <c r="AT216" i="27"/>
  <c r="AS216" i="27"/>
  <c r="AQ216" i="27"/>
  <c r="AP216" i="27"/>
  <c r="AO216" i="27"/>
  <c r="AM216" i="27"/>
  <c r="AL216" i="27"/>
  <c r="AK216" i="27"/>
  <c r="AI216" i="27"/>
  <c r="AH216" i="27"/>
  <c r="AG216" i="27"/>
  <c r="BE216" i="27" s="1"/>
  <c r="AE216" i="27"/>
  <c r="BG216" i="27" s="1"/>
  <c r="AD216" i="27"/>
  <c r="BF216" i="27" s="1"/>
  <c r="AC216" i="27"/>
  <c r="AA216" i="27"/>
  <c r="Z216" i="27"/>
  <c r="Y216" i="27"/>
  <c r="W216" i="27"/>
  <c r="V216" i="27"/>
  <c r="U216" i="27"/>
  <c r="S216" i="27"/>
  <c r="R216" i="27"/>
  <c r="Q216" i="27"/>
  <c r="O216" i="27"/>
  <c r="N216" i="27"/>
  <c r="M216" i="27"/>
  <c r="K216" i="27"/>
  <c r="J216" i="27"/>
  <c r="I216" i="27"/>
  <c r="G216" i="27"/>
  <c r="F216" i="27"/>
  <c r="E216" i="27"/>
  <c r="C216" i="27"/>
  <c r="B216" i="27"/>
  <c r="AW215" i="27"/>
  <c r="AU215" i="27"/>
  <c r="AT215" i="27"/>
  <c r="AS215" i="27"/>
  <c r="AQ215" i="27"/>
  <c r="AP215" i="27"/>
  <c r="AO215" i="27"/>
  <c r="AM215" i="27"/>
  <c r="AL215" i="27"/>
  <c r="AK215" i="27"/>
  <c r="AI215" i="27"/>
  <c r="AH215" i="27"/>
  <c r="AG215" i="27"/>
  <c r="BE215" i="27" s="1"/>
  <c r="AE215" i="27"/>
  <c r="BG215" i="27" s="1"/>
  <c r="AD215" i="27"/>
  <c r="BF215" i="27" s="1"/>
  <c r="AC215" i="27"/>
  <c r="AA215" i="27"/>
  <c r="Z215" i="27"/>
  <c r="Y215" i="27"/>
  <c r="W215" i="27"/>
  <c r="V215" i="27"/>
  <c r="U215" i="27"/>
  <c r="S215" i="27"/>
  <c r="R215" i="27"/>
  <c r="Q215" i="27"/>
  <c r="O215" i="27"/>
  <c r="N215" i="27"/>
  <c r="M215" i="27"/>
  <c r="K215" i="27"/>
  <c r="J215" i="27"/>
  <c r="I215" i="27"/>
  <c r="G215" i="27"/>
  <c r="F215" i="27"/>
  <c r="E215" i="27"/>
  <c r="C215" i="27"/>
  <c r="B215" i="27"/>
  <c r="AW214" i="27"/>
  <c r="AU214" i="27"/>
  <c r="AT214" i="27"/>
  <c r="AS214" i="27"/>
  <c r="AQ214" i="27"/>
  <c r="AP214" i="27"/>
  <c r="AO214" i="27"/>
  <c r="AM214" i="27"/>
  <c r="AL214" i="27"/>
  <c r="AK214" i="27"/>
  <c r="AI214" i="27"/>
  <c r="AH214" i="27"/>
  <c r="AG214" i="27"/>
  <c r="BE214" i="27" s="1"/>
  <c r="AE214" i="27"/>
  <c r="BG214" i="27" s="1"/>
  <c r="AD214" i="27"/>
  <c r="BF214" i="27" s="1"/>
  <c r="AC214" i="27"/>
  <c r="AA214" i="27"/>
  <c r="Z214" i="27"/>
  <c r="Y214" i="27"/>
  <c r="W214" i="27"/>
  <c r="V214" i="27"/>
  <c r="U214" i="27"/>
  <c r="S214" i="27"/>
  <c r="R214" i="27"/>
  <c r="Q214" i="27"/>
  <c r="O214" i="27"/>
  <c r="N214" i="27"/>
  <c r="M214" i="27"/>
  <c r="K214" i="27"/>
  <c r="J214" i="27"/>
  <c r="I214" i="27"/>
  <c r="G214" i="27"/>
  <c r="F214" i="27"/>
  <c r="E214" i="27"/>
  <c r="C214" i="27"/>
  <c r="B214" i="27"/>
  <c r="AW213" i="27"/>
  <c r="AU213" i="27"/>
  <c r="AT213" i="27"/>
  <c r="AS213" i="27"/>
  <c r="AQ213" i="27"/>
  <c r="AP213" i="27"/>
  <c r="AO213" i="27"/>
  <c r="AM213" i="27"/>
  <c r="AL213" i="27"/>
  <c r="AK213" i="27"/>
  <c r="AI213" i="27"/>
  <c r="AH213" i="27"/>
  <c r="AG213" i="27"/>
  <c r="BE213" i="27" s="1"/>
  <c r="AE213" i="27"/>
  <c r="BG213" i="27" s="1"/>
  <c r="AD213" i="27"/>
  <c r="BF213" i="27" s="1"/>
  <c r="AC213" i="27"/>
  <c r="AA213" i="27"/>
  <c r="Z213" i="27"/>
  <c r="Y213" i="27"/>
  <c r="W213" i="27"/>
  <c r="V213" i="27"/>
  <c r="U213" i="27"/>
  <c r="S213" i="27"/>
  <c r="R213" i="27"/>
  <c r="Q213" i="27"/>
  <c r="O213" i="27"/>
  <c r="N213" i="27"/>
  <c r="M213" i="27"/>
  <c r="K213" i="27"/>
  <c r="J213" i="27"/>
  <c r="I213" i="27"/>
  <c r="G213" i="27"/>
  <c r="F213" i="27"/>
  <c r="E213" i="27"/>
  <c r="C213" i="27"/>
  <c r="B213" i="27"/>
  <c r="AW212" i="27"/>
  <c r="AU212" i="27"/>
  <c r="AT212" i="27"/>
  <c r="AS212" i="27"/>
  <c r="AQ212" i="27"/>
  <c r="AP212" i="27"/>
  <c r="AO212" i="27"/>
  <c r="AM212" i="27"/>
  <c r="AL212" i="27"/>
  <c r="AK212" i="27"/>
  <c r="AI212" i="27"/>
  <c r="AH212" i="27"/>
  <c r="AG212" i="27"/>
  <c r="BE212" i="27" s="1"/>
  <c r="AE212" i="27"/>
  <c r="BG212" i="27" s="1"/>
  <c r="AD212" i="27"/>
  <c r="BF212" i="27" s="1"/>
  <c r="AC212" i="27"/>
  <c r="AA212" i="27"/>
  <c r="Z212" i="27"/>
  <c r="Y212" i="27"/>
  <c r="W212" i="27"/>
  <c r="V212" i="27"/>
  <c r="U212" i="27"/>
  <c r="S212" i="27"/>
  <c r="R212" i="27"/>
  <c r="Q212" i="27"/>
  <c r="O212" i="27"/>
  <c r="N212" i="27"/>
  <c r="M212" i="27"/>
  <c r="K212" i="27"/>
  <c r="J212" i="27"/>
  <c r="I212" i="27"/>
  <c r="G212" i="27"/>
  <c r="F212" i="27"/>
  <c r="E212" i="27"/>
  <c r="C212" i="27"/>
  <c r="B212" i="27"/>
  <c r="AW211" i="27"/>
  <c r="AU211" i="27"/>
  <c r="AT211" i="27"/>
  <c r="AS211" i="27"/>
  <c r="AQ211" i="27"/>
  <c r="AP211" i="27"/>
  <c r="AO211" i="27"/>
  <c r="AM211" i="27"/>
  <c r="AL211" i="27"/>
  <c r="AK211" i="27"/>
  <c r="AI211" i="27"/>
  <c r="AH211" i="27"/>
  <c r="AG211" i="27"/>
  <c r="BE211" i="27" s="1"/>
  <c r="AE211" i="27"/>
  <c r="BG211" i="27" s="1"/>
  <c r="AD211" i="27"/>
  <c r="BF211" i="27" s="1"/>
  <c r="AC211" i="27"/>
  <c r="AA211" i="27"/>
  <c r="Z211" i="27"/>
  <c r="Y211" i="27"/>
  <c r="W211" i="27"/>
  <c r="V211" i="27"/>
  <c r="U211" i="27"/>
  <c r="S211" i="27"/>
  <c r="R211" i="27"/>
  <c r="Q211" i="27"/>
  <c r="O211" i="27"/>
  <c r="N211" i="27"/>
  <c r="M211" i="27"/>
  <c r="K211" i="27"/>
  <c r="J211" i="27"/>
  <c r="I211" i="27"/>
  <c r="G211" i="27"/>
  <c r="F211" i="27"/>
  <c r="E211" i="27"/>
  <c r="C211" i="27"/>
  <c r="B211" i="27"/>
  <c r="AW210" i="27"/>
  <c r="AU210" i="27"/>
  <c r="AT210" i="27"/>
  <c r="AS210" i="27"/>
  <c r="AQ210" i="27"/>
  <c r="AP210" i="27"/>
  <c r="AO210" i="27"/>
  <c r="AM210" i="27"/>
  <c r="AL210" i="27"/>
  <c r="AK210" i="27"/>
  <c r="AI210" i="27"/>
  <c r="AH210" i="27"/>
  <c r="AG210" i="27"/>
  <c r="BE210" i="27" s="1"/>
  <c r="AE210" i="27"/>
  <c r="BG210" i="27" s="1"/>
  <c r="AD210" i="27"/>
  <c r="BF210" i="27" s="1"/>
  <c r="AC210" i="27"/>
  <c r="AA210" i="27"/>
  <c r="Z210" i="27"/>
  <c r="Y210" i="27"/>
  <c r="W210" i="27"/>
  <c r="V210" i="27"/>
  <c r="U210" i="27"/>
  <c r="S210" i="27"/>
  <c r="R210" i="27"/>
  <c r="Q210" i="27"/>
  <c r="O210" i="27"/>
  <c r="N210" i="27"/>
  <c r="M210" i="27"/>
  <c r="K210" i="27"/>
  <c r="J210" i="27"/>
  <c r="I210" i="27"/>
  <c r="G210" i="27"/>
  <c r="F210" i="27"/>
  <c r="E210" i="27"/>
  <c r="C210" i="27"/>
  <c r="B210" i="27"/>
  <c r="AW209" i="27"/>
  <c r="AU209" i="27"/>
  <c r="AT209" i="27"/>
  <c r="AS209" i="27"/>
  <c r="AQ209" i="27"/>
  <c r="AP209" i="27"/>
  <c r="AO209" i="27"/>
  <c r="AM209" i="27"/>
  <c r="AL209" i="27"/>
  <c r="AK209" i="27"/>
  <c r="AI209" i="27"/>
  <c r="AH209" i="27"/>
  <c r="AG209" i="27"/>
  <c r="BE209" i="27" s="1"/>
  <c r="AE209" i="27"/>
  <c r="BG209" i="27" s="1"/>
  <c r="AD209" i="27"/>
  <c r="BF209" i="27" s="1"/>
  <c r="AC209" i="27"/>
  <c r="AA209" i="27"/>
  <c r="Z209" i="27"/>
  <c r="Y209" i="27"/>
  <c r="W209" i="27"/>
  <c r="V209" i="27"/>
  <c r="U209" i="27"/>
  <c r="S209" i="27"/>
  <c r="R209" i="27"/>
  <c r="Q209" i="27"/>
  <c r="O209" i="27"/>
  <c r="N209" i="27"/>
  <c r="M209" i="27"/>
  <c r="K209" i="27"/>
  <c r="J209" i="27"/>
  <c r="I209" i="27"/>
  <c r="G209" i="27"/>
  <c r="F209" i="27"/>
  <c r="E209" i="27"/>
  <c r="C209" i="27"/>
  <c r="B209" i="27"/>
  <c r="AW204" i="27"/>
  <c r="AU204" i="27"/>
  <c r="AT204" i="27"/>
  <c r="AS204" i="27"/>
  <c r="AQ204" i="27"/>
  <c r="AP204" i="27"/>
  <c r="AO204" i="27"/>
  <c r="AM204" i="27"/>
  <c r="AL204" i="27"/>
  <c r="AK204" i="27"/>
  <c r="AI204" i="27"/>
  <c r="AH204" i="27"/>
  <c r="AG204" i="27"/>
  <c r="BE204" i="27" s="1"/>
  <c r="AE204" i="27"/>
  <c r="BG204" i="27" s="1"/>
  <c r="AD204" i="27"/>
  <c r="BF204" i="27" s="1"/>
  <c r="AC204" i="27"/>
  <c r="AA204" i="27"/>
  <c r="Z204" i="27"/>
  <c r="Y204" i="27"/>
  <c r="W204" i="27"/>
  <c r="V204" i="27"/>
  <c r="U204" i="27"/>
  <c r="S204" i="27"/>
  <c r="R204" i="27"/>
  <c r="Q204" i="27"/>
  <c r="O204" i="27"/>
  <c r="N204" i="27"/>
  <c r="M204" i="27"/>
  <c r="K204" i="27"/>
  <c r="J204" i="27"/>
  <c r="I204" i="27"/>
  <c r="G204" i="27"/>
  <c r="F204" i="27"/>
  <c r="E204" i="27"/>
  <c r="D204" i="27"/>
  <c r="C204" i="27"/>
  <c r="B204" i="27"/>
  <c r="BA203" i="27"/>
  <c r="E28" i="134" s="1"/>
  <c r="DK107" i="190" s="1"/>
  <c r="AY203" i="27"/>
  <c r="C28" i="134" s="1"/>
  <c r="AX203" i="27"/>
  <c r="B28" i="134" s="1"/>
  <c r="AV203" i="27"/>
  <c r="AR203" i="27"/>
  <c r="AN203" i="27"/>
  <c r="AJ203" i="27"/>
  <c r="AF203" i="27"/>
  <c r="BD203" i="27" s="1"/>
  <c r="AB203" i="27"/>
  <c r="X203" i="27"/>
  <c r="T203" i="27"/>
  <c r="P203" i="27"/>
  <c r="L203" i="27"/>
  <c r="H203" i="27"/>
  <c r="BA202" i="27"/>
  <c r="E27" i="134" s="1"/>
  <c r="DK103" i="190" s="1"/>
  <c r="AY202" i="27"/>
  <c r="C27" i="134" s="1"/>
  <c r="AX202" i="27"/>
  <c r="B27" i="134" s="1"/>
  <c r="AV202" i="27"/>
  <c r="AR202" i="27"/>
  <c r="AN202" i="27"/>
  <c r="AJ202" i="27"/>
  <c r="AF202" i="27"/>
  <c r="BD202" i="27" s="1"/>
  <c r="AB202" i="27"/>
  <c r="X202" i="27"/>
  <c r="T202" i="27"/>
  <c r="P202" i="27"/>
  <c r="L202" i="27"/>
  <c r="H202" i="27"/>
  <c r="BA201" i="27"/>
  <c r="E26" i="134" s="1"/>
  <c r="DK92" i="190" s="1"/>
  <c r="AY201" i="27"/>
  <c r="C26" i="134" s="1"/>
  <c r="AX201" i="27"/>
  <c r="B26" i="134" s="1"/>
  <c r="AV201" i="27"/>
  <c r="AR201" i="27"/>
  <c r="AN201" i="27"/>
  <c r="AJ201" i="27"/>
  <c r="AF201" i="27"/>
  <c r="BD201" i="27" s="1"/>
  <c r="AB201" i="27"/>
  <c r="X201" i="27"/>
  <c r="T201" i="27"/>
  <c r="P201" i="27"/>
  <c r="L201" i="27"/>
  <c r="H201" i="27"/>
  <c r="BA200" i="27"/>
  <c r="E25" i="134" s="1"/>
  <c r="DK85" i="190" s="1"/>
  <c r="AY200" i="27"/>
  <c r="AX200" i="27"/>
  <c r="AV200" i="27"/>
  <c r="AR200" i="27"/>
  <c r="AN200" i="27"/>
  <c r="AJ200" i="27"/>
  <c r="AF200" i="27"/>
  <c r="BD200" i="27" s="1"/>
  <c r="AB200" i="27"/>
  <c r="X200" i="27"/>
  <c r="T200" i="27"/>
  <c r="P200" i="27"/>
  <c r="O232" i="27" s="1"/>
  <c r="P232" i="27" s="1"/>
  <c r="Q232" i="27" s="1"/>
  <c r="L200" i="27"/>
  <c r="H200" i="27"/>
  <c r="BA199" i="27"/>
  <c r="AY199" i="27"/>
  <c r="AX199" i="27"/>
  <c r="AV199" i="27"/>
  <c r="AR199" i="27"/>
  <c r="AN199" i="27"/>
  <c r="AJ199" i="27"/>
  <c r="AF199" i="27"/>
  <c r="BD199" i="27" s="1"/>
  <c r="AB199" i="27"/>
  <c r="X199" i="27"/>
  <c r="T199" i="27"/>
  <c r="P199" i="27"/>
  <c r="P295" i="27" s="1"/>
  <c r="L199" i="27"/>
  <c r="H199" i="27"/>
  <c r="BA198" i="27"/>
  <c r="AY198" i="27"/>
  <c r="AX198" i="27"/>
  <c r="AV198" i="27"/>
  <c r="AR198" i="27"/>
  <c r="AN198" i="27"/>
  <c r="AJ198" i="27"/>
  <c r="AF198" i="27"/>
  <c r="BD198" i="27" s="1"/>
  <c r="AB198" i="27"/>
  <c r="X198" i="27"/>
  <c r="T198" i="27"/>
  <c r="P198" i="27"/>
  <c r="L198" i="27"/>
  <c r="H198" i="27"/>
  <c r="BA197" i="27"/>
  <c r="AY197" i="27"/>
  <c r="AX197" i="27"/>
  <c r="B22" i="134" s="1"/>
  <c r="AV197" i="27"/>
  <c r="AR197" i="27"/>
  <c r="AN197" i="27"/>
  <c r="AJ197" i="27"/>
  <c r="AF197" i="27"/>
  <c r="BD197" i="27" s="1"/>
  <c r="AB197" i="27"/>
  <c r="X197" i="27"/>
  <c r="T197" i="27"/>
  <c r="P197" i="27"/>
  <c r="L197" i="27"/>
  <c r="H197" i="27"/>
  <c r="BA196" i="27"/>
  <c r="E21" i="134" s="1"/>
  <c r="DK38" i="190" s="1"/>
  <c r="AY196" i="27"/>
  <c r="AX196" i="27"/>
  <c r="AV196" i="27"/>
  <c r="AR196" i="27"/>
  <c r="AN196" i="27"/>
  <c r="AJ196" i="27"/>
  <c r="AF196" i="27"/>
  <c r="BD196" i="27" s="1"/>
  <c r="AB196" i="27"/>
  <c r="X196" i="27"/>
  <c r="T196" i="27"/>
  <c r="P196" i="27"/>
  <c r="L196" i="27"/>
  <c r="H196" i="27"/>
  <c r="BA195" i="27"/>
  <c r="AY195" i="27"/>
  <c r="AX195" i="27"/>
  <c r="B20" i="134" s="1"/>
  <c r="AV195" i="27"/>
  <c r="AR195" i="27"/>
  <c r="AN195" i="27"/>
  <c r="AJ195" i="27"/>
  <c r="AF195" i="27"/>
  <c r="BD195" i="27" s="1"/>
  <c r="AB195" i="27"/>
  <c r="X195" i="27"/>
  <c r="T195" i="27"/>
  <c r="P195" i="27"/>
  <c r="L195" i="27"/>
  <c r="H195" i="27"/>
  <c r="BA194" i="27"/>
  <c r="AY194" i="27"/>
  <c r="AX194" i="27"/>
  <c r="AV194" i="27"/>
  <c r="AR194" i="27"/>
  <c r="AN194" i="27"/>
  <c r="AJ194" i="27"/>
  <c r="X194" i="27"/>
  <c r="T194" i="27"/>
  <c r="P194" i="27"/>
  <c r="O226" i="27" s="1"/>
  <c r="L194" i="27"/>
  <c r="H194" i="27"/>
  <c r="AW155" i="27"/>
  <c r="AU155" i="27"/>
  <c r="AT155" i="27"/>
  <c r="AS155" i="27"/>
  <c r="AQ155" i="27"/>
  <c r="AP155" i="27"/>
  <c r="AO155" i="27"/>
  <c r="AM155" i="27"/>
  <c r="AL155" i="27"/>
  <c r="AK155" i="27"/>
  <c r="AI155" i="27"/>
  <c r="AH155" i="27"/>
  <c r="AG155" i="27"/>
  <c r="BD155" i="27" s="1"/>
  <c r="AE155" i="27"/>
  <c r="AD155" i="27"/>
  <c r="AC155" i="27"/>
  <c r="AA155" i="27"/>
  <c r="Z155" i="27"/>
  <c r="Y155" i="27"/>
  <c r="W155" i="27"/>
  <c r="V155" i="27"/>
  <c r="U155" i="27"/>
  <c r="S155" i="27"/>
  <c r="R155" i="27"/>
  <c r="Q155" i="27"/>
  <c r="O155" i="27"/>
  <c r="N155" i="27"/>
  <c r="M155" i="27"/>
  <c r="K155" i="27"/>
  <c r="J155" i="27"/>
  <c r="I155" i="27"/>
  <c r="G155" i="27"/>
  <c r="F155" i="27"/>
  <c r="AW154" i="27"/>
  <c r="AU154" i="27"/>
  <c r="AT154" i="27"/>
  <c r="AS154" i="27"/>
  <c r="AQ154" i="27"/>
  <c r="AP154" i="27"/>
  <c r="AO154" i="27"/>
  <c r="AM154" i="27"/>
  <c r="AL154" i="27"/>
  <c r="AK154" i="27"/>
  <c r="AI154" i="27"/>
  <c r="AH154" i="27"/>
  <c r="AG154" i="27"/>
  <c r="BD154" i="27" s="1"/>
  <c r="AE154" i="27"/>
  <c r="AD154" i="27"/>
  <c r="AC154" i="27"/>
  <c r="AA154" i="27"/>
  <c r="Z154" i="27"/>
  <c r="Y154" i="27"/>
  <c r="W154" i="27"/>
  <c r="V154" i="27"/>
  <c r="U154" i="27"/>
  <c r="S154" i="27"/>
  <c r="R154" i="27"/>
  <c r="Q154" i="27"/>
  <c r="O154" i="27"/>
  <c r="N154" i="27"/>
  <c r="M154" i="27"/>
  <c r="K154" i="27"/>
  <c r="J154" i="27"/>
  <c r="I154" i="27"/>
  <c r="G154" i="27"/>
  <c r="F154" i="27"/>
  <c r="AW153" i="27"/>
  <c r="AU153" i="27"/>
  <c r="AT153" i="27"/>
  <c r="AS153" i="27"/>
  <c r="AQ153" i="27"/>
  <c r="AP153" i="27"/>
  <c r="AO153" i="27"/>
  <c r="AM153" i="27"/>
  <c r="AL153" i="27"/>
  <c r="AK153" i="27"/>
  <c r="AI153" i="27"/>
  <c r="AH153" i="27"/>
  <c r="AG153" i="27"/>
  <c r="BD153" i="27" s="1"/>
  <c r="AE153" i="27"/>
  <c r="AD153" i="27"/>
  <c r="AC153" i="27"/>
  <c r="AA153" i="27"/>
  <c r="Z153" i="27"/>
  <c r="Y153" i="27"/>
  <c r="W153" i="27"/>
  <c r="V153" i="27"/>
  <c r="U153" i="27"/>
  <c r="S153" i="27"/>
  <c r="R153" i="27"/>
  <c r="Q153" i="27"/>
  <c r="O153" i="27"/>
  <c r="N153" i="27"/>
  <c r="M153" i="27"/>
  <c r="K153" i="27"/>
  <c r="J153" i="27"/>
  <c r="I153" i="27"/>
  <c r="G153" i="27"/>
  <c r="F153" i="27"/>
  <c r="AW152" i="27"/>
  <c r="AU152" i="27"/>
  <c r="AT152" i="27"/>
  <c r="AS152" i="27"/>
  <c r="AQ152" i="27"/>
  <c r="AP152" i="27"/>
  <c r="AO152" i="27"/>
  <c r="AM152" i="27"/>
  <c r="AL152" i="27"/>
  <c r="AK152" i="27"/>
  <c r="AI152" i="27"/>
  <c r="AH152" i="27"/>
  <c r="AG152" i="27"/>
  <c r="BD152" i="27" s="1"/>
  <c r="AE152" i="27"/>
  <c r="AD152" i="27"/>
  <c r="AC152" i="27"/>
  <c r="AA152" i="27"/>
  <c r="Z152" i="27"/>
  <c r="Y152" i="27"/>
  <c r="W152" i="27"/>
  <c r="V152" i="27"/>
  <c r="U152" i="27"/>
  <c r="S152" i="27"/>
  <c r="R152" i="27"/>
  <c r="Q152" i="27"/>
  <c r="O152" i="27"/>
  <c r="N152" i="27"/>
  <c r="M152" i="27"/>
  <c r="K152" i="27"/>
  <c r="J152" i="27"/>
  <c r="I152" i="27"/>
  <c r="G152" i="27"/>
  <c r="F152" i="27"/>
  <c r="AW151" i="27"/>
  <c r="AU151" i="27"/>
  <c r="AT151" i="27"/>
  <c r="AS151" i="27"/>
  <c r="AQ151" i="27"/>
  <c r="AP151" i="27"/>
  <c r="AO151" i="27"/>
  <c r="AM151" i="27"/>
  <c r="AL151" i="27"/>
  <c r="AK151" i="27"/>
  <c r="AI151" i="27"/>
  <c r="AH151" i="27"/>
  <c r="AG151" i="27"/>
  <c r="BD151" i="27" s="1"/>
  <c r="AE151" i="27"/>
  <c r="AD151" i="27"/>
  <c r="AC151" i="27"/>
  <c r="AA151" i="27"/>
  <c r="Z151" i="27"/>
  <c r="Y151" i="27"/>
  <c r="W151" i="27"/>
  <c r="V151" i="27"/>
  <c r="U151" i="27"/>
  <c r="S151" i="27"/>
  <c r="R151" i="27"/>
  <c r="Q151" i="27"/>
  <c r="O151" i="27"/>
  <c r="N151" i="27"/>
  <c r="M151" i="27"/>
  <c r="K151" i="27"/>
  <c r="J151" i="27"/>
  <c r="I151" i="27"/>
  <c r="G151" i="27"/>
  <c r="F151" i="27"/>
  <c r="AW150" i="27"/>
  <c r="AU150" i="27"/>
  <c r="AT150" i="27"/>
  <c r="AS150" i="27"/>
  <c r="AQ150" i="27"/>
  <c r="AP150" i="27"/>
  <c r="AO150" i="27"/>
  <c r="AM150" i="27"/>
  <c r="AL150" i="27"/>
  <c r="AK150" i="27"/>
  <c r="AI150" i="27"/>
  <c r="AH150" i="27"/>
  <c r="AG150" i="27"/>
  <c r="BD150" i="27" s="1"/>
  <c r="AE150" i="27"/>
  <c r="AD150" i="27"/>
  <c r="AC150" i="27"/>
  <c r="AA150" i="27"/>
  <c r="Z150" i="27"/>
  <c r="Y150" i="27"/>
  <c r="W150" i="27"/>
  <c r="V150" i="27"/>
  <c r="U150" i="27"/>
  <c r="S150" i="27"/>
  <c r="R150" i="27"/>
  <c r="Q150" i="27"/>
  <c r="O150" i="27"/>
  <c r="N150" i="27"/>
  <c r="M150" i="27"/>
  <c r="K150" i="27"/>
  <c r="J150" i="27"/>
  <c r="I150" i="27"/>
  <c r="G150" i="27"/>
  <c r="F150" i="27"/>
  <c r="AW149" i="27"/>
  <c r="AU149" i="27"/>
  <c r="AT149" i="27"/>
  <c r="AS149" i="27"/>
  <c r="AQ149" i="27"/>
  <c r="AP149" i="27"/>
  <c r="AO149" i="27"/>
  <c r="AM149" i="27"/>
  <c r="AL149" i="27"/>
  <c r="AK149" i="27"/>
  <c r="AI149" i="27"/>
  <c r="AH149" i="27"/>
  <c r="AG149" i="27"/>
  <c r="BD149" i="27" s="1"/>
  <c r="AE149" i="27"/>
  <c r="AD149" i="27"/>
  <c r="AC149" i="27"/>
  <c r="AA149" i="27"/>
  <c r="Z149" i="27"/>
  <c r="Y149" i="27"/>
  <c r="W149" i="27"/>
  <c r="V149" i="27"/>
  <c r="U149" i="27"/>
  <c r="S149" i="27"/>
  <c r="R149" i="27"/>
  <c r="Q149" i="27"/>
  <c r="O149" i="27"/>
  <c r="N149" i="27"/>
  <c r="M149" i="27"/>
  <c r="K149" i="27"/>
  <c r="J149" i="27"/>
  <c r="I149" i="27"/>
  <c r="G149" i="27"/>
  <c r="F149" i="27"/>
  <c r="AW148" i="27"/>
  <c r="AU148" i="27"/>
  <c r="AT148" i="27"/>
  <c r="AS148" i="27"/>
  <c r="AQ148" i="27"/>
  <c r="AP148" i="27"/>
  <c r="AO148" i="27"/>
  <c r="AM148" i="27"/>
  <c r="AL148" i="27"/>
  <c r="AK148" i="27"/>
  <c r="AI148" i="27"/>
  <c r="AH148" i="27"/>
  <c r="AG148" i="27"/>
  <c r="BD148" i="27" s="1"/>
  <c r="AE148" i="27"/>
  <c r="AD148" i="27"/>
  <c r="AC148" i="27"/>
  <c r="AA148" i="27"/>
  <c r="Z148" i="27"/>
  <c r="Y148" i="27"/>
  <c r="W148" i="27"/>
  <c r="V148" i="27"/>
  <c r="U148" i="27"/>
  <c r="S148" i="27"/>
  <c r="R148" i="27"/>
  <c r="Q148" i="27"/>
  <c r="O148" i="27"/>
  <c r="N148" i="27"/>
  <c r="M148" i="27"/>
  <c r="K148" i="27"/>
  <c r="J148" i="27"/>
  <c r="I148" i="27"/>
  <c r="G148" i="27"/>
  <c r="F148" i="27"/>
  <c r="AW147" i="27"/>
  <c r="AU147" i="27"/>
  <c r="AT147" i="27"/>
  <c r="AS147" i="27"/>
  <c r="AQ147" i="27"/>
  <c r="AP147" i="27"/>
  <c r="AO147" i="27"/>
  <c r="AM147" i="27"/>
  <c r="AL147" i="27"/>
  <c r="AK147" i="27"/>
  <c r="AI147" i="27"/>
  <c r="AH147" i="27"/>
  <c r="AG147" i="27"/>
  <c r="BD147" i="27" s="1"/>
  <c r="AE147" i="27"/>
  <c r="AD147" i="27"/>
  <c r="AC147" i="27"/>
  <c r="AA147" i="27"/>
  <c r="Z147" i="27"/>
  <c r="Y147" i="27"/>
  <c r="W147" i="27"/>
  <c r="V147" i="27"/>
  <c r="U147" i="27"/>
  <c r="S147" i="27"/>
  <c r="R147" i="27"/>
  <c r="Q147" i="27"/>
  <c r="O147" i="27"/>
  <c r="N147" i="27"/>
  <c r="M147" i="27"/>
  <c r="K147" i="27"/>
  <c r="J147" i="27"/>
  <c r="I147" i="27"/>
  <c r="G147" i="27"/>
  <c r="F147" i="27"/>
  <c r="AW146" i="27"/>
  <c r="AU146" i="27"/>
  <c r="AT146" i="27"/>
  <c r="AS146" i="27"/>
  <c r="AQ146" i="27"/>
  <c r="AP146" i="27"/>
  <c r="AO146" i="27"/>
  <c r="AM146" i="27"/>
  <c r="AL146" i="27"/>
  <c r="AK146" i="27"/>
  <c r="AI146" i="27"/>
  <c r="AH146" i="27"/>
  <c r="AG146" i="27"/>
  <c r="BD146" i="27" s="1"/>
  <c r="AE146" i="27"/>
  <c r="AD146" i="27"/>
  <c r="AC146" i="27"/>
  <c r="AA146" i="27"/>
  <c r="Z146" i="27"/>
  <c r="Y146" i="27"/>
  <c r="W146" i="27"/>
  <c r="V146" i="27"/>
  <c r="U146" i="27"/>
  <c r="S146" i="27"/>
  <c r="R146" i="27"/>
  <c r="Q146" i="27"/>
  <c r="O146" i="27"/>
  <c r="N146" i="27"/>
  <c r="M146" i="27"/>
  <c r="K146" i="27"/>
  <c r="J146" i="27"/>
  <c r="I146" i="27"/>
  <c r="G146" i="27"/>
  <c r="F146" i="27"/>
  <c r="E146" i="27"/>
  <c r="C146" i="27"/>
  <c r="B146" i="27"/>
  <c r="AW141" i="27"/>
  <c r="AU141" i="27"/>
  <c r="AT141" i="27"/>
  <c r="AS141" i="27"/>
  <c r="AQ141" i="27"/>
  <c r="AP141" i="27"/>
  <c r="AO141" i="27"/>
  <c r="AM141" i="27"/>
  <c r="AL141" i="27"/>
  <c r="AK141" i="27"/>
  <c r="AI141" i="27"/>
  <c r="AH141" i="27"/>
  <c r="AG141" i="27"/>
  <c r="BD141" i="27" s="1"/>
  <c r="AE141" i="27"/>
  <c r="AC141" i="27"/>
  <c r="AA141" i="27"/>
  <c r="Z141" i="27"/>
  <c r="Y141" i="27"/>
  <c r="W141" i="27"/>
  <c r="V141" i="27"/>
  <c r="U141" i="27"/>
  <c r="S141" i="27"/>
  <c r="R141" i="27"/>
  <c r="Q141" i="27"/>
  <c r="O141" i="27"/>
  <c r="N141" i="27"/>
  <c r="M141" i="27"/>
  <c r="K141" i="27"/>
  <c r="J141" i="27"/>
  <c r="I141" i="27"/>
  <c r="G141" i="27"/>
  <c r="F141" i="27"/>
  <c r="E141" i="27"/>
  <c r="D141" i="27"/>
  <c r="C141" i="27"/>
  <c r="B141" i="27"/>
  <c r="BA140" i="27"/>
  <c r="M112" i="195" s="1"/>
  <c r="AY140" i="27"/>
  <c r="AX140" i="27"/>
  <c r="AV140" i="27"/>
  <c r="AR140" i="27"/>
  <c r="AN140" i="27"/>
  <c r="AJ140" i="27"/>
  <c r="AF140" i="27"/>
  <c r="BC140" i="27" s="1"/>
  <c r="X140" i="27"/>
  <c r="T140" i="27"/>
  <c r="P140" i="27"/>
  <c r="L140" i="27"/>
  <c r="H140" i="27"/>
  <c r="BA139" i="27"/>
  <c r="M111" i="195" s="1"/>
  <c r="AY139" i="27"/>
  <c r="AX139" i="27"/>
  <c r="AR139" i="27"/>
  <c r="AN139" i="27"/>
  <c r="AJ139" i="27"/>
  <c r="AF139" i="27"/>
  <c r="BC139" i="27" s="1"/>
  <c r="X139" i="27"/>
  <c r="T139" i="27"/>
  <c r="P139" i="27"/>
  <c r="L139" i="27"/>
  <c r="H139" i="27"/>
  <c r="BA138" i="27"/>
  <c r="M110" i="195" s="1"/>
  <c r="AY138" i="27"/>
  <c r="AX138" i="27"/>
  <c r="AV138" i="27"/>
  <c r="AR138" i="27"/>
  <c r="AN138" i="27"/>
  <c r="AJ138" i="27"/>
  <c r="AF138" i="27"/>
  <c r="BC138" i="27" s="1"/>
  <c r="X138" i="27"/>
  <c r="T138" i="27"/>
  <c r="P138" i="27"/>
  <c r="L138" i="27"/>
  <c r="H138" i="27"/>
  <c r="BA137" i="27"/>
  <c r="M109" i="195" s="1"/>
  <c r="AY137" i="27"/>
  <c r="AX137" i="27"/>
  <c r="AV137" i="27"/>
  <c r="AR137" i="27"/>
  <c r="AN137" i="27"/>
  <c r="AJ137" i="27"/>
  <c r="AF137" i="27"/>
  <c r="BC137" i="27" s="1"/>
  <c r="X137" i="27"/>
  <c r="T137" i="27"/>
  <c r="P137" i="27"/>
  <c r="L137" i="27"/>
  <c r="H137" i="27"/>
  <c r="BA136" i="27"/>
  <c r="M108" i="195" s="1"/>
  <c r="AY136" i="27"/>
  <c r="AX136" i="27"/>
  <c r="AV136" i="27"/>
  <c r="AR136" i="27"/>
  <c r="AN136" i="27"/>
  <c r="AJ136" i="27"/>
  <c r="AF136" i="27"/>
  <c r="BC136" i="27" s="1"/>
  <c r="X136" i="27"/>
  <c r="T136" i="27"/>
  <c r="P136" i="27"/>
  <c r="L136" i="27"/>
  <c r="H136" i="27"/>
  <c r="BA135" i="27"/>
  <c r="M107" i="195" s="1"/>
  <c r="AY135" i="27"/>
  <c r="AX135" i="27"/>
  <c r="AV135" i="27"/>
  <c r="AR135" i="27"/>
  <c r="AN135" i="27"/>
  <c r="AJ135" i="27"/>
  <c r="AF135" i="27"/>
  <c r="BC135" i="27" s="1"/>
  <c r="X135" i="27"/>
  <c r="T135" i="27"/>
  <c r="P135" i="27"/>
  <c r="L135" i="27"/>
  <c r="H135" i="27"/>
  <c r="BA134" i="27"/>
  <c r="M106" i="195" s="1"/>
  <c r="AY134" i="27"/>
  <c r="AX134" i="27"/>
  <c r="AV134" i="27"/>
  <c r="AR134" i="27"/>
  <c r="AN134" i="27"/>
  <c r="AJ134" i="27"/>
  <c r="AF134" i="27"/>
  <c r="BC134" i="27" s="1"/>
  <c r="X134" i="27"/>
  <c r="T134" i="27"/>
  <c r="P134" i="27"/>
  <c r="L134" i="27"/>
  <c r="H134" i="27"/>
  <c r="BA133" i="27"/>
  <c r="M105" i="195" s="1"/>
  <c r="AY133" i="27"/>
  <c r="AX133" i="27"/>
  <c r="AV133" i="27"/>
  <c r="AR133" i="27"/>
  <c r="AN133" i="27"/>
  <c r="AJ133" i="27"/>
  <c r="AF133" i="27"/>
  <c r="BC133" i="27" s="1"/>
  <c r="X133" i="27"/>
  <c r="T133" i="27"/>
  <c r="P133" i="27"/>
  <c r="L133" i="27"/>
  <c r="H133" i="27"/>
  <c r="BA132" i="27"/>
  <c r="M104" i="195" s="1"/>
  <c r="AY132" i="27"/>
  <c r="AX132" i="27"/>
  <c r="AV132" i="27"/>
  <c r="AR132" i="27"/>
  <c r="AN132" i="27"/>
  <c r="AJ132" i="27"/>
  <c r="AF132" i="27"/>
  <c r="BC132" i="27" s="1"/>
  <c r="X132" i="27"/>
  <c r="T132" i="27"/>
  <c r="P132" i="27"/>
  <c r="L132" i="27"/>
  <c r="H132" i="27"/>
  <c r="BA131" i="27"/>
  <c r="M103" i="195" s="1"/>
  <c r="AY131" i="27"/>
  <c r="AX131" i="27"/>
  <c r="AV131" i="27"/>
  <c r="AR131" i="27"/>
  <c r="AN131" i="27"/>
  <c r="AJ131" i="27"/>
  <c r="AF131" i="27"/>
  <c r="BC131" i="27" s="1"/>
  <c r="X131" i="27"/>
  <c r="T131" i="27"/>
  <c r="P131" i="27"/>
  <c r="L131" i="27"/>
  <c r="H131" i="27"/>
  <c r="U128" i="27"/>
  <c r="AW109" i="27"/>
  <c r="AU109" i="27"/>
  <c r="AU171" i="27" s="1"/>
  <c r="AT109" i="27"/>
  <c r="AS109" i="27"/>
  <c r="AQ109" i="27"/>
  <c r="AQ171" i="27" s="1"/>
  <c r="AP109" i="27"/>
  <c r="AW108" i="27"/>
  <c r="AU108" i="27"/>
  <c r="AT108" i="27"/>
  <c r="AT170" i="27" s="1"/>
  <c r="AS108" i="27"/>
  <c r="AQ108" i="27"/>
  <c r="AQ170" i="27" s="1"/>
  <c r="AP108" i="27"/>
  <c r="AP170" i="27" s="1"/>
  <c r="W108" i="27"/>
  <c r="W170" i="27" s="1"/>
  <c r="AW107" i="27"/>
  <c r="AU107" i="27"/>
  <c r="AU169" i="27" s="1"/>
  <c r="AT107" i="27"/>
  <c r="AT169" i="27" s="1"/>
  <c r="AS107" i="27"/>
  <c r="AQ107" i="27"/>
  <c r="AQ169" i="27" s="1"/>
  <c r="AP107" i="27"/>
  <c r="AW106" i="27"/>
  <c r="AU106" i="27"/>
  <c r="AU168" i="27" s="1"/>
  <c r="AT106" i="27"/>
  <c r="AS106" i="27"/>
  <c r="AQ106" i="27"/>
  <c r="AQ168" i="27" s="1"/>
  <c r="AP106" i="27"/>
  <c r="AP168" i="27" s="1"/>
  <c r="AW105" i="27"/>
  <c r="AU105" i="27"/>
  <c r="AU167" i="27" s="1"/>
  <c r="AT105" i="27"/>
  <c r="AS105" i="27"/>
  <c r="AQ105" i="27"/>
  <c r="AQ167" i="27" s="1"/>
  <c r="AP105" i="27"/>
  <c r="AA105" i="27"/>
  <c r="AA167" i="27" s="1"/>
  <c r="AW104" i="27"/>
  <c r="AU104" i="27"/>
  <c r="AT104" i="27"/>
  <c r="AT166" i="27" s="1"/>
  <c r="AS104" i="27"/>
  <c r="AQ104" i="27"/>
  <c r="AQ166" i="27" s="1"/>
  <c r="AP104" i="27"/>
  <c r="AP166" i="27" s="1"/>
  <c r="AW103" i="27"/>
  <c r="AU103" i="27"/>
  <c r="AU165" i="27" s="1"/>
  <c r="AT103" i="27"/>
  <c r="AT165" i="27" s="1"/>
  <c r="AS103" i="27"/>
  <c r="AQ103" i="27"/>
  <c r="AQ165" i="27" s="1"/>
  <c r="AP103" i="27"/>
  <c r="AW102" i="27"/>
  <c r="AU102" i="27"/>
  <c r="AU164" i="27" s="1"/>
  <c r="AT102" i="27"/>
  <c r="AS102" i="27"/>
  <c r="AQ102" i="27"/>
  <c r="AQ164" i="27" s="1"/>
  <c r="AP102" i="27"/>
  <c r="AP164" i="27" s="1"/>
  <c r="AD102" i="27"/>
  <c r="AD164" i="27" s="1"/>
  <c r="AW101" i="27"/>
  <c r="AU101" i="27"/>
  <c r="AU163" i="27" s="1"/>
  <c r="AT101" i="27"/>
  <c r="AS101" i="27"/>
  <c r="AQ101" i="27"/>
  <c r="AQ163" i="27" s="1"/>
  <c r="AP101" i="27"/>
  <c r="AW100" i="27"/>
  <c r="AU100" i="27"/>
  <c r="AT100" i="27"/>
  <c r="AT162" i="27" s="1"/>
  <c r="AS100" i="27"/>
  <c r="AQ100" i="27"/>
  <c r="AQ162" i="27" s="1"/>
  <c r="AP100" i="27"/>
  <c r="AP162" i="27" s="1"/>
  <c r="AR96" i="27"/>
  <c r="AW93" i="27"/>
  <c r="AU93" i="27"/>
  <c r="AT93" i="27"/>
  <c r="AS93" i="27"/>
  <c r="AQ93" i="27"/>
  <c r="AP93" i="27"/>
  <c r="AM93" i="27"/>
  <c r="AL93" i="27"/>
  <c r="AI93" i="27"/>
  <c r="AH93" i="27"/>
  <c r="AE93" i="27"/>
  <c r="AD93" i="27"/>
  <c r="AA93" i="27"/>
  <c r="Z93" i="27"/>
  <c r="W93" i="27"/>
  <c r="V93" i="27"/>
  <c r="S93" i="27"/>
  <c r="R93" i="27"/>
  <c r="O93" i="27"/>
  <c r="N93" i="27"/>
  <c r="K93" i="27"/>
  <c r="J93" i="27"/>
  <c r="G93" i="27"/>
  <c r="F93" i="27"/>
  <c r="C93" i="27"/>
  <c r="B93" i="27"/>
  <c r="AW92" i="27"/>
  <c r="AU92" i="27"/>
  <c r="AT92" i="27"/>
  <c r="AS92" i="27"/>
  <c r="AQ92" i="27"/>
  <c r="AP92" i="27"/>
  <c r="AM92" i="27"/>
  <c r="AL92" i="27"/>
  <c r="AI92" i="27"/>
  <c r="AH92" i="27"/>
  <c r="AE92" i="27"/>
  <c r="AD92" i="27"/>
  <c r="AA92" i="27"/>
  <c r="Z92" i="27"/>
  <c r="W92" i="27"/>
  <c r="V92" i="27"/>
  <c r="S92" i="27"/>
  <c r="R92" i="27"/>
  <c r="O92" i="27"/>
  <c r="N92" i="27"/>
  <c r="K92" i="27"/>
  <c r="J92" i="27"/>
  <c r="G92" i="27"/>
  <c r="F92" i="27"/>
  <c r="C92" i="27"/>
  <c r="B92" i="27"/>
  <c r="AW91" i="27"/>
  <c r="AU91" i="27"/>
  <c r="AT91" i="27"/>
  <c r="AS91" i="27"/>
  <c r="AQ91" i="27"/>
  <c r="AP91" i="27"/>
  <c r="AM91" i="27"/>
  <c r="AL91" i="27"/>
  <c r="AI91" i="27"/>
  <c r="AH91" i="27"/>
  <c r="AE91" i="27"/>
  <c r="AD91" i="27"/>
  <c r="AA91" i="27"/>
  <c r="Z91" i="27"/>
  <c r="W91" i="27"/>
  <c r="V91" i="27"/>
  <c r="S91" i="27"/>
  <c r="R91" i="27"/>
  <c r="O91" i="27"/>
  <c r="N91" i="27"/>
  <c r="K91" i="27"/>
  <c r="J91" i="27"/>
  <c r="G91" i="27"/>
  <c r="F91" i="27"/>
  <c r="C91" i="27"/>
  <c r="B91" i="27"/>
  <c r="AW90" i="27"/>
  <c r="AU90" i="27"/>
  <c r="AT90" i="27"/>
  <c r="AS90" i="27"/>
  <c r="AQ90" i="27"/>
  <c r="AP90" i="27"/>
  <c r="AM90" i="27"/>
  <c r="AL90" i="27"/>
  <c r="AI90" i="27"/>
  <c r="AH90" i="27"/>
  <c r="AE90" i="27"/>
  <c r="AD90" i="27"/>
  <c r="AA90" i="27"/>
  <c r="Z90" i="27"/>
  <c r="W90" i="27"/>
  <c r="V90" i="27"/>
  <c r="S90" i="27"/>
  <c r="R90" i="27"/>
  <c r="O90" i="27"/>
  <c r="N90" i="27"/>
  <c r="K90" i="27"/>
  <c r="J90" i="27"/>
  <c r="G90" i="27"/>
  <c r="F90" i="27"/>
  <c r="C90" i="27"/>
  <c r="B90" i="27"/>
  <c r="AW89" i="27"/>
  <c r="AU89" i="27"/>
  <c r="AT89" i="27"/>
  <c r="AS89" i="27"/>
  <c r="AQ89" i="27"/>
  <c r="AP89" i="27"/>
  <c r="AM89" i="27"/>
  <c r="AL89" i="27"/>
  <c r="AI89" i="27"/>
  <c r="AH89" i="27"/>
  <c r="AE89" i="27"/>
  <c r="AD89" i="27"/>
  <c r="AA89" i="27"/>
  <c r="Z89" i="27"/>
  <c r="W89" i="27"/>
  <c r="V89" i="27"/>
  <c r="S89" i="27"/>
  <c r="R89" i="27"/>
  <c r="O89" i="27"/>
  <c r="N89" i="27"/>
  <c r="K89" i="27"/>
  <c r="J89" i="27"/>
  <c r="G89" i="27"/>
  <c r="F89" i="27"/>
  <c r="C89" i="27"/>
  <c r="B89" i="27"/>
  <c r="AW88" i="27"/>
  <c r="AU88" i="27"/>
  <c r="AT88" i="27"/>
  <c r="AS88" i="27"/>
  <c r="AQ88" i="27"/>
  <c r="AP88" i="27"/>
  <c r="AM88" i="27"/>
  <c r="AL88" i="27"/>
  <c r="AI88" i="27"/>
  <c r="AH88" i="27"/>
  <c r="AE88" i="27"/>
  <c r="AD88" i="27"/>
  <c r="AA88" i="27"/>
  <c r="Z88" i="27"/>
  <c r="W88" i="27"/>
  <c r="V88" i="27"/>
  <c r="S88" i="27"/>
  <c r="R88" i="27"/>
  <c r="O88" i="27"/>
  <c r="N88" i="27"/>
  <c r="K88" i="27"/>
  <c r="J88" i="27"/>
  <c r="G88" i="27"/>
  <c r="F88" i="27"/>
  <c r="C88" i="27"/>
  <c r="B88" i="27"/>
  <c r="AW87" i="27"/>
  <c r="AU87" i="27"/>
  <c r="AT87" i="27"/>
  <c r="AS87" i="27"/>
  <c r="AQ87" i="27"/>
  <c r="AP87" i="27"/>
  <c r="AM87" i="27"/>
  <c r="AL87" i="27"/>
  <c r="AI87" i="27"/>
  <c r="AH87" i="27"/>
  <c r="AE87" i="27"/>
  <c r="AD87" i="27"/>
  <c r="AA87" i="27"/>
  <c r="Z87" i="27"/>
  <c r="W87" i="27"/>
  <c r="V87" i="27"/>
  <c r="S87" i="27"/>
  <c r="R87" i="27"/>
  <c r="O87" i="27"/>
  <c r="N87" i="27"/>
  <c r="C87" i="27"/>
  <c r="B87" i="27"/>
  <c r="AW86" i="27"/>
  <c r="AU86" i="27"/>
  <c r="AT86" i="27"/>
  <c r="AS86" i="27"/>
  <c r="AQ86" i="27"/>
  <c r="AP86" i="27"/>
  <c r="AM86" i="27"/>
  <c r="AL86" i="27"/>
  <c r="AI86" i="27"/>
  <c r="AH86" i="27"/>
  <c r="AE86" i="27"/>
  <c r="AD86" i="27"/>
  <c r="AA86" i="27"/>
  <c r="Z86" i="27"/>
  <c r="W86" i="27"/>
  <c r="V86" i="27"/>
  <c r="S86" i="27"/>
  <c r="R86" i="27"/>
  <c r="O86" i="27"/>
  <c r="N86" i="27"/>
  <c r="C86" i="27"/>
  <c r="B86" i="27"/>
  <c r="B85" i="42" s="1"/>
  <c r="AW85" i="27"/>
  <c r="AU85" i="27"/>
  <c r="AT85" i="27"/>
  <c r="AS85" i="27"/>
  <c r="AQ85" i="27"/>
  <c r="AP85" i="27"/>
  <c r="AM85" i="27"/>
  <c r="AL85" i="27"/>
  <c r="AI85" i="27"/>
  <c r="AH85" i="27"/>
  <c r="AE85" i="27"/>
  <c r="AD85" i="27"/>
  <c r="AA85" i="27"/>
  <c r="Z85" i="27"/>
  <c r="W85" i="27"/>
  <c r="V85" i="27"/>
  <c r="S85" i="27"/>
  <c r="R85" i="27"/>
  <c r="O85" i="27"/>
  <c r="N85" i="27"/>
  <c r="G85" i="27"/>
  <c r="F85" i="27"/>
  <c r="C85" i="27"/>
  <c r="B85" i="27"/>
  <c r="AW84" i="27"/>
  <c r="AU84" i="27"/>
  <c r="AT84" i="27"/>
  <c r="AS84" i="27"/>
  <c r="AQ84" i="27"/>
  <c r="AP84" i="27"/>
  <c r="AO84" i="27"/>
  <c r="AM84" i="27"/>
  <c r="AL84" i="27"/>
  <c r="AK84" i="27"/>
  <c r="AK94" i="27" s="1"/>
  <c r="AI84" i="27"/>
  <c r="AH84" i="27"/>
  <c r="AG84" i="27"/>
  <c r="BD84" i="27" s="1"/>
  <c r="AE84" i="27"/>
  <c r="AD84" i="27"/>
  <c r="AC84" i="27"/>
  <c r="AA84" i="27"/>
  <c r="Z84" i="27"/>
  <c r="Y84" i="27"/>
  <c r="W84" i="27"/>
  <c r="V84" i="27"/>
  <c r="U84" i="27"/>
  <c r="S84" i="27"/>
  <c r="R84" i="27"/>
  <c r="Q84" i="27"/>
  <c r="O84" i="27"/>
  <c r="N84" i="27"/>
  <c r="M84" i="27"/>
  <c r="K84" i="27"/>
  <c r="J84" i="27"/>
  <c r="I84" i="27"/>
  <c r="G84" i="27"/>
  <c r="F84" i="27"/>
  <c r="E84" i="27"/>
  <c r="C84" i="27"/>
  <c r="B84" i="27"/>
  <c r="AW79" i="27"/>
  <c r="AU79" i="27"/>
  <c r="AT79" i="27"/>
  <c r="AS79" i="27"/>
  <c r="AQ79" i="27"/>
  <c r="AP79" i="27"/>
  <c r="AO79" i="27"/>
  <c r="AM79" i="27"/>
  <c r="AL79" i="27"/>
  <c r="AK79" i="27"/>
  <c r="AI79" i="27"/>
  <c r="AH79" i="27"/>
  <c r="AG79" i="27"/>
  <c r="BD79" i="27" s="1"/>
  <c r="AE79" i="27"/>
  <c r="AD79" i="27"/>
  <c r="AC79" i="27"/>
  <c r="AA79" i="27"/>
  <c r="Z79" i="27"/>
  <c r="Y79" i="27"/>
  <c r="W79" i="27"/>
  <c r="V79" i="27"/>
  <c r="U79" i="27"/>
  <c r="S79" i="27"/>
  <c r="R79" i="27"/>
  <c r="Q79" i="27"/>
  <c r="O79" i="27"/>
  <c r="N79" i="27"/>
  <c r="M79" i="27"/>
  <c r="K79" i="27"/>
  <c r="J79" i="27"/>
  <c r="I79" i="27"/>
  <c r="G79" i="27"/>
  <c r="F79" i="27"/>
  <c r="E79" i="27"/>
  <c r="D79" i="27"/>
  <c r="C79" i="27"/>
  <c r="B79" i="27"/>
  <c r="BA78" i="27"/>
  <c r="M82" i="195" s="1"/>
  <c r="AY78" i="27"/>
  <c r="AX78" i="27"/>
  <c r="AV78" i="27"/>
  <c r="AR78" i="27"/>
  <c r="AN78" i="27"/>
  <c r="AJ78" i="27"/>
  <c r="AF78" i="27"/>
  <c r="BC78" i="27" s="1"/>
  <c r="X78" i="27"/>
  <c r="T78" i="27"/>
  <c r="P78" i="27"/>
  <c r="L78" i="27"/>
  <c r="H78" i="27"/>
  <c r="BA77" i="27"/>
  <c r="M81" i="195" s="1"/>
  <c r="AY77" i="27"/>
  <c r="AX77" i="27"/>
  <c r="AV77" i="27"/>
  <c r="AR77" i="27"/>
  <c r="AN77" i="27"/>
  <c r="AJ77" i="27"/>
  <c r="AF77" i="27"/>
  <c r="BC77" i="27" s="1"/>
  <c r="X77" i="27"/>
  <c r="T77" i="27"/>
  <c r="P77" i="27"/>
  <c r="L77" i="27"/>
  <c r="H77" i="27"/>
  <c r="BA76" i="27"/>
  <c r="M80" i="195" s="1"/>
  <c r="AY76" i="27"/>
  <c r="AX76" i="27"/>
  <c r="AV76" i="27"/>
  <c r="AR76" i="27"/>
  <c r="AN76" i="27"/>
  <c r="AJ76" i="27"/>
  <c r="AF76" i="27"/>
  <c r="BC76" i="27" s="1"/>
  <c r="X76" i="27"/>
  <c r="T76" i="27"/>
  <c r="P76" i="27"/>
  <c r="L76" i="27"/>
  <c r="H76" i="27"/>
  <c r="BA75" i="27"/>
  <c r="M79" i="195" s="1"/>
  <c r="AY75" i="27"/>
  <c r="AX75" i="27"/>
  <c r="AV75" i="27"/>
  <c r="AR75" i="27"/>
  <c r="AN75" i="27"/>
  <c r="AJ75" i="27"/>
  <c r="AF75" i="27"/>
  <c r="BC75" i="27" s="1"/>
  <c r="X75" i="27"/>
  <c r="T75" i="27"/>
  <c r="P75" i="27"/>
  <c r="L75" i="27"/>
  <c r="H75" i="27"/>
  <c r="BA74" i="27"/>
  <c r="M78" i="195" s="1"/>
  <c r="AY74" i="27"/>
  <c r="AX74" i="27"/>
  <c r="AV74" i="27"/>
  <c r="AR74" i="27"/>
  <c r="AN74" i="27"/>
  <c r="AJ74" i="27"/>
  <c r="AF74" i="27"/>
  <c r="BC74" i="27" s="1"/>
  <c r="X74" i="27"/>
  <c r="T74" i="27"/>
  <c r="P74" i="27"/>
  <c r="L74" i="27"/>
  <c r="H74" i="27"/>
  <c r="BA73" i="27"/>
  <c r="M77" i="195" s="1"/>
  <c r="AY73" i="27"/>
  <c r="AX73" i="27"/>
  <c r="AV73" i="27"/>
  <c r="AR73" i="27"/>
  <c r="AN73" i="27"/>
  <c r="AJ73" i="27"/>
  <c r="AF73" i="27"/>
  <c r="BC73" i="27" s="1"/>
  <c r="X73" i="27"/>
  <c r="T73" i="27"/>
  <c r="P73" i="27"/>
  <c r="L73" i="27"/>
  <c r="H73" i="27"/>
  <c r="BA72" i="27"/>
  <c r="M76" i="195" s="1"/>
  <c r="AY72" i="27"/>
  <c r="AX72" i="27"/>
  <c r="AV72" i="27"/>
  <c r="AR72" i="27"/>
  <c r="AN72" i="27"/>
  <c r="AJ72" i="27"/>
  <c r="AF72" i="27"/>
  <c r="BC72" i="27" s="1"/>
  <c r="X72" i="27"/>
  <c r="T72" i="27"/>
  <c r="P72" i="27"/>
  <c r="L72" i="27"/>
  <c r="H72" i="27"/>
  <c r="BA71" i="27"/>
  <c r="M75" i="195" s="1"/>
  <c r="AY71" i="27"/>
  <c r="AX71" i="27"/>
  <c r="AV71" i="27"/>
  <c r="AR71" i="27"/>
  <c r="AN71" i="27"/>
  <c r="AJ71" i="27"/>
  <c r="AF71" i="27"/>
  <c r="BC71" i="27" s="1"/>
  <c r="X71" i="27"/>
  <c r="T71" i="27"/>
  <c r="P71" i="27"/>
  <c r="L71" i="27"/>
  <c r="H71" i="27"/>
  <c r="BA70" i="27"/>
  <c r="M74" i="195" s="1"/>
  <c r="AY70" i="27"/>
  <c r="AX70" i="27"/>
  <c r="AV70" i="27"/>
  <c r="AR70" i="27"/>
  <c r="AN70" i="27"/>
  <c r="AJ70" i="27"/>
  <c r="AF70" i="27"/>
  <c r="BC70" i="27" s="1"/>
  <c r="X70" i="27"/>
  <c r="T70" i="27"/>
  <c r="P70" i="27"/>
  <c r="L70" i="27"/>
  <c r="H70" i="27"/>
  <c r="BA69" i="27"/>
  <c r="M73" i="195" s="1"/>
  <c r="AY69" i="27"/>
  <c r="AX69" i="27"/>
  <c r="AV69" i="27"/>
  <c r="AR69" i="27"/>
  <c r="AN69" i="27"/>
  <c r="AJ69" i="27"/>
  <c r="AF69" i="27"/>
  <c r="BC69" i="27" s="1"/>
  <c r="X69" i="27"/>
  <c r="T69" i="27"/>
  <c r="P69" i="27"/>
  <c r="L69" i="27"/>
  <c r="H69" i="27"/>
  <c r="U66" i="27"/>
  <c r="AR65" i="27"/>
  <c r="BA63" i="27"/>
  <c r="A49" i="27"/>
  <c r="A206" i="27" s="1"/>
  <c r="A238" i="27" s="1"/>
  <c r="A270" i="27" s="1"/>
  <c r="A302" i="27" s="1"/>
  <c r="AW47" i="27"/>
  <c r="AU47" i="27"/>
  <c r="AT47" i="27"/>
  <c r="AS47" i="27"/>
  <c r="AR47" i="27"/>
  <c r="AQ47" i="27"/>
  <c r="AP47" i="27"/>
  <c r="O46" i="42"/>
  <c r="AL109" i="27"/>
  <c r="AK109" i="27"/>
  <c r="AI109" i="27"/>
  <c r="AI171" i="27" s="1"/>
  <c r="AG109" i="27"/>
  <c r="BD109" i="27" s="1"/>
  <c r="AE109" i="27"/>
  <c r="AE171" i="27" s="1"/>
  <c r="AC109" i="27"/>
  <c r="AA109" i="27"/>
  <c r="AA171" i="27" s="1"/>
  <c r="Z109" i="27"/>
  <c r="Y109" i="27"/>
  <c r="W109" i="27"/>
  <c r="W171" i="27" s="1"/>
  <c r="U109" i="27"/>
  <c r="S109" i="27"/>
  <c r="S171" i="27" s="1"/>
  <c r="R109" i="27"/>
  <c r="Q109" i="27"/>
  <c r="Q171" i="27" s="1"/>
  <c r="M109" i="27"/>
  <c r="K109" i="27"/>
  <c r="K171" i="27" s="1"/>
  <c r="J109" i="27"/>
  <c r="I109" i="27"/>
  <c r="G109" i="27"/>
  <c r="G171" i="27" s="1"/>
  <c r="E46" i="27"/>
  <c r="C46" i="27"/>
  <c r="B46" i="27"/>
  <c r="B109" i="27" s="1"/>
  <c r="Q45" i="42"/>
  <c r="AM108" i="27"/>
  <c r="AM170" i="27" s="1"/>
  <c r="N45" i="42"/>
  <c r="AK108" i="27"/>
  <c r="AI108" i="27"/>
  <c r="AI170" i="27" s="1"/>
  <c r="AG108" i="27"/>
  <c r="BD108" i="27" s="1"/>
  <c r="AE108" i="27"/>
  <c r="AE170" i="27" s="1"/>
  <c r="AD108" i="27"/>
  <c r="AC108" i="27"/>
  <c r="AA108" i="27"/>
  <c r="AA170" i="27" s="1"/>
  <c r="Z108" i="27"/>
  <c r="Y108" i="27"/>
  <c r="V108" i="27"/>
  <c r="U108" i="27"/>
  <c r="S108" i="27"/>
  <c r="S170" i="27" s="1"/>
  <c r="R108" i="27"/>
  <c r="R170" i="27" s="1"/>
  <c r="Q108" i="27"/>
  <c r="Q170" i="27" s="1"/>
  <c r="M108" i="27"/>
  <c r="K108" i="27"/>
  <c r="K170" i="27" s="1"/>
  <c r="J108" i="27"/>
  <c r="J170" i="27" s="1"/>
  <c r="I108" i="27"/>
  <c r="G108" i="27"/>
  <c r="G170" i="27" s="1"/>
  <c r="F108" i="27"/>
  <c r="E45" i="27"/>
  <c r="C45" i="27"/>
  <c r="B45" i="27"/>
  <c r="AO107" i="27"/>
  <c r="AM107" i="27"/>
  <c r="AM169" i="27" s="1"/>
  <c r="AL107" i="27"/>
  <c r="AK107" i="27"/>
  <c r="AI107" i="27"/>
  <c r="AI169" i="27" s="1"/>
  <c r="AH107" i="27"/>
  <c r="AG107" i="27"/>
  <c r="BD107" i="27" s="1"/>
  <c r="AE107" i="27"/>
  <c r="AE169" i="27" s="1"/>
  <c r="AC107" i="27"/>
  <c r="Y107" i="27"/>
  <c r="W107" i="27"/>
  <c r="W169" i="27" s="1"/>
  <c r="V107" i="27"/>
  <c r="U107" i="27"/>
  <c r="S107" i="27"/>
  <c r="S169" i="27" s="1"/>
  <c r="R107" i="27"/>
  <c r="N107" i="27"/>
  <c r="M107" i="27"/>
  <c r="K107" i="27"/>
  <c r="K169" i="27" s="1"/>
  <c r="J107" i="27"/>
  <c r="I107" i="27"/>
  <c r="G107" i="27"/>
  <c r="G169" i="27" s="1"/>
  <c r="F107" i="27"/>
  <c r="F169" i="27" s="1"/>
  <c r="E44" i="27"/>
  <c r="C44" i="27"/>
  <c r="B44" i="27"/>
  <c r="B107" i="27" s="1"/>
  <c r="Q43" i="42"/>
  <c r="O43" i="42"/>
  <c r="N43" i="42"/>
  <c r="AK106" i="27"/>
  <c r="AI106" i="27"/>
  <c r="AI168" i="27" s="1"/>
  <c r="AH106" i="27"/>
  <c r="AG106" i="27"/>
  <c r="BD106" i="27" s="1"/>
  <c r="AE106" i="27"/>
  <c r="AE168" i="27" s="1"/>
  <c r="AD106" i="27"/>
  <c r="AC106" i="27"/>
  <c r="AA106" i="27"/>
  <c r="AA168" i="27" s="1"/>
  <c r="Y106" i="27"/>
  <c r="W106" i="27"/>
  <c r="W168" i="27" s="1"/>
  <c r="V106" i="27"/>
  <c r="U106" i="27"/>
  <c r="S106" i="27"/>
  <c r="S168" i="27" s="1"/>
  <c r="R106" i="27"/>
  <c r="M106" i="27"/>
  <c r="K106" i="27"/>
  <c r="K168" i="27" s="1"/>
  <c r="J106" i="27"/>
  <c r="I106" i="27"/>
  <c r="G106" i="27"/>
  <c r="G168" i="27" s="1"/>
  <c r="F106" i="27"/>
  <c r="E43" i="27"/>
  <c r="C43" i="27"/>
  <c r="C106" i="27" s="1"/>
  <c r="C168" i="27" s="1"/>
  <c r="B43" i="27"/>
  <c r="AO105" i="27"/>
  <c r="O42" i="42"/>
  <c r="N42" i="42"/>
  <c r="AK105" i="27"/>
  <c r="AI105" i="27"/>
  <c r="AI167" i="27" s="1"/>
  <c r="AH105" i="27"/>
  <c r="AG105" i="27"/>
  <c r="BD105" i="27" s="1"/>
  <c r="AE105" i="27"/>
  <c r="AE167" i="27" s="1"/>
  <c r="AD105" i="27"/>
  <c r="AC105" i="27"/>
  <c r="Z105" i="27"/>
  <c r="Y105" i="27"/>
  <c r="V105" i="27"/>
  <c r="U105" i="27"/>
  <c r="S105" i="27"/>
  <c r="S167" i="27" s="1"/>
  <c r="R105" i="27"/>
  <c r="Q105" i="27"/>
  <c r="Q167" i="27" s="1"/>
  <c r="M105" i="27"/>
  <c r="J105" i="27"/>
  <c r="J167" i="27" s="1"/>
  <c r="I105" i="27"/>
  <c r="F105" i="27"/>
  <c r="E42" i="27"/>
  <c r="C42" i="27"/>
  <c r="B42" i="27"/>
  <c r="B105" i="27" s="1"/>
  <c r="AO104" i="27"/>
  <c r="AM104" i="27"/>
  <c r="AM166" i="27" s="1"/>
  <c r="N41" i="42"/>
  <c r="AK104" i="27"/>
  <c r="AI104" i="27"/>
  <c r="AI166" i="27" s="1"/>
  <c r="AH104" i="27"/>
  <c r="AG104" i="27"/>
  <c r="BD104" i="27" s="1"/>
  <c r="AE104" i="27"/>
  <c r="AE166" i="27" s="1"/>
  <c r="AD104" i="27"/>
  <c r="Z104" i="27"/>
  <c r="Y104" i="27"/>
  <c r="W104" i="27"/>
  <c r="W166" i="27" s="1"/>
  <c r="V104" i="27"/>
  <c r="U104" i="27"/>
  <c r="S104" i="27"/>
  <c r="S166" i="27" s="1"/>
  <c r="R104" i="27"/>
  <c r="Q104" i="27"/>
  <c r="Q166" i="27" s="1"/>
  <c r="O104" i="27"/>
  <c r="O166" i="27" s="1"/>
  <c r="M104" i="27"/>
  <c r="K104" i="27"/>
  <c r="K166" i="27" s="1"/>
  <c r="J104" i="27"/>
  <c r="I104" i="27"/>
  <c r="G104" i="27"/>
  <c r="G166" i="27" s="1"/>
  <c r="E41" i="27"/>
  <c r="C41" i="27"/>
  <c r="B41" i="27"/>
  <c r="Q40" i="42"/>
  <c r="Q102" i="42" s="1"/>
  <c r="Q164" i="42" s="1"/>
  <c r="O40" i="42"/>
  <c r="AK103" i="27"/>
  <c r="AI103" i="27"/>
  <c r="AI165" i="27" s="1"/>
  <c r="AG103" i="27"/>
  <c r="BD103" i="27" s="1"/>
  <c r="AE103" i="27"/>
  <c r="AE165" i="27" s="1"/>
  <c r="K40" i="42"/>
  <c r="Y103" i="27"/>
  <c r="W103" i="27"/>
  <c r="W165" i="27" s="1"/>
  <c r="U103" i="27"/>
  <c r="S103" i="27"/>
  <c r="S165" i="27" s="1"/>
  <c r="R103" i="27"/>
  <c r="N103" i="27"/>
  <c r="M103" i="27"/>
  <c r="K103" i="27"/>
  <c r="K165" i="27" s="1"/>
  <c r="I103" i="27"/>
  <c r="G103" i="27"/>
  <c r="G165" i="27" s="1"/>
  <c r="E40" i="27"/>
  <c r="C40" i="27"/>
  <c r="C103" i="27" s="1"/>
  <c r="C165" i="27" s="1"/>
  <c r="B40" i="27"/>
  <c r="B103" i="27" s="1"/>
  <c r="Q39" i="42"/>
  <c r="Q101" i="42" s="1"/>
  <c r="AM102" i="27"/>
  <c r="AM164" i="27" s="1"/>
  <c r="AL102" i="27"/>
  <c r="AK102" i="27"/>
  <c r="AI102" i="27"/>
  <c r="AI164" i="27" s="1"/>
  <c r="AG102" i="27"/>
  <c r="BD102" i="27" s="1"/>
  <c r="AE102" i="27"/>
  <c r="AE164" i="27" s="1"/>
  <c r="AA102" i="27"/>
  <c r="AA164" i="27" s="1"/>
  <c r="Y102" i="27"/>
  <c r="W102" i="27"/>
  <c r="W164" i="27" s="1"/>
  <c r="V102" i="27"/>
  <c r="U102" i="27"/>
  <c r="S102" i="27"/>
  <c r="S164" i="27" s="1"/>
  <c r="R102" i="27"/>
  <c r="N102" i="27"/>
  <c r="M102" i="27"/>
  <c r="K102" i="27"/>
  <c r="K164" i="27" s="1"/>
  <c r="I102" i="27"/>
  <c r="G102" i="27"/>
  <c r="G164" i="27" s="1"/>
  <c r="E39" i="27"/>
  <c r="C39" i="27"/>
  <c r="C102" i="27" s="1"/>
  <c r="C164" i="27" s="1"/>
  <c r="B39" i="27"/>
  <c r="Q38" i="42"/>
  <c r="O38" i="42"/>
  <c r="N38" i="42"/>
  <c r="AI101" i="27"/>
  <c r="AI163" i="27" s="1"/>
  <c r="AG101" i="27"/>
  <c r="BD101" i="27" s="1"/>
  <c r="AD101" i="27"/>
  <c r="AD163" i="27" s="1"/>
  <c r="AC101" i="27"/>
  <c r="AA101" i="27"/>
  <c r="AA163" i="27" s="1"/>
  <c r="Z101" i="27"/>
  <c r="Y101" i="27"/>
  <c r="W101" i="27"/>
  <c r="W163" i="27" s="1"/>
  <c r="V101" i="27"/>
  <c r="U101" i="27"/>
  <c r="S101" i="27"/>
  <c r="S163" i="27" s="1"/>
  <c r="R101" i="27"/>
  <c r="I38" i="42"/>
  <c r="O101" i="27"/>
  <c r="O163" i="27" s="1"/>
  <c r="N101" i="27"/>
  <c r="M101" i="27"/>
  <c r="K101" i="27"/>
  <c r="K163" i="27" s="1"/>
  <c r="I101" i="27"/>
  <c r="G101" i="27"/>
  <c r="G163" i="27" s="1"/>
  <c r="E38" i="27"/>
  <c r="C38" i="27"/>
  <c r="B38" i="27"/>
  <c r="B101" i="27" s="1"/>
  <c r="AV47" i="27"/>
  <c r="Q37" i="42"/>
  <c r="AM100" i="27"/>
  <c r="N37" i="42"/>
  <c r="AK100" i="27"/>
  <c r="AI100" i="27"/>
  <c r="AH100" i="27"/>
  <c r="AG100" i="27"/>
  <c r="BD100" i="27" s="1"/>
  <c r="AD100" i="27"/>
  <c r="AC100" i="27"/>
  <c r="Y100" i="27"/>
  <c r="V100" i="27"/>
  <c r="U100" i="27"/>
  <c r="S100" i="27"/>
  <c r="R100" i="27"/>
  <c r="G37" i="42"/>
  <c r="M100" i="27"/>
  <c r="K100" i="27"/>
  <c r="J100" i="27"/>
  <c r="E37" i="27"/>
  <c r="C37" i="27"/>
  <c r="C37" i="42" s="1"/>
  <c r="B37" i="27"/>
  <c r="A34" i="27"/>
  <c r="A191" i="27" s="1"/>
  <c r="A223" i="27" s="1"/>
  <c r="A255" i="27" s="1"/>
  <c r="A287" i="27" s="1"/>
  <c r="BG30" i="27"/>
  <c r="BF30" i="27"/>
  <c r="BE30" i="27"/>
  <c r="BD30" i="27"/>
  <c r="AW29" i="27"/>
  <c r="AU29" i="27"/>
  <c r="AT29" i="27"/>
  <c r="AS29" i="27"/>
  <c r="AQ29" i="27"/>
  <c r="AP29" i="27"/>
  <c r="AO29" i="27"/>
  <c r="AM29" i="27"/>
  <c r="AL29" i="27"/>
  <c r="AK29" i="27"/>
  <c r="AI29" i="27"/>
  <c r="AH29" i="27"/>
  <c r="AG29" i="27"/>
  <c r="AE29" i="27"/>
  <c r="AD29" i="27"/>
  <c r="AD61" i="27" s="1"/>
  <c r="AC29" i="27"/>
  <c r="AA29" i="27"/>
  <c r="AA61" i="27" s="1"/>
  <c r="Z29" i="27"/>
  <c r="Y29" i="27"/>
  <c r="W29" i="27"/>
  <c r="V29" i="27"/>
  <c r="U29" i="27"/>
  <c r="S29" i="27"/>
  <c r="R29" i="27"/>
  <c r="Q29" i="27"/>
  <c r="O29" i="27"/>
  <c r="N29" i="27"/>
  <c r="M29" i="27"/>
  <c r="K29" i="27"/>
  <c r="J29" i="27"/>
  <c r="I29" i="27"/>
  <c r="G29" i="27"/>
  <c r="F29" i="27"/>
  <c r="E29" i="27"/>
  <c r="C29" i="27"/>
  <c r="B29" i="27"/>
  <c r="AW28" i="27"/>
  <c r="AU28" i="27"/>
  <c r="AT28" i="27"/>
  <c r="AS28" i="27"/>
  <c r="AQ28" i="27"/>
  <c r="AP28" i="27"/>
  <c r="AO28" i="27"/>
  <c r="AM28" i="27"/>
  <c r="AL28" i="27"/>
  <c r="AK28" i="27"/>
  <c r="AI28" i="27"/>
  <c r="AH28" i="27"/>
  <c r="AG28" i="27"/>
  <c r="AE28" i="27"/>
  <c r="AD28" i="27"/>
  <c r="AD60" i="27" s="1"/>
  <c r="AC28" i="27"/>
  <c r="AA28" i="27"/>
  <c r="Z28" i="27"/>
  <c r="Y28" i="27"/>
  <c r="W28" i="27"/>
  <c r="V28" i="27"/>
  <c r="U28" i="27"/>
  <c r="S28" i="27"/>
  <c r="R28" i="27"/>
  <c r="Q28" i="27"/>
  <c r="O28" i="27"/>
  <c r="N28" i="27"/>
  <c r="M28" i="27"/>
  <c r="K28" i="27"/>
  <c r="J28" i="27"/>
  <c r="I28" i="27"/>
  <c r="G28" i="27"/>
  <c r="F28" i="27"/>
  <c r="E28" i="27"/>
  <c r="C28" i="27"/>
  <c r="B28" i="27"/>
  <c r="B60" i="27" s="1"/>
  <c r="AW27" i="27"/>
  <c r="AU27" i="27"/>
  <c r="AT27" i="27"/>
  <c r="AS27" i="27"/>
  <c r="AQ27" i="27"/>
  <c r="AP27" i="27"/>
  <c r="AO27" i="27"/>
  <c r="AM27" i="27"/>
  <c r="AL27" i="27"/>
  <c r="AK27" i="27"/>
  <c r="AI27" i="27"/>
  <c r="AH27" i="27"/>
  <c r="AG27" i="27"/>
  <c r="AE27" i="27"/>
  <c r="AD27" i="27"/>
  <c r="AD59" i="27" s="1"/>
  <c r="AC27" i="27"/>
  <c r="AA27" i="27"/>
  <c r="AA59" i="27" s="1"/>
  <c r="Z27" i="27"/>
  <c r="Y27" i="27"/>
  <c r="W27" i="27"/>
  <c r="V27" i="27"/>
  <c r="U27" i="27"/>
  <c r="S27" i="27"/>
  <c r="R27" i="27"/>
  <c r="Q27" i="27"/>
  <c r="O27" i="27"/>
  <c r="N27" i="27"/>
  <c r="M27" i="27"/>
  <c r="K27" i="27"/>
  <c r="J27" i="27"/>
  <c r="I27" i="27"/>
  <c r="G27" i="27"/>
  <c r="F27" i="27"/>
  <c r="E27" i="27"/>
  <c r="C27" i="27"/>
  <c r="B27" i="27"/>
  <c r="B59" i="27" s="1"/>
  <c r="AW26" i="27"/>
  <c r="AU26" i="27"/>
  <c r="AT26" i="27"/>
  <c r="AS26" i="27"/>
  <c r="AQ26" i="27"/>
  <c r="AP26" i="27"/>
  <c r="AO26" i="27"/>
  <c r="AM26" i="27"/>
  <c r="AL26" i="27"/>
  <c r="AK26" i="27"/>
  <c r="AI26" i="27"/>
  <c r="AH26" i="27"/>
  <c r="AG26" i="27"/>
  <c r="AE26" i="27"/>
  <c r="AD26" i="27"/>
  <c r="AD58" i="27" s="1"/>
  <c r="AC26" i="27"/>
  <c r="AA26" i="27"/>
  <c r="Z26" i="27"/>
  <c r="Y26" i="27"/>
  <c r="W26" i="27"/>
  <c r="V26" i="27"/>
  <c r="U26" i="27"/>
  <c r="S26" i="27"/>
  <c r="R26" i="27"/>
  <c r="Q26" i="27"/>
  <c r="O26" i="27"/>
  <c r="N26" i="27"/>
  <c r="M26" i="27"/>
  <c r="K26" i="27"/>
  <c r="J26" i="27"/>
  <c r="I26" i="27"/>
  <c r="G26" i="27"/>
  <c r="F26" i="27"/>
  <c r="E26" i="27"/>
  <c r="C26" i="27"/>
  <c r="C58" i="27" s="1"/>
  <c r="B26" i="27"/>
  <c r="B58" i="27" s="1"/>
  <c r="AW25" i="27"/>
  <c r="AU25" i="27"/>
  <c r="AT25" i="27"/>
  <c r="AS25" i="27"/>
  <c r="AQ25" i="27"/>
  <c r="AP25" i="27"/>
  <c r="AO25" i="27"/>
  <c r="AM25" i="27"/>
  <c r="AL25" i="27"/>
  <c r="AK25" i="27"/>
  <c r="AI25" i="27"/>
  <c r="AH25" i="27"/>
  <c r="AG25" i="27"/>
  <c r="AE25" i="27"/>
  <c r="AD25" i="27"/>
  <c r="AD57" i="27" s="1"/>
  <c r="AC25" i="27"/>
  <c r="AA25" i="27"/>
  <c r="AA57" i="27" s="1"/>
  <c r="Z25" i="27"/>
  <c r="Y25" i="27"/>
  <c r="W25" i="27"/>
  <c r="V25" i="27"/>
  <c r="U25" i="27"/>
  <c r="S25" i="27"/>
  <c r="R25" i="27"/>
  <c r="Q25" i="27"/>
  <c r="O25" i="27"/>
  <c r="N25" i="27"/>
  <c r="M25" i="27"/>
  <c r="K25" i="27"/>
  <c r="J25" i="27"/>
  <c r="I25" i="27"/>
  <c r="G25" i="27"/>
  <c r="F25" i="27"/>
  <c r="E25" i="27"/>
  <c r="C25" i="27"/>
  <c r="B25" i="27"/>
  <c r="B57" i="27" s="1"/>
  <c r="AW24" i="27"/>
  <c r="AU24" i="27"/>
  <c r="AT24" i="27"/>
  <c r="AS24" i="27"/>
  <c r="AQ24" i="27"/>
  <c r="AP24" i="27"/>
  <c r="AO24" i="27"/>
  <c r="AM24" i="27"/>
  <c r="AL24" i="27"/>
  <c r="AK24" i="27"/>
  <c r="AI24" i="27"/>
  <c r="AH24" i="27"/>
  <c r="AG24" i="27"/>
  <c r="AE24" i="27"/>
  <c r="AD24" i="27"/>
  <c r="AD56" i="27" s="1"/>
  <c r="AC24" i="27"/>
  <c r="AA24" i="27"/>
  <c r="Z24" i="27"/>
  <c r="Y24" i="27"/>
  <c r="W24" i="27"/>
  <c r="V24" i="27"/>
  <c r="U24" i="27"/>
  <c r="S24" i="27"/>
  <c r="R24" i="27"/>
  <c r="Q24" i="27"/>
  <c r="O24" i="27"/>
  <c r="N24" i="27"/>
  <c r="M24" i="27"/>
  <c r="K24" i="27"/>
  <c r="J24" i="27"/>
  <c r="I24" i="27"/>
  <c r="G24" i="27"/>
  <c r="F24" i="27"/>
  <c r="E24" i="27"/>
  <c r="C24" i="27"/>
  <c r="B24" i="27"/>
  <c r="B56" i="27" s="1"/>
  <c r="AW23" i="27"/>
  <c r="AU23" i="27"/>
  <c r="AT23" i="27"/>
  <c r="AS23" i="27"/>
  <c r="AQ23" i="27"/>
  <c r="AP23" i="27"/>
  <c r="AO23" i="27"/>
  <c r="AM23" i="27"/>
  <c r="AL23" i="27"/>
  <c r="AK23" i="27"/>
  <c r="AI23" i="27"/>
  <c r="AH23" i="27"/>
  <c r="AG23" i="27"/>
  <c r="AE23" i="27"/>
  <c r="AD23" i="27"/>
  <c r="AD55" i="27" s="1"/>
  <c r="AC23" i="27"/>
  <c r="AA23" i="27"/>
  <c r="AA55" i="27" s="1"/>
  <c r="Z23" i="27"/>
  <c r="Y23" i="27"/>
  <c r="W23" i="27"/>
  <c r="V23" i="27"/>
  <c r="U23" i="27"/>
  <c r="S23" i="27"/>
  <c r="R23" i="27"/>
  <c r="Q23" i="27"/>
  <c r="O23" i="27"/>
  <c r="N23" i="27"/>
  <c r="M23" i="27"/>
  <c r="K23" i="27"/>
  <c r="J23" i="27"/>
  <c r="I23" i="27"/>
  <c r="G23" i="27"/>
  <c r="F23" i="27"/>
  <c r="E23" i="27"/>
  <c r="C23" i="27"/>
  <c r="B23" i="27"/>
  <c r="AW22" i="27"/>
  <c r="AU22" i="27"/>
  <c r="AT22" i="27"/>
  <c r="AS22" i="27"/>
  <c r="AQ22" i="27"/>
  <c r="AP22" i="27"/>
  <c r="AO22" i="27"/>
  <c r="AM22" i="27"/>
  <c r="AL22" i="27"/>
  <c r="AK22" i="27"/>
  <c r="AI22" i="27"/>
  <c r="AH22" i="27"/>
  <c r="AG22" i="27"/>
  <c r="AE22" i="27"/>
  <c r="AD22" i="27"/>
  <c r="AD54" i="27" s="1"/>
  <c r="AC22" i="27"/>
  <c r="AA22" i="27"/>
  <c r="Z22" i="27"/>
  <c r="Y22" i="27"/>
  <c r="W22" i="27"/>
  <c r="V22" i="27"/>
  <c r="U22" i="27"/>
  <c r="S22" i="27"/>
  <c r="R22" i="27"/>
  <c r="Q22" i="27"/>
  <c r="O22" i="27"/>
  <c r="N22" i="27"/>
  <c r="M22" i="27"/>
  <c r="K22" i="27"/>
  <c r="J22" i="27"/>
  <c r="I22" i="27"/>
  <c r="G22" i="27"/>
  <c r="F22" i="27"/>
  <c r="E22" i="27"/>
  <c r="C22" i="27"/>
  <c r="B22" i="27"/>
  <c r="B54" i="27" s="1"/>
  <c r="AW21" i="27"/>
  <c r="AU21" i="27"/>
  <c r="AT21" i="27"/>
  <c r="AS21" i="27"/>
  <c r="AQ21" i="27"/>
  <c r="AP21" i="27"/>
  <c r="AO21" i="27"/>
  <c r="AM21" i="27"/>
  <c r="AL21" i="27"/>
  <c r="AK21" i="27"/>
  <c r="AI21" i="27"/>
  <c r="AH21" i="27"/>
  <c r="AG21" i="27"/>
  <c r="AE21" i="27"/>
  <c r="AD21" i="27"/>
  <c r="AD53" i="27" s="1"/>
  <c r="AC21" i="27"/>
  <c r="AA21" i="27"/>
  <c r="AA53" i="27" s="1"/>
  <c r="Z21" i="27"/>
  <c r="Y21" i="27"/>
  <c r="W21" i="27"/>
  <c r="V21" i="27"/>
  <c r="U21" i="27"/>
  <c r="S21" i="27"/>
  <c r="R21" i="27"/>
  <c r="Q21" i="27"/>
  <c r="O21" i="27"/>
  <c r="N21" i="27"/>
  <c r="M21" i="27"/>
  <c r="K21" i="27"/>
  <c r="J21" i="27"/>
  <c r="I21" i="27"/>
  <c r="G21" i="27"/>
  <c r="F21" i="27"/>
  <c r="E21" i="27"/>
  <c r="C21" i="27"/>
  <c r="B21" i="27"/>
  <c r="AW20" i="27"/>
  <c r="AU20" i="27"/>
  <c r="AT20" i="27"/>
  <c r="AS20" i="27"/>
  <c r="AQ20" i="27"/>
  <c r="AP20" i="27"/>
  <c r="AO20" i="27"/>
  <c r="AM20" i="27"/>
  <c r="AL20" i="27"/>
  <c r="AK20" i="27"/>
  <c r="AI20" i="27"/>
  <c r="AH20" i="27"/>
  <c r="AG20" i="27"/>
  <c r="AE20" i="27"/>
  <c r="AD20" i="27"/>
  <c r="AD52" i="27" s="1"/>
  <c r="AC20" i="27"/>
  <c r="AA20" i="27"/>
  <c r="Z20" i="27"/>
  <c r="Y20" i="27"/>
  <c r="W20" i="27"/>
  <c r="V20" i="27"/>
  <c r="U20" i="27"/>
  <c r="S20" i="27"/>
  <c r="R20" i="27"/>
  <c r="Q20" i="27"/>
  <c r="O20" i="27"/>
  <c r="N20" i="27"/>
  <c r="M20" i="27"/>
  <c r="K20" i="27"/>
  <c r="J20" i="27"/>
  <c r="I20" i="27"/>
  <c r="G20" i="27"/>
  <c r="F20" i="27"/>
  <c r="E20" i="27"/>
  <c r="C20" i="27"/>
  <c r="C52" i="27" s="1"/>
  <c r="B20" i="27"/>
  <c r="B52" i="27" s="1"/>
  <c r="BG15" i="27"/>
  <c r="BF15" i="27"/>
  <c r="BE15" i="27"/>
  <c r="BD15" i="27"/>
  <c r="AW15" i="27"/>
  <c r="AU15" i="27"/>
  <c r="AT15" i="27"/>
  <c r="AS15" i="27"/>
  <c r="AQ15" i="27"/>
  <c r="AP15" i="27"/>
  <c r="AO15" i="27"/>
  <c r="AM15" i="27"/>
  <c r="AL15" i="27"/>
  <c r="AK15" i="27"/>
  <c r="AI15" i="27"/>
  <c r="AH15" i="27"/>
  <c r="AG15" i="27"/>
  <c r="AZ15" i="27" s="1"/>
  <c r="AE15" i="27"/>
  <c r="AD15" i="27"/>
  <c r="AC15" i="27"/>
  <c r="AA15" i="27"/>
  <c r="Z15" i="27"/>
  <c r="Y15" i="27"/>
  <c r="W15" i="27"/>
  <c r="V15" i="27"/>
  <c r="U15" i="27"/>
  <c r="S15" i="27"/>
  <c r="R15" i="27"/>
  <c r="Q15" i="27"/>
  <c r="O15" i="27"/>
  <c r="N15" i="27"/>
  <c r="M15" i="27"/>
  <c r="K15" i="27"/>
  <c r="J15" i="27"/>
  <c r="I15" i="27"/>
  <c r="G15" i="27"/>
  <c r="F15" i="27"/>
  <c r="E15" i="27"/>
  <c r="C15" i="27"/>
  <c r="B15" i="27"/>
  <c r="AV14" i="27"/>
  <c r="AR14" i="27"/>
  <c r="AN14" i="27"/>
  <c r="AJ14" i="27"/>
  <c r="AF14" i="27"/>
  <c r="AY14" i="27" s="1"/>
  <c r="X14" i="27"/>
  <c r="T14" i="27"/>
  <c r="P14" i="27"/>
  <c r="L14" i="27"/>
  <c r="AV13" i="27"/>
  <c r="AR13" i="27"/>
  <c r="AN13" i="27"/>
  <c r="AJ13" i="27"/>
  <c r="AF13" i="27"/>
  <c r="AY13" i="27" s="1"/>
  <c r="X13" i="27"/>
  <c r="T13" i="27"/>
  <c r="P13" i="27"/>
  <c r="L13" i="27"/>
  <c r="AV12" i="27"/>
  <c r="AR12" i="27"/>
  <c r="AN12" i="27"/>
  <c r="AJ12" i="27"/>
  <c r="AF12" i="27"/>
  <c r="AY12" i="27" s="1"/>
  <c r="X12" i="27"/>
  <c r="T12" i="27"/>
  <c r="P12" i="27"/>
  <c r="L12" i="27"/>
  <c r="AV11" i="27"/>
  <c r="AR11" i="27"/>
  <c r="AN11" i="27"/>
  <c r="AJ11" i="27"/>
  <c r="AF11" i="27"/>
  <c r="AY11" i="27" s="1"/>
  <c r="X11" i="27"/>
  <c r="T11" i="27"/>
  <c r="P11" i="27"/>
  <c r="L11" i="27"/>
  <c r="D15" i="27"/>
  <c r="AV10" i="27"/>
  <c r="AR10" i="27"/>
  <c r="AN10" i="27"/>
  <c r="AJ10" i="27"/>
  <c r="AF10" i="27"/>
  <c r="AY10" i="27" s="1"/>
  <c r="X10" i="27"/>
  <c r="T10" i="27"/>
  <c r="P10" i="27"/>
  <c r="L10" i="27"/>
  <c r="AV9" i="27"/>
  <c r="AR9" i="27"/>
  <c r="AN9" i="27"/>
  <c r="AJ9" i="27"/>
  <c r="AF9" i="27"/>
  <c r="AY9" i="27" s="1"/>
  <c r="X9" i="27"/>
  <c r="T9" i="27"/>
  <c r="P9" i="27"/>
  <c r="L9" i="27"/>
  <c r="AV8" i="27"/>
  <c r="AR8" i="27"/>
  <c r="AN8" i="27"/>
  <c r="AJ8" i="27"/>
  <c r="AF8" i="27"/>
  <c r="AY8" i="27" s="1"/>
  <c r="X8" i="27"/>
  <c r="T8" i="27"/>
  <c r="P8" i="27"/>
  <c r="L8" i="27"/>
  <c r="AV7" i="27"/>
  <c r="AR7" i="27"/>
  <c r="AN7" i="27"/>
  <c r="AJ7" i="27"/>
  <c r="AF7" i="27"/>
  <c r="AY7" i="27" s="1"/>
  <c r="X7" i="27"/>
  <c r="T7" i="27"/>
  <c r="P7" i="27"/>
  <c r="L7" i="27"/>
  <c r="H15" i="27"/>
  <c r="AV6" i="27"/>
  <c r="AR6" i="27"/>
  <c r="AN6" i="27"/>
  <c r="AJ6" i="27"/>
  <c r="AF6" i="27"/>
  <c r="AY6" i="27" s="1"/>
  <c r="X6" i="27"/>
  <c r="T6" i="27"/>
  <c r="P6" i="27"/>
  <c r="L6" i="27"/>
  <c r="AV5" i="27"/>
  <c r="AR5" i="27"/>
  <c r="AN5" i="27"/>
  <c r="AJ5" i="27"/>
  <c r="AF5" i="27"/>
  <c r="AY5" i="27" s="1"/>
  <c r="X5" i="27"/>
  <c r="T5" i="27"/>
  <c r="P5" i="27"/>
  <c r="L5" i="27"/>
  <c r="V2" i="27"/>
  <c r="I139" i="197"/>
  <c r="G139" i="197"/>
  <c r="E139" i="197"/>
  <c r="K139" i="197" s="1"/>
  <c r="A139" i="197"/>
  <c r="M138" i="197"/>
  <c r="O138" i="197" s="1"/>
  <c r="K138" i="197"/>
  <c r="Q138" i="197" s="1"/>
  <c r="S138" i="197" s="1"/>
  <c r="S137" i="197"/>
  <c r="M137" i="197"/>
  <c r="O137" i="197" s="1"/>
  <c r="K137" i="197"/>
  <c r="Q137" i="197" s="1"/>
  <c r="M136" i="197"/>
  <c r="O136" i="197" s="1"/>
  <c r="K136" i="197"/>
  <c r="Q136" i="197" s="1"/>
  <c r="S136" i="197" s="1"/>
  <c r="M135" i="197"/>
  <c r="O135" i="197" s="1"/>
  <c r="K135" i="197"/>
  <c r="Q135" i="197" s="1"/>
  <c r="S135" i="197" s="1"/>
  <c r="M134" i="197"/>
  <c r="O134" i="197" s="1"/>
  <c r="K134" i="197"/>
  <c r="Q134" i="197" s="1"/>
  <c r="S134" i="197" s="1"/>
  <c r="M133" i="197"/>
  <c r="O133" i="197" s="1"/>
  <c r="K133" i="197"/>
  <c r="Q133" i="197" s="1"/>
  <c r="S133" i="197" s="1"/>
  <c r="M132" i="197"/>
  <c r="O132" i="197" s="1"/>
  <c r="K132" i="197"/>
  <c r="Q132" i="197" s="1"/>
  <c r="S132" i="197" s="1"/>
  <c r="M131" i="197"/>
  <c r="O131" i="197" s="1"/>
  <c r="K131" i="197"/>
  <c r="Q131" i="197" s="1"/>
  <c r="S131" i="197" s="1"/>
  <c r="Q130" i="197"/>
  <c r="S130" i="197" s="1"/>
  <c r="M130" i="197"/>
  <c r="O130" i="197" s="1"/>
  <c r="K130" i="197"/>
  <c r="I129" i="197"/>
  <c r="G129" i="197"/>
  <c r="E129" i="197"/>
  <c r="K129" i="197" s="1"/>
  <c r="Q129" i="197" s="1"/>
  <c r="S129" i="197" s="1"/>
  <c r="A129" i="197"/>
  <c r="M128" i="197"/>
  <c r="O128" i="197" s="1"/>
  <c r="K128" i="197"/>
  <c r="Q128" i="197" s="1"/>
  <c r="S128" i="197" s="1"/>
  <c r="M127" i="197"/>
  <c r="O127" i="197" s="1"/>
  <c r="K127" i="197"/>
  <c r="Q127" i="197" s="1"/>
  <c r="S127" i="197" s="1"/>
  <c r="M126" i="197"/>
  <c r="O126" i="197" s="1"/>
  <c r="K126" i="197"/>
  <c r="Q126" i="197" s="1"/>
  <c r="S126" i="197" s="1"/>
  <c r="M125" i="197"/>
  <c r="O125" i="197" s="1"/>
  <c r="K125" i="197"/>
  <c r="Q125" i="197" s="1"/>
  <c r="S125" i="197" s="1"/>
  <c r="M124" i="197"/>
  <c r="O124" i="197" s="1"/>
  <c r="K124" i="197"/>
  <c r="Q124" i="197" s="1"/>
  <c r="S124" i="197" s="1"/>
  <c r="O123" i="197"/>
  <c r="M123" i="197"/>
  <c r="K123" i="197"/>
  <c r="Q123" i="197" s="1"/>
  <c r="S123" i="197" s="1"/>
  <c r="I122" i="197"/>
  <c r="G122" i="197"/>
  <c r="E122" i="197"/>
  <c r="M122" i="197" s="1"/>
  <c r="O122" i="197" s="1"/>
  <c r="A122" i="197"/>
  <c r="M121" i="197"/>
  <c r="O121" i="197" s="1"/>
  <c r="K121" i="197"/>
  <c r="Q121" i="197" s="1"/>
  <c r="S121" i="197" s="1"/>
  <c r="M120" i="197"/>
  <c r="O120" i="197" s="1"/>
  <c r="K120" i="197"/>
  <c r="Q120" i="197" s="1"/>
  <c r="S120" i="197" s="1"/>
  <c r="M119" i="197"/>
  <c r="O119" i="197" s="1"/>
  <c r="K119" i="197"/>
  <c r="Q119" i="197" s="1"/>
  <c r="S119" i="197" s="1"/>
  <c r="M118" i="197"/>
  <c r="O118" i="197" s="1"/>
  <c r="K118" i="197"/>
  <c r="Q118" i="197" s="1"/>
  <c r="S118" i="197" s="1"/>
  <c r="M117" i="197"/>
  <c r="O117" i="197" s="1"/>
  <c r="K117" i="197"/>
  <c r="Q117" i="197" s="1"/>
  <c r="S117" i="197" s="1"/>
  <c r="M116" i="197"/>
  <c r="O116" i="197" s="1"/>
  <c r="K116" i="197"/>
  <c r="Q116" i="197" s="1"/>
  <c r="S116" i="197" s="1"/>
  <c r="M115" i="197"/>
  <c r="O115" i="197" s="1"/>
  <c r="K115" i="197"/>
  <c r="Q115" i="197" s="1"/>
  <c r="S115" i="197" s="1"/>
  <c r="M114" i="197"/>
  <c r="O114" i="197" s="1"/>
  <c r="K114" i="197"/>
  <c r="Q114" i="197" s="1"/>
  <c r="S114" i="197" s="1"/>
  <c r="I113" i="197"/>
  <c r="G113" i="197"/>
  <c r="E113" i="197"/>
  <c r="M113" i="197" s="1"/>
  <c r="O113" i="197" s="1"/>
  <c r="A113" i="197"/>
  <c r="M112" i="197"/>
  <c r="O112" i="197" s="1"/>
  <c r="K112" i="197"/>
  <c r="Q112" i="197" s="1"/>
  <c r="S112" i="197" s="1"/>
  <c r="M111" i="197"/>
  <c r="O111" i="197" s="1"/>
  <c r="K111" i="197"/>
  <c r="Q111" i="197" s="1"/>
  <c r="S111" i="197" s="1"/>
  <c r="M110" i="197"/>
  <c r="O110" i="197" s="1"/>
  <c r="K110" i="197"/>
  <c r="Q110" i="197" s="1"/>
  <c r="S110" i="197" s="1"/>
  <c r="M109" i="197"/>
  <c r="O109" i="197" s="1"/>
  <c r="K109" i="197"/>
  <c r="Q109" i="197" s="1"/>
  <c r="S109" i="197" s="1"/>
  <c r="M108" i="197"/>
  <c r="O108" i="197" s="1"/>
  <c r="K108" i="197"/>
  <c r="Q108" i="197" s="1"/>
  <c r="S108" i="197" s="1"/>
  <c r="M107" i="197"/>
  <c r="O107" i="197" s="1"/>
  <c r="K107" i="197"/>
  <c r="Q107" i="197" s="1"/>
  <c r="S107" i="197" s="1"/>
  <c r="M106" i="197"/>
  <c r="O106" i="197" s="1"/>
  <c r="K106" i="197"/>
  <c r="Q106" i="197" s="1"/>
  <c r="S106" i="197" s="1"/>
  <c r="O105" i="197"/>
  <c r="M105" i="197"/>
  <c r="K105" i="197"/>
  <c r="Q105" i="197" s="1"/>
  <c r="S105" i="197" s="1"/>
  <c r="M104" i="197"/>
  <c r="O104" i="197" s="1"/>
  <c r="K104" i="197"/>
  <c r="Q104" i="197" s="1"/>
  <c r="S104" i="197" s="1"/>
  <c r="I103" i="197"/>
  <c r="G103" i="197"/>
  <c r="E103" i="197"/>
  <c r="A103" i="197"/>
  <c r="M102" i="197"/>
  <c r="O102" i="197" s="1"/>
  <c r="K102" i="197"/>
  <c r="Q102" i="197" s="1"/>
  <c r="S102" i="197" s="1"/>
  <c r="M101" i="197"/>
  <c r="O101" i="197" s="1"/>
  <c r="K101" i="197"/>
  <c r="Q101" i="197" s="1"/>
  <c r="S101" i="197" s="1"/>
  <c r="I100" i="197"/>
  <c r="H100" i="197"/>
  <c r="G100" i="197"/>
  <c r="F100" i="197"/>
  <c r="E100" i="197"/>
  <c r="D100" i="197"/>
  <c r="A100" i="197"/>
  <c r="M99" i="197"/>
  <c r="O99" i="197" s="1"/>
  <c r="L99" i="197"/>
  <c r="N99" i="197" s="1"/>
  <c r="K99" i="197"/>
  <c r="Q99" i="197" s="1"/>
  <c r="S99" i="197" s="1"/>
  <c r="J99" i="197"/>
  <c r="P99" i="197" s="1"/>
  <c r="R99" i="197" s="1"/>
  <c r="M98" i="197"/>
  <c r="O98" i="197" s="1"/>
  <c r="L98" i="197"/>
  <c r="N98" i="197" s="1"/>
  <c r="K98" i="197"/>
  <c r="Q98" i="197" s="1"/>
  <c r="S98" i="197" s="1"/>
  <c r="J98" i="197"/>
  <c r="P98" i="197" s="1"/>
  <c r="R98" i="197" s="1"/>
  <c r="M97" i="197"/>
  <c r="O97" i="197" s="1"/>
  <c r="L97" i="197"/>
  <c r="N97" i="197" s="1"/>
  <c r="K97" i="197"/>
  <c r="Q97" i="197" s="1"/>
  <c r="S97" i="197" s="1"/>
  <c r="J97" i="197"/>
  <c r="P97" i="197" s="1"/>
  <c r="R97" i="197" s="1"/>
  <c r="M94" i="197"/>
  <c r="O94" i="197" s="1"/>
  <c r="L94" i="197"/>
  <c r="N94" i="197" s="1"/>
  <c r="K94" i="197"/>
  <c r="Q94" i="197" s="1"/>
  <c r="S94" i="197" s="1"/>
  <c r="J94" i="197"/>
  <c r="P94" i="197" s="1"/>
  <c r="R94" i="197" s="1"/>
  <c r="I93" i="197"/>
  <c r="G93" i="197"/>
  <c r="E93" i="197"/>
  <c r="A93" i="197"/>
  <c r="M92" i="197"/>
  <c r="O92" i="197" s="1"/>
  <c r="K92" i="197"/>
  <c r="Q92" i="197" s="1"/>
  <c r="S92" i="197" s="1"/>
  <c r="M91" i="197"/>
  <c r="O91" i="197" s="1"/>
  <c r="K91" i="197"/>
  <c r="Q91" i="197" s="1"/>
  <c r="S91" i="197" s="1"/>
  <c r="M90" i="197"/>
  <c r="O90" i="197" s="1"/>
  <c r="K90" i="197"/>
  <c r="Q90" i="197" s="1"/>
  <c r="S90" i="197" s="1"/>
  <c r="M89" i="197"/>
  <c r="O89" i="197" s="1"/>
  <c r="K89" i="197"/>
  <c r="Q89" i="197" s="1"/>
  <c r="S89" i="197" s="1"/>
  <c r="M88" i="197"/>
  <c r="O88" i="197" s="1"/>
  <c r="K88" i="197"/>
  <c r="Q88" i="197" s="1"/>
  <c r="S88" i="197" s="1"/>
  <c r="M87" i="197"/>
  <c r="O87" i="197" s="1"/>
  <c r="K87" i="197"/>
  <c r="Q87" i="197" s="1"/>
  <c r="S87" i="197" s="1"/>
  <c r="M86" i="197"/>
  <c r="O86" i="197" s="1"/>
  <c r="K86" i="197"/>
  <c r="Q86" i="197" s="1"/>
  <c r="S86" i="197" s="1"/>
  <c r="M85" i="197"/>
  <c r="O85" i="197" s="1"/>
  <c r="K85" i="197"/>
  <c r="Q85" i="197" s="1"/>
  <c r="S85" i="197" s="1"/>
  <c r="Q84" i="197"/>
  <c r="S84" i="197" s="1"/>
  <c r="M84" i="197"/>
  <c r="O84" i="197" s="1"/>
  <c r="K84" i="197"/>
  <c r="M83" i="197"/>
  <c r="O83" i="197" s="1"/>
  <c r="K83" i="197"/>
  <c r="Q83" i="197" s="1"/>
  <c r="S83" i="197" s="1"/>
  <c r="M81" i="197"/>
  <c r="O81" i="197" s="1"/>
  <c r="K81" i="197"/>
  <c r="Q81" i="197" s="1"/>
  <c r="S81" i="197" s="1"/>
  <c r="I80" i="197"/>
  <c r="G80" i="197"/>
  <c r="E80" i="197"/>
  <c r="A80" i="197"/>
  <c r="M79" i="197"/>
  <c r="O79" i="197" s="1"/>
  <c r="K79" i="197"/>
  <c r="Q79" i="197" s="1"/>
  <c r="S79" i="197" s="1"/>
  <c r="M78" i="197"/>
  <c r="O78" i="197" s="1"/>
  <c r="K78" i="197"/>
  <c r="Q78" i="197" s="1"/>
  <c r="S78" i="197" s="1"/>
  <c r="M77" i="197"/>
  <c r="O77" i="197" s="1"/>
  <c r="K77" i="197"/>
  <c r="Q77" i="197" s="1"/>
  <c r="S77" i="197" s="1"/>
  <c r="M76" i="197"/>
  <c r="O76" i="197" s="1"/>
  <c r="K76" i="197"/>
  <c r="Q76" i="197" s="1"/>
  <c r="S76" i="197" s="1"/>
  <c r="M75" i="197"/>
  <c r="O75" i="197" s="1"/>
  <c r="K75" i="197"/>
  <c r="Q75" i="197" s="1"/>
  <c r="S75" i="197" s="1"/>
  <c r="M74" i="197"/>
  <c r="O74" i="197" s="1"/>
  <c r="K74" i="197"/>
  <c r="Q74" i="197" s="1"/>
  <c r="S74" i="197" s="1"/>
  <c r="M73" i="197"/>
  <c r="O73" i="197" s="1"/>
  <c r="K73" i="197"/>
  <c r="Q73" i="197" s="1"/>
  <c r="S73" i="197" s="1"/>
  <c r="M72" i="197"/>
  <c r="O72" i="197" s="1"/>
  <c r="K72" i="197"/>
  <c r="Q72" i="197" s="1"/>
  <c r="S72" i="197" s="1"/>
  <c r="M71" i="197"/>
  <c r="O71" i="197" s="1"/>
  <c r="K71" i="197"/>
  <c r="Q71" i="197" s="1"/>
  <c r="S71" i="197" s="1"/>
  <c r="M70" i="197"/>
  <c r="O70" i="197" s="1"/>
  <c r="K70" i="197"/>
  <c r="Q70" i="197" s="1"/>
  <c r="S70" i="197" s="1"/>
  <c r="A70" i="197"/>
  <c r="M69" i="197"/>
  <c r="O69" i="197" s="1"/>
  <c r="K69" i="197"/>
  <c r="Q69" i="197" s="1"/>
  <c r="S69" i="197" s="1"/>
  <c r="M68" i="197"/>
  <c r="O68" i="197" s="1"/>
  <c r="K68" i="197"/>
  <c r="Q68" i="197" s="1"/>
  <c r="S68" i="197" s="1"/>
  <c r="M67" i="197"/>
  <c r="O67" i="197" s="1"/>
  <c r="K67" i="197"/>
  <c r="Q67" i="197" s="1"/>
  <c r="S67" i="197" s="1"/>
  <c r="I66" i="197"/>
  <c r="G66" i="197"/>
  <c r="M66" i="197" s="1"/>
  <c r="O66" i="197" s="1"/>
  <c r="E66" i="197"/>
  <c r="A66" i="197"/>
  <c r="M65" i="197"/>
  <c r="O65" i="197" s="1"/>
  <c r="K65" i="197"/>
  <c r="Q65" i="197" s="1"/>
  <c r="S65" i="197" s="1"/>
  <c r="M64" i="197"/>
  <c r="O64" i="197" s="1"/>
  <c r="K64" i="197"/>
  <c r="Q64" i="197" s="1"/>
  <c r="S64" i="197" s="1"/>
  <c r="M63" i="197"/>
  <c r="O63" i="197" s="1"/>
  <c r="K63" i="197"/>
  <c r="Q63" i="197" s="1"/>
  <c r="S63" i="197" s="1"/>
  <c r="M62" i="197"/>
  <c r="O62" i="197" s="1"/>
  <c r="K62" i="197"/>
  <c r="Q62" i="197" s="1"/>
  <c r="S62" i="197" s="1"/>
  <c r="M61" i="197"/>
  <c r="O61" i="197" s="1"/>
  <c r="K61" i="197"/>
  <c r="Q61" i="197" s="1"/>
  <c r="S61" i="197" s="1"/>
  <c r="M60" i="197"/>
  <c r="O60" i="197" s="1"/>
  <c r="K60" i="197"/>
  <c r="Q60" i="197" s="1"/>
  <c r="S60" i="197" s="1"/>
  <c r="Q59" i="197"/>
  <c r="S59" i="197" s="1"/>
  <c r="M59" i="197"/>
  <c r="O59" i="197" s="1"/>
  <c r="K59" i="197"/>
  <c r="M58" i="197"/>
  <c r="O58" i="197" s="1"/>
  <c r="K58" i="197"/>
  <c r="Q58" i="197" s="1"/>
  <c r="S58" i="197" s="1"/>
  <c r="O57" i="197"/>
  <c r="M57" i="197"/>
  <c r="K57" i="197"/>
  <c r="Q57" i="197" s="1"/>
  <c r="S57" i="197" s="1"/>
  <c r="M56" i="197"/>
  <c r="O56" i="197" s="1"/>
  <c r="K56" i="197"/>
  <c r="Q56" i="197" s="1"/>
  <c r="S56" i="197" s="1"/>
  <c r="M55" i="197"/>
  <c r="O55" i="197" s="1"/>
  <c r="K55" i="197"/>
  <c r="Q55" i="197" s="1"/>
  <c r="S55" i="197" s="1"/>
  <c r="I54" i="197"/>
  <c r="H54" i="197"/>
  <c r="G54" i="197"/>
  <c r="F54" i="197"/>
  <c r="E54" i="197"/>
  <c r="D54" i="197"/>
  <c r="A54" i="197"/>
  <c r="Q53" i="197"/>
  <c r="S53" i="197" s="1"/>
  <c r="M53" i="197"/>
  <c r="O53" i="197" s="1"/>
  <c r="L53" i="197"/>
  <c r="N53" i="197" s="1"/>
  <c r="K53" i="197"/>
  <c r="J53" i="197"/>
  <c r="P53" i="197" s="1"/>
  <c r="R53" i="197" s="1"/>
  <c r="M52" i="197"/>
  <c r="O52" i="197" s="1"/>
  <c r="L52" i="197"/>
  <c r="N52" i="197" s="1"/>
  <c r="K52" i="197"/>
  <c r="Q52" i="197" s="1"/>
  <c r="S52" i="197" s="1"/>
  <c r="J52" i="197"/>
  <c r="P52" i="197" s="1"/>
  <c r="R52" i="197" s="1"/>
  <c r="M51" i="197"/>
  <c r="O51" i="197" s="1"/>
  <c r="L51" i="197"/>
  <c r="N51" i="197" s="1"/>
  <c r="K51" i="197"/>
  <c r="Q51" i="197" s="1"/>
  <c r="S51" i="197" s="1"/>
  <c r="J51" i="197"/>
  <c r="P51" i="197" s="1"/>
  <c r="R51" i="197" s="1"/>
  <c r="M50" i="197"/>
  <c r="O50" i="197" s="1"/>
  <c r="L50" i="197"/>
  <c r="N50" i="197" s="1"/>
  <c r="K50" i="197"/>
  <c r="Q50" i="197" s="1"/>
  <c r="S50" i="197" s="1"/>
  <c r="J50" i="197"/>
  <c r="P50" i="197" s="1"/>
  <c r="R50" i="197" s="1"/>
  <c r="M49" i="197"/>
  <c r="O49" i="197" s="1"/>
  <c r="L49" i="197"/>
  <c r="N49" i="197" s="1"/>
  <c r="K49" i="197"/>
  <c r="Q49" i="197" s="1"/>
  <c r="S49" i="197" s="1"/>
  <c r="J49" i="197"/>
  <c r="P49" i="197" s="1"/>
  <c r="R49" i="197" s="1"/>
  <c r="M48" i="197"/>
  <c r="O48" i="197" s="1"/>
  <c r="L48" i="197"/>
  <c r="N48" i="197" s="1"/>
  <c r="K48" i="197"/>
  <c r="Q48" i="197" s="1"/>
  <c r="S48" i="197" s="1"/>
  <c r="J48" i="197"/>
  <c r="P48" i="197" s="1"/>
  <c r="R48" i="197" s="1"/>
  <c r="M47" i="197"/>
  <c r="O47" i="197" s="1"/>
  <c r="L47" i="197"/>
  <c r="N47" i="197" s="1"/>
  <c r="K47" i="197"/>
  <c r="Q47" i="197" s="1"/>
  <c r="S47" i="197" s="1"/>
  <c r="J47" i="197"/>
  <c r="P47" i="197" s="1"/>
  <c r="R47" i="197" s="1"/>
  <c r="M46" i="197"/>
  <c r="O46" i="197" s="1"/>
  <c r="L46" i="197"/>
  <c r="N46" i="197" s="1"/>
  <c r="K46" i="197"/>
  <c r="Q46" i="197" s="1"/>
  <c r="S46" i="197" s="1"/>
  <c r="J46" i="197"/>
  <c r="P46" i="197" s="1"/>
  <c r="R46" i="197" s="1"/>
  <c r="Q45" i="197"/>
  <c r="S45" i="197" s="1"/>
  <c r="M45" i="197"/>
  <c r="O45" i="197" s="1"/>
  <c r="L45" i="197"/>
  <c r="N45" i="197" s="1"/>
  <c r="K45" i="197"/>
  <c r="J45" i="197"/>
  <c r="P45" i="197" s="1"/>
  <c r="R45" i="197" s="1"/>
  <c r="M44" i="197"/>
  <c r="O44" i="197" s="1"/>
  <c r="L44" i="197"/>
  <c r="N44" i="197" s="1"/>
  <c r="K44" i="197"/>
  <c r="Q44" i="197" s="1"/>
  <c r="S44" i="197" s="1"/>
  <c r="J44" i="197"/>
  <c r="P44" i="197" s="1"/>
  <c r="R44" i="197" s="1"/>
  <c r="M43" i="197"/>
  <c r="O43" i="197" s="1"/>
  <c r="L43" i="197"/>
  <c r="N43" i="197" s="1"/>
  <c r="K43" i="197"/>
  <c r="Q43" i="197" s="1"/>
  <c r="S43" i="197" s="1"/>
  <c r="J43" i="197"/>
  <c r="P43" i="197" s="1"/>
  <c r="R43" i="197" s="1"/>
  <c r="M42" i="197"/>
  <c r="O42" i="197" s="1"/>
  <c r="L42" i="197"/>
  <c r="N42" i="197" s="1"/>
  <c r="K42" i="197"/>
  <c r="Q42" i="197" s="1"/>
  <c r="S42" i="197" s="1"/>
  <c r="J42" i="197"/>
  <c r="P42" i="197" s="1"/>
  <c r="R42" i="197" s="1"/>
  <c r="M41" i="197"/>
  <c r="O41" i="197" s="1"/>
  <c r="L41" i="197"/>
  <c r="N41" i="197" s="1"/>
  <c r="K41" i="197"/>
  <c r="Q41" i="197" s="1"/>
  <c r="S41" i="197" s="1"/>
  <c r="J41" i="197"/>
  <c r="P41" i="197" s="1"/>
  <c r="R41" i="197" s="1"/>
  <c r="M40" i="197"/>
  <c r="O40" i="197" s="1"/>
  <c r="L40" i="197"/>
  <c r="N40" i="197" s="1"/>
  <c r="K40" i="197"/>
  <c r="Q40" i="197" s="1"/>
  <c r="S40" i="197" s="1"/>
  <c r="J40" i="197"/>
  <c r="P40" i="197" s="1"/>
  <c r="R40" i="197" s="1"/>
  <c r="M39" i="197"/>
  <c r="O39" i="197" s="1"/>
  <c r="L39" i="197"/>
  <c r="N39" i="197" s="1"/>
  <c r="K39" i="197"/>
  <c r="Q39" i="197" s="1"/>
  <c r="S39" i="197" s="1"/>
  <c r="J39" i="197"/>
  <c r="P39" i="197" s="1"/>
  <c r="R39" i="197" s="1"/>
  <c r="M38" i="197"/>
  <c r="O38" i="197" s="1"/>
  <c r="L38" i="197"/>
  <c r="N38" i="197" s="1"/>
  <c r="K38" i="197"/>
  <c r="Q38" i="197" s="1"/>
  <c r="S38" i="197" s="1"/>
  <c r="J38" i="197"/>
  <c r="P38" i="197" s="1"/>
  <c r="R38" i="197" s="1"/>
  <c r="M37" i="197"/>
  <c r="O37" i="197" s="1"/>
  <c r="L37" i="197"/>
  <c r="N37" i="197" s="1"/>
  <c r="K37" i="197"/>
  <c r="Q37" i="197" s="1"/>
  <c r="S37" i="197" s="1"/>
  <c r="J37" i="197"/>
  <c r="P37" i="197" s="1"/>
  <c r="R37" i="197" s="1"/>
  <c r="I36" i="197"/>
  <c r="G36" i="197"/>
  <c r="E36" i="197"/>
  <c r="A36" i="197"/>
  <c r="M35" i="197"/>
  <c r="O35" i="197" s="1"/>
  <c r="K35" i="197"/>
  <c r="Q35" i="197" s="1"/>
  <c r="S35" i="197" s="1"/>
  <c r="M34" i="197"/>
  <c r="O34" i="197" s="1"/>
  <c r="K34" i="197"/>
  <c r="Q34" i="197" s="1"/>
  <c r="S34" i="197" s="1"/>
  <c r="M33" i="197"/>
  <c r="O33" i="197" s="1"/>
  <c r="K33" i="197"/>
  <c r="Q33" i="197" s="1"/>
  <c r="S33" i="197" s="1"/>
  <c r="M32" i="197"/>
  <c r="O32" i="197" s="1"/>
  <c r="K32" i="197"/>
  <c r="Q32" i="197" s="1"/>
  <c r="S32" i="197" s="1"/>
  <c r="M31" i="197"/>
  <c r="O31" i="197" s="1"/>
  <c r="K31" i="197"/>
  <c r="Q31" i="197" s="1"/>
  <c r="S31" i="197" s="1"/>
  <c r="M30" i="197"/>
  <c r="O30" i="197" s="1"/>
  <c r="K30" i="197"/>
  <c r="Q30" i="197" s="1"/>
  <c r="S30" i="197" s="1"/>
  <c r="M29" i="197"/>
  <c r="O29" i="197" s="1"/>
  <c r="K29" i="197"/>
  <c r="Q29" i="197" s="1"/>
  <c r="S29" i="197" s="1"/>
  <c r="M28" i="197"/>
  <c r="O28" i="197" s="1"/>
  <c r="K28" i="197"/>
  <c r="Q28" i="197" s="1"/>
  <c r="S28" i="197" s="1"/>
  <c r="I27" i="197"/>
  <c r="G27" i="197"/>
  <c r="E27" i="197"/>
  <c r="M27" i="197" s="1"/>
  <c r="O27" i="197" s="1"/>
  <c r="A27" i="197"/>
  <c r="M26" i="197"/>
  <c r="O26" i="197" s="1"/>
  <c r="K26" i="197"/>
  <c r="Q26" i="197" s="1"/>
  <c r="S26" i="197" s="1"/>
  <c r="O25" i="197"/>
  <c r="M25" i="197"/>
  <c r="K25" i="197"/>
  <c r="Q25" i="197" s="1"/>
  <c r="S25" i="197" s="1"/>
  <c r="M24" i="197"/>
  <c r="O24" i="197" s="1"/>
  <c r="K24" i="197"/>
  <c r="Q24" i="197" s="1"/>
  <c r="S24" i="197" s="1"/>
  <c r="O23" i="197"/>
  <c r="M23" i="197"/>
  <c r="K23" i="197"/>
  <c r="Q23" i="197" s="1"/>
  <c r="S23" i="197" s="1"/>
  <c r="M22" i="197"/>
  <c r="O22" i="197" s="1"/>
  <c r="K22" i="197"/>
  <c r="Q22" i="197" s="1"/>
  <c r="S22" i="197" s="1"/>
  <c r="M21" i="197"/>
  <c r="O21" i="197" s="1"/>
  <c r="K21" i="197"/>
  <c r="Q21" i="197" s="1"/>
  <c r="S21" i="197" s="1"/>
  <c r="M20" i="197"/>
  <c r="O20" i="197" s="1"/>
  <c r="K20" i="197"/>
  <c r="Q20" i="197" s="1"/>
  <c r="S20" i="197" s="1"/>
  <c r="M19" i="197"/>
  <c r="O19" i="197" s="1"/>
  <c r="K19" i="197"/>
  <c r="Q19" i="197" s="1"/>
  <c r="S19" i="197" s="1"/>
  <c r="M18" i="197"/>
  <c r="O18" i="197" s="1"/>
  <c r="K18" i="197"/>
  <c r="Q18" i="197" s="1"/>
  <c r="S18" i="197" s="1"/>
  <c r="I17" i="197"/>
  <c r="G17" i="197"/>
  <c r="E17" i="197"/>
  <c r="A17" i="197"/>
  <c r="M16" i="197"/>
  <c r="O16" i="197" s="1"/>
  <c r="K16" i="197"/>
  <c r="Q16" i="197" s="1"/>
  <c r="S16" i="197" s="1"/>
  <c r="M15" i="197"/>
  <c r="O15" i="197" s="1"/>
  <c r="K15" i="197"/>
  <c r="Q15" i="197" s="1"/>
  <c r="S15" i="197" s="1"/>
  <c r="M14" i="197"/>
  <c r="O14" i="197" s="1"/>
  <c r="K14" i="197"/>
  <c r="Q14" i="197" s="1"/>
  <c r="S14" i="197" s="1"/>
  <c r="M13" i="197"/>
  <c r="O13" i="197" s="1"/>
  <c r="K13" i="197"/>
  <c r="Q13" i="197" s="1"/>
  <c r="S13" i="197" s="1"/>
  <c r="M12" i="197"/>
  <c r="O12" i="197" s="1"/>
  <c r="K12" i="197"/>
  <c r="Q12" i="197" s="1"/>
  <c r="S12" i="197" s="1"/>
  <c r="M11" i="197"/>
  <c r="O11" i="197" s="1"/>
  <c r="K11" i="197"/>
  <c r="Q11" i="197" s="1"/>
  <c r="S11" i="197" s="1"/>
  <c r="M10" i="197"/>
  <c r="O10" i="197" s="1"/>
  <c r="K10" i="197"/>
  <c r="Q10" i="197" s="1"/>
  <c r="S10" i="197" s="1"/>
  <c r="M9" i="197"/>
  <c r="O9" i="197" s="1"/>
  <c r="K9" i="197"/>
  <c r="Q9" i="197" s="1"/>
  <c r="S9" i="197" s="1"/>
  <c r="M8" i="197"/>
  <c r="O8" i="197" s="1"/>
  <c r="K8" i="197"/>
  <c r="Q8" i="197" s="1"/>
  <c r="S8" i="197" s="1"/>
  <c r="M7" i="197"/>
  <c r="O7" i="197" s="1"/>
  <c r="K7" i="197"/>
  <c r="Q7" i="197" s="1"/>
  <c r="S7" i="197" s="1"/>
  <c r="M6" i="197"/>
  <c r="O6" i="197" s="1"/>
  <c r="K6" i="197"/>
  <c r="Q6" i="197" s="1"/>
  <c r="S6" i="197" s="1"/>
  <c r="T109" i="28"/>
  <c r="D109" i="28"/>
  <c r="D108" i="28"/>
  <c r="K107" i="28"/>
  <c r="G106" i="28"/>
  <c r="F106" i="28"/>
  <c r="E106" i="28"/>
  <c r="G105" i="28"/>
  <c r="F105" i="28"/>
  <c r="E105" i="28"/>
  <c r="G104" i="28"/>
  <c r="F104" i="28"/>
  <c r="E104" i="28"/>
  <c r="U102" i="28"/>
  <c r="G102" i="28"/>
  <c r="U101" i="28"/>
  <c r="U100" i="28"/>
  <c r="U99" i="28"/>
  <c r="U98" i="28"/>
  <c r="G98" i="28"/>
  <c r="F98" i="28"/>
  <c r="U97" i="28"/>
  <c r="G97" i="28"/>
  <c r="F97" i="28"/>
  <c r="U96" i="28"/>
  <c r="F96" i="28"/>
  <c r="U95" i="28"/>
  <c r="F95" i="28"/>
  <c r="U94" i="28"/>
  <c r="F94" i="28"/>
  <c r="G93" i="28"/>
  <c r="F93" i="28"/>
  <c r="K92" i="28"/>
  <c r="G91" i="28"/>
  <c r="F91" i="28"/>
  <c r="E91" i="28"/>
  <c r="G90" i="28"/>
  <c r="F90" i="28"/>
  <c r="E90" i="28"/>
  <c r="G89" i="28"/>
  <c r="F89" i="28"/>
  <c r="E89" i="28"/>
  <c r="G88" i="28"/>
  <c r="F88" i="28"/>
  <c r="E88" i="28"/>
  <c r="G87" i="28"/>
  <c r="F87" i="28"/>
  <c r="E87" i="28"/>
  <c r="G86" i="28"/>
  <c r="F86" i="28"/>
  <c r="E86" i="28"/>
  <c r="G84" i="28"/>
  <c r="F84" i="28"/>
  <c r="E84" i="28"/>
  <c r="G83" i="28"/>
  <c r="F83" i="28"/>
  <c r="E83" i="28"/>
  <c r="G82" i="28"/>
  <c r="F82" i="28"/>
  <c r="E82" i="28"/>
  <c r="G81" i="28"/>
  <c r="F81" i="28"/>
  <c r="E81" i="28"/>
  <c r="G80" i="28"/>
  <c r="F80" i="28"/>
  <c r="E80" i="28"/>
  <c r="G79" i="28"/>
  <c r="F79" i="28"/>
  <c r="E79" i="28"/>
  <c r="G78" i="28"/>
  <c r="F78" i="28"/>
  <c r="E78" i="28"/>
  <c r="G77" i="28"/>
  <c r="F77" i="28"/>
  <c r="E77" i="28"/>
  <c r="G76" i="28"/>
  <c r="F76" i="28"/>
  <c r="E76" i="28"/>
  <c r="K75" i="28"/>
  <c r="G74" i="28"/>
  <c r="F74" i="28"/>
  <c r="E74" i="28"/>
  <c r="G73" i="28"/>
  <c r="F73" i="28"/>
  <c r="E73" i="28"/>
  <c r="G72" i="28"/>
  <c r="F72" i="28"/>
  <c r="E72" i="28"/>
  <c r="G71" i="28"/>
  <c r="F71" i="28"/>
  <c r="E71" i="28"/>
  <c r="G70" i="28"/>
  <c r="F70" i="28"/>
  <c r="E70" i="28"/>
  <c r="G69" i="28"/>
  <c r="F69" i="28"/>
  <c r="E69" i="28"/>
  <c r="K68" i="28"/>
  <c r="G67" i="28"/>
  <c r="F67" i="28"/>
  <c r="E67" i="28"/>
  <c r="G66" i="28"/>
  <c r="F66" i="28"/>
  <c r="E66" i="28"/>
  <c r="G65" i="28"/>
  <c r="F65" i="28"/>
  <c r="E65" i="28"/>
  <c r="G64" i="28"/>
  <c r="F64" i="28"/>
  <c r="E64" i="28"/>
  <c r="G63" i="28"/>
  <c r="F63" i="28"/>
  <c r="E63" i="28"/>
  <c r="G62" i="28"/>
  <c r="F62" i="28"/>
  <c r="E62" i="28"/>
  <c r="G61" i="28"/>
  <c r="F61" i="28"/>
  <c r="E61" i="28"/>
  <c r="G60" i="28"/>
  <c r="F60" i="28"/>
  <c r="E60" i="28"/>
  <c r="G59" i="28"/>
  <c r="F59" i="28"/>
  <c r="E59" i="28"/>
  <c r="G58" i="28"/>
  <c r="F58" i="28"/>
  <c r="E58" i="28"/>
  <c r="G57" i="28"/>
  <c r="F57" i="28"/>
  <c r="E57" i="28"/>
  <c r="K56" i="28"/>
  <c r="G55" i="28"/>
  <c r="F55" i="28"/>
  <c r="E55" i="28"/>
  <c r="G54" i="28"/>
  <c r="F54" i="28"/>
  <c r="E54" i="28"/>
  <c r="G53" i="28"/>
  <c r="F53" i="28"/>
  <c r="E53" i="28"/>
  <c r="G52" i="28"/>
  <c r="F52" i="28"/>
  <c r="E52" i="28"/>
  <c r="G51" i="28"/>
  <c r="F51" i="28"/>
  <c r="E51" i="28"/>
  <c r="G50" i="28"/>
  <c r="F50" i="28"/>
  <c r="E50" i="28"/>
  <c r="G49" i="28"/>
  <c r="F49" i="28"/>
  <c r="E49" i="28"/>
  <c r="G48" i="28"/>
  <c r="F48" i="28"/>
  <c r="E48" i="28"/>
  <c r="G47" i="28"/>
  <c r="F47" i="28"/>
  <c r="E47" i="28"/>
  <c r="G46" i="28"/>
  <c r="F46" i="28"/>
  <c r="E46" i="28"/>
  <c r="G45" i="28"/>
  <c r="F45" i="28"/>
  <c r="E45" i="28"/>
  <c r="G44" i="28"/>
  <c r="F44" i="28"/>
  <c r="E44" i="28"/>
  <c r="G43" i="28"/>
  <c r="F43" i="28"/>
  <c r="E43" i="28"/>
  <c r="G42" i="28"/>
  <c r="F42" i="28"/>
  <c r="E42" i="28"/>
  <c r="G41" i="28"/>
  <c r="F41" i="28"/>
  <c r="E41" i="28"/>
  <c r="G40" i="28"/>
  <c r="F40" i="28"/>
  <c r="E40" i="28"/>
  <c r="G39" i="28"/>
  <c r="F39" i="28"/>
  <c r="E39" i="28"/>
  <c r="K38" i="28"/>
  <c r="G37" i="28"/>
  <c r="F37" i="28"/>
  <c r="E37" i="28"/>
  <c r="G36" i="28"/>
  <c r="F36" i="28"/>
  <c r="E36" i="28"/>
  <c r="G35" i="28"/>
  <c r="F35" i="28"/>
  <c r="E35" i="28"/>
  <c r="G34" i="28"/>
  <c r="F34" i="28"/>
  <c r="E34" i="28"/>
  <c r="G33" i="28"/>
  <c r="F33" i="28"/>
  <c r="E33" i="28"/>
  <c r="G32" i="28"/>
  <c r="F32" i="28"/>
  <c r="E32" i="28"/>
  <c r="G31" i="28"/>
  <c r="F31" i="28"/>
  <c r="E31" i="28"/>
  <c r="G30" i="28"/>
  <c r="F30" i="28"/>
  <c r="E30" i="28"/>
  <c r="G27" i="28"/>
  <c r="F27" i="28"/>
  <c r="E27" i="28"/>
  <c r="Y26" i="28"/>
  <c r="X26" i="28"/>
  <c r="W26" i="28"/>
  <c r="G26" i="28"/>
  <c r="F26" i="28"/>
  <c r="E26" i="28"/>
  <c r="AB25" i="28"/>
  <c r="AE25" i="28" s="1"/>
  <c r="AH25" i="28" s="1"/>
  <c r="AA25" i="28"/>
  <c r="AD25" i="28" s="1"/>
  <c r="AG25" i="28" s="1"/>
  <c r="Z25" i="28"/>
  <c r="AC25" i="28" s="1"/>
  <c r="AF25" i="28" s="1"/>
  <c r="G25" i="28"/>
  <c r="F25" i="28"/>
  <c r="E25" i="28"/>
  <c r="AB24" i="28"/>
  <c r="AE24" i="28" s="1"/>
  <c r="AH24" i="28" s="1"/>
  <c r="AA24" i="28"/>
  <c r="AD24" i="28" s="1"/>
  <c r="AG24" i="28" s="1"/>
  <c r="Z24" i="28"/>
  <c r="AC24" i="28" s="1"/>
  <c r="AF24" i="28" s="1"/>
  <c r="G24" i="28"/>
  <c r="F24" i="28"/>
  <c r="E24" i="28"/>
  <c r="AB23" i="28"/>
  <c r="AE23" i="28" s="1"/>
  <c r="AH23" i="28" s="1"/>
  <c r="AA23" i="28"/>
  <c r="AD23" i="28" s="1"/>
  <c r="AG23" i="28" s="1"/>
  <c r="Z23" i="28"/>
  <c r="AC23" i="28" s="1"/>
  <c r="AF23" i="28" s="1"/>
  <c r="G23" i="28"/>
  <c r="F23" i="28"/>
  <c r="E23" i="28"/>
  <c r="AB22" i="28"/>
  <c r="AE22" i="28" s="1"/>
  <c r="AH22" i="28" s="1"/>
  <c r="AA22" i="28"/>
  <c r="AD22" i="28" s="1"/>
  <c r="AG22" i="28" s="1"/>
  <c r="Z22" i="28"/>
  <c r="AC22" i="28" s="1"/>
  <c r="AF22" i="28" s="1"/>
  <c r="G22" i="28"/>
  <c r="F22" i="28"/>
  <c r="E22" i="28"/>
  <c r="AB21" i="28"/>
  <c r="AE21" i="28" s="1"/>
  <c r="AH21" i="28" s="1"/>
  <c r="AA21" i="28"/>
  <c r="AD21" i="28" s="1"/>
  <c r="AG21" i="28" s="1"/>
  <c r="Z21" i="28"/>
  <c r="AC21" i="28" s="1"/>
  <c r="AF21" i="28" s="1"/>
  <c r="G21" i="28"/>
  <c r="F21" i="28"/>
  <c r="E21" i="28"/>
  <c r="AB20" i="28"/>
  <c r="AE20" i="28" s="1"/>
  <c r="AH20" i="28" s="1"/>
  <c r="AA20" i="28"/>
  <c r="AD20" i="28" s="1"/>
  <c r="AG20" i="28" s="1"/>
  <c r="Z20" i="28"/>
  <c r="AC20" i="28" s="1"/>
  <c r="AF20" i="28" s="1"/>
  <c r="G20" i="28"/>
  <c r="F20" i="28"/>
  <c r="E20" i="28"/>
  <c r="AB19" i="28"/>
  <c r="AE19" i="28" s="1"/>
  <c r="AH19" i="28" s="1"/>
  <c r="AA19" i="28"/>
  <c r="AD19" i="28" s="1"/>
  <c r="AG19" i="28" s="1"/>
  <c r="Z19" i="28"/>
  <c r="AC19" i="28" s="1"/>
  <c r="AF19" i="28" s="1"/>
  <c r="G19" i="28"/>
  <c r="F19" i="28"/>
  <c r="AB18" i="28"/>
  <c r="AE18" i="28" s="1"/>
  <c r="AH18" i="28" s="1"/>
  <c r="AA18" i="28"/>
  <c r="AD18" i="28" s="1"/>
  <c r="AG18" i="28" s="1"/>
  <c r="Z18" i="28"/>
  <c r="AC18" i="28" s="1"/>
  <c r="AF18" i="28" s="1"/>
  <c r="K18" i="28"/>
  <c r="AB15" i="28"/>
  <c r="AE15" i="28" s="1"/>
  <c r="AH15" i="28" s="1"/>
  <c r="AA15" i="28"/>
  <c r="AD15" i="28" s="1"/>
  <c r="AG15" i="28" s="1"/>
  <c r="Z15" i="28"/>
  <c r="AC15" i="28" s="1"/>
  <c r="AF15" i="28" s="1"/>
  <c r="G15" i="28"/>
  <c r="F15" i="28"/>
  <c r="E15" i="28"/>
  <c r="AB14" i="28"/>
  <c r="AE14" i="28" s="1"/>
  <c r="AH14" i="28" s="1"/>
  <c r="AA14" i="28"/>
  <c r="AD14" i="28" s="1"/>
  <c r="AG14" i="28" s="1"/>
  <c r="Z14" i="28"/>
  <c r="AC14" i="28" s="1"/>
  <c r="AF14" i="28" s="1"/>
  <c r="G14" i="28"/>
  <c r="F14" i="28"/>
  <c r="E14" i="28"/>
  <c r="AB13" i="28"/>
  <c r="AE13" i="28" s="1"/>
  <c r="AH13" i="28" s="1"/>
  <c r="AA13" i="28"/>
  <c r="AD13" i="28" s="1"/>
  <c r="AG13" i="28" s="1"/>
  <c r="Z13" i="28"/>
  <c r="AC13" i="28" s="1"/>
  <c r="AF13" i="28" s="1"/>
  <c r="G13" i="28"/>
  <c r="F13" i="28"/>
  <c r="E13" i="28"/>
  <c r="AB12" i="28"/>
  <c r="AE12" i="28" s="1"/>
  <c r="AH12" i="28" s="1"/>
  <c r="AA12" i="28"/>
  <c r="AD12" i="28" s="1"/>
  <c r="AG12" i="28" s="1"/>
  <c r="Z12" i="28"/>
  <c r="AC12" i="28" s="1"/>
  <c r="AF12" i="28" s="1"/>
  <c r="G12" i="28"/>
  <c r="F12" i="28"/>
  <c r="E12" i="28"/>
  <c r="AB11" i="28"/>
  <c r="AE11" i="28" s="1"/>
  <c r="AH11" i="28" s="1"/>
  <c r="AA11" i="28"/>
  <c r="AD11" i="28" s="1"/>
  <c r="AG11" i="28" s="1"/>
  <c r="Z11" i="28"/>
  <c r="AC11" i="28" s="1"/>
  <c r="AF11" i="28" s="1"/>
  <c r="G11" i="28"/>
  <c r="F11" i="28"/>
  <c r="E11" i="28"/>
  <c r="AB10" i="28"/>
  <c r="AE10" i="28" s="1"/>
  <c r="AH10" i="28" s="1"/>
  <c r="AA10" i="28"/>
  <c r="AD10" i="28" s="1"/>
  <c r="AG10" i="28" s="1"/>
  <c r="Z10" i="28"/>
  <c r="AC10" i="28" s="1"/>
  <c r="AF10" i="28" s="1"/>
  <c r="G10" i="28"/>
  <c r="F10" i="28"/>
  <c r="E10" i="28"/>
  <c r="AB9" i="28"/>
  <c r="AE9" i="28" s="1"/>
  <c r="AH9" i="28" s="1"/>
  <c r="AA9" i="28"/>
  <c r="AD9" i="28" s="1"/>
  <c r="AG9" i="28" s="1"/>
  <c r="Z9" i="28"/>
  <c r="AC9" i="28" s="1"/>
  <c r="AF9" i="28" s="1"/>
  <c r="G9" i="28"/>
  <c r="F9" i="28"/>
  <c r="E9" i="28"/>
  <c r="AB8" i="28"/>
  <c r="AE8" i="28" s="1"/>
  <c r="AH8" i="28" s="1"/>
  <c r="AA8" i="28"/>
  <c r="AD8" i="28" s="1"/>
  <c r="AG8" i="28" s="1"/>
  <c r="Z8" i="28"/>
  <c r="AC8" i="28" s="1"/>
  <c r="AF8" i="28" s="1"/>
  <c r="G8" i="28"/>
  <c r="F8" i="28"/>
  <c r="E8" i="28"/>
  <c r="AB7" i="28"/>
  <c r="AE7" i="28" s="1"/>
  <c r="AH7" i="28" s="1"/>
  <c r="AA7" i="28"/>
  <c r="AD7" i="28" s="1"/>
  <c r="AG7" i="28" s="1"/>
  <c r="Z7" i="28"/>
  <c r="AC7" i="28" s="1"/>
  <c r="AF7" i="28" s="1"/>
  <c r="G7" i="28"/>
  <c r="F7" i="28"/>
  <c r="E7" i="28"/>
  <c r="AB6" i="28"/>
  <c r="AE6" i="28" s="1"/>
  <c r="AH6" i="28" s="1"/>
  <c r="AA6" i="28"/>
  <c r="AD6" i="28" s="1"/>
  <c r="AG6" i="28" s="1"/>
  <c r="Z6" i="28"/>
  <c r="AC6" i="28" s="1"/>
  <c r="AF6" i="28" s="1"/>
  <c r="G6" i="28"/>
  <c r="F6" i="28"/>
  <c r="E6" i="28"/>
  <c r="AB5" i="28"/>
  <c r="AE5" i="28" s="1"/>
  <c r="AA5" i="28"/>
  <c r="AD5" i="28" s="1"/>
  <c r="Z5" i="28"/>
  <c r="AC5" i="28" s="1"/>
  <c r="G5" i="28"/>
  <c r="F5" i="28"/>
  <c r="E5" i="28"/>
  <c r="F164" i="6"/>
  <c r="D147" i="6"/>
  <c r="L133" i="6"/>
  <c r="L134" i="6" s="1"/>
  <c r="K133" i="6"/>
  <c r="J133" i="6"/>
  <c r="I133" i="6"/>
  <c r="G102" i="6"/>
  <c r="E102" i="6"/>
  <c r="D102" i="6"/>
  <c r="G101" i="6"/>
  <c r="E101" i="6"/>
  <c r="D101" i="6"/>
  <c r="G100" i="6"/>
  <c r="E100" i="6"/>
  <c r="D100" i="6"/>
  <c r="G99" i="6"/>
  <c r="E99" i="6"/>
  <c r="D99" i="6"/>
  <c r="G98" i="6"/>
  <c r="E98" i="6"/>
  <c r="D98" i="6"/>
  <c r="G97" i="6"/>
  <c r="E97" i="6"/>
  <c r="D97" i="6"/>
  <c r="G96" i="6"/>
  <c r="E96" i="6"/>
  <c r="D96" i="6"/>
  <c r="G95" i="6"/>
  <c r="E95" i="6"/>
  <c r="D95" i="6"/>
  <c r="G94" i="6"/>
  <c r="E94" i="6"/>
  <c r="D94" i="6"/>
  <c r="G93" i="6"/>
  <c r="E93" i="6"/>
  <c r="D93" i="6"/>
  <c r="F75" i="6"/>
  <c r="L44" i="6"/>
  <c r="L45" i="6" s="1"/>
  <c r="K44" i="6"/>
  <c r="J44" i="6"/>
  <c r="I44" i="6"/>
  <c r="B44" i="6"/>
  <c r="M43" i="6"/>
  <c r="V43" i="6" s="1"/>
  <c r="M42" i="6"/>
  <c r="V42" i="6" s="1"/>
  <c r="M41" i="6"/>
  <c r="V41" i="6" s="1"/>
  <c r="M40" i="6"/>
  <c r="V40" i="6" s="1"/>
  <c r="M39" i="6"/>
  <c r="V39" i="6" s="1"/>
  <c r="M38" i="6"/>
  <c r="V38" i="6" s="1"/>
  <c r="M37" i="6"/>
  <c r="V37" i="6" s="1"/>
  <c r="M36" i="6"/>
  <c r="V36" i="6" s="1"/>
  <c r="M35" i="6"/>
  <c r="V35" i="6" s="1"/>
  <c r="U28" i="6"/>
  <c r="W28" i="6" s="1"/>
  <c r="T28" i="6"/>
  <c r="V28" i="6" s="1"/>
  <c r="U27" i="6"/>
  <c r="W27" i="6" s="1"/>
  <c r="T27" i="6"/>
  <c r="V27" i="6" s="1"/>
  <c r="U26" i="6"/>
  <c r="W26" i="6" s="1"/>
  <c r="T26" i="6"/>
  <c r="V26" i="6" s="1"/>
  <c r="U25" i="6"/>
  <c r="W25" i="6" s="1"/>
  <c r="T25" i="6"/>
  <c r="V25" i="6" s="1"/>
  <c r="U24" i="6"/>
  <c r="W24" i="6" s="1"/>
  <c r="T24" i="6"/>
  <c r="V24" i="6" s="1"/>
  <c r="U23" i="6"/>
  <c r="W23" i="6" s="1"/>
  <c r="T23" i="6"/>
  <c r="V23" i="6" s="1"/>
  <c r="U22" i="6"/>
  <c r="W22" i="6" s="1"/>
  <c r="T22" i="6"/>
  <c r="V22" i="6" s="1"/>
  <c r="U21" i="6"/>
  <c r="W21" i="6" s="1"/>
  <c r="T21" i="6"/>
  <c r="V21" i="6" s="1"/>
  <c r="U20" i="6"/>
  <c r="W20" i="6" s="1"/>
  <c r="T20" i="6"/>
  <c r="V20" i="6" s="1"/>
  <c r="U19" i="6"/>
  <c r="W19" i="6" s="1"/>
  <c r="T19" i="6"/>
  <c r="V19" i="6" s="1"/>
  <c r="G13" i="6"/>
  <c r="E13" i="6"/>
  <c r="D13" i="6"/>
  <c r="G12" i="6"/>
  <c r="E12" i="6"/>
  <c r="D12" i="6"/>
  <c r="G11" i="6"/>
  <c r="E11" i="6"/>
  <c r="D11" i="6"/>
  <c r="G10" i="6"/>
  <c r="E10" i="6"/>
  <c r="D10" i="6"/>
  <c r="G9" i="6"/>
  <c r="E9" i="6"/>
  <c r="D9" i="6"/>
  <c r="G8" i="6"/>
  <c r="E8" i="6"/>
  <c r="D8" i="6"/>
  <c r="G7" i="6"/>
  <c r="E7" i="6"/>
  <c r="D7" i="6"/>
  <c r="G6" i="6"/>
  <c r="E6" i="6"/>
  <c r="D6" i="6"/>
  <c r="G5" i="6"/>
  <c r="E5" i="6"/>
  <c r="D5" i="6"/>
  <c r="G4" i="6"/>
  <c r="E4" i="6"/>
  <c r="D4" i="6"/>
  <c r="P20" i="19"/>
  <c r="O20" i="19"/>
  <c r="N20" i="19"/>
  <c r="M20" i="19"/>
  <c r="G20" i="19"/>
  <c r="P19" i="19"/>
  <c r="O19" i="19"/>
  <c r="N19" i="19"/>
  <c r="M19" i="19"/>
  <c r="G19" i="19"/>
  <c r="G21" i="19" s="1"/>
  <c r="F3" i="19"/>
  <c r="E3" i="19"/>
  <c r="F79" i="9"/>
  <c r="G78" i="9"/>
  <c r="G77" i="9"/>
  <c r="G76" i="9"/>
  <c r="G75" i="9"/>
  <c r="G74" i="9"/>
  <c r="G73" i="9"/>
  <c r="G72" i="9"/>
  <c r="G71" i="9"/>
  <c r="G70" i="9"/>
  <c r="V48" i="9"/>
  <c r="N46" i="9"/>
  <c r="L46" i="9"/>
  <c r="J46" i="9"/>
  <c r="I46" i="9"/>
  <c r="K45" i="9"/>
  <c r="M45" i="9" s="1"/>
  <c r="K44" i="9"/>
  <c r="M44" i="9" s="1"/>
  <c r="K43" i="9"/>
  <c r="M43" i="9" s="1"/>
  <c r="K42" i="9"/>
  <c r="M42" i="9" s="1"/>
  <c r="K41" i="9"/>
  <c r="M41" i="9" s="1"/>
  <c r="K40" i="9"/>
  <c r="M40" i="9" s="1"/>
  <c r="K39" i="9"/>
  <c r="M39" i="9" s="1"/>
  <c r="K38" i="9"/>
  <c r="M38" i="9" s="1"/>
  <c r="K37" i="9"/>
  <c r="M37" i="9" s="1"/>
  <c r="K36" i="9"/>
  <c r="M36" i="9" s="1"/>
  <c r="H19" i="9"/>
  <c r="H35" i="9" s="1"/>
  <c r="N13" i="9"/>
  <c r="H13" i="9"/>
  <c r="F13" i="9"/>
  <c r="D13" i="9"/>
  <c r="C13" i="9"/>
  <c r="N12" i="9"/>
  <c r="H12" i="9"/>
  <c r="F12" i="9"/>
  <c r="D12" i="9"/>
  <c r="C12" i="9"/>
  <c r="N11" i="9"/>
  <c r="H11" i="9"/>
  <c r="F11" i="9"/>
  <c r="D11" i="9"/>
  <c r="C11" i="9"/>
  <c r="N10" i="9"/>
  <c r="H10" i="9"/>
  <c r="F10" i="9"/>
  <c r="D10" i="9"/>
  <c r="C10" i="9"/>
  <c r="N9" i="9"/>
  <c r="H9" i="9"/>
  <c r="F9" i="9"/>
  <c r="D9" i="9"/>
  <c r="C9" i="9"/>
  <c r="N8" i="9"/>
  <c r="H8" i="9"/>
  <c r="F8" i="9"/>
  <c r="D8" i="9"/>
  <c r="C8" i="9"/>
  <c r="N7" i="9"/>
  <c r="H7" i="9"/>
  <c r="F7" i="9"/>
  <c r="D7" i="9"/>
  <c r="C7" i="9"/>
  <c r="N6" i="9"/>
  <c r="H6" i="9"/>
  <c r="F6" i="9"/>
  <c r="D6" i="9"/>
  <c r="C6" i="9"/>
  <c r="N5" i="9"/>
  <c r="H5" i="9"/>
  <c r="F5" i="9"/>
  <c r="D5" i="9"/>
  <c r="C5" i="9"/>
  <c r="N4" i="9"/>
  <c r="H4" i="9"/>
  <c r="F4" i="9"/>
  <c r="D4" i="9"/>
  <c r="C4" i="9"/>
  <c r="N3" i="9"/>
  <c r="N19" i="9" s="1"/>
  <c r="N35" i="9" s="1"/>
  <c r="I2" i="9"/>
  <c r="I18" i="9" s="1"/>
  <c r="C2" i="9"/>
  <c r="D2" i="6" s="1"/>
  <c r="AF4" i="150"/>
  <c r="AF5" i="150" s="1"/>
  <c r="AE4" i="150"/>
  <c r="AE5" i="150" s="1"/>
  <c r="Y4" i="150"/>
  <c r="Y5" i="150" s="1"/>
  <c r="H3" i="150"/>
  <c r="G3" i="150"/>
  <c r="F79" i="134"/>
  <c r="Q49" i="134"/>
  <c r="M46" i="134"/>
  <c r="W46" i="134" s="1"/>
  <c r="K46" i="134"/>
  <c r="I46" i="134"/>
  <c r="H46" i="134"/>
  <c r="J45" i="134"/>
  <c r="L45" i="134" s="1"/>
  <c r="J44" i="134"/>
  <c r="L44" i="134" s="1"/>
  <c r="J43" i="134"/>
  <c r="L43" i="134" s="1"/>
  <c r="J42" i="134"/>
  <c r="L42" i="134" s="1"/>
  <c r="J41" i="134"/>
  <c r="L41" i="134" s="1"/>
  <c r="J40" i="134"/>
  <c r="L40" i="134" s="1"/>
  <c r="J39" i="134"/>
  <c r="L39" i="134" s="1"/>
  <c r="J38" i="134"/>
  <c r="L38" i="134" s="1"/>
  <c r="J37" i="134"/>
  <c r="L37" i="134" s="1"/>
  <c r="J36" i="134"/>
  <c r="L36" i="134" s="1"/>
  <c r="G18" i="134"/>
  <c r="G35" i="134" s="1"/>
  <c r="M35" i="134" s="1"/>
  <c r="S35" i="134" s="1"/>
  <c r="H17" i="134"/>
  <c r="B17" i="134"/>
  <c r="M13" i="134"/>
  <c r="G13" i="134"/>
  <c r="E13" i="134"/>
  <c r="C13" i="134"/>
  <c r="B13" i="134"/>
  <c r="M12" i="134"/>
  <c r="G12" i="134"/>
  <c r="E12" i="134"/>
  <c r="C12" i="134"/>
  <c r="B12" i="134"/>
  <c r="M11" i="134"/>
  <c r="G11" i="134"/>
  <c r="E11" i="134"/>
  <c r="C11" i="134"/>
  <c r="B11" i="134"/>
  <c r="M10" i="134"/>
  <c r="G10" i="134"/>
  <c r="E10" i="134"/>
  <c r="C10" i="134"/>
  <c r="B10" i="134"/>
  <c r="M9" i="134"/>
  <c r="G9" i="134"/>
  <c r="E9" i="134"/>
  <c r="C9" i="134"/>
  <c r="B9" i="134"/>
  <c r="M8" i="134"/>
  <c r="G8" i="134"/>
  <c r="E8" i="134"/>
  <c r="C8" i="134"/>
  <c r="B8" i="134"/>
  <c r="M7" i="134"/>
  <c r="G7" i="134"/>
  <c r="E7" i="134"/>
  <c r="C7" i="134"/>
  <c r="B7" i="134"/>
  <c r="M6" i="134"/>
  <c r="G6" i="134"/>
  <c r="E6" i="134"/>
  <c r="C6" i="134"/>
  <c r="B6" i="134"/>
  <c r="M5" i="134"/>
  <c r="G5" i="134"/>
  <c r="E5" i="134"/>
  <c r="C5" i="134"/>
  <c r="B5" i="134"/>
  <c r="M4" i="134"/>
  <c r="G4" i="134"/>
  <c r="E4" i="134"/>
  <c r="C4" i="134"/>
  <c r="B4" i="134"/>
  <c r="M3" i="134"/>
  <c r="S3" i="134" s="1"/>
  <c r="G67" i="186"/>
  <c r="H67" i="186" s="1"/>
  <c r="D67" i="186"/>
  <c r="E67" i="186" s="1"/>
  <c r="B67" i="186"/>
  <c r="G66" i="186"/>
  <c r="H66" i="186" s="1"/>
  <c r="D66" i="186"/>
  <c r="E66" i="186" s="1"/>
  <c r="B66" i="186"/>
  <c r="G65" i="186"/>
  <c r="H65" i="186" s="1"/>
  <c r="D65" i="186"/>
  <c r="E65" i="186" s="1"/>
  <c r="B65" i="186"/>
  <c r="G64" i="186"/>
  <c r="H64" i="186" s="1"/>
  <c r="D64" i="186"/>
  <c r="E64" i="186" s="1"/>
  <c r="B64" i="186"/>
  <c r="G63" i="186"/>
  <c r="H63" i="186" s="1"/>
  <c r="D63" i="186"/>
  <c r="E63" i="186" s="1"/>
  <c r="B63" i="186"/>
  <c r="G62" i="186"/>
  <c r="H62" i="186" s="1"/>
  <c r="D62" i="186"/>
  <c r="E62" i="186" s="1"/>
  <c r="B62" i="186"/>
  <c r="G61" i="186"/>
  <c r="H61" i="186" s="1"/>
  <c r="D61" i="186"/>
  <c r="E61" i="186" s="1"/>
  <c r="B61" i="186"/>
  <c r="G60" i="186"/>
  <c r="H60" i="186" s="1"/>
  <c r="D60" i="186"/>
  <c r="E60" i="186" s="1"/>
  <c r="B60" i="186"/>
  <c r="G59" i="186"/>
  <c r="H59" i="186" s="1"/>
  <c r="D59" i="186"/>
  <c r="E59" i="186" s="1"/>
  <c r="B59" i="186"/>
  <c r="G58" i="186"/>
  <c r="H58" i="186" s="1"/>
  <c r="D58" i="186"/>
  <c r="E58" i="186" s="1"/>
  <c r="B58" i="186"/>
  <c r="J50" i="186"/>
  <c r="K50" i="186" s="1"/>
  <c r="F50" i="186"/>
  <c r="H50" i="186" s="1"/>
  <c r="D50" i="186"/>
  <c r="J49" i="186"/>
  <c r="K49" i="186" s="1"/>
  <c r="F49" i="186"/>
  <c r="D49" i="186"/>
  <c r="J48" i="186"/>
  <c r="K48" i="186" s="1"/>
  <c r="F48" i="186"/>
  <c r="H48" i="186" s="1"/>
  <c r="D48" i="186"/>
  <c r="J47" i="186"/>
  <c r="K47" i="186" s="1"/>
  <c r="F47" i="186"/>
  <c r="H47" i="186" s="1"/>
  <c r="D47" i="186"/>
  <c r="J46" i="186"/>
  <c r="K46" i="186" s="1"/>
  <c r="F46" i="186"/>
  <c r="H46" i="186" s="1"/>
  <c r="D46" i="186"/>
  <c r="J45" i="186"/>
  <c r="K45" i="186" s="1"/>
  <c r="F45" i="186"/>
  <c r="D45" i="186"/>
  <c r="J44" i="186"/>
  <c r="K44" i="186" s="1"/>
  <c r="F44" i="186"/>
  <c r="H44" i="186" s="1"/>
  <c r="D44" i="186"/>
  <c r="J43" i="186"/>
  <c r="K43" i="186" s="1"/>
  <c r="F43" i="186"/>
  <c r="H43" i="186" s="1"/>
  <c r="D43" i="186"/>
  <c r="J42" i="186"/>
  <c r="K42" i="186" s="1"/>
  <c r="F42" i="186"/>
  <c r="H42" i="186" s="1"/>
  <c r="D42" i="186"/>
  <c r="J41" i="186"/>
  <c r="F41" i="186"/>
  <c r="D41" i="186"/>
  <c r="G33" i="186"/>
  <c r="H33" i="186" s="1"/>
  <c r="D33" i="186"/>
  <c r="E33" i="186" s="1"/>
  <c r="B33" i="186"/>
  <c r="G32" i="186"/>
  <c r="H32" i="186" s="1"/>
  <c r="D32" i="186"/>
  <c r="E32" i="186" s="1"/>
  <c r="B32" i="186"/>
  <c r="G31" i="186"/>
  <c r="H31" i="186" s="1"/>
  <c r="D31" i="186"/>
  <c r="E31" i="186" s="1"/>
  <c r="B31" i="186"/>
  <c r="G30" i="186"/>
  <c r="H30" i="186" s="1"/>
  <c r="D30" i="186"/>
  <c r="E30" i="186" s="1"/>
  <c r="B30" i="186"/>
  <c r="G29" i="186"/>
  <c r="H29" i="186" s="1"/>
  <c r="D29" i="186"/>
  <c r="E29" i="186" s="1"/>
  <c r="B29" i="186"/>
  <c r="G28" i="186"/>
  <c r="H28" i="186" s="1"/>
  <c r="D28" i="186"/>
  <c r="E28" i="186" s="1"/>
  <c r="B28" i="186"/>
  <c r="G27" i="186"/>
  <c r="H27" i="186" s="1"/>
  <c r="D27" i="186"/>
  <c r="E27" i="186" s="1"/>
  <c r="B27" i="186"/>
  <c r="G26" i="186"/>
  <c r="H26" i="186" s="1"/>
  <c r="D26" i="186"/>
  <c r="E26" i="186" s="1"/>
  <c r="B26" i="186"/>
  <c r="G25" i="186"/>
  <c r="H25" i="186" s="1"/>
  <c r="D25" i="186"/>
  <c r="E25" i="186" s="1"/>
  <c r="B25" i="186"/>
  <c r="G24" i="186"/>
  <c r="H24" i="186" s="1"/>
  <c r="D24" i="186"/>
  <c r="E24" i="186" s="1"/>
  <c r="B24" i="186"/>
  <c r="D23" i="186"/>
  <c r="G23" i="186" s="1"/>
  <c r="J40" i="186" s="1"/>
  <c r="G57" i="186" s="1"/>
  <c r="C23" i="186"/>
  <c r="E40" i="186" s="1"/>
  <c r="C57" i="186" s="1"/>
  <c r="J16" i="186"/>
  <c r="K16" i="186" s="1"/>
  <c r="F16" i="186"/>
  <c r="H16" i="186" s="1"/>
  <c r="D16" i="186"/>
  <c r="C16" i="186"/>
  <c r="C50" i="186" s="1"/>
  <c r="J15" i="186"/>
  <c r="K15" i="186" s="1"/>
  <c r="F15" i="186"/>
  <c r="D15" i="186"/>
  <c r="C15" i="186"/>
  <c r="C49" i="186" s="1"/>
  <c r="J14" i="186"/>
  <c r="K14" i="186" s="1"/>
  <c r="F14" i="186"/>
  <c r="H14" i="186" s="1"/>
  <c r="D14" i="186"/>
  <c r="C14" i="186"/>
  <c r="C48" i="186" s="1"/>
  <c r="J13" i="186"/>
  <c r="K13" i="186" s="1"/>
  <c r="F13" i="186"/>
  <c r="H13" i="186" s="1"/>
  <c r="D13" i="186"/>
  <c r="C13" i="186"/>
  <c r="J12" i="186"/>
  <c r="K12" i="186" s="1"/>
  <c r="F12" i="186"/>
  <c r="H12" i="186" s="1"/>
  <c r="D12" i="186"/>
  <c r="C12" i="186"/>
  <c r="C46" i="186" s="1"/>
  <c r="J11" i="186"/>
  <c r="K11" i="186" s="1"/>
  <c r="F11" i="186"/>
  <c r="D11" i="186"/>
  <c r="C11" i="186"/>
  <c r="C45" i="186" s="1"/>
  <c r="J10" i="186"/>
  <c r="K10" i="186" s="1"/>
  <c r="F10" i="186"/>
  <c r="H10" i="186" s="1"/>
  <c r="D10" i="186"/>
  <c r="C10" i="186"/>
  <c r="C44" i="186" s="1"/>
  <c r="J9" i="186"/>
  <c r="K9" i="186" s="1"/>
  <c r="F9" i="186"/>
  <c r="H9" i="186" s="1"/>
  <c r="D9" i="186"/>
  <c r="C9" i="186"/>
  <c r="C43" i="186" s="1"/>
  <c r="J8" i="186"/>
  <c r="K8" i="186" s="1"/>
  <c r="F8" i="186"/>
  <c r="H8" i="186" s="1"/>
  <c r="D8" i="186"/>
  <c r="C8" i="186"/>
  <c r="C42" i="186" s="1"/>
  <c r="J7" i="186"/>
  <c r="K7" i="186" s="1"/>
  <c r="F7" i="186"/>
  <c r="D7" i="186"/>
  <c r="C7" i="186"/>
  <c r="C41" i="186" s="1"/>
  <c r="J6" i="186"/>
  <c r="I6" i="186"/>
  <c r="J64" i="156"/>
  <c r="H64" i="156"/>
  <c r="F64" i="156"/>
  <c r="D64" i="156"/>
  <c r="B64" i="156"/>
  <c r="L63" i="156"/>
  <c r="R63" i="156" s="1"/>
  <c r="L62" i="156"/>
  <c r="K62" i="156" s="1"/>
  <c r="L61" i="156"/>
  <c r="K61" i="156" s="1"/>
  <c r="L60" i="156"/>
  <c r="K60" i="156" s="1"/>
  <c r="L58" i="156"/>
  <c r="I58" i="156" s="1"/>
  <c r="L57" i="156"/>
  <c r="K57" i="156" s="1"/>
  <c r="L56" i="156"/>
  <c r="K56" i="156" s="1"/>
  <c r="L55" i="156"/>
  <c r="K55" i="156" s="1"/>
  <c r="L54" i="156"/>
  <c r="K54" i="156" s="1"/>
  <c r="R47" i="156"/>
  <c r="H47" i="156"/>
  <c r="D47" i="156"/>
  <c r="B47" i="156"/>
  <c r="F46" i="156"/>
  <c r="J46" i="156" s="1"/>
  <c r="F45" i="156"/>
  <c r="J45" i="156" s="1"/>
  <c r="F44" i="156"/>
  <c r="J44" i="156" s="1"/>
  <c r="F43" i="156"/>
  <c r="J43" i="156" s="1"/>
  <c r="F41" i="156"/>
  <c r="J41" i="156" s="1"/>
  <c r="F40" i="156"/>
  <c r="J40" i="156" s="1"/>
  <c r="F39" i="156"/>
  <c r="J39" i="156" s="1"/>
  <c r="F38" i="156"/>
  <c r="J38" i="156" s="1"/>
  <c r="F37" i="156"/>
  <c r="J37" i="156" s="1"/>
  <c r="J36" i="156"/>
  <c r="B36" i="156"/>
  <c r="J32" i="156"/>
  <c r="H32" i="156"/>
  <c r="F32" i="156"/>
  <c r="D32" i="156"/>
  <c r="B32" i="156"/>
  <c r="L31" i="156"/>
  <c r="L30" i="156"/>
  <c r="L29" i="156"/>
  <c r="L28" i="156"/>
  <c r="C28" i="156" s="1"/>
  <c r="L27" i="156"/>
  <c r="R27" i="156" s="1"/>
  <c r="L26" i="156"/>
  <c r="K26" i="156" s="1"/>
  <c r="L23" i="156"/>
  <c r="R23" i="156" s="1"/>
  <c r="L22" i="156"/>
  <c r="R22" i="156" s="1"/>
  <c r="R16" i="156"/>
  <c r="F16" i="156"/>
  <c r="D16" i="156"/>
  <c r="B16" i="156"/>
  <c r="H15" i="156"/>
  <c r="J15" i="156" s="1"/>
  <c r="L15" i="156" s="1"/>
  <c r="H14" i="156"/>
  <c r="J14" i="156" s="1"/>
  <c r="H13" i="156"/>
  <c r="J13" i="156" s="1"/>
  <c r="H12" i="156"/>
  <c r="J12" i="156" s="1"/>
  <c r="H11" i="156"/>
  <c r="J11" i="156" s="1"/>
  <c r="H10" i="156"/>
  <c r="J10" i="156" s="1"/>
  <c r="H9" i="156"/>
  <c r="J9" i="156" s="1"/>
  <c r="M25" i="156" s="1"/>
  <c r="J8" i="156"/>
  <c r="M24" i="156" s="1"/>
  <c r="H7" i="156"/>
  <c r="H6" i="156"/>
  <c r="J6" i="156" s="1"/>
  <c r="J66" i="155"/>
  <c r="H66" i="155"/>
  <c r="F66" i="155"/>
  <c r="D66" i="155"/>
  <c r="B66" i="155"/>
  <c r="L65" i="155"/>
  <c r="L64" i="155"/>
  <c r="O64" i="155" s="1"/>
  <c r="L63" i="155"/>
  <c r="K63" i="155" s="1"/>
  <c r="L62" i="155"/>
  <c r="C62" i="155" s="1"/>
  <c r="L61" i="155"/>
  <c r="O61" i="155" s="1"/>
  <c r="L60" i="155"/>
  <c r="O60" i="155" s="1"/>
  <c r="L59" i="155"/>
  <c r="K59" i="155" s="1"/>
  <c r="L57" i="155"/>
  <c r="I57" i="155" s="1"/>
  <c r="L56" i="155"/>
  <c r="K56" i="155" s="1"/>
  <c r="O49" i="155"/>
  <c r="H49" i="155"/>
  <c r="D49" i="155"/>
  <c r="B49" i="155"/>
  <c r="F48" i="155"/>
  <c r="J48" i="155" s="1"/>
  <c r="F47" i="155"/>
  <c r="J47" i="155" s="1"/>
  <c r="F46" i="155"/>
  <c r="J46" i="155" s="1"/>
  <c r="F45" i="155"/>
  <c r="J45" i="155" s="1"/>
  <c r="F44" i="155"/>
  <c r="J44" i="155" s="1"/>
  <c r="L44" i="155" s="1"/>
  <c r="F43" i="155"/>
  <c r="J43" i="155" s="1"/>
  <c r="F42" i="155"/>
  <c r="J42" i="155" s="1"/>
  <c r="F41" i="155"/>
  <c r="J41" i="155" s="1"/>
  <c r="L41" i="155" s="1"/>
  <c r="F40" i="155"/>
  <c r="J40" i="155" s="1"/>
  <c r="L40" i="155" s="1"/>
  <c r="F39" i="155"/>
  <c r="J39" i="155" s="1"/>
  <c r="J38" i="155"/>
  <c r="B38" i="155"/>
  <c r="J34" i="155"/>
  <c r="H34" i="155"/>
  <c r="F34" i="155"/>
  <c r="D34" i="155"/>
  <c r="B34" i="155"/>
  <c r="L33" i="155"/>
  <c r="I33" i="155" s="1"/>
  <c r="L32" i="155"/>
  <c r="I32" i="155" s="1"/>
  <c r="L31" i="155"/>
  <c r="I31" i="155" s="1"/>
  <c r="L30" i="155"/>
  <c r="K30" i="155" s="1"/>
  <c r="L29" i="155"/>
  <c r="K29" i="155" s="1"/>
  <c r="L28" i="155"/>
  <c r="O28" i="155" s="1"/>
  <c r="O27" i="155"/>
  <c r="L25" i="155"/>
  <c r="I25" i="155" s="1"/>
  <c r="L24" i="155"/>
  <c r="O17" i="155"/>
  <c r="F17" i="155"/>
  <c r="D17" i="155"/>
  <c r="B17" i="155"/>
  <c r="H16" i="155"/>
  <c r="J16" i="155" s="1"/>
  <c r="H15" i="155"/>
  <c r="J15" i="155" s="1"/>
  <c r="L15" i="155" s="1"/>
  <c r="H14" i="155"/>
  <c r="J14" i="155" s="1"/>
  <c r="L14" i="155" s="1"/>
  <c r="H13" i="155"/>
  <c r="J13" i="155" s="1"/>
  <c r="H12" i="155"/>
  <c r="J12" i="155" s="1"/>
  <c r="H11" i="155"/>
  <c r="J11" i="155" s="1"/>
  <c r="H10" i="155"/>
  <c r="J10" i="155" s="1"/>
  <c r="M27" i="155" s="1"/>
  <c r="J9" i="155"/>
  <c r="M26" i="155" s="1"/>
  <c r="H8" i="155"/>
  <c r="J8" i="155" s="1"/>
  <c r="H7" i="155"/>
  <c r="J7" i="155" s="1"/>
  <c r="W17" i="157"/>
  <c r="U17" i="157"/>
  <c r="Q17" i="157"/>
  <c r="O17" i="157"/>
  <c r="J17" i="157"/>
  <c r="H17" i="157"/>
  <c r="D17" i="157"/>
  <c r="B17" i="157"/>
  <c r="I34" i="132"/>
  <c r="G34" i="132"/>
  <c r="E34" i="132"/>
  <c r="C34" i="132"/>
  <c r="Z15" i="157"/>
  <c r="I33" i="132" s="1"/>
  <c r="X15" i="157"/>
  <c r="T15" i="157"/>
  <c r="G33" i="132" s="1"/>
  <c r="R15" i="157"/>
  <c r="M15" i="157"/>
  <c r="E33" i="132" s="1"/>
  <c r="K15" i="157"/>
  <c r="G15" i="157"/>
  <c r="C33" i="132" s="1"/>
  <c r="E15" i="157"/>
  <c r="Z14" i="157"/>
  <c r="I32" i="132" s="1"/>
  <c r="X14" i="157"/>
  <c r="T14" i="157"/>
  <c r="G32" i="132" s="1"/>
  <c r="R14" i="157"/>
  <c r="M14" i="157"/>
  <c r="E32" i="132" s="1"/>
  <c r="K14" i="157"/>
  <c r="G14" i="157"/>
  <c r="C32" i="132" s="1"/>
  <c r="E14" i="157"/>
  <c r="Z13" i="157"/>
  <c r="I31" i="132" s="1"/>
  <c r="X13" i="157"/>
  <c r="T13" i="157"/>
  <c r="G31" i="132" s="1"/>
  <c r="R13" i="157"/>
  <c r="M13" i="157"/>
  <c r="E31" i="132" s="1"/>
  <c r="K13" i="157"/>
  <c r="G13" i="157"/>
  <c r="C31" i="132" s="1"/>
  <c r="E13" i="157"/>
  <c r="I30" i="132"/>
  <c r="G30" i="132"/>
  <c r="E30" i="132"/>
  <c r="C30" i="132"/>
  <c r="Z11" i="157"/>
  <c r="I29" i="132" s="1"/>
  <c r="X11" i="157"/>
  <c r="T11" i="157"/>
  <c r="G29" i="132" s="1"/>
  <c r="R11" i="157"/>
  <c r="M11" i="157"/>
  <c r="E29" i="132" s="1"/>
  <c r="K11" i="157"/>
  <c r="E11" i="157"/>
  <c r="Z10" i="157"/>
  <c r="I28" i="132" s="1"/>
  <c r="X10" i="157"/>
  <c r="T10" i="157"/>
  <c r="G28" i="132" s="1"/>
  <c r="R10" i="157"/>
  <c r="M10" i="157"/>
  <c r="E28" i="132" s="1"/>
  <c r="K10" i="157"/>
  <c r="E10" i="157"/>
  <c r="I27" i="132"/>
  <c r="G27" i="132"/>
  <c r="E27" i="132"/>
  <c r="Z8" i="157"/>
  <c r="I26" i="132" s="1"/>
  <c r="X8" i="157"/>
  <c r="T8" i="157"/>
  <c r="G26" i="132" s="1"/>
  <c r="R8" i="157"/>
  <c r="M8" i="157"/>
  <c r="E26" i="132" s="1"/>
  <c r="K8" i="157"/>
  <c r="E8" i="157"/>
  <c r="I25" i="132"/>
  <c r="G25" i="132"/>
  <c r="E25" i="132"/>
  <c r="T113" i="196"/>
  <c r="J112" i="196"/>
  <c r="F112" i="196"/>
  <c r="E112" i="196"/>
  <c r="J111" i="196"/>
  <c r="F111" i="196"/>
  <c r="E111" i="196"/>
  <c r="J110" i="196"/>
  <c r="F110" i="196"/>
  <c r="E110" i="196"/>
  <c r="J109" i="196"/>
  <c r="F109" i="196"/>
  <c r="E109" i="196"/>
  <c r="J108" i="196"/>
  <c r="F108" i="196"/>
  <c r="E108" i="196"/>
  <c r="J107" i="196"/>
  <c r="F107" i="196"/>
  <c r="E107" i="196"/>
  <c r="J106" i="196"/>
  <c r="F106" i="196"/>
  <c r="E106" i="196"/>
  <c r="J105" i="196"/>
  <c r="F105" i="196"/>
  <c r="E105" i="196"/>
  <c r="J104" i="196"/>
  <c r="F104" i="196"/>
  <c r="E104" i="196"/>
  <c r="J103" i="196"/>
  <c r="F103" i="196"/>
  <c r="E103" i="196"/>
  <c r="J82" i="196"/>
  <c r="F82" i="196"/>
  <c r="E82" i="196"/>
  <c r="J81" i="196"/>
  <c r="F81" i="196"/>
  <c r="E81" i="196"/>
  <c r="J80" i="196"/>
  <c r="F80" i="196"/>
  <c r="E80" i="196"/>
  <c r="J79" i="196"/>
  <c r="F79" i="196"/>
  <c r="E79" i="196"/>
  <c r="J78" i="196"/>
  <c r="F78" i="196"/>
  <c r="E78" i="196"/>
  <c r="J77" i="196"/>
  <c r="F77" i="196"/>
  <c r="E77" i="196"/>
  <c r="J76" i="196"/>
  <c r="F76" i="196"/>
  <c r="E76" i="196"/>
  <c r="J75" i="196"/>
  <c r="F75" i="196"/>
  <c r="E75" i="196"/>
  <c r="J74" i="196"/>
  <c r="F74" i="196"/>
  <c r="E74" i="196"/>
  <c r="J73" i="196"/>
  <c r="F73" i="196"/>
  <c r="E73" i="196"/>
  <c r="T68" i="196"/>
  <c r="T55" i="196"/>
  <c r="T70" i="196" s="1"/>
  <c r="T85" i="196" s="1"/>
  <c r="T100" i="196" s="1"/>
  <c r="J48" i="196"/>
  <c r="H25" i="196"/>
  <c r="H41" i="196" s="1"/>
  <c r="D25" i="196"/>
  <c r="D41" i="196" s="1"/>
  <c r="L24" i="196"/>
  <c r="L40" i="196" s="1"/>
  <c r="L55" i="196" s="1"/>
  <c r="L70" i="196" s="1"/>
  <c r="L85" i="196" s="1"/>
  <c r="L100" i="196" s="1"/>
  <c r="D24" i="196"/>
  <c r="D40" i="196" s="1"/>
  <c r="D55" i="196" s="1"/>
  <c r="D70" i="196" s="1"/>
  <c r="D85" i="196" s="1"/>
  <c r="D100" i="196" s="1"/>
  <c r="H4" i="196"/>
  <c r="G4" i="196"/>
  <c r="T113" i="195"/>
  <c r="J112" i="195"/>
  <c r="E112" i="195"/>
  <c r="J111" i="195"/>
  <c r="E111" i="195"/>
  <c r="D111" i="195"/>
  <c r="J110" i="195"/>
  <c r="E110" i="195"/>
  <c r="J109" i="195"/>
  <c r="E109" i="195"/>
  <c r="J108" i="195"/>
  <c r="E108" i="195"/>
  <c r="J107" i="195"/>
  <c r="E107" i="195"/>
  <c r="J106" i="195"/>
  <c r="E106" i="195"/>
  <c r="J105" i="195"/>
  <c r="E105" i="195"/>
  <c r="J104" i="195"/>
  <c r="E104" i="195"/>
  <c r="J103" i="195"/>
  <c r="E103" i="195"/>
  <c r="J82" i="195"/>
  <c r="F82" i="195"/>
  <c r="E82" i="195"/>
  <c r="J81" i="195"/>
  <c r="F81" i="195"/>
  <c r="E81" i="195"/>
  <c r="J80" i="195"/>
  <c r="F80" i="195"/>
  <c r="E80" i="195"/>
  <c r="J79" i="195"/>
  <c r="F79" i="195"/>
  <c r="E79" i="195"/>
  <c r="J78" i="195"/>
  <c r="F78" i="195"/>
  <c r="E78" i="195"/>
  <c r="J77" i="195"/>
  <c r="F77" i="195"/>
  <c r="E77" i="195"/>
  <c r="J76" i="195"/>
  <c r="F76" i="195"/>
  <c r="E76" i="195"/>
  <c r="J75" i="195"/>
  <c r="F75" i="195"/>
  <c r="E75" i="195"/>
  <c r="J74" i="195"/>
  <c r="F74" i="195"/>
  <c r="E74" i="195"/>
  <c r="D74" i="195"/>
  <c r="J73" i="195"/>
  <c r="F73" i="195"/>
  <c r="E73" i="195"/>
  <c r="T68" i="195"/>
  <c r="T55" i="195"/>
  <c r="T70" i="195" s="1"/>
  <c r="T85" i="195" s="1"/>
  <c r="T100" i="195" s="1"/>
  <c r="R48" i="195"/>
  <c r="L40" i="195"/>
  <c r="L55" i="195" s="1"/>
  <c r="L70" i="195" s="1"/>
  <c r="L85" i="195" s="1"/>
  <c r="L100" i="195" s="1"/>
  <c r="D40" i="195"/>
  <c r="D55" i="195" s="1"/>
  <c r="D70" i="195" s="1"/>
  <c r="D85" i="195" s="1"/>
  <c r="D100" i="195" s="1"/>
  <c r="H25" i="195"/>
  <c r="P25" i="195" s="1"/>
  <c r="P41" i="195" s="1"/>
  <c r="D25" i="195"/>
  <c r="D41" i="195" s="1"/>
  <c r="D56" i="195" s="1"/>
  <c r="L72" i="191"/>
  <c r="L71" i="191"/>
  <c r="L70" i="191"/>
  <c r="L69" i="191"/>
  <c r="L64" i="191"/>
  <c r="L63" i="191"/>
  <c r="L62" i="191"/>
  <c r="L61" i="191"/>
  <c r="AB47" i="191"/>
  <c r="AB45" i="191"/>
  <c r="AB39" i="191"/>
  <c r="AB37" i="191"/>
  <c r="AB23" i="191"/>
  <c r="AB21" i="191"/>
  <c r="AB15" i="191"/>
  <c r="AB13" i="191"/>
  <c r="Y8" i="191"/>
  <c r="X8" i="191"/>
  <c r="W8" i="191"/>
  <c r="V8" i="191"/>
  <c r="U8" i="191"/>
  <c r="T8" i="191"/>
  <c r="S8" i="191"/>
  <c r="R8" i="191"/>
  <c r="Q8" i="191"/>
  <c r="P8" i="191"/>
  <c r="K8" i="191"/>
  <c r="J8" i="191"/>
  <c r="I8" i="191"/>
  <c r="H8" i="191"/>
  <c r="G8" i="191"/>
  <c r="F8" i="191"/>
  <c r="E8" i="191"/>
  <c r="D8" i="191"/>
  <c r="C8" i="191"/>
  <c r="B8" i="191"/>
  <c r="Y7" i="191"/>
  <c r="X7" i="191"/>
  <c r="W7" i="191"/>
  <c r="V7" i="191"/>
  <c r="U7" i="191"/>
  <c r="T7" i="191"/>
  <c r="S7" i="191"/>
  <c r="R7" i="191"/>
  <c r="Q7" i="191"/>
  <c r="P7" i="191"/>
  <c r="K7" i="191"/>
  <c r="J7" i="191"/>
  <c r="I7" i="191"/>
  <c r="H7" i="191"/>
  <c r="G7" i="191"/>
  <c r="F7" i="191"/>
  <c r="E7" i="191"/>
  <c r="D7" i="191"/>
  <c r="C7" i="191"/>
  <c r="B7" i="191"/>
  <c r="P6" i="191"/>
  <c r="K6" i="191"/>
  <c r="J6" i="191"/>
  <c r="I6" i="191"/>
  <c r="H6" i="191"/>
  <c r="G6" i="191"/>
  <c r="F6" i="191"/>
  <c r="E6" i="191"/>
  <c r="D6" i="191"/>
  <c r="C6" i="191"/>
  <c r="B6" i="191"/>
  <c r="Y5" i="191"/>
  <c r="X5" i="191"/>
  <c r="X2" i="191" s="1"/>
  <c r="W5" i="191"/>
  <c r="V5" i="191"/>
  <c r="U5" i="191"/>
  <c r="T5" i="191"/>
  <c r="S5" i="191"/>
  <c r="R5" i="191"/>
  <c r="Q5" i="191"/>
  <c r="K5" i="191"/>
  <c r="J5" i="191"/>
  <c r="I5" i="191"/>
  <c r="H5" i="191"/>
  <c r="G5" i="191"/>
  <c r="F5" i="191"/>
  <c r="E5" i="191"/>
  <c r="D5" i="191"/>
  <c r="C5" i="191"/>
  <c r="B5" i="191"/>
  <c r="AD139" i="185"/>
  <c r="J8" i="196" s="1"/>
  <c r="J16" i="196" s="1"/>
  <c r="AC139" i="185"/>
  <c r="J7" i="196" s="1"/>
  <c r="J15" i="196" s="1"/>
  <c r="AB139" i="185"/>
  <c r="J6" i="196" s="1"/>
  <c r="AE138" i="185"/>
  <c r="T138" i="185" s="1"/>
  <c r="AE137" i="185"/>
  <c r="T137" i="185" s="1"/>
  <c r="AE136" i="185"/>
  <c r="T136" i="185" s="1"/>
  <c r="AE135" i="185"/>
  <c r="T135" i="185" s="1"/>
  <c r="AE134" i="185"/>
  <c r="T134" i="185" s="1"/>
  <c r="AE133" i="185"/>
  <c r="T133" i="185" s="1"/>
  <c r="AE132" i="185"/>
  <c r="T132" i="185" s="1"/>
  <c r="AE131" i="185"/>
  <c r="T131" i="185" s="1"/>
  <c r="AE130" i="185"/>
  <c r="T130" i="185" s="1"/>
  <c r="AE129" i="185"/>
  <c r="T129" i="185" s="1"/>
  <c r="T126" i="185"/>
  <c r="AD123" i="185"/>
  <c r="J8" i="195" s="1"/>
  <c r="J16" i="195" s="1"/>
  <c r="J7" i="195"/>
  <c r="J15" i="195" s="1"/>
  <c r="AB123" i="185"/>
  <c r="J6" i="195" s="1"/>
  <c r="AE122" i="185"/>
  <c r="T122" i="185" s="1"/>
  <c r="T47" i="185" s="1"/>
  <c r="AE121" i="185"/>
  <c r="T121" i="185" s="1"/>
  <c r="T46" i="185" s="1"/>
  <c r="AE120" i="185"/>
  <c r="T120" i="185" s="1"/>
  <c r="T45" i="185" s="1"/>
  <c r="AE119" i="185"/>
  <c r="T119" i="185" s="1"/>
  <c r="T44" i="185" s="1"/>
  <c r="AE118" i="185"/>
  <c r="T118" i="185" s="1"/>
  <c r="T43" i="185" s="1"/>
  <c r="AE117" i="185"/>
  <c r="T117" i="185" s="1"/>
  <c r="T42" i="185" s="1"/>
  <c r="AE116" i="185"/>
  <c r="T116" i="185" s="1"/>
  <c r="T41" i="185" s="1"/>
  <c r="AE115" i="185"/>
  <c r="T115" i="185" s="1"/>
  <c r="T40" i="185" s="1"/>
  <c r="AE114" i="185"/>
  <c r="T114" i="185" s="1"/>
  <c r="T39" i="185" s="1"/>
  <c r="AE113" i="185"/>
  <c r="T113" i="185" s="1"/>
  <c r="T38" i="185" s="1"/>
  <c r="AD104" i="185"/>
  <c r="AC104" i="185"/>
  <c r="AB104" i="185"/>
  <c r="AE103" i="185"/>
  <c r="T103" i="185" s="1"/>
  <c r="Q103" i="185"/>
  <c r="Z103" i="185" s="1"/>
  <c r="AH103" i="185" s="1"/>
  <c r="P103" i="185"/>
  <c r="Y103" i="185" s="1"/>
  <c r="AG103" i="185" s="1"/>
  <c r="O103" i="185"/>
  <c r="M103" i="185"/>
  <c r="L103" i="185"/>
  <c r="K103" i="185"/>
  <c r="H103" i="185"/>
  <c r="G103" i="185"/>
  <c r="F103" i="185"/>
  <c r="D103" i="185"/>
  <c r="C103" i="185"/>
  <c r="B103" i="185"/>
  <c r="AE102" i="185"/>
  <c r="T102" i="185" s="1"/>
  <c r="Q102" i="185"/>
  <c r="Z102" i="185" s="1"/>
  <c r="AH102" i="185" s="1"/>
  <c r="P102" i="185"/>
  <c r="Y102" i="185" s="1"/>
  <c r="AG102" i="185" s="1"/>
  <c r="O102" i="185"/>
  <c r="M102" i="185"/>
  <c r="L102" i="185"/>
  <c r="K102" i="185"/>
  <c r="H102" i="185"/>
  <c r="G102" i="185"/>
  <c r="F102" i="185"/>
  <c r="D102" i="185"/>
  <c r="C102" i="185"/>
  <c r="B102" i="185"/>
  <c r="AE101" i="185"/>
  <c r="T101" i="185" s="1"/>
  <c r="Q101" i="185"/>
  <c r="Z101" i="185" s="1"/>
  <c r="AH101" i="185" s="1"/>
  <c r="P101" i="185"/>
  <c r="Y101" i="185" s="1"/>
  <c r="AG101" i="185" s="1"/>
  <c r="O101" i="185"/>
  <c r="X101" i="185" s="1"/>
  <c r="M101" i="185"/>
  <c r="L101" i="185"/>
  <c r="K101" i="185"/>
  <c r="H101" i="185"/>
  <c r="G101" i="185"/>
  <c r="F101" i="185"/>
  <c r="D101" i="185"/>
  <c r="C101" i="185"/>
  <c r="B101" i="185"/>
  <c r="AE100" i="185"/>
  <c r="T100" i="185" s="1"/>
  <c r="Q100" i="185"/>
  <c r="Z100" i="185" s="1"/>
  <c r="AH100" i="185" s="1"/>
  <c r="P100" i="185"/>
  <c r="Y100" i="185" s="1"/>
  <c r="AG100" i="185" s="1"/>
  <c r="O100" i="185"/>
  <c r="X100" i="185" s="1"/>
  <c r="M100" i="185"/>
  <c r="L100" i="185"/>
  <c r="K100" i="185"/>
  <c r="H100" i="185"/>
  <c r="G100" i="185"/>
  <c r="F100" i="185"/>
  <c r="D100" i="185"/>
  <c r="C100" i="185"/>
  <c r="B100" i="185"/>
  <c r="AE99" i="185"/>
  <c r="T99" i="185" s="1"/>
  <c r="AE98" i="185"/>
  <c r="T98" i="185" s="1"/>
  <c r="AE97" i="185"/>
  <c r="T97" i="185" s="1"/>
  <c r="AE96" i="185"/>
  <c r="T96" i="185" s="1"/>
  <c r="AE95" i="185"/>
  <c r="T95" i="185" s="1"/>
  <c r="AE94" i="185"/>
  <c r="T94" i="185" s="1"/>
  <c r="AE93" i="185"/>
  <c r="T93" i="185" s="1"/>
  <c r="AE92" i="185"/>
  <c r="T92" i="185" s="1"/>
  <c r="AE91" i="185"/>
  <c r="T91" i="185" s="1"/>
  <c r="AE90" i="185"/>
  <c r="T90" i="185" s="1"/>
  <c r="AD84" i="185"/>
  <c r="AC84" i="185"/>
  <c r="AB84" i="185"/>
  <c r="AE83" i="185"/>
  <c r="T83" i="185" s="1"/>
  <c r="Q83" i="185"/>
  <c r="Z83" i="185" s="1"/>
  <c r="AH83" i="185" s="1"/>
  <c r="P83" i="185"/>
  <c r="Y83" i="185" s="1"/>
  <c r="AG83" i="185" s="1"/>
  <c r="O83" i="185"/>
  <c r="X83" i="185" s="1"/>
  <c r="M83" i="185"/>
  <c r="L83" i="185"/>
  <c r="K83" i="185"/>
  <c r="H83" i="185"/>
  <c r="G83" i="185"/>
  <c r="F83" i="185"/>
  <c r="D83" i="185"/>
  <c r="C83" i="185"/>
  <c r="B83" i="185"/>
  <c r="AE82" i="185"/>
  <c r="T82" i="185" s="1"/>
  <c r="Q82" i="185"/>
  <c r="Z82" i="185" s="1"/>
  <c r="AH82" i="185" s="1"/>
  <c r="P82" i="185"/>
  <c r="Y82" i="185" s="1"/>
  <c r="AG82" i="185" s="1"/>
  <c r="O82" i="185"/>
  <c r="M82" i="185"/>
  <c r="L82" i="185"/>
  <c r="K82" i="185"/>
  <c r="H82" i="185"/>
  <c r="G82" i="185"/>
  <c r="F82" i="185"/>
  <c r="D82" i="185"/>
  <c r="C82" i="185"/>
  <c r="B82" i="185"/>
  <c r="AE81" i="185"/>
  <c r="T81" i="185" s="1"/>
  <c r="Q81" i="185"/>
  <c r="Z81" i="185" s="1"/>
  <c r="AH81" i="185" s="1"/>
  <c r="P81" i="185"/>
  <c r="Y81" i="185" s="1"/>
  <c r="AG81" i="185" s="1"/>
  <c r="O81" i="185"/>
  <c r="X81" i="185" s="1"/>
  <c r="M81" i="185"/>
  <c r="L81" i="185"/>
  <c r="K81" i="185"/>
  <c r="H81" i="185"/>
  <c r="G81" i="185"/>
  <c r="F81" i="185"/>
  <c r="D81" i="185"/>
  <c r="C81" i="185"/>
  <c r="B81" i="185"/>
  <c r="AE80" i="185"/>
  <c r="T80" i="185" s="1"/>
  <c r="Q80" i="185"/>
  <c r="Z80" i="185" s="1"/>
  <c r="AH80" i="185" s="1"/>
  <c r="P80" i="185"/>
  <c r="Y80" i="185" s="1"/>
  <c r="AG80" i="185" s="1"/>
  <c r="O80" i="185"/>
  <c r="M80" i="185"/>
  <c r="L80" i="185"/>
  <c r="K80" i="185"/>
  <c r="H80" i="185"/>
  <c r="G80" i="185"/>
  <c r="F80" i="185"/>
  <c r="D80" i="185"/>
  <c r="C80" i="185"/>
  <c r="B80" i="185"/>
  <c r="AE79" i="185"/>
  <c r="T79" i="185"/>
  <c r="AE78" i="185"/>
  <c r="T78" i="185" s="1"/>
  <c r="AE77" i="185"/>
  <c r="T77" i="185" s="1"/>
  <c r="AE76" i="185"/>
  <c r="T76" i="185" s="1"/>
  <c r="AE75" i="185"/>
  <c r="T75" i="185" s="1"/>
  <c r="AE74" i="185"/>
  <c r="T74" i="185" s="1"/>
  <c r="AE73" i="185"/>
  <c r="T73" i="185" s="1"/>
  <c r="AJ72" i="185"/>
  <c r="AE72" i="185"/>
  <c r="T72" i="185" s="1"/>
  <c r="AE71" i="185"/>
  <c r="T71" i="185" s="1"/>
  <c r="AE70" i="185"/>
  <c r="H63" i="185"/>
  <c r="J52" i="196" s="1"/>
  <c r="D63" i="185"/>
  <c r="F52" i="196" s="1"/>
  <c r="H62" i="185"/>
  <c r="J51" i="196" s="1"/>
  <c r="D62" i="185"/>
  <c r="F51" i="196" s="1"/>
  <c r="C62" i="185"/>
  <c r="H61" i="185"/>
  <c r="J50" i="196" s="1"/>
  <c r="D61" i="185"/>
  <c r="F50" i="196" s="1"/>
  <c r="C61" i="185"/>
  <c r="H60" i="185"/>
  <c r="J49" i="196" s="1"/>
  <c r="D60" i="185"/>
  <c r="F49" i="196" s="1"/>
  <c r="C60" i="185"/>
  <c r="D59" i="185"/>
  <c r="F48" i="196" s="1"/>
  <c r="C59" i="185"/>
  <c r="H58" i="185"/>
  <c r="J47" i="196" s="1"/>
  <c r="D58" i="185"/>
  <c r="F47" i="196" s="1"/>
  <c r="C58" i="185"/>
  <c r="H57" i="185"/>
  <c r="J46" i="196" s="1"/>
  <c r="D57" i="185"/>
  <c r="F46" i="196" s="1"/>
  <c r="C57" i="185"/>
  <c r="H56" i="185"/>
  <c r="J45" i="196" s="1"/>
  <c r="D56" i="185"/>
  <c r="F45" i="196" s="1"/>
  <c r="C56" i="185"/>
  <c r="H55" i="185"/>
  <c r="D55" i="185"/>
  <c r="F44" i="196" s="1"/>
  <c r="C55" i="185"/>
  <c r="H54" i="185"/>
  <c r="J43" i="196" s="1"/>
  <c r="D54" i="185"/>
  <c r="F43" i="196" s="1"/>
  <c r="C54" i="185"/>
  <c r="H47" i="185"/>
  <c r="J52" i="195" s="1"/>
  <c r="D47" i="185"/>
  <c r="F52" i="195" s="1"/>
  <c r="C47" i="185"/>
  <c r="E52" i="195" s="1"/>
  <c r="H46" i="185"/>
  <c r="J51" i="195" s="1"/>
  <c r="D46" i="185"/>
  <c r="F51" i="195" s="1"/>
  <c r="C46" i="185"/>
  <c r="E51" i="195" s="1"/>
  <c r="H45" i="185"/>
  <c r="J50" i="195" s="1"/>
  <c r="D45" i="185"/>
  <c r="F50" i="195" s="1"/>
  <c r="W44" i="185"/>
  <c r="H44" i="185"/>
  <c r="J49" i="195" s="1"/>
  <c r="D44" i="185"/>
  <c r="F49" i="195" s="1"/>
  <c r="C44" i="185"/>
  <c r="E49" i="195" s="1"/>
  <c r="H43" i="185"/>
  <c r="J48" i="195" s="1"/>
  <c r="D43" i="185"/>
  <c r="F48" i="195" s="1"/>
  <c r="C43" i="185"/>
  <c r="E48" i="195" s="1"/>
  <c r="H42" i="185"/>
  <c r="J47" i="195" s="1"/>
  <c r="D42" i="185"/>
  <c r="F47" i="195" s="1"/>
  <c r="C42" i="185"/>
  <c r="E47" i="195" s="1"/>
  <c r="H41" i="185"/>
  <c r="J46" i="195" s="1"/>
  <c r="D41" i="185"/>
  <c r="F46" i="195" s="1"/>
  <c r="H40" i="185"/>
  <c r="J45" i="195" s="1"/>
  <c r="D40" i="185"/>
  <c r="F45" i="195" s="1"/>
  <c r="C40" i="185"/>
  <c r="H39" i="185"/>
  <c r="J44" i="195" s="1"/>
  <c r="D39" i="185"/>
  <c r="F44" i="195" s="1"/>
  <c r="C39" i="185"/>
  <c r="E44" i="195" s="1"/>
  <c r="H38" i="185"/>
  <c r="J43" i="195" s="1"/>
  <c r="D38" i="185"/>
  <c r="F43" i="195" s="1"/>
  <c r="C38" i="185"/>
  <c r="F36" i="185"/>
  <c r="F52" i="185" s="1"/>
  <c r="O52" i="185" s="1"/>
  <c r="F88" i="185" s="1"/>
  <c r="B36" i="185"/>
  <c r="B52" i="185" s="1"/>
  <c r="K52" i="185" s="1"/>
  <c r="B88" i="185" s="1"/>
  <c r="G30" i="185"/>
  <c r="J67" i="196" s="1"/>
  <c r="R67" i="196" s="1"/>
  <c r="D30" i="185"/>
  <c r="F67" i="196" s="1"/>
  <c r="N67" i="196" s="1"/>
  <c r="C30" i="185"/>
  <c r="E67" i="196" s="1"/>
  <c r="M67" i="196" s="1"/>
  <c r="G29" i="185"/>
  <c r="D29" i="185"/>
  <c r="F66" i="196" s="1"/>
  <c r="N66" i="196" s="1"/>
  <c r="C29" i="185"/>
  <c r="G28" i="185"/>
  <c r="D28" i="185"/>
  <c r="F65" i="196" s="1"/>
  <c r="N65" i="196" s="1"/>
  <c r="C28" i="185"/>
  <c r="E65" i="196" s="1"/>
  <c r="M65" i="196" s="1"/>
  <c r="G27" i="185"/>
  <c r="J64" i="196" s="1"/>
  <c r="R64" i="196" s="1"/>
  <c r="D27" i="185"/>
  <c r="F64" i="196" s="1"/>
  <c r="N64" i="196" s="1"/>
  <c r="C27" i="185"/>
  <c r="E64" i="196" s="1"/>
  <c r="M64" i="196" s="1"/>
  <c r="G26" i="185"/>
  <c r="D26" i="185"/>
  <c r="F63" i="196" s="1"/>
  <c r="N63" i="196" s="1"/>
  <c r="C26" i="185"/>
  <c r="E63" i="196" s="1"/>
  <c r="M63" i="196" s="1"/>
  <c r="G25" i="185"/>
  <c r="J62" i="196" s="1"/>
  <c r="R62" i="196" s="1"/>
  <c r="D25" i="185"/>
  <c r="F62" i="196" s="1"/>
  <c r="N62" i="196" s="1"/>
  <c r="C25" i="185"/>
  <c r="E62" i="196" s="1"/>
  <c r="M62" i="196" s="1"/>
  <c r="G24" i="185"/>
  <c r="D24" i="185"/>
  <c r="F61" i="196" s="1"/>
  <c r="N61" i="196" s="1"/>
  <c r="C24" i="185"/>
  <c r="E61" i="196" s="1"/>
  <c r="M61" i="196" s="1"/>
  <c r="G23" i="185"/>
  <c r="J60" i="196" s="1"/>
  <c r="R60" i="196" s="1"/>
  <c r="D23" i="185"/>
  <c r="F60" i="196" s="1"/>
  <c r="N60" i="196" s="1"/>
  <c r="C23" i="185"/>
  <c r="E60" i="196" s="1"/>
  <c r="M60" i="196" s="1"/>
  <c r="G22" i="185"/>
  <c r="D22" i="185"/>
  <c r="F59" i="196" s="1"/>
  <c r="N59" i="196" s="1"/>
  <c r="C22" i="185"/>
  <c r="G21" i="185"/>
  <c r="J58" i="196" s="1"/>
  <c r="D21" i="185"/>
  <c r="C21" i="185"/>
  <c r="E58" i="196" s="1"/>
  <c r="E19" i="185"/>
  <c r="B19" i="185"/>
  <c r="G14" i="185"/>
  <c r="J67" i="195" s="1"/>
  <c r="R67" i="195" s="1"/>
  <c r="D14" i="185"/>
  <c r="F67" i="195" s="1"/>
  <c r="N67" i="195" s="1"/>
  <c r="C14" i="185"/>
  <c r="E67" i="195" s="1"/>
  <c r="M67" i="195" s="1"/>
  <c r="G13" i="185"/>
  <c r="D13" i="185"/>
  <c r="F66" i="195" s="1"/>
  <c r="N66" i="195" s="1"/>
  <c r="C13" i="185"/>
  <c r="E66" i="195" s="1"/>
  <c r="M66" i="195" s="1"/>
  <c r="G12" i="185"/>
  <c r="J65" i="195" s="1"/>
  <c r="R65" i="195" s="1"/>
  <c r="D12" i="185"/>
  <c r="F65" i="195" s="1"/>
  <c r="N65" i="195" s="1"/>
  <c r="C12" i="185"/>
  <c r="E65" i="195" s="1"/>
  <c r="M65" i="195" s="1"/>
  <c r="G11" i="185"/>
  <c r="D11" i="185"/>
  <c r="F64" i="195" s="1"/>
  <c r="N64" i="195" s="1"/>
  <c r="C11" i="185"/>
  <c r="E64" i="195" s="1"/>
  <c r="M64" i="195" s="1"/>
  <c r="G10" i="185"/>
  <c r="J63" i="195" s="1"/>
  <c r="R63" i="195" s="1"/>
  <c r="D10" i="185"/>
  <c r="F63" i="195" s="1"/>
  <c r="N63" i="195" s="1"/>
  <c r="C10" i="185"/>
  <c r="E63" i="195" s="1"/>
  <c r="M63" i="195" s="1"/>
  <c r="G9" i="185"/>
  <c r="D9" i="185"/>
  <c r="F62" i="195" s="1"/>
  <c r="N62" i="195" s="1"/>
  <c r="C9" i="185"/>
  <c r="G8" i="185"/>
  <c r="J61" i="195" s="1"/>
  <c r="R61" i="195" s="1"/>
  <c r="D8" i="185"/>
  <c r="F61" i="195" s="1"/>
  <c r="N61" i="195" s="1"/>
  <c r="C8" i="185"/>
  <c r="E61" i="195" s="1"/>
  <c r="M61" i="195" s="1"/>
  <c r="G7" i="185"/>
  <c r="D7" i="185"/>
  <c r="F60" i="195" s="1"/>
  <c r="N60" i="195" s="1"/>
  <c r="C7" i="185"/>
  <c r="E60" i="195" s="1"/>
  <c r="M60" i="195" s="1"/>
  <c r="G6" i="185"/>
  <c r="J59" i="195" s="1"/>
  <c r="R59" i="195" s="1"/>
  <c r="D6" i="185"/>
  <c r="F59" i="195" s="1"/>
  <c r="N59" i="195" s="1"/>
  <c r="C6" i="185"/>
  <c r="E59" i="195" s="1"/>
  <c r="M59" i="195" s="1"/>
  <c r="G5" i="185"/>
  <c r="D5" i="185"/>
  <c r="F58" i="195" s="1"/>
  <c r="C5" i="185"/>
  <c r="E58" i="195" s="1"/>
  <c r="M58" i="195" s="1"/>
  <c r="Y156" i="188"/>
  <c r="X156" i="188"/>
  <c r="W156" i="188"/>
  <c r="V156" i="188"/>
  <c r="U156" i="188"/>
  <c r="T156" i="188"/>
  <c r="S156" i="188"/>
  <c r="R156" i="188"/>
  <c r="Q156" i="188"/>
  <c r="AD156" i="188" s="1"/>
  <c r="P156" i="188"/>
  <c r="AC156" i="188" s="1"/>
  <c r="O156" i="188"/>
  <c r="N156" i="188"/>
  <c r="M156" i="188"/>
  <c r="L156" i="188"/>
  <c r="K156" i="188"/>
  <c r="J156" i="188"/>
  <c r="I156" i="188"/>
  <c r="H156" i="188"/>
  <c r="G156" i="188"/>
  <c r="F156" i="188"/>
  <c r="E156" i="188"/>
  <c r="D156" i="188"/>
  <c r="C156" i="188"/>
  <c r="B156" i="188"/>
  <c r="AA155" i="188"/>
  <c r="R112" i="196" s="1"/>
  <c r="Z155" i="188"/>
  <c r="R112" i="195" s="1"/>
  <c r="AA154" i="188"/>
  <c r="R111" i="196" s="1"/>
  <c r="Z154" i="188"/>
  <c r="R111" i="195" s="1"/>
  <c r="AA153" i="188"/>
  <c r="R110" i="196" s="1"/>
  <c r="Z153" i="188"/>
  <c r="R110" i="195" s="1"/>
  <c r="AA152" i="188"/>
  <c r="R109" i="196" s="1"/>
  <c r="Z152" i="188"/>
  <c r="R109" i="195" s="1"/>
  <c r="AA151" i="188"/>
  <c r="R108" i="196" s="1"/>
  <c r="Z151" i="188"/>
  <c r="R108" i="195" s="1"/>
  <c r="AA150" i="188"/>
  <c r="R107" i="196" s="1"/>
  <c r="Z150" i="188"/>
  <c r="R107" i="195" s="1"/>
  <c r="AA149" i="188"/>
  <c r="R106" i="196" s="1"/>
  <c r="Z149" i="188"/>
  <c r="R106" i="195" s="1"/>
  <c r="AA148" i="188"/>
  <c r="R105" i="196" s="1"/>
  <c r="Z148" i="188"/>
  <c r="R105" i="195" s="1"/>
  <c r="AA147" i="188"/>
  <c r="R104" i="196" s="1"/>
  <c r="Z147" i="188"/>
  <c r="R104" i="195" s="1"/>
  <c r="AA146" i="188"/>
  <c r="Z146" i="188"/>
  <c r="R103" i="195" s="1"/>
  <c r="Y141" i="188"/>
  <c r="X141" i="188"/>
  <c r="W141" i="188"/>
  <c r="V141" i="188"/>
  <c r="U141" i="188"/>
  <c r="T141" i="188"/>
  <c r="S141" i="188"/>
  <c r="R141" i="188"/>
  <c r="Q141" i="188"/>
  <c r="AD141" i="188" s="1"/>
  <c r="P141" i="188"/>
  <c r="AC141" i="188" s="1"/>
  <c r="O141" i="188"/>
  <c r="N141" i="188"/>
  <c r="M141" i="188"/>
  <c r="L141" i="188"/>
  <c r="K141" i="188"/>
  <c r="J141" i="188"/>
  <c r="I141" i="188"/>
  <c r="H141" i="188"/>
  <c r="G141" i="188"/>
  <c r="F141" i="188"/>
  <c r="E141" i="188"/>
  <c r="D141" i="188"/>
  <c r="C141" i="188"/>
  <c r="B141" i="188"/>
  <c r="AA140" i="188"/>
  <c r="N112" i="196" s="1"/>
  <c r="Z140" i="188"/>
  <c r="N112" i="195" s="1"/>
  <c r="AA139" i="188"/>
  <c r="N111" i="196" s="1"/>
  <c r="Z139" i="188"/>
  <c r="N111" i="195" s="1"/>
  <c r="AA138" i="188"/>
  <c r="N110" i="196" s="1"/>
  <c r="Z138" i="188"/>
  <c r="N110" i="195" s="1"/>
  <c r="AA137" i="188"/>
  <c r="N109" i="196" s="1"/>
  <c r="Z137" i="188"/>
  <c r="N109" i="195" s="1"/>
  <c r="AA136" i="188"/>
  <c r="N108" i="196" s="1"/>
  <c r="Z136" i="188"/>
  <c r="N108" i="195" s="1"/>
  <c r="AA135" i="188"/>
  <c r="N107" i="196" s="1"/>
  <c r="Z135" i="188"/>
  <c r="N107" i="195" s="1"/>
  <c r="AA134" i="188"/>
  <c r="N106" i="196" s="1"/>
  <c r="Z134" i="188"/>
  <c r="N106" i="195" s="1"/>
  <c r="AA133" i="188"/>
  <c r="N105" i="196" s="1"/>
  <c r="Z133" i="188"/>
  <c r="N105" i="195" s="1"/>
  <c r="AA132" i="188"/>
  <c r="N104" i="196" s="1"/>
  <c r="Z132" i="188"/>
  <c r="N104" i="195" s="1"/>
  <c r="AA131" i="188"/>
  <c r="Z131" i="188"/>
  <c r="Y124" i="188"/>
  <c r="X124" i="188"/>
  <c r="W124" i="188"/>
  <c r="V124" i="188"/>
  <c r="K124" i="188"/>
  <c r="K186" i="188" s="1"/>
  <c r="Y123" i="188"/>
  <c r="X123" i="188"/>
  <c r="W123" i="188"/>
  <c r="V123" i="188"/>
  <c r="K123" i="188"/>
  <c r="K185" i="188" s="1"/>
  <c r="Y122" i="188"/>
  <c r="X122" i="188"/>
  <c r="W122" i="188"/>
  <c r="V122" i="188"/>
  <c r="K122" i="188"/>
  <c r="K184" i="188" s="1"/>
  <c r="Y121" i="188"/>
  <c r="X121" i="188"/>
  <c r="W121" i="188"/>
  <c r="V121" i="188"/>
  <c r="K121" i="188"/>
  <c r="K183" i="188" s="1"/>
  <c r="Y120" i="188"/>
  <c r="X120" i="188"/>
  <c r="W120" i="188"/>
  <c r="V120" i="188"/>
  <c r="K120" i="188"/>
  <c r="K182" i="188" s="1"/>
  <c r="Y119" i="188"/>
  <c r="X119" i="188"/>
  <c r="W119" i="188"/>
  <c r="V119" i="188"/>
  <c r="K119" i="188"/>
  <c r="K181" i="188" s="1"/>
  <c r="Y118" i="188"/>
  <c r="X118" i="188"/>
  <c r="W118" i="188"/>
  <c r="V118" i="188"/>
  <c r="K118" i="188"/>
  <c r="K180" i="188" s="1"/>
  <c r="Y117" i="188"/>
  <c r="X117" i="188"/>
  <c r="W117" i="188"/>
  <c r="V117" i="188"/>
  <c r="Y116" i="188"/>
  <c r="X116" i="188"/>
  <c r="W116" i="188"/>
  <c r="V116" i="188"/>
  <c r="J116" i="188"/>
  <c r="J178" i="188" s="1"/>
  <c r="Y115" i="188"/>
  <c r="X115" i="188"/>
  <c r="W115" i="188"/>
  <c r="V115" i="188"/>
  <c r="R115" i="188"/>
  <c r="J115" i="188"/>
  <c r="J177" i="188" s="1"/>
  <c r="W109" i="188"/>
  <c r="V109" i="188"/>
  <c r="X108" i="188"/>
  <c r="W108" i="188"/>
  <c r="V108" i="188"/>
  <c r="J108" i="188"/>
  <c r="J170" i="188" s="1"/>
  <c r="W107" i="188"/>
  <c r="V107" i="188"/>
  <c r="X106" i="188"/>
  <c r="W106" i="188"/>
  <c r="V106" i="188"/>
  <c r="W105" i="188"/>
  <c r="V105" i="188"/>
  <c r="X104" i="188"/>
  <c r="W104" i="188"/>
  <c r="V104" i="188"/>
  <c r="W103" i="188"/>
  <c r="V103" i="188"/>
  <c r="X102" i="188"/>
  <c r="W102" i="188"/>
  <c r="V102" i="188"/>
  <c r="W101" i="188"/>
  <c r="V101" i="188"/>
  <c r="X100" i="188"/>
  <c r="W100" i="188"/>
  <c r="V100" i="188"/>
  <c r="Y93" i="188"/>
  <c r="X93" i="188"/>
  <c r="W93" i="188"/>
  <c r="V93" i="188"/>
  <c r="U93" i="188"/>
  <c r="T93" i="188"/>
  <c r="S93" i="188"/>
  <c r="R93" i="188"/>
  <c r="Q93" i="188"/>
  <c r="AD93" i="188" s="1"/>
  <c r="P93" i="188"/>
  <c r="AC93" i="188" s="1"/>
  <c r="O93" i="188"/>
  <c r="N93" i="188"/>
  <c r="M93" i="188"/>
  <c r="L93" i="188"/>
  <c r="K93" i="188"/>
  <c r="J93" i="188"/>
  <c r="I93" i="188"/>
  <c r="H93" i="188"/>
  <c r="G93" i="188"/>
  <c r="F93" i="188"/>
  <c r="E93" i="188"/>
  <c r="D93" i="188"/>
  <c r="C93" i="188"/>
  <c r="B93" i="188"/>
  <c r="AA92" i="188"/>
  <c r="R82" i="196" s="1"/>
  <c r="Z92" i="188"/>
  <c r="R82" i="195" s="1"/>
  <c r="AA91" i="188"/>
  <c r="R81" i="196" s="1"/>
  <c r="Z91" i="188"/>
  <c r="R81" i="195" s="1"/>
  <c r="AA90" i="188"/>
  <c r="R80" i="196" s="1"/>
  <c r="Z90" i="188"/>
  <c r="R80" i="195" s="1"/>
  <c r="AA89" i="188"/>
  <c r="R79" i="196" s="1"/>
  <c r="Z89" i="188"/>
  <c r="R79" i="195" s="1"/>
  <c r="AA88" i="188"/>
  <c r="R78" i="196" s="1"/>
  <c r="Z88" i="188"/>
  <c r="R78" i="195" s="1"/>
  <c r="AA87" i="188"/>
  <c r="R77" i="196" s="1"/>
  <c r="Z87" i="188"/>
  <c r="R77" i="195" s="1"/>
  <c r="AA86" i="188"/>
  <c r="R76" i="196" s="1"/>
  <c r="Z86" i="188"/>
  <c r="R76" i="195" s="1"/>
  <c r="AA85" i="188"/>
  <c r="R75" i="196" s="1"/>
  <c r="Z85" i="188"/>
  <c r="R75" i="195" s="1"/>
  <c r="AA84" i="188"/>
  <c r="R74" i="196" s="1"/>
  <c r="Z84" i="188"/>
  <c r="R74" i="195" s="1"/>
  <c r="AA83" i="188"/>
  <c r="Z83" i="188"/>
  <c r="R73" i="195" s="1"/>
  <c r="Y78" i="188"/>
  <c r="X78" i="188"/>
  <c r="W78" i="188"/>
  <c r="V78" i="188"/>
  <c r="U78" i="188"/>
  <c r="T78" i="188"/>
  <c r="S78" i="188"/>
  <c r="R78" i="188"/>
  <c r="Q78" i="188"/>
  <c r="AD78" i="188" s="1"/>
  <c r="P78" i="188"/>
  <c r="AC78" i="188" s="1"/>
  <c r="O78" i="188"/>
  <c r="N78" i="188"/>
  <c r="M78" i="188"/>
  <c r="L78" i="188"/>
  <c r="K78" i="188"/>
  <c r="J78" i="188"/>
  <c r="I78" i="188"/>
  <c r="H78" i="188"/>
  <c r="G78" i="188"/>
  <c r="F78" i="188"/>
  <c r="E78" i="188"/>
  <c r="D78" i="188"/>
  <c r="C78" i="188"/>
  <c r="B78" i="188"/>
  <c r="AA77" i="188"/>
  <c r="N82" i="196" s="1"/>
  <c r="Z77" i="188"/>
  <c r="N82" i="195" s="1"/>
  <c r="AA76" i="188"/>
  <c r="N81" i="196" s="1"/>
  <c r="Z76" i="188"/>
  <c r="N81" i="195" s="1"/>
  <c r="AA75" i="188"/>
  <c r="N80" i="196" s="1"/>
  <c r="Z75" i="188"/>
  <c r="N80" i="195" s="1"/>
  <c r="AA74" i="188"/>
  <c r="N79" i="196" s="1"/>
  <c r="Z74" i="188"/>
  <c r="N79" i="195" s="1"/>
  <c r="AA73" i="188"/>
  <c r="N78" i="196" s="1"/>
  <c r="Z73" i="188"/>
  <c r="N78" i="195" s="1"/>
  <c r="AA72" i="188"/>
  <c r="N77" i="196" s="1"/>
  <c r="Z72" i="188"/>
  <c r="N77" i="195" s="1"/>
  <c r="AA71" i="188"/>
  <c r="N76" i="196" s="1"/>
  <c r="Z71" i="188"/>
  <c r="N76" i="195" s="1"/>
  <c r="AA70" i="188"/>
  <c r="N75" i="196" s="1"/>
  <c r="Z70" i="188"/>
  <c r="N75" i="195" s="1"/>
  <c r="AA69" i="188"/>
  <c r="N74" i="196" s="1"/>
  <c r="Z69" i="188"/>
  <c r="N74" i="195" s="1"/>
  <c r="AA68" i="188"/>
  <c r="Z68" i="188"/>
  <c r="Y62" i="188"/>
  <c r="X62" i="188"/>
  <c r="W62" i="188"/>
  <c r="V62" i="188"/>
  <c r="U124" i="188"/>
  <c r="T124" i="188"/>
  <c r="S124" i="188"/>
  <c r="S186" i="188" s="1"/>
  <c r="R124" i="188"/>
  <c r="R186" i="188" s="1"/>
  <c r="Q124" i="188"/>
  <c r="AD124" i="188" s="1"/>
  <c r="P124" i="188"/>
  <c r="AC124" i="188" s="1"/>
  <c r="O124" i="188"/>
  <c r="N124" i="188"/>
  <c r="M124" i="188"/>
  <c r="L124" i="188"/>
  <c r="J124" i="188"/>
  <c r="J186" i="188" s="1"/>
  <c r="I124" i="188"/>
  <c r="H124" i="188"/>
  <c r="G124" i="188"/>
  <c r="F124" i="188"/>
  <c r="E124" i="188"/>
  <c r="D124" i="188"/>
  <c r="C61" i="188"/>
  <c r="C124" i="188" s="1"/>
  <c r="C186" i="188" s="1"/>
  <c r="B61" i="188"/>
  <c r="U123" i="188"/>
  <c r="T123" i="188"/>
  <c r="S123" i="188"/>
  <c r="S185" i="188" s="1"/>
  <c r="R123" i="188"/>
  <c r="R185" i="188" s="1"/>
  <c r="Q123" i="188"/>
  <c r="AD123" i="188" s="1"/>
  <c r="P123" i="188"/>
  <c r="AC123" i="188" s="1"/>
  <c r="O123" i="188"/>
  <c r="N123" i="188"/>
  <c r="M123" i="188"/>
  <c r="L123" i="188"/>
  <c r="J123" i="188"/>
  <c r="J185" i="188" s="1"/>
  <c r="I123" i="188"/>
  <c r="H123" i="188"/>
  <c r="G123" i="188"/>
  <c r="F123" i="188"/>
  <c r="E123" i="188"/>
  <c r="D123" i="188"/>
  <c r="C123" i="188"/>
  <c r="C185" i="188" s="1"/>
  <c r="B60" i="188"/>
  <c r="B123" i="188" s="1"/>
  <c r="B185" i="188" s="1"/>
  <c r="U122" i="188"/>
  <c r="T122" i="188"/>
  <c r="S122" i="188"/>
  <c r="S184" i="188" s="1"/>
  <c r="R122" i="188"/>
  <c r="R184" i="188" s="1"/>
  <c r="Q122" i="188"/>
  <c r="AD122" i="188" s="1"/>
  <c r="P122" i="188"/>
  <c r="AC122" i="188" s="1"/>
  <c r="O122" i="188"/>
  <c r="N122" i="188"/>
  <c r="M122" i="188"/>
  <c r="L122" i="188"/>
  <c r="J122" i="188"/>
  <c r="J184" i="188" s="1"/>
  <c r="I122" i="188"/>
  <c r="H122" i="188"/>
  <c r="G122" i="188"/>
  <c r="F122" i="188"/>
  <c r="E122" i="188"/>
  <c r="D122" i="188"/>
  <c r="C59" i="188"/>
  <c r="C122" i="188" s="1"/>
  <c r="C184" i="188" s="1"/>
  <c r="B59" i="188"/>
  <c r="U121" i="188"/>
  <c r="T121" i="188"/>
  <c r="S121" i="188"/>
  <c r="S183" i="188" s="1"/>
  <c r="R121" i="188"/>
  <c r="Q121" i="188"/>
  <c r="AD121" i="188" s="1"/>
  <c r="P121" i="188"/>
  <c r="AC121" i="188" s="1"/>
  <c r="O121" i="188"/>
  <c r="N121" i="188"/>
  <c r="M121" i="188"/>
  <c r="L121" i="188"/>
  <c r="J121" i="188"/>
  <c r="J183" i="188" s="1"/>
  <c r="I121" i="188"/>
  <c r="H121" i="188"/>
  <c r="G121" i="188"/>
  <c r="F121" i="188"/>
  <c r="E121" i="188"/>
  <c r="D121" i="188"/>
  <c r="C58" i="188"/>
  <c r="C121" i="188" s="1"/>
  <c r="C183" i="188" s="1"/>
  <c r="B58" i="188"/>
  <c r="B121" i="188" s="1"/>
  <c r="B183" i="188" s="1"/>
  <c r="U120" i="188"/>
  <c r="T120" i="188"/>
  <c r="S120" i="188"/>
  <c r="S182" i="188" s="1"/>
  <c r="R120" i="188"/>
  <c r="R182" i="188" s="1"/>
  <c r="Q120" i="188"/>
  <c r="AD120" i="188" s="1"/>
  <c r="P120" i="188"/>
  <c r="AC120" i="188" s="1"/>
  <c r="O120" i="188"/>
  <c r="N120" i="188"/>
  <c r="M120" i="188"/>
  <c r="L120" i="188"/>
  <c r="J120" i="188"/>
  <c r="J182" i="188" s="1"/>
  <c r="I120" i="188"/>
  <c r="H120" i="188"/>
  <c r="G120" i="188"/>
  <c r="F120" i="188"/>
  <c r="E120" i="188"/>
  <c r="D120" i="188"/>
  <c r="C57" i="188"/>
  <c r="C120" i="188" s="1"/>
  <c r="C182" i="188" s="1"/>
  <c r="B57" i="188"/>
  <c r="U119" i="188"/>
  <c r="T119" i="188"/>
  <c r="S119" i="188"/>
  <c r="S181" i="188" s="1"/>
  <c r="R119" i="188"/>
  <c r="R181" i="188" s="1"/>
  <c r="Q119" i="188"/>
  <c r="AD119" i="188" s="1"/>
  <c r="P119" i="188"/>
  <c r="AC119" i="188" s="1"/>
  <c r="O119" i="188"/>
  <c r="N119" i="188"/>
  <c r="M119" i="188"/>
  <c r="L119" i="188"/>
  <c r="J119" i="188"/>
  <c r="J181" i="188" s="1"/>
  <c r="I119" i="188"/>
  <c r="H119" i="188"/>
  <c r="G119" i="188"/>
  <c r="F119" i="188"/>
  <c r="E119" i="188"/>
  <c r="D119" i="188"/>
  <c r="C56" i="188"/>
  <c r="C119" i="188" s="1"/>
  <c r="C181" i="188" s="1"/>
  <c r="B56" i="188"/>
  <c r="B119" i="188" s="1"/>
  <c r="B181" i="188" s="1"/>
  <c r="U118" i="188"/>
  <c r="T118" i="188"/>
  <c r="S118" i="188"/>
  <c r="S180" i="188" s="1"/>
  <c r="R118" i="188"/>
  <c r="R180" i="188" s="1"/>
  <c r="Q118" i="188"/>
  <c r="AD118" i="188" s="1"/>
  <c r="P118" i="188"/>
  <c r="AC118" i="188" s="1"/>
  <c r="O118" i="188"/>
  <c r="N118" i="188"/>
  <c r="M118" i="188"/>
  <c r="L118" i="188"/>
  <c r="J118" i="188"/>
  <c r="J180" i="188" s="1"/>
  <c r="I118" i="188"/>
  <c r="H118" i="188"/>
  <c r="G118" i="188"/>
  <c r="F118" i="188"/>
  <c r="E118" i="188"/>
  <c r="D118" i="188"/>
  <c r="C55" i="188"/>
  <c r="B55" i="188"/>
  <c r="U117" i="188"/>
  <c r="T117" i="188"/>
  <c r="S117" i="188"/>
  <c r="S179" i="188" s="1"/>
  <c r="R117" i="188"/>
  <c r="R179" i="188" s="1"/>
  <c r="Q117" i="188"/>
  <c r="AD117" i="188" s="1"/>
  <c r="P117" i="188"/>
  <c r="AC117" i="188" s="1"/>
  <c r="O117" i="188"/>
  <c r="N117" i="188"/>
  <c r="M117" i="188"/>
  <c r="L117" i="188"/>
  <c r="K117" i="188"/>
  <c r="K179" i="188" s="1"/>
  <c r="J117" i="188"/>
  <c r="J179" i="188" s="1"/>
  <c r="I117" i="188"/>
  <c r="H117" i="188"/>
  <c r="G117" i="188"/>
  <c r="F117" i="188"/>
  <c r="E117" i="188"/>
  <c r="D117" i="188"/>
  <c r="C54" i="188"/>
  <c r="C117" i="188" s="1"/>
  <c r="C179" i="188" s="1"/>
  <c r="B54" i="188"/>
  <c r="B117" i="188" s="1"/>
  <c r="B179" i="188" s="1"/>
  <c r="U116" i="188"/>
  <c r="T116" i="188"/>
  <c r="S116" i="188"/>
  <c r="S178" i="188" s="1"/>
  <c r="R116" i="188"/>
  <c r="R178" i="188" s="1"/>
  <c r="Q116" i="188"/>
  <c r="AD116" i="188" s="1"/>
  <c r="P116" i="188"/>
  <c r="AC116" i="188" s="1"/>
  <c r="O116" i="188"/>
  <c r="N116" i="188"/>
  <c r="M116" i="188"/>
  <c r="L116" i="188"/>
  <c r="K116" i="188"/>
  <c r="K178" i="188" s="1"/>
  <c r="I116" i="188"/>
  <c r="H116" i="188"/>
  <c r="G116" i="188"/>
  <c r="F116" i="188"/>
  <c r="E116" i="188"/>
  <c r="D116" i="188"/>
  <c r="C53" i="188"/>
  <c r="B53" i="188"/>
  <c r="U115" i="188"/>
  <c r="Q115" i="188"/>
  <c r="AD115" i="188" s="1"/>
  <c r="P115" i="188"/>
  <c r="AC115" i="188" s="1"/>
  <c r="N62" i="188"/>
  <c r="M115" i="188"/>
  <c r="L115" i="188"/>
  <c r="K62" i="188"/>
  <c r="J62" i="188"/>
  <c r="I115" i="188"/>
  <c r="H115" i="188"/>
  <c r="G62" i="188"/>
  <c r="F62" i="188"/>
  <c r="E115" i="188"/>
  <c r="D62" i="188"/>
  <c r="C52" i="188"/>
  <c r="C115" i="188" s="1"/>
  <c r="B52" i="188"/>
  <c r="B115" i="188" s="1"/>
  <c r="A49" i="188"/>
  <c r="A80" i="188" s="1"/>
  <c r="A112" i="188" s="1"/>
  <c r="A143" i="188" s="1"/>
  <c r="A174" i="188" s="1"/>
  <c r="W47" i="188"/>
  <c r="V47" i="188"/>
  <c r="U109" i="188"/>
  <c r="T109" i="188"/>
  <c r="S109" i="188"/>
  <c r="S171" i="188" s="1"/>
  <c r="R109" i="188"/>
  <c r="R171" i="188" s="1"/>
  <c r="Q109" i="188"/>
  <c r="AD109" i="188" s="1"/>
  <c r="P109" i="188"/>
  <c r="AC109" i="188" s="1"/>
  <c r="O109" i="188"/>
  <c r="N109" i="188"/>
  <c r="M109" i="188"/>
  <c r="L109" i="188"/>
  <c r="K109" i="188"/>
  <c r="K171" i="188" s="1"/>
  <c r="J109" i="188"/>
  <c r="J171" i="188" s="1"/>
  <c r="I109" i="188"/>
  <c r="H109" i="188"/>
  <c r="G109" i="188"/>
  <c r="F109" i="188"/>
  <c r="E109" i="188"/>
  <c r="D109" i="188"/>
  <c r="C46" i="188"/>
  <c r="C109" i="188" s="1"/>
  <c r="C171" i="188" s="1"/>
  <c r="B46" i="188"/>
  <c r="Y108" i="188"/>
  <c r="U108" i="188"/>
  <c r="T108" i="188"/>
  <c r="S108" i="188"/>
  <c r="S170" i="188" s="1"/>
  <c r="R108" i="188"/>
  <c r="R170" i="188" s="1"/>
  <c r="Q108" i="188"/>
  <c r="AD108" i="188" s="1"/>
  <c r="P108" i="188"/>
  <c r="AC108" i="188" s="1"/>
  <c r="O108" i="188"/>
  <c r="N108" i="188"/>
  <c r="M108" i="188"/>
  <c r="L108" i="188"/>
  <c r="K108" i="188"/>
  <c r="K170" i="188" s="1"/>
  <c r="I108" i="188"/>
  <c r="H108" i="188"/>
  <c r="G108" i="188"/>
  <c r="F108" i="188"/>
  <c r="E108" i="188"/>
  <c r="D108" i="188"/>
  <c r="C45" i="188"/>
  <c r="B45" i="188"/>
  <c r="B108" i="188" s="1"/>
  <c r="B170" i="188" s="1"/>
  <c r="U107" i="188"/>
  <c r="T107" i="188"/>
  <c r="S107" i="188"/>
  <c r="S169" i="188" s="1"/>
  <c r="R107" i="188"/>
  <c r="R169" i="188" s="1"/>
  <c r="Q107" i="188"/>
  <c r="AD107" i="188" s="1"/>
  <c r="P107" i="188"/>
  <c r="AC107" i="188" s="1"/>
  <c r="O107" i="188"/>
  <c r="N107" i="188"/>
  <c r="M107" i="188"/>
  <c r="L107" i="188"/>
  <c r="K107" i="188"/>
  <c r="K169" i="188" s="1"/>
  <c r="J107" i="188"/>
  <c r="J169" i="188" s="1"/>
  <c r="I107" i="188"/>
  <c r="H107" i="188"/>
  <c r="G107" i="188"/>
  <c r="F107" i="188"/>
  <c r="E107" i="188"/>
  <c r="D107" i="188"/>
  <c r="C44" i="188"/>
  <c r="B44" i="188"/>
  <c r="Y106" i="188"/>
  <c r="U106" i="188"/>
  <c r="T106" i="188"/>
  <c r="S106" i="188"/>
  <c r="S168" i="188" s="1"/>
  <c r="R106" i="188"/>
  <c r="R168" i="188" s="1"/>
  <c r="Q106" i="188"/>
  <c r="AD106" i="188" s="1"/>
  <c r="P106" i="188"/>
  <c r="AC106" i="188" s="1"/>
  <c r="O106" i="188"/>
  <c r="N106" i="188"/>
  <c r="M106" i="188"/>
  <c r="L106" i="188"/>
  <c r="K106" i="188"/>
  <c r="K168" i="188" s="1"/>
  <c r="J106" i="188"/>
  <c r="J168" i="188" s="1"/>
  <c r="I106" i="188"/>
  <c r="H106" i="188"/>
  <c r="G106" i="188"/>
  <c r="F106" i="188"/>
  <c r="E106" i="188"/>
  <c r="D106" i="188"/>
  <c r="C43" i="188"/>
  <c r="C106" i="188" s="1"/>
  <c r="C168" i="188" s="1"/>
  <c r="B43" i="188"/>
  <c r="B106" i="188" s="1"/>
  <c r="B168" i="188" s="1"/>
  <c r="X105" i="188"/>
  <c r="U105" i="188"/>
  <c r="T105" i="188"/>
  <c r="S105" i="188"/>
  <c r="S167" i="188" s="1"/>
  <c r="R105" i="188"/>
  <c r="R167" i="188" s="1"/>
  <c r="Q105" i="188"/>
  <c r="AD105" i="188" s="1"/>
  <c r="P105" i="188"/>
  <c r="AC105" i="188" s="1"/>
  <c r="O105" i="188"/>
  <c r="N105" i="188"/>
  <c r="M105" i="188"/>
  <c r="L105" i="188"/>
  <c r="K105" i="188"/>
  <c r="K167" i="188" s="1"/>
  <c r="J105" i="188"/>
  <c r="J167" i="188" s="1"/>
  <c r="I105" i="188"/>
  <c r="H105" i="188"/>
  <c r="G105" i="188"/>
  <c r="F105" i="188"/>
  <c r="E105" i="188"/>
  <c r="D105" i="188"/>
  <c r="C42" i="188"/>
  <c r="C105" i="188" s="1"/>
  <c r="C167" i="188" s="1"/>
  <c r="B42" i="188"/>
  <c r="B105" i="188" s="1"/>
  <c r="B167" i="188" s="1"/>
  <c r="Y104" i="188"/>
  <c r="U104" i="188"/>
  <c r="T104" i="188"/>
  <c r="S104" i="188"/>
  <c r="S166" i="188" s="1"/>
  <c r="R104" i="188"/>
  <c r="R166" i="188" s="1"/>
  <c r="Q104" i="188"/>
  <c r="AD104" i="188" s="1"/>
  <c r="P104" i="188"/>
  <c r="AC104" i="188" s="1"/>
  <c r="O104" i="188"/>
  <c r="N104" i="188"/>
  <c r="M104" i="188"/>
  <c r="L104" i="188"/>
  <c r="K104" i="188"/>
  <c r="K166" i="188" s="1"/>
  <c r="J104" i="188"/>
  <c r="J166" i="188" s="1"/>
  <c r="I104" i="188"/>
  <c r="H104" i="188"/>
  <c r="G104" i="188"/>
  <c r="F104" i="188"/>
  <c r="E104" i="188"/>
  <c r="D104" i="188"/>
  <c r="C41" i="188"/>
  <c r="C104" i="188" s="1"/>
  <c r="C166" i="188" s="1"/>
  <c r="B41" i="188"/>
  <c r="U103" i="188"/>
  <c r="T103" i="188"/>
  <c r="S103" i="188"/>
  <c r="S165" i="188" s="1"/>
  <c r="R103" i="188"/>
  <c r="R165" i="188" s="1"/>
  <c r="Q103" i="188"/>
  <c r="AD103" i="188" s="1"/>
  <c r="P103" i="188"/>
  <c r="AC103" i="188" s="1"/>
  <c r="O103" i="188"/>
  <c r="N103" i="188"/>
  <c r="M103" i="188"/>
  <c r="L103" i="188"/>
  <c r="K103" i="188"/>
  <c r="K165" i="188" s="1"/>
  <c r="J103" i="188"/>
  <c r="J165" i="188" s="1"/>
  <c r="I103" i="188"/>
  <c r="H103" i="188"/>
  <c r="G103" i="188"/>
  <c r="F103" i="188"/>
  <c r="E103" i="188"/>
  <c r="D103" i="188"/>
  <c r="C40" i="188"/>
  <c r="C103" i="188" s="1"/>
  <c r="C165" i="188" s="1"/>
  <c r="B40" i="188"/>
  <c r="B103" i="188" s="1"/>
  <c r="B165" i="188" s="1"/>
  <c r="Y102" i="188"/>
  <c r="U102" i="188"/>
  <c r="T102" i="188"/>
  <c r="S102" i="188"/>
  <c r="S164" i="188" s="1"/>
  <c r="R102" i="188"/>
  <c r="R164" i="188" s="1"/>
  <c r="Q102" i="188"/>
  <c r="AD102" i="188" s="1"/>
  <c r="P102" i="188"/>
  <c r="AC102" i="188" s="1"/>
  <c r="O102" i="188"/>
  <c r="N102" i="188"/>
  <c r="M102" i="188"/>
  <c r="L102" i="188"/>
  <c r="K102" i="188"/>
  <c r="K164" i="188" s="1"/>
  <c r="J102" i="188"/>
  <c r="J164" i="188" s="1"/>
  <c r="I102" i="188"/>
  <c r="H102" i="188"/>
  <c r="G102" i="188"/>
  <c r="F102" i="188"/>
  <c r="E102" i="188"/>
  <c r="D102" i="188"/>
  <c r="C39" i="188"/>
  <c r="B39" i="188"/>
  <c r="Z39" i="188" s="1"/>
  <c r="M40" i="185" s="1"/>
  <c r="N45" i="195" s="1"/>
  <c r="X47" i="188"/>
  <c r="U101" i="188"/>
  <c r="T101" i="188"/>
  <c r="S101" i="188"/>
  <c r="S163" i="188" s="1"/>
  <c r="R101" i="188"/>
  <c r="R163" i="188" s="1"/>
  <c r="Q101" i="188"/>
  <c r="AD101" i="188" s="1"/>
  <c r="P101" i="188"/>
  <c r="AC101" i="188" s="1"/>
  <c r="O101" i="188"/>
  <c r="N101" i="188"/>
  <c r="M101" i="188"/>
  <c r="L101" i="188"/>
  <c r="K101" i="188"/>
  <c r="K163" i="188" s="1"/>
  <c r="J101" i="188"/>
  <c r="J163" i="188" s="1"/>
  <c r="I101" i="188"/>
  <c r="H101" i="188"/>
  <c r="G101" i="188"/>
  <c r="F101" i="188"/>
  <c r="E101" i="188"/>
  <c r="D101" i="188"/>
  <c r="C101" i="188"/>
  <c r="C163" i="188" s="1"/>
  <c r="B38" i="188"/>
  <c r="B101" i="188" s="1"/>
  <c r="B163" i="188" s="1"/>
  <c r="Y100" i="188"/>
  <c r="U100" i="188"/>
  <c r="T100" i="188"/>
  <c r="R100" i="188"/>
  <c r="Q100" i="188"/>
  <c r="AD100" i="188" s="1"/>
  <c r="P100" i="188"/>
  <c r="AC100" i="188" s="1"/>
  <c r="O100" i="188"/>
  <c r="N100" i="188"/>
  <c r="M100" i="188"/>
  <c r="L100" i="188"/>
  <c r="K47" i="188"/>
  <c r="J100" i="188"/>
  <c r="I100" i="188"/>
  <c r="H100" i="188"/>
  <c r="G100" i="188"/>
  <c r="F100" i="188"/>
  <c r="D100" i="188"/>
  <c r="C37" i="188"/>
  <c r="B37" i="188"/>
  <c r="B100" i="188" s="1"/>
  <c r="A34" i="188"/>
  <c r="A65" i="188" s="1"/>
  <c r="A97" i="188" s="1"/>
  <c r="A128" i="188" s="1"/>
  <c r="A159" i="188" s="1"/>
  <c r="AF30" i="188"/>
  <c r="AE30" i="188"/>
  <c r="Y30" i="188"/>
  <c r="X30" i="188"/>
  <c r="W30" i="188"/>
  <c r="V30" i="188"/>
  <c r="U30" i="188"/>
  <c r="T30" i="188"/>
  <c r="S30" i="188"/>
  <c r="R30" i="188"/>
  <c r="Q30" i="188"/>
  <c r="AB30" i="188" s="1"/>
  <c r="P30" i="188"/>
  <c r="AA30" i="188" s="1"/>
  <c r="O30" i="188"/>
  <c r="N30" i="188"/>
  <c r="M30" i="188"/>
  <c r="L30" i="188"/>
  <c r="K30" i="188"/>
  <c r="J30" i="188"/>
  <c r="I30" i="188"/>
  <c r="H30" i="188"/>
  <c r="G30" i="188"/>
  <c r="F30" i="188"/>
  <c r="E30" i="188"/>
  <c r="D30" i="188"/>
  <c r="C30" i="188"/>
  <c r="B30" i="188"/>
  <c r="AF15" i="188"/>
  <c r="AE15" i="188"/>
  <c r="Y15" i="188"/>
  <c r="X15" i="188"/>
  <c r="W15" i="188"/>
  <c r="V15" i="188"/>
  <c r="U15" i="188"/>
  <c r="T15" i="188"/>
  <c r="S15" i="188"/>
  <c r="R15" i="188"/>
  <c r="Q15" i="188"/>
  <c r="AB15" i="188" s="1"/>
  <c r="P15" i="188"/>
  <c r="AA15" i="188" s="1"/>
  <c r="O15" i="188"/>
  <c r="N15" i="188"/>
  <c r="M15" i="188"/>
  <c r="L15" i="188"/>
  <c r="K15" i="188"/>
  <c r="J15" i="188"/>
  <c r="I15" i="188"/>
  <c r="H15" i="188"/>
  <c r="G15" i="188"/>
  <c r="F15" i="188"/>
  <c r="E15" i="188"/>
  <c r="D15" i="188"/>
  <c r="C15" i="188"/>
  <c r="B15" i="188"/>
  <c r="H34" i="132"/>
  <c r="F34" i="132"/>
  <c r="D34" i="132"/>
  <c r="B34" i="132"/>
  <c r="H33" i="132"/>
  <c r="F33" i="132"/>
  <c r="D33" i="132"/>
  <c r="B33" i="132"/>
  <c r="H32" i="132"/>
  <c r="F32" i="132"/>
  <c r="D32" i="132"/>
  <c r="B32" i="132"/>
  <c r="H31" i="132"/>
  <c r="F31" i="132"/>
  <c r="D31" i="132"/>
  <c r="B31" i="132"/>
  <c r="H30" i="132"/>
  <c r="F30" i="132"/>
  <c r="D30" i="132"/>
  <c r="B30" i="132"/>
  <c r="H29" i="132"/>
  <c r="F29" i="132"/>
  <c r="D29" i="132"/>
  <c r="C29" i="132"/>
  <c r="B29" i="132"/>
  <c r="H28" i="132"/>
  <c r="F28" i="132"/>
  <c r="D28" i="132"/>
  <c r="C28" i="132"/>
  <c r="B28" i="132"/>
  <c r="H27" i="132"/>
  <c r="F27" i="132"/>
  <c r="D27" i="132"/>
  <c r="C27" i="132"/>
  <c r="B27" i="132"/>
  <c r="H26" i="132"/>
  <c r="F26" i="132"/>
  <c r="D26" i="132"/>
  <c r="C26" i="132"/>
  <c r="B26" i="132"/>
  <c r="H25" i="132"/>
  <c r="F25" i="132"/>
  <c r="D25" i="132"/>
  <c r="C25" i="132"/>
  <c r="B25" i="132"/>
  <c r="B2" i="132"/>
  <c r="K17" i="197" l="1"/>
  <c r="Q17" i="197" s="1"/>
  <c r="S17" i="197" s="1"/>
  <c r="AF57" i="27"/>
  <c r="BD57" i="27" s="1"/>
  <c r="AF58" i="27"/>
  <c r="AF59" i="27"/>
  <c r="AF61" i="27"/>
  <c r="D78" i="195"/>
  <c r="F354" i="183"/>
  <c r="BK52" i="201"/>
  <c r="AY72" i="201"/>
  <c r="W200" i="170"/>
  <c r="X200" i="170" s="1"/>
  <c r="W196" i="198"/>
  <c r="X196" i="198" s="1"/>
  <c r="W199" i="198"/>
  <c r="X199" i="198" s="1"/>
  <c r="L260" i="44"/>
  <c r="M129" i="197"/>
  <c r="O129" i="197" s="1"/>
  <c r="AE52" i="27"/>
  <c r="AF52" i="27" s="1"/>
  <c r="BD52" i="27" s="1"/>
  <c r="AE53" i="27"/>
  <c r="AF53" i="27" s="1"/>
  <c r="BD53" i="27" s="1"/>
  <c r="AE54" i="27"/>
  <c r="AE117" i="27" s="1"/>
  <c r="AE179" i="27" s="1"/>
  <c r="AE55" i="27"/>
  <c r="AF55" i="27" s="1"/>
  <c r="BD55" i="27" s="1"/>
  <c r="AE56" i="27"/>
  <c r="AF56" i="27" s="1"/>
  <c r="BD56" i="27" s="1"/>
  <c r="AE57" i="27"/>
  <c r="AE58" i="27"/>
  <c r="AE59" i="27"/>
  <c r="AE60" i="27"/>
  <c r="AF60" i="27" s="1"/>
  <c r="AE61" i="27"/>
  <c r="BZ16" i="5"/>
  <c r="AH124" i="5"/>
  <c r="H39" i="136"/>
  <c r="L422" i="183"/>
  <c r="H112" i="198"/>
  <c r="I112" i="198" s="1"/>
  <c r="AD52" i="26"/>
  <c r="AF52" i="26" s="1"/>
  <c r="AD53" i="26"/>
  <c r="AF53" i="26" s="1"/>
  <c r="AD54" i="26"/>
  <c r="AF54" i="26" s="1"/>
  <c r="AD55" i="26"/>
  <c r="AF55" i="26" s="1"/>
  <c r="AD56" i="26"/>
  <c r="AF56" i="26" s="1"/>
  <c r="AD57" i="26"/>
  <c r="AF57" i="26" s="1"/>
  <c r="BD57" i="26" s="1"/>
  <c r="AD58" i="26"/>
  <c r="AF58" i="26" s="1"/>
  <c r="AD59" i="26"/>
  <c r="AF59" i="26" s="1"/>
  <c r="BD59" i="26" s="1"/>
  <c r="AD60" i="26"/>
  <c r="AF60" i="26" s="1"/>
  <c r="AD61" i="26"/>
  <c r="AF61" i="26" s="1"/>
  <c r="CA16" i="5"/>
  <c r="AI124" i="5"/>
  <c r="J32" i="136"/>
  <c r="D322" i="183"/>
  <c r="P422" i="183"/>
  <c r="AG411" i="183"/>
  <c r="M413" i="183"/>
  <c r="W414" i="183"/>
  <c r="AG415" i="183"/>
  <c r="M417" i="183"/>
  <c r="W418" i="183"/>
  <c r="AG419" i="183"/>
  <c r="M421" i="183"/>
  <c r="BN36" i="201"/>
  <c r="W144" i="170"/>
  <c r="X144" i="170" s="1"/>
  <c r="H200" i="198"/>
  <c r="I200" i="198" s="1"/>
  <c r="V44" i="6"/>
  <c r="J118" i="35"/>
  <c r="CC16" i="5"/>
  <c r="C124" i="5"/>
  <c r="AM124" i="5"/>
  <c r="I18" i="18"/>
  <c r="V117" i="170"/>
  <c r="J29" i="136"/>
  <c r="J33" i="136"/>
  <c r="J37" i="136"/>
  <c r="M412" i="183"/>
  <c r="W413" i="183"/>
  <c r="AG414" i="183"/>
  <c r="M416" i="183"/>
  <c r="W417" i="183"/>
  <c r="AG418" i="183"/>
  <c r="M420" i="183"/>
  <c r="W421" i="183"/>
  <c r="H116" i="198"/>
  <c r="I116" i="198" s="1"/>
  <c r="N21" i="19"/>
  <c r="H201" i="198"/>
  <c r="I201" i="198" s="1"/>
  <c r="J100" i="197"/>
  <c r="P100" i="197" s="1"/>
  <c r="R100" i="197" s="1"/>
  <c r="K118" i="35"/>
  <c r="Z124" i="5"/>
  <c r="A49" i="44"/>
  <c r="A81" i="44" s="1"/>
  <c r="A112" i="44" s="1"/>
  <c r="A143" i="44" s="1"/>
  <c r="A174" i="44" s="1"/>
  <c r="BQ16" i="5"/>
  <c r="AA124" i="5"/>
  <c r="J34" i="136"/>
  <c r="W175" i="198"/>
  <c r="K66" i="197"/>
  <c r="Q66" i="197" s="1"/>
  <c r="S66" i="197" s="1"/>
  <c r="Z53" i="27"/>
  <c r="AB53" i="27" s="1"/>
  <c r="Z55" i="27"/>
  <c r="AB55" i="27" s="1"/>
  <c r="Z57" i="27"/>
  <c r="AB57" i="27" s="1"/>
  <c r="Z59" i="27"/>
  <c r="AB59" i="27" s="1"/>
  <c r="Z61" i="27"/>
  <c r="AB61" i="27" s="1"/>
  <c r="BN56" i="201"/>
  <c r="B91" i="18"/>
  <c r="H26" i="198"/>
  <c r="I26" i="198" s="1"/>
  <c r="H29" i="198"/>
  <c r="I29" i="198" s="1"/>
  <c r="E18" i="28"/>
  <c r="BG50" i="201"/>
  <c r="BK50" i="201" s="1"/>
  <c r="BD61" i="26"/>
  <c r="AG61" i="26"/>
  <c r="BE61" i="26" s="1"/>
  <c r="AZ29" i="26"/>
  <c r="BD61" i="27"/>
  <c r="AG61" i="27"/>
  <c r="BE61" i="27" s="1"/>
  <c r="AZ29" i="27"/>
  <c r="AG60" i="27"/>
  <c r="BE60" i="27" s="1"/>
  <c r="AZ28" i="27"/>
  <c r="BD60" i="26"/>
  <c r="AG60" i="26"/>
  <c r="BE60" i="26" s="1"/>
  <c r="AZ28" i="26"/>
  <c r="BD59" i="27"/>
  <c r="AG59" i="26"/>
  <c r="BE59" i="26" s="1"/>
  <c r="AZ27" i="26"/>
  <c r="AG59" i="27"/>
  <c r="BE59" i="27" s="1"/>
  <c r="AZ27" i="27"/>
  <c r="BD58" i="27"/>
  <c r="AZ26" i="27"/>
  <c r="AG58" i="27"/>
  <c r="BE58" i="27" s="1"/>
  <c r="BD58" i="26"/>
  <c r="AZ26" i="26"/>
  <c r="AG58" i="26"/>
  <c r="BE58" i="26" s="1"/>
  <c r="AZ25" i="27"/>
  <c r="AG57" i="27"/>
  <c r="BE57" i="27" s="1"/>
  <c r="AZ25" i="26"/>
  <c r="AG57" i="26"/>
  <c r="BE57" i="26" s="1"/>
  <c r="BD56" i="26"/>
  <c r="AZ24" i="27"/>
  <c r="F9" i="185" s="1"/>
  <c r="I62" i="195" s="1"/>
  <c r="Q62" i="195" s="1"/>
  <c r="AG56" i="27"/>
  <c r="BE56" i="27" s="1"/>
  <c r="AG56" i="26"/>
  <c r="BE56" i="26" s="1"/>
  <c r="AZ24" i="26"/>
  <c r="F25" i="185" s="1"/>
  <c r="BD55" i="26"/>
  <c r="AZ23" i="26"/>
  <c r="AG55" i="26"/>
  <c r="BE55" i="26" s="1"/>
  <c r="AZ23" i="27"/>
  <c r="AG55" i="27"/>
  <c r="BE55" i="27" s="1"/>
  <c r="BD54" i="26"/>
  <c r="AZ22" i="26"/>
  <c r="AG54" i="26"/>
  <c r="BE54" i="26" s="1"/>
  <c r="AG54" i="27"/>
  <c r="BE54" i="27" s="1"/>
  <c r="AZ22" i="27"/>
  <c r="F7" i="185" s="1"/>
  <c r="I60" i="195" s="1"/>
  <c r="Q60" i="195" s="1"/>
  <c r="AG53" i="27"/>
  <c r="BE53" i="27" s="1"/>
  <c r="AZ21" i="27"/>
  <c r="BD53" i="26"/>
  <c r="AZ21" i="26"/>
  <c r="AG53" i="26"/>
  <c r="BE53" i="26" s="1"/>
  <c r="AZ20" i="26"/>
  <c r="AG52" i="26"/>
  <c r="BE52" i="26" s="1"/>
  <c r="BC52" i="26"/>
  <c r="BD52" i="26"/>
  <c r="AZ20" i="27"/>
  <c r="AG52" i="27"/>
  <c r="BE52" i="27" s="1"/>
  <c r="H133" i="198"/>
  <c r="F227" i="198"/>
  <c r="H124" i="198"/>
  <c r="H218" i="198" s="1"/>
  <c r="F218" i="198"/>
  <c r="H127" i="198"/>
  <c r="F221" i="198"/>
  <c r="H129" i="198"/>
  <c r="F223" i="198"/>
  <c r="W129" i="198"/>
  <c r="U223" i="198"/>
  <c r="W125" i="198"/>
  <c r="U219" i="198"/>
  <c r="W126" i="198"/>
  <c r="U220" i="198"/>
  <c r="W132" i="198"/>
  <c r="U226" i="198"/>
  <c r="W124" i="198"/>
  <c r="W218" i="198" s="1"/>
  <c r="U218" i="198"/>
  <c r="AW156" i="201"/>
  <c r="AW155" i="201"/>
  <c r="AW154" i="201"/>
  <c r="AW152" i="201"/>
  <c r="AW157" i="201"/>
  <c r="AW148" i="201"/>
  <c r="K119" i="201"/>
  <c r="AW151" i="201"/>
  <c r="BO152" i="201"/>
  <c r="BO150" i="201"/>
  <c r="BO155" i="201"/>
  <c r="K116" i="201"/>
  <c r="K122" i="201"/>
  <c r="K114" i="201"/>
  <c r="BO149" i="201"/>
  <c r="AW153" i="201"/>
  <c r="BO156" i="201"/>
  <c r="BO154" i="201"/>
  <c r="K121" i="201"/>
  <c r="K118" i="201"/>
  <c r="K115" i="201"/>
  <c r="BO157" i="201"/>
  <c r="BO153" i="201"/>
  <c r="AW150" i="201"/>
  <c r="AW149" i="201"/>
  <c r="K123" i="201"/>
  <c r="BO148" i="201"/>
  <c r="BO151" i="201"/>
  <c r="K117" i="201"/>
  <c r="K120" i="201"/>
  <c r="J17" i="28"/>
  <c r="J16" i="28"/>
  <c r="BW98" i="201"/>
  <c r="M66" i="182" s="1"/>
  <c r="O62" i="183" s="1"/>
  <c r="P62" i="183" s="1"/>
  <c r="BW106" i="201"/>
  <c r="M306" i="182" s="1"/>
  <c r="O318" i="183" s="1"/>
  <c r="BW99" i="201"/>
  <c r="M96" i="182" s="1"/>
  <c r="O94" i="183" s="1"/>
  <c r="BW108" i="201"/>
  <c r="BW105" i="201"/>
  <c r="M276" i="182" s="1"/>
  <c r="BW100" i="201"/>
  <c r="M126" i="182" s="1"/>
  <c r="O126" i="183" s="1"/>
  <c r="BW103" i="201"/>
  <c r="M216" i="182" s="1"/>
  <c r="O222" i="183" s="1"/>
  <c r="Q222" i="183" s="1"/>
  <c r="BW104" i="201"/>
  <c r="M246" i="182" s="1"/>
  <c r="BW102" i="201"/>
  <c r="BW107" i="201"/>
  <c r="M336" i="182" s="1"/>
  <c r="BW101" i="201"/>
  <c r="H116" i="170"/>
  <c r="H114" i="170"/>
  <c r="H110" i="170"/>
  <c r="H115" i="170"/>
  <c r="N3" i="150"/>
  <c r="D9" i="182"/>
  <c r="O3" i="150"/>
  <c r="E9" i="182"/>
  <c r="F18" i="28"/>
  <c r="G18" i="28"/>
  <c r="BN51" i="201"/>
  <c r="Z56" i="27"/>
  <c r="Z119" i="27" s="1"/>
  <c r="Z181" i="27" s="1"/>
  <c r="Z52" i="27"/>
  <c r="Z54" i="27"/>
  <c r="Z58" i="27"/>
  <c r="Z60" i="27"/>
  <c r="G52" i="26"/>
  <c r="G54" i="26"/>
  <c r="G56" i="26"/>
  <c r="G58" i="26"/>
  <c r="G60" i="26"/>
  <c r="AA52" i="27"/>
  <c r="K53" i="27"/>
  <c r="AA54" i="27"/>
  <c r="K55" i="27"/>
  <c r="AA56" i="27"/>
  <c r="K57" i="27"/>
  <c r="K120" i="27" s="1"/>
  <c r="K182" i="27" s="1"/>
  <c r="AA58" i="27"/>
  <c r="K59" i="27"/>
  <c r="AA60" i="27"/>
  <c r="Z53" i="26"/>
  <c r="Z55" i="26"/>
  <c r="AB55" i="26" s="1"/>
  <c r="Z57" i="26"/>
  <c r="Z59" i="26"/>
  <c r="AB59" i="26" s="1"/>
  <c r="Z61" i="26"/>
  <c r="AA53" i="26"/>
  <c r="AA55" i="26"/>
  <c r="AA57" i="26"/>
  <c r="AA59" i="26"/>
  <c r="AA61" i="26"/>
  <c r="Z52" i="26"/>
  <c r="Z54" i="26"/>
  <c r="Z56" i="26"/>
  <c r="Z58" i="26"/>
  <c r="AB58" i="26" s="1"/>
  <c r="Z60" i="26"/>
  <c r="AB60" i="26" s="1"/>
  <c r="M14" i="191"/>
  <c r="W53" i="26"/>
  <c r="W55" i="26"/>
  <c r="W57" i="26"/>
  <c r="W59" i="26"/>
  <c r="W123" i="26" s="1"/>
  <c r="W186" i="26" s="1"/>
  <c r="W61" i="26"/>
  <c r="AC61" i="26"/>
  <c r="F30" i="185"/>
  <c r="AC61" i="27"/>
  <c r="F14" i="185"/>
  <c r="I67" i="195" s="1"/>
  <c r="Q67" i="195" s="1"/>
  <c r="F29" i="185"/>
  <c r="AC60" i="26"/>
  <c r="F13" i="185"/>
  <c r="AC60" i="27"/>
  <c r="F28" i="185"/>
  <c r="I65" i="196" s="1"/>
  <c r="Q65" i="196" s="1"/>
  <c r="AC59" i="26"/>
  <c r="AC59" i="27"/>
  <c r="F12" i="185"/>
  <c r="I65" i="195" s="1"/>
  <c r="Q65" i="195" s="1"/>
  <c r="F11" i="185"/>
  <c r="AC58" i="27"/>
  <c r="F27" i="185"/>
  <c r="I27" i="185" s="1"/>
  <c r="AC58" i="26"/>
  <c r="AC57" i="26"/>
  <c r="F26" i="185"/>
  <c r="AC57" i="27"/>
  <c r="F10" i="185"/>
  <c r="I10" i="185" s="1"/>
  <c r="AC56" i="26"/>
  <c r="AC56" i="27"/>
  <c r="AB56" i="26"/>
  <c r="AC55" i="26"/>
  <c r="F24" i="185"/>
  <c r="I61" i="196" s="1"/>
  <c r="Q61" i="196" s="1"/>
  <c r="AC55" i="27"/>
  <c r="F8" i="185"/>
  <c r="AC54" i="26"/>
  <c r="AC54" i="27"/>
  <c r="AB54" i="26"/>
  <c r="F22" i="185"/>
  <c r="AC53" i="26"/>
  <c r="AC53" i="27"/>
  <c r="F6" i="185"/>
  <c r="I6" i="185" s="1"/>
  <c r="F21" i="185"/>
  <c r="AC52" i="26"/>
  <c r="F5" i="185"/>
  <c r="AC52" i="27"/>
  <c r="AB52" i="26"/>
  <c r="BK57" i="201"/>
  <c r="BN41" i="201"/>
  <c r="BN37" i="201"/>
  <c r="BK43" i="201"/>
  <c r="BN52" i="201"/>
  <c r="BL43" i="201"/>
  <c r="BN43" i="201" s="1"/>
  <c r="BK37" i="201"/>
  <c r="BK53" i="201"/>
  <c r="J28" i="28"/>
  <c r="BU98" i="201"/>
  <c r="M67" i="182" s="1"/>
  <c r="N67" i="182" s="1"/>
  <c r="BU106" i="201"/>
  <c r="M307" i="182" s="1"/>
  <c r="BV105" i="201"/>
  <c r="M278" i="182" s="1"/>
  <c r="BU105" i="201"/>
  <c r="M277" i="182" s="1"/>
  <c r="BU103" i="201"/>
  <c r="M217" i="182" s="1"/>
  <c r="BV100" i="201"/>
  <c r="M128" i="182" s="1"/>
  <c r="BV98" i="201"/>
  <c r="M68" i="182" s="1"/>
  <c r="O68" i="182" s="1"/>
  <c r="BU104" i="201"/>
  <c r="M247" i="182" s="1"/>
  <c r="BU99" i="201"/>
  <c r="M97" i="182" s="1"/>
  <c r="BV107" i="201"/>
  <c r="M338" i="182" s="1"/>
  <c r="BV102" i="201"/>
  <c r="BV99" i="201"/>
  <c r="M98" i="182" s="1"/>
  <c r="BV106" i="201"/>
  <c r="M308" i="182" s="1"/>
  <c r="BV104" i="201"/>
  <c r="M248" i="182" s="1"/>
  <c r="BV103" i="201"/>
  <c r="M218" i="182" s="1"/>
  <c r="BV101" i="201"/>
  <c r="BU100" i="201"/>
  <c r="M127" i="182" s="1"/>
  <c r="BU101" i="201"/>
  <c r="BU108" i="201"/>
  <c r="M35" i="182" s="1"/>
  <c r="O35" i="182" s="1"/>
  <c r="BV108" i="201"/>
  <c r="M36" i="182" s="1"/>
  <c r="O36" i="182" s="1"/>
  <c r="S61" i="167"/>
  <c r="AA235" i="27"/>
  <c r="AB235" i="27" s="1"/>
  <c r="AA232" i="27"/>
  <c r="AB232" i="27" s="1"/>
  <c r="AA229" i="27"/>
  <c r="AB229" i="27" s="1"/>
  <c r="H96" i="170"/>
  <c r="R52" i="27"/>
  <c r="R115" i="27" s="1"/>
  <c r="R177" i="27" s="1"/>
  <c r="R54" i="27"/>
  <c r="R56" i="27"/>
  <c r="R58" i="27"/>
  <c r="R121" i="27" s="1"/>
  <c r="R183" i="27" s="1"/>
  <c r="R60" i="27"/>
  <c r="O53" i="26"/>
  <c r="O117" i="26" s="1"/>
  <c r="O180" i="26" s="1"/>
  <c r="W52" i="27"/>
  <c r="W54" i="27"/>
  <c r="W117" i="27" s="1"/>
  <c r="W179" i="27" s="1"/>
  <c r="W56" i="27"/>
  <c r="W119" i="27" s="1"/>
  <c r="W58" i="27"/>
  <c r="W121" i="27" s="1"/>
  <c r="W183" i="27" s="1"/>
  <c r="W60" i="27"/>
  <c r="S52" i="27"/>
  <c r="S54" i="27"/>
  <c r="S117" i="27" s="1"/>
  <c r="S179" i="27" s="1"/>
  <c r="S56" i="27"/>
  <c r="S58" i="27"/>
  <c r="S60" i="27"/>
  <c r="R53" i="26"/>
  <c r="R117" i="26" s="1"/>
  <c r="R55" i="26"/>
  <c r="R119" i="26" s="1"/>
  <c r="R57" i="26"/>
  <c r="R59" i="26"/>
  <c r="R61" i="26"/>
  <c r="R125" i="26" s="1"/>
  <c r="V60" i="27"/>
  <c r="S53" i="26"/>
  <c r="S117" i="26" s="1"/>
  <c r="S180" i="26" s="1"/>
  <c r="S55" i="26"/>
  <c r="S57" i="26"/>
  <c r="S59" i="26"/>
  <c r="S61" i="26"/>
  <c r="V55" i="26"/>
  <c r="V119" i="26" s="1"/>
  <c r="V57" i="26"/>
  <c r="V59" i="26"/>
  <c r="V61" i="26"/>
  <c r="V125" i="26" s="1"/>
  <c r="V55" i="27"/>
  <c r="V118" i="27" s="1"/>
  <c r="D71" i="35"/>
  <c r="V52" i="27"/>
  <c r="V54" i="27"/>
  <c r="V56" i="27"/>
  <c r="V119" i="27" s="1"/>
  <c r="V181" i="27" s="1"/>
  <c r="V58" i="27"/>
  <c r="V121" i="27" s="1"/>
  <c r="F17" i="35"/>
  <c r="D67" i="35"/>
  <c r="V53" i="27"/>
  <c r="V116" i="27" s="1"/>
  <c r="V57" i="27"/>
  <c r="V59" i="27"/>
  <c r="V122" i="27" s="1"/>
  <c r="V61" i="27"/>
  <c r="V124" i="27" s="1"/>
  <c r="W53" i="27"/>
  <c r="W116" i="27" s="1"/>
  <c r="W178" i="27" s="1"/>
  <c r="W55" i="27"/>
  <c r="W118" i="27" s="1"/>
  <c r="W180" i="27" s="1"/>
  <c r="W57" i="27"/>
  <c r="W120" i="27" s="1"/>
  <c r="W182" i="27" s="1"/>
  <c r="W59" i="27"/>
  <c r="W122" i="27" s="1"/>
  <c r="W184" i="27" s="1"/>
  <c r="W61" i="27"/>
  <c r="W124" i="27" s="1"/>
  <c r="W186" i="27" s="1"/>
  <c r="V52" i="26"/>
  <c r="V54" i="26"/>
  <c r="V56" i="26"/>
  <c r="V58" i="26"/>
  <c r="V60" i="26"/>
  <c r="W52" i="26"/>
  <c r="W116" i="26" s="1"/>
  <c r="W54" i="26"/>
  <c r="W56" i="26"/>
  <c r="W120" i="26" s="1"/>
  <c r="W183" i="26" s="1"/>
  <c r="W58" i="26"/>
  <c r="W122" i="26" s="1"/>
  <c r="W185" i="26" s="1"/>
  <c r="W60" i="26"/>
  <c r="W124" i="26" s="1"/>
  <c r="W187" i="26" s="1"/>
  <c r="V53" i="26"/>
  <c r="D66" i="35"/>
  <c r="E29" i="28"/>
  <c r="F29" i="28"/>
  <c r="G29" i="28"/>
  <c r="F20" i="5"/>
  <c r="J20" i="5" s="1"/>
  <c r="BN50" i="201"/>
  <c r="Y61" i="27"/>
  <c r="Y61" i="26"/>
  <c r="Y60" i="26"/>
  <c r="Y60" i="27"/>
  <c r="Y59" i="26"/>
  <c r="Y123" i="26" s="1"/>
  <c r="Y59" i="27"/>
  <c r="Y122" i="27" s="1"/>
  <c r="Y58" i="26"/>
  <c r="Y58" i="27"/>
  <c r="Y57" i="26"/>
  <c r="Y57" i="27"/>
  <c r="Y56" i="26"/>
  <c r="Y56" i="27"/>
  <c r="Y53" i="27"/>
  <c r="Y53" i="26"/>
  <c r="Y55" i="26"/>
  <c r="Y119" i="26" s="1"/>
  <c r="Y55" i="27"/>
  <c r="F23" i="185"/>
  <c r="I60" i="196" s="1"/>
  <c r="Q60" i="196" s="1"/>
  <c r="Y54" i="26"/>
  <c r="Y54" i="27"/>
  <c r="Y52" i="26"/>
  <c r="Y52" i="27"/>
  <c r="BA12" i="27"/>
  <c r="BA5" i="27"/>
  <c r="BA10" i="27"/>
  <c r="BA8" i="27"/>
  <c r="BA13" i="27"/>
  <c r="BA6" i="27"/>
  <c r="B22" i="185"/>
  <c r="D59" i="196" s="1"/>
  <c r="L59" i="196" s="1"/>
  <c r="BA11" i="27"/>
  <c r="B27" i="185"/>
  <c r="D64" i="196" s="1"/>
  <c r="L64" i="196" s="1"/>
  <c r="O64" i="196" s="1"/>
  <c r="M33" i="196" s="1"/>
  <c r="BA9" i="27"/>
  <c r="B25" i="185"/>
  <c r="D62" i="196" s="1"/>
  <c r="L62" i="196" s="1"/>
  <c r="O62" i="196" s="1"/>
  <c r="M31" i="196" s="1"/>
  <c r="BA14" i="27"/>
  <c r="B30" i="185"/>
  <c r="D67" i="196" s="1"/>
  <c r="L67" i="196" s="1"/>
  <c r="O67" i="196" s="1"/>
  <c r="M36" i="196" s="1"/>
  <c r="BA7" i="27"/>
  <c r="B23" i="185"/>
  <c r="D60" i="196" s="1"/>
  <c r="L60" i="196" s="1"/>
  <c r="O60" i="196" s="1"/>
  <c r="M29" i="196" s="1"/>
  <c r="W74" i="170"/>
  <c r="H77" i="170"/>
  <c r="BN53" i="201"/>
  <c r="R53" i="27"/>
  <c r="R55" i="27"/>
  <c r="R57" i="27"/>
  <c r="R59" i="27"/>
  <c r="R61" i="27"/>
  <c r="S53" i="27"/>
  <c r="S116" i="27" s="1"/>
  <c r="S178" i="27" s="1"/>
  <c r="S55" i="27"/>
  <c r="S118" i="27" s="1"/>
  <c r="S180" i="27" s="1"/>
  <c r="S57" i="27"/>
  <c r="S120" i="27" s="1"/>
  <c r="S182" i="27" s="1"/>
  <c r="S59" i="27"/>
  <c r="S122" i="27" s="1"/>
  <c r="S184" i="27" s="1"/>
  <c r="S61" i="27"/>
  <c r="S124" i="27" s="1"/>
  <c r="S186" i="27" s="1"/>
  <c r="R52" i="26"/>
  <c r="R54" i="26"/>
  <c r="R56" i="26"/>
  <c r="R120" i="26" s="1"/>
  <c r="R58" i="26"/>
  <c r="R122" i="26" s="1"/>
  <c r="R60" i="26"/>
  <c r="R124" i="26" s="1"/>
  <c r="S52" i="26"/>
  <c r="S116" i="26" s="1"/>
  <c r="S179" i="26" s="1"/>
  <c r="S54" i="26"/>
  <c r="S56" i="26"/>
  <c r="S120" i="26" s="1"/>
  <c r="S183" i="26" s="1"/>
  <c r="S58" i="26"/>
  <c r="S60" i="26"/>
  <c r="BK54" i="201"/>
  <c r="U61" i="27"/>
  <c r="U61" i="26"/>
  <c r="U125" i="26" s="1"/>
  <c r="U60" i="26"/>
  <c r="U124" i="26" s="1"/>
  <c r="U60" i="27"/>
  <c r="U123" i="27" s="1"/>
  <c r="U59" i="27"/>
  <c r="U122" i="27" s="1"/>
  <c r="U59" i="26"/>
  <c r="U123" i="26" s="1"/>
  <c r="U58" i="26"/>
  <c r="U122" i="26" s="1"/>
  <c r="U58" i="27"/>
  <c r="U57" i="27"/>
  <c r="U57" i="26"/>
  <c r="U56" i="26"/>
  <c r="U56" i="27"/>
  <c r="U55" i="26"/>
  <c r="U119" i="26" s="1"/>
  <c r="U55" i="27"/>
  <c r="U54" i="27"/>
  <c r="U54" i="26"/>
  <c r="U53" i="27"/>
  <c r="U53" i="26"/>
  <c r="U117" i="26" s="1"/>
  <c r="I17" i="157"/>
  <c r="D35" i="132" s="1"/>
  <c r="K17" i="157"/>
  <c r="C17" i="157"/>
  <c r="E17" i="157"/>
  <c r="M16" i="191"/>
  <c r="U52" i="26"/>
  <c r="U52" i="27"/>
  <c r="AO107" i="201"/>
  <c r="AR102" i="201"/>
  <c r="AR106" i="201"/>
  <c r="AR99" i="201"/>
  <c r="AR105" i="201"/>
  <c r="AR100" i="201"/>
  <c r="AR103" i="201"/>
  <c r="AR107" i="201"/>
  <c r="AR104" i="201"/>
  <c r="AP98" i="201"/>
  <c r="AR101" i="201"/>
  <c r="AR98" i="201"/>
  <c r="S235" i="27"/>
  <c r="T235" i="27" s="1"/>
  <c r="S228" i="27"/>
  <c r="T228" i="27" s="1"/>
  <c r="T290" i="27"/>
  <c r="S234" i="27"/>
  <c r="T234" i="27" s="1"/>
  <c r="D12" i="134"/>
  <c r="F12" i="134" s="1"/>
  <c r="S231" i="27"/>
  <c r="T231" i="27" s="1"/>
  <c r="D9" i="134"/>
  <c r="S232" i="27"/>
  <c r="T232" i="27" s="1"/>
  <c r="T297" i="27"/>
  <c r="U165" i="27"/>
  <c r="U166" i="27"/>
  <c r="U164" i="27"/>
  <c r="U169" i="27"/>
  <c r="U163" i="27"/>
  <c r="U170" i="27"/>
  <c r="U171" i="27"/>
  <c r="U167" i="27"/>
  <c r="U168" i="27"/>
  <c r="O61" i="26"/>
  <c r="O125" i="26" s="1"/>
  <c r="O188" i="26" s="1"/>
  <c r="O55" i="26"/>
  <c r="O119" i="26" s="1"/>
  <c r="O182" i="26" s="1"/>
  <c r="O57" i="26"/>
  <c r="O121" i="26" s="1"/>
  <c r="O184" i="26" s="1"/>
  <c r="O59" i="26"/>
  <c r="N52" i="27"/>
  <c r="N54" i="27"/>
  <c r="N117" i="27" s="1"/>
  <c r="N56" i="27"/>
  <c r="N119" i="27" s="1"/>
  <c r="N181" i="27" s="1"/>
  <c r="N58" i="27"/>
  <c r="N121" i="27" s="1"/>
  <c r="N183" i="27" s="1"/>
  <c r="N60" i="27"/>
  <c r="BK41" i="201"/>
  <c r="BK38" i="201"/>
  <c r="BL44" i="201"/>
  <c r="BN44" i="201" s="1"/>
  <c r="BN35" i="201"/>
  <c r="BN38" i="201"/>
  <c r="BN57" i="201"/>
  <c r="BI67" i="201"/>
  <c r="BM67" i="201"/>
  <c r="K61" i="27"/>
  <c r="K124" i="27" s="1"/>
  <c r="K186" i="27" s="1"/>
  <c r="BL42" i="201"/>
  <c r="BN42" i="201" s="1"/>
  <c r="BK55" i="201"/>
  <c r="BK58" i="201"/>
  <c r="AS90" i="201"/>
  <c r="AW90" i="201" s="1"/>
  <c r="BJ90" i="201"/>
  <c r="BK90" i="201" s="1"/>
  <c r="AW91" i="201"/>
  <c r="BJ91" i="201"/>
  <c r="BK91" i="201" s="1"/>
  <c r="AS92" i="201"/>
  <c r="AW92" i="201" s="1"/>
  <c r="BJ92" i="201"/>
  <c r="BK92" i="201" s="1"/>
  <c r="AS89" i="201"/>
  <c r="AW89" i="201" s="1"/>
  <c r="BJ89" i="201"/>
  <c r="BK89" i="201" s="1"/>
  <c r="AS86" i="201"/>
  <c r="AW86" i="201" s="1"/>
  <c r="BJ86" i="201"/>
  <c r="BK86" i="201" s="1"/>
  <c r="AS85" i="201"/>
  <c r="AW85" i="201" s="1"/>
  <c r="BJ85" i="201"/>
  <c r="BK85" i="201" s="1"/>
  <c r="N53" i="27"/>
  <c r="N116" i="27" s="1"/>
  <c r="N55" i="27"/>
  <c r="N118" i="27" s="1"/>
  <c r="N57" i="27"/>
  <c r="N120" i="27" s="1"/>
  <c r="N59" i="27"/>
  <c r="N122" i="27" s="1"/>
  <c r="N61" i="27"/>
  <c r="N124" i="27" s="1"/>
  <c r="O53" i="27"/>
  <c r="O55" i="27"/>
  <c r="O57" i="27"/>
  <c r="O59" i="27"/>
  <c r="O61" i="27"/>
  <c r="BC84" i="201"/>
  <c r="BJ84" i="201" s="1"/>
  <c r="BK84" i="201" s="1"/>
  <c r="BJ36" i="201"/>
  <c r="BK36" i="201" s="1"/>
  <c r="N52" i="26"/>
  <c r="N116" i="26" s="1"/>
  <c r="N54" i="26"/>
  <c r="N118" i="26" s="1"/>
  <c r="N56" i="26"/>
  <c r="N58" i="26"/>
  <c r="N122" i="26" s="1"/>
  <c r="N60" i="26"/>
  <c r="R10" i="5"/>
  <c r="C10" i="5" s="1"/>
  <c r="BG40" i="201"/>
  <c r="BK40" i="201" s="1"/>
  <c r="O52" i="26"/>
  <c r="O116" i="26" s="1"/>
  <c r="O54" i="26"/>
  <c r="O118" i="26" s="1"/>
  <c r="O181" i="26" s="1"/>
  <c r="O56" i="26"/>
  <c r="O120" i="26" s="1"/>
  <c r="O183" i="26" s="1"/>
  <c r="O58" i="26"/>
  <c r="O122" i="26" s="1"/>
  <c r="O185" i="26" s="1"/>
  <c r="O60" i="26"/>
  <c r="AV88" i="201"/>
  <c r="BL40" i="201"/>
  <c r="BN40" i="201" s="1"/>
  <c r="AO75" i="201"/>
  <c r="BG44" i="201"/>
  <c r="BK44" i="201" s="1"/>
  <c r="O52" i="27"/>
  <c r="O54" i="27"/>
  <c r="O56" i="27"/>
  <c r="O58" i="27"/>
  <c r="O121" i="27" s="1"/>
  <c r="O183" i="27" s="1"/>
  <c r="O60" i="27"/>
  <c r="O123" i="27" s="1"/>
  <c r="O185" i="27" s="1"/>
  <c r="M57" i="26"/>
  <c r="BK56" i="201"/>
  <c r="N53" i="26"/>
  <c r="N55" i="26"/>
  <c r="N57" i="26"/>
  <c r="N59" i="26"/>
  <c r="N61" i="26"/>
  <c r="BC83" i="201"/>
  <c r="BJ83" i="201" s="1"/>
  <c r="BJ35" i="201"/>
  <c r="BK35" i="201" s="1"/>
  <c r="BK42" i="201"/>
  <c r="BK51" i="201"/>
  <c r="AV87" i="201"/>
  <c r="BL39" i="201"/>
  <c r="BN39" i="201" s="1"/>
  <c r="R9" i="5"/>
  <c r="C9" i="5" s="1"/>
  <c r="D9" i="5" s="1"/>
  <c r="BG39" i="201"/>
  <c r="BK39" i="201" s="1"/>
  <c r="Z5" i="191"/>
  <c r="Q55" i="27"/>
  <c r="Q118" i="27" s="1"/>
  <c r="Q55" i="26"/>
  <c r="Q61" i="26"/>
  <c r="Q61" i="27"/>
  <c r="Q60" i="26"/>
  <c r="Q60" i="27"/>
  <c r="Q59" i="27"/>
  <c r="Q59" i="26"/>
  <c r="Q58" i="27"/>
  <c r="Q58" i="26"/>
  <c r="Q57" i="26"/>
  <c r="Q57" i="27"/>
  <c r="Q56" i="27"/>
  <c r="Q56" i="26"/>
  <c r="Q3" i="191"/>
  <c r="Q54" i="26"/>
  <c r="Q54" i="27"/>
  <c r="Q53" i="27"/>
  <c r="Q53" i="26"/>
  <c r="Q52" i="26"/>
  <c r="Q52" i="27"/>
  <c r="T94" i="201"/>
  <c r="B29" i="185"/>
  <c r="D66" i="196" s="1"/>
  <c r="L66" i="196" s="1"/>
  <c r="I19" i="18"/>
  <c r="G90" i="18"/>
  <c r="G83" i="18"/>
  <c r="I12" i="18"/>
  <c r="AS152" i="201"/>
  <c r="AT152" i="201" s="1"/>
  <c r="M167" i="182" s="1"/>
  <c r="S9" i="5"/>
  <c r="F9" i="5" s="1"/>
  <c r="H199" i="198"/>
  <c r="I199" i="198" s="1"/>
  <c r="D9" i="42"/>
  <c r="F52" i="27"/>
  <c r="F54" i="27"/>
  <c r="F117" i="27" s="1"/>
  <c r="F179" i="27" s="1"/>
  <c r="F56" i="27"/>
  <c r="F119" i="27" s="1"/>
  <c r="F181" i="27" s="1"/>
  <c r="F58" i="27"/>
  <c r="F121" i="27" s="1"/>
  <c r="F60" i="27"/>
  <c r="F123" i="27" s="1"/>
  <c r="P299" i="27"/>
  <c r="W57" i="198"/>
  <c r="X57" i="198" s="1"/>
  <c r="W109" i="198"/>
  <c r="X109" i="198" s="1"/>
  <c r="M54" i="197"/>
  <c r="O54" i="197" s="1"/>
  <c r="K54" i="197"/>
  <c r="Q54" i="197" s="1"/>
  <c r="S54" i="197" s="1"/>
  <c r="W46" i="170"/>
  <c r="J30" i="136"/>
  <c r="J38" i="136"/>
  <c r="T294" i="27"/>
  <c r="G55" i="26"/>
  <c r="G119" i="26" s="1"/>
  <c r="G182" i="26" s="1"/>
  <c r="I6" i="18"/>
  <c r="W81" i="170"/>
  <c r="AP153" i="201"/>
  <c r="AQ153" i="201" s="1"/>
  <c r="T10" i="5"/>
  <c r="I10" i="5" s="1"/>
  <c r="T291" i="27"/>
  <c r="K229" i="27"/>
  <c r="L229" i="27" s="1"/>
  <c r="M36" i="197"/>
  <c r="O36" i="197" s="1"/>
  <c r="F53" i="27"/>
  <c r="F55" i="27"/>
  <c r="F57" i="27"/>
  <c r="F59" i="27"/>
  <c r="F61" i="27"/>
  <c r="AS88" i="201"/>
  <c r="H28" i="198"/>
  <c r="I28" i="198" s="1"/>
  <c r="AB292" i="27"/>
  <c r="M21" i="19"/>
  <c r="K58" i="27"/>
  <c r="W111" i="198"/>
  <c r="X111" i="198" s="1"/>
  <c r="D103" i="195"/>
  <c r="I39" i="136"/>
  <c r="G84" i="18"/>
  <c r="D8" i="42"/>
  <c r="G53" i="27"/>
  <c r="G116" i="27" s="1"/>
  <c r="G178" i="27" s="1"/>
  <c r="G55" i="27"/>
  <c r="G118" i="27" s="1"/>
  <c r="G180" i="27" s="1"/>
  <c r="G57" i="27"/>
  <c r="G120" i="27" s="1"/>
  <c r="G182" i="27" s="1"/>
  <c r="G59" i="27"/>
  <c r="G122" i="27" s="1"/>
  <c r="G184" i="27" s="1"/>
  <c r="G61" i="27"/>
  <c r="G124" i="27" s="1"/>
  <c r="G186" i="27" s="1"/>
  <c r="D107" i="195"/>
  <c r="T293" i="27"/>
  <c r="N124" i="5"/>
  <c r="W44" i="170"/>
  <c r="M15" i="44"/>
  <c r="G141" i="44"/>
  <c r="G57" i="26"/>
  <c r="G121" i="26" s="1"/>
  <c r="G184" i="26" s="1"/>
  <c r="C15" i="44"/>
  <c r="K27" i="197"/>
  <c r="Q27" i="197" s="1"/>
  <c r="S27" i="197" s="1"/>
  <c r="D10" i="42"/>
  <c r="B10" i="185"/>
  <c r="D63" i="195" s="1"/>
  <c r="L63" i="195" s="1"/>
  <c r="O63" i="195" s="1"/>
  <c r="M32" i="195" s="1"/>
  <c r="I422" i="183"/>
  <c r="AA300" i="27"/>
  <c r="W192" i="170"/>
  <c r="O124" i="5"/>
  <c r="I16" i="18"/>
  <c r="H23" i="198"/>
  <c r="I23" i="198" s="1"/>
  <c r="V48" i="198"/>
  <c r="W72" i="198"/>
  <c r="V100" i="198"/>
  <c r="K290" i="42"/>
  <c r="K294" i="42"/>
  <c r="K296" i="42"/>
  <c r="K298" i="42"/>
  <c r="G59" i="26"/>
  <c r="AS153" i="201"/>
  <c r="AT153" i="201" s="1"/>
  <c r="M197" i="182" s="1"/>
  <c r="S10" i="5"/>
  <c r="F10" i="5" s="1"/>
  <c r="O15" i="44"/>
  <c r="K79" i="44"/>
  <c r="K122" i="197"/>
  <c r="Q122" i="197" s="1"/>
  <c r="S122" i="197" s="1"/>
  <c r="BD124" i="5"/>
  <c r="J28" i="136"/>
  <c r="J36" i="136"/>
  <c r="Q15" i="44"/>
  <c r="G54" i="27"/>
  <c r="G117" i="27" s="1"/>
  <c r="G179" i="27" s="1"/>
  <c r="G61" i="26"/>
  <c r="G125" i="26" s="1"/>
  <c r="G188" i="26" s="1"/>
  <c r="D11" i="42"/>
  <c r="I10" i="18"/>
  <c r="W39" i="170"/>
  <c r="W13" i="198"/>
  <c r="J250" i="44"/>
  <c r="I14" i="18"/>
  <c r="W148" i="170"/>
  <c r="X148" i="170" s="1"/>
  <c r="F40" i="186"/>
  <c r="D57" i="186" s="1"/>
  <c r="D6" i="42"/>
  <c r="Q103" i="44"/>
  <c r="Q165" i="44" s="1"/>
  <c r="H24" i="198"/>
  <c r="I24" i="198" s="1"/>
  <c r="K230" i="27"/>
  <c r="L230" i="27" s="1"/>
  <c r="D8" i="134"/>
  <c r="F8" i="134" s="1"/>
  <c r="M17" i="197"/>
  <c r="O17" i="197" s="1"/>
  <c r="BN16" i="5"/>
  <c r="V124" i="5"/>
  <c r="D118" i="170"/>
  <c r="G52" i="27"/>
  <c r="G56" i="27"/>
  <c r="G119" i="27" s="1"/>
  <c r="G181" i="27" s="1"/>
  <c r="G58" i="27"/>
  <c r="W41" i="170"/>
  <c r="D12" i="42"/>
  <c r="U300" i="27"/>
  <c r="G53" i="26"/>
  <c r="G117" i="26" s="1"/>
  <c r="G180" i="26" s="1"/>
  <c r="K52" i="27"/>
  <c r="K115" i="27" s="1"/>
  <c r="K177" i="27" s="1"/>
  <c r="K54" i="27"/>
  <c r="K117" i="27" s="1"/>
  <c r="K179" i="27" s="1"/>
  <c r="K56" i="27"/>
  <c r="K119" i="27" s="1"/>
  <c r="K181" i="27" s="1"/>
  <c r="K60" i="27"/>
  <c r="K123" i="27" s="1"/>
  <c r="AS87" i="201"/>
  <c r="O21" i="19"/>
  <c r="K113" i="197"/>
  <c r="Q113" i="197" s="1"/>
  <c r="S113" i="197" s="1"/>
  <c r="Q139" i="197"/>
  <c r="S139" i="197" s="1"/>
  <c r="W42" i="170"/>
  <c r="X3" i="191"/>
  <c r="P21" i="19"/>
  <c r="J20" i="18"/>
  <c r="W158" i="170"/>
  <c r="X158" i="170" s="1"/>
  <c r="W128" i="198"/>
  <c r="D5" i="42"/>
  <c r="W179" i="198"/>
  <c r="X179" i="198" s="1"/>
  <c r="G15" i="44"/>
  <c r="I8" i="18"/>
  <c r="D13" i="42"/>
  <c r="J45" i="6"/>
  <c r="G140" i="197"/>
  <c r="G141" i="197" s="1"/>
  <c r="J54" i="197"/>
  <c r="P54" i="197" s="1"/>
  <c r="R54" i="197" s="1"/>
  <c r="D14" i="42"/>
  <c r="B14" i="185"/>
  <c r="D67" i="195" s="1"/>
  <c r="L67" i="195" s="1"/>
  <c r="O67" i="195" s="1"/>
  <c r="M36" i="195" s="1"/>
  <c r="BO16" i="5"/>
  <c r="W124" i="5"/>
  <c r="W195" i="170"/>
  <c r="X195" i="170" s="1"/>
  <c r="H109" i="198"/>
  <c r="I109" i="198" s="1"/>
  <c r="G60" i="27"/>
  <c r="K60" i="26"/>
  <c r="F61" i="26"/>
  <c r="K61" i="26"/>
  <c r="J52" i="27"/>
  <c r="J115" i="27" s="1"/>
  <c r="J53" i="27"/>
  <c r="J54" i="27"/>
  <c r="J55" i="27"/>
  <c r="J56" i="27"/>
  <c r="J119" i="27" s="1"/>
  <c r="J57" i="27"/>
  <c r="J58" i="27"/>
  <c r="J59" i="27"/>
  <c r="J60" i="27"/>
  <c r="J123" i="27" s="1"/>
  <c r="J185" i="27" s="1"/>
  <c r="J61" i="27"/>
  <c r="J124" i="27" s="1"/>
  <c r="J52" i="26"/>
  <c r="J53" i="26"/>
  <c r="J54" i="26"/>
  <c r="J55" i="26"/>
  <c r="J56" i="26"/>
  <c r="J57" i="26"/>
  <c r="J58" i="26"/>
  <c r="J122" i="26" s="1"/>
  <c r="J59" i="26"/>
  <c r="J60" i="26"/>
  <c r="J61" i="26"/>
  <c r="F52" i="26"/>
  <c r="H52" i="26" s="1"/>
  <c r="K52" i="26"/>
  <c r="F53" i="26"/>
  <c r="K53" i="26"/>
  <c r="K117" i="26" s="1"/>
  <c r="K180" i="26" s="1"/>
  <c r="F54" i="26"/>
  <c r="H54" i="26" s="1"/>
  <c r="K54" i="26"/>
  <c r="K118" i="26" s="1"/>
  <c r="K181" i="26" s="1"/>
  <c r="F55" i="26"/>
  <c r="H55" i="26" s="1"/>
  <c r="K55" i="26"/>
  <c r="K119" i="26" s="1"/>
  <c r="K182" i="26" s="1"/>
  <c r="F56" i="26"/>
  <c r="H56" i="26" s="1"/>
  <c r="K56" i="26"/>
  <c r="K120" i="26" s="1"/>
  <c r="K183" i="26" s="1"/>
  <c r="F57" i="26"/>
  <c r="K57" i="26"/>
  <c r="F58" i="26"/>
  <c r="H58" i="26" s="1"/>
  <c r="K58" i="26"/>
  <c r="K122" i="26" s="1"/>
  <c r="K185" i="26" s="1"/>
  <c r="F59" i="26"/>
  <c r="K59" i="26"/>
  <c r="K123" i="26" s="1"/>
  <c r="K186" i="26" s="1"/>
  <c r="F60" i="26"/>
  <c r="M54" i="27"/>
  <c r="M117" i="27" s="1"/>
  <c r="M55" i="27"/>
  <c r="M56" i="27"/>
  <c r="M119" i="27" s="1"/>
  <c r="M57" i="27"/>
  <c r="M58" i="27"/>
  <c r="M59" i="27"/>
  <c r="M60" i="27"/>
  <c r="M61" i="27"/>
  <c r="M124" i="27" s="1"/>
  <c r="M54" i="26"/>
  <c r="M55" i="26"/>
  <c r="M56" i="26"/>
  <c r="M58" i="26"/>
  <c r="M122" i="26" s="1"/>
  <c r="M59" i="26"/>
  <c r="M60" i="26"/>
  <c r="M61" i="26"/>
  <c r="M53" i="27"/>
  <c r="M53" i="26"/>
  <c r="M52" i="27"/>
  <c r="M52" i="26"/>
  <c r="G186" i="188"/>
  <c r="F179" i="188"/>
  <c r="F180" i="188"/>
  <c r="G181" i="188"/>
  <c r="H94" i="185"/>
  <c r="F184" i="188"/>
  <c r="G185" i="188"/>
  <c r="H98" i="185"/>
  <c r="F178" i="188"/>
  <c r="H71" i="185"/>
  <c r="G179" i="188"/>
  <c r="H92" i="185"/>
  <c r="G180" i="188"/>
  <c r="H93" i="185"/>
  <c r="F183" i="188"/>
  <c r="H119" i="185"/>
  <c r="G184" i="188"/>
  <c r="H136" i="185"/>
  <c r="F181" i="188"/>
  <c r="H117" i="185"/>
  <c r="G182" i="188"/>
  <c r="F185" i="188"/>
  <c r="H121" i="185"/>
  <c r="G178" i="188"/>
  <c r="F182" i="188"/>
  <c r="H118" i="185"/>
  <c r="G183" i="188"/>
  <c r="H135" i="185"/>
  <c r="F186" i="188"/>
  <c r="H79" i="185"/>
  <c r="F165" i="188"/>
  <c r="G169" i="188"/>
  <c r="G171" i="188"/>
  <c r="G165" i="188"/>
  <c r="G166" i="188"/>
  <c r="D94" i="185"/>
  <c r="F167" i="188"/>
  <c r="D75" i="185"/>
  <c r="F163" i="188"/>
  <c r="G167" i="188"/>
  <c r="F168" i="188"/>
  <c r="G164" i="188"/>
  <c r="D131" i="185"/>
  <c r="F166" i="188"/>
  <c r="D117" i="185"/>
  <c r="G170" i="188"/>
  <c r="D137" i="185"/>
  <c r="G163" i="188"/>
  <c r="F164" i="188"/>
  <c r="D115" i="185"/>
  <c r="G168" i="188"/>
  <c r="F169" i="188"/>
  <c r="F170" i="188"/>
  <c r="D121" i="185"/>
  <c r="F171" i="188"/>
  <c r="U32" i="170"/>
  <c r="W25" i="170"/>
  <c r="W26" i="170"/>
  <c r="W27" i="170"/>
  <c r="W28" i="170"/>
  <c r="W30" i="170"/>
  <c r="E44" i="196"/>
  <c r="E89" i="196" s="1"/>
  <c r="E48" i="196"/>
  <c r="E93" i="196" s="1"/>
  <c r="E51" i="196"/>
  <c r="E96" i="196" s="1"/>
  <c r="E47" i="196"/>
  <c r="E92" i="196" s="1"/>
  <c r="E45" i="196"/>
  <c r="E90" i="196" s="1"/>
  <c r="E46" i="196"/>
  <c r="E91" i="196" s="1"/>
  <c r="E49" i="196"/>
  <c r="E94" i="196" s="1"/>
  <c r="E52" i="196"/>
  <c r="E97" i="196" s="1"/>
  <c r="I61" i="26"/>
  <c r="I61" i="27"/>
  <c r="I60" i="27"/>
  <c r="I60" i="26"/>
  <c r="I124" i="26" s="1"/>
  <c r="I59" i="27"/>
  <c r="I59" i="26"/>
  <c r="I123" i="26" s="1"/>
  <c r="I58" i="27"/>
  <c r="I58" i="26"/>
  <c r="I122" i="26" s="1"/>
  <c r="I57" i="27"/>
  <c r="I57" i="26"/>
  <c r="I121" i="26" s="1"/>
  <c r="I56" i="27"/>
  <c r="I119" i="27" s="1"/>
  <c r="I56" i="26"/>
  <c r="F158" i="26"/>
  <c r="I53" i="27"/>
  <c r="I53" i="26"/>
  <c r="I117" i="26" s="1"/>
  <c r="I55" i="27"/>
  <c r="I118" i="27" s="1"/>
  <c r="I55" i="26"/>
  <c r="I54" i="27"/>
  <c r="I54" i="26"/>
  <c r="I52" i="27"/>
  <c r="I52" i="26"/>
  <c r="I116" i="26" s="1"/>
  <c r="G229" i="26"/>
  <c r="H229" i="26" s="1"/>
  <c r="I229" i="26" s="1"/>
  <c r="G234" i="26"/>
  <c r="H234" i="26" s="1"/>
  <c r="I234" i="26" s="1"/>
  <c r="G232" i="26"/>
  <c r="H232" i="26" s="1"/>
  <c r="I232" i="26" s="1"/>
  <c r="G237" i="26"/>
  <c r="H237" i="26" s="1"/>
  <c r="I237" i="26" s="1"/>
  <c r="G230" i="26"/>
  <c r="H230" i="26" s="1"/>
  <c r="I230" i="26" s="1"/>
  <c r="G235" i="26"/>
  <c r="H235" i="26" s="1"/>
  <c r="I235" i="26" s="1"/>
  <c r="E11" i="9"/>
  <c r="G11" i="9" s="1"/>
  <c r="G231" i="26"/>
  <c r="H231" i="26" s="1"/>
  <c r="I231" i="26" s="1"/>
  <c r="G236" i="26"/>
  <c r="H236" i="26" s="1"/>
  <c r="I236" i="26" s="1"/>
  <c r="E12" i="9"/>
  <c r="G12" i="9" s="1"/>
  <c r="I165" i="26"/>
  <c r="I168" i="26"/>
  <c r="I169" i="26"/>
  <c r="I171" i="26"/>
  <c r="I173" i="26"/>
  <c r="I167" i="26"/>
  <c r="I172" i="26"/>
  <c r="I166" i="26"/>
  <c r="I170" i="26"/>
  <c r="G227" i="27"/>
  <c r="H227" i="27" s="1"/>
  <c r="G235" i="27"/>
  <c r="H235" i="27" s="1"/>
  <c r="D13" i="134"/>
  <c r="F13" i="134" s="1"/>
  <c r="G228" i="27"/>
  <c r="H228" i="27" s="1"/>
  <c r="F300" i="27"/>
  <c r="I163" i="27"/>
  <c r="I169" i="27"/>
  <c r="I166" i="27"/>
  <c r="I164" i="27"/>
  <c r="I167" i="27"/>
  <c r="I170" i="27"/>
  <c r="I165" i="27"/>
  <c r="I168" i="27"/>
  <c r="I171" i="27"/>
  <c r="E180" i="188"/>
  <c r="E178" i="188"/>
  <c r="H130" i="185"/>
  <c r="D182" i="188"/>
  <c r="E183" i="188"/>
  <c r="D186" i="188"/>
  <c r="D178" i="188"/>
  <c r="D183" i="188"/>
  <c r="D181" i="188"/>
  <c r="E182" i="188"/>
  <c r="D185" i="188"/>
  <c r="E186" i="188"/>
  <c r="E179" i="188"/>
  <c r="E184" i="188"/>
  <c r="D179" i="188"/>
  <c r="H72" i="185"/>
  <c r="D180" i="188"/>
  <c r="E181" i="188"/>
  <c r="D184" i="188"/>
  <c r="E185" i="188"/>
  <c r="D168" i="188"/>
  <c r="E167" i="188"/>
  <c r="E163" i="188"/>
  <c r="D169" i="188"/>
  <c r="D170" i="188"/>
  <c r="E164" i="188"/>
  <c r="D165" i="188"/>
  <c r="D166" i="188"/>
  <c r="E169" i="188"/>
  <c r="E170" i="188"/>
  <c r="E171" i="188"/>
  <c r="D163" i="188"/>
  <c r="D162" i="188"/>
  <c r="D164" i="188"/>
  <c r="E168" i="188"/>
  <c r="D171" i="188"/>
  <c r="E165" i="188"/>
  <c r="E166" i="188"/>
  <c r="D167" i="188"/>
  <c r="F290" i="183"/>
  <c r="F322" i="183"/>
  <c r="C98" i="183"/>
  <c r="E17" i="182"/>
  <c r="G17" i="182" s="1"/>
  <c r="C28" i="207"/>
  <c r="D13" i="207"/>
  <c r="D78" i="183"/>
  <c r="C96" i="183"/>
  <c r="D128" i="183"/>
  <c r="D142" i="183"/>
  <c r="D174" i="183"/>
  <c r="D206" i="183"/>
  <c r="C238" i="183"/>
  <c r="C302" i="183"/>
  <c r="C320" i="183"/>
  <c r="C46" i="183"/>
  <c r="D96" i="183"/>
  <c r="C110" i="183"/>
  <c r="C160" i="183"/>
  <c r="C185" i="183"/>
  <c r="C192" i="183"/>
  <c r="D238" i="183"/>
  <c r="P363" i="183"/>
  <c r="D46" i="183"/>
  <c r="D110" i="183"/>
  <c r="D160" i="183"/>
  <c r="D192" i="183"/>
  <c r="C256" i="183"/>
  <c r="C270" i="183"/>
  <c r="C288" i="183"/>
  <c r="C334" i="183"/>
  <c r="C352" i="183"/>
  <c r="C27" i="207"/>
  <c r="D28" i="207"/>
  <c r="C13" i="207"/>
  <c r="C64" i="183"/>
  <c r="C78" i="183"/>
  <c r="C128" i="183"/>
  <c r="C142" i="183"/>
  <c r="C174" i="183"/>
  <c r="C206" i="183"/>
  <c r="D256" i="183"/>
  <c r="G143" i="6"/>
  <c r="G140" i="6"/>
  <c r="F141" i="6"/>
  <c r="G144" i="6"/>
  <c r="F145" i="6"/>
  <c r="G139" i="6"/>
  <c r="F140" i="6"/>
  <c r="F138" i="6"/>
  <c r="G141" i="6"/>
  <c r="F142" i="6"/>
  <c r="F146" i="6"/>
  <c r="G147" i="6"/>
  <c r="F144" i="6"/>
  <c r="G138" i="6"/>
  <c r="F139" i="6"/>
  <c r="G142" i="6"/>
  <c r="F143" i="6"/>
  <c r="G146" i="6"/>
  <c r="F147" i="6"/>
  <c r="E18" i="182"/>
  <c r="E53" i="182"/>
  <c r="E20" i="182" s="1"/>
  <c r="E377" i="183"/>
  <c r="E66" i="183"/>
  <c r="D226" i="183"/>
  <c r="J113" i="28"/>
  <c r="AQ154" i="201"/>
  <c r="AT149" i="201"/>
  <c r="M77" i="182" s="1"/>
  <c r="AT155" i="201"/>
  <c r="M257" i="182" s="1"/>
  <c r="AQ151" i="201"/>
  <c r="AQ149" i="201"/>
  <c r="AQ156" i="201"/>
  <c r="AQ150" i="201"/>
  <c r="AT154" i="201"/>
  <c r="M227" i="182" s="1"/>
  <c r="AT156" i="201"/>
  <c r="M287" i="182" s="1"/>
  <c r="AT148" i="201"/>
  <c r="M47" i="182" s="1"/>
  <c r="AT157" i="201"/>
  <c r="M317" i="182" s="1"/>
  <c r="AQ157" i="201"/>
  <c r="AQ155" i="201"/>
  <c r="AQ148" i="201"/>
  <c r="AT150" i="201"/>
  <c r="M107" i="182" s="1"/>
  <c r="AT151" i="201"/>
  <c r="M137" i="182" s="1"/>
  <c r="F258" i="183"/>
  <c r="C48" i="183"/>
  <c r="C51" i="183" s="1"/>
  <c r="C386" i="183"/>
  <c r="C354" i="183"/>
  <c r="C344" i="183"/>
  <c r="C342" i="183"/>
  <c r="AS59" i="201"/>
  <c r="AW59" i="201" s="1"/>
  <c r="C385" i="183"/>
  <c r="C322" i="183"/>
  <c r="C312" i="183"/>
  <c r="C310" i="183"/>
  <c r="C384" i="183"/>
  <c r="C290" i="183"/>
  <c r="C280" i="183"/>
  <c r="C278" i="183"/>
  <c r="C258" i="183"/>
  <c r="C248" i="183"/>
  <c r="C246" i="183"/>
  <c r="C382" i="183"/>
  <c r="C226" i="183"/>
  <c r="C216" i="183"/>
  <c r="C214" i="183"/>
  <c r="C381" i="183"/>
  <c r="C194" i="183"/>
  <c r="C184" i="183"/>
  <c r="C182" i="183"/>
  <c r="F182" i="183"/>
  <c r="F184" i="183" s="1"/>
  <c r="C380" i="183"/>
  <c r="C162" i="183"/>
  <c r="C152" i="183"/>
  <c r="C150" i="183"/>
  <c r="F150" i="183"/>
  <c r="C379" i="183"/>
  <c r="C130" i="183"/>
  <c r="C120" i="183"/>
  <c r="C118" i="183"/>
  <c r="F86" i="183"/>
  <c r="F88" i="183" s="1"/>
  <c r="C88" i="183"/>
  <c r="C86" i="183"/>
  <c r="AS84" i="201"/>
  <c r="AW84" i="201" s="1"/>
  <c r="C377" i="183"/>
  <c r="C56" i="183"/>
  <c r="C54" i="183"/>
  <c r="D342" i="183"/>
  <c r="D379" i="183"/>
  <c r="D130" i="183"/>
  <c r="D377" i="183"/>
  <c r="D66" i="183"/>
  <c r="D120" i="183"/>
  <c r="D118" i="183"/>
  <c r="D378" i="183"/>
  <c r="D88" i="183"/>
  <c r="D86" i="183"/>
  <c r="D162" i="183"/>
  <c r="D152" i="183"/>
  <c r="D150" i="183"/>
  <c r="D381" i="183"/>
  <c r="D194" i="183"/>
  <c r="D184" i="183"/>
  <c r="D182" i="183"/>
  <c r="D384" i="183"/>
  <c r="D290" i="183"/>
  <c r="D386" i="183"/>
  <c r="D354" i="183"/>
  <c r="D56" i="183"/>
  <c r="D54" i="183"/>
  <c r="D216" i="183"/>
  <c r="D214" i="183"/>
  <c r="D248" i="183"/>
  <c r="D246" i="183"/>
  <c r="G114" i="201"/>
  <c r="H114" i="201" s="1"/>
  <c r="G115" i="201"/>
  <c r="H115" i="201" s="1"/>
  <c r="G116" i="201"/>
  <c r="H116" i="201" s="1"/>
  <c r="G117" i="201"/>
  <c r="H117" i="201" s="1"/>
  <c r="G118" i="201"/>
  <c r="H118" i="201" s="1"/>
  <c r="G119" i="201"/>
  <c r="H119" i="201" s="1"/>
  <c r="G120" i="201"/>
  <c r="H120" i="201" s="1"/>
  <c r="G121" i="201"/>
  <c r="H121" i="201" s="1"/>
  <c r="G122" i="201"/>
  <c r="H122" i="201" s="1"/>
  <c r="G123" i="201"/>
  <c r="H123" i="201" s="1"/>
  <c r="S111" i="183"/>
  <c r="D208" i="183"/>
  <c r="D211" i="183" s="1"/>
  <c r="D231" i="183" s="1"/>
  <c r="C176" i="183"/>
  <c r="C179" i="183" s="1"/>
  <c r="C208" i="183"/>
  <c r="C211" i="183" s="1"/>
  <c r="AB79" i="191"/>
  <c r="K31" i="156"/>
  <c r="C31" i="156"/>
  <c r="I30" i="156"/>
  <c r="G30" i="156"/>
  <c r="M54" i="156"/>
  <c r="AP52" i="26"/>
  <c r="AP116" i="26" s="1"/>
  <c r="AU52" i="26"/>
  <c r="AU116" i="26" s="1"/>
  <c r="AP53" i="26"/>
  <c r="AP117" i="26" s="1"/>
  <c r="AU53" i="26"/>
  <c r="AP54" i="26"/>
  <c r="AU54" i="26"/>
  <c r="AP55" i="26"/>
  <c r="AU55" i="26"/>
  <c r="AP56" i="26"/>
  <c r="AP120" i="26" s="1"/>
  <c r="AU56" i="26"/>
  <c r="AP57" i="26"/>
  <c r="AP121" i="26" s="1"/>
  <c r="AU57" i="26"/>
  <c r="AP58" i="26"/>
  <c r="AP122" i="26" s="1"/>
  <c r="AU58" i="26"/>
  <c r="AP59" i="26"/>
  <c r="AP123" i="26" s="1"/>
  <c r="AU59" i="26"/>
  <c r="AP60" i="26"/>
  <c r="AU60" i="26"/>
  <c r="AU61" i="26"/>
  <c r="AU125" i="26" s="1"/>
  <c r="Y3" i="191"/>
  <c r="D114" i="201"/>
  <c r="E114" i="201" s="1"/>
  <c r="D115" i="201"/>
  <c r="E115" i="201" s="1"/>
  <c r="D116" i="201"/>
  <c r="E116" i="201" s="1"/>
  <c r="D117" i="201"/>
  <c r="E117" i="201" s="1"/>
  <c r="D118" i="201"/>
  <c r="E118" i="201" s="1"/>
  <c r="D119" i="201"/>
  <c r="E119" i="201" s="1"/>
  <c r="D120" i="201"/>
  <c r="E120" i="201" s="1"/>
  <c r="D121" i="201"/>
  <c r="E121" i="201" s="1"/>
  <c r="U36" i="9"/>
  <c r="K4" i="19" s="1"/>
  <c r="V36" i="9"/>
  <c r="G79" i="9"/>
  <c r="J14" i="196"/>
  <c r="J13" i="196" s="1"/>
  <c r="J5" i="196"/>
  <c r="J14" i="195"/>
  <c r="J13" i="195" s="1"/>
  <c r="J5" i="195"/>
  <c r="W62" i="198"/>
  <c r="X62" i="198" s="1"/>
  <c r="W63" i="198"/>
  <c r="X63" i="198" s="1"/>
  <c r="W116" i="198"/>
  <c r="X116" i="198" s="1"/>
  <c r="W195" i="198"/>
  <c r="X195" i="198" s="1"/>
  <c r="W158" i="198"/>
  <c r="W27" i="198"/>
  <c r="X27" i="198" s="1"/>
  <c r="W30" i="198"/>
  <c r="X30" i="198" s="1"/>
  <c r="W40" i="198"/>
  <c r="X40" i="198" s="1"/>
  <c r="W46" i="198"/>
  <c r="X46" i="198" s="1"/>
  <c r="W56" i="198"/>
  <c r="X56" i="198" s="1"/>
  <c r="W74" i="198"/>
  <c r="X74" i="198" s="1"/>
  <c r="W80" i="198"/>
  <c r="X80" i="198" s="1"/>
  <c r="W92" i="198"/>
  <c r="X92" i="198" s="1"/>
  <c r="W127" i="198"/>
  <c r="W180" i="198"/>
  <c r="X180" i="198" s="1"/>
  <c r="W181" i="198"/>
  <c r="X181" i="198" s="1"/>
  <c r="W182" i="198"/>
  <c r="X182" i="198" s="1"/>
  <c r="W183" i="198"/>
  <c r="X183" i="198" s="1"/>
  <c r="W184" i="198"/>
  <c r="X184" i="198" s="1"/>
  <c r="H25" i="198"/>
  <c r="I25" i="198" s="1"/>
  <c r="H194" i="198"/>
  <c r="I194" i="198" s="1"/>
  <c r="H195" i="198"/>
  <c r="I195" i="198" s="1"/>
  <c r="H27" i="198"/>
  <c r="I27" i="198" s="1"/>
  <c r="H73" i="198"/>
  <c r="I73" i="198" s="1"/>
  <c r="H74" i="198"/>
  <c r="I74" i="198" s="1"/>
  <c r="H81" i="198"/>
  <c r="I81" i="198" s="1"/>
  <c r="H90" i="198"/>
  <c r="H126" i="198"/>
  <c r="H197" i="198"/>
  <c r="I197" i="198" s="1"/>
  <c r="W47" i="170"/>
  <c r="W116" i="170"/>
  <c r="X116" i="170" s="1"/>
  <c r="W145" i="170"/>
  <c r="X145" i="170" s="1"/>
  <c r="W146" i="170"/>
  <c r="X146" i="170" s="1"/>
  <c r="W8" i="170"/>
  <c r="W77" i="170"/>
  <c r="W78" i="170"/>
  <c r="W111" i="170"/>
  <c r="X111" i="170" s="1"/>
  <c r="W162" i="170"/>
  <c r="X162" i="170" s="1"/>
  <c r="W164" i="170"/>
  <c r="X164" i="170" s="1"/>
  <c r="W165" i="170"/>
  <c r="X165" i="170" s="1"/>
  <c r="W167" i="170"/>
  <c r="X167" i="170" s="1"/>
  <c r="H56" i="170"/>
  <c r="H60" i="170"/>
  <c r="H62" i="170"/>
  <c r="H112" i="170"/>
  <c r="H166" i="170"/>
  <c r="I166" i="170" s="1"/>
  <c r="H107" i="170"/>
  <c r="H111" i="170"/>
  <c r="W56" i="170"/>
  <c r="X56" i="170" s="1"/>
  <c r="W58" i="170"/>
  <c r="X58" i="170" s="1"/>
  <c r="W60" i="170"/>
  <c r="X60" i="170" s="1"/>
  <c r="W64" i="170"/>
  <c r="X64" i="170" s="1"/>
  <c r="H27" i="170"/>
  <c r="H29" i="170"/>
  <c r="AT52" i="27"/>
  <c r="AT53" i="27"/>
  <c r="AT116" i="27" s="1"/>
  <c r="AT54" i="27"/>
  <c r="AT55" i="27"/>
  <c r="AT56" i="27"/>
  <c r="AT57" i="27"/>
  <c r="AT59" i="27"/>
  <c r="AT60" i="27"/>
  <c r="AT61" i="27"/>
  <c r="AT124" i="27" s="1"/>
  <c r="AT61" i="26"/>
  <c r="AQ61" i="26"/>
  <c r="AQ125" i="26" s="1"/>
  <c r="AQ188" i="26" s="1"/>
  <c r="AT58" i="27"/>
  <c r="AT52" i="26"/>
  <c r="AT116" i="26" s="1"/>
  <c r="AT53" i="26"/>
  <c r="AT117" i="26" s="1"/>
  <c r="AT54" i="26"/>
  <c r="AT55" i="26"/>
  <c r="AT119" i="26" s="1"/>
  <c r="AT56" i="26"/>
  <c r="AT120" i="26" s="1"/>
  <c r="AT57" i="26"/>
  <c r="AT121" i="26" s="1"/>
  <c r="AT58" i="26"/>
  <c r="AT59" i="26"/>
  <c r="AT60" i="26"/>
  <c r="C249" i="183"/>
  <c r="S140" i="183"/>
  <c r="T111" i="183"/>
  <c r="D122" i="201"/>
  <c r="E122" i="201" s="1"/>
  <c r="D123" i="201"/>
  <c r="E123" i="201" s="1"/>
  <c r="L117" i="125" s="1"/>
  <c r="BH67" i="201"/>
  <c r="S76" i="183"/>
  <c r="C378" i="183"/>
  <c r="Z115" i="27"/>
  <c r="Z177" i="27" s="1"/>
  <c r="AE115" i="27"/>
  <c r="AE177" i="27" s="1"/>
  <c r="AP52" i="27"/>
  <c r="AP115" i="27" s="1"/>
  <c r="AP177" i="27" s="1"/>
  <c r="AU52" i="27"/>
  <c r="Z116" i="27"/>
  <c r="AE116" i="27"/>
  <c r="AE178" i="27" s="1"/>
  <c r="AP53" i="27"/>
  <c r="AP116" i="27" s="1"/>
  <c r="AU53" i="27"/>
  <c r="Z117" i="27"/>
  <c r="Z179" i="27" s="1"/>
  <c r="AP54" i="27"/>
  <c r="AP117" i="27" s="1"/>
  <c r="AU54" i="27"/>
  <c r="Z118" i="27"/>
  <c r="AE118" i="27"/>
  <c r="AE180" i="27" s="1"/>
  <c r="AP55" i="27"/>
  <c r="AP118" i="27" s="1"/>
  <c r="AU55" i="27"/>
  <c r="AE119" i="27"/>
  <c r="AE181" i="27" s="1"/>
  <c r="AP56" i="27"/>
  <c r="AP119" i="27" s="1"/>
  <c r="AU56" i="27"/>
  <c r="AU119" i="27" s="1"/>
  <c r="AU181" i="27" s="1"/>
  <c r="AE120" i="27"/>
  <c r="AE182" i="27" s="1"/>
  <c r="AP57" i="27"/>
  <c r="AP120" i="27" s="1"/>
  <c r="AU57" i="27"/>
  <c r="Z121" i="27"/>
  <c r="Z183" i="27" s="1"/>
  <c r="AP58" i="27"/>
  <c r="AP121" i="27" s="1"/>
  <c r="AU58" i="27"/>
  <c r="AE122" i="27"/>
  <c r="AE184" i="27" s="1"/>
  <c r="AP59" i="27"/>
  <c r="AP122" i="27" s="1"/>
  <c r="AU59" i="27"/>
  <c r="Z123" i="27"/>
  <c r="Z185" i="27" s="1"/>
  <c r="AE123" i="27"/>
  <c r="AP60" i="27"/>
  <c r="AP123" i="27" s="1"/>
  <c r="AU60" i="27"/>
  <c r="Z124" i="27"/>
  <c r="AE124" i="27"/>
  <c r="AE186" i="27" s="1"/>
  <c r="AP61" i="27"/>
  <c r="AP124" i="27" s="1"/>
  <c r="AU61" i="27"/>
  <c r="AP61" i="26"/>
  <c r="BH68" i="201"/>
  <c r="AQ52" i="26"/>
  <c r="AQ53" i="26"/>
  <c r="AQ54" i="26"/>
  <c r="AQ118" i="26" s="1"/>
  <c r="AQ181" i="26" s="1"/>
  <c r="AQ55" i="26"/>
  <c r="AQ119" i="26" s="1"/>
  <c r="AQ182" i="26" s="1"/>
  <c r="AQ56" i="26"/>
  <c r="AQ57" i="26"/>
  <c r="AQ121" i="26" s="1"/>
  <c r="AQ184" i="26" s="1"/>
  <c r="AQ58" i="26"/>
  <c r="AQ122" i="26" s="1"/>
  <c r="AQ185" i="26" s="1"/>
  <c r="AQ59" i="26"/>
  <c r="AQ123" i="26" s="1"/>
  <c r="AQ186" i="26" s="1"/>
  <c r="AQ60" i="26"/>
  <c r="AM52" i="26"/>
  <c r="AH117" i="26"/>
  <c r="AM53" i="26"/>
  <c r="AM117" i="26" s="1"/>
  <c r="AM180" i="26" s="1"/>
  <c r="AM54" i="26"/>
  <c r="AH119" i="26"/>
  <c r="AM55" i="26"/>
  <c r="AM119" i="26" s="1"/>
  <c r="AM182" i="26" s="1"/>
  <c r="AM56" i="26"/>
  <c r="AM57" i="26"/>
  <c r="AM121" i="26" s="1"/>
  <c r="AM184" i="26" s="1"/>
  <c r="AH122" i="26"/>
  <c r="AM58" i="26"/>
  <c r="AH123" i="26"/>
  <c r="AM59" i="26"/>
  <c r="AH124" i="26"/>
  <c r="AM60" i="26"/>
  <c r="AM124" i="26" s="1"/>
  <c r="AM187" i="26" s="1"/>
  <c r="AH125" i="26"/>
  <c r="AM61" i="26"/>
  <c r="E103" i="27"/>
  <c r="C41" i="185"/>
  <c r="E46" i="195" s="1"/>
  <c r="E91" i="195" s="1"/>
  <c r="E107" i="27"/>
  <c r="C45" i="185"/>
  <c r="E50" i="195" s="1"/>
  <c r="E95" i="195" s="1"/>
  <c r="E227" i="27"/>
  <c r="E229" i="27"/>
  <c r="E231" i="27"/>
  <c r="E233" i="27"/>
  <c r="E235" i="27"/>
  <c r="E300" i="27"/>
  <c r="AQ52" i="27"/>
  <c r="AQ115" i="27" s="1"/>
  <c r="AQ53" i="27"/>
  <c r="AQ116" i="27" s="1"/>
  <c r="AQ54" i="27"/>
  <c r="AQ55" i="27"/>
  <c r="AQ56" i="27"/>
  <c r="AQ119" i="27" s="1"/>
  <c r="AQ181" i="27" s="1"/>
  <c r="AQ57" i="27"/>
  <c r="AQ58" i="27"/>
  <c r="AQ121" i="27" s="1"/>
  <c r="AQ183" i="27" s="1"/>
  <c r="AQ59" i="27"/>
  <c r="AQ122" i="27" s="1"/>
  <c r="AQ184" i="27" s="1"/>
  <c r="AQ60" i="27"/>
  <c r="AQ123" i="27" s="1"/>
  <c r="AQ185" i="27" s="1"/>
  <c r="AQ61" i="27"/>
  <c r="AQ124" i="27" s="1"/>
  <c r="AQ186" i="27" s="1"/>
  <c r="AZ69" i="27"/>
  <c r="D132" i="42"/>
  <c r="E228" i="27"/>
  <c r="E230" i="27"/>
  <c r="E232" i="27"/>
  <c r="E234" i="27"/>
  <c r="B28" i="185"/>
  <c r="D65" i="196" s="1"/>
  <c r="L65" i="196" s="1"/>
  <c r="O65" i="196" s="1"/>
  <c r="M34" i="196" s="1"/>
  <c r="AB295" i="27"/>
  <c r="AB297" i="27"/>
  <c r="Z300" i="27"/>
  <c r="AY290" i="27"/>
  <c r="E49" i="6" s="1"/>
  <c r="AY294" i="27"/>
  <c r="E53" i="6" s="1"/>
  <c r="B300" i="27"/>
  <c r="C295" i="42"/>
  <c r="D138" i="42"/>
  <c r="D77" i="195"/>
  <c r="G77" i="195" s="1"/>
  <c r="F31" i="195" s="1"/>
  <c r="D81" i="195"/>
  <c r="G81" i="195" s="1"/>
  <c r="F35" i="195" s="1"/>
  <c r="D79" i="195"/>
  <c r="G79" i="195" s="1"/>
  <c r="F33" i="195" s="1"/>
  <c r="M133" i="6"/>
  <c r="T61" i="185"/>
  <c r="T50" i="196" s="1"/>
  <c r="T58" i="185"/>
  <c r="T47" i="196" s="1"/>
  <c r="T55" i="185"/>
  <c r="T44" i="196" s="1"/>
  <c r="T59" i="185"/>
  <c r="T48" i="196" s="1"/>
  <c r="T63" i="185"/>
  <c r="T52" i="196" s="1"/>
  <c r="T57" i="185"/>
  <c r="T46" i="196" s="1"/>
  <c r="T54" i="185"/>
  <c r="T43" i="196" s="1"/>
  <c r="T62" i="185"/>
  <c r="T51" i="196" s="1"/>
  <c r="T56" i="185"/>
  <c r="T45" i="196" s="1"/>
  <c r="T60" i="185"/>
  <c r="T49" i="196" s="1"/>
  <c r="AA141" i="188"/>
  <c r="AP68" i="201"/>
  <c r="BI68" i="201"/>
  <c r="AW59" i="27"/>
  <c r="AW122" i="27" s="1"/>
  <c r="AW59" i="26"/>
  <c r="AW123" i="26" s="1"/>
  <c r="U3" i="191"/>
  <c r="AW61" i="27"/>
  <c r="AW61" i="26"/>
  <c r="AW125" i="26" s="1"/>
  <c r="AW60" i="27"/>
  <c r="AW123" i="27" s="1"/>
  <c r="AW60" i="26"/>
  <c r="AW124" i="26" s="1"/>
  <c r="AW58" i="27"/>
  <c r="AW121" i="27" s="1"/>
  <c r="AW58" i="26"/>
  <c r="AW57" i="27"/>
  <c r="AW57" i="26"/>
  <c r="AW121" i="26" s="1"/>
  <c r="AW56" i="27"/>
  <c r="AW119" i="27" s="1"/>
  <c r="AW56" i="26"/>
  <c r="AW120" i="26" s="1"/>
  <c r="AW55" i="27"/>
  <c r="AW118" i="27" s="1"/>
  <c r="AW55" i="26"/>
  <c r="AW119" i="26" s="1"/>
  <c r="AW54" i="27"/>
  <c r="AW54" i="26"/>
  <c r="AW118" i="26" s="1"/>
  <c r="P3" i="191"/>
  <c r="AW53" i="27"/>
  <c r="AW116" i="27" s="1"/>
  <c r="AW53" i="26"/>
  <c r="AW117" i="26" s="1"/>
  <c r="AW52" i="27"/>
  <c r="AW52" i="26"/>
  <c r="AW116" i="26" s="1"/>
  <c r="Y118" i="201"/>
  <c r="AU227" i="27"/>
  <c r="AV227" i="27" s="1"/>
  <c r="D76" i="195"/>
  <c r="G76" i="195" s="1"/>
  <c r="F30" i="195" s="1"/>
  <c r="D80" i="195"/>
  <c r="G80" i="195" s="1"/>
  <c r="F34" i="195" s="1"/>
  <c r="AX87" i="201"/>
  <c r="AY87" i="201"/>
  <c r="AY85" i="201"/>
  <c r="AX85" i="201"/>
  <c r="H192" i="170"/>
  <c r="H199" i="170"/>
  <c r="I199" i="170" s="1"/>
  <c r="H200" i="170"/>
  <c r="I200" i="170" s="1"/>
  <c r="AS61" i="26"/>
  <c r="AS61" i="27"/>
  <c r="AS60" i="27"/>
  <c r="AS60" i="26"/>
  <c r="AS59" i="27"/>
  <c r="AS59" i="26"/>
  <c r="AS58" i="27"/>
  <c r="AS58" i="26"/>
  <c r="AS57" i="26"/>
  <c r="AS57" i="27"/>
  <c r="AS56" i="27"/>
  <c r="AS56" i="26"/>
  <c r="AS120" i="26" s="1"/>
  <c r="AS55" i="27"/>
  <c r="AS55" i="26"/>
  <c r="AS54" i="27"/>
  <c r="AS54" i="26"/>
  <c r="AS53" i="26"/>
  <c r="AS53" i="27"/>
  <c r="P2" i="191"/>
  <c r="Z6" i="191"/>
  <c r="AS52" i="26"/>
  <c r="AS52" i="27"/>
  <c r="AS115" i="27" s="1"/>
  <c r="AS172" i="26"/>
  <c r="BA290" i="27"/>
  <c r="G49" i="6" s="1"/>
  <c r="BA294" i="27"/>
  <c r="G53" i="6" s="1"/>
  <c r="AQ227" i="27"/>
  <c r="AR227" i="27" s="1"/>
  <c r="AQ229" i="27"/>
  <c r="AR229" i="27" s="1"/>
  <c r="AQ231" i="27"/>
  <c r="AR231" i="27" s="1"/>
  <c r="AQ235" i="27"/>
  <c r="AR235" i="27" s="1"/>
  <c r="AQ226" i="27"/>
  <c r="AR226" i="27" s="1"/>
  <c r="AQ228" i="27"/>
  <c r="AR228" i="27" s="1"/>
  <c r="AQ230" i="27"/>
  <c r="AR230" i="27" s="1"/>
  <c r="AQ232" i="27"/>
  <c r="AQ234" i="27"/>
  <c r="AR234" i="27" s="1"/>
  <c r="D109" i="195"/>
  <c r="AS167" i="27"/>
  <c r="AS164" i="27"/>
  <c r="AS166" i="27"/>
  <c r="AS162" i="27"/>
  <c r="AS163" i="27"/>
  <c r="AS168" i="27"/>
  <c r="AS165" i="27"/>
  <c r="W164" i="198"/>
  <c r="C383" i="183"/>
  <c r="AM52" i="27"/>
  <c r="AM115" i="27" s="1"/>
  <c r="AM53" i="27"/>
  <c r="AM55" i="27"/>
  <c r="AM56" i="27"/>
  <c r="AM119" i="27" s="1"/>
  <c r="AM181" i="27" s="1"/>
  <c r="AH120" i="27"/>
  <c r="AM57" i="27"/>
  <c r="AM58" i="27"/>
  <c r="AM59" i="27"/>
  <c r="AH123" i="27"/>
  <c r="AM60" i="27"/>
  <c r="AM123" i="27" s="1"/>
  <c r="AM185" i="27" s="1"/>
  <c r="AM61" i="27"/>
  <c r="Z116" i="26"/>
  <c r="AE116" i="26"/>
  <c r="Z118" i="26"/>
  <c r="AE118" i="26"/>
  <c r="AE181" i="26" s="1"/>
  <c r="Z120" i="26"/>
  <c r="AE120" i="26"/>
  <c r="AE183" i="26" s="1"/>
  <c r="AE121" i="26"/>
  <c r="AE184" i="26" s="1"/>
  <c r="Z122" i="26"/>
  <c r="AE124" i="26"/>
  <c r="AE187" i="26" s="1"/>
  <c r="AE125" i="26"/>
  <c r="AE188" i="26" s="1"/>
  <c r="AM54" i="27"/>
  <c r="AM117" i="27" s="1"/>
  <c r="AM179" i="27" s="1"/>
  <c r="AL52" i="27"/>
  <c r="AL53" i="27"/>
  <c r="AL54" i="27"/>
  <c r="AL55" i="27"/>
  <c r="AL118" i="27" s="1"/>
  <c r="AL56" i="27"/>
  <c r="AL57" i="27"/>
  <c r="AL58" i="27"/>
  <c r="AL59" i="27"/>
  <c r="AL60" i="27"/>
  <c r="AL61" i="27"/>
  <c r="AL124" i="27" s="1"/>
  <c r="BA88" i="27"/>
  <c r="AA46" i="191" s="1"/>
  <c r="H4" i="134"/>
  <c r="N4" i="134" s="1"/>
  <c r="AD121" i="26"/>
  <c r="AD122" i="26"/>
  <c r="AI116" i="27"/>
  <c r="AI178" i="27" s="1"/>
  <c r="AD121" i="27"/>
  <c r="AD183" i="27" s="1"/>
  <c r="AI124" i="27"/>
  <c r="AI186" i="27" s="1"/>
  <c r="AL52" i="26"/>
  <c r="AL53" i="26"/>
  <c r="AL54" i="26"/>
  <c r="AL55" i="26"/>
  <c r="AA120" i="26"/>
  <c r="AA183" i="26" s="1"/>
  <c r="AL56" i="26"/>
  <c r="AL57" i="26"/>
  <c r="AL58" i="26"/>
  <c r="AL59" i="26"/>
  <c r="AA124" i="26"/>
  <c r="AA187" i="26" s="1"/>
  <c r="AL60" i="26"/>
  <c r="AL61" i="26"/>
  <c r="AO59" i="26"/>
  <c r="AO123" i="26" s="1"/>
  <c r="AO59" i="27"/>
  <c r="AO61" i="26"/>
  <c r="AO125" i="26" s="1"/>
  <c r="AO61" i="27"/>
  <c r="AO60" i="26"/>
  <c r="AO124" i="26" s="1"/>
  <c r="AO60" i="27"/>
  <c r="AO58" i="26"/>
  <c r="AO58" i="27"/>
  <c r="AO57" i="26"/>
  <c r="AO57" i="27"/>
  <c r="AO120" i="27" s="1"/>
  <c r="AO56" i="26"/>
  <c r="AO56" i="27"/>
  <c r="AO55" i="27"/>
  <c r="AO118" i="27" s="1"/>
  <c r="AO55" i="26"/>
  <c r="AO54" i="26"/>
  <c r="AO54" i="27"/>
  <c r="AO53" i="27"/>
  <c r="AO116" i="27" s="1"/>
  <c r="AO53" i="26"/>
  <c r="AO52" i="27"/>
  <c r="AO52" i="26"/>
  <c r="AM227" i="27"/>
  <c r="AN227" i="27" s="1"/>
  <c r="AN290" i="27"/>
  <c r="D4" i="134"/>
  <c r="F4" i="134" s="1"/>
  <c r="AM228" i="27"/>
  <c r="AN228" i="27" s="1"/>
  <c r="AM230" i="27"/>
  <c r="AN230" i="27" s="1"/>
  <c r="AN296" i="27"/>
  <c r="AN298" i="27"/>
  <c r="AL300" i="27"/>
  <c r="D105" i="195"/>
  <c r="P71" i="42"/>
  <c r="AO169" i="27"/>
  <c r="AO166" i="27"/>
  <c r="AO167" i="27"/>
  <c r="AR105" i="27"/>
  <c r="I3" i="19"/>
  <c r="E7" i="125" s="1"/>
  <c r="R3" i="19"/>
  <c r="U3" i="19" s="1"/>
  <c r="H3" i="19"/>
  <c r="D7" i="125" s="1"/>
  <c r="Q3" i="19"/>
  <c r="T3" i="19" s="1"/>
  <c r="U171" i="188"/>
  <c r="U165" i="188"/>
  <c r="U166" i="188"/>
  <c r="T167" i="188"/>
  <c r="T165" i="188"/>
  <c r="T163" i="188"/>
  <c r="U167" i="188"/>
  <c r="T168" i="188"/>
  <c r="D76" i="185"/>
  <c r="T170" i="188"/>
  <c r="U164" i="188"/>
  <c r="T166" i="188"/>
  <c r="U169" i="188"/>
  <c r="U163" i="188"/>
  <c r="T164" i="188"/>
  <c r="U168" i="188"/>
  <c r="T169" i="188"/>
  <c r="U170" i="188"/>
  <c r="T171" i="188"/>
  <c r="T180" i="188"/>
  <c r="U181" i="188"/>
  <c r="T184" i="188"/>
  <c r="U185" i="188"/>
  <c r="T178" i="188"/>
  <c r="T179" i="188"/>
  <c r="U180" i="188"/>
  <c r="T183" i="188"/>
  <c r="U184" i="188"/>
  <c r="U178" i="188"/>
  <c r="U179" i="188"/>
  <c r="T182" i="188"/>
  <c r="U183" i="188"/>
  <c r="T186" i="188"/>
  <c r="T181" i="188"/>
  <c r="U182" i="188"/>
  <c r="T185" i="188"/>
  <c r="U186" i="188"/>
  <c r="H138" i="185"/>
  <c r="H6" i="44"/>
  <c r="H7" i="44"/>
  <c r="H8" i="44"/>
  <c r="H9" i="44"/>
  <c r="H10" i="44"/>
  <c r="H11" i="44"/>
  <c r="H12" i="44"/>
  <c r="H13" i="44"/>
  <c r="H14" i="44"/>
  <c r="H164" i="170"/>
  <c r="I164" i="170" s="1"/>
  <c r="H160" i="170"/>
  <c r="I160" i="170" s="1"/>
  <c r="H161" i="170"/>
  <c r="I161" i="170" s="1"/>
  <c r="H141" i="198"/>
  <c r="I141" i="198" s="1"/>
  <c r="H150" i="198"/>
  <c r="H142" i="198"/>
  <c r="H148" i="198"/>
  <c r="W141" i="198"/>
  <c r="X141" i="198" s="1"/>
  <c r="W143" i="198"/>
  <c r="X143" i="198" s="1"/>
  <c r="H13" i="134"/>
  <c r="H7" i="134"/>
  <c r="N7" i="134" s="1"/>
  <c r="R183" i="188"/>
  <c r="F107" i="28"/>
  <c r="AO74" i="201"/>
  <c r="M30" i="156"/>
  <c r="K29" i="44"/>
  <c r="AK124" i="27"/>
  <c r="M29" i="44"/>
  <c r="K28" i="44"/>
  <c r="M28" i="44"/>
  <c r="K27" i="44"/>
  <c r="AI123" i="26"/>
  <c r="AI186" i="26" s="1"/>
  <c r="AK122" i="27"/>
  <c r="M27" i="44"/>
  <c r="J26" i="42"/>
  <c r="AH121" i="27"/>
  <c r="AH183" i="27" s="1"/>
  <c r="K26" i="42"/>
  <c r="M26" i="42"/>
  <c r="AK121" i="27"/>
  <c r="M26" i="44"/>
  <c r="AK122" i="26"/>
  <c r="J25" i="44"/>
  <c r="K25" i="44"/>
  <c r="M25" i="42"/>
  <c r="AK120" i="27"/>
  <c r="M25" i="44"/>
  <c r="K24" i="42"/>
  <c r="AI119" i="27"/>
  <c r="AI181" i="27" s="1"/>
  <c r="K24" i="44"/>
  <c r="AI120" i="26"/>
  <c r="AI183" i="26" s="1"/>
  <c r="J24" i="42"/>
  <c r="J24" i="44"/>
  <c r="M24" i="42"/>
  <c r="AH118" i="27"/>
  <c r="AI118" i="27"/>
  <c r="AI180" i="27" s="1"/>
  <c r="K23" i="44"/>
  <c r="M23" i="42"/>
  <c r="AK118" i="27"/>
  <c r="M23" i="44"/>
  <c r="J22" i="42"/>
  <c r="AH117" i="27"/>
  <c r="J22" i="44"/>
  <c r="K22" i="42"/>
  <c r="M22" i="42"/>
  <c r="M22" i="44"/>
  <c r="AK118" i="26"/>
  <c r="K21" i="44"/>
  <c r="M21" i="42"/>
  <c r="AK116" i="27"/>
  <c r="M21" i="44"/>
  <c r="J20" i="42"/>
  <c r="K20" i="42"/>
  <c r="AI115" i="27"/>
  <c r="AI177" i="27" s="1"/>
  <c r="K20" i="44"/>
  <c r="D382" i="183"/>
  <c r="AI229" i="26"/>
  <c r="AJ229" i="26" s="1"/>
  <c r="AK229" i="26" s="1"/>
  <c r="AI231" i="26"/>
  <c r="AJ231" i="26" s="1"/>
  <c r="AK231" i="26" s="1"/>
  <c r="AI235" i="26"/>
  <c r="AJ235" i="26" s="1"/>
  <c r="AK235" i="26" s="1"/>
  <c r="AI237" i="26"/>
  <c r="AJ237" i="26" s="1"/>
  <c r="AK237" i="26" s="1"/>
  <c r="B24" i="185"/>
  <c r="D61" i="196" s="1"/>
  <c r="L61" i="196" s="1"/>
  <c r="O61" i="196" s="1"/>
  <c r="M30" i="196" s="1"/>
  <c r="AK166" i="26"/>
  <c r="AK173" i="26"/>
  <c r="AK167" i="26"/>
  <c r="AK170" i="26"/>
  <c r="AK172" i="26"/>
  <c r="AK165" i="26"/>
  <c r="AK168" i="26"/>
  <c r="AK169" i="26"/>
  <c r="AK171" i="26"/>
  <c r="AX292" i="27"/>
  <c r="D51" i="6" s="1"/>
  <c r="AX294" i="27"/>
  <c r="D53" i="6" s="1"/>
  <c r="AX296" i="27"/>
  <c r="D55" i="6" s="1"/>
  <c r="AK300" i="27"/>
  <c r="AJ291" i="27"/>
  <c r="AJ293" i="27"/>
  <c r="D7" i="134"/>
  <c r="F7" i="134" s="1"/>
  <c r="AI231" i="27"/>
  <c r="AJ231" i="27" s="1"/>
  <c r="AI233" i="27"/>
  <c r="AJ233" i="27" s="1"/>
  <c r="D11" i="134"/>
  <c r="F11" i="134" s="1"/>
  <c r="AJ299" i="27"/>
  <c r="AH300" i="27"/>
  <c r="AJ290" i="27"/>
  <c r="AJ292" i="27"/>
  <c r="D6" i="134"/>
  <c r="AI230" i="27"/>
  <c r="AJ230" i="27" s="1"/>
  <c r="AJ296" i="27"/>
  <c r="D10" i="134"/>
  <c r="F10" i="134" s="1"/>
  <c r="AI234" i="27"/>
  <c r="AJ234" i="27" s="1"/>
  <c r="AK167" i="27"/>
  <c r="AK162" i="27"/>
  <c r="AK164" i="27"/>
  <c r="AK170" i="27"/>
  <c r="AK171" i="27"/>
  <c r="AK165" i="27"/>
  <c r="AK168" i="27"/>
  <c r="AK166" i="27"/>
  <c r="AK169" i="27"/>
  <c r="L6" i="42"/>
  <c r="L10" i="42"/>
  <c r="L13" i="42"/>
  <c r="L12" i="42"/>
  <c r="B12" i="185"/>
  <c r="D65" i="195" s="1"/>
  <c r="G65" i="195" s="1"/>
  <c r="E34" i="195" s="1"/>
  <c r="L7" i="42"/>
  <c r="L14" i="42"/>
  <c r="L9" i="42"/>
  <c r="L5" i="42"/>
  <c r="L8" i="42"/>
  <c r="L11" i="42"/>
  <c r="B11" i="185"/>
  <c r="D64" i="195" s="1"/>
  <c r="G64" i="195" s="1"/>
  <c r="E33" i="195" s="1"/>
  <c r="W129" i="170"/>
  <c r="W223" i="170" s="1"/>
  <c r="U134" i="170"/>
  <c r="U228" i="170" s="1"/>
  <c r="W126" i="170"/>
  <c r="W220" i="170" s="1"/>
  <c r="W128" i="170"/>
  <c r="W222" i="170" s="1"/>
  <c r="W130" i="170"/>
  <c r="W224" i="170" s="1"/>
  <c r="W131" i="170"/>
  <c r="W225" i="170" s="1"/>
  <c r="W132" i="170"/>
  <c r="W226" i="170" s="1"/>
  <c r="G151" i="170"/>
  <c r="H142" i="170"/>
  <c r="H143" i="170"/>
  <c r="H144" i="170"/>
  <c r="H150" i="170"/>
  <c r="H147" i="170"/>
  <c r="H148" i="170"/>
  <c r="H149" i="170"/>
  <c r="H124" i="170"/>
  <c r="H125" i="170"/>
  <c r="H219" i="170" s="1"/>
  <c r="H131" i="170"/>
  <c r="H225" i="170" s="1"/>
  <c r="H127" i="170"/>
  <c r="H221" i="170" s="1"/>
  <c r="H130" i="170"/>
  <c r="H224" i="170" s="1"/>
  <c r="H8" i="134"/>
  <c r="I11" i="134"/>
  <c r="O11" i="134" s="1"/>
  <c r="K6" i="134"/>
  <c r="W6" i="134" s="1"/>
  <c r="I5" i="134"/>
  <c r="J29" i="185"/>
  <c r="S47" i="188"/>
  <c r="Q165" i="188"/>
  <c r="AD165" i="188" s="1"/>
  <c r="Q166" i="188"/>
  <c r="AD166" i="188" s="1"/>
  <c r="P167" i="188"/>
  <c r="AC167" i="188" s="1"/>
  <c r="P163" i="188"/>
  <c r="AC163" i="188" s="1"/>
  <c r="P168" i="188"/>
  <c r="AC168" i="188" s="1"/>
  <c r="D119" i="185"/>
  <c r="Q163" i="188"/>
  <c r="AD163" i="188" s="1"/>
  <c r="P164" i="188"/>
  <c r="AC164" i="188" s="1"/>
  <c r="Q168" i="188"/>
  <c r="AD168" i="188" s="1"/>
  <c r="P169" i="188"/>
  <c r="AC169" i="188" s="1"/>
  <c r="Q170" i="188"/>
  <c r="AD170" i="188" s="1"/>
  <c r="P171" i="188"/>
  <c r="AC171" i="188" s="1"/>
  <c r="Q167" i="188"/>
  <c r="AD167" i="188" s="1"/>
  <c r="P170" i="188"/>
  <c r="AC170" i="188" s="1"/>
  <c r="Q164" i="188"/>
  <c r="AD164" i="188" s="1"/>
  <c r="P165" i="188"/>
  <c r="AC165" i="188" s="1"/>
  <c r="P166" i="188"/>
  <c r="AC166" i="188" s="1"/>
  <c r="Q169" i="188"/>
  <c r="AD169" i="188" s="1"/>
  <c r="Q171" i="188"/>
  <c r="AD171" i="188" s="1"/>
  <c r="J65" i="196"/>
  <c r="R65" i="196" s="1"/>
  <c r="J28" i="185"/>
  <c r="S62" i="188"/>
  <c r="Q186" i="188"/>
  <c r="AD186" i="188" s="1"/>
  <c r="Q183" i="188"/>
  <c r="AD183" i="188" s="1"/>
  <c r="Q185" i="188"/>
  <c r="AD185" i="188" s="1"/>
  <c r="Q184" i="188"/>
  <c r="AD184" i="188" s="1"/>
  <c r="Q179" i="188"/>
  <c r="AD179" i="188" s="1"/>
  <c r="Q181" i="188"/>
  <c r="AD181" i="188" s="1"/>
  <c r="Q180" i="188"/>
  <c r="AD180" i="188" s="1"/>
  <c r="P181" i="188"/>
  <c r="AC181" i="188" s="1"/>
  <c r="P185" i="188"/>
  <c r="AC185" i="188" s="1"/>
  <c r="P180" i="188"/>
  <c r="AC180" i="188" s="1"/>
  <c r="P184" i="188"/>
  <c r="AC184" i="188" s="1"/>
  <c r="P182" i="188"/>
  <c r="AC182" i="188" s="1"/>
  <c r="P186" i="188"/>
  <c r="AC186" i="188" s="1"/>
  <c r="P178" i="188"/>
  <c r="AC178" i="188" s="1"/>
  <c r="P179" i="188"/>
  <c r="AC179" i="188" s="1"/>
  <c r="P183" i="188"/>
  <c r="AC183" i="188" s="1"/>
  <c r="Q178" i="188"/>
  <c r="AD178" i="188" s="1"/>
  <c r="Q182" i="188"/>
  <c r="AD182" i="188" s="1"/>
  <c r="AG124" i="27"/>
  <c r="BD124" i="27" s="1"/>
  <c r="AG123" i="27"/>
  <c r="BD123" i="27" s="1"/>
  <c r="AG122" i="27"/>
  <c r="BD122" i="27" s="1"/>
  <c r="AG123" i="26"/>
  <c r="BE123" i="26" s="1"/>
  <c r="AG121" i="26"/>
  <c r="BE121" i="26" s="1"/>
  <c r="AG120" i="27"/>
  <c r="BD120" i="27" s="1"/>
  <c r="AG120" i="26"/>
  <c r="BE120" i="26" s="1"/>
  <c r="AG119" i="26"/>
  <c r="BE119" i="26" s="1"/>
  <c r="AG118" i="27"/>
  <c r="BD118" i="27" s="1"/>
  <c r="AG117" i="27"/>
  <c r="BD117" i="27" s="1"/>
  <c r="AG118" i="26"/>
  <c r="BE118" i="26" s="1"/>
  <c r="K29" i="156"/>
  <c r="M29" i="156"/>
  <c r="K41" i="186"/>
  <c r="J51" i="186"/>
  <c r="K51" i="186" s="1"/>
  <c r="Z422" i="183"/>
  <c r="M410" i="183"/>
  <c r="W411" i="183"/>
  <c r="AG412" i="183"/>
  <c r="M414" i="183"/>
  <c r="W415" i="183"/>
  <c r="AG416" i="183"/>
  <c r="M418" i="183"/>
  <c r="W419" i="183"/>
  <c r="AG420" i="183"/>
  <c r="C281" i="183"/>
  <c r="AG361" i="26"/>
  <c r="AE234" i="26"/>
  <c r="AF234" i="26" s="1"/>
  <c r="AG234" i="26" s="1"/>
  <c r="BE234" i="26" s="1"/>
  <c r="AE236" i="26"/>
  <c r="AF236" i="26" s="1"/>
  <c r="AG236" i="26" s="1"/>
  <c r="BE236" i="26" s="1"/>
  <c r="AF382" i="26"/>
  <c r="BD382" i="26" s="1"/>
  <c r="AE229" i="26"/>
  <c r="AF229" i="26" s="1"/>
  <c r="AG229" i="26" s="1"/>
  <c r="BE229" i="26" s="1"/>
  <c r="E5" i="9"/>
  <c r="G5" i="9" s="1"/>
  <c r="AE231" i="26"/>
  <c r="AF231" i="26" s="1"/>
  <c r="AG231" i="26" s="1"/>
  <c r="BE231" i="26" s="1"/>
  <c r="AE230" i="26"/>
  <c r="AF230" i="26" s="1"/>
  <c r="AG230" i="26" s="1"/>
  <c r="BE230" i="26" s="1"/>
  <c r="AE232" i="26"/>
  <c r="AF232" i="26" s="1"/>
  <c r="AG232" i="26" s="1"/>
  <c r="BE232" i="26" s="1"/>
  <c r="AE235" i="26"/>
  <c r="AF235" i="26" s="1"/>
  <c r="AG235" i="26" s="1"/>
  <c r="BE235" i="26" s="1"/>
  <c r="AE237" i="26"/>
  <c r="AF237" i="26" s="1"/>
  <c r="AG237" i="26" s="1"/>
  <c r="BE237" i="26" s="1"/>
  <c r="AG173" i="26"/>
  <c r="BE173" i="26" s="1"/>
  <c r="AG167" i="26"/>
  <c r="BE167" i="26" s="1"/>
  <c r="AG169" i="26"/>
  <c r="BE169" i="26" s="1"/>
  <c r="AG170" i="26"/>
  <c r="BE170" i="26" s="1"/>
  <c r="AG171" i="26"/>
  <c r="BE171" i="26" s="1"/>
  <c r="AG166" i="26"/>
  <c r="BE166" i="26" s="1"/>
  <c r="AG172" i="26"/>
  <c r="BE172" i="26" s="1"/>
  <c r="AG165" i="26"/>
  <c r="BE165" i="26" s="1"/>
  <c r="AG168" i="26"/>
  <c r="BE168" i="26" s="1"/>
  <c r="AF291" i="27"/>
  <c r="BE291" i="27" s="1"/>
  <c r="AE229" i="27"/>
  <c r="AF229" i="27" s="1"/>
  <c r="BF229" i="27" s="1"/>
  <c r="AE231" i="27"/>
  <c r="AF231" i="27" s="1"/>
  <c r="BF231" i="27" s="1"/>
  <c r="AF297" i="27"/>
  <c r="BE297" i="27" s="1"/>
  <c r="AE235" i="27"/>
  <c r="AF235" i="27" s="1"/>
  <c r="BF235" i="27" s="1"/>
  <c r="AE228" i="27"/>
  <c r="AF228" i="27" s="1"/>
  <c r="BF228" i="27" s="1"/>
  <c r="AE300" i="27"/>
  <c r="AG165" i="27"/>
  <c r="BD165" i="27" s="1"/>
  <c r="AG168" i="27"/>
  <c r="BD168" i="27" s="1"/>
  <c r="AG170" i="27"/>
  <c r="BD170" i="27" s="1"/>
  <c r="AG162" i="27"/>
  <c r="BD162" i="27" s="1"/>
  <c r="AG163" i="27"/>
  <c r="BD163" i="27" s="1"/>
  <c r="AG169" i="27"/>
  <c r="BD169" i="27" s="1"/>
  <c r="AG171" i="27"/>
  <c r="BD171" i="27" s="1"/>
  <c r="AG164" i="27"/>
  <c r="BD164" i="27" s="1"/>
  <c r="AG166" i="27"/>
  <c r="BD166" i="27" s="1"/>
  <c r="AG167" i="27"/>
  <c r="BD167" i="27" s="1"/>
  <c r="I47" i="136"/>
  <c r="K65" i="155"/>
  <c r="C65" i="155"/>
  <c r="AC123" i="27"/>
  <c r="H197" i="44"/>
  <c r="G229" i="44" s="1"/>
  <c r="H229" i="44" s="1"/>
  <c r="I229" i="44" s="1"/>
  <c r="H198" i="44"/>
  <c r="G230" i="44" s="1"/>
  <c r="H230" i="44" s="1"/>
  <c r="I230" i="44" s="1"/>
  <c r="H200" i="44"/>
  <c r="G232" i="44" s="1"/>
  <c r="H232" i="44" s="1"/>
  <c r="I232" i="44" s="1"/>
  <c r="H201" i="44"/>
  <c r="G233" i="44" s="1"/>
  <c r="H233" i="44" s="1"/>
  <c r="I233" i="44" s="1"/>
  <c r="H202" i="44"/>
  <c r="H262" i="44"/>
  <c r="H266" i="44"/>
  <c r="L263" i="42"/>
  <c r="AF290" i="27"/>
  <c r="BE290" i="27" s="1"/>
  <c r="P292" i="27"/>
  <c r="AY293" i="27"/>
  <c r="E52" i="6" s="1"/>
  <c r="AF294" i="27"/>
  <c r="BE294" i="27" s="1"/>
  <c r="AN295" i="27"/>
  <c r="AF298" i="27"/>
  <c r="BE298" i="27" s="1"/>
  <c r="N300" i="27"/>
  <c r="AI300" i="27"/>
  <c r="O180" i="188"/>
  <c r="N181" i="188"/>
  <c r="O186" i="188"/>
  <c r="O181" i="188"/>
  <c r="N184" i="188"/>
  <c r="N179" i="188"/>
  <c r="O184" i="188"/>
  <c r="O183" i="188"/>
  <c r="N186" i="188"/>
  <c r="O179" i="188"/>
  <c r="N182" i="188"/>
  <c r="N183" i="188"/>
  <c r="O182" i="188"/>
  <c r="N185" i="188"/>
  <c r="N178" i="188"/>
  <c r="O178" i="188"/>
  <c r="N180" i="188"/>
  <c r="O185" i="188"/>
  <c r="O164" i="188"/>
  <c r="N166" i="188"/>
  <c r="O169" i="188"/>
  <c r="O171" i="188"/>
  <c r="O166" i="188"/>
  <c r="N163" i="188"/>
  <c r="N168" i="188"/>
  <c r="N170" i="188"/>
  <c r="O163" i="188"/>
  <c r="O168" i="188"/>
  <c r="O170" i="188"/>
  <c r="N165" i="188"/>
  <c r="O165" i="188"/>
  <c r="N167" i="188"/>
  <c r="O167" i="188"/>
  <c r="N164" i="188"/>
  <c r="N169" i="188"/>
  <c r="N171" i="188"/>
  <c r="AA237" i="26"/>
  <c r="AB237" i="26" s="1"/>
  <c r="AC237" i="26" s="1"/>
  <c r="AA230" i="26"/>
  <c r="AB230" i="26" s="1"/>
  <c r="AC230" i="26" s="1"/>
  <c r="AA234" i="26"/>
  <c r="AB234" i="26" s="1"/>
  <c r="AC234" i="26" s="1"/>
  <c r="AA231" i="26"/>
  <c r="AB231" i="26" s="1"/>
  <c r="AC231" i="26" s="1"/>
  <c r="E7" i="9"/>
  <c r="G7" i="9" s="1"/>
  <c r="AA235" i="26"/>
  <c r="AB235" i="26" s="1"/>
  <c r="AC235" i="26" s="1"/>
  <c r="AA232" i="26"/>
  <c r="AB232" i="26" s="1"/>
  <c r="AC232" i="26" s="1"/>
  <c r="AA236" i="26"/>
  <c r="AB236" i="26" s="1"/>
  <c r="AC236" i="26" s="1"/>
  <c r="L262" i="44"/>
  <c r="AA229" i="26"/>
  <c r="AB229" i="26" s="1"/>
  <c r="AC229" i="26" s="1"/>
  <c r="AC168" i="27"/>
  <c r="AC169" i="27"/>
  <c r="AC170" i="27"/>
  <c r="AC167" i="27"/>
  <c r="AC163" i="27"/>
  <c r="AC171" i="27"/>
  <c r="P268" i="27"/>
  <c r="AD300" i="27"/>
  <c r="C236" i="27"/>
  <c r="L261" i="42"/>
  <c r="U44" i="9"/>
  <c r="X44" i="9"/>
  <c r="V44" i="9"/>
  <c r="AF5" i="28"/>
  <c r="AC26" i="28"/>
  <c r="AG5" i="28"/>
  <c r="AD26" i="28"/>
  <c r="AE26" i="28"/>
  <c r="AH5" i="28"/>
  <c r="X36" i="9"/>
  <c r="W36" i="9"/>
  <c r="X293" i="27"/>
  <c r="AN299" i="27"/>
  <c r="AM235" i="27"/>
  <c r="AN235" i="27" s="1"/>
  <c r="Y300" i="27"/>
  <c r="E38" i="28"/>
  <c r="H30" i="28"/>
  <c r="J30" i="28" s="1"/>
  <c r="W233" i="27"/>
  <c r="X233" i="27" s="1"/>
  <c r="T62" i="188"/>
  <c r="W2" i="191"/>
  <c r="X37" i="9"/>
  <c r="V37" i="9"/>
  <c r="I140" i="197"/>
  <c r="I141" i="197" s="1"/>
  <c r="K36" i="197"/>
  <c r="Q36" i="197" s="1"/>
  <c r="S36" i="197" s="1"/>
  <c r="L54" i="197"/>
  <c r="N54" i="197" s="1"/>
  <c r="H7" i="42"/>
  <c r="H14" i="42"/>
  <c r="L70" i="42"/>
  <c r="L74" i="42"/>
  <c r="I9" i="18"/>
  <c r="G80" i="18"/>
  <c r="X38" i="9"/>
  <c r="V38" i="9"/>
  <c r="I30" i="28"/>
  <c r="I80" i="185"/>
  <c r="T3" i="9"/>
  <c r="T19" i="9" s="1"/>
  <c r="T35" i="9" s="1"/>
  <c r="X39" i="9"/>
  <c r="V39" i="9"/>
  <c r="L100" i="197"/>
  <c r="N100" i="197" s="1"/>
  <c r="G300" i="27"/>
  <c r="R300" i="27"/>
  <c r="AC300" i="27"/>
  <c r="AM300" i="27"/>
  <c r="F23" i="186"/>
  <c r="I40" i="186" s="1"/>
  <c r="F57" i="186" s="1"/>
  <c r="T15" i="27"/>
  <c r="U48" i="198"/>
  <c r="W38" i="198"/>
  <c r="M18" i="134"/>
  <c r="X40" i="9"/>
  <c r="V40" i="9"/>
  <c r="A141" i="197"/>
  <c r="AJ141" i="27"/>
  <c r="AE84" i="185"/>
  <c r="X41" i="9"/>
  <c r="V41" i="9"/>
  <c r="AB15" i="27"/>
  <c r="AF15" i="27"/>
  <c r="AY15" i="27" s="1"/>
  <c r="H12" i="42"/>
  <c r="Y165" i="27"/>
  <c r="A66" i="27"/>
  <c r="A97" i="27" s="1"/>
  <c r="A128" i="27" s="1"/>
  <c r="A159" i="27" s="1"/>
  <c r="Y167" i="26"/>
  <c r="Y169" i="26"/>
  <c r="W234" i="26"/>
  <c r="X234" i="26" s="1"/>
  <c r="Y234" i="26" s="1"/>
  <c r="A205" i="44"/>
  <c r="A237" i="42"/>
  <c r="X45" i="9"/>
  <c r="V45" i="9"/>
  <c r="AO109" i="27"/>
  <c r="Q46" i="42"/>
  <c r="Q108" i="42" s="1"/>
  <c r="Q170" i="42" s="1"/>
  <c r="T2" i="191"/>
  <c r="T3" i="191"/>
  <c r="X42" i="9"/>
  <c r="V42" i="9"/>
  <c r="AC45" i="9"/>
  <c r="G107" i="28"/>
  <c r="M80" i="197"/>
  <c r="O80" i="197" s="1"/>
  <c r="M93" i="197"/>
  <c r="O93" i="197" s="1"/>
  <c r="M100" i="197"/>
  <c r="O100" i="197" s="1"/>
  <c r="M103" i="197"/>
  <c r="O103" i="197" s="1"/>
  <c r="M139" i="197"/>
  <c r="O139" i="197" s="1"/>
  <c r="AR290" i="27"/>
  <c r="AR294" i="27"/>
  <c r="C43" i="35"/>
  <c r="C62" i="35" s="1"/>
  <c r="J24" i="35"/>
  <c r="R62" i="188"/>
  <c r="Z141" i="188"/>
  <c r="P25" i="196"/>
  <c r="X43" i="9"/>
  <c r="V43" i="9"/>
  <c r="E140" i="197"/>
  <c r="E141" i="197" s="1"/>
  <c r="L193" i="42"/>
  <c r="K225" i="42" s="1"/>
  <c r="L225" i="42" s="1"/>
  <c r="M225" i="42" s="1"/>
  <c r="AA226" i="27"/>
  <c r="AB226" i="27" s="1"/>
  <c r="L197" i="42"/>
  <c r="W300" i="27"/>
  <c r="M35" i="35"/>
  <c r="G35" i="35"/>
  <c r="N54" i="35"/>
  <c r="F54" i="35"/>
  <c r="Y170" i="26"/>
  <c r="Y172" i="26"/>
  <c r="W231" i="26"/>
  <c r="X231" i="26" s="1"/>
  <c r="Y231" i="26" s="1"/>
  <c r="F91" i="18"/>
  <c r="H20" i="18"/>
  <c r="G88" i="18"/>
  <c r="K103" i="197"/>
  <c r="Q103" i="197" s="1"/>
  <c r="S103" i="197" s="1"/>
  <c r="H8" i="42"/>
  <c r="B8" i="185"/>
  <c r="D61" i="195" s="1"/>
  <c r="H11" i="42"/>
  <c r="Y169" i="27"/>
  <c r="X79" i="27"/>
  <c r="AF79" i="27"/>
  <c r="BC79" i="27" s="1"/>
  <c r="H71" i="42"/>
  <c r="AB141" i="27"/>
  <c r="L134" i="42"/>
  <c r="T298" i="27"/>
  <c r="W235" i="26"/>
  <c r="X235" i="26" s="1"/>
  <c r="Y235" i="26" s="1"/>
  <c r="J27" i="136"/>
  <c r="S422" i="183"/>
  <c r="F20" i="18"/>
  <c r="G86" i="18"/>
  <c r="F32" i="198"/>
  <c r="H22" i="198"/>
  <c r="K100" i="197"/>
  <c r="Q100" i="197" s="1"/>
  <c r="S100" i="197" s="1"/>
  <c r="X15" i="27"/>
  <c r="AE47" i="27"/>
  <c r="Y163" i="27"/>
  <c r="AJ105" i="27"/>
  <c r="Y170" i="27"/>
  <c r="AB79" i="27"/>
  <c r="L72" i="42"/>
  <c r="L76" i="42"/>
  <c r="AF141" i="27"/>
  <c r="BC141" i="27" s="1"/>
  <c r="M142" i="27"/>
  <c r="D193" i="42"/>
  <c r="C225" i="42" s="1"/>
  <c r="D225" i="42" s="1"/>
  <c r="E225" i="42" s="1"/>
  <c r="X292" i="27"/>
  <c r="D197" i="42"/>
  <c r="X296" i="27"/>
  <c r="D201" i="42"/>
  <c r="C233" i="42" s="1"/>
  <c r="D233" i="42" s="1"/>
  <c r="E233" i="42" s="1"/>
  <c r="X268" i="27"/>
  <c r="D259" i="42"/>
  <c r="D263" i="42"/>
  <c r="AG300" i="27"/>
  <c r="BF300" i="27" s="1"/>
  <c r="B26" i="185"/>
  <c r="D63" i="196" s="1"/>
  <c r="L63" i="196" s="1"/>
  <c r="O63" i="196" s="1"/>
  <c r="M32" i="196" s="1"/>
  <c r="AZ196" i="26"/>
  <c r="AY228" i="26" s="1"/>
  <c r="W232" i="26"/>
  <c r="X232" i="26" s="1"/>
  <c r="Y232" i="26" s="1"/>
  <c r="G39" i="136"/>
  <c r="J39" i="136" s="1"/>
  <c r="V422" i="183"/>
  <c r="W412" i="183"/>
  <c r="M415" i="183"/>
  <c r="AG417" i="183"/>
  <c r="W420" i="183"/>
  <c r="W24" i="170"/>
  <c r="H128" i="170"/>
  <c r="H222" i="170" s="1"/>
  <c r="W201" i="170"/>
  <c r="X201" i="170" s="1"/>
  <c r="W7" i="198"/>
  <c r="W9" i="198"/>
  <c r="W11" i="198"/>
  <c r="G32" i="198"/>
  <c r="H198" i="198"/>
  <c r="I198" i="198" s="1"/>
  <c r="AB290" i="27"/>
  <c r="AB298" i="27"/>
  <c r="C300" i="27"/>
  <c r="Y165" i="26"/>
  <c r="Y166" i="26"/>
  <c r="Y168" i="26"/>
  <c r="W236" i="26"/>
  <c r="X236" i="26" s="1"/>
  <c r="Y236" i="26" s="1"/>
  <c r="AJ16" i="5"/>
  <c r="AV16" i="5"/>
  <c r="BH16" i="5"/>
  <c r="BT16" i="5"/>
  <c r="D124" i="5"/>
  <c r="P124" i="5"/>
  <c r="AB124" i="5"/>
  <c r="AN124" i="5"/>
  <c r="W73" i="170"/>
  <c r="W94" i="170"/>
  <c r="I96" i="170"/>
  <c r="H198" i="170"/>
  <c r="I198" i="170" s="1"/>
  <c r="W61" i="198"/>
  <c r="X61" i="198" s="1"/>
  <c r="H125" i="198"/>
  <c r="W130" i="198"/>
  <c r="W166" i="198"/>
  <c r="H6" i="42"/>
  <c r="H9" i="42"/>
  <c r="Y164" i="27"/>
  <c r="Y167" i="27"/>
  <c r="Y171" i="27"/>
  <c r="AJ79" i="27"/>
  <c r="P69" i="42"/>
  <c r="P73" i="42"/>
  <c r="AN141" i="27"/>
  <c r="AK142" i="27"/>
  <c r="X291" i="27"/>
  <c r="AN293" i="27"/>
  <c r="P294" i="27"/>
  <c r="X295" i="27"/>
  <c r="AY295" i="27"/>
  <c r="E54" i="6" s="1"/>
  <c r="AF296" i="27"/>
  <c r="BE296" i="27" s="1"/>
  <c r="H297" i="27"/>
  <c r="AN297" i="27"/>
  <c r="P298" i="27"/>
  <c r="W235" i="27"/>
  <c r="X235" i="27" s="1"/>
  <c r="S300" i="27"/>
  <c r="AO300" i="27"/>
  <c r="AF268" i="27"/>
  <c r="BF268" i="27" s="1"/>
  <c r="AN291" i="27"/>
  <c r="D300" i="27"/>
  <c r="Y171" i="26"/>
  <c r="Y173" i="26"/>
  <c r="W229" i="26"/>
  <c r="X229" i="26" s="1"/>
  <c r="Y229" i="26" s="1"/>
  <c r="J14" i="38"/>
  <c r="AK16" i="5"/>
  <c r="AW16" i="5"/>
  <c r="BI16" i="5"/>
  <c r="BU16" i="5"/>
  <c r="O158" i="125"/>
  <c r="E124" i="5"/>
  <c r="Q124" i="5"/>
  <c r="AC124" i="5"/>
  <c r="AO124" i="5"/>
  <c r="AC422" i="183"/>
  <c r="V100" i="170"/>
  <c r="K80" i="197"/>
  <c r="Q80" i="197" s="1"/>
  <c r="S80" i="197" s="1"/>
  <c r="K93" i="197"/>
  <c r="Q93" i="197" s="1"/>
  <c r="S93" i="197" s="1"/>
  <c r="AN15" i="27"/>
  <c r="H13" i="42"/>
  <c r="Y166" i="27"/>
  <c r="AN79" i="27"/>
  <c r="H69" i="42"/>
  <c r="L139" i="42"/>
  <c r="AJ268" i="27"/>
  <c r="AJ294" i="27"/>
  <c r="AJ298" i="27"/>
  <c r="O300" i="27"/>
  <c r="W237" i="26"/>
  <c r="X237" i="26" s="1"/>
  <c r="Y237" i="26" s="1"/>
  <c r="H124" i="5"/>
  <c r="T124" i="5"/>
  <c r="AF124" i="5"/>
  <c r="AR124" i="5"/>
  <c r="BJ124" i="5"/>
  <c r="G17" i="136"/>
  <c r="J17" i="136" s="1"/>
  <c r="G78" i="18"/>
  <c r="W57" i="170"/>
  <c r="X57" i="170" s="1"/>
  <c r="W59" i="170"/>
  <c r="X59" i="170" s="1"/>
  <c r="W63" i="170"/>
  <c r="X63" i="170" s="1"/>
  <c r="H91" i="170"/>
  <c r="H93" i="170"/>
  <c r="V134" i="170"/>
  <c r="V228" i="170" s="1"/>
  <c r="H141" i="170"/>
  <c r="V202" i="170"/>
  <c r="W194" i="170"/>
  <c r="X194" i="170" s="1"/>
  <c r="H149" i="198"/>
  <c r="O41" i="42"/>
  <c r="P41" i="42" s="1"/>
  <c r="H10" i="42"/>
  <c r="Y168" i="27"/>
  <c r="X290" i="27"/>
  <c r="W230" i="27"/>
  <c r="X230" i="27" s="1"/>
  <c r="D199" i="42"/>
  <c r="C231" i="42" s="1"/>
  <c r="D231" i="42" s="1"/>
  <c r="E231" i="42" s="1"/>
  <c r="W234" i="27"/>
  <c r="X234" i="27" s="1"/>
  <c r="V300" i="27"/>
  <c r="AK205" i="27"/>
  <c r="AN268" i="27"/>
  <c r="D265" i="42"/>
  <c r="W230" i="26"/>
  <c r="X230" i="26" s="1"/>
  <c r="Y230" i="26" s="1"/>
  <c r="AJ360" i="26"/>
  <c r="N161" i="125"/>
  <c r="AM16" i="5"/>
  <c r="AY16" i="5"/>
  <c r="BW16" i="5"/>
  <c r="I124" i="5"/>
  <c r="U124" i="5"/>
  <c r="AG124" i="5"/>
  <c r="AS124" i="5"/>
  <c r="BK124" i="5"/>
  <c r="J26" i="136"/>
  <c r="M411" i="183"/>
  <c r="AF422" i="183"/>
  <c r="AG413" i="183"/>
  <c r="W416" i="183"/>
  <c r="M419" i="183"/>
  <c r="AG421" i="183"/>
  <c r="G76" i="18"/>
  <c r="W163" i="170"/>
  <c r="X163" i="170" s="1"/>
  <c r="H108" i="198"/>
  <c r="I108" i="198" s="1"/>
  <c r="H110" i="198"/>
  <c r="I110" i="198" s="1"/>
  <c r="W115" i="198"/>
  <c r="X115" i="198" s="1"/>
  <c r="N44" i="42"/>
  <c r="N106" i="42" s="1"/>
  <c r="N168" i="42" s="1"/>
  <c r="W410" i="183"/>
  <c r="H25" i="170"/>
  <c r="W80" i="170"/>
  <c r="H95" i="170"/>
  <c r="W98" i="170"/>
  <c r="H108" i="170"/>
  <c r="W109" i="170"/>
  <c r="X109" i="170" s="1"/>
  <c r="W133" i="170"/>
  <c r="W227" i="170" s="1"/>
  <c r="H145" i="170"/>
  <c r="H193" i="170"/>
  <c r="I193" i="170" s="1"/>
  <c r="W14" i="198"/>
  <c r="H75" i="198"/>
  <c r="I75" i="198" s="1"/>
  <c r="W96" i="198"/>
  <c r="X96" i="198" s="1"/>
  <c r="W108" i="198"/>
  <c r="X108" i="198" s="1"/>
  <c r="W110" i="198"/>
  <c r="X110" i="198" s="1"/>
  <c r="H114" i="198"/>
  <c r="I114" i="198" s="1"/>
  <c r="H165" i="198"/>
  <c r="I165" i="198" s="1"/>
  <c r="W176" i="198"/>
  <c r="X176" i="198" s="1"/>
  <c r="F202" i="198"/>
  <c r="W193" i="198"/>
  <c r="X193" i="198" s="1"/>
  <c r="C34" i="182"/>
  <c r="C89" i="183"/>
  <c r="D153" i="183"/>
  <c r="C304" i="183"/>
  <c r="W75" i="170"/>
  <c r="W91" i="170"/>
  <c r="H97" i="170"/>
  <c r="W114" i="170"/>
  <c r="X114" i="170" s="1"/>
  <c r="V151" i="170"/>
  <c r="W143" i="170"/>
  <c r="X143" i="170" s="1"/>
  <c r="W150" i="170"/>
  <c r="X150" i="170" s="1"/>
  <c r="U168" i="170"/>
  <c r="W160" i="170"/>
  <c r="X160" i="170" s="1"/>
  <c r="H195" i="170"/>
  <c r="I195" i="170" s="1"/>
  <c r="W42" i="198"/>
  <c r="X42" i="198" s="1"/>
  <c r="W44" i="198"/>
  <c r="X44" i="198" s="1"/>
  <c r="W58" i="198"/>
  <c r="X58" i="198" s="1"/>
  <c r="W73" i="198"/>
  <c r="X73" i="198" s="1"/>
  <c r="H97" i="198"/>
  <c r="H99" i="198"/>
  <c r="H107" i="198"/>
  <c r="I107" i="198" s="1"/>
  <c r="H131" i="198"/>
  <c r="W142" i="198"/>
  <c r="X142" i="198" s="1"/>
  <c r="H146" i="198"/>
  <c r="H167" i="198"/>
  <c r="W178" i="198"/>
  <c r="X178" i="198" s="1"/>
  <c r="G202" i="198"/>
  <c r="O292" i="42"/>
  <c r="I15" i="44"/>
  <c r="K141" i="44"/>
  <c r="C144" i="183"/>
  <c r="C147" i="183" s="1"/>
  <c r="C240" i="183"/>
  <c r="C243" i="183" s="1"/>
  <c r="W23" i="170"/>
  <c r="U82" i="170"/>
  <c r="W95" i="170"/>
  <c r="H132" i="170"/>
  <c r="H226" i="170" s="1"/>
  <c r="W141" i="170"/>
  <c r="X141" i="170" s="1"/>
  <c r="W193" i="170"/>
  <c r="X193" i="170" s="1"/>
  <c r="H197" i="170"/>
  <c r="I197" i="170" s="1"/>
  <c r="W6" i="198"/>
  <c r="X6" i="198" s="1"/>
  <c r="W60" i="198"/>
  <c r="X60" i="198" s="1"/>
  <c r="H64" i="198"/>
  <c r="W75" i="198"/>
  <c r="X75" i="198" s="1"/>
  <c r="G117" i="198"/>
  <c r="H111" i="198"/>
  <c r="I111" i="198" s="1"/>
  <c r="W114" i="198"/>
  <c r="X114" i="198" s="1"/>
  <c r="G134" i="198"/>
  <c r="G228" i="198" s="1"/>
  <c r="H192" i="198"/>
  <c r="I192" i="198" s="1"/>
  <c r="A65" i="42"/>
  <c r="A96" i="42" s="1"/>
  <c r="A127" i="42" s="1"/>
  <c r="A158" i="42" s="1"/>
  <c r="A190" i="42"/>
  <c r="K289" i="42"/>
  <c r="K291" i="42"/>
  <c r="K293" i="42"/>
  <c r="K295" i="42"/>
  <c r="F290" i="44"/>
  <c r="E296" i="182"/>
  <c r="C217" i="183"/>
  <c r="F422" i="183"/>
  <c r="V82" i="170"/>
  <c r="H79" i="170"/>
  <c r="H92" i="170"/>
  <c r="H99" i="170"/>
  <c r="F134" i="170"/>
  <c r="F228" i="170" s="1"/>
  <c r="V16" i="198"/>
  <c r="W10" i="198"/>
  <c r="W39" i="198"/>
  <c r="X39" i="198" s="1"/>
  <c r="G82" i="198"/>
  <c r="U117" i="198"/>
  <c r="U134" i="198"/>
  <c r="U228" i="198" s="1"/>
  <c r="H128" i="198"/>
  <c r="W131" i="198"/>
  <c r="W146" i="198"/>
  <c r="X146" i="198" s="1"/>
  <c r="U185" i="198"/>
  <c r="U202" i="198"/>
  <c r="B15" i="42"/>
  <c r="A80" i="42"/>
  <c r="A111" i="42" s="1"/>
  <c r="A142" i="42" s="1"/>
  <c r="A173" i="42" s="1"/>
  <c r="K15" i="44"/>
  <c r="C141" i="44"/>
  <c r="C112" i="183"/>
  <c r="C115" i="183" s="1"/>
  <c r="W6" i="170"/>
  <c r="X6" i="170" s="1"/>
  <c r="U48" i="170"/>
  <c r="W43" i="170"/>
  <c r="H57" i="170"/>
  <c r="H59" i="170"/>
  <c r="H61" i="170"/>
  <c r="H63" i="170"/>
  <c r="W79" i="170"/>
  <c r="H90" i="170"/>
  <c r="H94" i="170"/>
  <c r="W97" i="170"/>
  <c r="W99" i="170"/>
  <c r="W110" i="170"/>
  <c r="X110" i="170" s="1"/>
  <c r="G134" i="170"/>
  <c r="G228" i="170" s="1"/>
  <c r="W125" i="170"/>
  <c r="W219" i="170" s="1"/>
  <c r="W127" i="170"/>
  <c r="W221" i="170" s="1"/>
  <c r="H129" i="170"/>
  <c r="H223" i="170" s="1"/>
  <c r="W147" i="170"/>
  <c r="X147" i="170" s="1"/>
  <c r="W166" i="170"/>
  <c r="X166" i="170" s="1"/>
  <c r="G202" i="170"/>
  <c r="H194" i="170"/>
  <c r="I194" i="170" s="1"/>
  <c r="W197" i="170"/>
  <c r="X197" i="170" s="1"/>
  <c r="H201" i="170"/>
  <c r="I201" i="170" s="1"/>
  <c r="W8" i="198"/>
  <c r="W15" i="198"/>
  <c r="W24" i="198"/>
  <c r="X24" i="198" s="1"/>
  <c r="W41" i="198"/>
  <c r="X41" i="198" s="1"/>
  <c r="W43" i="198"/>
  <c r="X43" i="198" s="1"/>
  <c r="W45" i="198"/>
  <c r="X45" i="198" s="1"/>
  <c r="W47" i="198"/>
  <c r="X47" i="198" s="1"/>
  <c r="U65" i="198"/>
  <c r="W64" i="198"/>
  <c r="X64" i="198" s="1"/>
  <c r="U82" i="198"/>
  <c r="H76" i="198"/>
  <c r="I76" i="198" s="1"/>
  <c r="W79" i="198"/>
  <c r="X79" i="198" s="1"/>
  <c r="V117" i="198"/>
  <c r="H115" i="198"/>
  <c r="I115" i="198" s="1"/>
  <c r="V134" i="198"/>
  <c r="V228" i="198" s="1"/>
  <c r="H130" i="198"/>
  <c r="W133" i="198"/>
  <c r="U151" i="198"/>
  <c r="W148" i="198"/>
  <c r="X148" i="198" s="1"/>
  <c r="W150" i="198"/>
  <c r="X150" i="198" s="1"/>
  <c r="V185" i="198"/>
  <c r="V202" i="198"/>
  <c r="W197" i="198"/>
  <c r="X197" i="198" s="1"/>
  <c r="W200" i="198"/>
  <c r="X200" i="198" s="1"/>
  <c r="H28" i="170"/>
  <c r="V48" i="170"/>
  <c r="W40" i="170"/>
  <c r="W45" i="170"/>
  <c r="W76" i="170"/>
  <c r="W92" i="170"/>
  <c r="H98" i="170"/>
  <c r="H126" i="170"/>
  <c r="H220" i="170" s="1"/>
  <c r="H133" i="170"/>
  <c r="H227" i="170" s="1"/>
  <c r="U151" i="170"/>
  <c r="H146" i="170"/>
  <c r="W159" i="170"/>
  <c r="X159" i="170" s="1"/>
  <c r="U202" i="170"/>
  <c r="H196" i="170"/>
  <c r="I196" i="170" s="1"/>
  <c r="W199" i="170"/>
  <c r="X199" i="170" s="1"/>
  <c r="W12" i="198"/>
  <c r="X13" i="198"/>
  <c r="V65" i="198"/>
  <c r="V82" i="198"/>
  <c r="W81" i="198"/>
  <c r="X81" i="198" s="1"/>
  <c r="U100" i="198"/>
  <c r="H98" i="198"/>
  <c r="H132" i="198"/>
  <c r="V151" i="198"/>
  <c r="H147" i="198"/>
  <c r="W194" i="198"/>
  <c r="X194" i="198" s="1"/>
  <c r="N81" i="185"/>
  <c r="T104" i="185"/>
  <c r="T49" i="195"/>
  <c r="T70" i="185"/>
  <c r="T84" i="185" s="1"/>
  <c r="R81" i="185"/>
  <c r="U81" i="185" s="1"/>
  <c r="AE104" i="185"/>
  <c r="T46" i="195"/>
  <c r="T50" i="195"/>
  <c r="I83" i="185"/>
  <c r="N83" i="185"/>
  <c r="T43" i="195"/>
  <c r="T47" i="195"/>
  <c r="T51" i="195"/>
  <c r="T45" i="195"/>
  <c r="T44" i="195"/>
  <c r="T48" i="195"/>
  <c r="T52" i="195"/>
  <c r="AP75" i="201"/>
  <c r="I6" i="134"/>
  <c r="U6" i="134" s="1"/>
  <c r="I9" i="134"/>
  <c r="V9" i="134" s="1"/>
  <c r="F29" i="42"/>
  <c r="G29" i="44"/>
  <c r="I28" i="44"/>
  <c r="I27" i="44"/>
  <c r="F27" i="42"/>
  <c r="G27" i="44"/>
  <c r="F27" i="44"/>
  <c r="F26" i="44"/>
  <c r="I26" i="42"/>
  <c r="G26" i="42"/>
  <c r="I26" i="44"/>
  <c r="F26" i="42"/>
  <c r="I25" i="42"/>
  <c r="G25" i="44"/>
  <c r="I25" i="44"/>
  <c r="F25" i="44"/>
  <c r="G24" i="44"/>
  <c r="F24" i="42"/>
  <c r="I24" i="42"/>
  <c r="G24" i="42"/>
  <c r="F24" i="44"/>
  <c r="G23" i="44"/>
  <c r="W119" i="26"/>
  <c r="W182" i="26" s="1"/>
  <c r="I23" i="42"/>
  <c r="F23" i="42"/>
  <c r="I23" i="44"/>
  <c r="K24" i="155"/>
  <c r="M24" i="155"/>
  <c r="I22" i="42"/>
  <c r="I22" i="44"/>
  <c r="F22" i="42"/>
  <c r="G22" i="42"/>
  <c r="F22" i="44"/>
  <c r="I21" i="44"/>
  <c r="G21" i="44"/>
  <c r="F21" i="42"/>
  <c r="I21" i="42"/>
  <c r="F21" i="44"/>
  <c r="G20" i="44"/>
  <c r="F20" i="42"/>
  <c r="G20" i="42"/>
  <c r="F20" i="44"/>
  <c r="AD23" i="201"/>
  <c r="AD24" i="201"/>
  <c r="AE23" i="201"/>
  <c r="AE24" i="201"/>
  <c r="BC133" i="201"/>
  <c r="AP16" i="5"/>
  <c r="Y269" i="27"/>
  <c r="X294" i="27"/>
  <c r="X298" i="27"/>
  <c r="W228" i="27"/>
  <c r="X228" i="27" s="1"/>
  <c r="W226" i="27"/>
  <c r="X226" i="27" s="1"/>
  <c r="L138" i="42"/>
  <c r="H73" i="42"/>
  <c r="H5" i="42"/>
  <c r="L178" i="188"/>
  <c r="M180" i="188"/>
  <c r="L183" i="188"/>
  <c r="M178" i="188"/>
  <c r="M179" i="188"/>
  <c r="L182" i="188"/>
  <c r="M183" i="188"/>
  <c r="L186" i="188"/>
  <c r="L179" i="188"/>
  <c r="L181" i="188"/>
  <c r="M182" i="188"/>
  <c r="L185" i="188"/>
  <c r="M186" i="188"/>
  <c r="M184" i="188"/>
  <c r="L180" i="188"/>
  <c r="M181" i="188"/>
  <c r="L184" i="188"/>
  <c r="M185" i="188"/>
  <c r="M164" i="188"/>
  <c r="L166" i="188"/>
  <c r="M165" i="188"/>
  <c r="M166" i="188"/>
  <c r="L167" i="188"/>
  <c r="L165" i="188"/>
  <c r="M169" i="188"/>
  <c r="L163" i="188"/>
  <c r="M167" i="188"/>
  <c r="L168" i="188"/>
  <c r="L170" i="188"/>
  <c r="M171" i="188"/>
  <c r="M163" i="188"/>
  <c r="L164" i="188"/>
  <c r="M168" i="188"/>
  <c r="L169" i="188"/>
  <c r="M170" i="188"/>
  <c r="L171" i="188"/>
  <c r="O62" i="188"/>
  <c r="N115" i="188"/>
  <c r="H72" i="170"/>
  <c r="H74" i="170"/>
  <c r="H73" i="170"/>
  <c r="H78" i="170"/>
  <c r="H75" i="170"/>
  <c r="H76" i="170"/>
  <c r="H80" i="170"/>
  <c r="H81" i="170"/>
  <c r="H6" i="134"/>
  <c r="N6" i="134" s="1"/>
  <c r="I7" i="134"/>
  <c r="O7" i="134" s="1"/>
  <c r="AB71" i="191"/>
  <c r="T360" i="26"/>
  <c r="S230" i="26"/>
  <c r="T230" i="26" s="1"/>
  <c r="U230" i="26" s="1"/>
  <c r="S232" i="26"/>
  <c r="T232" i="26" s="1"/>
  <c r="U232" i="26" s="1"/>
  <c r="E8" i="9"/>
  <c r="G8" i="9" s="1"/>
  <c r="S237" i="26"/>
  <c r="T237" i="26" s="1"/>
  <c r="U237" i="26" s="1"/>
  <c r="S234" i="26"/>
  <c r="T234" i="26" s="1"/>
  <c r="U234" i="26" s="1"/>
  <c r="E10" i="9"/>
  <c r="G10" i="9" s="1"/>
  <c r="S236" i="26"/>
  <c r="T236" i="26" s="1"/>
  <c r="U236" i="26" s="1"/>
  <c r="S235" i="26"/>
  <c r="T235" i="26" s="1"/>
  <c r="U235" i="26" s="1"/>
  <c r="S229" i="26"/>
  <c r="T229" i="26" s="1"/>
  <c r="U229" i="26" s="1"/>
  <c r="S231" i="26"/>
  <c r="T231" i="26" s="1"/>
  <c r="U231" i="26" s="1"/>
  <c r="U166" i="26"/>
  <c r="U167" i="26"/>
  <c r="U172" i="26"/>
  <c r="U170" i="26"/>
  <c r="U171" i="26"/>
  <c r="U165" i="26"/>
  <c r="U169" i="26"/>
  <c r="U168" i="26"/>
  <c r="U173" i="26"/>
  <c r="T268" i="27"/>
  <c r="S230" i="27"/>
  <c r="T230" i="27" s="1"/>
  <c r="T295" i="27"/>
  <c r="T299" i="27"/>
  <c r="T141" i="27"/>
  <c r="H79" i="27"/>
  <c r="T79" i="27"/>
  <c r="X104" i="27"/>
  <c r="BP39" i="201"/>
  <c r="BP41" i="201"/>
  <c r="BP50" i="201"/>
  <c r="BQ51" i="201"/>
  <c r="BP54" i="201"/>
  <c r="BQ55" i="201"/>
  <c r="BP57" i="201"/>
  <c r="BQ58" i="201"/>
  <c r="BP44" i="201"/>
  <c r="BQ57" i="201"/>
  <c r="BP35" i="201"/>
  <c r="BP43" i="201"/>
  <c r="BP52" i="201"/>
  <c r="BQ53" i="201"/>
  <c r="BQ56" i="201"/>
  <c r="BP59" i="201"/>
  <c r="AY134" i="201"/>
  <c r="BQ35" i="201"/>
  <c r="BQ38" i="201"/>
  <c r="BQ40" i="201"/>
  <c r="BP42" i="201"/>
  <c r="W55" i="170"/>
  <c r="X55" i="170" s="1"/>
  <c r="W62" i="170"/>
  <c r="X62" i="170" s="1"/>
  <c r="H64" i="170"/>
  <c r="F65" i="170"/>
  <c r="H58" i="170"/>
  <c r="G45" i="134"/>
  <c r="S45" i="134" s="1"/>
  <c r="J15" i="132" s="1"/>
  <c r="DL107" i="190"/>
  <c r="G37" i="134"/>
  <c r="S37" i="134" s="1"/>
  <c r="J7" i="132" s="1"/>
  <c r="DL29" i="190"/>
  <c r="K116" i="27"/>
  <c r="K178" i="27" s="1"/>
  <c r="Q117" i="27"/>
  <c r="T216" i="26"/>
  <c r="AJ216" i="26"/>
  <c r="T217" i="26"/>
  <c r="T218" i="26"/>
  <c r="AJ218" i="26"/>
  <c r="T219" i="26"/>
  <c r="AJ219" i="26"/>
  <c r="AI251" i="26" s="1"/>
  <c r="AJ251" i="26" s="1"/>
  <c r="AK251" i="26" s="1"/>
  <c r="T220" i="26"/>
  <c r="K8" i="134"/>
  <c r="K10" i="134"/>
  <c r="K12" i="134"/>
  <c r="Q12" i="134" s="1"/>
  <c r="V158" i="26"/>
  <c r="AG158" i="26"/>
  <c r="BE158" i="26" s="1"/>
  <c r="R103" i="185"/>
  <c r="U103" i="185" s="1"/>
  <c r="F98" i="6"/>
  <c r="AF373" i="26"/>
  <c r="BF373" i="26" s="1"/>
  <c r="J39" i="44"/>
  <c r="J102" i="44" s="1"/>
  <c r="J164" i="44" s="1"/>
  <c r="D111" i="196"/>
  <c r="G111" i="196" s="1"/>
  <c r="D112" i="196"/>
  <c r="G112" i="196" s="1"/>
  <c r="D42" i="26"/>
  <c r="Q207" i="26"/>
  <c r="Q361" i="26"/>
  <c r="E100" i="185"/>
  <c r="AF143" i="26"/>
  <c r="BD143" i="26" s="1"/>
  <c r="AH330" i="26"/>
  <c r="AC361" i="26"/>
  <c r="O231" i="26"/>
  <c r="P231" i="26" s="1"/>
  <c r="Q231" i="26" s="1"/>
  <c r="K39" i="44"/>
  <c r="K102" i="44" s="1"/>
  <c r="K164" i="44" s="1"/>
  <c r="D81" i="196"/>
  <c r="G81" i="196" s="1"/>
  <c r="F35" i="196" s="1"/>
  <c r="P143" i="26"/>
  <c r="O235" i="26"/>
  <c r="P235" i="26" s="1"/>
  <c r="Q235" i="26" s="1"/>
  <c r="O237" i="26"/>
  <c r="P237" i="26" s="1"/>
  <c r="Q237" i="26" s="1"/>
  <c r="T213" i="26"/>
  <c r="AJ213" i="26"/>
  <c r="AI245" i="26" s="1"/>
  <c r="AJ245" i="26" s="1"/>
  <c r="AK245" i="26" s="1"/>
  <c r="O229" i="26"/>
  <c r="P229" i="26" s="1"/>
  <c r="Q229" i="26" s="1"/>
  <c r="N100" i="185"/>
  <c r="E101" i="185"/>
  <c r="N103" i="185"/>
  <c r="O230" i="26"/>
  <c r="P230" i="26" s="1"/>
  <c r="Q230" i="26" s="1"/>
  <c r="O232" i="26"/>
  <c r="P232" i="26" s="1"/>
  <c r="Q232" i="26" s="1"/>
  <c r="I100" i="185"/>
  <c r="N102" i="185"/>
  <c r="I103" i="185"/>
  <c r="G116" i="26"/>
  <c r="G118" i="26"/>
  <c r="O234" i="26"/>
  <c r="P234" i="26" s="1"/>
  <c r="Q234" i="26" s="1"/>
  <c r="O236" i="26"/>
  <c r="P236" i="26" s="1"/>
  <c r="Q236" i="26" s="1"/>
  <c r="P382" i="26"/>
  <c r="H258" i="44"/>
  <c r="T143" i="26"/>
  <c r="AJ143" i="26"/>
  <c r="I42" i="44"/>
  <c r="I105" i="44" s="1"/>
  <c r="I167" i="44" s="1"/>
  <c r="F6" i="6"/>
  <c r="F10" i="6"/>
  <c r="DI109" i="190"/>
  <c r="DI35" i="190"/>
  <c r="DI32" i="190"/>
  <c r="DI34" i="190"/>
  <c r="DI30" i="190"/>
  <c r="DI33" i="190"/>
  <c r="DI36" i="190"/>
  <c r="DI37" i="190"/>
  <c r="DI31" i="190"/>
  <c r="Q300" i="27"/>
  <c r="DK36" i="190"/>
  <c r="DK32" i="190"/>
  <c r="DK35" i="190"/>
  <c r="DK31" i="190"/>
  <c r="DK33" i="190"/>
  <c r="DK37" i="190"/>
  <c r="DK34" i="190"/>
  <c r="DK30" i="190"/>
  <c r="H199" i="42"/>
  <c r="G231" i="42" s="1"/>
  <c r="H231" i="42" s="1"/>
  <c r="I231" i="42" s="1"/>
  <c r="O227" i="27"/>
  <c r="P227" i="27" s="1"/>
  <c r="Q227" i="27" s="1"/>
  <c r="P141" i="27"/>
  <c r="I43" i="42"/>
  <c r="I105" i="42" s="1"/>
  <c r="I167" i="42" s="1"/>
  <c r="F42" i="42"/>
  <c r="F104" i="42" s="1"/>
  <c r="F166" i="42" s="1"/>
  <c r="F46" i="42"/>
  <c r="F108" i="42" s="1"/>
  <c r="F170" i="42" s="1"/>
  <c r="F41" i="42"/>
  <c r="F103" i="42" s="1"/>
  <c r="F165" i="42" s="1"/>
  <c r="P15" i="27"/>
  <c r="H181" i="188"/>
  <c r="I186" i="188"/>
  <c r="H179" i="188"/>
  <c r="H180" i="188"/>
  <c r="H116" i="185"/>
  <c r="I181" i="188"/>
  <c r="H184" i="188"/>
  <c r="H77" i="185"/>
  <c r="I185" i="188"/>
  <c r="H178" i="188"/>
  <c r="I179" i="188"/>
  <c r="I180" i="188"/>
  <c r="H183" i="188"/>
  <c r="I184" i="188"/>
  <c r="I182" i="188"/>
  <c r="H134" i="185"/>
  <c r="H185" i="188"/>
  <c r="I178" i="188"/>
  <c r="H182" i="188"/>
  <c r="I183" i="188"/>
  <c r="H186" i="188"/>
  <c r="H166" i="188"/>
  <c r="I171" i="188"/>
  <c r="I164" i="188"/>
  <c r="I170" i="188"/>
  <c r="I165" i="188"/>
  <c r="H167" i="188"/>
  <c r="I167" i="188"/>
  <c r="H165" i="188"/>
  <c r="I169" i="188"/>
  <c r="I166" i="188"/>
  <c r="H163" i="188"/>
  <c r="H168" i="188"/>
  <c r="I163" i="188"/>
  <c r="H164" i="188"/>
  <c r="I168" i="188"/>
  <c r="D135" i="185"/>
  <c r="H169" i="188"/>
  <c r="H170" i="188"/>
  <c r="H171" i="188"/>
  <c r="M41" i="44"/>
  <c r="M104" i="44" s="1"/>
  <c r="M166" i="44" s="1"/>
  <c r="M43" i="44"/>
  <c r="M106" i="44" s="1"/>
  <c r="M168" i="44" s="1"/>
  <c r="D46" i="26"/>
  <c r="D80" i="196"/>
  <c r="G80" i="196" s="1"/>
  <c r="F34" i="196" s="1"/>
  <c r="L133" i="44"/>
  <c r="L135" i="44"/>
  <c r="L137" i="44"/>
  <c r="L139" i="44"/>
  <c r="AX344" i="26"/>
  <c r="K13" i="134"/>
  <c r="D7" i="42"/>
  <c r="M54" i="191"/>
  <c r="C25" i="44"/>
  <c r="B25" i="44"/>
  <c r="E25" i="44"/>
  <c r="E25" i="42"/>
  <c r="S2" i="191"/>
  <c r="M86" i="191"/>
  <c r="E29" i="44"/>
  <c r="C29" i="44"/>
  <c r="C28" i="42"/>
  <c r="E28" i="44"/>
  <c r="C28" i="44"/>
  <c r="E28" i="42"/>
  <c r="E27" i="44"/>
  <c r="C27" i="44"/>
  <c r="B26" i="42"/>
  <c r="C26" i="42"/>
  <c r="E26" i="42"/>
  <c r="E26" i="44"/>
  <c r="B26" i="44"/>
  <c r="B24" i="42"/>
  <c r="C24" i="44"/>
  <c r="E24" i="42"/>
  <c r="C24" i="42"/>
  <c r="B24" i="44"/>
  <c r="C23" i="44"/>
  <c r="E23" i="44"/>
  <c r="E23" i="42"/>
  <c r="B23" i="44"/>
  <c r="C22" i="42"/>
  <c r="E22" i="44"/>
  <c r="B22" i="42"/>
  <c r="E22" i="42"/>
  <c r="B22" i="44"/>
  <c r="C21" i="44"/>
  <c r="E21" i="44"/>
  <c r="E21" i="42"/>
  <c r="B21" i="44"/>
  <c r="C20" i="44"/>
  <c r="K116" i="26"/>
  <c r="C20" i="42"/>
  <c r="B20" i="42"/>
  <c r="B20" i="44"/>
  <c r="H39" i="170"/>
  <c r="H47" i="170"/>
  <c r="M392" i="26"/>
  <c r="K229" i="26"/>
  <c r="L229" i="26" s="1"/>
  <c r="M229" i="26" s="1"/>
  <c r="K235" i="26"/>
  <c r="L235" i="26" s="1"/>
  <c r="M235" i="26" s="1"/>
  <c r="K237" i="26"/>
  <c r="L237" i="26" s="1"/>
  <c r="M237" i="26" s="1"/>
  <c r="K231" i="26"/>
  <c r="L231" i="26" s="1"/>
  <c r="M231" i="26" s="1"/>
  <c r="K230" i="26"/>
  <c r="L230" i="26" s="1"/>
  <c r="M230" i="26" s="1"/>
  <c r="K232" i="26"/>
  <c r="L232" i="26" s="1"/>
  <c r="M232" i="26" s="1"/>
  <c r="K234" i="26"/>
  <c r="L234" i="26" s="1"/>
  <c r="M234" i="26" s="1"/>
  <c r="K236" i="26"/>
  <c r="L236" i="26" s="1"/>
  <c r="M236" i="26" s="1"/>
  <c r="L143" i="26"/>
  <c r="D103" i="196"/>
  <c r="G103" i="196" s="1"/>
  <c r="D110" i="196"/>
  <c r="G110" i="196" s="1"/>
  <c r="M169" i="26"/>
  <c r="M166" i="26"/>
  <c r="M167" i="26"/>
  <c r="M173" i="26"/>
  <c r="M171" i="26"/>
  <c r="M165" i="26"/>
  <c r="M168" i="26"/>
  <c r="M170" i="26"/>
  <c r="M172" i="26"/>
  <c r="BA291" i="27"/>
  <c r="G50" i="6" s="1"/>
  <c r="BA293" i="27"/>
  <c r="G52" i="6" s="1"/>
  <c r="BA295" i="27"/>
  <c r="G54" i="6" s="1"/>
  <c r="L297" i="27"/>
  <c r="L268" i="27"/>
  <c r="D262" i="42"/>
  <c r="M300" i="27"/>
  <c r="L290" i="27"/>
  <c r="L292" i="27"/>
  <c r="L294" i="27"/>
  <c r="L298" i="27"/>
  <c r="K232" i="27"/>
  <c r="L232" i="27" s="1"/>
  <c r="K300" i="27"/>
  <c r="L296" i="27"/>
  <c r="K227" i="27"/>
  <c r="L227" i="27" s="1"/>
  <c r="L293" i="27"/>
  <c r="K231" i="27"/>
  <c r="L231" i="27" s="1"/>
  <c r="K233" i="27"/>
  <c r="L233" i="27" s="1"/>
  <c r="K235" i="27"/>
  <c r="L235" i="27" s="1"/>
  <c r="J300" i="27"/>
  <c r="K228" i="27"/>
  <c r="L228" i="27" s="1"/>
  <c r="H131" i="42"/>
  <c r="H133" i="42"/>
  <c r="D106" i="195"/>
  <c r="H135" i="42"/>
  <c r="D104" i="195"/>
  <c r="D108" i="195"/>
  <c r="D110" i="195"/>
  <c r="H139" i="42"/>
  <c r="D112" i="195"/>
  <c r="M163" i="27"/>
  <c r="M166" i="27"/>
  <c r="M165" i="27"/>
  <c r="M167" i="27"/>
  <c r="M171" i="27"/>
  <c r="M164" i="27"/>
  <c r="M168" i="27"/>
  <c r="M169" i="27"/>
  <c r="M170" i="27"/>
  <c r="L79" i="27"/>
  <c r="D82" i="195"/>
  <c r="G82" i="195" s="1"/>
  <c r="F36" i="195" s="1"/>
  <c r="E93" i="195"/>
  <c r="O100" i="27"/>
  <c r="O162" i="27" s="1"/>
  <c r="N104" i="27"/>
  <c r="N166" i="27" s="1"/>
  <c r="P166" i="27" s="1"/>
  <c r="AA42" i="188"/>
  <c r="M59" i="185" s="1"/>
  <c r="N48" i="196" s="1"/>
  <c r="N93" i="196" s="1"/>
  <c r="H43" i="170"/>
  <c r="H44" i="170"/>
  <c r="H42" i="170"/>
  <c r="H46" i="170"/>
  <c r="H38" i="170"/>
  <c r="H30" i="170"/>
  <c r="H337" i="182"/>
  <c r="G337" i="182"/>
  <c r="I337" i="182"/>
  <c r="J337" i="182"/>
  <c r="E186" i="182"/>
  <c r="I186" i="182" s="1"/>
  <c r="H187" i="182"/>
  <c r="G187" i="182"/>
  <c r="I187" i="182"/>
  <c r="J187" i="182"/>
  <c r="H12" i="134"/>
  <c r="L9" i="33"/>
  <c r="L11" i="33"/>
  <c r="L13" i="33"/>
  <c r="L15" i="33"/>
  <c r="L17" i="33"/>
  <c r="K156" i="27"/>
  <c r="AG156" i="27"/>
  <c r="BD156" i="27" s="1"/>
  <c r="G120" i="26"/>
  <c r="G183" i="26" s="1"/>
  <c r="G124" i="26"/>
  <c r="G187" i="26" s="1"/>
  <c r="E70" i="35"/>
  <c r="H26" i="170"/>
  <c r="H31" i="170"/>
  <c r="G48" i="186"/>
  <c r="AB69" i="191"/>
  <c r="AB31" i="191"/>
  <c r="M22" i="156"/>
  <c r="AX329" i="26"/>
  <c r="D198" i="44"/>
  <c r="D294" i="44" s="1"/>
  <c r="D200" i="44"/>
  <c r="D296" i="44" s="1"/>
  <c r="M144" i="26"/>
  <c r="I300" i="27"/>
  <c r="D258" i="42"/>
  <c r="D266" i="42"/>
  <c r="J237" i="27"/>
  <c r="R229" i="42"/>
  <c r="H290" i="27"/>
  <c r="H294" i="27"/>
  <c r="G232" i="27"/>
  <c r="H232" i="27" s="1"/>
  <c r="H204" i="27"/>
  <c r="H299" i="27"/>
  <c r="H141" i="27"/>
  <c r="M80" i="27"/>
  <c r="D77" i="42"/>
  <c r="D18" i="125"/>
  <c r="Z78" i="188"/>
  <c r="F115" i="188"/>
  <c r="V16" i="170"/>
  <c r="W7" i="170"/>
  <c r="W12" i="170"/>
  <c r="W14" i="170"/>
  <c r="X10" i="170"/>
  <c r="W9" i="170"/>
  <c r="U16" i="170"/>
  <c r="W15" i="170"/>
  <c r="X8" i="170"/>
  <c r="W11" i="170"/>
  <c r="W13" i="170"/>
  <c r="H12" i="198"/>
  <c r="F16" i="198"/>
  <c r="G16" i="198"/>
  <c r="H7" i="198"/>
  <c r="H14" i="198"/>
  <c r="H13" i="198"/>
  <c r="H11" i="198"/>
  <c r="H15" i="198"/>
  <c r="H8" i="198"/>
  <c r="H9" i="198"/>
  <c r="H10" i="198"/>
  <c r="H15" i="170"/>
  <c r="H9" i="170"/>
  <c r="H10" i="170"/>
  <c r="H11" i="170"/>
  <c r="H12" i="170"/>
  <c r="H13" i="170"/>
  <c r="F387" i="183"/>
  <c r="H98" i="182"/>
  <c r="G98" i="182"/>
  <c r="J98" i="182"/>
  <c r="I98" i="182"/>
  <c r="G128" i="182"/>
  <c r="H128" i="182"/>
  <c r="I128" i="182"/>
  <c r="J128" i="182"/>
  <c r="H278" i="182"/>
  <c r="G278" i="182"/>
  <c r="I278" i="182"/>
  <c r="J278" i="182"/>
  <c r="H248" i="182"/>
  <c r="G248" i="182"/>
  <c r="I248" i="182"/>
  <c r="J248" i="182"/>
  <c r="H338" i="182"/>
  <c r="G338" i="182"/>
  <c r="I338" i="182"/>
  <c r="J338" i="182"/>
  <c r="G218" i="182"/>
  <c r="H218" i="182"/>
  <c r="J218" i="182"/>
  <c r="I218" i="182"/>
  <c r="G158" i="182"/>
  <c r="H158" i="182"/>
  <c r="J158" i="182"/>
  <c r="I158" i="182"/>
  <c r="G188" i="182"/>
  <c r="H188" i="182"/>
  <c r="J188" i="182"/>
  <c r="I188" i="182"/>
  <c r="G308" i="182"/>
  <c r="H308" i="182"/>
  <c r="I308" i="182"/>
  <c r="J308" i="182"/>
  <c r="H247" i="182"/>
  <c r="G247" i="182"/>
  <c r="J247" i="182"/>
  <c r="I247" i="182"/>
  <c r="H217" i="182"/>
  <c r="G217" i="182"/>
  <c r="J217" i="182"/>
  <c r="I217" i="182"/>
  <c r="H307" i="182"/>
  <c r="G307" i="182"/>
  <c r="J307" i="182"/>
  <c r="I307" i="182"/>
  <c r="H277" i="182"/>
  <c r="G277" i="182"/>
  <c r="I277" i="182"/>
  <c r="J277" i="182"/>
  <c r="H157" i="182"/>
  <c r="G157" i="182"/>
  <c r="I157" i="182"/>
  <c r="J157" i="182"/>
  <c r="H97" i="182"/>
  <c r="G97" i="182"/>
  <c r="I97" i="182"/>
  <c r="J97" i="182"/>
  <c r="H127" i="182"/>
  <c r="G127" i="182"/>
  <c r="I127" i="182"/>
  <c r="J127" i="182"/>
  <c r="G175" i="182"/>
  <c r="H175" i="182"/>
  <c r="J175" i="182"/>
  <c r="I175" i="182"/>
  <c r="E437" i="182"/>
  <c r="J437" i="182" s="1"/>
  <c r="G171" i="182"/>
  <c r="H171" i="182"/>
  <c r="J171" i="182"/>
  <c r="I171" i="182"/>
  <c r="E178" i="183"/>
  <c r="H177" i="182"/>
  <c r="G177" i="182"/>
  <c r="J177" i="182"/>
  <c r="I177" i="182"/>
  <c r="H168" i="182"/>
  <c r="G168" i="182"/>
  <c r="J168" i="182"/>
  <c r="I168" i="182"/>
  <c r="G178" i="182"/>
  <c r="H178" i="182"/>
  <c r="I178" i="182"/>
  <c r="J178" i="182"/>
  <c r="E389" i="182"/>
  <c r="J389" i="182" s="1"/>
  <c r="I165" i="182"/>
  <c r="K171" i="183" s="1"/>
  <c r="H165" i="182"/>
  <c r="H171" i="183" s="1"/>
  <c r="G165" i="182"/>
  <c r="G171" i="183" s="1"/>
  <c r="J165" i="182"/>
  <c r="G184" i="182"/>
  <c r="H184" i="182"/>
  <c r="I184" i="182"/>
  <c r="J184" i="182"/>
  <c r="I166" i="182"/>
  <c r="G166" i="182"/>
  <c r="J166" i="182"/>
  <c r="H166" i="182"/>
  <c r="G183" i="182"/>
  <c r="H183" i="182"/>
  <c r="I183" i="182"/>
  <c r="J183" i="182"/>
  <c r="E308" i="183"/>
  <c r="H288" i="182"/>
  <c r="G288" i="182"/>
  <c r="I288" i="182"/>
  <c r="J288" i="182"/>
  <c r="E441" i="182"/>
  <c r="H291" i="182"/>
  <c r="G291" i="182"/>
  <c r="J291" i="182"/>
  <c r="I291" i="182"/>
  <c r="H298" i="182"/>
  <c r="G298" i="182"/>
  <c r="J298" i="182"/>
  <c r="I298" i="182"/>
  <c r="H285" i="182"/>
  <c r="H299" i="183" s="1"/>
  <c r="G285" i="182"/>
  <c r="G299" i="183" s="1"/>
  <c r="I285" i="182"/>
  <c r="K299" i="183" s="1"/>
  <c r="J285" i="182"/>
  <c r="H295" i="182"/>
  <c r="G295" i="182"/>
  <c r="I295" i="182"/>
  <c r="J295" i="182"/>
  <c r="E306" i="183"/>
  <c r="I297" i="182"/>
  <c r="H297" i="182"/>
  <c r="J297" i="182"/>
  <c r="G297" i="182"/>
  <c r="H304" i="182"/>
  <c r="G304" i="182"/>
  <c r="I304" i="182"/>
  <c r="J304" i="182"/>
  <c r="J286" i="182"/>
  <c r="I286" i="182"/>
  <c r="H286" i="182"/>
  <c r="G286" i="182"/>
  <c r="G303" i="182"/>
  <c r="H303" i="182"/>
  <c r="I303" i="182"/>
  <c r="J303" i="182"/>
  <c r="E338" i="183"/>
  <c r="J327" i="182"/>
  <c r="I327" i="182"/>
  <c r="G327" i="182"/>
  <c r="H327" i="182"/>
  <c r="H333" i="182"/>
  <c r="G333" i="182"/>
  <c r="I333" i="182"/>
  <c r="J333" i="182"/>
  <c r="H334" i="182"/>
  <c r="G334" i="182"/>
  <c r="I334" i="182"/>
  <c r="J334" i="182"/>
  <c r="G325" i="182"/>
  <c r="H325" i="182"/>
  <c r="I325" i="182"/>
  <c r="J325" i="182"/>
  <c r="H328" i="182"/>
  <c r="G328" i="182"/>
  <c r="J328" i="182"/>
  <c r="I328" i="182"/>
  <c r="H316" i="182"/>
  <c r="I316" i="182"/>
  <c r="G316" i="182"/>
  <c r="J316" i="182"/>
  <c r="E331" i="183"/>
  <c r="I331" i="183" s="1"/>
  <c r="J331" i="183" s="1"/>
  <c r="H315" i="182"/>
  <c r="H331" i="183" s="1"/>
  <c r="G315" i="182"/>
  <c r="G331" i="183" s="1"/>
  <c r="J315" i="182"/>
  <c r="I315" i="182"/>
  <c r="K331" i="183" s="1"/>
  <c r="G318" i="182"/>
  <c r="H318" i="182"/>
  <c r="I318" i="182"/>
  <c r="J318" i="182"/>
  <c r="E332" i="183"/>
  <c r="I321" i="182"/>
  <c r="G321" i="182"/>
  <c r="H321" i="182"/>
  <c r="J321" i="182"/>
  <c r="I267" i="182"/>
  <c r="J267" i="182"/>
  <c r="H267" i="182"/>
  <c r="G267" i="182"/>
  <c r="H256" i="182"/>
  <c r="I256" i="182"/>
  <c r="G256" i="182"/>
  <c r="J256" i="182"/>
  <c r="I261" i="182"/>
  <c r="H261" i="182"/>
  <c r="G261" i="182"/>
  <c r="J261" i="182"/>
  <c r="E271" i="183"/>
  <c r="H265" i="182"/>
  <c r="G265" i="182"/>
  <c r="I265" i="182"/>
  <c r="J265" i="182"/>
  <c r="H274" i="182"/>
  <c r="G274" i="182"/>
  <c r="J274" i="182"/>
  <c r="I274" i="182"/>
  <c r="G258" i="182"/>
  <c r="I258" i="182"/>
  <c r="H258" i="182"/>
  <c r="J258" i="182"/>
  <c r="E392" i="182"/>
  <c r="I255" i="182"/>
  <c r="K267" i="183" s="1"/>
  <c r="G255" i="182"/>
  <c r="G267" i="183" s="1"/>
  <c r="H255" i="182"/>
  <c r="H267" i="183" s="1"/>
  <c r="J255" i="182"/>
  <c r="H268" i="182"/>
  <c r="G268" i="182"/>
  <c r="J268" i="182"/>
  <c r="I268" i="182"/>
  <c r="G273" i="182"/>
  <c r="H273" i="182"/>
  <c r="J273" i="182"/>
  <c r="I273" i="182"/>
  <c r="G243" i="182"/>
  <c r="H243" i="182"/>
  <c r="I243" i="182"/>
  <c r="J243" i="182"/>
  <c r="P369" i="183"/>
  <c r="G244" i="182"/>
  <c r="H244" i="182"/>
  <c r="J244" i="182"/>
  <c r="I244" i="182"/>
  <c r="G208" i="182"/>
  <c r="H208" i="182"/>
  <c r="J208" i="182"/>
  <c r="I208" i="182"/>
  <c r="G195" i="182"/>
  <c r="G203" i="183" s="1"/>
  <c r="H195" i="182"/>
  <c r="H203" i="183" s="1"/>
  <c r="J195" i="182"/>
  <c r="I195" i="182"/>
  <c r="K203" i="183" s="1"/>
  <c r="H207" i="182"/>
  <c r="J207" i="182"/>
  <c r="I207" i="182"/>
  <c r="G207" i="182"/>
  <c r="G214" i="182"/>
  <c r="I214" i="182"/>
  <c r="H214" i="182"/>
  <c r="J214" i="182"/>
  <c r="G201" i="182"/>
  <c r="H201" i="182"/>
  <c r="I201" i="182"/>
  <c r="J201" i="182"/>
  <c r="J196" i="182"/>
  <c r="I196" i="182"/>
  <c r="H196" i="182"/>
  <c r="G196" i="182"/>
  <c r="G213" i="182"/>
  <c r="H213" i="182"/>
  <c r="J213" i="182"/>
  <c r="I213" i="182"/>
  <c r="H198" i="182"/>
  <c r="G198" i="182"/>
  <c r="J198" i="182"/>
  <c r="I198" i="182"/>
  <c r="H205" i="182"/>
  <c r="G205" i="182"/>
  <c r="J205" i="182"/>
  <c r="I205" i="182"/>
  <c r="E468" i="182"/>
  <c r="G138" i="182"/>
  <c r="I138" i="182"/>
  <c r="H138" i="182"/>
  <c r="J138" i="182"/>
  <c r="E404" i="182"/>
  <c r="H145" i="182"/>
  <c r="G145" i="182"/>
  <c r="I145" i="182"/>
  <c r="J145" i="182"/>
  <c r="H148" i="182"/>
  <c r="G148" i="182"/>
  <c r="J148" i="182"/>
  <c r="I148" i="182"/>
  <c r="H135" i="182"/>
  <c r="H139" i="183" s="1"/>
  <c r="G135" i="182"/>
  <c r="G139" i="183" s="1"/>
  <c r="J135" i="182"/>
  <c r="I135" i="182"/>
  <c r="K139" i="183" s="1"/>
  <c r="G141" i="182"/>
  <c r="I141" i="182"/>
  <c r="H141" i="182"/>
  <c r="J141" i="182"/>
  <c r="I147" i="182"/>
  <c r="G147" i="182"/>
  <c r="H147" i="182"/>
  <c r="J147" i="182"/>
  <c r="H154" i="182"/>
  <c r="G154" i="182"/>
  <c r="I154" i="182"/>
  <c r="J154" i="182"/>
  <c r="H136" i="182"/>
  <c r="J136" i="182"/>
  <c r="G136" i="182"/>
  <c r="I136" i="182"/>
  <c r="G153" i="182"/>
  <c r="H153" i="182"/>
  <c r="I153" i="182"/>
  <c r="J153" i="182"/>
  <c r="I108" i="182"/>
  <c r="G108" i="182"/>
  <c r="H108" i="182"/>
  <c r="J108" i="182"/>
  <c r="E403" i="182"/>
  <c r="I403" i="182" s="1"/>
  <c r="H115" i="182"/>
  <c r="G115" i="182"/>
  <c r="I115" i="182"/>
  <c r="J115" i="182"/>
  <c r="H123" i="182"/>
  <c r="G123" i="182"/>
  <c r="I123" i="182"/>
  <c r="J123" i="182"/>
  <c r="G105" i="182"/>
  <c r="G107" i="183" s="1"/>
  <c r="H105" i="182"/>
  <c r="H107" i="183" s="1"/>
  <c r="I105" i="182"/>
  <c r="K107" i="183" s="1"/>
  <c r="J105" i="182"/>
  <c r="G118" i="182"/>
  <c r="H118" i="182"/>
  <c r="I118" i="182"/>
  <c r="J118" i="182"/>
  <c r="G111" i="182"/>
  <c r="I111" i="182"/>
  <c r="H111" i="182"/>
  <c r="J111" i="182"/>
  <c r="G124" i="182"/>
  <c r="H124" i="182"/>
  <c r="J124" i="182"/>
  <c r="I124" i="182"/>
  <c r="I106" i="182"/>
  <c r="J106" i="182"/>
  <c r="H106" i="182"/>
  <c r="G106" i="182"/>
  <c r="H117" i="182"/>
  <c r="G117" i="182"/>
  <c r="J117" i="182"/>
  <c r="I117" i="182"/>
  <c r="BP16" i="5"/>
  <c r="BK16" i="5"/>
  <c r="BJ16" i="5"/>
  <c r="BD16" i="5"/>
  <c r="AX16" i="5"/>
  <c r="BV16" i="5"/>
  <c r="G78" i="182"/>
  <c r="H78" i="182"/>
  <c r="J78" i="182"/>
  <c r="I78" i="182"/>
  <c r="G75" i="182"/>
  <c r="G75" i="183" s="1"/>
  <c r="H75" i="182"/>
  <c r="H75" i="183" s="1"/>
  <c r="I75" i="182"/>
  <c r="K75" i="183" s="1"/>
  <c r="J75" i="182"/>
  <c r="H94" i="182"/>
  <c r="G94" i="182"/>
  <c r="I94" i="182"/>
  <c r="J94" i="182"/>
  <c r="I88" i="182"/>
  <c r="H88" i="182"/>
  <c r="G88" i="182"/>
  <c r="J88" i="182"/>
  <c r="H81" i="182"/>
  <c r="G81" i="182"/>
  <c r="J81" i="182"/>
  <c r="I81" i="182"/>
  <c r="J87" i="182"/>
  <c r="I87" i="182"/>
  <c r="G87" i="182"/>
  <c r="H87" i="182"/>
  <c r="G85" i="182"/>
  <c r="H85" i="182"/>
  <c r="J85" i="182"/>
  <c r="I85" i="182"/>
  <c r="G76" i="182"/>
  <c r="J76" i="182"/>
  <c r="H76" i="182"/>
  <c r="I76" i="182"/>
  <c r="G93" i="182"/>
  <c r="H93" i="182"/>
  <c r="I93" i="182"/>
  <c r="J93" i="182"/>
  <c r="I93" i="6"/>
  <c r="N93" i="6" s="1"/>
  <c r="H231" i="182"/>
  <c r="G231" i="182"/>
  <c r="I231" i="182"/>
  <c r="J231" i="182"/>
  <c r="G237" i="182"/>
  <c r="H237" i="182"/>
  <c r="J237" i="182"/>
  <c r="I237" i="182"/>
  <c r="H225" i="182"/>
  <c r="H235" i="183" s="1"/>
  <c r="G225" i="182"/>
  <c r="G235" i="183" s="1"/>
  <c r="J225" i="182"/>
  <c r="I225" i="182"/>
  <c r="K235" i="183" s="1"/>
  <c r="H226" i="182"/>
  <c r="I226" i="182"/>
  <c r="G226" i="182"/>
  <c r="J226" i="182"/>
  <c r="G228" i="182"/>
  <c r="H228" i="182"/>
  <c r="J228" i="182"/>
  <c r="I228" i="182"/>
  <c r="H235" i="182"/>
  <c r="G235" i="182"/>
  <c r="J235" i="182"/>
  <c r="I235" i="182"/>
  <c r="G238" i="182"/>
  <c r="H238" i="182"/>
  <c r="J238" i="182"/>
  <c r="I238" i="182"/>
  <c r="G42" i="186"/>
  <c r="AB87" i="191"/>
  <c r="AB77" i="191"/>
  <c r="AB53" i="191"/>
  <c r="AB55" i="191"/>
  <c r="AB61" i="191"/>
  <c r="G43" i="186"/>
  <c r="D313" i="183"/>
  <c r="C23" i="183"/>
  <c r="C313" i="183"/>
  <c r="I90" i="183"/>
  <c r="J90" i="183" s="1"/>
  <c r="F30" i="182"/>
  <c r="F402" i="182"/>
  <c r="F222" i="183"/>
  <c r="F224" i="183" s="1"/>
  <c r="F36" i="182"/>
  <c r="F393" i="182"/>
  <c r="F505" i="182"/>
  <c r="F55" i="183"/>
  <c r="F56" i="183" s="1"/>
  <c r="F276" i="183"/>
  <c r="C336" i="183"/>
  <c r="C339" i="183" s="1"/>
  <c r="F337" i="183"/>
  <c r="F61" i="183"/>
  <c r="F126" i="183"/>
  <c r="F128" i="183" s="1"/>
  <c r="F157" i="183"/>
  <c r="F221" i="183"/>
  <c r="F266" i="183"/>
  <c r="R266" i="183" s="1"/>
  <c r="R267" i="183" s="1"/>
  <c r="F387" i="182"/>
  <c r="F392" i="182"/>
  <c r="F422" i="182"/>
  <c r="F508" i="182"/>
  <c r="F44" i="183"/>
  <c r="F46" i="183" s="1"/>
  <c r="F171" i="183"/>
  <c r="F305" i="183"/>
  <c r="U336" i="183"/>
  <c r="F125" i="183"/>
  <c r="F26" i="182"/>
  <c r="F11" i="182"/>
  <c r="F453" i="182"/>
  <c r="F472" i="182"/>
  <c r="C509" i="182"/>
  <c r="J134" i="6"/>
  <c r="M44" i="6"/>
  <c r="J46" i="134"/>
  <c r="H158" i="198"/>
  <c r="H159" i="198"/>
  <c r="I159" i="198" s="1"/>
  <c r="H160" i="198"/>
  <c r="H161" i="198"/>
  <c r="H162" i="198"/>
  <c r="I162" i="198" s="1"/>
  <c r="H163" i="198"/>
  <c r="I163" i="198" s="1"/>
  <c r="H164" i="198"/>
  <c r="I164" i="198" s="1"/>
  <c r="H166" i="198"/>
  <c r="G151" i="198"/>
  <c r="H143" i="198"/>
  <c r="H144" i="198"/>
  <c r="H145" i="198"/>
  <c r="W90" i="198"/>
  <c r="W93" i="198"/>
  <c r="X93" i="198" s="1"/>
  <c r="W95" i="198"/>
  <c r="X95" i="198" s="1"/>
  <c r="G100" i="198"/>
  <c r="H91" i="198"/>
  <c r="H92" i="198"/>
  <c r="H93" i="198"/>
  <c r="H94" i="198"/>
  <c r="H95" i="198"/>
  <c r="H96" i="198"/>
  <c r="H77" i="198"/>
  <c r="I77" i="198" s="1"/>
  <c r="H78" i="198"/>
  <c r="I78" i="198" s="1"/>
  <c r="H72" i="198"/>
  <c r="I72" i="198" s="1"/>
  <c r="H79" i="198"/>
  <c r="I79" i="198" s="1"/>
  <c r="H80" i="198"/>
  <c r="I80" i="198" s="1"/>
  <c r="G48" i="198"/>
  <c r="U32" i="198"/>
  <c r="W25" i="198"/>
  <c r="X25" i="198" s="1"/>
  <c r="W28" i="198"/>
  <c r="X28" i="198" s="1"/>
  <c r="V32" i="198"/>
  <c r="W26" i="198"/>
  <c r="X26" i="198" s="1"/>
  <c r="W29" i="198"/>
  <c r="X29" i="198" s="1"/>
  <c r="W31" i="198"/>
  <c r="X31" i="198" s="1"/>
  <c r="H6" i="198"/>
  <c r="U16" i="198"/>
  <c r="W55" i="198"/>
  <c r="W160" i="198"/>
  <c r="W162" i="198"/>
  <c r="U168" i="198"/>
  <c r="W22" i="198"/>
  <c r="X38" i="198"/>
  <c r="X72" i="198"/>
  <c r="X90" i="198"/>
  <c r="X107" i="198"/>
  <c r="X124" i="198"/>
  <c r="X218" i="198" s="1"/>
  <c r="V168" i="198"/>
  <c r="X175" i="198"/>
  <c r="W192" i="198"/>
  <c r="W159" i="198"/>
  <c r="W161" i="198"/>
  <c r="W163" i="198"/>
  <c r="W165" i="198"/>
  <c r="W167" i="198"/>
  <c r="F117" i="198"/>
  <c r="I22" i="198"/>
  <c r="H39" i="198"/>
  <c r="I39" i="198" s="1"/>
  <c r="H41" i="198"/>
  <c r="I41" i="198" s="1"/>
  <c r="H43" i="198"/>
  <c r="I43" i="198" s="1"/>
  <c r="H45" i="198"/>
  <c r="I45" i="198" s="1"/>
  <c r="H47" i="198"/>
  <c r="I47" i="198" s="1"/>
  <c r="H55" i="198"/>
  <c r="H57" i="198"/>
  <c r="H59" i="198"/>
  <c r="H61" i="198"/>
  <c r="H63" i="198"/>
  <c r="F65" i="198"/>
  <c r="I124" i="198"/>
  <c r="I218" i="198" s="1"/>
  <c r="F134" i="198"/>
  <c r="F228" i="198" s="1"/>
  <c r="H182" i="198"/>
  <c r="G65" i="198"/>
  <c r="F82" i="198"/>
  <c r="F151" i="198"/>
  <c r="H31" i="198"/>
  <c r="I31" i="198" s="1"/>
  <c r="H38" i="198"/>
  <c r="H40" i="198"/>
  <c r="I40" i="198" s="1"/>
  <c r="H42" i="198"/>
  <c r="I42" i="198" s="1"/>
  <c r="H44" i="198"/>
  <c r="I44" i="198" s="1"/>
  <c r="H46" i="198"/>
  <c r="I46" i="198" s="1"/>
  <c r="F48" i="198"/>
  <c r="H56" i="198"/>
  <c r="H58" i="198"/>
  <c r="H60" i="198"/>
  <c r="H62" i="198"/>
  <c r="F100" i="198"/>
  <c r="F185" i="198"/>
  <c r="H177" i="198"/>
  <c r="H179" i="198"/>
  <c r="H184" i="198"/>
  <c r="H183" i="198"/>
  <c r="H176" i="198"/>
  <c r="H178" i="198"/>
  <c r="H180" i="198"/>
  <c r="H181" i="198"/>
  <c r="H165" i="170"/>
  <c r="I165" i="170" s="1"/>
  <c r="F151" i="170"/>
  <c r="W115" i="170"/>
  <c r="X115" i="170" s="1"/>
  <c r="U117" i="170"/>
  <c r="W113" i="170"/>
  <c r="X113" i="170" s="1"/>
  <c r="G117" i="170"/>
  <c r="H113" i="170"/>
  <c r="H109" i="170"/>
  <c r="V65" i="170"/>
  <c r="W61" i="170"/>
  <c r="X61" i="170" s="1"/>
  <c r="U65" i="170"/>
  <c r="V32" i="170"/>
  <c r="W29" i="170"/>
  <c r="W22" i="170"/>
  <c r="W31" i="170"/>
  <c r="W90" i="170"/>
  <c r="W93" i="170"/>
  <c r="U100" i="170"/>
  <c r="W96" i="170"/>
  <c r="F100" i="170"/>
  <c r="G100" i="170"/>
  <c r="F82" i="170"/>
  <c r="G82" i="170"/>
  <c r="G65" i="170"/>
  <c r="H55" i="170"/>
  <c r="H45" i="170"/>
  <c r="H40" i="170"/>
  <c r="H41" i="170"/>
  <c r="F32" i="170"/>
  <c r="G32" i="170"/>
  <c r="H23" i="170"/>
  <c r="H24" i="170"/>
  <c r="H14" i="170"/>
  <c r="F16" i="170"/>
  <c r="G16" i="170"/>
  <c r="H7" i="170"/>
  <c r="H8" i="170"/>
  <c r="W38" i="170"/>
  <c r="W72" i="170"/>
  <c r="W124" i="170"/>
  <c r="W218" i="170" s="1"/>
  <c r="W107" i="170"/>
  <c r="W142" i="170"/>
  <c r="X142" i="170" s="1"/>
  <c r="V168" i="170"/>
  <c r="X192" i="170"/>
  <c r="H6" i="170"/>
  <c r="H22" i="170"/>
  <c r="F117" i="170"/>
  <c r="F48" i="170"/>
  <c r="G48" i="170"/>
  <c r="I192" i="170"/>
  <c r="F202" i="170"/>
  <c r="H159" i="170"/>
  <c r="I159" i="170" s="1"/>
  <c r="F168" i="170"/>
  <c r="H163" i="170"/>
  <c r="I163" i="170" s="1"/>
  <c r="H162" i="170"/>
  <c r="I162" i="170" s="1"/>
  <c r="H167" i="170"/>
  <c r="I167" i="170" s="1"/>
  <c r="I112" i="195"/>
  <c r="H88" i="27"/>
  <c r="X88" i="27"/>
  <c r="E55" i="26"/>
  <c r="E53" i="26"/>
  <c r="E56" i="26"/>
  <c r="E59" i="26"/>
  <c r="E54" i="26"/>
  <c r="E57" i="26"/>
  <c r="E58" i="26"/>
  <c r="E60" i="26"/>
  <c r="E61" i="26"/>
  <c r="E53" i="27"/>
  <c r="E54" i="27"/>
  <c r="E117" i="27" s="1"/>
  <c r="E55" i="27"/>
  <c r="E56" i="27"/>
  <c r="E57" i="27"/>
  <c r="E58" i="27"/>
  <c r="E59" i="27"/>
  <c r="E60" i="27"/>
  <c r="E61" i="27"/>
  <c r="K10" i="33"/>
  <c r="L10" i="33"/>
  <c r="L12" i="33"/>
  <c r="L14" i="33"/>
  <c r="L16" i="33"/>
  <c r="L18" i="33"/>
  <c r="I94" i="6"/>
  <c r="N94" i="6" s="1"/>
  <c r="I6" i="9"/>
  <c r="O6" i="9" s="1"/>
  <c r="I7" i="9"/>
  <c r="O7" i="9" s="1"/>
  <c r="K11" i="33"/>
  <c r="K12" i="33"/>
  <c r="K13" i="33"/>
  <c r="K14" i="33"/>
  <c r="K15" i="33"/>
  <c r="K16" i="33"/>
  <c r="K17" i="33"/>
  <c r="K18" i="33"/>
  <c r="D217" i="183"/>
  <c r="F340" i="183"/>
  <c r="F330" i="183"/>
  <c r="F24" i="182"/>
  <c r="F458" i="182"/>
  <c r="C345" i="183"/>
  <c r="F350" i="183"/>
  <c r="F352" i="183" s="1"/>
  <c r="F442" i="182"/>
  <c r="F318" i="183"/>
  <c r="F320" i="183" s="1"/>
  <c r="F490" i="182"/>
  <c r="F312" i="183"/>
  <c r="F473" i="182"/>
  <c r="F25" i="182"/>
  <c r="F409" i="182"/>
  <c r="F27" i="182"/>
  <c r="C411" i="182"/>
  <c r="F441" i="182"/>
  <c r="F457" i="182"/>
  <c r="F298" i="183"/>
  <c r="F300" i="183"/>
  <c r="F302" i="183" s="1"/>
  <c r="F317" i="183"/>
  <c r="C427" i="182"/>
  <c r="M509" i="182"/>
  <c r="F286" i="183"/>
  <c r="F489" i="182"/>
  <c r="F35" i="182"/>
  <c r="F440" i="182"/>
  <c r="F23" i="182"/>
  <c r="F424" i="182"/>
  <c r="F456" i="182"/>
  <c r="F488" i="182"/>
  <c r="F254" i="183"/>
  <c r="F256" i="183" s="1"/>
  <c r="F234" i="183"/>
  <c r="F244" i="183"/>
  <c r="F235" i="183"/>
  <c r="F423" i="182"/>
  <c r="F439" i="182"/>
  <c r="F406" i="182"/>
  <c r="F207" i="183"/>
  <c r="F202" i="183"/>
  <c r="F373" i="182"/>
  <c r="F487" i="182"/>
  <c r="F438" i="182"/>
  <c r="F210" i="183"/>
  <c r="F226" i="183" s="1"/>
  <c r="F353" i="182"/>
  <c r="F203" i="183"/>
  <c r="F212" i="183"/>
  <c r="L218" i="183"/>
  <c r="F454" i="182"/>
  <c r="F190" i="183"/>
  <c r="F192" i="183" s="1"/>
  <c r="F486" i="182"/>
  <c r="F372" i="182"/>
  <c r="F469" i="182"/>
  <c r="F172" i="183"/>
  <c r="F174" i="183" s="1"/>
  <c r="F189" i="183"/>
  <c r="F15" i="182"/>
  <c r="C22" i="182"/>
  <c r="C21" i="182" s="1"/>
  <c r="F31" i="182"/>
  <c r="C358" i="182"/>
  <c r="C395" i="182"/>
  <c r="I387" i="183"/>
  <c r="F485" i="182"/>
  <c r="F158" i="183"/>
  <c r="F160" i="183" s="1"/>
  <c r="F404" i="182"/>
  <c r="F452" i="182"/>
  <c r="F140" i="183"/>
  <c r="F142" i="183" s="1"/>
  <c r="F143" i="183"/>
  <c r="F145" i="183"/>
  <c r="F388" i="182"/>
  <c r="F468" i="182"/>
  <c r="C153" i="183"/>
  <c r="F120" i="183"/>
  <c r="F111" i="183"/>
  <c r="F467" i="182"/>
  <c r="F106" i="183"/>
  <c r="C121" i="183"/>
  <c r="F370" i="182"/>
  <c r="F419" i="182"/>
  <c r="F435" i="182"/>
  <c r="F451" i="182"/>
  <c r="F483" i="182"/>
  <c r="F94" i="183"/>
  <c r="F96" i="183" s="1"/>
  <c r="F434" i="182"/>
  <c r="F79" i="183"/>
  <c r="F450" i="182"/>
  <c r="F466" i="182"/>
  <c r="C492" i="182"/>
  <c r="F386" i="182"/>
  <c r="F418" i="182"/>
  <c r="C459" i="182"/>
  <c r="C10" i="182"/>
  <c r="F368" i="182"/>
  <c r="F42" i="183"/>
  <c r="F499" i="182"/>
  <c r="C18" i="183"/>
  <c r="C29" i="182"/>
  <c r="I68" i="182"/>
  <c r="C378" i="182"/>
  <c r="F417" i="182"/>
  <c r="C475" i="182"/>
  <c r="F47" i="183"/>
  <c r="F62" i="183"/>
  <c r="C19" i="125"/>
  <c r="C26" i="183"/>
  <c r="C57" i="183"/>
  <c r="F12" i="182"/>
  <c r="I46" i="182"/>
  <c r="J55" i="182"/>
  <c r="I58" i="183"/>
  <c r="J58" i="183" s="1"/>
  <c r="C443" i="182"/>
  <c r="F465" i="182"/>
  <c r="C11" i="183"/>
  <c r="C347" i="182"/>
  <c r="C41" i="183"/>
  <c r="C73" i="183" s="1"/>
  <c r="C105" i="183" s="1"/>
  <c r="C137" i="183" s="1"/>
  <c r="C169" i="183" s="1"/>
  <c r="C201" i="183" s="1"/>
  <c r="C233" i="183" s="1"/>
  <c r="C265" i="183" s="1"/>
  <c r="C297" i="183" s="1"/>
  <c r="C329" i="183" s="1"/>
  <c r="C391" i="183" s="1"/>
  <c r="K54" i="35"/>
  <c r="N74" i="35"/>
  <c r="P74" i="35" s="1"/>
  <c r="G18" i="136"/>
  <c r="C118" i="125"/>
  <c r="C86" i="125"/>
  <c r="F118" i="125"/>
  <c r="F86" i="125"/>
  <c r="K135" i="125"/>
  <c r="D150" i="125"/>
  <c r="I150" i="125" s="1"/>
  <c r="N150" i="125" s="1"/>
  <c r="AY385" i="26"/>
  <c r="BA385" i="26"/>
  <c r="AF360" i="26"/>
  <c r="BF360" i="26" s="1"/>
  <c r="AK361" i="26"/>
  <c r="L258" i="44"/>
  <c r="P360" i="26"/>
  <c r="AY386" i="26"/>
  <c r="AY390" i="26"/>
  <c r="V331" i="26"/>
  <c r="AC254" i="26"/>
  <c r="H14" i="9"/>
  <c r="AC239" i="26"/>
  <c r="D28" i="9"/>
  <c r="P201" i="44"/>
  <c r="O233" i="44" s="1"/>
  <c r="P233" i="44" s="1"/>
  <c r="Q233" i="44" s="1"/>
  <c r="L198" i="44"/>
  <c r="K230" i="44" s="1"/>
  <c r="L200" i="44"/>
  <c r="L202" i="44"/>
  <c r="K234" i="44" s="1"/>
  <c r="L234" i="44" s="1"/>
  <c r="M234" i="44" s="1"/>
  <c r="D24" i="9"/>
  <c r="F23" i="9"/>
  <c r="Q163" i="44"/>
  <c r="O109" i="44"/>
  <c r="O171" i="44" s="1"/>
  <c r="N100" i="44"/>
  <c r="N162" i="44" s="1"/>
  <c r="L79" i="26"/>
  <c r="M38" i="44"/>
  <c r="M101" i="44" s="1"/>
  <c r="M163" i="44" s="1"/>
  <c r="AL103" i="26"/>
  <c r="AL166" i="26" s="1"/>
  <c r="AF15" i="26"/>
  <c r="AY15" i="26" s="1"/>
  <c r="J37" i="44"/>
  <c r="J100" i="44" s="1"/>
  <c r="J162" i="44" s="1"/>
  <c r="J43" i="44"/>
  <c r="J106" i="44" s="1"/>
  <c r="J168" i="44" s="1"/>
  <c r="I43" i="44"/>
  <c r="I106" i="44" s="1"/>
  <c r="I168" i="44" s="1"/>
  <c r="G40" i="44"/>
  <c r="G103" i="44" s="1"/>
  <c r="G165" i="44" s="1"/>
  <c r="P15" i="26"/>
  <c r="F37" i="44"/>
  <c r="F100" i="44" s="1"/>
  <c r="F162" i="44" s="1"/>
  <c r="F39" i="44"/>
  <c r="E37" i="44"/>
  <c r="E100" i="44" s="1"/>
  <c r="E40" i="44"/>
  <c r="E103" i="44" s="1"/>
  <c r="E165" i="44" s="1"/>
  <c r="B39" i="44"/>
  <c r="B102" i="44" s="1"/>
  <c r="AY41" i="26"/>
  <c r="AY43" i="26"/>
  <c r="C45" i="44"/>
  <c r="C108" i="44" s="1"/>
  <c r="C170" i="44" s="1"/>
  <c r="E43" i="44"/>
  <c r="E106" i="44" s="1"/>
  <c r="E168" i="44" s="1"/>
  <c r="D37" i="26"/>
  <c r="C44" i="44"/>
  <c r="C107" i="44" s="1"/>
  <c r="C169" i="44" s="1"/>
  <c r="D39" i="26"/>
  <c r="B43" i="44"/>
  <c r="B106" i="44" s="1"/>
  <c r="H45" i="9"/>
  <c r="T45" i="9" s="1"/>
  <c r="L34" i="132" s="1"/>
  <c r="J34" i="132"/>
  <c r="AX41" i="26"/>
  <c r="D41" i="26"/>
  <c r="R105" i="26"/>
  <c r="R168" i="26" s="1"/>
  <c r="T168" i="26" s="1"/>
  <c r="AH105" i="26"/>
  <c r="AH168" i="26" s="1"/>
  <c r="AJ168" i="26" s="1"/>
  <c r="AM329" i="26"/>
  <c r="AN329" i="26" s="1"/>
  <c r="AO329" i="26" s="1"/>
  <c r="F109" i="26"/>
  <c r="H109" i="26" s="1"/>
  <c r="V109" i="26"/>
  <c r="X109" i="26" s="1"/>
  <c r="BA388" i="26"/>
  <c r="F26" i="9"/>
  <c r="BA390" i="26"/>
  <c r="F28" i="9"/>
  <c r="E41" i="44"/>
  <c r="E104" i="44" s="1"/>
  <c r="E166" i="44" s="1"/>
  <c r="J105" i="26"/>
  <c r="J168" i="26" s="1"/>
  <c r="L168" i="26" s="1"/>
  <c r="M42" i="44"/>
  <c r="M105" i="44" s="1"/>
  <c r="M167" i="44" s="1"/>
  <c r="D43" i="26"/>
  <c r="G44" i="44"/>
  <c r="G107" i="44" s="1"/>
  <c r="G169" i="44" s="1"/>
  <c r="AX45" i="26"/>
  <c r="D45" i="26"/>
  <c r="R109" i="26"/>
  <c r="R172" i="26" s="1"/>
  <c r="T172" i="26" s="1"/>
  <c r="AH109" i="26"/>
  <c r="AJ109" i="26" s="1"/>
  <c r="AI230" i="26"/>
  <c r="AJ230" i="26" s="1"/>
  <c r="AK230" i="26" s="1"/>
  <c r="AY387" i="26"/>
  <c r="D25" i="9"/>
  <c r="J109" i="26"/>
  <c r="L109" i="26" s="1"/>
  <c r="AD105" i="26"/>
  <c r="AD168" i="26" s="1"/>
  <c r="AF168" i="26" s="1"/>
  <c r="BD168" i="26" s="1"/>
  <c r="O102" i="44"/>
  <c r="O164" i="44" s="1"/>
  <c r="F105" i="26"/>
  <c r="F168" i="26" s="1"/>
  <c r="H168" i="26" s="1"/>
  <c r="I41" i="44"/>
  <c r="I104" i="44" s="1"/>
  <c r="I166" i="44" s="1"/>
  <c r="V105" i="26"/>
  <c r="V168" i="26" s="1"/>
  <c r="X168" i="26" s="1"/>
  <c r="F45" i="44"/>
  <c r="F108" i="44" s="1"/>
  <c r="F170" i="44" s="1"/>
  <c r="AD109" i="26"/>
  <c r="AD172" i="26" s="1"/>
  <c r="AF172" i="26" s="1"/>
  <c r="BD172" i="26" s="1"/>
  <c r="M80" i="26"/>
  <c r="AH239" i="26"/>
  <c r="S258" i="44"/>
  <c r="D258" i="44"/>
  <c r="J101" i="6"/>
  <c r="O101" i="6" s="1"/>
  <c r="H194" i="44"/>
  <c r="H195" i="44"/>
  <c r="G227" i="44" s="1"/>
  <c r="H227" i="44" s="1"/>
  <c r="I227" i="44" s="1"/>
  <c r="J297" i="44"/>
  <c r="F291" i="44"/>
  <c r="AG47" i="26"/>
  <c r="BE47" i="26" s="1"/>
  <c r="AY38" i="26"/>
  <c r="I40" i="44"/>
  <c r="I103" i="44" s="1"/>
  <c r="I165" i="44" s="1"/>
  <c r="K40" i="44"/>
  <c r="K103" i="44" s="1"/>
  <c r="K165" i="44" s="1"/>
  <c r="AY42" i="26"/>
  <c r="AY46" i="26"/>
  <c r="T79" i="26"/>
  <c r="AJ79" i="26"/>
  <c r="F108" i="26"/>
  <c r="H108" i="26" s="1"/>
  <c r="AY383" i="26"/>
  <c r="L387" i="26"/>
  <c r="AB387" i="26"/>
  <c r="BA387" i="26"/>
  <c r="BA389" i="26"/>
  <c r="AY391" i="26"/>
  <c r="AC330" i="26"/>
  <c r="H360" i="26"/>
  <c r="X360" i="26"/>
  <c r="AN360" i="26"/>
  <c r="L98" i="6"/>
  <c r="Q98" i="6" s="1"/>
  <c r="L102" i="6"/>
  <c r="Q102" i="6" s="1"/>
  <c r="D193" i="44"/>
  <c r="D195" i="44"/>
  <c r="C227" i="44" s="1"/>
  <c r="D227" i="44" s="1"/>
  <c r="E227" i="44" s="1"/>
  <c r="D196" i="44"/>
  <c r="C228" i="44" s="1"/>
  <c r="D228" i="44" s="1"/>
  <c r="E228" i="44" s="1"/>
  <c r="P198" i="44"/>
  <c r="O230" i="44" s="1"/>
  <c r="P230" i="44" s="1"/>
  <c r="Q230" i="44" s="1"/>
  <c r="J295" i="44"/>
  <c r="K267" i="44"/>
  <c r="H261" i="44"/>
  <c r="H265" i="44"/>
  <c r="B37" i="44"/>
  <c r="B100" i="44" s="1"/>
  <c r="B162" i="44" s="1"/>
  <c r="M37" i="44"/>
  <c r="M100" i="44" s="1"/>
  <c r="E38" i="44"/>
  <c r="E101" i="44" s="1"/>
  <c r="E163" i="44" s="1"/>
  <c r="L166" i="26"/>
  <c r="D40" i="26"/>
  <c r="M40" i="44"/>
  <c r="M103" i="44" s="1"/>
  <c r="M165" i="44" s="1"/>
  <c r="E42" i="44"/>
  <c r="AJ107" i="26"/>
  <c r="AX44" i="26"/>
  <c r="D69" i="44"/>
  <c r="X79" i="26"/>
  <c r="AN79" i="26"/>
  <c r="H70" i="44"/>
  <c r="D71" i="44"/>
  <c r="P71" i="44"/>
  <c r="H72" i="44"/>
  <c r="D73" i="44"/>
  <c r="H74" i="44"/>
  <c r="D75" i="44"/>
  <c r="H76" i="44"/>
  <c r="D77" i="44"/>
  <c r="H78" i="44"/>
  <c r="Q80" i="26"/>
  <c r="AK80" i="26"/>
  <c r="AV165" i="26"/>
  <c r="AO107" i="26"/>
  <c r="AO170" i="26" s="1"/>
  <c r="Q144" i="26"/>
  <c r="AK144" i="26"/>
  <c r="U392" i="26"/>
  <c r="V240" i="26"/>
  <c r="L360" i="26"/>
  <c r="AB360" i="26"/>
  <c r="S70" i="44"/>
  <c r="S71" i="44"/>
  <c r="S72" i="44"/>
  <c r="S73" i="44"/>
  <c r="S78" i="44"/>
  <c r="J291" i="44"/>
  <c r="S197" i="44"/>
  <c r="D201" i="44"/>
  <c r="C233" i="44" s="1"/>
  <c r="D233" i="44" s="1"/>
  <c r="E233" i="44" s="1"/>
  <c r="D202" i="44"/>
  <c r="C234" i="44" s="1"/>
  <c r="D234" i="44" s="1"/>
  <c r="E234" i="44" s="1"/>
  <c r="P258" i="44"/>
  <c r="P260" i="44"/>
  <c r="S262" i="44"/>
  <c r="P266" i="44"/>
  <c r="F12" i="6"/>
  <c r="AV268" i="27"/>
  <c r="P261" i="42"/>
  <c r="O294" i="42"/>
  <c r="O295" i="42"/>
  <c r="O296" i="42"/>
  <c r="P258" i="42"/>
  <c r="P260" i="42"/>
  <c r="P266" i="42"/>
  <c r="AK269" i="27"/>
  <c r="L259" i="42"/>
  <c r="L265" i="42"/>
  <c r="R265" i="42"/>
  <c r="L258" i="42"/>
  <c r="L260" i="42"/>
  <c r="L262" i="42"/>
  <c r="L264" i="42"/>
  <c r="L266" i="42"/>
  <c r="AC269" i="27"/>
  <c r="AF292" i="27"/>
  <c r="BE292" i="27" s="1"/>
  <c r="R259" i="42"/>
  <c r="AB293" i="27"/>
  <c r="AB299" i="27"/>
  <c r="S262" i="42"/>
  <c r="AB268" i="27"/>
  <c r="AB296" i="27"/>
  <c r="R257" i="42"/>
  <c r="L257" i="42"/>
  <c r="R261" i="42"/>
  <c r="U269" i="27"/>
  <c r="H259" i="42"/>
  <c r="H261" i="42"/>
  <c r="H263" i="42"/>
  <c r="H265" i="42"/>
  <c r="R260" i="42"/>
  <c r="H258" i="42"/>
  <c r="H260" i="42"/>
  <c r="H262" i="42"/>
  <c r="H264" i="42"/>
  <c r="H266" i="42"/>
  <c r="H257" i="42"/>
  <c r="S259" i="42"/>
  <c r="S261" i="42"/>
  <c r="S264" i="42"/>
  <c r="G289" i="42"/>
  <c r="G291" i="42"/>
  <c r="G293" i="42"/>
  <c r="G294" i="42"/>
  <c r="G296" i="42"/>
  <c r="G298" i="42"/>
  <c r="S258" i="42"/>
  <c r="S260" i="42"/>
  <c r="S263" i="42"/>
  <c r="D260" i="42"/>
  <c r="D264" i="42"/>
  <c r="F21" i="6"/>
  <c r="AZ260" i="27"/>
  <c r="BB260" i="27" s="1"/>
  <c r="D257" i="42"/>
  <c r="D261" i="42"/>
  <c r="H292" i="27"/>
  <c r="H268" i="27"/>
  <c r="AZ264" i="27"/>
  <c r="BB264" i="27" s="1"/>
  <c r="F25" i="6"/>
  <c r="C293" i="42"/>
  <c r="AW227" i="27"/>
  <c r="AU231" i="27"/>
  <c r="AV231" i="27" s="1"/>
  <c r="AU235" i="27"/>
  <c r="AV235" i="27" s="1"/>
  <c r="AV291" i="27"/>
  <c r="D5" i="134"/>
  <c r="F5" i="134" s="1"/>
  <c r="AV293" i="27"/>
  <c r="AU233" i="27"/>
  <c r="AV233" i="27" s="1"/>
  <c r="AV292" i="27"/>
  <c r="AV296" i="27"/>
  <c r="AU234" i="27"/>
  <c r="AV234" i="27" s="1"/>
  <c r="AU232" i="27"/>
  <c r="AV232" i="27" s="1"/>
  <c r="AV295" i="27"/>
  <c r="AR293" i="27"/>
  <c r="AM232" i="27"/>
  <c r="AN232" i="27" s="1"/>
  <c r="AN292" i="27"/>
  <c r="AN294" i="27"/>
  <c r="AM229" i="27"/>
  <c r="AN229" i="27" s="1"/>
  <c r="AM234" i="27"/>
  <c r="AN234" i="27" s="1"/>
  <c r="AN204" i="27"/>
  <c r="AM226" i="27"/>
  <c r="AM233" i="27"/>
  <c r="AN233" i="27" s="1"/>
  <c r="AM231" i="27"/>
  <c r="AN231" i="27" s="1"/>
  <c r="P201" i="42"/>
  <c r="O233" i="42" s="1"/>
  <c r="P233" i="42" s="1"/>
  <c r="Q233" i="42" s="1"/>
  <c r="AI228" i="27"/>
  <c r="AJ228" i="27" s="1"/>
  <c r="L195" i="42"/>
  <c r="K227" i="42" s="1"/>
  <c r="L227" i="42" s="1"/>
  <c r="M227" i="42" s="1"/>
  <c r="AJ295" i="27"/>
  <c r="AJ204" i="27"/>
  <c r="AI227" i="27"/>
  <c r="AJ227" i="27" s="1"/>
  <c r="AI232" i="27"/>
  <c r="AJ232" i="27" s="1"/>
  <c r="AI235" i="27"/>
  <c r="AJ235" i="27" s="1"/>
  <c r="AJ297" i="27"/>
  <c r="AI226" i="27"/>
  <c r="AI229" i="27"/>
  <c r="AJ229" i="27" s="1"/>
  <c r="AF295" i="27"/>
  <c r="BE295" i="27" s="1"/>
  <c r="L201" i="42"/>
  <c r="K233" i="42" s="1"/>
  <c r="L233" i="42" s="1"/>
  <c r="M233" i="42" s="1"/>
  <c r="AE226" i="27"/>
  <c r="AF293" i="27"/>
  <c r="BE293" i="27" s="1"/>
  <c r="L199" i="42"/>
  <c r="K231" i="42" s="1"/>
  <c r="L231" i="42" s="1"/>
  <c r="M231" i="42" s="1"/>
  <c r="J296" i="42"/>
  <c r="AF204" i="27"/>
  <c r="BD204" i="27" s="1"/>
  <c r="AE230" i="27"/>
  <c r="AF230" i="27" s="1"/>
  <c r="BF230" i="27" s="1"/>
  <c r="AE232" i="27"/>
  <c r="AF232" i="27" s="1"/>
  <c r="BF232" i="27" s="1"/>
  <c r="AE233" i="27"/>
  <c r="AF233" i="27" s="1"/>
  <c r="BF233" i="27" s="1"/>
  <c r="AE234" i="27"/>
  <c r="AF234" i="27" s="1"/>
  <c r="BF234" i="27" s="1"/>
  <c r="AF299" i="27"/>
  <c r="BE299" i="27" s="1"/>
  <c r="L194" i="42"/>
  <c r="K226" i="42" s="1"/>
  <c r="L226" i="42" s="1"/>
  <c r="M226" i="42" s="1"/>
  <c r="AE227" i="27"/>
  <c r="AF227" i="27" s="1"/>
  <c r="BF227" i="27" s="1"/>
  <c r="K292" i="42"/>
  <c r="AA227" i="27"/>
  <c r="AB227" i="27" s="1"/>
  <c r="AB291" i="27"/>
  <c r="L196" i="42"/>
  <c r="K228" i="42" s="1"/>
  <c r="L228" i="42" s="1"/>
  <c r="M228" i="42" s="1"/>
  <c r="L200" i="42"/>
  <c r="K232" i="42" s="1"/>
  <c r="L232" i="42" s="1"/>
  <c r="M232" i="42" s="1"/>
  <c r="AB204" i="27"/>
  <c r="AA228" i="27"/>
  <c r="AB228" i="27" s="1"/>
  <c r="AA230" i="27"/>
  <c r="AB230" i="27" s="1"/>
  <c r="AA231" i="27"/>
  <c r="AB231" i="27" s="1"/>
  <c r="AA233" i="27"/>
  <c r="AB233" i="27" s="1"/>
  <c r="AB294" i="27"/>
  <c r="L198" i="42"/>
  <c r="L202" i="42"/>
  <c r="AA234" i="27"/>
  <c r="AB234" i="27" s="1"/>
  <c r="J294" i="42"/>
  <c r="J298" i="42"/>
  <c r="X297" i="27"/>
  <c r="H195" i="42"/>
  <c r="X299" i="27"/>
  <c r="Y205" i="27"/>
  <c r="W229" i="27"/>
  <c r="X229" i="27" s="1"/>
  <c r="W231" i="27"/>
  <c r="X231" i="27" s="1"/>
  <c r="W232" i="27"/>
  <c r="X232" i="27" s="1"/>
  <c r="X204" i="27"/>
  <c r="W227" i="27"/>
  <c r="X227" i="27" s="1"/>
  <c r="R197" i="42"/>
  <c r="T204" i="27"/>
  <c r="S227" i="27"/>
  <c r="T227" i="27" s="1"/>
  <c r="S229" i="27"/>
  <c r="T229" i="27" s="1"/>
  <c r="S233" i="27"/>
  <c r="T233" i="27" s="1"/>
  <c r="T296" i="27"/>
  <c r="H196" i="42"/>
  <c r="G228" i="42" s="1"/>
  <c r="H228" i="42" s="1"/>
  <c r="I228" i="42" s="1"/>
  <c r="H200" i="42"/>
  <c r="G232" i="42" s="1"/>
  <c r="H232" i="42" s="1"/>
  <c r="I232" i="42" s="1"/>
  <c r="S226" i="27"/>
  <c r="T292" i="27"/>
  <c r="C22" i="134"/>
  <c r="R195" i="42"/>
  <c r="P226" i="27"/>
  <c r="Q226" i="27" s="1"/>
  <c r="O230" i="27"/>
  <c r="P230" i="27" s="1"/>
  <c r="Q230" i="27" s="1"/>
  <c r="H193" i="42"/>
  <c r="G225" i="42" s="1"/>
  <c r="H197" i="42"/>
  <c r="G229" i="42" s="1"/>
  <c r="H229" i="42" s="1"/>
  <c r="I229" i="42" s="1"/>
  <c r="H201" i="42"/>
  <c r="G233" i="42" s="1"/>
  <c r="H233" i="42" s="1"/>
  <c r="I233" i="42" s="1"/>
  <c r="O228" i="27"/>
  <c r="P228" i="27" s="1"/>
  <c r="Q228" i="27" s="1"/>
  <c r="O231" i="27"/>
  <c r="P231" i="27" s="1"/>
  <c r="Q231" i="27" s="1"/>
  <c r="O234" i="27"/>
  <c r="P234" i="27" s="1"/>
  <c r="Q234" i="27" s="1"/>
  <c r="P290" i="27"/>
  <c r="P291" i="27"/>
  <c r="P296" i="27"/>
  <c r="R194" i="42"/>
  <c r="R196" i="42"/>
  <c r="R198" i="42"/>
  <c r="F294" i="42"/>
  <c r="F298" i="42"/>
  <c r="O229" i="27"/>
  <c r="P229" i="27" s="1"/>
  <c r="Q229" i="27" s="1"/>
  <c r="O233" i="27"/>
  <c r="P233" i="27" s="1"/>
  <c r="Q233" i="27" s="1"/>
  <c r="O235" i="27"/>
  <c r="P235" i="27" s="1"/>
  <c r="Q235" i="27" s="1"/>
  <c r="P293" i="27"/>
  <c r="P297" i="27"/>
  <c r="S194" i="42"/>
  <c r="H194" i="42"/>
  <c r="G226" i="42" s="1"/>
  <c r="H226" i="42" s="1"/>
  <c r="I226" i="42" s="1"/>
  <c r="S196" i="42"/>
  <c r="S198" i="42"/>
  <c r="H198" i="42"/>
  <c r="S202" i="42"/>
  <c r="H202" i="42"/>
  <c r="G234" i="42" s="1"/>
  <c r="H234" i="42" s="1"/>
  <c r="I234" i="42" s="1"/>
  <c r="P204" i="27"/>
  <c r="R201" i="42"/>
  <c r="F296" i="42"/>
  <c r="L291" i="27"/>
  <c r="L299" i="27"/>
  <c r="E24" i="134"/>
  <c r="DK75" i="190" s="1"/>
  <c r="K234" i="27"/>
  <c r="L234" i="27" s="1"/>
  <c r="E20" i="134"/>
  <c r="DK29" i="190" s="1"/>
  <c r="K226" i="27"/>
  <c r="L295" i="27"/>
  <c r="U198" i="42"/>
  <c r="E19" i="134"/>
  <c r="DK19" i="190" s="1"/>
  <c r="E23" i="134"/>
  <c r="DK68" i="190" s="1"/>
  <c r="B25" i="134"/>
  <c r="D194" i="42"/>
  <c r="C226" i="42" s="1"/>
  <c r="D226" i="42" s="1"/>
  <c r="E226" i="42" s="1"/>
  <c r="D198" i="42"/>
  <c r="C230" i="42" s="1"/>
  <c r="D230" i="42" s="1"/>
  <c r="E230" i="42" s="1"/>
  <c r="D202" i="42"/>
  <c r="C234" i="42" s="1"/>
  <c r="D234" i="42" s="1"/>
  <c r="E234" i="42" s="1"/>
  <c r="L204" i="27"/>
  <c r="G229" i="27"/>
  <c r="H229" i="27" s="1"/>
  <c r="D196" i="42"/>
  <c r="B21" i="134"/>
  <c r="AZ197" i="27"/>
  <c r="D22" i="134" s="1"/>
  <c r="D86" i="134" s="1"/>
  <c r="G233" i="27"/>
  <c r="H233" i="27" s="1"/>
  <c r="H296" i="27"/>
  <c r="H298" i="27"/>
  <c r="D195" i="42"/>
  <c r="C227" i="42" s="1"/>
  <c r="D227" i="42" s="1"/>
  <c r="E227" i="42" s="1"/>
  <c r="D200" i="42"/>
  <c r="C232" i="42" s="1"/>
  <c r="D232" i="42" s="1"/>
  <c r="E232" i="42" s="1"/>
  <c r="C23" i="134"/>
  <c r="AZ195" i="27"/>
  <c r="D20" i="134" s="1"/>
  <c r="D84" i="134" s="1"/>
  <c r="G226" i="27"/>
  <c r="G231" i="27"/>
  <c r="H231" i="27" s="1"/>
  <c r="G234" i="27"/>
  <c r="H234" i="27" s="1"/>
  <c r="H291" i="27"/>
  <c r="H293" i="27"/>
  <c r="H295" i="27"/>
  <c r="G230" i="27"/>
  <c r="H230" i="27" s="1"/>
  <c r="D236" i="27"/>
  <c r="C292" i="42"/>
  <c r="D226" i="27"/>
  <c r="C203" i="42"/>
  <c r="B296" i="42"/>
  <c r="E22" i="134"/>
  <c r="DK56" i="190" s="1"/>
  <c r="P139" i="42"/>
  <c r="N140" i="42"/>
  <c r="P133" i="42"/>
  <c r="P132" i="42"/>
  <c r="P134" i="42"/>
  <c r="P136" i="42"/>
  <c r="L137" i="42"/>
  <c r="S132" i="42"/>
  <c r="R133" i="42"/>
  <c r="R134" i="42"/>
  <c r="R137" i="42"/>
  <c r="R138" i="42"/>
  <c r="L131" i="42"/>
  <c r="L133" i="42"/>
  <c r="L135" i="42"/>
  <c r="Q142" i="27"/>
  <c r="R131" i="42"/>
  <c r="S136" i="42"/>
  <c r="S137" i="42"/>
  <c r="L130" i="42"/>
  <c r="L132" i="42"/>
  <c r="L136" i="42"/>
  <c r="X141" i="27"/>
  <c r="J140" i="42"/>
  <c r="H132" i="42"/>
  <c r="U139" i="42"/>
  <c r="H137" i="42"/>
  <c r="U133" i="42"/>
  <c r="R135" i="42"/>
  <c r="R139" i="42"/>
  <c r="R130" i="42"/>
  <c r="R136" i="42"/>
  <c r="H130" i="42"/>
  <c r="H134" i="42"/>
  <c r="H136" i="42"/>
  <c r="H138" i="42"/>
  <c r="D130" i="42"/>
  <c r="D134" i="42"/>
  <c r="L141" i="27"/>
  <c r="F140" i="42"/>
  <c r="S131" i="42"/>
  <c r="S134" i="42"/>
  <c r="D137" i="42"/>
  <c r="S139" i="42"/>
  <c r="AZ131" i="27"/>
  <c r="L103" i="195" s="1"/>
  <c r="D136" i="42"/>
  <c r="D131" i="42"/>
  <c r="D135" i="42"/>
  <c r="S130" i="42"/>
  <c r="D133" i="42"/>
  <c r="S135" i="42"/>
  <c r="S138" i="42"/>
  <c r="AZ140" i="27"/>
  <c r="L112" i="195" s="1"/>
  <c r="O112" i="195" s="1"/>
  <c r="D139" i="42"/>
  <c r="AV79" i="27"/>
  <c r="D73" i="195"/>
  <c r="G73" i="195" s="1"/>
  <c r="P70" i="42"/>
  <c r="D75" i="195"/>
  <c r="G75" i="195" s="1"/>
  <c r="F29" i="195" s="1"/>
  <c r="P72" i="42"/>
  <c r="P74" i="42"/>
  <c r="AK80" i="27"/>
  <c r="U72" i="42"/>
  <c r="R69" i="42"/>
  <c r="L69" i="42"/>
  <c r="L71" i="42"/>
  <c r="L73" i="42"/>
  <c r="L75" i="42"/>
  <c r="L77" i="42"/>
  <c r="AF164" i="27"/>
  <c r="BC164" i="27" s="1"/>
  <c r="L68" i="42"/>
  <c r="K102" i="42"/>
  <c r="K164" i="42" s="1"/>
  <c r="H75" i="42"/>
  <c r="H77" i="42"/>
  <c r="Q80" i="27"/>
  <c r="A81" i="27"/>
  <c r="A112" i="27" s="1"/>
  <c r="A143" i="27" s="1"/>
  <c r="A174" i="27" s="1"/>
  <c r="I100" i="42"/>
  <c r="I162" i="42" s="1"/>
  <c r="H68" i="42"/>
  <c r="H70" i="42"/>
  <c r="H72" i="42"/>
  <c r="H74" i="42"/>
  <c r="H76" i="42"/>
  <c r="P79" i="27"/>
  <c r="S68" i="42"/>
  <c r="S76" i="42"/>
  <c r="AZ71" i="27"/>
  <c r="L75" i="195" s="1"/>
  <c r="O75" i="195" s="1"/>
  <c r="N29" i="195" s="1"/>
  <c r="D69" i="42"/>
  <c r="D72" i="42"/>
  <c r="D74" i="42"/>
  <c r="D71" i="42"/>
  <c r="AW166" i="27"/>
  <c r="AW171" i="27"/>
  <c r="B13" i="185"/>
  <c r="D66" i="195" s="1"/>
  <c r="L66" i="195" s="1"/>
  <c r="O66" i="195" s="1"/>
  <c r="M35" i="195" s="1"/>
  <c r="AW164" i="27"/>
  <c r="AW165" i="27"/>
  <c r="AW168" i="27"/>
  <c r="P8" i="42"/>
  <c r="P12" i="42"/>
  <c r="B9" i="185"/>
  <c r="D62" i="195" s="1"/>
  <c r="L62" i="195" s="1"/>
  <c r="AW162" i="27"/>
  <c r="AW163" i="27"/>
  <c r="AW170" i="27"/>
  <c r="AV15" i="27"/>
  <c r="B5" i="185"/>
  <c r="D58" i="195" s="1"/>
  <c r="L58" i="195" s="1"/>
  <c r="B6" i="185"/>
  <c r="D59" i="195" s="1"/>
  <c r="B7" i="185"/>
  <c r="D60" i="195" s="1"/>
  <c r="L60" i="195" s="1"/>
  <c r="O60" i="195" s="1"/>
  <c r="M29" i="195" s="1"/>
  <c r="P38" i="42"/>
  <c r="AW167" i="27"/>
  <c r="AW169" i="27"/>
  <c r="AO102" i="27"/>
  <c r="AV104" i="27"/>
  <c r="AO101" i="27"/>
  <c r="AL103" i="27"/>
  <c r="AL165" i="27" s="1"/>
  <c r="Q41" i="42"/>
  <c r="Q103" i="42" s="1"/>
  <c r="Q165" i="42" s="1"/>
  <c r="Q44" i="42"/>
  <c r="AK47" i="27"/>
  <c r="M41" i="42"/>
  <c r="M103" i="42" s="1"/>
  <c r="M165" i="42" s="1"/>
  <c r="AO103" i="27"/>
  <c r="O37" i="42"/>
  <c r="O99" i="42" s="1"/>
  <c r="O161" i="42" s="1"/>
  <c r="N40" i="42"/>
  <c r="P40" i="42" s="1"/>
  <c r="Q42" i="42"/>
  <c r="Q104" i="42" s="1"/>
  <c r="Q166" i="42" s="1"/>
  <c r="O45" i="42"/>
  <c r="O107" i="42" s="1"/>
  <c r="O169" i="42" s="1"/>
  <c r="AO47" i="27"/>
  <c r="AW48" i="27" s="1"/>
  <c r="AO100" i="27"/>
  <c r="AO106" i="27"/>
  <c r="AO108" i="27"/>
  <c r="AR109" i="27"/>
  <c r="AL171" i="27"/>
  <c r="AL164" i="27"/>
  <c r="AN164" i="27" s="1"/>
  <c r="AN102" i="27"/>
  <c r="AM162" i="27"/>
  <c r="AL169" i="27"/>
  <c r="AN169" i="27" s="1"/>
  <c r="AN107" i="27"/>
  <c r="AL47" i="27"/>
  <c r="AL100" i="27"/>
  <c r="AK101" i="27"/>
  <c r="AK110" i="27" s="1"/>
  <c r="AM103" i="27"/>
  <c r="AM165" i="27" s="1"/>
  <c r="AN165" i="27" s="1"/>
  <c r="AL104" i="27"/>
  <c r="AL106" i="27"/>
  <c r="AL108" i="27"/>
  <c r="AM109" i="27"/>
  <c r="AM171" i="27" s="1"/>
  <c r="J15" i="42"/>
  <c r="N39" i="42"/>
  <c r="O44" i="42"/>
  <c r="O106" i="42" s="1"/>
  <c r="O168" i="42" s="1"/>
  <c r="J43" i="42"/>
  <c r="J105" i="42" s="1"/>
  <c r="J167" i="42" s="1"/>
  <c r="K44" i="42"/>
  <c r="AM47" i="27"/>
  <c r="AL101" i="27"/>
  <c r="AH103" i="27"/>
  <c r="AH165" i="27" s="1"/>
  <c r="AJ165" i="27" s="1"/>
  <c r="AL105" i="27"/>
  <c r="AM106" i="27"/>
  <c r="AM168" i="27" s="1"/>
  <c r="K15" i="42"/>
  <c r="O39" i="42"/>
  <c r="O101" i="42" s="1"/>
  <c r="O163" i="42" s="1"/>
  <c r="N46" i="42"/>
  <c r="P46" i="42" s="1"/>
  <c r="AJ15" i="27"/>
  <c r="AM101" i="27"/>
  <c r="AM163" i="27" s="1"/>
  <c r="AM105" i="27"/>
  <c r="AM167" i="27" s="1"/>
  <c r="AH168" i="27"/>
  <c r="AJ168" i="27" s="1"/>
  <c r="AJ106" i="27"/>
  <c r="AJ100" i="27"/>
  <c r="AH162" i="27"/>
  <c r="AI110" i="27"/>
  <c r="AI162" i="27"/>
  <c r="AI172" i="27" s="1"/>
  <c r="AH169" i="27"/>
  <c r="AJ169" i="27" s="1"/>
  <c r="AJ107" i="27"/>
  <c r="AJ104" i="27"/>
  <c r="AG47" i="27"/>
  <c r="BE47" i="27" s="1"/>
  <c r="AH109" i="27"/>
  <c r="AH166" i="27"/>
  <c r="AJ166" i="27" s="1"/>
  <c r="K37" i="42"/>
  <c r="S37" i="42" s="1"/>
  <c r="M39" i="42"/>
  <c r="M101" i="42" s="1"/>
  <c r="M163" i="42" s="1"/>
  <c r="M40" i="42"/>
  <c r="M102" i="42" s="1"/>
  <c r="M164" i="42" s="1"/>
  <c r="K41" i="42"/>
  <c r="K103" i="42" s="1"/>
  <c r="K165" i="42" s="1"/>
  <c r="J44" i="42"/>
  <c r="J106" i="42" s="1"/>
  <c r="J168" i="42" s="1"/>
  <c r="AH47" i="27"/>
  <c r="AD107" i="27"/>
  <c r="AD169" i="27" s="1"/>
  <c r="AF169" i="27" s="1"/>
  <c r="BC169" i="27" s="1"/>
  <c r="AH167" i="27"/>
  <c r="AJ167" i="27" s="1"/>
  <c r="M44" i="42"/>
  <c r="M106" i="42" s="1"/>
  <c r="M168" i="42" s="1"/>
  <c r="M45" i="42"/>
  <c r="M107" i="42" s="1"/>
  <c r="M169" i="42" s="1"/>
  <c r="J46" i="42"/>
  <c r="J108" i="42" s="1"/>
  <c r="J170" i="42" s="1"/>
  <c r="AH108" i="27"/>
  <c r="AI47" i="27"/>
  <c r="AH101" i="27"/>
  <c r="AH102" i="27"/>
  <c r="AC103" i="27"/>
  <c r="AD109" i="27"/>
  <c r="AD171" i="27" s="1"/>
  <c r="AF171" i="27" s="1"/>
  <c r="BC171" i="27" s="1"/>
  <c r="AG110" i="27"/>
  <c r="BD110" i="27" s="1"/>
  <c r="M42" i="42"/>
  <c r="M104" i="42" s="1"/>
  <c r="M166" i="42" s="1"/>
  <c r="J39" i="42"/>
  <c r="J101" i="42" s="1"/>
  <c r="J163" i="42" s="1"/>
  <c r="AE100" i="27"/>
  <c r="AE162" i="27" s="1"/>
  <c r="AC162" i="27"/>
  <c r="AF108" i="27"/>
  <c r="BC108" i="27" s="1"/>
  <c r="AD162" i="27"/>
  <c r="AD166" i="27"/>
  <c r="AF166" i="27" s="1"/>
  <c r="BC166" i="27" s="1"/>
  <c r="AF104" i="27"/>
  <c r="BC104" i="27" s="1"/>
  <c r="AD167" i="27"/>
  <c r="AF167" i="27" s="1"/>
  <c r="BC167" i="27" s="1"/>
  <c r="AF105" i="27"/>
  <c r="BC105" i="27" s="1"/>
  <c r="AD168" i="27"/>
  <c r="AF168" i="27" s="1"/>
  <c r="BC168" i="27" s="1"/>
  <c r="AF106" i="27"/>
  <c r="BC106" i="27" s="1"/>
  <c r="M43" i="42"/>
  <c r="M105" i="42" s="1"/>
  <c r="M167" i="42" s="1"/>
  <c r="J40" i="42"/>
  <c r="J102" i="42" s="1"/>
  <c r="J164" i="42" s="1"/>
  <c r="AC47" i="27"/>
  <c r="AE101" i="27"/>
  <c r="AE163" i="27" s="1"/>
  <c r="AD103" i="27"/>
  <c r="AC104" i="27"/>
  <c r="AD170" i="27"/>
  <c r="AF170" i="27" s="1"/>
  <c r="BC170" i="27" s="1"/>
  <c r="M37" i="42"/>
  <c r="M99" i="42" s="1"/>
  <c r="M161" i="42" s="1"/>
  <c r="J38" i="42"/>
  <c r="J100" i="42" s="1"/>
  <c r="J162" i="42" s="1"/>
  <c r="M46" i="42"/>
  <c r="M108" i="42" s="1"/>
  <c r="M170" i="42" s="1"/>
  <c r="AA104" i="27"/>
  <c r="AA166" i="27" s="1"/>
  <c r="Y47" i="27"/>
  <c r="I40" i="42"/>
  <c r="I102" i="42" s="1"/>
  <c r="I164" i="42" s="1"/>
  <c r="AD47" i="27"/>
  <c r="Z102" i="27"/>
  <c r="Z164" i="27" s="1"/>
  <c r="AB164" i="27" s="1"/>
  <c r="AF102" i="27"/>
  <c r="BC102" i="27" s="1"/>
  <c r="M38" i="42"/>
  <c r="M100" i="42" s="1"/>
  <c r="M162" i="42" s="1"/>
  <c r="K39" i="42"/>
  <c r="K101" i="42" s="1"/>
  <c r="K163" i="42" s="1"/>
  <c r="Z47" i="27"/>
  <c r="L46" i="42"/>
  <c r="AC102" i="27"/>
  <c r="J42" i="42"/>
  <c r="J104" i="42" s="1"/>
  <c r="J166" i="42" s="1"/>
  <c r="Z170" i="27"/>
  <c r="AB170" i="27" s="1"/>
  <c r="AB108" i="27"/>
  <c r="AB109" i="27"/>
  <c r="Z171" i="27"/>
  <c r="AB171" i="27" s="1"/>
  <c r="Y110" i="27"/>
  <c r="AB101" i="27"/>
  <c r="Z163" i="27"/>
  <c r="AB163" i="27" s="1"/>
  <c r="Z167" i="27"/>
  <c r="AB167" i="27" s="1"/>
  <c r="AB105" i="27"/>
  <c r="Z166" i="27"/>
  <c r="K43" i="42"/>
  <c r="K105" i="42" s="1"/>
  <c r="K167" i="42" s="1"/>
  <c r="W47" i="27"/>
  <c r="L40" i="42"/>
  <c r="L102" i="42" s="1"/>
  <c r="L43" i="42"/>
  <c r="Z100" i="27"/>
  <c r="W105" i="27"/>
  <c r="W167" i="27" s="1"/>
  <c r="J37" i="42"/>
  <c r="J99" i="42" s="1"/>
  <c r="J161" i="42" s="1"/>
  <c r="K38" i="42"/>
  <c r="K100" i="42" s="1"/>
  <c r="K162" i="42" s="1"/>
  <c r="J41" i="42"/>
  <c r="J103" i="42" s="1"/>
  <c r="J165" i="42" s="1"/>
  <c r="K42" i="42"/>
  <c r="K104" i="42" s="1"/>
  <c r="K166" i="42" s="1"/>
  <c r="J45" i="42"/>
  <c r="J107" i="42" s="1"/>
  <c r="J169" i="42" s="1"/>
  <c r="K46" i="42"/>
  <c r="K108" i="42" s="1"/>
  <c r="K170" i="42" s="1"/>
  <c r="AA47" i="27"/>
  <c r="I39" i="42"/>
  <c r="I101" i="42" s="1"/>
  <c r="I163" i="42" s="1"/>
  <c r="F40" i="42"/>
  <c r="F102" i="42" s="1"/>
  <c r="F164" i="42" s="1"/>
  <c r="I44" i="42"/>
  <c r="I106" i="42" s="1"/>
  <c r="I168" i="42" s="1"/>
  <c r="F45" i="42"/>
  <c r="F107" i="42" s="1"/>
  <c r="F169" i="42" s="1"/>
  <c r="L45" i="42"/>
  <c r="AA100" i="27"/>
  <c r="Z103" i="27"/>
  <c r="Z107" i="27"/>
  <c r="Y162" i="27"/>
  <c r="F15" i="42"/>
  <c r="K45" i="42"/>
  <c r="K107" i="42" s="1"/>
  <c r="K169" i="42" s="1"/>
  <c r="V103" i="27"/>
  <c r="V165" i="27" s="1"/>
  <c r="X165" i="27" s="1"/>
  <c r="W100" i="27"/>
  <c r="X100" i="27" s="1"/>
  <c r="AA103" i="27"/>
  <c r="AA165" i="27" s="1"/>
  <c r="Z106" i="27"/>
  <c r="AA107" i="27"/>
  <c r="AA169" i="27" s="1"/>
  <c r="V163" i="27"/>
  <c r="X163" i="27" s="1"/>
  <c r="X101" i="27"/>
  <c r="V168" i="27"/>
  <c r="X168" i="27" s="1"/>
  <c r="X106" i="27"/>
  <c r="V170" i="27"/>
  <c r="X170" i="27" s="1"/>
  <c r="X108" i="27"/>
  <c r="V164" i="27"/>
  <c r="X164" i="27" s="1"/>
  <c r="X102" i="27"/>
  <c r="V169" i="27"/>
  <c r="X169" i="27" s="1"/>
  <c r="X107" i="27"/>
  <c r="V162" i="27"/>
  <c r="V167" i="27"/>
  <c r="U162" i="27"/>
  <c r="U110" i="27"/>
  <c r="Q47" i="27"/>
  <c r="H38" i="42"/>
  <c r="BA39" i="27"/>
  <c r="L40" i="185" s="1"/>
  <c r="M45" i="195" s="1"/>
  <c r="M90" i="195" s="1"/>
  <c r="G39" i="42"/>
  <c r="G101" i="42" s="1"/>
  <c r="G163" i="42" s="1"/>
  <c r="H39" i="42"/>
  <c r="G40" i="42"/>
  <c r="G102" i="42" s="1"/>
  <c r="G164" i="42" s="1"/>
  <c r="U47" i="27"/>
  <c r="Q102" i="27"/>
  <c r="Q164" i="27" s="1"/>
  <c r="Q106" i="27"/>
  <c r="Q168" i="27" s="1"/>
  <c r="Q107" i="27"/>
  <c r="Q169" i="27" s="1"/>
  <c r="V166" i="27"/>
  <c r="X166" i="27" s="1"/>
  <c r="V47" i="27"/>
  <c r="V109" i="27"/>
  <c r="I41" i="42"/>
  <c r="I103" i="42" s="1"/>
  <c r="I42" i="42"/>
  <c r="I104" i="42" s="1"/>
  <c r="I166" i="42" s="1"/>
  <c r="G38" i="42"/>
  <c r="G100" i="42" s="1"/>
  <c r="G162" i="42" s="1"/>
  <c r="T106" i="27"/>
  <c r="R168" i="27"/>
  <c r="T168" i="27" s="1"/>
  <c r="T170" i="27"/>
  <c r="T107" i="27"/>
  <c r="R169" i="27"/>
  <c r="T169" i="27" s="1"/>
  <c r="T100" i="27"/>
  <c r="R162" i="27"/>
  <c r="R110" i="27"/>
  <c r="R167" i="27"/>
  <c r="T167" i="27" s="1"/>
  <c r="T105" i="27"/>
  <c r="R171" i="27"/>
  <c r="T171" i="27" s="1"/>
  <c r="T109" i="27"/>
  <c r="S162" i="27"/>
  <c r="S172" i="27" s="1"/>
  <c r="S110" i="27"/>
  <c r="R163" i="27"/>
  <c r="T163" i="27" s="1"/>
  <c r="T101" i="27"/>
  <c r="T102" i="27"/>
  <c r="R164" i="27"/>
  <c r="T164" i="27" s="1"/>
  <c r="T103" i="27"/>
  <c r="R165" i="27"/>
  <c r="T165" i="27" s="1"/>
  <c r="R166" i="27"/>
  <c r="T166" i="27" s="1"/>
  <c r="T104" i="27"/>
  <c r="R47" i="27"/>
  <c r="U34" i="27"/>
  <c r="F37" i="42"/>
  <c r="F99" i="42" s="1"/>
  <c r="G42" i="42"/>
  <c r="G104" i="42" s="1"/>
  <c r="H42" i="42"/>
  <c r="G43" i="42"/>
  <c r="G105" i="42" s="1"/>
  <c r="G167" i="42" s="1"/>
  <c r="G44" i="42"/>
  <c r="G106" i="42" s="1"/>
  <c r="G168" i="42" s="1"/>
  <c r="H44" i="42"/>
  <c r="G45" i="42"/>
  <c r="G107" i="42" s="1"/>
  <c r="G169" i="42" s="1"/>
  <c r="G46" i="42"/>
  <c r="G108" i="42" s="1"/>
  <c r="G170" i="42" s="1"/>
  <c r="S47" i="27"/>
  <c r="Q100" i="27"/>
  <c r="Q101" i="27"/>
  <c r="Q163" i="27" s="1"/>
  <c r="Q103" i="27"/>
  <c r="Q165" i="27" s="1"/>
  <c r="I45" i="42"/>
  <c r="I107" i="42" s="1"/>
  <c r="I169" i="42" s="1"/>
  <c r="I46" i="42"/>
  <c r="I108" i="42" s="1"/>
  <c r="I170" i="42" s="1"/>
  <c r="O47" i="27"/>
  <c r="T108" i="27"/>
  <c r="I37" i="42"/>
  <c r="I99" i="42" s="1"/>
  <c r="I161" i="42" s="1"/>
  <c r="N105" i="27"/>
  <c r="N167" i="27" s="1"/>
  <c r="F44" i="42"/>
  <c r="F106" i="42" s="1"/>
  <c r="F168" i="42" s="1"/>
  <c r="AX45" i="27"/>
  <c r="O107" i="27"/>
  <c r="O169" i="27" s="1"/>
  <c r="G41" i="42"/>
  <c r="G103" i="42" s="1"/>
  <c r="G165" i="42" s="1"/>
  <c r="M110" i="27"/>
  <c r="M162" i="27"/>
  <c r="N169" i="27"/>
  <c r="N163" i="27"/>
  <c r="P163" i="27" s="1"/>
  <c r="P101" i="27"/>
  <c r="N164" i="27"/>
  <c r="M47" i="27"/>
  <c r="BA43" i="27"/>
  <c r="L44" i="185" s="1"/>
  <c r="M49" i="195" s="1"/>
  <c r="M94" i="195" s="1"/>
  <c r="E46" i="42"/>
  <c r="E108" i="42" s="1"/>
  <c r="N47" i="27"/>
  <c r="J102" i="27"/>
  <c r="L102" i="27" s="1"/>
  <c r="O103" i="27"/>
  <c r="O165" i="27" s="1"/>
  <c r="O105" i="27"/>
  <c r="O167" i="27" s="1"/>
  <c r="O106" i="27"/>
  <c r="O168" i="27" s="1"/>
  <c r="N165" i="27"/>
  <c r="F39" i="42"/>
  <c r="F101" i="42" s="1"/>
  <c r="F163" i="42" s="1"/>
  <c r="F43" i="42"/>
  <c r="L15" i="27"/>
  <c r="O102" i="27"/>
  <c r="O164" i="27" s="1"/>
  <c r="AY164" i="27" s="1"/>
  <c r="N106" i="27"/>
  <c r="O108" i="27"/>
  <c r="O170" i="27" s="1"/>
  <c r="AX37" i="27"/>
  <c r="AY38" i="27"/>
  <c r="J103" i="27"/>
  <c r="J165" i="27" s="1"/>
  <c r="L165" i="27" s="1"/>
  <c r="N109" i="27"/>
  <c r="F38" i="42"/>
  <c r="F100" i="42" s="1"/>
  <c r="F162" i="42" s="1"/>
  <c r="E38" i="42"/>
  <c r="E100" i="42" s="1"/>
  <c r="BA41" i="27"/>
  <c r="L42" i="185" s="1"/>
  <c r="M47" i="195" s="1"/>
  <c r="M92" i="195" s="1"/>
  <c r="AY42" i="27"/>
  <c r="N100" i="27"/>
  <c r="N108" i="27"/>
  <c r="O109" i="27"/>
  <c r="O171" i="27" s="1"/>
  <c r="K162" i="27"/>
  <c r="J168" i="27"/>
  <c r="L168" i="27" s="1"/>
  <c r="L106" i="27"/>
  <c r="J171" i="27"/>
  <c r="L171" i="27" s="1"/>
  <c r="L109" i="27"/>
  <c r="L170" i="27"/>
  <c r="J162" i="27"/>
  <c r="L100" i="27"/>
  <c r="J169" i="27"/>
  <c r="L169" i="27" s="1"/>
  <c r="L107" i="27"/>
  <c r="J166" i="27"/>
  <c r="L166" i="27" s="1"/>
  <c r="L104" i="27"/>
  <c r="I47" i="27"/>
  <c r="I100" i="27"/>
  <c r="E37" i="42"/>
  <c r="E99" i="42" s="1"/>
  <c r="E161" i="42" s="1"/>
  <c r="BA37" i="27"/>
  <c r="L38" i="185" s="1"/>
  <c r="M43" i="195" s="1"/>
  <c r="M88" i="195" s="1"/>
  <c r="AX41" i="27"/>
  <c r="E42" i="42"/>
  <c r="E104" i="42" s="1"/>
  <c r="BA42" i="27"/>
  <c r="L43" i="185" s="1"/>
  <c r="M48" i="195" s="1"/>
  <c r="M93" i="195" s="1"/>
  <c r="C44" i="42"/>
  <c r="C106" i="42" s="1"/>
  <c r="BA45" i="27"/>
  <c r="L46" i="185" s="1"/>
  <c r="M51" i="195" s="1"/>
  <c r="M96" i="195" s="1"/>
  <c r="J47" i="27"/>
  <c r="J101" i="27"/>
  <c r="K105" i="27"/>
  <c r="K167" i="27" s="1"/>
  <c r="L167" i="27" s="1"/>
  <c r="E108" i="27"/>
  <c r="E41" i="42"/>
  <c r="E103" i="42" s="1"/>
  <c r="E165" i="42" s="1"/>
  <c r="BA38" i="27"/>
  <c r="L39" i="185" s="1"/>
  <c r="M44" i="195" s="1"/>
  <c r="M89" i="195" s="1"/>
  <c r="F47" i="27"/>
  <c r="B43" i="42"/>
  <c r="B105" i="42" s="1"/>
  <c r="B167" i="42" s="1"/>
  <c r="AY46" i="27"/>
  <c r="K47" i="27"/>
  <c r="E104" i="27"/>
  <c r="L108" i="27"/>
  <c r="E45" i="42"/>
  <c r="E107" i="42" s="1"/>
  <c r="E169" i="42" s="1"/>
  <c r="G47" i="27"/>
  <c r="BA46" i="27"/>
  <c r="L47" i="185" s="1"/>
  <c r="M52" i="195" s="1"/>
  <c r="M97" i="195" s="1"/>
  <c r="E100" i="27"/>
  <c r="F101" i="27"/>
  <c r="F163" i="27" s="1"/>
  <c r="H163" i="27" s="1"/>
  <c r="F104" i="27"/>
  <c r="F166" i="27" s="1"/>
  <c r="H166" i="27" s="1"/>
  <c r="H106" i="27"/>
  <c r="F168" i="27"/>
  <c r="H168" i="27" s="1"/>
  <c r="H169" i="27"/>
  <c r="F167" i="27"/>
  <c r="H108" i="27"/>
  <c r="F170" i="27"/>
  <c r="H170" i="27" s="1"/>
  <c r="G105" i="27"/>
  <c r="G167" i="27" s="1"/>
  <c r="D37" i="27"/>
  <c r="C41" i="42"/>
  <c r="C103" i="42" s="1"/>
  <c r="C165" i="42" s="1"/>
  <c r="D42" i="27"/>
  <c r="F100" i="27"/>
  <c r="F103" i="27"/>
  <c r="C109" i="27"/>
  <c r="C171" i="27" s="1"/>
  <c r="B46" i="42"/>
  <c r="B108" i="42" s="1"/>
  <c r="B170" i="42" s="1"/>
  <c r="AY37" i="27"/>
  <c r="B39" i="42"/>
  <c r="B101" i="42" s="1"/>
  <c r="C40" i="42"/>
  <c r="C102" i="42" s="1"/>
  <c r="G100" i="27"/>
  <c r="F102" i="27"/>
  <c r="C105" i="27"/>
  <c r="C167" i="27" s="1"/>
  <c r="H107" i="27"/>
  <c r="F109" i="27"/>
  <c r="B42" i="42"/>
  <c r="B104" i="42" s="1"/>
  <c r="C43" i="42"/>
  <c r="C105" i="42" s="1"/>
  <c r="D38" i="27"/>
  <c r="AY45" i="27"/>
  <c r="D46" i="27"/>
  <c r="C101" i="27"/>
  <c r="C163" i="27" s="1"/>
  <c r="C107" i="27"/>
  <c r="C169" i="27" s="1"/>
  <c r="B38" i="42"/>
  <c r="B100" i="42" s="1"/>
  <c r="B162" i="42" s="1"/>
  <c r="C39" i="42"/>
  <c r="C101" i="42" s="1"/>
  <c r="C163" i="42" s="1"/>
  <c r="B163" i="27"/>
  <c r="D103" i="27"/>
  <c r="B165" i="27"/>
  <c r="D165" i="27" s="1"/>
  <c r="B171" i="27"/>
  <c r="B167" i="27"/>
  <c r="B169" i="27"/>
  <c r="E106" i="27"/>
  <c r="AX39" i="27"/>
  <c r="AY40" i="27"/>
  <c r="D41" i="27"/>
  <c r="AX43" i="27"/>
  <c r="AY44" i="27"/>
  <c r="D45" i="27"/>
  <c r="B47" i="27"/>
  <c r="B100" i="27"/>
  <c r="B102" i="27"/>
  <c r="B104" i="27"/>
  <c r="B106" i="27"/>
  <c r="B108" i="27"/>
  <c r="B37" i="42"/>
  <c r="B99" i="42" s="1"/>
  <c r="B161" i="42" s="1"/>
  <c r="C38" i="42"/>
  <c r="C100" i="42" s="1"/>
  <c r="C162" i="42" s="1"/>
  <c r="E40" i="42"/>
  <c r="E102" i="42" s="1"/>
  <c r="B41" i="42"/>
  <c r="B103" i="42" s="1"/>
  <c r="B165" i="42" s="1"/>
  <c r="C42" i="42"/>
  <c r="C104" i="42" s="1"/>
  <c r="E44" i="42"/>
  <c r="E106" i="42" s="1"/>
  <c r="E168" i="42" s="1"/>
  <c r="B45" i="42"/>
  <c r="B107" i="42" s="1"/>
  <c r="B169" i="42" s="1"/>
  <c r="C46" i="42"/>
  <c r="C108" i="42" s="1"/>
  <c r="C170" i="42" s="1"/>
  <c r="AX40" i="27"/>
  <c r="AY41" i="27"/>
  <c r="E102" i="27"/>
  <c r="AX38" i="27"/>
  <c r="AY39" i="27"/>
  <c r="D40" i="27"/>
  <c r="BA40" i="27"/>
  <c r="L41" i="185" s="1"/>
  <c r="M46" i="195" s="1"/>
  <c r="M91" i="195" s="1"/>
  <c r="AX42" i="27"/>
  <c r="AY43" i="27"/>
  <c r="D44" i="27"/>
  <c r="BA44" i="27"/>
  <c r="L45" i="185" s="1"/>
  <c r="M50" i="195" s="1"/>
  <c r="M95" i="195" s="1"/>
  <c r="AX46" i="27"/>
  <c r="C47" i="27"/>
  <c r="C100" i="27"/>
  <c r="E101" i="27"/>
  <c r="C104" i="27"/>
  <c r="C166" i="27" s="1"/>
  <c r="E105" i="27"/>
  <c r="BA105" i="27" s="1"/>
  <c r="L75" i="185" s="1"/>
  <c r="C108" i="27"/>
  <c r="C170" i="27" s="1"/>
  <c r="E109" i="27"/>
  <c r="E39" i="42"/>
  <c r="E101" i="42" s="1"/>
  <c r="E163" i="42" s="1"/>
  <c r="B40" i="42"/>
  <c r="B102" i="42" s="1"/>
  <c r="B164" i="42" s="1"/>
  <c r="E43" i="42"/>
  <c r="E105" i="42" s="1"/>
  <c r="B44" i="42"/>
  <c r="B106" i="42" s="1"/>
  <c r="B168" i="42" s="1"/>
  <c r="C45" i="42"/>
  <c r="C107" i="42" s="1"/>
  <c r="C169" i="42" s="1"/>
  <c r="AX44" i="27"/>
  <c r="E47" i="27"/>
  <c r="D39" i="27"/>
  <c r="D43" i="27"/>
  <c r="D11" i="182"/>
  <c r="U41" i="9"/>
  <c r="U43" i="9"/>
  <c r="M46" i="9"/>
  <c r="X46" i="9" s="1"/>
  <c r="U39" i="9"/>
  <c r="U45" i="9"/>
  <c r="U37" i="9"/>
  <c r="U40" i="9"/>
  <c r="U38" i="9"/>
  <c r="U42" i="9"/>
  <c r="K46" i="9"/>
  <c r="K47" i="134"/>
  <c r="M47" i="134" s="1"/>
  <c r="U41" i="134"/>
  <c r="T9" i="150" s="1"/>
  <c r="T41" i="134"/>
  <c r="L9" i="150" s="1"/>
  <c r="G18" i="150" s="1"/>
  <c r="U38" i="134"/>
  <c r="T6" i="150" s="1"/>
  <c r="T38" i="134"/>
  <c r="L6" i="150" s="1"/>
  <c r="U42" i="134"/>
  <c r="T10" i="150" s="1"/>
  <c r="T42" i="134"/>
  <c r="L10" i="150" s="1"/>
  <c r="U37" i="134"/>
  <c r="T5" i="150" s="1"/>
  <c r="T37" i="134"/>
  <c r="L5" i="150" s="1"/>
  <c r="C18" i="150" s="1"/>
  <c r="T39" i="134"/>
  <c r="L7" i="150" s="1"/>
  <c r="U39" i="134"/>
  <c r="T7" i="150" s="1"/>
  <c r="U43" i="134"/>
  <c r="T11" i="150" s="1"/>
  <c r="T43" i="134"/>
  <c r="L11" i="150" s="1"/>
  <c r="U45" i="134"/>
  <c r="T13" i="150" s="1"/>
  <c r="T45" i="134"/>
  <c r="L13" i="150" s="1"/>
  <c r="K18" i="150" s="1"/>
  <c r="L46" i="134"/>
  <c r="U36" i="134"/>
  <c r="T36" i="134"/>
  <c r="L4" i="150" s="1"/>
  <c r="B18" i="150" s="1"/>
  <c r="U40" i="134"/>
  <c r="T8" i="150" s="1"/>
  <c r="T40" i="134"/>
  <c r="L8" i="150" s="1"/>
  <c r="F18" i="150" s="1"/>
  <c r="U44" i="134"/>
  <c r="T12" i="150" s="1"/>
  <c r="T44" i="134"/>
  <c r="L12" i="150" s="1"/>
  <c r="J18" i="150" s="1"/>
  <c r="H56" i="196"/>
  <c r="P41" i="196"/>
  <c r="L41" i="196"/>
  <c r="D56" i="196"/>
  <c r="L25" i="196"/>
  <c r="H41" i="195"/>
  <c r="H56" i="195" s="1"/>
  <c r="D71" i="195"/>
  <c r="L56" i="195"/>
  <c r="L25" i="195"/>
  <c r="L41" i="195" s="1"/>
  <c r="AE139" i="185"/>
  <c r="T123" i="185"/>
  <c r="AE123" i="185"/>
  <c r="J96" i="195"/>
  <c r="F96" i="196"/>
  <c r="R125" i="188"/>
  <c r="D70" i="185"/>
  <c r="AA78" i="188"/>
  <c r="I177" i="188"/>
  <c r="I125" i="188"/>
  <c r="M177" i="188"/>
  <c r="M125" i="188"/>
  <c r="Q177" i="188"/>
  <c r="AD177" i="188" s="1"/>
  <c r="Q125" i="188"/>
  <c r="AD125" i="188" s="1"/>
  <c r="U177" i="188"/>
  <c r="U125" i="188"/>
  <c r="J187" i="188"/>
  <c r="H177" i="188"/>
  <c r="H125" i="188"/>
  <c r="L177" i="188"/>
  <c r="L125" i="188"/>
  <c r="P177" i="188"/>
  <c r="AC177" i="188" s="1"/>
  <c r="P125" i="188"/>
  <c r="AC125" i="188" s="1"/>
  <c r="L62" i="188"/>
  <c r="H62" i="188"/>
  <c r="P62" i="188"/>
  <c r="AC62" i="188" s="1"/>
  <c r="I62" i="188"/>
  <c r="M62" i="188"/>
  <c r="Q62" i="188"/>
  <c r="AD62" i="188" s="1"/>
  <c r="U62" i="188"/>
  <c r="G115" i="188"/>
  <c r="K115" i="188"/>
  <c r="O115" i="188"/>
  <c r="S115" i="188"/>
  <c r="J125" i="188"/>
  <c r="T115" i="188"/>
  <c r="X177" i="188"/>
  <c r="N177" i="188"/>
  <c r="Y177" i="188"/>
  <c r="R177" i="188"/>
  <c r="X178" i="188"/>
  <c r="X179" i="188"/>
  <c r="X180" i="188"/>
  <c r="X181" i="188"/>
  <c r="X182" i="188"/>
  <c r="X183" i="188"/>
  <c r="X184" i="188"/>
  <c r="X185" i="188"/>
  <c r="X186" i="188"/>
  <c r="Y179" i="188"/>
  <c r="Y180" i="188"/>
  <c r="Y181" i="188"/>
  <c r="Y183" i="188"/>
  <c r="Y185" i="188"/>
  <c r="G162" i="188"/>
  <c r="G110" i="188"/>
  <c r="O162" i="188"/>
  <c r="O110" i="188"/>
  <c r="H162" i="188"/>
  <c r="H110" i="188"/>
  <c r="L162" i="188"/>
  <c r="L110" i="188"/>
  <c r="P162" i="188"/>
  <c r="AC162" i="188" s="1"/>
  <c r="P110" i="188"/>
  <c r="AC110" i="188" s="1"/>
  <c r="T162" i="188"/>
  <c r="T110" i="188"/>
  <c r="I110" i="188"/>
  <c r="I162" i="188"/>
  <c r="M162" i="188"/>
  <c r="M110" i="188"/>
  <c r="Q162" i="188"/>
  <c r="AD162" i="188" s="1"/>
  <c r="Q110" i="188"/>
  <c r="AD110" i="188" s="1"/>
  <c r="U162" i="188"/>
  <c r="U110" i="188"/>
  <c r="F162" i="188"/>
  <c r="F110" i="188"/>
  <c r="J162" i="188"/>
  <c r="J172" i="188" s="1"/>
  <c r="J110" i="188"/>
  <c r="N162" i="188"/>
  <c r="N110" i="188"/>
  <c r="R162" i="188"/>
  <c r="R172" i="188" s="1"/>
  <c r="R110" i="188"/>
  <c r="G47" i="188"/>
  <c r="O47" i="188"/>
  <c r="Z43" i="188"/>
  <c r="M44" i="185" s="1"/>
  <c r="N49" i="195" s="1"/>
  <c r="N94" i="195" s="1"/>
  <c r="H47" i="188"/>
  <c r="L47" i="188"/>
  <c r="P47" i="188"/>
  <c r="AC47" i="188" s="1"/>
  <c r="T47" i="188"/>
  <c r="K100" i="188"/>
  <c r="S100" i="188"/>
  <c r="X164" i="188"/>
  <c r="E47" i="188"/>
  <c r="AA39" i="188"/>
  <c r="M56" i="185" s="1"/>
  <c r="N45" i="196" s="1"/>
  <c r="N90" i="196" s="1"/>
  <c r="Z41" i="188"/>
  <c r="M42" i="185" s="1"/>
  <c r="N47" i="195" s="1"/>
  <c r="N92" i="195" s="1"/>
  <c r="I47" i="188"/>
  <c r="M47" i="188"/>
  <c r="Q47" i="188"/>
  <c r="AD47" i="188" s="1"/>
  <c r="U47" i="188"/>
  <c r="D47" i="188"/>
  <c r="F47" i="188"/>
  <c r="J47" i="188"/>
  <c r="N47" i="188"/>
  <c r="R47" i="188"/>
  <c r="V169" i="188"/>
  <c r="AA53" i="188"/>
  <c r="Q55" i="185" s="1"/>
  <c r="R44" i="196" s="1"/>
  <c r="R89" i="196" s="1"/>
  <c r="AA55" i="188"/>
  <c r="Q57" i="185" s="1"/>
  <c r="R46" i="196" s="1"/>
  <c r="R91" i="196" s="1"/>
  <c r="AA40" i="188"/>
  <c r="M57" i="185" s="1"/>
  <c r="N46" i="196" s="1"/>
  <c r="N91" i="196" s="1"/>
  <c r="AA41" i="188"/>
  <c r="M58" i="185" s="1"/>
  <c r="N47" i="196" s="1"/>
  <c r="N92" i="196" s="1"/>
  <c r="Z44" i="188"/>
  <c r="M45" i="185" s="1"/>
  <c r="E100" i="188"/>
  <c r="D129" i="185" s="1"/>
  <c r="B102" i="188"/>
  <c r="B164" i="188" s="1"/>
  <c r="B104" i="188"/>
  <c r="B166" i="188" s="1"/>
  <c r="D110" i="188"/>
  <c r="C47" i="188"/>
  <c r="AA44" i="188"/>
  <c r="M61" i="185" s="1"/>
  <c r="N50" i="196" s="1"/>
  <c r="N95" i="196" s="1"/>
  <c r="AA45" i="188"/>
  <c r="M62" i="185" s="1"/>
  <c r="N51" i="196" s="1"/>
  <c r="Z46" i="188"/>
  <c r="M47" i="185" s="1"/>
  <c r="N52" i="195" s="1"/>
  <c r="N97" i="195" s="1"/>
  <c r="C102" i="188"/>
  <c r="C164" i="188" s="1"/>
  <c r="B107" i="188"/>
  <c r="B169" i="188" s="1"/>
  <c r="C100" i="188"/>
  <c r="C162" i="188" s="1"/>
  <c r="C108" i="188"/>
  <c r="C170" i="188" s="1"/>
  <c r="E62" i="188"/>
  <c r="E177" i="188"/>
  <c r="E125" i="188"/>
  <c r="D115" i="188"/>
  <c r="Z53" i="188"/>
  <c r="Q39" i="185" s="1"/>
  <c r="R44" i="195" s="1"/>
  <c r="R89" i="195" s="1"/>
  <c r="Z55" i="188"/>
  <c r="Q41" i="185" s="1"/>
  <c r="R46" i="195" s="1"/>
  <c r="R91" i="195" s="1"/>
  <c r="Z57" i="188"/>
  <c r="Z59" i="188"/>
  <c r="Q45" i="185" s="1"/>
  <c r="R50" i="195" s="1"/>
  <c r="R95" i="195" s="1"/>
  <c r="Z61" i="188"/>
  <c r="Q47" i="185" s="1"/>
  <c r="R52" i="195" s="1"/>
  <c r="R97" i="195" s="1"/>
  <c r="C177" i="188"/>
  <c r="B177" i="188"/>
  <c r="AA57" i="188"/>
  <c r="Q59" i="185" s="1"/>
  <c r="R48" i="196" s="1"/>
  <c r="R93" i="196" s="1"/>
  <c r="AA61" i="188"/>
  <c r="Q63" i="185" s="1"/>
  <c r="R52" i="196" s="1"/>
  <c r="R97" i="196" s="1"/>
  <c r="Z52" i="188"/>
  <c r="Q38" i="185" s="1"/>
  <c r="R43" i="195" s="1"/>
  <c r="Z54" i="188"/>
  <c r="Q40" i="185" s="1"/>
  <c r="R45" i="195" s="1"/>
  <c r="R90" i="195" s="1"/>
  <c r="Z56" i="188"/>
  <c r="Q42" i="185" s="1"/>
  <c r="R47" i="195" s="1"/>
  <c r="R92" i="195" s="1"/>
  <c r="Z58" i="188"/>
  <c r="Q44" i="185" s="1"/>
  <c r="R49" i="195" s="1"/>
  <c r="R94" i="195" s="1"/>
  <c r="Z60" i="188"/>
  <c r="Q46" i="185" s="1"/>
  <c r="R51" i="195" s="1"/>
  <c r="R96" i="195" s="1"/>
  <c r="B62" i="188"/>
  <c r="B116" i="188"/>
  <c r="B178" i="188" s="1"/>
  <c r="B118" i="188"/>
  <c r="B180" i="188" s="1"/>
  <c r="B120" i="188"/>
  <c r="B182" i="188" s="1"/>
  <c r="B122" i="188"/>
  <c r="B184" i="188" s="1"/>
  <c r="B124" i="188"/>
  <c r="B186" i="188" s="1"/>
  <c r="AA59" i="188"/>
  <c r="Q61" i="185" s="1"/>
  <c r="R50" i="196" s="1"/>
  <c r="R95" i="196" s="1"/>
  <c r="AA124" i="188"/>
  <c r="Q99" i="185" s="1"/>
  <c r="Z99" i="185" s="1"/>
  <c r="AH99" i="185" s="1"/>
  <c r="AA52" i="188"/>
  <c r="Q54" i="185" s="1"/>
  <c r="R43" i="196" s="1"/>
  <c r="AA54" i="188"/>
  <c r="Q56" i="185" s="1"/>
  <c r="R45" i="196" s="1"/>
  <c r="R90" i="196" s="1"/>
  <c r="AA56" i="188"/>
  <c r="Q58" i="185" s="1"/>
  <c r="R47" i="196" s="1"/>
  <c r="R92" i="196" s="1"/>
  <c r="AA58" i="188"/>
  <c r="Q60" i="185" s="1"/>
  <c r="R49" i="196" s="1"/>
  <c r="R94" i="196" s="1"/>
  <c r="AA60" i="188"/>
  <c r="Q62" i="185" s="1"/>
  <c r="R51" i="196" s="1"/>
  <c r="R96" i="196" s="1"/>
  <c r="C62" i="188"/>
  <c r="C116" i="188"/>
  <c r="C178" i="188" s="1"/>
  <c r="C118" i="188"/>
  <c r="C180" i="188" s="1"/>
  <c r="B162" i="188"/>
  <c r="Z106" i="188"/>
  <c r="M76" i="185" s="1"/>
  <c r="Z37" i="188"/>
  <c r="M38" i="185" s="1"/>
  <c r="N43" i="195" s="1"/>
  <c r="AA43" i="188"/>
  <c r="M60" i="185" s="1"/>
  <c r="N49" i="196" s="1"/>
  <c r="N94" i="196" s="1"/>
  <c r="Z45" i="188"/>
  <c r="M46" i="185" s="1"/>
  <c r="N51" i="195" s="1"/>
  <c r="N96" i="195" s="1"/>
  <c r="AA37" i="188"/>
  <c r="M54" i="185" s="1"/>
  <c r="C107" i="188"/>
  <c r="C169" i="188" s="1"/>
  <c r="B109" i="188"/>
  <c r="B171" i="188" s="1"/>
  <c r="AA38" i="188"/>
  <c r="M55" i="185" s="1"/>
  <c r="N44" i="196" s="1"/>
  <c r="N89" i="196" s="1"/>
  <c r="Z40" i="188"/>
  <c r="M41" i="185" s="1"/>
  <c r="N46" i="195" s="1"/>
  <c r="N91" i="195" s="1"/>
  <c r="AA46" i="188"/>
  <c r="M63" i="185" s="1"/>
  <c r="N52" i="196" s="1"/>
  <c r="N97" i="196" s="1"/>
  <c r="B47" i="188"/>
  <c r="E89" i="195"/>
  <c r="J97" i="195"/>
  <c r="E80" i="185"/>
  <c r="E83" i="185"/>
  <c r="G14" i="134"/>
  <c r="G14" i="6"/>
  <c r="G15" i="6" s="1"/>
  <c r="F7" i="6"/>
  <c r="C15" i="42"/>
  <c r="G15" i="42"/>
  <c r="R73" i="42"/>
  <c r="R75" i="42"/>
  <c r="D76" i="42"/>
  <c r="B290" i="42"/>
  <c r="F290" i="42"/>
  <c r="J290" i="42"/>
  <c r="Q292" i="42"/>
  <c r="R264" i="42"/>
  <c r="N80" i="185"/>
  <c r="I81" i="185"/>
  <c r="I82" i="185"/>
  <c r="F9" i="6"/>
  <c r="K106" i="42"/>
  <c r="K168" i="42" s="1"/>
  <c r="K78" i="42"/>
  <c r="S73" i="42"/>
  <c r="D73" i="42"/>
  <c r="C289" i="42"/>
  <c r="S193" i="42"/>
  <c r="B235" i="42"/>
  <c r="E92" i="195"/>
  <c r="E82" i="185"/>
  <c r="E15" i="42"/>
  <c r="I15" i="42"/>
  <c r="M15" i="42"/>
  <c r="D68" i="42"/>
  <c r="R72" i="42"/>
  <c r="G140" i="42"/>
  <c r="O15" i="42"/>
  <c r="Q163" i="42"/>
  <c r="N103" i="42"/>
  <c r="N165" i="42" s="1"/>
  <c r="O104" i="42"/>
  <c r="O166" i="42" s="1"/>
  <c r="Q105" i="42"/>
  <c r="Q167" i="42" s="1"/>
  <c r="E78" i="42"/>
  <c r="I78" i="42"/>
  <c r="M78" i="42"/>
  <c r="S70" i="42"/>
  <c r="U76" i="42"/>
  <c r="B140" i="42"/>
  <c r="S133" i="42"/>
  <c r="U193" i="42"/>
  <c r="U195" i="42"/>
  <c r="R200" i="42"/>
  <c r="C297" i="42"/>
  <c r="G297" i="42"/>
  <c r="K297" i="42"/>
  <c r="S201" i="42"/>
  <c r="F267" i="42"/>
  <c r="J289" i="42"/>
  <c r="P257" i="42"/>
  <c r="U261" i="42"/>
  <c r="B295" i="42"/>
  <c r="F295" i="42"/>
  <c r="J295" i="42"/>
  <c r="R263" i="42"/>
  <c r="U265" i="42"/>
  <c r="B267" i="42"/>
  <c r="Q15" i="42"/>
  <c r="P7" i="42"/>
  <c r="C99" i="42"/>
  <c r="C161" i="42" s="1"/>
  <c r="G99" i="42"/>
  <c r="G161" i="42" s="1"/>
  <c r="Q100" i="42"/>
  <c r="Q162" i="42" s="1"/>
  <c r="S71" i="42"/>
  <c r="E140" i="42"/>
  <c r="I140" i="42"/>
  <c r="M140" i="42"/>
  <c r="I203" i="42"/>
  <c r="R199" i="42"/>
  <c r="U201" i="42"/>
  <c r="C267" i="42"/>
  <c r="G267" i="42"/>
  <c r="K267" i="42"/>
  <c r="B292" i="42"/>
  <c r="F292" i="42"/>
  <c r="J292" i="42"/>
  <c r="J293" i="42"/>
  <c r="B294" i="42"/>
  <c r="B298" i="42"/>
  <c r="U200" i="42"/>
  <c r="R202" i="42"/>
  <c r="U257" i="42"/>
  <c r="F291" i="42"/>
  <c r="J291" i="42"/>
  <c r="U263" i="42"/>
  <c r="P265" i="42"/>
  <c r="B291" i="42"/>
  <c r="BE30" i="26"/>
  <c r="I11" i="9"/>
  <c r="V11" i="9" s="1"/>
  <c r="AE228" i="26"/>
  <c r="AF228" i="26" s="1"/>
  <c r="AG228" i="26" s="1"/>
  <c r="BE228" i="26" s="1"/>
  <c r="AA233" i="26"/>
  <c r="AB233" i="26" s="1"/>
  <c r="AC233" i="26" s="1"/>
  <c r="L193" i="44"/>
  <c r="K225" i="44" s="1"/>
  <c r="L225" i="44" s="1"/>
  <c r="M225" i="44" s="1"/>
  <c r="L195" i="44"/>
  <c r="K227" i="44" s="1"/>
  <c r="L227" i="44" s="1"/>
  <c r="M227" i="44" s="1"/>
  <c r="F289" i="44"/>
  <c r="G291" i="44"/>
  <c r="B297" i="44"/>
  <c r="B203" i="44"/>
  <c r="H196" i="44"/>
  <c r="G228" i="44" s="1"/>
  <c r="H228" i="44" s="1"/>
  <c r="I228" i="44" s="1"/>
  <c r="D199" i="44"/>
  <c r="C231" i="44" s="1"/>
  <c r="D231" i="44" s="1"/>
  <c r="E231" i="44" s="1"/>
  <c r="L201" i="44"/>
  <c r="K233" i="44" s="1"/>
  <c r="L233" i="44" s="1"/>
  <c r="M233" i="44" s="1"/>
  <c r="N294" i="44"/>
  <c r="P228" i="26"/>
  <c r="Q228" i="26" s="1"/>
  <c r="K233" i="26"/>
  <c r="L233" i="26" s="1"/>
  <c r="M233" i="26" s="1"/>
  <c r="AI234" i="26"/>
  <c r="AJ234" i="26" s="1"/>
  <c r="AK234" i="26" s="1"/>
  <c r="R194" i="44"/>
  <c r="R195" i="44"/>
  <c r="R196" i="44"/>
  <c r="K232" i="44"/>
  <c r="L232" i="44" s="1"/>
  <c r="M232" i="44" s="1"/>
  <c r="U200" i="44"/>
  <c r="AF79" i="26"/>
  <c r="BD79" i="26" s="1"/>
  <c r="AZ142" i="26"/>
  <c r="L112" i="196" s="1"/>
  <c r="O112" i="196" s="1"/>
  <c r="L140" i="44"/>
  <c r="X143" i="26"/>
  <c r="H140" i="44"/>
  <c r="I107" i="196"/>
  <c r="R138" i="44"/>
  <c r="R139" i="44"/>
  <c r="U72" i="44"/>
  <c r="U76" i="44"/>
  <c r="L69" i="44"/>
  <c r="L71" i="44"/>
  <c r="L73" i="44"/>
  <c r="L75" i="44"/>
  <c r="L77" i="44"/>
  <c r="H131" i="44"/>
  <c r="D132" i="44"/>
  <c r="H133" i="44"/>
  <c r="D134" i="44"/>
  <c r="H135" i="44"/>
  <c r="D136" i="44"/>
  <c r="H137" i="44"/>
  <c r="D138" i="44"/>
  <c r="R71" i="44"/>
  <c r="R72" i="44"/>
  <c r="R73" i="44"/>
  <c r="R74" i="44"/>
  <c r="R75" i="44"/>
  <c r="U134" i="44"/>
  <c r="T15" i="26"/>
  <c r="AJ15" i="26"/>
  <c r="AY37" i="26"/>
  <c r="F102" i="26"/>
  <c r="F165" i="26" s="1"/>
  <c r="H165" i="26" s="1"/>
  <c r="I38" i="44"/>
  <c r="I101" i="44" s="1"/>
  <c r="I163" i="44" s="1"/>
  <c r="Q102" i="26"/>
  <c r="V102" i="26"/>
  <c r="V165" i="26" s="1"/>
  <c r="X165" i="26" s="1"/>
  <c r="K38" i="44"/>
  <c r="AA102" i="26"/>
  <c r="AA165" i="26" s="1"/>
  <c r="N38" i="44"/>
  <c r="N101" i="44" s="1"/>
  <c r="N163" i="44" s="1"/>
  <c r="F104" i="26"/>
  <c r="V104" i="26"/>
  <c r="V167" i="26" s="1"/>
  <c r="X167" i="26" s="1"/>
  <c r="R106" i="26"/>
  <c r="AH106" i="26"/>
  <c r="AH169" i="26" s="1"/>
  <c r="AJ169" i="26" s="1"/>
  <c r="F44" i="44"/>
  <c r="N108" i="26"/>
  <c r="N171" i="26" s="1"/>
  <c r="AD108" i="26"/>
  <c r="AF108" i="26" s="1"/>
  <c r="BD108" i="26" s="1"/>
  <c r="J110" i="26"/>
  <c r="J173" i="26" s="1"/>
  <c r="L173" i="26" s="1"/>
  <c r="AX46" i="26"/>
  <c r="K174" i="26"/>
  <c r="B38" i="44"/>
  <c r="B101" i="44" s="1"/>
  <c r="B163" i="44" s="1"/>
  <c r="D38" i="26"/>
  <c r="B102" i="26"/>
  <c r="B165" i="26" s="1"/>
  <c r="R102" i="26"/>
  <c r="AH102" i="26"/>
  <c r="AH165" i="26" s="1"/>
  <c r="O38" i="44"/>
  <c r="AM102" i="26"/>
  <c r="AM165" i="26" s="1"/>
  <c r="R104" i="26"/>
  <c r="R167" i="26" s="1"/>
  <c r="AH104" i="26"/>
  <c r="AD106" i="26"/>
  <c r="J108" i="26"/>
  <c r="J44" i="44"/>
  <c r="J107" i="44" s="1"/>
  <c r="J169" i="44" s="1"/>
  <c r="F110" i="26"/>
  <c r="V110" i="26"/>
  <c r="V173" i="26" s="1"/>
  <c r="X173" i="26" s="1"/>
  <c r="H101" i="26"/>
  <c r="C38" i="44"/>
  <c r="C101" i="44" s="1"/>
  <c r="C163" i="44" s="1"/>
  <c r="F38" i="44"/>
  <c r="F101" i="44" s="1"/>
  <c r="F163" i="44" s="1"/>
  <c r="AD102" i="26"/>
  <c r="AF102" i="26" s="1"/>
  <c r="BD102" i="26" s="1"/>
  <c r="C39" i="44"/>
  <c r="AY39" i="26"/>
  <c r="G39" i="44"/>
  <c r="G102" i="44" s="1"/>
  <c r="G164" i="44" s="1"/>
  <c r="O103" i="26"/>
  <c r="O166" i="26" s="1"/>
  <c r="C40" i="44"/>
  <c r="AY40" i="26"/>
  <c r="AD104" i="26"/>
  <c r="AD167" i="26" s="1"/>
  <c r="AF167" i="26" s="1"/>
  <c r="BD167" i="26" s="1"/>
  <c r="J106" i="26"/>
  <c r="AX42" i="26"/>
  <c r="V108" i="26"/>
  <c r="V171" i="26" s="1"/>
  <c r="X171" i="26" s="1"/>
  <c r="R110" i="26"/>
  <c r="AH110" i="26"/>
  <c r="AH173" i="26" s="1"/>
  <c r="AJ173" i="26" s="1"/>
  <c r="AG101" i="26"/>
  <c r="BE101" i="26" s="1"/>
  <c r="H166" i="26"/>
  <c r="A194" i="26"/>
  <c r="A226" i="26" s="1"/>
  <c r="A348" i="26" s="1"/>
  <c r="A380" i="26" s="1"/>
  <c r="A50" i="26"/>
  <c r="A209" i="26" s="1"/>
  <c r="A241" i="26" s="1"/>
  <c r="A363" i="26" s="1"/>
  <c r="A395" i="26" s="1"/>
  <c r="I37" i="44"/>
  <c r="I100" i="44" s="1"/>
  <c r="Q101" i="26"/>
  <c r="J102" i="26"/>
  <c r="L102" i="26" s="1"/>
  <c r="G38" i="44"/>
  <c r="G101" i="44" s="1"/>
  <c r="G163" i="44" s="1"/>
  <c r="J38" i="44"/>
  <c r="J101" i="44" s="1"/>
  <c r="J163" i="44" s="1"/>
  <c r="AX38" i="26"/>
  <c r="J104" i="26"/>
  <c r="J167" i="26" s="1"/>
  <c r="L167" i="26" s="1"/>
  <c r="AX40" i="26"/>
  <c r="F106" i="26"/>
  <c r="V106" i="26"/>
  <c r="B44" i="44"/>
  <c r="B107" i="44" s="1"/>
  <c r="B169" i="44" s="1"/>
  <c r="D44" i="26"/>
  <c r="R108" i="26"/>
  <c r="R171" i="26" s="1"/>
  <c r="T171" i="26" s="1"/>
  <c r="AH108" i="26"/>
  <c r="AD110" i="26"/>
  <c r="AF110" i="26" s="1"/>
  <c r="BD110" i="26" s="1"/>
  <c r="AL102" i="26"/>
  <c r="AL165" i="26" s="1"/>
  <c r="AY44" i="26"/>
  <c r="Z103" i="26"/>
  <c r="Z166" i="26" s="1"/>
  <c r="O104" i="26"/>
  <c r="O167" i="26" s="1"/>
  <c r="AO104" i="26"/>
  <c r="AO167" i="26" s="1"/>
  <c r="E106" i="26"/>
  <c r="Z107" i="26"/>
  <c r="Z170" i="26" s="1"/>
  <c r="H15" i="26"/>
  <c r="X15" i="26"/>
  <c r="AN15" i="26"/>
  <c r="L15" i="26"/>
  <c r="AB15" i="26"/>
  <c r="F47" i="26"/>
  <c r="R47" i="26"/>
  <c r="V47" i="26"/>
  <c r="AH47" i="26"/>
  <c r="AX37" i="26"/>
  <c r="AX39" i="26"/>
  <c r="AX43" i="26"/>
  <c r="R101" i="26"/>
  <c r="R164" i="26" s="1"/>
  <c r="AL101" i="26"/>
  <c r="AL164" i="26" s="1"/>
  <c r="AA103" i="26"/>
  <c r="AA166" i="26" s="1"/>
  <c r="AC106" i="26"/>
  <c r="Q107" i="26"/>
  <c r="AY45" i="26"/>
  <c r="B101" i="26"/>
  <c r="B164" i="26" s="1"/>
  <c r="V101" i="26"/>
  <c r="V164" i="26" s="1"/>
  <c r="AR101" i="26"/>
  <c r="AA104" i="26"/>
  <c r="AA167" i="26" s="1"/>
  <c r="B107" i="26"/>
  <c r="B170" i="26" s="1"/>
  <c r="C108" i="26"/>
  <c r="C171" i="26" s="1"/>
  <c r="N109" i="26"/>
  <c r="N172" i="26" s="1"/>
  <c r="D5" i="44"/>
  <c r="D6" i="44"/>
  <c r="D7" i="44"/>
  <c r="D8" i="44"/>
  <c r="D9" i="44"/>
  <c r="D10" i="44"/>
  <c r="D11" i="44"/>
  <c r="D12" i="44"/>
  <c r="D13" i="44"/>
  <c r="D14" i="44"/>
  <c r="H29" i="125"/>
  <c r="J5" i="9"/>
  <c r="W5" i="9" s="1"/>
  <c r="J6" i="9"/>
  <c r="W6" i="9" s="1"/>
  <c r="J9" i="9"/>
  <c r="W17" i="9" s="1"/>
  <c r="J10" i="9"/>
  <c r="P10" i="9" s="1"/>
  <c r="J13" i="9"/>
  <c r="P13" i="9" s="1"/>
  <c r="BD45" i="201"/>
  <c r="I104" i="196"/>
  <c r="AJ220" i="26"/>
  <c r="AJ88" i="27"/>
  <c r="I104" i="195"/>
  <c r="I106" i="195"/>
  <c r="I108" i="195"/>
  <c r="I110" i="195"/>
  <c r="AN27" i="26"/>
  <c r="I108" i="196"/>
  <c r="I109" i="196"/>
  <c r="I112" i="196"/>
  <c r="J95" i="6"/>
  <c r="O95" i="6" s="1"/>
  <c r="J99" i="6"/>
  <c r="O99" i="6" s="1"/>
  <c r="G32" i="125"/>
  <c r="BC45" i="201"/>
  <c r="O155" i="125"/>
  <c r="O159" i="125"/>
  <c r="O157" i="125"/>
  <c r="O156" i="125"/>
  <c r="O153" i="125"/>
  <c r="L153" i="125"/>
  <c r="K25" i="35"/>
  <c r="S25" i="35" s="1"/>
  <c r="G75" i="28"/>
  <c r="BP26" i="201"/>
  <c r="BP139" i="201" s="1"/>
  <c r="AX139" i="201"/>
  <c r="E93" i="28"/>
  <c r="I93" i="28" s="1"/>
  <c r="BC141" i="201"/>
  <c r="BC123" i="201"/>
  <c r="BQ28" i="201"/>
  <c r="AY141" i="201"/>
  <c r="H50" i="125"/>
  <c r="BC140" i="201"/>
  <c r="BC122" i="201"/>
  <c r="BP27" i="201"/>
  <c r="BP140" i="201" s="1"/>
  <c r="AX140" i="201"/>
  <c r="BC138" i="201"/>
  <c r="BC120" i="201"/>
  <c r="BQ25" i="201"/>
  <c r="AY138" i="201"/>
  <c r="AY120" i="201"/>
  <c r="BP22" i="201"/>
  <c r="BP135" i="201" s="1"/>
  <c r="AX135" i="201"/>
  <c r="BC117" i="201"/>
  <c r="BC135" i="201"/>
  <c r="BC142" i="201"/>
  <c r="BC124" i="201"/>
  <c r="BP21" i="201"/>
  <c r="BP134" i="201" s="1"/>
  <c r="AX134" i="201"/>
  <c r="G43" i="125"/>
  <c r="H5" i="134"/>
  <c r="N5" i="134" s="1"/>
  <c r="J97" i="6"/>
  <c r="O97" i="6" s="1"/>
  <c r="L97" i="6"/>
  <c r="Q97" i="6" s="1"/>
  <c r="L8" i="6"/>
  <c r="Q8" i="6" s="1"/>
  <c r="L11" i="9"/>
  <c r="R11" i="9" s="1"/>
  <c r="L99" i="6"/>
  <c r="Q99" i="6" s="1"/>
  <c r="H10" i="134"/>
  <c r="N10" i="134" s="1"/>
  <c r="K9" i="134"/>
  <c r="X9" i="134" s="1"/>
  <c r="L4" i="9"/>
  <c r="R4" i="9" s="1"/>
  <c r="AV373" i="26"/>
  <c r="L101" i="6"/>
  <c r="Q101" i="6" s="1"/>
  <c r="L12" i="9"/>
  <c r="Y12" i="9" s="1"/>
  <c r="L6" i="9"/>
  <c r="Y6" i="9" s="1"/>
  <c r="J96" i="6"/>
  <c r="O96" i="6" s="1"/>
  <c r="L7" i="9"/>
  <c r="R7" i="9" s="1"/>
  <c r="G63" i="155"/>
  <c r="G12" i="186"/>
  <c r="Q25" i="42"/>
  <c r="N25" i="44"/>
  <c r="Q25" i="44"/>
  <c r="O25" i="44"/>
  <c r="I110" i="196"/>
  <c r="O27" i="44"/>
  <c r="AB85" i="191"/>
  <c r="Q29" i="44"/>
  <c r="R30" i="156"/>
  <c r="I111" i="196"/>
  <c r="I81" i="195"/>
  <c r="O28" i="44"/>
  <c r="Q28" i="44"/>
  <c r="AB63" i="191"/>
  <c r="Q26" i="42"/>
  <c r="N26" i="44"/>
  <c r="N26" i="42"/>
  <c r="Q26" i="44"/>
  <c r="K28" i="155"/>
  <c r="O24" i="42"/>
  <c r="Q24" i="42"/>
  <c r="N24" i="42"/>
  <c r="O24" i="44"/>
  <c r="N24" i="44"/>
  <c r="I106" i="196"/>
  <c r="Q23" i="44"/>
  <c r="Q23" i="42"/>
  <c r="O23" i="44"/>
  <c r="K23" i="156"/>
  <c r="I105" i="196"/>
  <c r="N22" i="44"/>
  <c r="N22" i="42"/>
  <c r="Q22" i="42"/>
  <c r="O22" i="42"/>
  <c r="Q22" i="44"/>
  <c r="Q21" i="44"/>
  <c r="N21" i="44"/>
  <c r="O21" i="44"/>
  <c r="Q21" i="42"/>
  <c r="O20" i="42"/>
  <c r="N20" i="42"/>
  <c r="O20" i="44"/>
  <c r="N20" i="44"/>
  <c r="AU329" i="26"/>
  <c r="AV329" i="26" s="1"/>
  <c r="AW329" i="26" s="1"/>
  <c r="D240" i="183"/>
  <c r="D243" i="183" s="1"/>
  <c r="D249" i="183"/>
  <c r="D176" i="183"/>
  <c r="D179" i="183" s="1"/>
  <c r="D185" i="183"/>
  <c r="D144" i="183"/>
  <c r="D147" i="183" s="1"/>
  <c r="Y116" i="201"/>
  <c r="D121" i="183"/>
  <c r="D48" i="183"/>
  <c r="D51" i="183" s="1"/>
  <c r="D57" i="183"/>
  <c r="BA123" i="5"/>
  <c r="BL124" i="5"/>
  <c r="BE124" i="5"/>
  <c r="BV123" i="5"/>
  <c r="BP124" i="5" s="1"/>
  <c r="AL16" i="5"/>
  <c r="AR18" i="5"/>
  <c r="BX123" i="5"/>
  <c r="BR124" i="5" s="1"/>
  <c r="BG120" i="5"/>
  <c r="BG123" i="5" s="1"/>
  <c r="BW123" i="5"/>
  <c r="BQ124" i="5" s="1"/>
  <c r="AX124" i="5"/>
  <c r="I5" i="5"/>
  <c r="F5" i="5"/>
  <c r="G5" i="5" s="1"/>
  <c r="BM123" i="5"/>
  <c r="AY124" i="5"/>
  <c r="BS123" i="5"/>
  <c r="D317" i="183"/>
  <c r="AE20" i="201"/>
  <c r="AE21" i="201"/>
  <c r="AY116" i="201"/>
  <c r="AE22" i="201"/>
  <c r="AE26" i="201"/>
  <c r="AE27" i="201"/>
  <c r="AE28" i="201"/>
  <c r="AY123" i="201"/>
  <c r="AE29" i="201"/>
  <c r="AD20" i="201"/>
  <c r="AD21" i="201"/>
  <c r="AX116" i="201"/>
  <c r="AD22" i="201"/>
  <c r="AX117" i="201"/>
  <c r="AD26" i="201"/>
  <c r="AX121" i="201"/>
  <c r="AD27" i="201"/>
  <c r="AX122" i="201"/>
  <c r="AD28" i="201"/>
  <c r="AD29" i="201"/>
  <c r="AD25" i="201"/>
  <c r="N298" i="44"/>
  <c r="AU237" i="26"/>
  <c r="AV237" i="26" s="1"/>
  <c r="AW237" i="26" s="1"/>
  <c r="E13" i="9"/>
  <c r="G13" i="9" s="1"/>
  <c r="S140" i="44"/>
  <c r="R140" i="44"/>
  <c r="D82" i="196"/>
  <c r="AV173" i="26"/>
  <c r="N15" i="44"/>
  <c r="AU236" i="26"/>
  <c r="AV236" i="26" s="1"/>
  <c r="AW236" i="26" s="1"/>
  <c r="S139" i="44"/>
  <c r="S77" i="44"/>
  <c r="R77" i="44"/>
  <c r="P264" i="44"/>
  <c r="AU235" i="26"/>
  <c r="AV235" i="26" s="1"/>
  <c r="AW235" i="26" s="1"/>
  <c r="S138" i="44"/>
  <c r="P138" i="44"/>
  <c r="S76" i="44"/>
  <c r="R76" i="44"/>
  <c r="BA384" i="26"/>
  <c r="F108" i="6"/>
  <c r="AW392" i="26"/>
  <c r="AU231" i="26"/>
  <c r="AV231" i="26" s="1"/>
  <c r="AW231" i="26" s="1"/>
  <c r="AU229" i="26"/>
  <c r="AV229" i="26" s="1"/>
  <c r="AW229" i="26" s="1"/>
  <c r="AV386" i="26"/>
  <c r="AU228" i="26"/>
  <c r="AV228" i="26" s="1"/>
  <c r="AW228" i="26" s="1"/>
  <c r="N290" i="44"/>
  <c r="AU230" i="26"/>
  <c r="AV230" i="26" s="1"/>
  <c r="AW230" i="26" s="1"/>
  <c r="E6" i="9"/>
  <c r="G6" i="9" s="1"/>
  <c r="AU233" i="26"/>
  <c r="AV233" i="26" s="1"/>
  <c r="AW233" i="26" s="1"/>
  <c r="D21" i="9"/>
  <c r="AU234" i="26"/>
  <c r="AV234" i="26" s="1"/>
  <c r="AW234" i="26" s="1"/>
  <c r="M113" i="196"/>
  <c r="BA143" i="26"/>
  <c r="Q166" i="44"/>
  <c r="Q168" i="44"/>
  <c r="R132" i="44"/>
  <c r="R133" i="44"/>
  <c r="R136" i="44"/>
  <c r="R137" i="44"/>
  <c r="AV143" i="26"/>
  <c r="S132" i="44"/>
  <c r="S133" i="44"/>
  <c r="S134" i="44"/>
  <c r="S136" i="44"/>
  <c r="S137" i="44"/>
  <c r="U70" i="44"/>
  <c r="U71" i="44"/>
  <c r="U75" i="44"/>
  <c r="AV79" i="26"/>
  <c r="AV102" i="26"/>
  <c r="AW165" i="26"/>
  <c r="AW170" i="26"/>
  <c r="AW167" i="26"/>
  <c r="AW172" i="26"/>
  <c r="AV110" i="26"/>
  <c r="AW166" i="26"/>
  <c r="AW171" i="26"/>
  <c r="AW164" i="26"/>
  <c r="AV104" i="26"/>
  <c r="AW169" i="26"/>
  <c r="AV167" i="26"/>
  <c r="AW168" i="26"/>
  <c r="AW173" i="26"/>
  <c r="AV15" i="26"/>
  <c r="B21" i="185"/>
  <c r="T13" i="9"/>
  <c r="AV299" i="27"/>
  <c r="AV109" i="27"/>
  <c r="AV298" i="27"/>
  <c r="AT300" i="27"/>
  <c r="Q296" i="42"/>
  <c r="AV297" i="27"/>
  <c r="AV141" i="27"/>
  <c r="Q106" i="42"/>
  <c r="Q168" i="42" s="1"/>
  <c r="N15" i="42"/>
  <c r="AW300" i="27"/>
  <c r="AV290" i="27"/>
  <c r="AX291" i="27"/>
  <c r="D50" i="6" s="1"/>
  <c r="AZ259" i="27"/>
  <c r="BB259" i="27" s="1"/>
  <c r="AZ263" i="27"/>
  <c r="BB263" i="27" s="1"/>
  <c r="N290" i="42"/>
  <c r="AX290" i="27"/>
  <c r="D49" i="6" s="1"/>
  <c r="AY291" i="27"/>
  <c r="E50" i="6" s="1"/>
  <c r="AY292" i="27"/>
  <c r="E51" i="6" s="1"/>
  <c r="AV294" i="27"/>
  <c r="AX295" i="27"/>
  <c r="D54" i="6" s="1"/>
  <c r="AY296" i="27"/>
  <c r="E55" i="6" s="1"/>
  <c r="AU300" i="27"/>
  <c r="O290" i="42"/>
  <c r="O291" i="42"/>
  <c r="Q291" i="42"/>
  <c r="B19" i="134"/>
  <c r="C19" i="134"/>
  <c r="C20" i="134"/>
  <c r="B24" i="134"/>
  <c r="AZ194" i="27"/>
  <c r="AU226" i="27"/>
  <c r="AU228" i="27"/>
  <c r="AV228" i="27" s="1"/>
  <c r="N294" i="42"/>
  <c r="AU230" i="27"/>
  <c r="AV230" i="27" s="1"/>
  <c r="AV204" i="27"/>
  <c r="AU229" i="27"/>
  <c r="AV229" i="27" s="1"/>
  <c r="C24" i="134"/>
  <c r="C25" i="134"/>
  <c r="AZ198" i="27"/>
  <c r="O102" i="42"/>
  <c r="O164" i="42" s="1"/>
  <c r="R68" i="42"/>
  <c r="O105" i="42"/>
  <c r="O167" i="42" s="1"/>
  <c r="AZ132" i="27"/>
  <c r="L104" i="195" s="1"/>
  <c r="O104" i="195" s="1"/>
  <c r="AZ136" i="27"/>
  <c r="L108" i="195" s="1"/>
  <c r="O108" i="195" s="1"/>
  <c r="U70" i="42"/>
  <c r="U69" i="42"/>
  <c r="U71" i="42"/>
  <c r="U74" i="42"/>
  <c r="S69" i="42"/>
  <c r="R71" i="42"/>
  <c r="S72" i="42"/>
  <c r="R74" i="42"/>
  <c r="AV101" i="27"/>
  <c r="AV105" i="27"/>
  <c r="N99" i="42"/>
  <c r="N161" i="42" s="1"/>
  <c r="O100" i="42"/>
  <c r="O162" i="42" s="1"/>
  <c r="AV108" i="27"/>
  <c r="AV102" i="27"/>
  <c r="AV103" i="27"/>
  <c r="AU110" i="27"/>
  <c r="AV106" i="27"/>
  <c r="AV107" i="27"/>
  <c r="F92" i="196"/>
  <c r="J92" i="195"/>
  <c r="J89" i="195"/>
  <c r="R113" i="195"/>
  <c r="AA156" i="188"/>
  <c r="N103" i="196"/>
  <c r="N113" i="196" s="1"/>
  <c r="AA93" i="188"/>
  <c r="N73" i="196"/>
  <c r="N83" i="196" s="1"/>
  <c r="G12" i="196" s="1"/>
  <c r="N73" i="195"/>
  <c r="N83" i="195" s="1"/>
  <c r="G12" i="195" s="1"/>
  <c r="O36" i="185"/>
  <c r="F68" i="185" s="1"/>
  <c r="O68" i="185" s="1"/>
  <c r="K36" i="185"/>
  <c r="B68" i="185" s="1"/>
  <c r="K68" i="185" s="1"/>
  <c r="W181" i="170"/>
  <c r="W183" i="170"/>
  <c r="W175" i="170"/>
  <c r="W177" i="170"/>
  <c r="W179" i="170"/>
  <c r="W176" i="170"/>
  <c r="W178" i="170"/>
  <c r="W180" i="170"/>
  <c r="W182" i="170"/>
  <c r="W184" i="170"/>
  <c r="U185" i="170"/>
  <c r="V185" i="170"/>
  <c r="G185" i="198"/>
  <c r="H175" i="198"/>
  <c r="I160" i="198"/>
  <c r="G168" i="198"/>
  <c r="F168" i="198"/>
  <c r="AD90" i="201"/>
  <c r="AD92" i="201"/>
  <c r="J67" i="201"/>
  <c r="AD89" i="201"/>
  <c r="AC41" i="201"/>
  <c r="AG41" i="201" s="1"/>
  <c r="AC40" i="201"/>
  <c r="AG40" i="201" s="1"/>
  <c r="J71" i="201"/>
  <c r="AC39" i="201"/>
  <c r="AG39" i="201" s="1"/>
  <c r="AD87" i="201"/>
  <c r="AC38" i="201"/>
  <c r="AG38" i="201" s="1"/>
  <c r="AD86" i="201"/>
  <c r="N69" i="201"/>
  <c r="AC37" i="201"/>
  <c r="AG37" i="201" s="1"/>
  <c r="AC36" i="201"/>
  <c r="AG36" i="201" s="1"/>
  <c r="X76" i="201"/>
  <c r="X66" i="201"/>
  <c r="V254" i="26"/>
  <c r="Y254" i="26" s="1"/>
  <c r="B250" i="44"/>
  <c r="J32" i="132"/>
  <c r="H42" i="9"/>
  <c r="T42" i="9" s="1"/>
  <c r="L31" i="132" s="1"/>
  <c r="J31" i="132"/>
  <c r="T6" i="9"/>
  <c r="J27" i="132"/>
  <c r="AX253" i="26"/>
  <c r="BC137" i="201"/>
  <c r="BC119" i="201"/>
  <c r="L154" i="125"/>
  <c r="BC118" i="201"/>
  <c r="BC136" i="201"/>
  <c r="E67" i="35"/>
  <c r="H62" i="125"/>
  <c r="F98" i="201"/>
  <c r="M103" i="201"/>
  <c r="AE25" i="201"/>
  <c r="BQ43" i="201"/>
  <c r="BP53" i="201"/>
  <c r="H98" i="201"/>
  <c r="BP51" i="201"/>
  <c r="BQ54" i="201"/>
  <c r="BP58" i="201"/>
  <c r="BQ59" i="201"/>
  <c r="BQ37" i="201"/>
  <c r="BP40" i="201"/>
  <c r="BQ42" i="201"/>
  <c r="BQ21" i="201"/>
  <c r="BP38" i="201"/>
  <c r="BQ39" i="201"/>
  <c r="BQ52" i="201"/>
  <c r="BP56" i="201"/>
  <c r="N83" i="201"/>
  <c r="AD83" i="201"/>
  <c r="AD84" i="201"/>
  <c r="AD85" i="201"/>
  <c r="AD88" i="201"/>
  <c r="AD91" i="201"/>
  <c r="BQ36" i="201"/>
  <c r="BQ41" i="201"/>
  <c r="BQ44" i="201"/>
  <c r="J83" i="201"/>
  <c r="BP36" i="201"/>
  <c r="BP37" i="201"/>
  <c r="BQ50" i="201"/>
  <c r="BP55" i="201"/>
  <c r="AE83" i="201"/>
  <c r="AE84" i="201"/>
  <c r="AE85" i="201"/>
  <c r="AE86" i="201"/>
  <c r="AE87" i="201"/>
  <c r="AE88" i="201"/>
  <c r="AE89" i="201"/>
  <c r="AE90" i="201"/>
  <c r="AE91" i="201"/>
  <c r="AE92" i="201"/>
  <c r="AU124" i="5"/>
  <c r="H42" i="125"/>
  <c r="K20" i="5"/>
  <c r="K67" i="136"/>
  <c r="M67" i="136" s="1"/>
  <c r="C5" i="5"/>
  <c r="L20" i="5"/>
  <c r="E6" i="136" s="1"/>
  <c r="I35" i="5"/>
  <c r="AG16" i="5"/>
  <c r="G60" i="125"/>
  <c r="I7" i="5"/>
  <c r="I11" i="5"/>
  <c r="I12" i="5"/>
  <c r="E92" i="35"/>
  <c r="T4" i="5"/>
  <c r="U4" i="5" s="1"/>
  <c r="AD16" i="5"/>
  <c r="AP18" i="5"/>
  <c r="BF123" i="5"/>
  <c r="BF124" i="5" s="1"/>
  <c r="AE16" i="5"/>
  <c r="BY120" i="5"/>
  <c r="BY123" i="5" s="1"/>
  <c r="F69" i="35"/>
  <c r="G68" i="182"/>
  <c r="E336" i="182"/>
  <c r="E491" i="182" s="1"/>
  <c r="E66" i="182"/>
  <c r="I66" i="182" s="1"/>
  <c r="J72" i="201"/>
  <c r="G75" i="201"/>
  <c r="N87" i="201"/>
  <c r="G66" i="201"/>
  <c r="J21" i="201"/>
  <c r="J23" i="201"/>
  <c r="L99" i="201"/>
  <c r="Q30" i="201"/>
  <c r="L106" i="201"/>
  <c r="H102" i="201"/>
  <c r="H57" i="28"/>
  <c r="J57" i="28" s="1"/>
  <c r="L159" i="125"/>
  <c r="L155" i="125"/>
  <c r="P153" i="125"/>
  <c r="R153" i="125" s="1"/>
  <c r="L151" i="125"/>
  <c r="H158" i="125"/>
  <c r="G158" i="125"/>
  <c r="K89" i="5"/>
  <c r="H68" i="182"/>
  <c r="J68" i="182"/>
  <c r="E306" i="182"/>
  <c r="H153" i="125"/>
  <c r="H67" i="182"/>
  <c r="E156" i="182"/>
  <c r="E61" i="156"/>
  <c r="G61" i="156"/>
  <c r="R61" i="156"/>
  <c r="I61" i="156"/>
  <c r="C61" i="156"/>
  <c r="C29" i="156"/>
  <c r="I29" i="156"/>
  <c r="G29" i="156"/>
  <c r="R29" i="156"/>
  <c r="E29" i="156"/>
  <c r="I63" i="155"/>
  <c r="O63" i="155"/>
  <c r="C63" i="155"/>
  <c r="E63" i="155"/>
  <c r="K31" i="155"/>
  <c r="C31" i="155"/>
  <c r="E31" i="155"/>
  <c r="G31" i="155"/>
  <c r="O31" i="155"/>
  <c r="L13" i="156"/>
  <c r="M31" i="155"/>
  <c r="M63" i="155"/>
  <c r="L46" i="155"/>
  <c r="R59" i="156"/>
  <c r="G46" i="186"/>
  <c r="E27" i="156"/>
  <c r="I27" i="156"/>
  <c r="C27" i="156"/>
  <c r="K27" i="156"/>
  <c r="G27" i="156"/>
  <c r="C61" i="155"/>
  <c r="E61" i="155"/>
  <c r="I61" i="155"/>
  <c r="G61" i="155"/>
  <c r="K61" i="155"/>
  <c r="E29" i="155"/>
  <c r="G29" i="155"/>
  <c r="O29" i="155"/>
  <c r="I29" i="155"/>
  <c r="M29" i="155"/>
  <c r="C29" i="155"/>
  <c r="M59" i="156"/>
  <c r="L12" i="155"/>
  <c r="R55" i="156"/>
  <c r="G55" i="156"/>
  <c r="E55" i="156"/>
  <c r="M55" i="156"/>
  <c r="I55" i="156"/>
  <c r="C55" i="156"/>
  <c r="C23" i="156"/>
  <c r="E23" i="156"/>
  <c r="I23" i="156"/>
  <c r="G23" i="156"/>
  <c r="O57" i="155"/>
  <c r="C57" i="155"/>
  <c r="E57" i="155"/>
  <c r="G57" i="155"/>
  <c r="K57" i="155"/>
  <c r="G8" i="186"/>
  <c r="C25" i="155"/>
  <c r="K25" i="155"/>
  <c r="E25" i="155"/>
  <c r="M25" i="155"/>
  <c r="G25" i="155"/>
  <c r="O25" i="155"/>
  <c r="L38" i="156"/>
  <c r="L8" i="155"/>
  <c r="E54" i="156"/>
  <c r="R54" i="156"/>
  <c r="G54" i="156"/>
  <c r="I54" i="156"/>
  <c r="C54" i="156"/>
  <c r="E22" i="156"/>
  <c r="G22" i="156"/>
  <c r="I22" i="156"/>
  <c r="C22" i="156"/>
  <c r="K22" i="156"/>
  <c r="E56" i="155"/>
  <c r="G56" i="155"/>
  <c r="I56" i="155"/>
  <c r="O56" i="155"/>
  <c r="C56" i="155"/>
  <c r="G24" i="155"/>
  <c r="O24" i="155"/>
  <c r="I24" i="155"/>
  <c r="E24" i="155"/>
  <c r="C24" i="155"/>
  <c r="L6" i="156"/>
  <c r="L37" i="156"/>
  <c r="M56" i="155"/>
  <c r="L39" i="155"/>
  <c r="C63" i="156"/>
  <c r="E63" i="156"/>
  <c r="M63" i="156"/>
  <c r="I63" i="156"/>
  <c r="K63" i="156"/>
  <c r="G50" i="186"/>
  <c r="G63" i="156"/>
  <c r="L46" i="156"/>
  <c r="E31" i="156"/>
  <c r="G31" i="156"/>
  <c r="R31" i="156"/>
  <c r="I31" i="156"/>
  <c r="M31" i="156"/>
  <c r="G65" i="155"/>
  <c r="O65" i="155"/>
  <c r="E65" i="155"/>
  <c r="I65" i="155"/>
  <c r="G16" i="186"/>
  <c r="C33" i="155"/>
  <c r="K33" i="155"/>
  <c r="G33" i="155"/>
  <c r="O33" i="155"/>
  <c r="E33" i="155"/>
  <c r="L16" i="155"/>
  <c r="M33" i="155"/>
  <c r="R62" i="156"/>
  <c r="E62" i="156"/>
  <c r="G62" i="156"/>
  <c r="I62" i="156"/>
  <c r="M62" i="156"/>
  <c r="C62" i="156"/>
  <c r="C30" i="156"/>
  <c r="E30" i="156"/>
  <c r="K30" i="156"/>
  <c r="L14" i="156"/>
  <c r="M64" i="155"/>
  <c r="C64" i="155"/>
  <c r="E64" i="155"/>
  <c r="I64" i="155"/>
  <c r="K64" i="155"/>
  <c r="G64" i="155"/>
  <c r="E32" i="155"/>
  <c r="G32" i="155"/>
  <c r="O32" i="155"/>
  <c r="C32" i="155"/>
  <c r="K32" i="155"/>
  <c r="L45" i="156"/>
  <c r="L47" i="155"/>
  <c r="M113" i="195"/>
  <c r="U138" i="42"/>
  <c r="AZ139" i="27"/>
  <c r="L111" i="195" s="1"/>
  <c r="O111" i="195" s="1"/>
  <c r="AX141" i="27"/>
  <c r="P138" i="42"/>
  <c r="E60" i="156"/>
  <c r="G60" i="156"/>
  <c r="R60" i="156"/>
  <c r="I60" i="156"/>
  <c r="C60" i="156"/>
  <c r="K28" i="156"/>
  <c r="E28" i="156"/>
  <c r="G28" i="156"/>
  <c r="I28" i="156"/>
  <c r="R28" i="156"/>
  <c r="G62" i="155"/>
  <c r="E62" i="155"/>
  <c r="K62" i="155"/>
  <c r="G13" i="186"/>
  <c r="I62" i="155"/>
  <c r="O62" i="155"/>
  <c r="G30" i="155"/>
  <c r="I30" i="155"/>
  <c r="O30" i="155"/>
  <c r="C30" i="155"/>
  <c r="E30" i="155"/>
  <c r="M30" i="155"/>
  <c r="L13" i="155"/>
  <c r="M62" i="191"/>
  <c r="L6" i="191"/>
  <c r="E58" i="156"/>
  <c r="C58" i="156"/>
  <c r="G58" i="156"/>
  <c r="M58" i="156"/>
  <c r="K58" i="156"/>
  <c r="R58" i="156"/>
  <c r="G26" i="156"/>
  <c r="R26" i="156"/>
  <c r="I26" i="156"/>
  <c r="E26" i="156"/>
  <c r="C26" i="156"/>
  <c r="M60" i="155"/>
  <c r="C60" i="155"/>
  <c r="E60" i="155"/>
  <c r="K60" i="155"/>
  <c r="I60" i="155"/>
  <c r="G60" i="155"/>
  <c r="I28" i="155"/>
  <c r="C28" i="155"/>
  <c r="E28" i="155"/>
  <c r="G28" i="155"/>
  <c r="M26" i="156"/>
  <c r="L10" i="156"/>
  <c r="L41" i="156"/>
  <c r="L43" i="155"/>
  <c r="E57" i="156"/>
  <c r="G57" i="156"/>
  <c r="R57" i="156"/>
  <c r="I57" i="156"/>
  <c r="G44" i="186"/>
  <c r="C57" i="156"/>
  <c r="L32" i="156"/>
  <c r="K32" i="156" s="1"/>
  <c r="M59" i="155"/>
  <c r="G59" i="155"/>
  <c r="O59" i="155"/>
  <c r="E59" i="155"/>
  <c r="L66" i="155"/>
  <c r="K66" i="155" s="1"/>
  <c r="I59" i="155"/>
  <c r="C59" i="155"/>
  <c r="L9" i="156"/>
  <c r="R17" i="157"/>
  <c r="L42" i="155"/>
  <c r="E56" i="156"/>
  <c r="L64" i="156"/>
  <c r="I56" i="156"/>
  <c r="G56" i="156"/>
  <c r="R56" i="156"/>
  <c r="C56" i="156"/>
  <c r="D68" i="186"/>
  <c r="E68" i="186" s="1"/>
  <c r="K24" i="156"/>
  <c r="E24" i="156"/>
  <c r="R24" i="156"/>
  <c r="C24" i="156"/>
  <c r="I24" i="156"/>
  <c r="O58" i="155"/>
  <c r="G9" i="186"/>
  <c r="L34" i="155"/>
  <c r="D34" i="186"/>
  <c r="E34" i="186" s="1"/>
  <c r="X17" i="157"/>
  <c r="V17" i="157"/>
  <c r="P17" i="157"/>
  <c r="L9" i="155"/>
  <c r="H17" i="155"/>
  <c r="J17" i="155" s="1"/>
  <c r="L17" i="155" s="1"/>
  <c r="AB29" i="191"/>
  <c r="Z7" i="191"/>
  <c r="M30" i="191"/>
  <c r="U2" i="191"/>
  <c r="Y2" i="191"/>
  <c r="R2" i="191"/>
  <c r="V2" i="191"/>
  <c r="R3" i="191"/>
  <c r="V3" i="191"/>
  <c r="S3" i="191"/>
  <c r="W3" i="191"/>
  <c r="L5" i="191"/>
  <c r="L7" i="191"/>
  <c r="L8" i="191"/>
  <c r="Z8" i="191"/>
  <c r="Q2" i="191"/>
  <c r="I87" i="42"/>
  <c r="AB88" i="27"/>
  <c r="N87" i="42"/>
  <c r="AR88" i="27"/>
  <c r="AV88" i="27"/>
  <c r="L152" i="125"/>
  <c r="DT431" i="167"/>
  <c r="DX431" i="167"/>
  <c r="EB431" i="167"/>
  <c r="H10" i="132"/>
  <c r="J252" i="27"/>
  <c r="H6" i="132"/>
  <c r="G44" i="134"/>
  <c r="S44" i="134" s="1"/>
  <c r="J14" i="132" s="1"/>
  <c r="H14" i="132"/>
  <c r="G42" i="134"/>
  <c r="S42" i="134" s="1"/>
  <c r="J12" i="132" s="1"/>
  <c r="H12" i="132"/>
  <c r="G40" i="134"/>
  <c r="S40" i="134" s="1"/>
  <c r="J10" i="132" s="1"/>
  <c r="G38" i="134"/>
  <c r="S38" i="134" s="1"/>
  <c r="J8" i="132" s="1"/>
  <c r="H8" i="132"/>
  <c r="G36" i="134"/>
  <c r="S36" i="134" s="1"/>
  <c r="J6" i="132" s="1"/>
  <c r="AX251" i="27"/>
  <c r="N89" i="201"/>
  <c r="AR60" i="201"/>
  <c r="K58" i="201"/>
  <c r="O58" i="201" s="1"/>
  <c r="K57" i="201"/>
  <c r="O57" i="201" s="1"/>
  <c r="K55" i="201"/>
  <c r="O55" i="201" s="1"/>
  <c r="J60" i="201"/>
  <c r="L100" i="201"/>
  <c r="J88" i="201"/>
  <c r="I101" i="201"/>
  <c r="E93" i="201"/>
  <c r="G69" i="201"/>
  <c r="G91" i="201"/>
  <c r="J70" i="201"/>
  <c r="C76" i="201"/>
  <c r="BU60" i="201"/>
  <c r="AR67" i="201"/>
  <c r="J66" i="201"/>
  <c r="K36" i="201"/>
  <c r="O36" i="201" s="1"/>
  <c r="G68" i="201"/>
  <c r="K39" i="201"/>
  <c r="O39" i="201" s="1"/>
  <c r="N71" i="201"/>
  <c r="N72" i="201"/>
  <c r="G73" i="201"/>
  <c r="G74" i="201"/>
  <c r="J75" i="201"/>
  <c r="D76" i="201"/>
  <c r="I76" i="201"/>
  <c r="N60" i="201"/>
  <c r="K53" i="201"/>
  <c r="O53" i="201" s="1"/>
  <c r="K59" i="201"/>
  <c r="O59" i="201" s="1"/>
  <c r="J87" i="201"/>
  <c r="I93" i="201"/>
  <c r="AR71" i="201"/>
  <c r="N66" i="201"/>
  <c r="BU45" i="201"/>
  <c r="N67" i="201"/>
  <c r="J68" i="201"/>
  <c r="N70" i="201"/>
  <c r="J73" i="201"/>
  <c r="J74" i="201"/>
  <c r="N75" i="201"/>
  <c r="L76" i="201"/>
  <c r="K51" i="201"/>
  <c r="O51" i="201" s="1"/>
  <c r="K54" i="201"/>
  <c r="O54" i="201" s="1"/>
  <c r="C93" i="201"/>
  <c r="L104" i="201"/>
  <c r="G67" i="201"/>
  <c r="N68" i="201"/>
  <c r="J69" i="201"/>
  <c r="G70" i="201"/>
  <c r="G71" i="201"/>
  <c r="K41" i="201"/>
  <c r="N73" i="201"/>
  <c r="N74" i="201"/>
  <c r="F76" i="201"/>
  <c r="M76" i="201"/>
  <c r="G60" i="201"/>
  <c r="K52" i="201"/>
  <c r="O52" i="201" s="1"/>
  <c r="K56" i="201"/>
  <c r="O56" i="201" s="1"/>
  <c r="J89" i="201"/>
  <c r="J18" i="136"/>
  <c r="H76" i="201"/>
  <c r="K50" i="201"/>
  <c r="O50" i="201" s="1"/>
  <c r="E76" i="201"/>
  <c r="D473" i="182"/>
  <c r="D409" i="182"/>
  <c r="H282" i="183"/>
  <c r="D36" i="182"/>
  <c r="O160" i="125"/>
  <c r="G159" i="125"/>
  <c r="G157" i="125"/>
  <c r="G154" i="125"/>
  <c r="O154" i="125"/>
  <c r="G153" i="125"/>
  <c r="E104" i="201"/>
  <c r="L48" i="125" s="1"/>
  <c r="O151" i="125"/>
  <c r="G387" i="183"/>
  <c r="D380" i="183"/>
  <c r="C98" i="201"/>
  <c r="D266" i="183"/>
  <c r="N23" i="201"/>
  <c r="P28" i="35" s="1"/>
  <c r="D47" i="35" s="1"/>
  <c r="N21" i="201"/>
  <c r="P26" i="35" s="1"/>
  <c r="D45" i="35" s="1"/>
  <c r="D285" i="183"/>
  <c r="N340" i="183"/>
  <c r="D474" i="182"/>
  <c r="D268" i="183"/>
  <c r="D25" i="182"/>
  <c r="D458" i="182"/>
  <c r="D456" i="182"/>
  <c r="D343" i="183"/>
  <c r="N332" i="183"/>
  <c r="M11" i="35"/>
  <c r="M14" i="35"/>
  <c r="M15" i="35"/>
  <c r="M9" i="35"/>
  <c r="D36" i="35"/>
  <c r="D118" i="125"/>
  <c r="F28" i="35"/>
  <c r="D335" i="183"/>
  <c r="F33" i="35"/>
  <c r="AC345" i="26"/>
  <c r="T344" i="26"/>
  <c r="U344" i="26" s="1"/>
  <c r="E337" i="26"/>
  <c r="E340" i="26"/>
  <c r="E341" i="26"/>
  <c r="E343" i="26"/>
  <c r="E338" i="26"/>
  <c r="E334" i="26"/>
  <c r="E335" i="26"/>
  <c r="E342" i="26"/>
  <c r="E336" i="26"/>
  <c r="E339" i="26"/>
  <c r="AX270" i="26"/>
  <c r="AV320" i="26"/>
  <c r="AW320" i="26" s="1"/>
  <c r="AE329" i="26"/>
  <c r="AY270" i="26"/>
  <c r="D320" i="26"/>
  <c r="D323" i="26"/>
  <c r="D326" i="26"/>
  <c r="D328" i="26"/>
  <c r="P344" i="26"/>
  <c r="P345" i="26" s="1"/>
  <c r="H344" i="26"/>
  <c r="I344" i="26" s="1"/>
  <c r="S167" i="26"/>
  <c r="F170" i="26"/>
  <c r="H170" i="26" s="1"/>
  <c r="H107" i="26"/>
  <c r="I164" i="26"/>
  <c r="I111" i="26"/>
  <c r="M164" i="26"/>
  <c r="M111" i="26"/>
  <c r="U164" i="26"/>
  <c r="U111" i="26"/>
  <c r="Y164" i="26"/>
  <c r="Y111" i="26"/>
  <c r="AK164" i="26"/>
  <c r="AK111" i="26"/>
  <c r="R166" i="26"/>
  <c r="T166" i="26" s="1"/>
  <c r="T103" i="26"/>
  <c r="AH166" i="26"/>
  <c r="AJ166" i="26" s="1"/>
  <c r="AJ103" i="26"/>
  <c r="AI167" i="26"/>
  <c r="V170" i="26"/>
  <c r="X170" i="26" s="1"/>
  <c r="X107" i="26"/>
  <c r="AD170" i="26"/>
  <c r="AF170" i="26" s="1"/>
  <c r="BD170" i="26" s="1"/>
  <c r="AF107" i="26"/>
  <c r="BD107" i="26" s="1"/>
  <c r="J164" i="26"/>
  <c r="L101" i="26"/>
  <c r="AD164" i="26"/>
  <c r="AF101" i="26"/>
  <c r="BD101" i="26" s="1"/>
  <c r="AI165" i="26"/>
  <c r="AI111" i="26"/>
  <c r="AD166" i="26"/>
  <c r="AF166" i="26" s="1"/>
  <c r="BD166" i="26" s="1"/>
  <c r="AF103" i="26"/>
  <c r="BD103" i="26" s="1"/>
  <c r="BA37" i="26"/>
  <c r="BA38" i="26"/>
  <c r="L55" i="185" s="1"/>
  <c r="M44" i="196" s="1"/>
  <c r="M89" i="196" s="1"/>
  <c r="E39" i="44"/>
  <c r="E102" i="44" s="1"/>
  <c r="E164" i="44" s="1"/>
  <c r="E103" i="26"/>
  <c r="I39" i="44"/>
  <c r="I102" i="44" s="1"/>
  <c r="I164" i="44" s="1"/>
  <c r="Q103" i="26"/>
  <c r="M39" i="44"/>
  <c r="M102" i="44" s="1"/>
  <c r="M164" i="44" s="1"/>
  <c r="AC103" i="26"/>
  <c r="Q39" i="44"/>
  <c r="Q102" i="44" s="1"/>
  <c r="Q164" i="44" s="1"/>
  <c r="AO103" i="26"/>
  <c r="AO166" i="26" s="1"/>
  <c r="BA39" i="26"/>
  <c r="L56" i="185" s="1"/>
  <c r="M45" i="196" s="1"/>
  <c r="M90" i="196" s="1"/>
  <c r="BA40" i="26"/>
  <c r="L57" i="185" s="1"/>
  <c r="M46" i="196" s="1"/>
  <c r="M91" i="196" s="1"/>
  <c r="BA41" i="26"/>
  <c r="L58" i="185" s="1"/>
  <c r="M47" i="196" s="1"/>
  <c r="M92" i="196" s="1"/>
  <c r="BA42" i="26"/>
  <c r="L59" i="185" s="1"/>
  <c r="M48" i="196" s="1"/>
  <c r="M93" i="196" s="1"/>
  <c r="BA43" i="26"/>
  <c r="L60" i="185" s="1"/>
  <c r="M49" i="196" s="1"/>
  <c r="M94" i="196" s="1"/>
  <c r="E44" i="44"/>
  <c r="E107" i="44" s="1"/>
  <c r="E169" i="44" s="1"/>
  <c r="E108" i="26"/>
  <c r="I44" i="44"/>
  <c r="I107" i="44" s="1"/>
  <c r="I169" i="44" s="1"/>
  <c r="Q108" i="26"/>
  <c r="M44" i="44"/>
  <c r="M107" i="44" s="1"/>
  <c r="M169" i="44" s="1"/>
  <c r="AC108" i="26"/>
  <c r="Q44" i="44"/>
  <c r="Q107" i="44" s="1"/>
  <c r="Q169" i="44" s="1"/>
  <c r="AO108" i="26"/>
  <c r="AO171" i="26" s="1"/>
  <c r="BA44" i="26"/>
  <c r="L61" i="185" s="1"/>
  <c r="M50" i="196" s="1"/>
  <c r="M95" i="196" s="1"/>
  <c r="E45" i="44"/>
  <c r="E108" i="44" s="1"/>
  <c r="E170" i="44" s="1"/>
  <c r="E109" i="26"/>
  <c r="I45" i="44"/>
  <c r="I108" i="44" s="1"/>
  <c r="I170" i="44" s="1"/>
  <c r="Q109" i="26"/>
  <c r="M45" i="44"/>
  <c r="M108" i="44" s="1"/>
  <c r="M170" i="44" s="1"/>
  <c r="AC109" i="26"/>
  <c r="Q45" i="44"/>
  <c r="Q108" i="44" s="1"/>
  <c r="Q170" i="44" s="1"/>
  <c r="AO109" i="26"/>
  <c r="AO172" i="26" s="1"/>
  <c r="BA45" i="26"/>
  <c r="L62" i="185" s="1"/>
  <c r="M51" i="196" s="1"/>
  <c r="M96" i="196" s="1"/>
  <c r="E46" i="44"/>
  <c r="E109" i="44" s="1"/>
  <c r="E110" i="26"/>
  <c r="I46" i="44"/>
  <c r="I109" i="44" s="1"/>
  <c r="I171" i="44" s="1"/>
  <c r="Q110" i="26"/>
  <c r="M46" i="44"/>
  <c r="M109" i="44" s="1"/>
  <c r="M171" i="44" s="1"/>
  <c r="AC110" i="26"/>
  <c r="Q46" i="44"/>
  <c r="Q109" i="44" s="1"/>
  <c r="Q171" i="44" s="1"/>
  <c r="AO110" i="26"/>
  <c r="AO173" i="26" s="1"/>
  <c r="BA46" i="26"/>
  <c r="L63" i="185" s="1"/>
  <c r="M52" i="196" s="1"/>
  <c r="M97" i="196" s="1"/>
  <c r="E47" i="26"/>
  <c r="I47" i="26"/>
  <c r="M47" i="26"/>
  <c r="Q47" i="26"/>
  <c r="U47" i="26"/>
  <c r="Y47" i="26"/>
  <c r="AC47" i="26"/>
  <c r="AK47" i="26"/>
  <c r="AO47" i="26"/>
  <c r="AW48" i="26" s="1"/>
  <c r="P69" i="44"/>
  <c r="D73" i="196"/>
  <c r="G73" i="196" s="1"/>
  <c r="AZ71" i="26"/>
  <c r="L75" i="196" s="1"/>
  <c r="O75" i="196" s="1"/>
  <c r="N29" i="196" s="1"/>
  <c r="D75" i="196"/>
  <c r="G75" i="196" s="1"/>
  <c r="F29" i="196" s="1"/>
  <c r="P73" i="44"/>
  <c r="D77" i="196"/>
  <c r="AZ75" i="26"/>
  <c r="L79" i="196" s="1"/>
  <c r="O79" i="196" s="1"/>
  <c r="N33" i="196" s="1"/>
  <c r="D79" i="196"/>
  <c r="G79" i="196" s="1"/>
  <c r="F33" i="196" s="1"/>
  <c r="AC101" i="26"/>
  <c r="AH164" i="26"/>
  <c r="AC102" i="26"/>
  <c r="X166" i="26"/>
  <c r="AV103" i="26"/>
  <c r="E104" i="26"/>
  <c r="E105" i="26"/>
  <c r="AC105" i="26"/>
  <c r="AS169" i="26"/>
  <c r="J170" i="26"/>
  <c r="L170" i="26" s="1"/>
  <c r="L107" i="26"/>
  <c r="T107" i="26"/>
  <c r="R170" i="26"/>
  <c r="T170" i="26" s="1"/>
  <c r="L131" i="44"/>
  <c r="AB143" i="26"/>
  <c r="AZ133" i="26"/>
  <c r="L103" i="196" s="1"/>
  <c r="P133" i="44"/>
  <c r="D105" i="196"/>
  <c r="G105" i="196" s="1"/>
  <c r="AX143" i="26"/>
  <c r="AZ137" i="26"/>
  <c r="L107" i="196" s="1"/>
  <c r="O107" i="196" s="1"/>
  <c r="D107" i="196"/>
  <c r="G107" i="196" s="1"/>
  <c r="P137" i="44"/>
  <c r="D109" i="196"/>
  <c r="G109" i="196" s="1"/>
  <c r="AE174" i="26"/>
  <c r="AV172" i="26"/>
  <c r="P139" i="44"/>
  <c r="AN143" i="26"/>
  <c r="AU174" i="26"/>
  <c r="H319" i="26"/>
  <c r="I319" i="26" s="1"/>
  <c r="F93" i="196"/>
  <c r="J97" i="196"/>
  <c r="X103" i="185"/>
  <c r="AA103" i="185" s="1"/>
  <c r="AI103" i="185" s="1"/>
  <c r="F90" i="196"/>
  <c r="J94" i="196"/>
  <c r="N101" i="185"/>
  <c r="E103" i="185"/>
  <c r="F113" i="196"/>
  <c r="T22" i="9"/>
  <c r="K27" i="132" s="1"/>
  <c r="S97" i="6"/>
  <c r="B40" i="44"/>
  <c r="B104" i="26"/>
  <c r="F40" i="44"/>
  <c r="F103" i="44" s="1"/>
  <c r="F165" i="44" s="1"/>
  <c r="N104" i="26"/>
  <c r="J40" i="44"/>
  <c r="Z104" i="26"/>
  <c r="N40" i="44"/>
  <c r="N103" i="44" s="1"/>
  <c r="N165" i="44" s="1"/>
  <c r="AL104" i="26"/>
  <c r="B41" i="44"/>
  <c r="B104" i="44" s="1"/>
  <c r="B166" i="44" s="1"/>
  <c r="B105" i="26"/>
  <c r="F41" i="44"/>
  <c r="F104" i="44" s="1"/>
  <c r="F166" i="44" s="1"/>
  <c r="N105" i="26"/>
  <c r="J41" i="44"/>
  <c r="J104" i="44" s="1"/>
  <c r="J166" i="44" s="1"/>
  <c r="Z105" i="26"/>
  <c r="N41" i="44"/>
  <c r="N104" i="44" s="1"/>
  <c r="N166" i="44" s="1"/>
  <c r="AL105" i="26"/>
  <c r="B42" i="44"/>
  <c r="B106" i="26"/>
  <c r="F42" i="44"/>
  <c r="N106" i="26"/>
  <c r="J42" i="44"/>
  <c r="Z106" i="26"/>
  <c r="N42" i="44"/>
  <c r="N105" i="44" s="1"/>
  <c r="N167" i="44" s="1"/>
  <c r="AL106" i="26"/>
  <c r="N44" i="44"/>
  <c r="N107" i="44" s="1"/>
  <c r="N169" i="44" s="1"/>
  <c r="AL108" i="26"/>
  <c r="B45" i="44"/>
  <c r="B109" i="26"/>
  <c r="J45" i="44"/>
  <c r="Z109" i="26"/>
  <c r="N45" i="44"/>
  <c r="AL109" i="26"/>
  <c r="B46" i="44"/>
  <c r="B109" i="44" s="1"/>
  <c r="B110" i="26"/>
  <c r="F46" i="44"/>
  <c r="F109" i="44" s="1"/>
  <c r="F171" i="44" s="1"/>
  <c r="N110" i="26"/>
  <c r="J46" i="44"/>
  <c r="Z110" i="26"/>
  <c r="N46" i="44"/>
  <c r="P46" i="44" s="1"/>
  <c r="AL110" i="26"/>
  <c r="B47" i="26"/>
  <c r="J47" i="26"/>
  <c r="N47" i="26"/>
  <c r="Z47" i="26"/>
  <c r="AD47" i="26"/>
  <c r="AL47" i="26"/>
  <c r="H69" i="44"/>
  <c r="D70" i="44"/>
  <c r="P70" i="44"/>
  <c r="H71" i="44"/>
  <c r="D72" i="44"/>
  <c r="H73" i="44"/>
  <c r="D74" i="44"/>
  <c r="H75" i="44"/>
  <c r="D76" i="44"/>
  <c r="H77" i="44"/>
  <c r="D78" i="44"/>
  <c r="H79" i="26"/>
  <c r="P79" i="26"/>
  <c r="AB79" i="26"/>
  <c r="N101" i="26"/>
  <c r="AJ101" i="26"/>
  <c r="AO101" i="26"/>
  <c r="AT111" i="26"/>
  <c r="AV101" i="26"/>
  <c r="C102" i="26"/>
  <c r="C165" i="26" s="1"/>
  <c r="N102" i="26"/>
  <c r="AO102" i="26"/>
  <c r="AO165" i="26" s="1"/>
  <c r="B103" i="26"/>
  <c r="L103" i="26"/>
  <c r="AM103" i="26"/>
  <c r="AM166" i="26" s="1"/>
  <c r="Q104" i="26"/>
  <c r="AM104" i="26"/>
  <c r="AM167" i="26" s="1"/>
  <c r="Q106" i="26"/>
  <c r="AO106" i="26"/>
  <c r="AO169" i="26" s="1"/>
  <c r="AT169" i="26"/>
  <c r="AV169" i="26" s="1"/>
  <c r="AV106" i="26"/>
  <c r="E107" i="26"/>
  <c r="AC107" i="26"/>
  <c r="O108" i="26"/>
  <c r="O171" i="26" s="1"/>
  <c r="Z108" i="26"/>
  <c r="AM110" i="26"/>
  <c r="AM173" i="26" s="1"/>
  <c r="W111" i="26"/>
  <c r="F164" i="26"/>
  <c r="AT170" i="26"/>
  <c r="AV170" i="26" s="1"/>
  <c r="AV107" i="26"/>
  <c r="D139" i="44"/>
  <c r="AZ141" i="26"/>
  <c r="L111" i="196" s="1"/>
  <c r="O111" i="196" s="1"/>
  <c r="H143" i="26"/>
  <c r="E102" i="185"/>
  <c r="S101" i="6"/>
  <c r="S112" i="6"/>
  <c r="C37" i="44"/>
  <c r="C100" i="44" s="1"/>
  <c r="C101" i="26"/>
  <c r="G164" i="26"/>
  <c r="G174" i="26" s="1"/>
  <c r="G111" i="26"/>
  <c r="K111" i="26"/>
  <c r="G37" i="44"/>
  <c r="G100" i="44" s="1"/>
  <c r="O101" i="26"/>
  <c r="S164" i="26"/>
  <c r="S111" i="26"/>
  <c r="W174" i="26"/>
  <c r="K37" i="44"/>
  <c r="AA101" i="26"/>
  <c r="AE111" i="26"/>
  <c r="O37" i="44"/>
  <c r="AM101" i="26"/>
  <c r="C41" i="44"/>
  <c r="C105" i="26"/>
  <c r="C168" i="26" s="1"/>
  <c r="G41" i="44"/>
  <c r="G104" i="44" s="1"/>
  <c r="G166" i="44" s="1"/>
  <c r="O105" i="26"/>
  <c r="K41" i="44"/>
  <c r="AA105" i="26"/>
  <c r="AA168" i="26" s="1"/>
  <c r="O41" i="44"/>
  <c r="O104" i="44" s="1"/>
  <c r="O166" i="44" s="1"/>
  <c r="AM105" i="26"/>
  <c r="AM168" i="26" s="1"/>
  <c r="C42" i="44"/>
  <c r="C105" i="44" s="1"/>
  <c r="C167" i="44" s="1"/>
  <c r="C106" i="26"/>
  <c r="C169" i="26" s="1"/>
  <c r="G42" i="44"/>
  <c r="G105" i="44" s="1"/>
  <c r="G167" i="44" s="1"/>
  <c r="O106" i="26"/>
  <c r="O169" i="26" s="1"/>
  <c r="K42" i="44"/>
  <c r="K105" i="44" s="1"/>
  <c r="K167" i="44" s="1"/>
  <c r="AA106" i="26"/>
  <c r="AA169" i="26" s="1"/>
  <c r="O42" i="44"/>
  <c r="O105" i="44" s="1"/>
  <c r="O167" i="44" s="1"/>
  <c r="AM106" i="26"/>
  <c r="AM169" i="26" s="1"/>
  <c r="C43" i="44"/>
  <c r="C106" i="44" s="1"/>
  <c r="C168" i="44" s="1"/>
  <c r="C107" i="26"/>
  <c r="C170" i="26" s="1"/>
  <c r="G43" i="44"/>
  <c r="G106" i="44" s="1"/>
  <c r="G168" i="44" s="1"/>
  <c r="O107" i="26"/>
  <c r="O170" i="26" s="1"/>
  <c r="K43" i="44"/>
  <c r="K106" i="44" s="1"/>
  <c r="K168" i="44" s="1"/>
  <c r="AA107" i="26"/>
  <c r="AA170" i="26" s="1"/>
  <c r="O43" i="44"/>
  <c r="O106" i="44" s="1"/>
  <c r="O168" i="44" s="1"/>
  <c r="AM107" i="26"/>
  <c r="AM170" i="26" s="1"/>
  <c r="K44" i="44"/>
  <c r="K107" i="44" s="1"/>
  <c r="K169" i="44" s="1"/>
  <c r="AA108" i="26"/>
  <c r="AA171" i="26" s="1"/>
  <c r="O44" i="44"/>
  <c r="O107" i="44" s="1"/>
  <c r="O169" i="44" s="1"/>
  <c r="AM108" i="26"/>
  <c r="AM171" i="26" s="1"/>
  <c r="G45" i="44"/>
  <c r="G108" i="44" s="1"/>
  <c r="G170" i="44" s="1"/>
  <c r="O109" i="26"/>
  <c r="O172" i="26" s="1"/>
  <c r="K45" i="44"/>
  <c r="K108" i="44" s="1"/>
  <c r="K170" i="44" s="1"/>
  <c r="AA109" i="26"/>
  <c r="AA172" i="26" s="1"/>
  <c r="O45" i="44"/>
  <c r="O108" i="44" s="1"/>
  <c r="O170" i="44" s="1"/>
  <c r="AM109" i="26"/>
  <c r="AM172" i="26" s="1"/>
  <c r="C46" i="44"/>
  <c r="C109" i="44" s="1"/>
  <c r="C171" i="44" s="1"/>
  <c r="C110" i="26"/>
  <c r="C173" i="26" s="1"/>
  <c r="G46" i="44"/>
  <c r="G109" i="44" s="1"/>
  <c r="G171" i="44" s="1"/>
  <c r="O110" i="26"/>
  <c r="O173" i="26" s="1"/>
  <c r="K46" i="44"/>
  <c r="K109" i="44" s="1"/>
  <c r="K171" i="44" s="1"/>
  <c r="AA110" i="26"/>
  <c r="AA173" i="26" s="1"/>
  <c r="C47" i="26"/>
  <c r="G47" i="26"/>
  <c r="K47" i="26"/>
  <c r="O47" i="26"/>
  <c r="S47" i="26"/>
  <c r="W47" i="26"/>
  <c r="AA47" i="26"/>
  <c r="AE47" i="26"/>
  <c r="AI47" i="26"/>
  <c r="AM47" i="26"/>
  <c r="A67" i="26"/>
  <c r="AX79" i="26"/>
  <c r="L70" i="44"/>
  <c r="AZ70" i="26"/>
  <c r="L74" i="196" s="1"/>
  <c r="D74" i="196"/>
  <c r="G74" i="196" s="1"/>
  <c r="F28" i="196" s="1"/>
  <c r="L72" i="44"/>
  <c r="AZ72" i="26"/>
  <c r="L76" i="196" s="1"/>
  <c r="O76" i="196" s="1"/>
  <c r="N30" i="196" s="1"/>
  <c r="D76" i="196"/>
  <c r="L74" i="44"/>
  <c r="P74" i="44"/>
  <c r="D78" i="196"/>
  <c r="G78" i="196" s="1"/>
  <c r="F32" i="196" s="1"/>
  <c r="L76" i="44"/>
  <c r="L78" i="44"/>
  <c r="E101" i="26"/>
  <c r="Z101" i="26"/>
  <c r="AU111" i="26"/>
  <c r="E102" i="26"/>
  <c r="O102" i="26"/>
  <c r="O165" i="26" s="1"/>
  <c r="Z102" i="26"/>
  <c r="C103" i="26"/>
  <c r="C166" i="26" s="1"/>
  <c r="H103" i="26"/>
  <c r="N103" i="26"/>
  <c r="X103" i="26"/>
  <c r="AV166" i="26"/>
  <c r="C104" i="26"/>
  <c r="C167" i="26" s="1"/>
  <c r="AC104" i="26"/>
  <c r="AS167" i="26"/>
  <c r="Q105" i="26"/>
  <c r="AO105" i="26"/>
  <c r="AO168" i="26" s="1"/>
  <c r="AV105" i="26"/>
  <c r="AT168" i="26"/>
  <c r="AV168" i="26" s="1"/>
  <c r="N107" i="26"/>
  <c r="AL107" i="26"/>
  <c r="B108" i="26"/>
  <c r="C109" i="26"/>
  <c r="C172" i="26" s="1"/>
  <c r="AW111" i="26"/>
  <c r="AT164" i="26"/>
  <c r="AH170" i="26"/>
  <c r="AJ170" i="26" s="1"/>
  <c r="E270" i="26"/>
  <c r="AV108" i="26"/>
  <c r="AT171" i="26"/>
  <c r="AV171" i="26" s="1"/>
  <c r="T382" i="26"/>
  <c r="S228" i="26"/>
  <c r="T206" i="26"/>
  <c r="AJ382" i="26"/>
  <c r="AI228" i="26"/>
  <c r="AJ206" i="26"/>
  <c r="AZ198" i="26"/>
  <c r="AY230" i="26" s="1"/>
  <c r="AQ230" i="26"/>
  <c r="AR230" i="26" s="1"/>
  <c r="AS230" i="26" s="1"/>
  <c r="H387" i="26"/>
  <c r="G233" i="26"/>
  <c r="H233" i="26" s="1"/>
  <c r="I233" i="26" s="1"/>
  <c r="X387" i="26"/>
  <c r="W233" i="26"/>
  <c r="X233" i="26" s="1"/>
  <c r="Y233" i="26" s="1"/>
  <c r="AN387" i="26"/>
  <c r="AM233" i="26"/>
  <c r="AN233" i="26" s="1"/>
  <c r="AO233" i="26" s="1"/>
  <c r="AV206" i="26"/>
  <c r="D319" i="26"/>
  <c r="AS165" i="26"/>
  <c r="AV109" i="26"/>
  <c r="AW144" i="26"/>
  <c r="H206" i="26"/>
  <c r="G228" i="26"/>
  <c r="X206" i="26"/>
  <c r="W228" i="26"/>
  <c r="AN206" i="26"/>
  <c r="AN207" i="26" s="1"/>
  <c r="AM228" i="26"/>
  <c r="AY206" i="26"/>
  <c r="AR383" i="26"/>
  <c r="AR386" i="26"/>
  <c r="AZ200" i="26"/>
  <c r="AC392" i="26"/>
  <c r="AC207" i="26"/>
  <c r="AX238" i="26"/>
  <c r="H323" i="26"/>
  <c r="I323" i="26" s="1"/>
  <c r="L382" i="26"/>
  <c r="L206" i="26"/>
  <c r="K228" i="26"/>
  <c r="AB382" i="26"/>
  <c r="AB206" i="26"/>
  <c r="AA228" i="26"/>
  <c r="AR382" i="26"/>
  <c r="E4" i="9"/>
  <c r="G4" i="9" s="1"/>
  <c r="P387" i="26"/>
  <c r="O233" i="26"/>
  <c r="P233" i="26" s="1"/>
  <c r="Q233" i="26" s="1"/>
  <c r="AF387" i="26"/>
  <c r="BD387" i="26" s="1"/>
  <c r="AE233" i="26"/>
  <c r="AF233" i="26" s="1"/>
  <c r="AG233" i="26" s="1"/>
  <c r="BE233" i="26" s="1"/>
  <c r="AI236" i="26"/>
  <c r="AJ236" i="26" s="1"/>
  <c r="AK236" i="26" s="1"/>
  <c r="Y207" i="26"/>
  <c r="C238" i="26"/>
  <c r="D238" i="26" s="1"/>
  <c r="E238" i="26" s="1"/>
  <c r="AI232" i="26"/>
  <c r="AJ232" i="26" s="1"/>
  <c r="AK232" i="26" s="1"/>
  <c r="AH254" i="26"/>
  <c r="L132" i="44"/>
  <c r="AZ134" i="26"/>
  <c r="L104" i="196" s="1"/>
  <c r="O104" i="196" s="1"/>
  <c r="D104" i="196"/>
  <c r="G104" i="196" s="1"/>
  <c r="L134" i="44"/>
  <c r="AZ136" i="26"/>
  <c r="L106" i="196" s="1"/>
  <c r="O106" i="196" s="1"/>
  <c r="D106" i="196"/>
  <c r="G106" i="196" s="1"/>
  <c r="L136" i="44"/>
  <c r="P136" i="44"/>
  <c r="D108" i="196"/>
  <c r="G108" i="196" s="1"/>
  <c r="L138" i="44"/>
  <c r="AZ140" i="26"/>
  <c r="L110" i="196" s="1"/>
  <c r="O110" i="196" s="1"/>
  <c r="H139" i="44"/>
  <c r="T387" i="26"/>
  <c r="S233" i="26"/>
  <c r="T233" i="26" s="1"/>
  <c r="U233" i="26" s="1"/>
  <c r="AJ387" i="26"/>
  <c r="AI233" i="26"/>
  <c r="AJ233" i="26" s="1"/>
  <c r="AK233" i="26" s="1"/>
  <c r="AZ202" i="26"/>
  <c r="AQ234" i="26"/>
  <c r="AR234" i="26" s="1"/>
  <c r="AS234" i="26" s="1"/>
  <c r="E392" i="26"/>
  <c r="E207" i="26"/>
  <c r="AK392" i="26"/>
  <c r="AK207" i="26"/>
  <c r="AX298" i="26"/>
  <c r="T319" i="26"/>
  <c r="U319" i="26" s="1"/>
  <c r="D270" i="26"/>
  <c r="X321" i="26"/>
  <c r="Y321" i="26" s="1"/>
  <c r="W331" i="26"/>
  <c r="AU232" i="26"/>
  <c r="AV232" i="26" s="1"/>
  <c r="AW232" i="26" s="1"/>
  <c r="AY298" i="26"/>
  <c r="L334" i="26"/>
  <c r="M334" i="26" s="1"/>
  <c r="K344" i="26"/>
  <c r="L344" i="26" s="1"/>
  <c r="M344" i="26" s="1"/>
  <c r="T383" i="26"/>
  <c r="AJ383" i="26"/>
  <c r="L384" i="26"/>
  <c r="AB384" i="26"/>
  <c r="T385" i="26"/>
  <c r="AJ385" i="26"/>
  <c r="L386" i="26"/>
  <c r="AB386" i="26"/>
  <c r="L388" i="26"/>
  <c r="AB388" i="26"/>
  <c r="T389" i="26"/>
  <c r="AJ389" i="26"/>
  <c r="T391" i="26"/>
  <c r="AJ391" i="26"/>
  <c r="R392" i="26"/>
  <c r="AH392" i="26"/>
  <c r="D131" i="44"/>
  <c r="P131" i="44"/>
  <c r="AY143" i="26"/>
  <c r="H132" i="44"/>
  <c r="D133" i="44"/>
  <c r="H134" i="44"/>
  <c r="D135" i="44"/>
  <c r="H136" i="44"/>
  <c r="D137" i="44"/>
  <c r="H138" i="44"/>
  <c r="D140" i="44"/>
  <c r="P140" i="44"/>
  <c r="AZ199" i="26"/>
  <c r="AY231" i="26" s="1"/>
  <c r="AR387" i="26"/>
  <c r="E9" i="9"/>
  <c r="G9" i="9" s="1"/>
  <c r="P206" i="26"/>
  <c r="AF206" i="26"/>
  <c r="BD206" i="26" s="1"/>
  <c r="H270" i="26"/>
  <c r="T321" i="26"/>
  <c r="U321" i="26" s="1"/>
  <c r="P323" i="26"/>
  <c r="Q323" i="26" s="1"/>
  <c r="X323" i="26"/>
  <c r="Y323" i="26" s="1"/>
  <c r="T324" i="26"/>
  <c r="U324" i="26" s="1"/>
  <c r="H326" i="26"/>
  <c r="I326" i="26" s="1"/>
  <c r="P326" i="26"/>
  <c r="Q326" i="26" s="1"/>
  <c r="X326" i="26"/>
  <c r="Y326" i="26" s="1"/>
  <c r="AN319" i="26"/>
  <c r="AO319" i="26" s="1"/>
  <c r="AV382" i="26"/>
  <c r="H383" i="26"/>
  <c r="X383" i="26"/>
  <c r="AN383" i="26"/>
  <c r="P384" i="26"/>
  <c r="AF384" i="26"/>
  <c r="BD384" i="26" s="1"/>
  <c r="AV384" i="26"/>
  <c r="H385" i="26"/>
  <c r="X385" i="26"/>
  <c r="AN385" i="26"/>
  <c r="P386" i="26"/>
  <c r="AF386" i="26"/>
  <c r="BD386" i="26" s="1"/>
  <c r="P388" i="26"/>
  <c r="AF388" i="26"/>
  <c r="BD388" i="26" s="1"/>
  <c r="AV388" i="26"/>
  <c r="H389" i="26"/>
  <c r="X389" i="26"/>
  <c r="AN389" i="26"/>
  <c r="AV390" i="26"/>
  <c r="H391" i="26"/>
  <c r="X391" i="26"/>
  <c r="AN391" i="26"/>
  <c r="D392" i="26"/>
  <c r="I392" i="26"/>
  <c r="N392" i="26"/>
  <c r="Y392" i="26"/>
  <c r="AD392" i="26"/>
  <c r="AO392" i="26"/>
  <c r="J293" i="44"/>
  <c r="L197" i="44"/>
  <c r="K229" i="44" s="1"/>
  <c r="L229" i="44" s="1"/>
  <c r="M229" i="44" s="1"/>
  <c r="U201" i="44"/>
  <c r="AH345" i="26"/>
  <c r="L383" i="26"/>
  <c r="AB383" i="26"/>
  <c r="T384" i="26"/>
  <c r="AJ384" i="26"/>
  <c r="L385" i="26"/>
  <c r="AB385" i="26"/>
  <c r="T386" i="26"/>
  <c r="AJ386" i="26"/>
  <c r="T388" i="26"/>
  <c r="AJ388" i="26"/>
  <c r="L389" i="26"/>
  <c r="AB389" i="26"/>
  <c r="L391" i="26"/>
  <c r="AB391" i="26"/>
  <c r="J392" i="26"/>
  <c r="Z392" i="26"/>
  <c r="AU392" i="26"/>
  <c r="H382" i="26"/>
  <c r="X382" i="26"/>
  <c r="AN382" i="26"/>
  <c r="T327" i="26"/>
  <c r="U327" i="26" s="1"/>
  <c r="AI329" i="26"/>
  <c r="AJ319" i="26"/>
  <c r="AK319" i="26" s="1"/>
  <c r="AQ329" i="26"/>
  <c r="AR329" i="26" s="1"/>
  <c r="AS329" i="26" s="1"/>
  <c r="D344" i="26"/>
  <c r="E344" i="26" s="1"/>
  <c r="V345" i="26"/>
  <c r="Y345" i="26" s="1"/>
  <c r="X344" i="26"/>
  <c r="Y344" i="26" s="1"/>
  <c r="P383" i="26"/>
  <c r="AF383" i="26"/>
  <c r="BD383" i="26" s="1"/>
  <c r="AV383" i="26"/>
  <c r="AV360" i="26"/>
  <c r="H384" i="26"/>
  <c r="X384" i="26"/>
  <c r="AN384" i="26"/>
  <c r="AY384" i="26"/>
  <c r="P385" i="26"/>
  <c r="AF385" i="26"/>
  <c r="BD385" i="26" s="1"/>
  <c r="AV385" i="26"/>
  <c r="H386" i="26"/>
  <c r="X386" i="26"/>
  <c r="AN386" i="26"/>
  <c r="AV387" i="26"/>
  <c r="H388" i="26"/>
  <c r="X388" i="26"/>
  <c r="AN388" i="26"/>
  <c r="AY388" i="26"/>
  <c r="P389" i="26"/>
  <c r="AF389" i="26"/>
  <c r="BD389" i="26" s="1"/>
  <c r="AV389" i="26"/>
  <c r="H390" i="26"/>
  <c r="X390" i="26"/>
  <c r="AN390" i="26"/>
  <c r="P391" i="26"/>
  <c r="AF391" i="26"/>
  <c r="BD391" i="26" s="1"/>
  <c r="AV391" i="26"/>
  <c r="B392" i="26"/>
  <c r="F392" i="26"/>
  <c r="Q392" i="26"/>
  <c r="V392" i="26"/>
  <c r="AG392" i="26"/>
  <c r="BE392" i="26" s="1"/>
  <c r="AL392" i="26"/>
  <c r="AR360" i="26"/>
  <c r="AX383" i="26"/>
  <c r="AZ352" i="26"/>
  <c r="BB352" i="26" s="1"/>
  <c r="S111" i="6"/>
  <c r="AZ354" i="26"/>
  <c r="BB354" i="26" s="1"/>
  <c r="BA386" i="26"/>
  <c r="F113" i="6"/>
  <c r="AZ356" i="26"/>
  <c r="BB356" i="26" s="1"/>
  <c r="L390" i="26"/>
  <c r="AB390" i="26"/>
  <c r="C392" i="26"/>
  <c r="G392" i="26"/>
  <c r="K392" i="26"/>
  <c r="O392" i="26"/>
  <c r="S392" i="26"/>
  <c r="W392" i="26"/>
  <c r="AA392" i="26"/>
  <c r="AE392" i="26"/>
  <c r="AI392" i="26"/>
  <c r="AM392" i="26"/>
  <c r="AY389" i="26"/>
  <c r="P390" i="26"/>
  <c r="AF390" i="26"/>
  <c r="BD390" i="26" s="1"/>
  <c r="Y361" i="26"/>
  <c r="AZ351" i="26"/>
  <c r="BB351" i="26" s="1"/>
  <c r="BA383" i="26"/>
  <c r="AZ353" i="26"/>
  <c r="BB353" i="26" s="1"/>
  <c r="AZ355" i="26"/>
  <c r="BB355" i="26" s="1"/>
  <c r="T390" i="26"/>
  <c r="AJ390" i="26"/>
  <c r="AT392" i="26"/>
  <c r="R261" i="44"/>
  <c r="B293" i="44"/>
  <c r="S261" i="44"/>
  <c r="F296" i="44"/>
  <c r="H264" i="44"/>
  <c r="P5" i="44"/>
  <c r="P6" i="44"/>
  <c r="P7" i="44"/>
  <c r="P8" i="44"/>
  <c r="P9" i="44"/>
  <c r="P10" i="44"/>
  <c r="P11" i="44"/>
  <c r="P12" i="44"/>
  <c r="P13" i="44"/>
  <c r="P14" i="44"/>
  <c r="R69" i="44"/>
  <c r="G79" i="44"/>
  <c r="R134" i="44"/>
  <c r="R135" i="44"/>
  <c r="U138" i="44"/>
  <c r="U139" i="44"/>
  <c r="U140" i="44"/>
  <c r="M203" i="44"/>
  <c r="B291" i="44"/>
  <c r="D197" i="44"/>
  <c r="C229" i="44" s="1"/>
  <c r="D229" i="44" s="1"/>
  <c r="E229" i="44" s="1"/>
  <c r="C267" i="44"/>
  <c r="C296" i="44"/>
  <c r="S266" i="44"/>
  <c r="L6" i="44"/>
  <c r="L7" i="44"/>
  <c r="L8" i="44"/>
  <c r="L9" i="44"/>
  <c r="L10" i="44"/>
  <c r="L11" i="44"/>
  <c r="L12" i="44"/>
  <c r="L13" i="44"/>
  <c r="L14" i="44"/>
  <c r="C79" i="44"/>
  <c r="U73" i="44"/>
  <c r="S135" i="44"/>
  <c r="I203" i="44"/>
  <c r="R197" i="44"/>
  <c r="S198" i="44"/>
  <c r="R199" i="44"/>
  <c r="K296" i="44"/>
  <c r="S200" i="44"/>
  <c r="U202" i="44"/>
  <c r="J267" i="44"/>
  <c r="S257" i="44"/>
  <c r="H260" i="44"/>
  <c r="F292" i="44"/>
  <c r="L264" i="44"/>
  <c r="L266" i="44"/>
  <c r="U69" i="44"/>
  <c r="I79" i="44"/>
  <c r="E141" i="44"/>
  <c r="I141" i="44"/>
  <c r="M141" i="44"/>
  <c r="Q141" i="44"/>
  <c r="E203" i="44"/>
  <c r="J203" i="44"/>
  <c r="U197" i="44"/>
  <c r="U198" i="44"/>
  <c r="L199" i="44"/>
  <c r="K231" i="44" s="1"/>
  <c r="L231" i="44" s="1"/>
  <c r="M231" i="44" s="1"/>
  <c r="U199" i="44"/>
  <c r="R201" i="44"/>
  <c r="F298" i="44"/>
  <c r="R202" i="44"/>
  <c r="R225" i="44"/>
  <c r="R227" i="44"/>
  <c r="R229" i="44"/>
  <c r="R231" i="44"/>
  <c r="R233" i="44"/>
  <c r="B267" i="44"/>
  <c r="G267" i="44"/>
  <c r="N291" i="44"/>
  <c r="P262" i="44"/>
  <c r="P263" i="44"/>
  <c r="S265" i="44"/>
  <c r="B79" i="44"/>
  <c r="F79" i="44"/>
  <c r="U78" i="44"/>
  <c r="F203" i="44"/>
  <c r="U194" i="44"/>
  <c r="U195" i="44"/>
  <c r="U196" i="44"/>
  <c r="F294" i="44"/>
  <c r="R198" i="44"/>
  <c r="B295" i="44"/>
  <c r="H199" i="44"/>
  <c r="G231" i="44" s="1"/>
  <c r="H231" i="44" s="1"/>
  <c r="I231" i="44" s="1"/>
  <c r="R200" i="44"/>
  <c r="S201" i="44"/>
  <c r="C298" i="44"/>
  <c r="S202" i="44"/>
  <c r="R240" i="44"/>
  <c r="R241" i="44"/>
  <c r="R242" i="44"/>
  <c r="R243" i="44"/>
  <c r="F293" i="44"/>
  <c r="F295" i="44"/>
  <c r="F297" i="44"/>
  <c r="B289" i="44"/>
  <c r="P88" i="27"/>
  <c r="B87" i="42"/>
  <c r="M87" i="42"/>
  <c r="AN88" i="27"/>
  <c r="M78" i="191"/>
  <c r="B123" i="27"/>
  <c r="B185" i="27" s="1"/>
  <c r="AY88" i="27"/>
  <c r="F87" i="42"/>
  <c r="T88" i="27"/>
  <c r="Q87" i="42"/>
  <c r="AF157" i="26"/>
  <c r="BD157" i="26" s="1"/>
  <c r="AV157" i="26"/>
  <c r="J397" i="26"/>
  <c r="AE397" i="26"/>
  <c r="U400" i="26"/>
  <c r="I75" i="195"/>
  <c r="I79" i="195"/>
  <c r="E87" i="42"/>
  <c r="L88" i="27"/>
  <c r="J87" i="42"/>
  <c r="AF88" i="27"/>
  <c r="BC88" i="27" s="1"/>
  <c r="D24" i="27"/>
  <c r="D28" i="27"/>
  <c r="T28" i="27"/>
  <c r="B83" i="42"/>
  <c r="M83" i="42"/>
  <c r="AM94" i="27"/>
  <c r="O84" i="42"/>
  <c r="J85" i="42"/>
  <c r="G86" i="42"/>
  <c r="D88" i="27"/>
  <c r="E89" i="42"/>
  <c r="B148" i="42"/>
  <c r="B154" i="42"/>
  <c r="H155" i="27"/>
  <c r="O154" i="42"/>
  <c r="L279" i="27"/>
  <c r="T26" i="27"/>
  <c r="D211" i="27"/>
  <c r="AF274" i="27"/>
  <c r="BF274" i="27" s="1"/>
  <c r="AV274" i="27"/>
  <c r="AF278" i="27"/>
  <c r="BF278" i="27" s="1"/>
  <c r="AV278" i="27"/>
  <c r="AF282" i="27"/>
  <c r="BF282" i="27" s="1"/>
  <c r="AV282" i="27"/>
  <c r="AR21" i="26"/>
  <c r="G99" i="125"/>
  <c r="G85" i="28"/>
  <c r="G36" i="5"/>
  <c r="J45" i="35" s="1"/>
  <c r="H51" i="28"/>
  <c r="J51" i="28" s="1"/>
  <c r="H20" i="27"/>
  <c r="E86" i="35"/>
  <c r="J89" i="42"/>
  <c r="I77" i="195"/>
  <c r="C398" i="26"/>
  <c r="S401" i="26"/>
  <c r="G93" i="125"/>
  <c r="H142" i="125"/>
  <c r="E90" i="35"/>
  <c r="F90" i="35" s="1"/>
  <c r="G90" i="35" s="1"/>
  <c r="D41" i="5"/>
  <c r="AV54" i="201"/>
  <c r="K275" i="44"/>
  <c r="N279" i="44"/>
  <c r="K280" i="44"/>
  <c r="I281" i="44"/>
  <c r="D84" i="35"/>
  <c r="F84" i="35" s="1"/>
  <c r="G84" i="35" s="1"/>
  <c r="K27" i="5"/>
  <c r="K28" i="5"/>
  <c r="I38" i="5"/>
  <c r="I42" i="5"/>
  <c r="DU431" i="167"/>
  <c r="DY431" i="167"/>
  <c r="DU446" i="167"/>
  <c r="DY446" i="167"/>
  <c r="H212" i="26"/>
  <c r="X212" i="26"/>
  <c r="H213" i="26"/>
  <c r="AN213" i="26"/>
  <c r="H217" i="26"/>
  <c r="X217" i="26"/>
  <c r="AN217" i="26"/>
  <c r="H218" i="26"/>
  <c r="X218" i="26"/>
  <c r="AN218" i="26"/>
  <c r="AF335" i="26"/>
  <c r="AG335" i="26" s="1"/>
  <c r="AV335" i="26"/>
  <c r="AW335" i="26" s="1"/>
  <c r="AF339" i="26"/>
  <c r="AG339" i="26" s="1"/>
  <c r="AV339" i="26"/>
  <c r="AW339" i="26" s="1"/>
  <c r="AN340" i="26"/>
  <c r="AO340" i="26" s="1"/>
  <c r="T369" i="26"/>
  <c r="AJ369" i="26"/>
  <c r="T373" i="26"/>
  <c r="AJ373" i="26"/>
  <c r="P137" i="125"/>
  <c r="K33" i="35"/>
  <c r="E52" i="35" s="1"/>
  <c r="J72" i="35" s="1"/>
  <c r="AZ39" i="201"/>
  <c r="P26" i="27"/>
  <c r="AF26" i="27"/>
  <c r="AY26" i="27" s="1"/>
  <c r="AB26" i="27"/>
  <c r="AR26" i="27"/>
  <c r="D23" i="26"/>
  <c r="H63" i="28"/>
  <c r="J63" i="28" s="1"/>
  <c r="AB23" i="27"/>
  <c r="H26" i="27"/>
  <c r="AN26" i="27"/>
  <c r="M94" i="27"/>
  <c r="AR86" i="27"/>
  <c r="BA87" i="27"/>
  <c r="BA89" i="27"/>
  <c r="AA54" i="191" s="1"/>
  <c r="L90" i="27"/>
  <c r="AR92" i="27"/>
  <c r="T146" i="27"/>
  <c r="AJ146" i="27"/>
  <c r="T147" i="27"/>
  <c r="AJ147" i="27"/>
  <c r="T149" i="27"/>
  <c r="H21" i="26"/>
  <c r="G45" i="125"/>
  <c r="F38" i="28"/>
  <c r="H144" i="125"/>
  <c r="Q154" i="42"/>
  <c r="P84" i="27"/>
  <c r="AN92" i="27"/>
  <c r="AF149" i="27"/>
  <c r="BC149" i="27" s="1"/>
  <c r="AV149" i="27"/>
  <c r="L155" i="27"/>
  <c r="AF155" i="27"/>
  <c r="BC155" i="27" s="1"/>
  <c r="AV155" i="27"/>
  <c r="P21" i="26"/>
  <c r="AF21" i="26"/>
  <c r="AY21" i="26" s="1"/>
  <c r="H138" i="125"/>
  <c r="P141" i="125"/>
  <c r="G42" i="5"/>
  <c r="J51" i="35" s="1"/>
  <c r="E264" i="182"/>
  <c r="E302" i="182"/>
  <c r="E317" i="183" s="1"/>
  <c r="H95" i="183"/>
  <c r="I95" i="28"/>
  <c r="D26" i="27"/>
  <c r="L26" i="27"/>
  <c r="X26" i="27"/>
  <c r="AJ26" i="27"/>
  <c r="AV26" i="27"/>
  <c r="F94" i="27"/>
  <c r="I83" i="42"/>
  <c r="N83" i="42"/>
  <c r="F85" i="42"/>
  <c r="Q85" i="42"/>
  <c r="C88" i="42"/>
  <c r="F89" i="42"/>
  <c r="Q89" i="42"/>
  <c r="F91" i="42"/>
  <c r="Q91" i="42"/>
  <c r="K145" i="42"/>
  <c r="I146" i="42"/>
  <c r="K146" i="42"/>
  <c r="N146" i="42"/>
  <c r="K147" i="42"/>
  <c r="I148" i="42"/>
  <c r="N148" i="42"/>
  <c r="N154" i="42"/>
  <c r="AR155" i="27"/>
  <c r="T23" i="26"/>
  <c r="P144" i="125"/>
  <c r="I50" i="136"/>
  <c r="H42" i="5"/>
  <c r="G44" i="5"/>
  <c r="J53" i="35" s="1"/>
  <c r="DS446" i="167"/>
  <c r="DW446" i="167"/>
  <c r="EA446" i="167"/>
  <c r="I20" i="28"/>
  <c r="I24" i="28"/>
  <c r="I27" i="28"/>
  <c r="C148" i="42"/>
  <c r="F148" i="42"/>
  <c r="AJ149" i="27"/>
  <c r="Q148" i="42"/>
  <c r="T151" i="27"/>
  <c r="AJ151" i="27"/>
  <c r="C154" i="42"/>
  <c r="F154" i="42"/>
  <c r="T155" i="27"/>
  <c r="AJ155" i="27"/>
  <c r="AN155" i="27"/>
  <c r="O272" i="42"/>
  <c r="B274" i="42"/>
  <c r="M274" i="42"/>
  <c r="O274" i="42"/>
  <c r="B278" i="42"/>
  <c r="H279" i="27"/>
  <c r="X279" i="27"/>
  <c r="M278" i="42"/>
  <c r="B279" i="42"/>
  <c r="M279" i="42"/>
  <c r="O280" i="42"/>
  <c r="B281" i="42"/>
  <c r="T21" i="26"/>
  <c r="L148" i="26"/>
  <c r="I146" i="44"/>
  <c r="N146" i="44"/>
  <c r="AR148" i="26"/>
  <c r="L153" i="26"/>
  <c r="AR153" i="26"/>
  <c r="L154" i="26"/>
  <c r="L155" i="26"/>
  <c r="AR155" i="26"/>
  <c r="L156" i="26"/>
  <c r="AR156" i="26"/>
  <c r="V399" i="26"/>
  <c r="AJ343" i="26"/>
  <c r="AK343" i="26" s="1"/>
  <c r="B272" i="44"/>
  <c r="M272" i="44"/>
  <c r="M273" i="44"/>
  <c r="O275" i="44"/>
  <c r="O276" i="44"/>
  <c r="M277" i="44"/>
  <c r="X372" i="26"/>
  <c r="AM404" i="26"/>
  <c r="O280" i="44"/>
  <c r="P157" i="125"/>
  <c r="E21" i="5"/>
  <c r="E28" i="5"/>
  <c r="D38" i="5"/>
  <c r="H19" i="28"/>
  <c r="L19" i="28" s="1"/>
  <c r="I23" i="28"/>
  <c r="I31" i="28"/>
  <c r="I32" i="28"/>
  <c r="I37" i="28"/>
  <c r="H48" i="28"/>
  <c r="E148" i="42"/>
  <c r="L149" i="27"/>
  <c r="G148" i="42"/>
  <c r="J148" i="42"/>
  <c r="E150" i="42"/>
  <c r="G150" i="42"/>
  <c r="E154" i="42"/>
  <c r="G154" i="42"/>
  <c r="J154" i="42"/>
  <c r="Y313" i="27"/>
  <c r="E84" i="44"/>
  <c r="G84" i="44"/>
  <c r="E85" i="44"/>
  <c r="G85" i="44"/>
  <c r="G49" i="125"/>
  <c r="G101" i="125"/>
  <c r="G143" i="125"/>
  <c r="E31" i="183"/>
  <c r="AU67" i="201"/>
  <c r="AQ156" i="27"/>
  <c r="H149" i="27"/>
  <c r="X149" i="27"/>
  <c r="AR149" i="27"/>
  <c r="H150" i="27"/>
  <c r="X150" i="27"/>
  <c r="H153" i="27"/>
  <c r="X153" i="27"/>
  <c r="H154" i="27"/>
  <c r="X154" i="27"/>
  <c r="X155" i="27"/>
  <c r="K154" i="42"/>
  <c r="AN21" i="26"/>
  <c r="AR86" i="26"/>
  <c r="AR87" i="26"/>
  <c r="AR88" i="26"/>
  <c r="AR89" i="26"/>
  <c r="L90" i="26"/>
  <c r="AR90" i="26"/>
  <c r="L91" i="26"/>
  <c r="AR91" i="26"/>
  <c r="L92" i="26"/>
  <c r="AR92" i="26"/>
  <c r="L93" i="26"/>
  <c r="AF212" i="26"/>
  <c r="BD212" i="26" s="1"/>
  <c r="P213" i="26"/>
  <c r="AF213" i="26"/>
  <c r="BD213" i="26" s="1"/>
  <c r="P217" i="26"/>
  <c r="AF217" i="26"/>
  <c r="BD217" i="26" s="1"/>
  <c r="AV217" i="26"/>
  <c r="L369" i="26"/>
  <c r="D92" i="35"/>
  <c r="O136" i="125"/>
  <c r="O369" i="183"/>
  <c r="E242" i="182"/>
  <c r="I104" i="28"/>
  <c r="X86" i="27"/>
  <c r="H90" i="27"/>
  <c r="K148" i="42"/>
  <c r="AB149" i="27"/>
  <c r="I154" i="42"/>
  <c r="AB21" i="26"/>
  <c r="I305" i="27"/>
  <c r="P140" i="125"/>
  <c r="G46" i="125"/>
  <c r="P46" i="125" s="1"/>
  <c r="E68" i="35"/>
  <c r="H9" i="28"/>
  <c r="I52" i="28"/>
  <c r="I64" i="28"/>
  <c r="H71" i="28"/>
  <c r="I76" i="28"/>
  <c r="I78" i="28"/>
  <c r="H79" i="28"/>
  <c r="J79" i="28" s="1"/>
  <c r="I82" i="28"/>
  <c r="I89" i="28"/>
  <c r="I94" i="28"/>
  <c r="H96" i="28"/>
  <c r="T22" i="27"/>
  <c r="T86" i="27"/>
  <c r="O90" i="42"/>
  <c r="B91" i="42"/>
  <c r="M91" i="42"/>
  <c r="O92" i="42"/>
  <c r="E146" i="42"/>
  <c r="G146" i="42"/>
  <c r="J146" i="42"/>
  <c r="P149" i="27"/>
  <c r="M148" i="42"/>
  <c r="O148" i="42"/>
  <c r="AN149" i="27"/>
  <c r="M154" i="42"/>
  <c r="J21" i="44"/>
  <c r="AJ21" i="26"/>
  <c r="H137" i="125"/>
  <c r="E167" i="182"/>
  <c r="E454" i="182"/>
  <c r="H10" i="28"/>
  <c r="J10" i="28" s="1"/>
  <c r="H44" i="28"/>
  <c r="J44" i="28" s="1"/>
  <c r="I57" i="28"/>
  <c r="H59" i="28"/>
  <c r="J59" i="28" s="1"/>
  <c r="AY92" i="27"/>
  <c r="AF92" i="27"/>
  <c r="BC92" i="27" s="1"/>
  <c r="AV92" i="27"/>
  <c r="AW156" i="27"/>
  <c r="H147" i="27"/>
  <c r="X147" i="27"/>
  <c r="H148" i="27"/>
  <c r="X148" i="27"/>
  <c r="E91" i="35"/>
  <c r="E215" i="183"/>
  <c r="G86" i="44"/>
  <c r="J86" i="44"/>
  <c r="G87" i="44"/>
  <c r="J87" i="44"/>
  <c r="G88" i="44"/>
  <c r="J88" i="44"/>
  <c r="G89" i="44"/>
  <c r="J89" i="44"/>
  <c r="G90" i="44"/>
  <c r="J90" i="44"/>
  <c r="G91" i="44"/>
  <c r="J91" i="44"/>
  <c r="G92" i="44"/>
  <c r="J92" i="44"/>
  <c r="G93" i="44"/>
  <c r="J93" i="44"/>
  <c r="AR93" i="26"/>
  <c r="T153" i="26"/>
  <c r="AJ153" i="26"/>
  <c r="T154" i="26"/>
  <c r="AJ154" i="26"/>
  <c r="T155" i="26"/>
  <c r="AJ155" i="26"/>
  <c r="D213" i="26"/>
  <c r="AH401" i="26"/>
  <c r="AM402" i="26"/>
  <c r="D217" i="26"/>
  <c r="AF343" i="26"/>
  <c r="AG343" i="26" s="1"/>
  <c r="AV343" i="26"/>
  <c r="AW343" i="26" s="1"/>
  <c r="C276" i="44"/>
  <c r="AF369" i="26"/>
  <c r="BF369" i="26" s="1"/>
  <c r="AV369" i="26"/>
  <c r="F12" i="5"/>
  <c r="D40" i="5"/>
  <c r="H57" i="182"/>
  <c r="AQ75" i="201"/>
  <c r="C149" i="42"/>
  <c r="C150" i="42"/>
  <c r="F150" i="42"/>
  <c r="Q150" i="42"/>
  <c r="C152" i="42"/>
  <c r="F152" i="42"/>
  <c r="Q152" i="42"/>
  <c r="D21" i="26"/>
  <c r="L21" i="26"/>
  <c r="X21" i="26"/>
  <c r="AV21" i="26"/>
  <c r="E147" i="44"/>
  <c r="J147" i="44"/>
  <c r="AF149" i="26"/>
  <c r="BD149" i="26" s="1"/>
  <c r="AF218" i="26"/>
  <c r="BD218" i="26" s="1"/>
  <c r="AV372" i="26"/>
  <c r="F32" i="35"/>
  <c r="E74" i="182"/>
  <c r="H255" i="183"/>
  <c r="J150" i="42"/>
  <c r="AF151" i="27"/>
  <c r="BC151" i="27" s="1"/>
  <c r="AV151" i="27"/>
  <c r="L152" i="27"/>
  <c r="AR152" i="27"/>
  <c r="E152" i="42"/>
  <c r="L153" i="27"/>
  <c r="G152" i="42"/>
  <c r="J152" i="42"/>
  <c r="AR153" i="27"/>
  <c r="E153" i="42"/>
  <c r="L154" i="27"/>
  <c r="G153" i="42"/>
  <c r="AR154" i="27"/>
  <c r="P155" i="27"/>
  <c r="AB155" i="27"/>
  <c r="X212" i="27"/>
  <c r="H214" i="27"/>
  <c r="X214" i="27"/>
  <c r="H218" i="27"/>
  <c r="X218" i="27"/>
  <c r="T274" i="27"/>
  <c r="AJ274" i="27"/>
  <c r="M309" i="27"/>
  <c r="AC309" i="27"/>
  <c r="AX281" i="27"/>
  <c r="G313" i="27"/>
  <c r="M313" i="27"/>
  <c r="W313" i="27"/>
  <c r="G314" i="27"/>
  <c r="T282" i="27"/>
  <c r="AJ282" i="27"/>
  <c r="T86" i="26"/>
  <c r="T87" i="26"/>
  <c r="AJ87" i="26"/>
  <c r="T90" i="26"/>
  <c r="T91" i="26"/>
  <c r="T92" i="26"/>
  <c r="AJ92" i="26"/>
  <c r="T93" i="26"/>
  <c r="I273" i="44"/>
  <c r="H369" i="26"/>
  <c r="X369" i="26"/>
  <c r="M12" i="35"/>
  <c r="F27" i="35"/>
  <c r="AV35" i="201"/>
  <c r="AO68" i="201"/>
  <c r="AV57" i="201"/>
  <c r="F56" i="28"/>
  <c r="H40" i="28"/>
  <c r="J40" i="28" s="1"/>
  <c r="I45" i="28"/>
  <c r="I105" i="28"/>
  <c r="H105" i="28"/>
  <c r="J105" i="28" s="1"/>
  <c r="I7" i="28"/>
  <c r="I12" i="28"/>
  <c r="I14" i="28"/>
  <c r="H24" i="28"/>
  <c r="J24" i="28" s="1"/>
  <c r="I26" i="28"/>
  <c r="G56" i="28"/>
  <c r="H43" i="28"/>
  <c r="H47" i="28"/>
  <c r="J47" i="28" s="1"/>
  <c r="I60" i="28"/>
  <c r="I61" i="28"/>
  <c r="B117" i="27"/>
  <c r="B179" i="27" s="1"/>
  <c r="H22" i="27"/>
  <c r="AN22" i="27"/>
  <c r="P24" i="27"/>
  <c r="AY84" i="27"/>
  <c r="F83" i="42"/>
  <c r="Q83" i="42"/>
  <c r="I85" i="42"/>
  <c r="N85" i="42"/>
  <c r="I89" i="42"/>
  <c r="X90" i="27"/>
  <c r="N89" i="42"/>
  <c r="E91" i="42"/>
  <c r="L92" i="27"/>
  <c r="J91" i="42"/>
  <c r="BA93" i="27"/>
  <c r="G92" i="42"/>
  <c r="M156" i="27"/>
  <c r="AC156" i="27"/>
  <c r="O145" i="42"/>
  <c r="B146" i="42"/>
  <c r="M146" i="42"/>
  <c r="O146" i="42"/>
  <c r="L151" i="27"/>
  <c r="I150" i="42"/>
  <c r="K150" i="42"/>
  <c r="N150" i="42"/>
  <c r="AR151" i="27"/>
  <c r="I152" i="42"/>
  <c r="K152" i="42"/>
  <c r="N152" i="42"/>
  <c r="Y305" i="27"/>
  <c r="AO305" i="27"/>
  <c r="C274" i="42"/>
  <c r="F274" i="42"/>
  <c r="F275" i="42"/>
  <c r="AD308" i="27"/>
  <c r="Q275" i="42"/>
  <c r="AT308" i="27"/>
  <c r="C276" i="42"/>
  <c r="I309" i="27"/>
  <c r="Y309" i="27"/>
  <c r="Q276" i="42"/>
  <c r="C277" i="42"/>
  <c r="F277" i="42"/>
  <c r="F278" i="42"/>
  <c r="T279" i="27"/>
  <c r="AJ279" i="27"/>
  <c r="Q278" i="42"/>
  <c r="I313" i="27"/>
  <c r="AO313" i="27"/>
  <c r="I48" i="182"/>
  <c r="G48" i="182"/>
  <c r="J26" i="44"/>
  <c r="H6" i="28"/>
  <c r="J6" i="28" s="1"/>
  <c r="H13" i="28"/>
  <c r="J13" i="28" s="1"/>
  <c r="H25" i="28"/>
  <c r="J25" i="28" s="1"/>
  <c r="H32" i="28"/>
  <c r="J32" i="28" s="1"/>
  <c r="H37" i="28"/>
  <c r="J37" i="28" s="1"/>
  <c r="I41" i="28"/>
  <c r="H52" i="28"/>
  <c r="H54" i="28"/>
  <c r="J54" i="28" s="1"/>
  <c r="I55" i="28"/>
  <c r="H67" i="28"/>
  <c r="J67" i="28" s="1"/>
  <c r="I80" i="28"/>
  <c r="D22" i="27"/>
  <c r="AB24" i="27"/>
  <c r="E83" i="42"/>
  <c r="J94" i="27"/>
  <c r="U94" i="27"/>
  <c r="J83" i="42"/>
  <c r="AP94" i="27"/>
  <c r="AV84" i="27"/>
  <c r="M85" i="42"/>
  <c r="AJ86" i="27"/>
  <c r="B89" i="42"/>
  <c r="T90" i="27"/>
  <c r="M89" i="42"/>
  <c r="K90" i="42"/>
  <c r="H92" i="27"/>
  <c r="I91" i="42"/>
  <c r="X92" i="27"/>
  <c r="N91" i="42"/>
  <c r="K92" i="42"/>
  <c r="AF146" i="27"/>
  <c r="BC146" i="27" s="1"/>
  <c r="AV146" i="27"/>
  <c r="C146" i="42"/>
  <c r="F146" i="42"/>
  <c r="AF147" i="27"/>
  <c r="BC147" i="27" s="1"/>
  <c r="Q146" i="42"/>
  <c r="AV147" i="27"/>
  <c r="AF148" i="27"/>
  <c r="BC148" i="27" s="1"/>
  <c r="AV148" i="27"/>
  <c r="B150" i="42"/>
  <c r="H151" i="27"/>
  <c r="X151" i="27"/>
  <c r="M150" i="42"/>
  <c r="O150" i="42"/>
  <c r="BA152" i="27"/>
  <c r="Q109" i="195" s="1"/>
  <c r="T152" i="27"/>
  <c r="M151" i="42"/>
  <c r="AJ152" i="27"/>
  <c r="O151" i="42"/>
  <c r="B152" i="42"/>
  <c r="T153" i="27"/>
  <c r="M152" i="42"/>
  <c r="AJ153" i="27"/>
  <c r="O152" i="42"/>
  <c r="T213" i="27"/>
  <c r="AJ213" i="27"/>
  <c r="AF214" i="27"/>
  <c r="BD214" i="27" s="1"/>
  <c r="AV214" i="27"/>
  <c r="AF216" i="27"/>
  <c r="BD216" i="27" s="1"/>
  <c r="AV216" i="27"/>
  <c r="AF218" i="27"/>
  <c r="BD218" i="27" s="1"/>
  <c r="AV218" i="27"/>
  <c r="U305" i="27"/>
  <c r="AK305" i="27"/>
  <c r="G274" i="42"/>
  <c r="J274" i="42"/>
  <c r="U309" i="27"/>
  <c r="AK309" i="27"/>
  <c r="L278" i="27"/>
  <c r="E278" i="42"/>
  <c r="J278" i="42"/>
  <c r="AF279" i="27"/>
  <c r="BF279" i="27" s="1"/>
  <c r="AV279" i="27"/>
  <c r="U313" i="27"/>
  <c r="AK313" i="27"/>
  <c r="J20" i="44"/>
  <c r="AR343" i="26"/>
  <c r="AS343" i="26" s="1"/>
  <c r="H36" i="28"/>
  <c r="J36" i="28" s="1"/>
  <c r="H39" i="28"/>
  <c r="J39" i="28" s="1"/>
  <c r="I47" i="28"/>
  <c r="I49" i="28"/>
  <c r="I53" i="28"/>
  <c r="G68" i="28"/>
  <c r="G103" i="28"/>
  <c r="H95" i="28"/>
  <c r="J95" i="28" s="1"/>
  <c r="AC30" i="27"/>
  <c r="AB22" i="27"/>
  <c r="AB84" i="27"/>
  <c r="AF86" i="27"/>
  <c r="BC86" i="27" s="1"/>
  <c r="AV86" i="27"/>
  <c r="AY90" i="27"/>
  <c r="AF90" i="27"/>
  <c r="BC90" i="27" s="1"/>
  <c r="AV90" i="27"/>
  <c r="T92" i="27"/>
  <c r="AJ92" i="27"/>
  <c r="U156" i="27"/>
  <c r="AE156" i="27"/>
  <c r="AK156" i="27"/>
  <c r="AU156" i="27"/>
  <c r="L147" i="27"/>
  <c r="AR147" i="27"/>
  <c r="BA148" i="27"/>
  <c r="Q105" i="195" s="1"/>
  <c r="AF150" i="27"/>
  <c r="BC150" i="27" s="1"/>
  <c r="AV150" i="27"/>
  <c r="AF152" i="27"/>
  <c r="BC152" i="27" s="1"/>
  <c r="AV152" i="27"/>
  <c r="AF153" i="27"/>
  <c r="BC153" i="27" s="1"/>
  <c r="AV153" i="27"/>
  <c r="K219" i="27"/>
  <c r="H211" i="27"/>
  <c r="L211" i="27"/>
  <c r="P211" i="27"/>
  <c r="T211" i="27"/>
  <c r="X211" i="27"/>
  <c r="AB211" i="27"/>
  <c r="AF211" i="27"/>
  <c r="BD211" i="27" s="1"/>
  <c r="L212" i="27"/>
  <c r="L214" i="27"/>
  <c r="L216" i="27"/>
  <c r="H274" i="27"/>
  <c r="X274" i="27"/>
  <c r="K273" i="42"/>
  <c r="N273" i="42"/>
  <c r="K274" i="42"/>
  <c r="N274" i="42"/>
  <c r="AG309" i="27"/>
  <c r="BF309" i="27" s="1"/>
  <c r="AW309" i="27"/>
  <c r="X278" i="27"/>
  <c r="I278" i="42"/>
  <c r="N278" i="42"/>
  <c r="N276" i="44"/>
  <c r="AN369" i="26"/>
  <c r="W314" i="27"/>
  <c r="O281" i="42"/>
  <c r="D20" i="26"/>
  <c r="T20" i="26"/>
  <c r="AB24" i="26"/>
  <c r="M85" i="44"/>
  <c r="O85" i="44"/>
  <c r="H149" i="26"/>
  <c r="X149" i="26"/>
  <c r="H150" i="26"/>
  <c r="X150" i="26"/>
  <c r="H151" i="26"/>
  <c r="X151" i="26"/>
  <c r="H152" i="26"/>
  <c r="X152" i="26"/>
  <c r="B155" i="44"/>
  <c r="H157" i="26"/>
  <c r="X157" i="26"/>
  <c r="M155" i="44"/>
  <c r="M210" i="44"/>
  <c r="H214" i="26"/>
  <c r="X214" i="26"/>
  <c r="M211" i="44"/>
  <c r="M212" i="44"/>
  <c r="M213" i="44"/>
  <c r="M214" i="44"/>
  <c r="AJ217" i="26"/>
  <c r="AH375" i="26"/>
  <c r="B276" i="44"/>
  <c r="D369" i="26"/>
  <c r="B279" i="44"/>
  <c r="B404" i="26"/>
  <c r="T372" i="26"/>
  <c r="R404" i="26"/>
  <c r="AH404" i="26"/>
  <c r="W405" i="26"/>
  <c r="K28" i="35"/>
  <c r="S28" i="35" s="1"/>
  <c r="F29" i="35"/>
  <c r="AJ86" i="26"/>
  <c r="T88" i="26"/>
  <c r="AJ88" i="26"/>
  <c r="T89" i="26"/>
  <c r="AJ89" i="26"/>
  <c r="AJ90" i="26"/>
  <c r="AJ91" i="26"/>
  <c r="AJ93" i="26"/>
  <c r="F151" i="44"/>
  <c r="Q151" i="44"/>
  <c r="AY154" i="26"/>
  <c r="F152" i="44"/>
  <c r="Q152" i="44"/>
  <c r="F153" i="44"/>
  <c r="Q153" i="44"/>
  <c r="F154" i="44"/>
  <c r="T156" i="26"/>
  <c r="AJ156" i="26"/>
  <c r="Q154" i="44"/>
  <c r="AV212" i="26"/>
  <c r="AV213" i="26"/>
  <c r="P218" i="26"/>
  <c r="AV218" i="26"/>
  <c r="AJ340" i="26"/>
  <c r="AK340" i="26" s="1"/>
  <c r="AF341" i="26"/>
  <c r="AG341" i="26" s="1"/>
  <c r="AV341" i="26"/>
  <c r="AW341" i="26" s="1"/>
  <c r="F276" i="44"/>
  <c r="P369" i="26"/>
  <c r="E43" i="183"/>
  <c r="L43" i="183" s="1"/>
  <c r="H45" i="182"/>
  <c r="H43" i="183" s="1"/>
  <c r="G45" i="182"/>
  <c r="G43" i="183" s="1"/>
  <c r="J51" i="182"/>
  <c r="I51" i="182"/>
  <c r="O372" i="183"/>
  <c r="L282" i="27"/>
  <c r="E148" i="44"/>
  <c r="J148" i="44"/>
  <c r="AF150" i="26"/>
  <c r="BD150" i="26" s="1"/>
  <c r="E149" i="44"/>
  <c r="J149" i="44"/>
  <c r="AF151" i="26"/>
  <c r="BD151" i="26" s="1"/>
  <c r="E150" i="44"/>
  <c r="J150" i="44"/>
  <c r="AF152" i="26"/>
  <c r="BD152" i="26" s="1"/>
  <c r="AV152" i="26"/>
  <c r="BA213" i="26"/>
  <c r="AF214" i="26"/>
  <c r="BD214" i="26" s="1"/>
  <c r="L215" i="26"/>
  <c r="L216" i="26"/>
  <c r="L217" i="26"/>
  <c r="AB217" i="26"/>
  <c r="AB218" i="26"/>
  <c r="L220" i="26"/>
  <c r="AJ335" i="26"/>
  <c r="AK335" i="26" s="1"/>
  <c r="AF338" i="26"/>
  <c r="AG338" i="26" s="1"/>
  <c r="AV338" i="26"/>
  <c r="AW338" i="26" s="1"/>
  <c r="AN339" i="26"/>
  <c r="AO339" i="26" s="1"/>
  <c r="AF340" i="26"/>
  <c r="AG340" i="26" s="1"/>
  <c r="AV340" i="26"/>
  <c r="AW340" i="26" s="1"/>
  <c r="AJ342" i="26"/>
  <c r="AK342" i="26" s="1"/>
  <c r="J276" i="44"/>
  <c r="AB369" i="26"/>
  <c r="I97" i="6"/>
  <c r="AR369" i="26"/>
  <c r="K30" i="35"/>
  <c r="L25" i="5"/>
  <c r="D52" i="136"/>
  <c r="I52" i="136" s="1"/>
  <c r="C16" i="136"/>
  <c r="G16" i="136" s="1"/>
  <c r="J16" i="136" s="1"/>
  <c r="H33" i="125"/>
  <c r="D83" i="35"/>
  <c r="O364" i="183"/>
  <c r="AV40" i="201"/>
  <c r="AO73" i="201"/>
  <c r="AY365" i="26"/>
  <c r="F272" i="44"/>
  <c r="Q272" i="44"/>
  <c r="C275" i="44"/>
  <c r="Q277" i="44"/>
  <c r="BA371" i="26"/>
  <c r="F279" i="44"/>
  <c r="AD404" i="26"/>
  <c r="AT404" i="26"/>
  <c r="AY373" i="26"/>
  <c r="Y406" i="26"/>
  <c r="D39" i="5"/>
  <c r="F57" i="136"/>
  <c r="G57" i="182"/>
  <c r="E242" i="183"/>
  <c r="AV41" i="201"/>
  <c r="E275" i="44"/>
  <c r="G275" i="44"/>
  <c r="U402" i="26"/>
  <c r="L371" i="26"/>
  <c r="AK403" i="26"/>
  <c r="L372" i="26"/>
  <c r="G279" i="44"/>
  <c r="J279" i="44"/>
  <c r="AF372" i="26"/>
  <c r="BF372" i="26" s="1"/>
  <c r="L373" i="26"/>
  <c r="I13" i="5"/>
  <c r="L29" i="5"/>
  <c r="I40" i="5"/>
  <c r="D56" i="136"/>
  <c r="I56" i="136" s="1"/>
  <c r="E144" i="182"/>
  <c r="E236" i="182"/>
  <c r="E329" i="182"/>
  <c r="AQ68" i="201"/>
  <c r="AY70" i="201"/>
  <c r="AU70" i="201"/>
  <c r="AY75" i="201"/>
  <c r="DS431" i="167"/>
  <c r="DW431" i="167"/>
  <c r="EA431" i="167"/>
  <c r="DV446" i="167"/>
  <c r="DZ446" i="167"/>
  <c r="AG399" i="26"/>
  <c r="BE399" i="26" s="1"/>
  <c r="H373" i="26"/>
  <c r="X373" i="26"/>
  <c r="K406" i="26"/>
  <c r="F8" i="35"/>
  <c r="F31" i="35"/>
  <c r="E269" i="182"/>
  <c r="E473" i="182"/>
  <c r="P370" i="183"/>
  <c r="AZ35" i="201"/>
  <c r="AY68" i="201"/>
  <c r="I11" i="28"/>
  <c r="H14" i="28"/>
  <c r="I44" i="28"/>
  <c r="H46" i="28"/>
  <c r="J46" i="28" s="1"/>
  <c r="I62" i="28"/>
  <c r="I63" i="28"/>
  <c r="F85" i="28"/>
  <c r="H80" i="28"/>
  <c r="J80" i="28" s="1"/>
  <c r="I88" i="28"/>
  <c r="H101" i="28"/>
  <c r="J101" i="28" s="1"/>
  <c r="I27" i="42"/>
  <c r="M29" i="42"/>
  <c r="C54" i="27"/>
  <c r="D54" i="27" s="1"/>
  <c r="B55" i="27"/>
  <c r="B118" i="27" s="1"/>
  <c r="C56" i="27"/>
  <c r="C60" i="27"/>
  <c r="H5" i="28"/>
  <c r="I6" i="28"/>
  <c r="I15" i="28"/>
  <c r="H20" i="28"/>
  <c r="J20" i="28" s="1"/>
  <c r="I35" i="28"/>
  <c r="I36" i="28"/>
  <c r="I40" i="28"/>
  <c r="H42" i="28"/>
  <c r="J42" i="28" s="1"/>
  <c r="I51" i="28"/>
  <c r="H55" i="28"/>
  <c r="J55" i="28" s="1"/>
  <c r="H64" i="28"/>
  <c r="J64" i="28" s="1"/>
  <c r="I69" i="28"/>
  <c r="I70" i="28"/>
  <c r="I71" i="28"/>
  <c r="H94" i="28"/>
  <c r="F103" i="28"/>
  <c r="D20" i="27"/>
  <c r="L20" i="27"/>
  <c r="P20" i="27"/>
  <c r="T20" i="27"/>
  <c r="X20" i="27"/>
  <c r="AB20" i="27"/>
  <c r="AF20" i="27"/>
  <c r="AY20" i="27" s="1"/>
  <c r="AJ20" i="27"/>
  <c r="AN20" i="27"/>
  <c r="AR20" i="27"/>
  <c r="AV20" i="27"/>
  <c r="H24" i="27"/>
  <c r="L24" i="27"/>
  <c r="T24" i="27"/>
  <c r="X24" i="27"/>
  <c r="AF24" i="27"/>
  <c r="AY24" i="27" s="1"/>
  <c r="AJ24" i="27"/>
  <c r="AN24" i="27"/>
  <c r="AR24" i="27"/>
  <c r="AV24" i="27"/>
  <c r="M27" i="42"/>
  <c r="B28" i="42"/>
  <c r="F28" i="42"/>
  <c r="J28" i="42"/>
  <c r="N28" i="42"/>
  <c r="AR29" i="27"/>
  <c r="Q29" i="42"/>
  <c r="I8" i="28"/>
  <c r="I10" i="28"/>
  <c r="I25" i="28"/>
  <c r="I58" i="28"/>
  <c r="I59" i="28"/>
  <c r="I66" i="28"/>
  <c r="I67" i="28"/>
  <c r="H72" i="28"/>
  <c r="I74" i="28"/>
  <c r="I100" i="28"/>
  <c r="AS30" i="27"/>
  <c r="AR27" i="27"/>
  <c r="Q27" i="42"/>
  <c r="G28" i="42"/>
  <c r="K28" i="42"/>
  <c r="O28" i="42"/>
  <c r="E29" i="42"/>
  <c r="H22" i="28"/>
  <c r="J22" i="28" s="1"/>
  <c r="H23" i="28"/>
  <c r="H33" i="28"/>
  <c r="J33" i="28" s="1"/>
  <c r="I34" i="28"/>
  <c r="H35" i="28"/>
  <c r="I43" i="28"/>
  <c r="I48" i="28"/>
  <c r="H50" i="28"/>
  <c r="J50" i="28" s="1"/>
  <c r="H60" i="28"/>
  <c r="J60" i="28" s="1"/>
  <c r="E68" i="28"/>
  <c r="I79" i="28"/>
  <c r="F92" i="28"/>
  <c r="I96" i="28"/>
  <c r="AR21" i="27"/>
  <c r="L22" i="27"/>
  <c r="P22" i="27"/>
  <c r="X22" i="27"/>
  <c r="AF22" i="27"/>
  <c r="AY22" i="27" s="1"/>
  <c r="AJ22" i="27"/>
  <c r="AR22" i="27"/>
  <c r="AV22" i="27"/>
  <c r="AR25" i="27"/>
  <c r="O26" i="42"/>
  <c r="E27" i="42"/>
  <c r="H28" i="27"/>
  <c r="L28" i="27"/>
  <c r="P28" i="27"/>
  <c r="X28" i="27"/>
  <c r="AB28" i="27"/>
  <c r="AF28" i="27"/>
  <c r="AY28" i="27" s="1"/>
  <c r="AJ28" i="27"/>
  <c r="AN28" i="27"/>
  <c r="AR28" i="27"/>
  <c r="AV28" i="27"/>
  <c r="I29" i="42"/>
  <c r="BA85" i="27"/>
  <c r="O94" i="27"/>
  <c r="AU94" i="27"/>
  <c r="B119" i="27"/>
  <c r="B181" i="27" s="1"/>
  <c r="C145" i="42"/>
  <c r="T148" i="27"/>
  <c r="M147" i="42"/>
  <c r="AJ148" i="27"/>
  <c r="O147" i="42"/>
  <c r="E149" i="42"/>
  <c r="L150" i="27"/>
  <c r="G149" i="42"/>
  <c r="AR150" i="27"/>
  <c r="P151" i="27"/>
  <c r="AB151" i="27"/>
  <c r="AN151" i="27"/>
  <c r="C151" i="42"/>
  <c r="I153" i="42"/>
  <c r="K153" i="42"/>
  <c r="I4" i="134"/>
  <c r="AQ219" i="27"/>
  <c r="AR212" i="27"/>
  <c r="I307" i="27"/>
  <c r="Y307" i="27"/>
  <c r="Q274" i="42"/>
  <c r="S309" i="27"/>
  <c r="AI309" i="27"/>
  <c r="S310" i="27"/>
  <c r="AI310" i="27"/>
  <c r="C278" i="42"/>
  <c r="D279" i="27"/>
  <c r="D84" i="27"/>
  <c r="H84" i="27"/>
  <c r="L84" i="27"/>
  <c r="T84" i="27"/>
  <c r="X84" i="27"/>
  <c r="AF84" i="27"/>
  <c r="BC84" i="27" s="1"/>
  <c r="AJ84" i="27"/>
  <c r="AN84" i="27"/>
  <c r="AR84" i="27"/>
  <c r="C84" i="42"/>
  <c r="K86" i="42"/>
  <c r="G88" i="42"/>
  <c r="W94" i="27"/>
  <c r="E145" i="42"/>
  <c r="L146" i="27"/>
  <c r="G145" i="42"/>
  <c r="AR146" i="27"/>
  <c r="P147" i="27"/>
  <c r="AB147" i="27"/>
  <c r="AN147" i="27"/>
  <c r="C147" i="42"/>
  <c r="I149" i="42"/>
  <c r="K149" i="42"/>
  <c r="G151" i="42"/>
  <c r="T154" i="27"/>
  <c r="AJ154" i="27"/>
  <c r="O153" i="42"/>
  <c r="AY155" i="27"/>
  <c r="M208" i="42"/>
  <c r="AS219" i="27"/>
  <c r="K4" i="134"/>
  <c r="Q4" i="134" s="1"/>
  <c r="M210" i="42"/>
  <c r="H212" i="27"/>
  <c r="Q305" i="27"/>
  <c r="AG305" i="27"/>
  <c r="BF305" i="27" s="1"/>
  <c r="AW305" i="27"/>
  <c r="E274" i="42"/>
  <c r="U307" i="27"/>
  <c r="AK307" i="27"/>
  <c r="G278" i="42"/>
  <c r="P279" i="27"/>
  <c r="AS94" i="27"/>
  <c r="G84" i="42"/>
  <c r="C94" i="27"/>
  <c r="AA94" i="27"/>
  <c r="O86" i="42"/>
  <c r="K88" i="42"/>
  <c r="D90" i="27"/>
  <c r="P90" i="27"/>
  <c r="AB90" i="27"/>
  <c r="AJ90" i="27"/>
  <c r="AN90" i="27"/>
  <c r="AR90" i="27"/>
  <c r="C90" i="42"/>
  <c r="AE94" i="27"/>
  <c r="B121" i="27"/>
  <c r="B183" i="27" s="1"/>
  <c r="L148" i="27"/>
  <c r="G147" i="42"/>
  <c r="AR148" i="27"/>
  <c r="T150" i="27"/>
  <c r="AJ150" i="27"/>
  <c r="O149" i="42"/>
  <c r="AY151" i="27"/>
  <c r="H152" i="27"/>
  <c r="X152" i="27"/>
  <c r="K151" i="42"/>
  <c r="P153" i="27"/>
  <c r="AB153" i="27"/>
  <c r="AN153" i="27"/>
  <c r="C153" i="42"/>
  <c r="AF154" i="27"/>
  <c r="BC154" i="27" s="1"/>
  <c r="AV154" i="27"/>
  <c r="E156" i="27"/>
  <c r="M214" i="42"/>
  <c r="AS312" i="27"/>
  <c r="I13" i="134"/>
  <c r="M305" i="27"/>
  <c r="M272" i="42"/>
  <c r="AC305" i="27"/>
  <c r="L4" i="6"/>
  <c r="Q4" i="6" s="1"/>
  <c r="AS305" i="27"/>
  <c r="K306" i="27"/>
  <c r="AQ306" i="27"/>
  <c r="I274" i="42"/>
  <c r="AG307" i="27"/>
  <c r="BF307" i="27" s="1"/>
  <c r="AW307" i="27"/>
  <c r="K278" i="42"/>
  <c r="AB279" i="27"/>
  <c r="J10" i="6"/>
  <c r="O10" i="6" s="1"/>
  <c r="AR279" i="27"/>
  <c r="Q313" i="27"/>
  <c r="AG313" i="27"/>
  <c r="BF313" i="27" s="1"/>
  <c r="AW313" i="27"/>
  <c r="R94" i="27"/>
  <c r="AH94" i="27"/>
  <c r="K84" i="42"/>
  <c r="D86" i="27"/>
  <c r="P86" i="27"/>
  <c r="AB86" i="27"/>
  <c r="AN86" i="27"/>
  <c r="C86" i="42"/>
  <c r="O88" i="42"/>
  <c r="BA91" i="27"/>
  <c r="G90" i="42"/>
  <c r="D92" i="27"/>
  <c r="P92" i="27"/>
  <c r="AB92" i="27"/>
  <c r="C92" i="42"/>
  <c r="G94" i="27"/>
  <c r="AY147" i="27"/>
  <c r="AS156" i="27"/>
  <c r="M307" i="27"/>
  <c r="AS307" i="27"/>
  <c r="O278" i="42"/>
  <c r="AN279" i="27"/>
  <c r="R312" i="27"/>
  <c r="AH312" i="27"/>
  <c r="M280" i="42"/>
  <c r="AC313" i="27"/>
  <c r="L12" i="6"/>
  <c r="Q12" i="6" s="1"/>
  <c r="AS313" i="27"/>
  <c r="AO309" i="27"/>
  <c r="Q27" i="44"/>
  <c r="I37" i="5"/>
  <c r="H61" i="125"/>
  <c r="E85" i="35"/>
  <c r="AR214" i="27"/>
  <c r="H9" i="134"/>
  <c r="U9" i="134" s="1"/>
  <c r="T215" i="27"/>
  <c r="AJ215" i="27"/>
  <c r="M216" i="42"/>
  <c r="C272" i="42"/>
  <c r="Q272" i="42"/>
  <c r="B273" i="42"/>
  <c r="G306" i="27"/>
  <c r="W306" i="27"/>
  <c r="O273" i="42"/>
  <c r="F307" i="27"/>
  <c r="J307" i="27"/>
  <c r="R307" i="27"/>
  <c r="V307" i="27"/>
  <c r="AD307" i="27"/>
  <c r="AH307" i="27"/>
  <c r="AP307" i="27"/>
  <c r="AT307" i="27"/>
  <c r="E275" i="42"/>
  <c r="J308" i="27"/>
  <c r="J275" i="42"/>
  <c r="AP308" i="27"/>
  <c r="I7" i="6"/>
  <c r="N7" i="6" s="1"/>
  <c r="E276" i="42"/>
  <c r="G276" i="42"/>
  <c r="G277" i="42"/>
  <c r="U310" i="27"/>
  <c r="J277" i="42"/>
  <c r="AE310" i="27"/>
  <c r="AK310" i="27"/>
  <c r="AR278" i="27"/>
  <c r="I9" i="6"/>
  <c r="AU310" i="27"/>
  <c r="F279" i="42"/>
  <c r="AD312" i="27"/>
  <c r="Q279" i="42"/>
  <c r="AT312" i="27"/>
  <c r="C280" i="42"/>
  <c r="Q280" i="42"/>
  <c r="C281" i="42"/>
  <c r="F281" i="42"/>
  <c r="S314" i="27"/>
  <c r="AI314" i="27"/>
  <c r="AS309" i="27"/>
  <c r="P20" i="26"/>
  <c r="AF20" i="26"/>
  <c r="AY20" i="26" s="1"/>
  <c r="AR20" i="26"/>
  <c r="Z30" i="26"/>
  <c r="AR23" i="26"/>
  <c r="H24" i="26"/>
  <c r="H27" i="26"/>
  <c r="H28" i="26"/>
  <c r="G28" i="44"/>
  <c r="B30" i="26"/>
  <c r="AS221" i="26"/>
  <c r="Z403" i="26"/>
  <c r="J280" i="44"/>
  <c r="AB373" i="26"/>
  <c r="I101" i="6"/>
  <c r="N101" i="6" s="1"/>
  <c r="AR373" i="26"/>
  <c r="C10" i="136"/>
  <c r="G10" i="136" s="1"/>
  <c r="J10" i="136" s="1"/>
  <c r="F68" i="35"/>
  <c r="G28" i="125"/>
  <c r="K25" i="5"/>
  <c r="G47" i="125"/>
  <c r="E69" i="35"/>
  <c r="AD219" i="27"/>
  <c r="BF219" i="27" s="1"/>
  <c r="AT219" i="27"/>
  <c r="AS308" i="27"/>
  <c r="K7" i="134"/>
  <c r="AR216" i="27"/>
  <c r="H11" i="134"/>
  <c r="T217" i="27"/>
  <c r="AJ217" i="27"/>
  <c r="E272" i="42"/>
  <c r="G272" i="42"/>
  <c r="C273" i="42"/>
  <c r="F273" i="42"/>
  <c r="S306" i="27"/>
  <c r="AI306" i="27"/>
  <c r="G307" i="27"/>
  <c r="K307" i="27"/>
  <c r="S307" i="27"/>
  <c r="W307" i="27"/>
  <c r="AE307" i="27"/>
  <c r="AI307" i="27"/>
  <c r="AQ307" i="27"/>
  <c r="J6" i="6"/>
  <c r="O6" i="6" s="1"/>
  <c r="F308" i="27"/>
  <c r="I275" i="42"/>
  <c r="V308" i="27"/>
  <c r="N275" i="42"/>
  <c r="K309" i="27"/>
  <c r="I276" i="42"/>
  <c r="K276" i="42"/>
  <c r="AQ309" i="27"/>
  <c r="H278" i="27"/>
  <c r="K310" i="27"/>
  <c r="K277" i="42"/>
  <c r="N277" i="42"/>
  <c r="AQ310" i="27"/>
  <c r="J9" i="6"/>
  <c r="O9" i="6" s="1"/>
  <c r="I311" i="27"/>
  <c r="M311" i="27"/>
  <c r="U311" i="27"/>
  <c r="Y311" i="27"/>
  <c r="AG311" i="27"/>
  <c r="BF311" i="27" s="1"/>
  <c r="AK311" i="27"/>
  <c r="AS311" i="27"/>
  <c r="AW311" i="27"/>
  <c r="E279" i="42"/>
  <c r="J312" i="27"/>
  <c r="J279" i="42"/>
  <c r="AP312" i="27"/>
  <c r="I11" i="6"/>
  <c r="N11" i="6" s="1"/>
  <c r="E280" i="42"/>
  <c r="G280" i="42"/>
  <c r="G281" i="42"/>
  <c r="J281" i="42"/>
  <c r="AE314" i="27"/>
  <c r="AR282" i="27"/>
  <c r="AU314" i="27"/>
  <c r="Q309" i="27"/>
  <c r="AB20" i="26"/>
  <c r="F30" i="26"/>
  <c r="AB23" i="26"/>
  <c r="D24" i="26"/>
  <c r="T24" i="26"/>
  <c r="D25" i="26"/>
  <c r="H25" i="26"/>
  <c r="L25" i="26"/>
  <c r="P25" i="26"/>
  <c r="T25" i="26"/>
  <c r="X25" i="26"/>
  <c r="AB25" i="26"/>
  <c r="AF25" i="26"/>
  <c r="AY25" i="26" s="1"/>
  <c r="AJ25" i="26"/>
  <c r="AN25" i="26"/>
  <c r="AR25" i="26"/>
  <c r="AV25" i="26"/>
  <c r="AR26" i="26"/>
  <c r="N28" i="44"/>
  <c r="I29" i="44"/>
  <c r="C52" i="26"/>
  <c r="D52" i="26" s="1"/>
  <c r="M84" i="44"/>
  <c r="O84" i="44"/>
  <c r="AO221" i="26"/>
  <c r="F400" i="26"/>
  <c r="H368" i="26"/>
  <c r="V400" i="26"/>
  <c r="X368" i="26"/>
  <c r="N275" i="44"/>
  <c r="AN368" i="26"/>
  <c r="J219" i="27"/>
  <c r="AP219" i="27"/>
  <c r="AJ211" i="27"/>
  <c r="AF212" i="27"/>
  <c r="BD212" i="27" s="1"/>
  <c r="AV212" i="27"/>
  <c r="M212" i="42"/>
  <c r="H216" i="27"/>
  <c r="X216" i="27"/>
  <c r="L218" i="27"/>
  <c r="AR218" i="27"/>
  <c r="I272" i="42"/>
  <c r="K272" i="42"/>
  <c r="L274" i="27"/>
  <c r="G273" i="42"/>
  <c r="J273" i="42"/>
  <c r="AE306" i="27"/>
  <c r="AR274" i="27"/>
  <c r="AU306" i="27"/>
  <c r="D275" i="27"/>
  <c r="H275" i="27"/>
  <c r="L275" i="27"/>
  <c r="P275" i="27"/>
  <c r="T275" i="27"/>
  <c r="X275" i="27"/>
  <c r="AB275" i="27"/>
  <c r="AF275" i="27"/>
  <c r="BF275" i="27" s="1"/>
  <c r="AJ275" i="27"/>
  <c r="AN275" i="27"/>
  <c r="AR275" i="27"/>
  <c r="AV275" i="27"/>
  <c r="B275" i="42"/>
  <c r="R308" i="27"/>
  <c r="M275" i="42"/>
  <c r="AH308" i="27"/>
  <c r="M276" i="42"/>
  <c r="O276" i="42"/>
  <c r="B277" i="42"/>
  <c r="G310" i="27"/>
  <c r="M310" i="27"/>
  <c r="T278" i="27"/>
  <c r="W310" i="27"/>
  <c r="AJ278" i="27"/>
  <c r="O277" i="42"/>
  <c r="AS310" i="27"/>
  <c r="L9" i="6"/>
  <c r="Q9" i="6" s="1"/>
  <c r="F311" i="27"/>
  <c r="J311" i="27"/>
  <c r="R311" i="27"/>
  <c r="V311" i="27"/>
  <c r="AD311" i="27"/>
  <c r="AH311" i="27"/>
  <c r="AP311" i="27"/>
  <c r="I10" i="6"/>
  <c r="AT311" i="27"/>
  <c r="F312" i="27"/>
  <c r="I279" i="42"/>
  <c r="V312" i="27"/>
  <c r="N279" i="42"/>
  <c r="K313" i="27"/>
  <c r="I280" i="42"/>
  <c r="K280" i="42"/>
  <c r="AQ313" i="27"/>
  <c r="H282" i="27"/>
  <c r="K314" i="27"/>
  <c r="X282" i="27"/>
  <c r="K281" i="42"/>
  <c r="N281" i="42"/>
  <c r="AQ314" i="27"/>
  <c r="J13" i="6"/>
  <c r="O13" i="6" s="1"/>
  <c r="E305" i="27"/>
  <c r="E309" i="27"/>
  <c r="E313" i="27"/>
  <c r="H20" i="26"/>
  <c r="AS30" i="26"/>
  <c r="P24" i="26"/>
  <c r="AF24" i="26"/>
  <c r="AY24" i="26" s="1"/>
  <c r="AR24" i="26"/>
  <c r="P27" i="26"/>
  <c r="AF27" i="26"/>
  <c r="AY27" i="26" s="1"/>
  <c r="AR27" i="26"/>
  <c r="P28" i="26"/>
  <c r="AF28" i="26"/>
  <c r="AY28" i="26" s="1"/>
  <c r="AR28" i="26"/>
  <c r="AR29" i="26"/>
  <c r="O29" i="44"/>
  <c r="C56" i="26"/>
  <c r="D56" i="26" s="1"/>
  <c r="AW158" i="26"/>
  <c r="L213" i="26"/>
  <c r="AB213" i="26"/>
  <c r="I10" i="9"/>
  <c r="O10" i="9" s="1"/>
  <c r="AR217" i="26"/>
  <c r="C84" i="44"/>
  <c r="Q84" i="44"/>
  <c r="C85" i="44"/>
  <c r="Q85" i="44"/>
  <c r="X86" i="26"/>
  <c r="K86" i="44"/>
  <c r="AG94" i="26"/>
  <c r="BE94" i="26" s="1"/>
  <c r="N86" i="44"/>
  <c r="I87" i="44"/>
  <c r="X87" i="26"/>
  <c r="K87" i="44"/>
  <c r="N87" i="44"/>
  <c r="X88" i="26"/>
  <c r="K88" i="44"/>
  <c r="N88" i="44"/>
  <c r="I89" i="44"/>
  <c r="X89" i="26"/>
  <c r="K89" i="44"/>
  <c r="N89" i="44"/>
  <c r="H90" i="26"/>
  <c r="X90" i="26"/>
  <c r="K90" i="44"/>
  <c r="N90" i="44"/>
  <c r="H91" i="26"/>
  <c r="I91" i="44"/>
  <c r="X91" i="26"/>
  <c r="K91" i="44"/>
  <c r="N91" i="44"/>
  <c r="H92" i="26"/>
  <c r="X92" i="26"/>
  <c r="K92" i="44"/>
  <c r="N92" i="44"/>
  <c r="H93" i="26"/>
  <c r="I93" i="44"/>
  <c r="X93" i="26"/>
  <c r="K93" i="44"/>
  <c r="N93" i="44"/>
  <c r="B146" i="44"/>
  <c r="H148" i="26"/>
  <c r="M158" i="26"/>
  <c r="R158" i="26"/>
  <c r="X148" i="26"/>
  <c r="M146" i="44"/>
  <c r="AH158" i="26"/>
  <c r="AM158" i="26"/>
  <c r="AS158" i="26"/>
  <c r="I103" i="196"/>
  <c r="L149" i="26"/>
  <c r="I147" i="44"/>
  <c r="N147" i="44"/>
  <c r="AR149" i="26"/>
  <c r="I148" i="44"/>
  <c r="N148" i="44"/>
  <c r="L151" i="26"/>
  <c r="I149" i="44"/>
  <c r="N149" i="44"/>
  <c r="AR151" i="26"/>
  <c r="L152" i="26"/>
  <c r="I150" i="44"/>
  <c r="N150" i="44"/>
  <c r="AR152" i="26"/>
  <c r="E151" i="44"/>
  <c r="J151" i="44"/>
  <c r="AF153" i="26"/>
  <c r="BD153" i="26" s="1"/>
  <c r="E152" i="44"/>
  <c r="J152" i="44"/>
  <c r="AF154" i="26"/>
  <c r="BD154" i="26" s="1"/>
  <c r="E153" i="44"/>
  <c r="J153" i="44"/>
  <c r="AF155" i="26"/>
  <c r="BD155" i="26" s="1"/>
  <c r="E154" i="44"/>
  <c r="J154" i="44"/>
  <c r="AF156" i="26"/>
  <c r="BD156" i="26" s="1"/>
  <c r="F155" i="44"/>
  <c r="T157" i="26"/>
  <c r="AJ157" i="26"/>
  <c r="Q155" i="44"/>
  <c r="U221" i="26"/>
  <c r="E221" i="26"/>
  <c r="L212" i="26"/>
  <c r="AR212" i="26"/>
  <c r="X213" i="26"/>
  <c r="AR213" i="26"/>
  <c r="L8" i="9"/>
  <c r="R8" i="9" s="1"/>
  <c r="AF216" i="26"/>
  <c r="BD216" i="26" s="1"/>
  <c r="AV216" i="26"/>
  <c r="D218" i="26"/>
  <c r="M215" i="44"/>
  <c r="AB340" i="26"/>
  <c r="AC340" i="26" s="1"/>
  <c r="R375" i="26"/>
  <c r="W397" i="26"/>
  <c r="AM397" i="26"/>
  <c r="G398" i="26"/>
  <c r="M398" i="26"/>
  <c r="W398" i="26"/>
  <c r="L94" i="6"/>
  <c r="Q94" i="6" s="1"/>
  <c r="AS398" i="26"/>
  <c r="B275" i="44"/>
  <c r="D368" i="26"/>
  <c r="R400" i="26"/>
  <c r="T368" i="26"/>
  <c r="AH400" i="26"/>
  <c r="AJ368" i="26"/>
  <c r="AW402" i="26"/>
  <c r="H372" i="26"/>
  <c r="K279" i="44"/>
  <c r="AB372" i="26"/>
  <c r="J100" i="6"/>
  <c r="O100" i="6" s="1"/>
  <c r="AR372" i="26"/>
  <c r="N280" i="44"/>
  <c r="AN373" i="26"/>
  <c r="U406" i="26"/>
  <c r="AH405" i="26"/>
  <c r="F24" i="5"/>
  <c r="J24" i="5" s="1"/>
  <c r="D68" i="35"/>
  <c r="F12" i="35"/>
  <c r="F25" i="35"/>
  <c r="K21" i="5"/>
  <c r="K22" i="5"/>
  <c r="E66" i="35"/>
  <c r="G35" i="5"/>
  <c r="J44" i="35" s="1"/>
  <c r="E83" i="35"/>
  <c r="G43" i="5"/>
  <c r="J52" i="35" s="1"/>
  <c r="D91" i="35"/>
  <c r="E84" i="182"/>
  <c r="E89" i="182"/>
  <c r="O86" i="44"/>
  <c r="B87" i="44"/>
  <c r="O87" i="44"/>
  <c r="B88" i="44"/>
  <c r="O88" i="44"/>
  <c r="B89" i="44"/>
  <c r="O89" i="44"/>
  <c r="B90" i="44"/>
  <c r="O90" i="44"/>
  <c r="B91" i="44"/>
  <c r="O91" i="44"/>
  <c r="B92" i="44"/>
  <c r="O92" i="44"/>
  <c r="B93" i="44"/>
  <c r="O93" i="44"/>
  <c r="I158" i="26"/>
  <c r="F146" i="44"/>
  <c r="Y158" i="26"/>
  <c r="AD158" i="26"/>
  <c r="Q146" i="44"/>
  <c r="AT158" i="26"/>
  <c r="B147" i="44"/>
  <c r="M147" i="44"/>
  <c r="B148" i="44"/>
  <c r="M148" i="44"/>
  <c r="B149" i="44"/>
  <c r="M149" i="44"/>
  <c r="B150" i="44"/>
  <c r="M150" i="44"/>
  <c r="I151" i="44"/>
  <c r="N151" i="44"/>
  <c r="I152" i="44"/>
  <c r="N152" i="44"/>
  <c r="I153" i="44"/>
  <c r="N153" i="44"/>
  <c r="I154" i="44"/>
  <c r="N154" i="44"/>
  <c r="E155" i="44"/>
  <c r="J155" i="44"/>
  <c r="AW221" i="26"/>
  <c r="AR215" i="26"/>
  <c r="AR216" i="26"/>
  <c r="AY218" i="26"/>
  <c r="I397" i="26"/>
  <c r="Y397" i="26"/>
  <c r="S398" i="26"/>
  <c r="AI398" i="26"/>
  <c r="F275" i="44"/>
  <c r="N400" i="26"/>
  <c r="P368" i="26"/>
  <c r="Y400" i="26"/>
  <c r="AD400" i="26"/>
  <c r="AF368" i="26"/>
  <c r="BF368" i="26" s="1"/>
  <c r="AV368" i="26"/>
  <c r="AT400" i="26"/>
  <c r="G402" i="26"/>
  <c r="G404" i="26"/>
  <c r="O279" i="44"/>
  <c r="AN372" i="26"/>
  <c r="B280" i="44"/>
  <c r="B405" i="26"/>
  <c r="D373" i="26"/>
  <c r="AQ406" i="26"/>
  <c r="H65" i="125"/>
  <c r="G65" i="125"/>
  <c r="H141" i="125"/>
  <c r="G141" i="125"/>
  <c r="C13" i="5"/>
  <c r="D72" i="35"/>
  <c r="G72" i="35" s="1"/>
  <c r="H72" i="35" s="1"/>
  <c r="C48" i="136"/>
  <c r="G48" i="136" s="1"/>
  <c r="D80" i="136" s="1"/>
  <c r="E80" i="136" s="1"/>
  <c r="F65" i="35"/>
  <c r="F29" i="5"/>
  <c r="I29" i="5" s="1"/>
  <c r="E89" i="35"/>
  <c r="I41" i="5"/>
  <c r="E210" i="183"/>
  <c r="AV38" i="201"/>
  <c r="AY73" i="201"/>
  <c r="I84" i="44"/>
  <c r="K84" i="44"/>
  <c r="I85" i="44"/>
  <c r="K85" i="44"/>
  <c r="F86" i="44"/>
  <c r="Y94" i="26"/>
  <c r="AF86" i="26"/>
  <c r="BD86" i="26" s="1"/>
  <c r="C87" i="44"/>
  <c r="F87" i="44"/>
  <c r="AF87" i="26"/>
  <c r="BD87" i="26" s="1"/>
  <c r="C88" i="44"/>
  <c r="F88" i="44"/>
  <c r="AF88" i="26"/>
  <c r="BD88" i="26" s="1"/>
  <c r="C89" i="44"/>
  <c r="F89" i="44"/>
  <c r="AF89" i="26"/>
  <c r="BD89" i="26" s="1"/>
  <c r="C90" i="44"/>
  <c r="F90" i="44"/>
  <c r="AF90" i="26"/>
  <c r="BD90" i="26" s="1"/>
  <c r="C91" i="44"/>
  <c r="F91" i="44"/>
  <c r="AF91" i="26"/>
  <c r="BD91" i="26" s="1"/>
  <c r="C92" i="44"/>
  <c r="F92" i="44"/>
  <c r="AF92" i="26"/>
  <c r="BD92" i="26" s="1"/>
  <c r="C93" i="44"/>
  <c r="F93" i="44"/>
  <c r="AF93" i="26"/>
  <c r="BD93" i="26" s="1"/>
  <c r="E146" i="44"/>
  <c r="J158" i="26"/>
  <c r="U158" i="26"/>
  <c r="J146" i="44"/>
  <c r="AF148" i="26"/>
  <c r="BD148" i="26" s="1"/>
  <c r="AK158" i="26"/>
  <c r="AP158" i="26"/>
  <c r="AY149" i="26"/>
  <c r="F147" i="44"/>
  <c r="T149" i="26"/>
  <c r="AJ149" i="26"/>
  <c r="Q147" i="44"/>
  <c r="F148" i="44"/>
  <c r="T150" i="26"/>
  <c r="AJ150" i="26"/>
  <c r="Q148" i="44"/>
  <c r="F149" i="44"/>
  <c r="T151" i="26"/>
  <c r="AJ151" i="26"/>
  <c r="Q149" i="44"/>
  <c r="F150" i="44"/>
  <c r="T152" i="26"/>
  <c r="AJ152" i="26"/>
  <c r="Q150" i="44"/>
  <c r="B151" i="44"/>
  <c r="H153" i="26"/>
  <c r="X153" i="26"/>
  <c r="M151" i="44"/>
  <c r="B152" i="44"/>
  <c r="H154" i="26"/>
  <c r="X154" i="26"/>
  <c r="M152" i="44"/>
  <c r="B153" i="44"/>
  <c r="H155" i="26"/>
  <c r="X155" i="26"/>
  <c r="M153" i="44"/>
  <c r="B154" i="44"/>
  <c r="H156" i="26"/>
  <c r="X156" i="26"/>
  <c r="M154" i="44"/>
  <c r="L157" i="26"/>
  <c r="I155" i="44"/>
  <c r="N155" i="44"/>
  <c r="AR157" i="26"/>
  <c r="M208" i="44"/>
  <c r="T212" i="26"/>
  <c r="AJ212" i="26"/>
  <c r="L214" i="26"/>
  <c r="AR214" i="26"/>
  <c r="J7" i="9"/>
  <c r="H216" i="26"/>
  <c r="X216" i="26"/>
  <c r="L218" i="26"/>
  <c r="AR220" i="26"/>
  <c r="I13" i="9"/>
  <c r="O397" i="26"/>
  <c r="AU397" i="26"/>
  <c r="J400" i="26"/>
  <c r="L368" i="26"/>
  <c r="J275" i="44"/>
  <c r="Z400" i="26"/>
  <c r="AB368" i="26"/>
  <c r="I96" i="6"/>
  <c r="AR368" i="26"/>
  <c r="W401" i="26"/>
  <c r="S402" i="26"/>
  <c r="AI402" i="26"/>
  <c r="C279" i="44"/>
  <c r="C404" i="26"/>
  <c r="AI404" i="26"/>
  <c r="AJ372" i="26"/>
  <c r="F280" i="44"/>
  <c r="P373" i="26"/>
  <c r="AP400" i="26"/>
  <c r="E87" i="35"/>
  <c r="H63" i="125"/>
  <c r="D55" i="136"/>
  <c r="I55" i="136" s="1"/>
  <c r="E254" i="182"/>
  <c r="H220" i="26"/>
  <c r="X220" i="26"/>
  <c r="AJ337" i="26"/>
  <c r="AK337" i="26" s="1"/>
  <c r="E272" i="44"/>
  <c r="U397" i="26"/>
  <c r="J272" i="44"/>
  <c r="AK397" i="26"/>
  <c r="Q273" i="44"/>
  <c r="BA368" i="26"/>
  <c r="E277" i="44"/>
  <c r="AE402" i="26"/>
  <c r="AU402" i="26"/>
  <c r="U403" i="26"/>
  <c r="AR371" i="26"/>
  <c r="I99" i="6"/>
  <c r="D372" i="26"/>
  <c r="P372" i="26"/>
  <c r="G405" i="26"/>
  <c r="G406" i="26"/>
  <c r="W406" i="26"/>
  <c r="M281" i="44"/>
  <c r="B375" i="26"/>
  <c r="G66" i="125"/>
  <c r="F8" i="5"/>
  <c r="I48" i="136"/>
  <c r="B30" i="5"/>
  <c r="K23" i="5"/>
  <c r="E25" i="5"/>
  <c r="B45" i="5"/>
  <c r="H36" i="5"/>
  <c r="C6" i="136"/>
  <c r="G6" i="136" s="1"/>
  <c r="G19" i="136" s="1"/>
  <c r="G46" i="182"/>
  <c r="J57" i="182"/>
  <c r="G64" i="182"/>
  <c r="E450" i="182"/>
  <c r="E87" i="183"/>
  <c r="E92" i="182"/>
  <c r="E93" i="183" s="1"/>
  <c r="L93" i="183" s="1"/>
  <c r="P368" i="183"/>
  <c r="AY66" i="201"/>
  <c r="AY69" i="201"/>
  <c r="AZ59" i="201"/>
  <c r="DZ431" i="167"/>
  <c r="S404" i="26"/>
  <c r="W404" i="26"/>
  <c r="M216" i="44"/>
  <c r="AN338" i="26"/>
  <c r="AO338" i="26" s="1"/>
  <c r="I272" i="44"/>
  <c r="AG397" i="26"/>
  <c r="BE397" i="26" s="1"/>
  <c r="N272" i="44"/>
  <c r="AW397" i="26"/>
  <c r="E273" i="44"/>
  <c r="AE398" i="26"/>
  <c r="AU398" i="26"/>
  <c r="F401" i="26"/>
  <c r="V401" i="26"/>
  <c r="AY369" i="26"/>
  <c r="K402" i="26"/>
  <c r="I277" i="44"/>
  <c r="AQ402" i="26"/>
  <c r="I404" i="26"/>
  <c r="U404" i="26"/>
  <c r="Y404" i="26"/>
  <c r="AG404" i="26"/>
  <c r="BE404" i="26" s="1"/>
  <c r="AK404" i="26"/>
  <c r="AW404" i="26"/>
  <c r="S406" i="26"/>
  <c r="AI406" i="26"/>
  <c r="Q281" i="44"/>
  <c r="AP397" i="26"/>
  <c r="B401" i="26"/>
  <c r="Q402" i="26"/>
  <c r="F6" i="5"/>
  <c r="I8" i="5"/>
  <c r="E20" i="5"/>
  <c r="K26" i="5"/>
  <c r="L28" i="5"/>
  <c r="H44" i="5"/>
  <c r="J45" i="182"/>
  <c r="H64" i="182"/>
  <c r="E435" i="182"/>
  <c r="G435" i="182" s="1"/>
  <c r="H435" i="182" s="1"/>
  <c r="E108" i="183"/>
  <c r="P371" i="183"/>
  <c r="AT67" i="201"/>
  <c r="AU71" i="201"/>
  <c r="AU73" i="201"/>
  <c r="DT446" i="167"/>
  <c r="DX446" i="167"/>
  <c r="EB446" i="167"/>
  <c r="AR218" i="26"/>
  <c r="AF220" i="26"/>
  <c r="BD220" i="26" s="1"/>
  <c r="AV220" i="26"/>
  <c r="AJ338" i="26"/>
  <c r="AK338" i="26" s="1"/>
  <c r="G375" i="26"/>
  <c r="M397" i="26"/>
  <c r="W375" i="26"/>
  <c r="AS397" i="26"/>
  <c r="L93" i="6"/>
  <c r="Q93" i="6" s="1"/>
  <c r="K398" i="26"/>
  <c r="AQ398" i="26"/>
  <c r="J94" i="6"/>
  <c r="H367" i="26"/>
  <c r="X367" i="26"/>
  <c r="AG375" i="26"/>
  <c r="BG375" i="26" s="1"/>
  <c r="AW375" i="26"/>
  <c r="I400" i="26"/>
  <c r="M400" i="26"/>
  <c r="AG400" i="26"/>
  <c r="BE400" i="26" s="1"/>
  <c r="AK400" i="26"/>
  <c r="AS400" i="26"/>
  <c r="L96" i="6"/>
  <c r="Q96" i="6" s="1"/>
  <c r="AW400" i="26"/>
  <c r="G401" i="26"/>
  <c r="W402" i="26"/>
  <c r="F404" i="26"/>
  <c r="J404" i="26"/>
  <c r="V404" i="26"/>
  <c r="AP404" i="26"/>
  <c r="I100" i="6"/>
  <c r="E281" i="44"/>
  <c r="AE406" i="26"/>
  <c r="AU406" i="26"/>
  <c r="Z375" i="26"/>
  <c r="G397" i="26"/>
  <c r="Z397" i="26"/>
  <c r="N404" i="26"/>
  <c r="H94" i="125"/>
  <c r="K26" i="35"/>
  <c r="S26" i="35" s="1"/>
  <c r="E24" i="5"/>
  <c r="K24" i="5"/>
  <c r="C12" i="136"/>
  <c r="G12" i="136" s="1"/>
  <c r="J12" i="136" s="1"/>
  <c r="C15" i="136"/>
  <c r="G15" i="136" s="1"/>
  <c r="J15" i="136" s="1"/>
  <c r="C55" i="136"/>
  <c r="G55" i="136" s="1"/>
  <c r="D87" i="136" s="1"/>
  <c r="E87" i="136" s="1"/>
  <c r="C56" i="136"/>
  <c r="G56" i="136" s="1"/>
  <c r="D88" i="136" s="1"/>
  <c r="E88" i="136" s="1"/>
  <c r="J64" i="182"/>
  <c r="O368" i="183"/>
  <c r="E235" i="183"/>
  <c r="I235" i="183" s="1"/>
  <c r="J235" i="183" s="1"/>
  <c r="E239" i="183"/>
  <c r="O371" i="183"/>
  <c r="K380" i="183"/>
  <c r="I154" i="183"/>
  <c r="J154" i="183" s="1"/>
  <c r="E183" i="183"/>
  <c r="AV37" i="201"/>
  <c r="E176" i="182"/>
  <c r="E206" i="182"/>
  <c r="E287" i="182"/>
  <c r="E390" i="182"/>
  <c r="I390" i="182" s="1"/>
  <c r="E408" i="182"/>
  <c r="E436" i="182"/>
  <c r="E438" i="182"/>
  <c r="I95" i="183"/>
  <c r="J95" i="183" s="1"/>
  <c r="I255" i="183"/>
  <c r="J255" i="183" s="1"/>
  <c r="AZ38" i="201"/>
  <c r="AV39" i="201"/>
  <c r="AT74" i="201"/>
  <c r="AU66" i="201"/>
  <c r="E324" i="182"/>
  <c r="E456" i="182"/>
  <c r="E472" i="182"/>
  <c r="L95" i="183"/>
  <c r="E171" i="183"/>
  <c r="E172" i="183"/>
  <c r="L255" i="183"/>
  <c r="E279" i="183"/>
  <c r="AX67" i="201"/>
  <c r="AP74" i="201"/>
  <c r="AO72" i="201"/>
  <c r="E174" i="182"/>
  <c r="E182" i="182"/>
  <c r="E209" i="182"/>
  <c r="E394" i="182"/>
  <c r="J394" i="182" s="1"/>
  <c r="E442" i="182"/>
  <c r="G442" i="182" s="1"/>
  <c r="H442" i="182" s="1"/>
  <c r="E455" i="182"/>
  <c r="I455" i="182" s="1"/>
  <c r="E111" i="183"/>
  <c r="E140" i="183"/>
  <c r="E204" i="183"/>
  <c r="AZ40" i="201"/>
  <c r="AS52" i="201"/>
  <c r="AV55" i="201"/>
  <c r="BA391" i="26"/>
  <c r="S102" i="6"/>
  <c r="P202" i="44"/>
  <c r="O234" i="44" s="1"/>
  <c r="P234" i="44" s="1"/>
  <c r="Q234" i="44" s="1"/>
  <c r="AZ205" i="26"/>
  <c r="AY237" i="26" s="1"/>
  <c r="AQ237" i="26"/>
  <c r="AR237" i="26" s="1"/>
  <c r="AS237" i="26" s="1"/>
  <c r="AR391" i="26"/>
  <c r="E83" i="196"/>
  <c r="D11" i="196" s="1"/>
  <c r="BA79" i="26"/>
  <c r="AZ78" i="26"/>
  <c r="L82" i="196" s="1"/>
  <c r="O82" i="196" s="1"/>
  <c r="N36" i="196" s="1"/>
  <c r="R78" i="44"/>
  <c r="P78" i="44"/>
  <c r="AS173" i="26"/>
  <c r="AR15" i="26"/>
  <c r="AR110" i="26"/>
  <c r="AQ173" i="26"/>
  <c r="O298" i="42"/>
  <c r="S266" i="42"/>
  <c r="AX236" i="27"/>
  <c r="BA299" i="27"/>
  <c r="G58" i="6" s="1"/>
  <c r="U202" i="42"/>
  <c r="AX299" i="27"/>
  <c r="D58" i="6" s="1"/>
  <c r="N298" i="42"/>
  <c r="AY299" i="27"/>
  <c r="E58" i="6" s="1"/>
  <c r="AZ203" i="27"/>
  <c r="AR299" i="27"/>
  <c r="E97" i="195"/>
  <c r="U77" i="42"/>
  <c r="BA79" i="27"/>
  <c r="P77" i="42"/>
  <c r="O108" i="42"/>
  <c r="O170" i="42" s="1"/>
  <c r="AX79" i="27"/>
  <c r="AZ78" i="27"/>
  <c r="L82" i="195" s="1"/>
  <c r="O82" i="195" s="1"/>
  <c r="N36" i="195" s="1"/>
  <c r="R77" i="42"/>
  <c r="AS171" i="27"/>
  <c r="F101" i="6"/>
  <c r="S116" i="6"/>
  <c r="R265" i="44"/>
  <c r="BA206" i="26"/>
  <c r="AX390" i="26"/>
  <c r="AQ236" i="26"/>
  <c r="AR236" i="26" s="1"/>
  <c r="AS236" i="26" s="1"/>
  <c r="AX206" i="26"/>
  <c r="AZ204" i="26"/>
  <c r="AY236" i="26" s="1"/>
  <c r="AR390" i="26"/>
  <c r="N297" i="44"/>
  <c r="U77" i="44"/>
  <c r="AR109" i="26"/>
  <c r="AZ77" i="26"/>
  <c r="L81" i="196" s="1"/>
  <c r="O81" i="196" s="1"/>
  <c r="N35" i="196" s="1"/>
  <c r="P77" i="44"/>
  <c r="BA268" i="27"/>
  <c r="S265" i="42"/>
  <c r="AX268" i="27"/>
  <c r="O267" i="42"/>
  <c r="AY268" i="27"/>
  <c r="O297" i="42"/>
  <c r="BA298" i="27"/>
  <c r="G57" i="6" s="1"/>
  <c r="AY298" i="27"/>
  <c r="E57" i="6" s="1"/>
  <c r="AZ202" i="27"/>
  <c r="AR298" i="27"/>
  <c r="AX298" i="27"/>
  <c r="D57" i="6" s="1"/>
  <c r="Q107" i="42"/>
  <c r="Q169" i="42" s="1"/>
  <c r="E96" i="195"/>
  <c r="E83" i="195"/>
  <c r="D11" i="195" s="1"/>
  <c r="AZ77" i="27"/>
  <c r="L81" i="195" s="1"/>
  <c r="O81" i="195" s="1"/>
  <c r="N35" i="195" s="1"/>
  <c r="R76" i="42"/>
  <c r="N107" i="42"/>
  <c r="N169" i="42" s="1"/>
  <c r="P76" i="42"/>
  <c r="H182" i="170"/>
  <c r="H184" i="170"/>
  <c r="F185" i="170"/>
  <c r="H177" i="170"/>
  <c r="H179" i="170"/>
  <c r="H181" i="170"/>
  <c r="AS170" i="27"/>
  <c r="BA360" i="26"/>
  <c r="AW361" i="26"/>
  <c r="AX360" i="26"/>
  <c r="AZ357" i="26"/>
  <c r="BB357" i="26" s="1"/>
  <c r="AY360" i="26"/>
  <c r="AS392" i="26"/>
  <c r="Q203" i="44"/>
  <c r="AZ203" i="26"/>
  <c r="AY235" i="26" s="1"/>
  <c r="D14" i="9"/>
  <c r="AP392" i="26"/>
  <c r="AQ235" i="26"/>
  <c r="AR235" i="26" s="1"/>
  <c r="AS235" i="26" s="1"/>
  <c r="AR389" i="26"/>
  <c r="AX389" i="26"/>
  <c r="AQ392" i="26"/>
  <c r="P200" i="44"/>
  <c r="O232" i="44" s="1"/>
  <c r="P232" i="44" s="1"/>
  <c r="Q232" i="44" s="1"/>
  <c r="AW80" i="26"/>
  <c r="AY79" i="26"/>
  <c r="AZ76" i="26"/>
  <c r="L80" i="196" s="1"/>
  <c r="O80" i="196" s="1"/>
  <c r="N34" i="196" s="1"/>
  <c r="P76" i="44"/>
  <c r="AS171" i="26"/>
  <c r="AQ171" i="26"/>
  <c r="AR171" i="26" s="1"/>
  <c r="AR108" i="26"/>
  <c r="AV270" i="27"/>
  <c r="AR297" i="27"/>
  <c r="F11" i="6"/>
  <c r="BA297" i="27"/>
  <c r="G56" i="6" s="1"/>
  <c r="AS300" i="27"/>
  <c r="C14" i="134"/>
  <c r="AP300" i="27"/>
  <c r="AQ233" i="27"/>
  <c r="AQ300" i="27"/>
  <c r="AX297" i="27"/>
  <c r="D56" i="6" s="1"/>
  <c r="AZ201" i="27"/>
  <c r="AY297" i="27"/>
  <c r="E56" i="6" s="1"/>
  <c r="Q140" i="42"/>
  <c r="AW142" i="27"/>
  <c r="E113" i="195"/>
  <c r="BA141" i="27"/>
  <c r="U137" i="42"/>
  <c r="AY141" i="27"/>
  <c r="P137" i="42"/>
  <c r="AZ138" i="27"/>
  <c r="L110" i="195" s="1"/>
  <c r="O110" i="195" s="1"/>
  <c r="Q78" i="42"/>
  <c r="AW80" i="27"/>
  <c r="U75" i="42"/>
  <c r="AY79" i="27"/>
  <c r="AR79" i="27"/>
  <c r="P75" i="42"/>
  <c r="AZ76" i="27"/>
  <c r="L80" i="195" s="1"/>
  <c r="O80" i="195" s="1"/>
  <c r="N34" i="195" s="1"/>
  <c r="AS169" i="27"/>
  <c r="AR15" i="27"/>
  <c r="AR107" i="27"/>
  <c r="F99" i="6"/>
  <c r="F102" i="6"/>
  <c r="F94" i="6"/>
  <c r="F97" i="6"/>
  <c r="S98" i="6"/>
  <c r="S93" i="6"/>
  <c r="F93" i="6"/>
  <c r="T8" i="9"/>
  <c r="N14" i="9"/>
  <c r="T10" i="9"/>
  <c r="T12" i="9"/>
  <c r="T5" i="9"/>
  <c r="T9" i="9"/>
  <c r="T11" i="9"/>
  <c r="T7" i="9"/>
  <c r="F14" i="9"/>
  <c r="C14" i="9"/>
  <c r="E113" i="196"/>
  <c r="AX391" i="26"/>
  <c r="D109" i="6"/>
  <c r="F115" i="6"/>
  <c r="AX386" i="26"/>
  <c r="AX388" i="26"/>
  <c r="AR385" i="26"/>
  <c r="P259" i="44"/>
  <c r="R263" i="44"/>
  <c r="S263" i="44"/>
  <c r="F111" i="6"/>
  <c r="F112" i="6"/>
  <c r="F116" i="6"/>
  <c r="AX385" i="26"/>
  <c r="AZ350" i="26"/>
  <c r="AZ358" i="26"/>
  <c r="AZ359" i="26"/>
  <c r="S115" i="6"/>
  <c r="AX384" i="26"/>
  <c r="R259" i="44"/>
  <c r="S259" i="44"/>
  <c r="BA382" i="26"/>
  <c r="F22" i="9"/>
  <c r="AR206" i="26"/>
  <c r="AQ228" i="26"/>
  <c r="AQ232" i="26"/>
  <c r="AR232" i="26" s="1"/>
  <c r="AS232" i="26" s="1"/>
  <c r="AX387" i="26"/>
  <c r="C22" i="9"/>
  <c r="C30" i="9" s="1"/>
  <c r="AZ197" i="26"/>
  <c r="AY229" i="26" s="1"/>
  <c r="AX382" i="26"/>
  <c r="AR384" i="26"/>
  <c r="AR388" i="26"/>
  <c r="N203" i="44"/>
  <c r="N293" i="44"/>
  <c r="AZ201" i="26"/>
  <c r="AY233" i="26" s="1"/>
  <c r="AQ229" i="26"/>
  <c r="AR229" i="26" s="1"/>
  <c r="AS229" i="26" s="1"/>
  <c r="AQ231" i="26"/>
  <c r="AR231" i="26" s="1"/>
  <c r="AS231" i="26" s="1"/>
  <c r="AQ233" i="26"/>
  <c r="AR233" i="26" s="1"/>
  <c r="AS233" i="26" s="1"/>
  <c r="AY382" i="26"/>
  <c r="P193" i="44"/>
  <c r="O225" i="44" s="1"/>
  <c r="P225" i="44" s="1"/>
  <c r="Q225" i="44" s="1"/>
  <c r="P195" i="44"/>
  <c r="O227" i="44" s="1"/>
  <c r="P227" i="44" s="1"/>
  <c r="Q227" i="44" s="1"/>
  <c r="N295" i="44"/>
  <c r="P196" i="44"/>
  <c r="O228" i="44" s="1"/>
  <c r="P228" i="44" s="1"/>
  <c r="Q228" i="44" s="1"/>
  <c r="P197" i="44"/>
  <c r="O229" i="44" s="1"/>
  <c r="P229" i="44" s="1"/>
  <c r="Q229" i="44" s="1"/>
  <c r="N289" i="44"/>
  <c r="U133" i="44"/>
  <c r="U137" i="44"/>
  <c r="U132" i="44"/>
  <c r="U136" i="44"/>
  <c r="U135" i="44"/>
  <c r="P132" i="44"/>
  <c r="AZ138" i="26"/>
  <c r="L108" i="196" s="1"/>
  <c r="O108" i="196" s="1"/>
  <c r="AZ135" i="26"/>
  <c r="L105" i="196" s="1"/>
  <c r="O105" i="196" s="1"/>
  <c r="AZ139" i="26"/>
  <c r="L109" i="196" s="1"/>
  <c r="O109" i="196" s="1"/>
  <c r="P134" i="44"/>
  <c r="AR143" i="26"/>
  <c r="P135" i="44"/>
  <c r="O141" i="44"/>
  <c r="AS111" i="26"/>
  <c r="M83" i="196"/>
  <c r="G11" i="196" s="1"/>
  <c r="Q79" i="44"/>
  <c r="U74" i="44"/>
  <c r="AZ69" i="26"/>
  <c r="S74" i="44"/>
  <c r="S75" i="44"/>
  <c r="AZ74" i="26"/>
  <c r="L78" i="196" s="1"/>
  <c r="O78" i="196" s="1"/>
  <c r="N32" i="196" s="1"/>
  <c r="P72" i="44"/>
  <c r="P75" i="44"/>
  <c r="O103" i="44"/>
  <c r="O165" i="44" s="1"/>
  <c r="O79" i="44"/>
  <c r="AZ73" i="26"/>
  <c r="L77" i="196" s="1"/>
  <c r="O77" i="196" s="1"/>
  <c r="N31" i="196" s="1"/>
  <c r="AR79" i="26"/>
  <c r="AS164" i="26"/>
  <c r="AS170" i="26"/>
  <c r="AS166" i="26"/>
  <c r="AS168" i="26"/>
  <c r="AQ167" i="26"/>
  <c r="AR104" i="26"/>
  <c r="AR105" i="26"/>
  <c r="AR106" i="26"/>
  <c r="AR107" i="26"/>
  <c r="AQ165" i="26"/>
  <c r="AR165" i="26" s="1"/>
  <c r="AR102" i="26"/>
  <c r="AQ169" i="26"/>
  <c r="AR169" i="26" s="1"/>
  <c r="AQ111" i="26"/>
  <c r="AP164" i="26"/>
  <c r="AP166" i="26"/>
  <c r="AP168" i="26"/>
  <c r="AP170" i="26"/>
  <c r="AP172" i="26"/>
  <c r="AP111" i="26"/>
  <c r="AR103" i="26"/>
  <c r="N106" i="44"/>
  <c r="N168" i="44" s="1"/>
  <c r="F8" i="6"/>
  <c r="F13" i="6"/>
  <c r="E14" i="6"/>
  <c r="F4" i="6"/>
  <c r="M14" i="134"/>
  <c r="S11" i="134"/>
  <c r="S13" i="134"/>
  <c r="S5" i="134"/>
  <c r="S7" i="134"/>
  <c r="S9" i="134"/>
  <c r="S10" i="134"/>
  <c r="S12" i="134"/>
  <c r="S6" i="134"/>
  <c r="S8" i="134"/>
  <c r="E14" i="134"/>
  <c r="U259" i="42"/>
  <c r="BA292" i="27"/>
  <c r="G51" i="6" s="1"/>
  <c r="BA296" i="27"/>
  <c r="G55" i="6" s="1"/>
  <c r="AZ261" i="27"/>
  <c r="BB261" i="27" s="1"/>
  <c r="AR268" i="27"/>
  <c r="AZ258" i="27"/>
  <c r="AZ262" i="27"/>
  <c r="BB262" i="27" s="1"/>
  <c r="AR292" i="27"/>
  <c r="AR296" i="27"/>
  <c r="P262" i="42"/>
  <c r="AZ265" i="27"/>
  <c r="AZ266" i="27"/>
  <c r="AZ267" i="27"/>
  <c r="BA204" i="27"/>
  <c r="Q203" i="42"/>
  <c r="Q295" i="42"/>
  <c r="AR291" i="27"/>
  <c r="AZ199" i="27"/>
  <c r="AR295" i="27"/>
  <c r="AZ196" i="27"/>
  <c r="AZ200" i="27"/>
  <c r="AY204" i="27"/>
  <c r="AX204" i="27"/>
  <c r="C21" i="134"/>
  <c r="B23" i="134"/>
  <c r="AR204" i="27"/>
  <c r="AX293" i="27"/>
  <c r="D52" i="6" s="1"/>
  <c r="P199" i="42"/>
  <c r="O231" i="42" s="1"/>
  <c r="P231" i="42" s="1"/>
  <c r="Q231" i="42" s="1"/>
  <c r="S199" i="42"/>
  <c r="N293" i="42"/>
  <c r="U132" i="42"/>
  <c r="U136" i="42"/>
  <c r="U131" i="42"/>
  <c r="U135" i="42"/>
  <c r="U134" i="42"/>
  <c r="AZ133" i="27"/>
  <c r="L105" i="195" s="1"/>
  <c r="O105" i="195" s="1"/>
  <c r="AZ137" i="27"/>
  <c r="L109" i="195" s="1"/>
  <c r="O109" i="195" s="1"/>
  <c r="P130" i="42"/>
  <c r="AZ134" i="27"/>
  <c r="L106" i="195" s="1"/>
  <c r="O106" i="195" s="1"/>
  <c r="AR141" i="27"/>
  <c r="P131" i="42"/>
  <c r="AZ135" i="27"/>
  <c r="L107" i="195" s="1"/>
  <c r="O107" i="195" s="1"/>
  <c r="P135" i="42"/>
  <c r="U73" i="42"/>
  <c r="M83" i="195"/>
  <c r="G11" i="195" s="1"/>
  <c r="P68" i="42"/>
  <c r="AZ70" i="27"/>
  <c r="L74" i="195" s="1"/>
  <c r="O74" i="195" s="1"/>
  <c r="N28" i="195" s="1"/>
  <c r="AZ74" i="27"/>
  <c r="L78" i="195" s="1"/>
  <c r="AR101" i="27"/>
  <c r="AR103" i="27"/>
  <c r="AZ73" i="27"/>
  <c r="L77" i="195" s="1"/>
  <c r="O77" i="195" s="1"/>
  <c r="N31" i="195" s="1"/>
  <c r="AZ75" i="27"/>
  <c r="L79" i="195" s="1"/>
  <c r="O79" i="195" s="1"/>
  <c r="N33" i="195" s="1"/>
  <c r="AZ72" i="27"/>
  <c r="L76" i="195" s="1"/>
  <c r="O76" i="195" s="1"/>
  <c r="N30" i="195" s="1"/>
  <c r="O78" i="42"/>
  <c r="AV169" i="27"/>
  <c r="AV165" i="27"/>
  <c r="AU162" i="27"/>
  <c r="AT163" i="27"/>
  <c r="AV163" i="27" s="1"/>
  <c r="AU166" i="27"/>
  <c r="AV166" i="27" s="1"/>
  <c r="AT167" i="27"/>
  <c r="AV167" i="27" s="1"/>
  <c r="AU170" i="27"/>
  <c r="AV170" i="27" s="1"/>
  <c r="AT171" i="27"/>
  <c r="AV171" i="27" s="1"/>
  <c r="AV100" i="27"/>
  <c r="AT164" i="27"/>
  <c r="AV164" i="27" s="1"/>
  <c r="AT168" i="27"/>
  <c r="AV168" i="27" s="1"/>
  <c r="AT110" i="27"/>
  <c r="P42" i="42"/>
  <c r="AW110" i="27"/>
  <c r="AQ172" i="27"/>
  <c r="AR164" i="27"/>
  <c r="AR168" i="27"/>
  <c r="AR162" i="27"/>
  <c r="AR166" i="27"/>
  <c r="AR170" i="27"/>
  <c r="AR100" i="27"/>
  <c r="AR102" i="27"/>
  <c r="AR104" i="27"/>
  <c r="AR106" i="27"/>
  <c r="AR108" i="27"/>
  <c r="AP163" i="27"/>
  <c r="AP165" i="27"/>
  <c r="AP167" i="27"/>
  <c r="AP169" i="27"/>
  <c r="AP171" i="27"/>
  <c r="AS110" i="27"/>
  <c r="AP110" i="27"/>
  <c r="AQ110" i="27"/>
  <c r="N299" i="183"/>
  <c r="D393" i="182"/>
  <c r="I2" i="6"/>
  <c r="I17" i="6" s="1"/>
  <c r="B68" i="186"/>
  <c r="D17" i="186"/>
  <c r="B34" i="186"/>
  <c r="O88" i="185"/>
  <c r="F111" i="185"/>
  <c r="B111" i="185"/>
  <c r="K88" i="185"/>
  <c r="V184" i="188"/>
  <c r="R103" i="196"/>
  <c r="R113" i="196" s="1"/>
  <c r="Z156" i="188"/>
  <c r="R93" i="195"/>
  <c r="J113" i="195"/>
  <c r="J93" i="196"/>
  <c r="N103" i="195"/>
  <c r="N113" i="195" s="1"/>
  <c r="R83" i="195"/>
  <c r="H12" i="195" s="1"/>
  <c r="V178" i="188"/>
  <c r="V186" i="188"/>
  <c r="Z93" i="188"/>
  <c r="AA120" i="188"/>
  <c r="Q95" i="185" s="1"/>
  <c r="Z95" i="185" s="1"/>
  <c r="AH95" i="185" s="1"/>
  <c r="V180" i="188"/>
  <c r="J93" i="195"/>
  <c r="J83" i="196"/>
  <c r="E12" i="196" s="1"/>
  <c r="R73" i="196"/>
  <c r="R83" i="196" s="1"/>
  <c r="H12" i="196" s="1"/>
  <c r="AA123" i="188"/>
  <c r="Q137" i="185" s="1"/>
  <c r="Z137" i="185" s="1"/>
  <c r="AH137" i="185" s="1"/>
  <c r="V182" i="188"/>
  <c r="Z100" i="188"/>
  <c r="M113" i="185" s="1"/>
  <c r="Z108" i="188"/>
  <c r="M121" i="185" s="1"/>
  <c r="V163" i="188"/>
  <c r="W169" i="188"/>
  <c r="N90" i="195"/>
  <c r="W163" i="188"/>
  <c r="V171" i="188"/>
  <c r="V165" i="188"/>
  <c r="W171" i="188"/>
  <c r="Z117" i="188"/>
  <c r="Q115" i="185" s="1"/>
  <c r="Z115" i="185" s="1"/>
  <c r="AH115" i="185" s="1"/>
  <c r="Z121" i="188"/>
  <c r="Q119" i="185" s="1"/>
  <c r="Z119" i="185" s="1"/>
  <c r="AH119" i="185" s="1"/>
  <c r="V125" i="188"/>
  <c r="W178" i="188"/>
  <c r="W180" i="188"/>
  <c r="W182" i="188"/>
  <c r="W184" i="188"/>
  <c r="W186" i="188"/>
  <c r="H129" i="185"/>
  <c r="AA119" i="188"/>
  <c r="Q94" i="185" s="1"/>
  <c r="Z94" i="185" s="1"/>
  <c r="AH94" i="185" s="1"/>
  <c r="AA117" i="188"/>
  <c r="Q92" i="185" s="1"/>
  <c r="Z92" i="185" s="1"/>
  <c r="AH92" i="185" s="1"/>
  <c r="AA121" i="188"/>
  <c r="Q135" i="185" s="1"/>
  <c r="Z135" i="185" s="1"/>
  <c r="AH135" i="185" s="1"/>
  <c r="AA122" i="188"/>
  <c r="Q97" i="185" s="1"/>
  <c r="Z97" i="185" s="1"/>
  <c r="AH97" i="185" s="1"/>
  <c r="W125" i="188"/>
  <c r="V177" i="188"/>
  <c r="V179" i="188"/>
  <c r="V181" i="188"/>
  <c r="V183" i="188"/>
  <c r="V185" i="188"/>
  <c r="Z119" i="188"/>
  <c r="Z123" i="188"/>
  <c r="Q121" i="185" s="1"/>
  <c r="Z121" i="185" s="1"/>
  <c r="AH121" i="185" s="1"/>
  <c r="W177" i="188"/>
  <c r="W179" i="188"/>
  <c r="W181" i="188"/>
  <c r="W183" i="188"/>
  <c r="W185" i="188"/>
  <c r="V110" i="188"/>
  <c r="W110" i="188"/>
  <c r="D90" i="185"/>
  <c r="V162" i="188"/>
  <c r="V164" i="188"/>
  <c r="V166" i="188"/>
  <c r="V168" i="188"/>
  <c r="V170" i="188"/>
  <c r="D113" i="185"/>
  <c r="V167" i="188"/>
  <c r="W165" i="188"/>
  <c r="W167" i="188"/>
  <c r="W162" i="188"/>
  <c r="W164" i="188"/>
  <c r="W166" i="188"/>
  <c r="W168" i="188"/>
  <c r="W170" i="188"/>
  <c r="Y182" i="188"/>
  <c r="Y184" i="188"/>
  <c r="Y186" i="188"/>
  <c r="Z120" i="188"/>
  <c r="Z122" i="188"/>
  <c r="X125" i="188"/>
  <c r="Y178" i="188"/>
  <c r="Y125" i="188"/>
  <c r="J113" i="196"/>
  <c r="F89" i="196"/>
  <c r="J94" i="195"/>
  <c r="J91" i="195"/>
  <c r="J95" i="195"/>
  <c r="J96" i="196"/>
  <c r="J83" i="195"/>
  <c r="E12" i="195" s="1"/>
  <c r="J90" i="195"/>
  <c r="J90" i="196"/>
  <c r="J91" i="196"/>
  <c r="J92" i="196"/>
  <c r="J95" i="196"/>
  <c r="F91" i="196"/>
  <c r="F95" i="196"/>
  <c r="F94" i="196"/>
  <c r="F83" i="196"/>
  <c r="D12" i="196" s="1"/>
  <c r="F97" i="196"/>
  <c r="F83" i="195"/>
  <c r="D12" i="195" s="1"/>
  <c r="J14" i="185"/>
  <c r="Y164" i="188"/>
  <c r="AA106" i="188"/>
  <c r="Y168" i="188"/>
  <c r="Y162" i="188"/>
  <c r="AA104" i="188"/>
  <c r="Y166" i="188"/>
  <c r="Y170" i="188"/>
  <c r="X167" i="188"/>
  <c r="Z105" i="188"/>
  <c r="X101" i="188"/>
  <c r="X103" i="188"/>
  <c r="X107" i="188"/>
  <c r="X168" i="188"/>
  <c r="Y47" i="188"/>
  <c r="Y101" i="188"/>
  <c r="Y103" i="188"/>
  <c r="Y105" i="188"/>
  <c r="Y107" i="188"/>
  <c r="Y109" i="188"/>
  <c r="X109" i="188"/>
  <c r="X162" i="188"/>
  <c r="X166" i="188"/>
  <c r="X170" i="188"/>
  <c r="Z38" i="188"/>
  <c r="M39" i="185" s="1"/>
  <c r="N44" i="195" s="1"/>
  <c r="N89" i="195" s="1"/>
  <c r="Z42" i="188"/>
  <c r="M43" i="185" s="1"/>
  <c r="AR68" i="201"/>
  <c r="AR70" i="201"/>
  <c r="G72" i="201"/>
  <c r="N90" i="201"/>
  <c r="J91" i="201"/>
  <c r="N92" i="201"/>
  <c r="K38" i="201"/>
  <c r="K43" i="201"/>
  <c r="G84" i="201"/>
  <c r="J84" i="201"/>
  <c r="N85" i="201"/>
  <c r="N86" i="201"/>
  <c r="G88" i="201"/>
  <c r="G90" i="201"/>
  <c r="G92" i="201"/>
  <c r="D93" i="201"/>
  <c r="AR69" i="201"/>
  <c r="AR72" i="201"/>
  <c r="AR73" i="201"/>
  <c r="K35" i="201"/>
  <c r="K37" i="201"/>
  <c r="J45" i="201"/>
  <c r="N45" i="201"/>
  <c r="H93" i="201"/>
  <c r="G86" i="201"/>
  <c r="AR74" i="201"/>
  <c r="AR75" i="201"/>
  <c r="K40" i="201"/>
  <c r="K42" i="201"/>
  <c r="K44" i="201"/>
  <c r="G45" i="201"/>
  <c r="N84" i="201"/>
  <c r="G85" i="201"/>
  <c r="J85" i="201"/>
  <c r="G87" i="201"/>
  <c r="G89" i="201"/>
  <c r="G83" i="201"/>
  <c r="N91" i="201"/>
  <c r="L93" i="201"/>
  <c r="M93" i="201"/>
  <c r="L101" i="201"/>
  <c r="J86" i="201"/>
  <c r="N88" i="201"/>
  <c r="J90" i="201"/>
  <c r="J92" i="201"/>
  <c r="E99" i="201"/>
  <c r="D100" i="201"/>
  <c r="C101" i="201"/>
  <c r="H101" i="201"/>
  <c r="F102" i="201"/>
  <c r="E103" i="201"/>
  <c r="D104" i="201"/>
  <c r="I104" i="201"/>
  <c r="F100" i="201"/>
  <c r="L102" i="201"/>
  <c r="M105" i="201"/>
  <c r="D98" i="201"/>
  <c r="C99" i="201"/>
  <c r="H99" i="201"/>
  <c r="M99" i="201"/>
  <c r="M100" i="201"/>
  <c r="E101" i="201"/>
  <c r="D102" i="201"/>
  <c r="H103" i="201"/>
  <c r="F104" i="201"/>
  <c r="M104" i="201"/>
  <c r="F99" i="201"/>
  <c r="F101" i="201"/>
  <c r="L98" i="201"/>
  <c r="I99" i="201"/>
  <c r="C100" i="201"/>
  <c r="H100" i="201"/>
  <c r="E102" i="201"/>
  <c r="D103" i="201"/>
  <c r="L29" i="125" s="1"/>
  <c r="I103" i="201"/>
  <c r="H104" i="201"/>
  <c r="M107" i="201"/>
  <c r="T139" i="185"/>
  <c r="G168" i="170"/>
  <c r="H158" i="170"/>
  <c r="I158" i="170" s="1"/>
  <c r="H176" i="170"/>
  <c r="H183" i="170"/>
  <c r="H178" i="170"/>
  <c r="H180" i="170"/>
  <c r="G185" i="170"/>
  <c r="H175" i="170"/>
  <c r="E59" i="196"/>
  <c r="M59" i="196" s="1"/>
  <c r="C31" i="185"/>
  <c r="J53" i="195"/>
  <c r="E16" i="195" s="1"/>
  <c r="J88" i="195"/>
  <c r="C64" i="185"/>
  <c r="E43" i="196"/>
  <c r="J44" i="196"/>
  <c r="J89" i="196" s="1"/>
  <c r="H64" i="185"/>
  <c r="E62" i="195"/>
  <c r="J66" i="195"/>
  <c r="R66" i="195" s="1"/>
  <c r="J13" i="185"/>
  <c r="C15" i="185"/>
  <c r="R58" i="196"/>
  <c r="J30" i="185"/>
  <c r="F53" i="196"/>
  <c r="D16" i="196" s="1"/>
  <c r="F88" i="196"/>
  <c r="J66" i="196"/>
  <c r="R66" i="196" s="1"/>
  <c r="J88" i="196"/>
  <c r="AF100" i="185"/>
  <c r="AA100" i="185"/>
  <c r="AI100" i="185" s="1"/>
  <c r="J58" i="195"/>
  <c r="J5" i="185"/>
  <c r="G15" i="185"/>
  <c r="J10" i="185"/>
  <c r="J59" i="196"/>
  <c r="R59" i="196" s="1"/>
  <c r="J22" i="185"/>
  <c r="J63" i="196"/>
  <c r="R63" i="196" s="1"/>
  <c r="J26" i="185"/>
  <c r="J62" i="195"/>
  <c r="R62" i="195" s="1"/>
  <c r="J9" i="185"/>
  <c r="E43" i="195"/>
  <c r="G31" i="185"/>
  <c r="E45" i="195"/>
  <c r="E90" i="195" s="1"/>
  <c r="J6" i="185"/>
  <c r="J23" i="185"/>
  <c r="J27" i="185"/>
  <c r="E66" i="196"/>
  <c r="M66" i="196" s="1"/>
  <c r="E50" i="196"/>
  <c r="D64" i="185"/>
  <c r="AF101" i="185"/>
  <c r="AA101" i="185"/>
  <c r="AI101" i="185" s="1"/>
  <c r="M62" i="155"/>
  <c r="L45" i="155"/>
  <c r="L43" i="156"/>
  <c r="M60" i="156"/>
  <c r="D14" i="6"/>
  <c r="F5" i="6"/>
  <c r="S95" i="6"/>
  <c r="E107" i="28"/>
  <c r="H106" i="28"/>
  <c r="J106" i="28" s="1"/>
  <c r="AN27" i="27"/>
  <c r="W219" i="27"/>
  <c r="X209" i="27"/>
  <c r="AV213" i="27"/>
  <c r="F16" i="33"/>
  <c r="G214" i="42"/>
  <c r="P215" i="27"/>
  <c r="AV217" i="27"/>
  <c r="E88" i="44"/>
  <c r="BA88" i="26"/>
  <c r="AA48" i="191" s="1"/>
  <c r="M93" i="44"/>
  <c r="BA93" i="26"/>
  <c r="C146" i="44"/>
  <c r="D148" i="26"/>
  <c r="AY148" i="26"/>
  <c r="C158" i="26"/>
  <c r="T148" i="26"/>
  <c r="S158" i="26"/>
  <c r="AJ148" i="26"/>
  <c r="AI158" i="26"/>
  <c r="G151" i="44"/>
  <c r="P153" i="26"/>
  <c r="AV153" i="26"/>
  <c r="C154" i="44"/>
  <c r="D156" i="26"/>
  <c r="AY156" i="26"/>
  <c r="AU158" i="26"/>
  <c r="AF83" i="185"/>
  <c r="AA83" i="185"/>
  <c r="AI83" i="185" s="1"/>
  <c r="X102" i="185"/>
  <c r="R102" i="185"/>
  <c r="M28" i="155"/>
  <c r="L11" i="155"/>
  <c r="F23" i="6"/>
  <c r="G103" i="6"/>
  <c r="G104" i="6" s="1"/>
  <c r="S110" i="6"/>
  <c r="F110" i="6"/>
  <c r="J27" i="42"/>
  <c r="AJ27" i="27"/>
  <c r="G219" i="27"/>
  <c r="H209" i="27"/>
  <c r="O208" i="42"/>
  <c r="AM219" i="27"/>
  <c r="AN209" i="27"/>
  <c r="AF215" i="27"/>
  <c r="BD215" i="27" s="1"/>
  <c r="F18" i="33"/>
  <c r="G216" i="42"/>
  <c r="P217" i="27"/>
  <c r="F276" i="42"/>
  <c r="N309" i="27"/>
  <c r="P277" i="27"/>
  <c r="AT309" i="27"/>
  <c r="AV277" i="27"/>
  <c r="R313" i="27"/>
  <c r="T281" i="27"/>
  <c r="D31" i="185"/>
  <c r="F58" i="196"/>
  <c r="J21" i="185"/>
  <c r="J24" i="185"/>
  <c r="J61" i="196"/>
  <c r="R61" i="196" s="1"/>
  <c r="J25" i="185"/>
  <c r="F53" i="195"/>
  <c r="D16" i="195" s="1"/>
  <c r="E81" i="185"/>
  <c r="J81" i="185" s="1"/>
  <c r="AA81" i="185"/>
  <c r="AI81" i="185" s="1"/>
  <c r="AF81" i="185"/>
  <c r="X82" i="185"/>
  <c r="R82" i="185"/>
  <c r="G74" i="195"/>
  <c r="F28" i="195" s="1"/>
  <c r="G78" i="195"/>
  <c r="F32" i="195" s="1"/>
  <c r="M32" i="155"/>
  <c r="L8" i="156"/>
  <c r="F47" i="156"/>
  <c r="H50" i="156" s="1"/>
  <c r="M57" i="156"/>
  <c r="L40" i="156"/>
  <c r="F17" i="186"/>
  <c r="H7" i="186"/>
  <c r="G7" i="186"/>
  <c r="H15" i="186"/>
  <c r="G15" i="186"/>
  <c r="S99" i="6"/>
  <c r="E103" i="6"/>
  <c r="F75" i="28"/>
  <c r="I72" i="28"/>
  <c r="H90" i="28"/>
  <c r="J90" i="28" s="1"/>
  <c r="I90" i="28"/>
  <c r="I99" i="28"/>
  <c r="H146" i="27"/>
  <c r="F156" i="27"/>
  <c r="I145" i="42"/>
  <c r="Q156" i="27"/>
  <c r="X146" i="27"/>
  <c r="V156" i="27"/>
  <c r="N145" i="42"/>
  <c r="AN146" i="27"/>
  <c r="AL156" i="27"/>
  <c r="F147" i="42"/>
  <c r="P148" i="27"/>
  <c r="Q147" i="42"/>
  <c r="I105" i="195"/>
  <c r="N149" i="42"/>
  <c r="AN150" i="27"/>
  <c r="F151" i="42"/>
  <c r="P152" i="27"/>
  <c r="Q151" i="42"/>
  <c r="I109" i="195"/>
  <c r="N153" i="42"/>
  <c r="AN154" i="27"/>
  <c r="C9" i="33"/>
  <c r="C208" i="42"/>
  <c r="AY209" i="27"/>
  <c r="C219" i="27"/>
  <c r="D209" i="27"/>
  <c r="S219" i="27"/>
  <c r="T209" i="27"/>
  <c r="AI219" i="27"/>
  <c r="AJ209" i="27"/>
  <c r="I308" i="27"/>
  <c r="BA212" i="27"/>
  <c r="Y308" i="27"/>
  <c r="Q211" i="42"/>
  <c r="AO308" i="27"/>
  <c r="BA214" i="27"/>
  <c r="Q213" i="42"/>
  <c r="I312" i="27"/>
  <c r="BA216" i="27"/>
  <c r="Y312" i="27"/>
  <c r="Q215" i="42"/>
  <c r="K11" i="134"/>
  <c r="AO312" i="27"/>
  <c r="BA218" i="27"/>
  <c r="Q217" i="42"/>
  <c r="J305" i="27"/>
  <c r="J283" i="27"/>
  <c r="L273" i="27"/>
  <c r="J272" i="42"/>
  <c r="Z305" i="27"/>
  <c r="Z283" i="27"/>
  <c r="AB273" i="27"/>
  <c r="AE305" i="27"/>
  <c r="AP305" i="27"/>
  <c r="AP283" i="27"/>
  <c r="AR273" i="27"/>
  <c r="AU305" i="27"/>
  <c r="AU307" i="27"/>
  <c r="K308" i="27"/>
  <c r="L276" i="27"/>
  <c r="K275" i="42"/>
  <c r="AA308" i="27"/>
  <c r="AB276" i="27"/>
  <c r="AQ308" i="27"/>
  <c r="AR276" i="27"/>
  <c r="G279" i="42"/>
  <c r="O312" i="27"/>
  <c r="P280" i="27"/>
  <c r="AE312" i="27"/>
  <c r="AF280" i="27"/>
  <c r="BF280" i="27" s="1"/>
  <c r="AU312" i="27"/>
  <c r="AV280" i="27"/>
  <c r="Q24" i="44"/>
  <c r="D57" i="26"/>
  <c r="C58" i="26"/>
  <c r="C122" i="26" s="1"/>
  <c r="D26" i="26"/>
  <c r="T26" i="26"/>
  <c r="K26" i="44"/>
  <c r="AJ26" i="26"/>
  <c r="B27" i="44"/>
  <c r="D60" i="26"/>
  <c r="J28" i="44"/>
  <c r="AJ28" i="26"/>
  <c r="B29" i="44"/>
  <c r="R30" i="26"/>
  <c r="H85" i="26"/>
  <c r="X85" i="26"/>
  <c r="N85" i="44"/>
  <c r="AN85" i="26"/>
  <c r="M87" i="44"/>
  <c r="BA87" i="26"/>
  <c r="E90" i="44"/>
  <c r="BA90" i="26"/>
  <c r="M94" i="26"/>
  <c r="L150" i="26"/>
  <c r="K158" i="26"/>
  <c r="K148" i="44"/>
  <c r="AB150" i="26"/>
  <c r="AA158" i="26"/>
  <c r="AR150" i="26"/>
  <c r="AQ158" i="26"/>
  <c r="O153" i="44"/>
  <c r="AN155" i="26"/>
  <c r="AY155" i="26"/>
  <c r="AY157" i="26"/>
  <c r="B30" i="33"/>
  <c r="B213" i="44"/>
  <c r="D216" i="26"/>
  <c r="M221" i="26"/>
  <c r="AX216" i="26"/>
  <c r="AC221" i="26"/>
  <c r="M27" i="156"/>
  <c r="L11" i="156"/>
  <c r="J47" i="156"/>
  <c r="L47" i="156" s="1"/>
  <c r="F51" i="186"/>
  <c r="H41" i="186"/>
  <c r="G41" i="186"/>
  <c r="D91" i="6"/>
  <c r="D47" i="6"/>
  <c r="D17" i="6"/>
  <c r="T23" i="9"/>
  <c r="K28" i="132" s="1"/>
  <c r="D29" i="6"/>
  <c r="F19" i="6"/>
  <c r="F27" i="6"/>
  <c r="S100" i="6"/>
  <c r="F100" i="6"/>
  <c r="S117" i="6"/>
  <c r="H27" i="27"/>
  <c r="G27" i="42"/>
  <c r="X27" i="27"/>
  <c r="AV211" i="27"/>
  <c r="F13" i="33"/>
  <c r="G212" i="42"/>
  <c r="P213" i="27"/>
  <c r="AF213" i="27"/>
  <c r="BD213" i="27" s="1"/>
  <c r="AV215" i="27"/>
  <c r="AF217" i="27"/>
  <c r="BD217" i="27" s="1"/>
  <c r="AD309" i="27"/>
  <c r="AF277" i="27"/>
  <c r="BF277" i="27" s="1"/>
  <c r="B280" i="42"/>
  <c r="B313" i="27"/>
  <c r="D281" i="27"/>
  <c r="AH313" i="27"/>
  <c r="AJ281" i="27"/>
  <c r="F68" i="195"/>
  <c r="D20" i="195" s="1"/>
  <c r="G20" i="195" s="1"/>
  <c r="N58" i="195"/>
  <c r="N68" i="195" s="1"/>
  <c r="J7" i="185"/>
  <c r="J60" i="195"/>
  <c r="R60" i="195" s="1"/>
  <c r="J8" i="185"/>
  <c r="J11" i="185"/>
  <c r="J64" i="195"/>
  <c r="R64" i="195" s="1"/>
  <c r="J12" i="185"/>
  <c r="X80" i="185"/>
  <c r="R80" i="185"/>
  <c r="N82" i="185"/>
  <c r="R83" i="185"/>
  <c r="I101" i="185"/>
  <c r="I102" i="185"/>
  <c r="E94" i="195"/>
  <c r="L10" i="155"/>
  <c r="F49" i="155"/>
  <c r="M28" i="156"/>
  <c r="L12" i="156"/>
  <c r="M61" i="156"/>
  <c r="L44" i="156"/>
  <c r="J17" i="186"/>
  <c r="K17" i="186" s="1"/>
  <c r="C17" i="186"/>
  <c r="G34" i="186"/>
  <c r="H34" i="186" s="1"/>
  <c r="H49" i="186"/>
  <c r="G49" i="186"/>
  <c r="G68" i="186"/>
  <c r="H68" i="186" s="1"/>
  <c r="B14" i="134"/>
  <c r="H37" i="9"/>
  <c r="T37" i="9" s="1"/>
  <c r="L26" i="132" s="1"/>
  <c r="T21" i="9"/>
  <c r="K26" i="132" s="1"/>
  <c r="H41" i="9"/>
  <c r="T41" i="9" s="1"/>
  <c r="L30" i="132" s="1"/>
  <c r="T25" i="9"/>
  <c r="K30" i="132" s="1"/>
  <c r="T26" i="9"/>
  <c r="K31" i="132" s="1"/>
  <c r="T27" i="9"/>
  <c r="K32" i="132" s="1"/>
  <c r="N30" i="9"/>
  <c r="G29" i="6"/>
  <c r="G30" i="6" s="1"/>
  <c r="D103" i="6"/>
  <c r="S96" i="6"/>
  <c r="F96" i="6"/>
  <c r="D106" i="6"/>
  <c r="D136" i="6" s="1"/>
  <c r="S113" i="6"/>
  <c r="G118" i="6"/>
  <c r="G119" i="6" s="1"/>
  <c r="I9" i="28"/>
  <c r="I13" i="28"/>
  <c r="I21" i="28"/>
  <c r="H31" i="28"/>
  <c r="J31" i="28" s="1"/>
  <c r="I33" i="28"/>
  <c r="E56" i="28"/>
  <c r="F68" i="28"/>
  <c r="H76" i="28"/>
  <c r="J76" i="28" s="1"/>
  <c r="E85" i="28"/>
  <c r="I81" i="28"/>
  <c r="H83" i="28"/>
  <c r="J83" i="28" s="1"/>
  <c r="I83" i="28"/>
  <c r="H86" i="28"/>
  <c r="J86" i="28" s="1"/>
  <c r="I86" i="28"/>
  <c r="E92" i="28"/>
  <c r="I91" i="28"/>
  <c r="H97" i="28"/>
  <c r="J97" i="28" s="1"/>
  <c r="I97" i="28"/>
  <c r="C53" i="27"/>
  <c r="D21" i="27"/>
  <c r="T21" i="27"/>
  <c r="AF21" i="27"/>
  <c r="AY21" i="27" s="1"/>
  <c r="K21" i="42"/>
  <c r="N21" i="42"/>
  <c r="C61" i="27"/>
  <c r="D29" i="27"/>
  <c r="T29" i="27"/>
  <c r="AF29" i="27"/>
  <c r="AY29" i="27" s="1"/>
  <c r="K29" i="42"/>
  <c r="N29" i="42"/>
  <c r="D52" i="27"/>
  <c r="F84" i="42"/>
  <c r="P85" i="27"/>
  <c r="AF85" i="27"/>
  <c r="BC85" i="27" s="1"/>
  <c r="Q84" i="42"/>
  <c r="AV85" i="27"/>
  <c r="I86" i="42"/>
  <c r="X87" i="27"/>
  <c r="N86" i="42"/>
  <c r="AN87" i="27"/>
  <c r="F88" i="42"/>
  <c r="P89" i="27"/>
  <c r="AF89" i="27"/>
  <c r="BC89" i="27" s="1"/>
  <c r="Q88" i="42"/>
  <c r="AV89" i="27"/>
  <c r="H91" i="27"/>
  <c r="I90" i="42"/>
  <c r="X91" i="27"/>
  <c r="N90" i="42"/>
  <c r="AN91" i="27"/>
  <c r="F92" i="42"/>
  <c r="P93" i="27"/>
  <c r="AF93" i="27"/>
  <c r="BC93" i="27" s="1"/>
  <c r="Q92" i="42"/>
  <c r="AV93" i="27"/>
  <c r="F9" i="33"/>
  <c r="G208" i="42"/>
  <c r="O219" i="27"/>
  <c r="P209" i="27"/>
  <c r="AE219" i="27"/>
  <c r="BG219" i="27" s="1"/>
  <c r="AF209" i="27"/>
  <c r="BD209" i="27" s="1"/>
  <c r="AU219" i="27"/>
  <c r="AV209" i="27"/>
  <c r="BA210" i="27"/>
  <c r="BA274" i="27"/>
  <c r="B62" i="26"/>
  <c r="E20" i="44"/>
  <c r="M30" i="26"/>
  <c r="AC30" i="26"/>
  <c r="O30" i="26"/>
  <c r="P22" i="26"/>
  <c r="AE30" i="26"/>
  <c r="AF22" i="26"/>
  <c r="AY22" i="26" s="1"/>
  <c r="O22" i="44"/>
  <c r="AU30" i="26"/>
  <c r="AV22" i="26"/>
  <c r="F23" i="44"/>
  <c r="V30" i="26"/>
  <c r="AN23" i="26"/>
  <c r="AL30" i="26"/>
  <c r="AH30" i="26"/>
  <c r="M89" i="44"/>
  <c r="BA89" i="26"/>
  <c r="E92" i="44"/>
  <c r="BA92" i="26"/>
  <c r="AC94" i="26"/>
  <c r="G147" i="44"/>
  <c r="P149" i="26"/>
  <c r="AV149" i="26"/>
  <c r="C150" i="44"/>
  <c r="D152" i="26"/>
  <c r="AY152" i="26"/>
  <c r="G155" i="44"/>
  <c r="P157" i="26"/>
  <c r="O158" i="26"/>
  <c r="C28" i="33"/>
  <c r="C212" i="44"/>
  <c r="AY215" i="26"/>
  <c r="E28" i="33"/>
  <c r="F212" i="44"/>
  <c r="P215" i="26"/>
  <c r="N401" i="26"/>
  <c r="AF215" i="26"/>
  <c r="BD215" i="26" s="1"/>
  <c r="AD401" i="26"/>
  <c r="AV215" i="26"/>
  <c r="AT401" i="26"/>
  <c r="M58" i="196"/>
  <c r="L7" i="155"/>
  <c r="M65" i="155"/>
  <c r="L48" i="155"/>
  <c r="M57" i="155"/>
  <c r="M58" i="155"/>
  <c r="M61" i="155"/>
  <c r="H16" i="156"/>
  <c r="J16" i="156" s="1"/>
  <c r="J7" i="156"/>
  <c r="L39" i="156"/>
  <c r="M56" i="156"/>
  <c r="H11" i="186"/>
  <c r="G11" i="186"/>
  <c r="D51" i="186"/>
  <c r="H45" i="186"/>
  <c r="G45" i="186"/>
  <c r="C47" i="186"/>
  <c r="G47" i="186" s="1"/>
  <c r="H30" i="9"/>
  <c r="T20" i="9"/>
  <c r="K25" i="132" s="1"/>
  <c r="T24" i="9"/>
  <c r="K29" i="132" s="1"/>
  <c r="T29" i="9"/>
  <c r="K34" i="132" s="1"/>
  <c r="H39" i="9"/>
  <c r="T39" i="9" s="1"/>
  <c r="L28" i="132" s="1"/>
  <c r="E29" i="6"/>
  <c r="F95" i="6"/>
  <c r="E118" i="6"/>
  <c r="S114" i="6"/>
  <c r="F114" i="6"/>
  <c r="F117" i="6"/>
  <c r="H7" i="28"/>
  <c r="J7" i="28" s="1"/>
  <c r="H11" i="28"/>
  <c r="J11" i="28" s="1"/>
  <c r="H15" i="28"/>
  <c r="J15" i="28" s="1"/>
  <c r="I22" i="28"/>
  <c r="H27" i="28"/>
  <c r="J27" i="28" s="1"/>
  <c r="G38" i="28"/>
  <c r="I42" i="28"/>
  <c r="I46" i="28"/>
  <c r="I50" i="28"/>
  <c r="I54" i="28"/>
  <c r="I65" i="28"/>
  <c r="I73" i="28"/>
  <c r="I77" i="28"/>
  <c r="I84" i="28"/>
  <c r="I87" i="28"/>
  <c r="G92" i="28"/>
  <c r="I98" i="28"/>
  <c r="I102" i="28"/>
  <c r="I106" i="28"/>
  <c r="E52" i="27"/>
  <c r="E30" i="27"/>
  <c r="I30" i="27"/>
  <c r="E20" i="42"/>
  <c r="M30" i="27"/>
  <c r="Q30" i="27"/>
  <c r="U30" i="27"/>
  <c r="I20" i="42"/>
  <c r="Y30" i="27"/>
  <c r="AG30" i="27"/>
  <c r="AZ30" i="27" s="1"/>
  <c r="M20" i="42"/>
  <c r="AK30" i="27"/>
  <c r="AO30" i="27"/>
  <c r="Q20" i="42"/>
  <c r="AW30" i="27"/>
  <c r="B23" i="42"/>
  <c r="L23" i="27"/>
  <c r="P23" i="27"/>
  <c r="O23" i="42"/>
  <c r="AV23" i="27"/>
  <c r="C25" i="42"/>
  <c r="F25" i="42"/>
  <c r="I28" i="42"/>
  <c r="M28" i="42"/>
  <c r="Q28" i="42"/>
  <c r="V94" i="27"/>
  <c r="AD94" i="27"/>
  <c r="AT94" i="27"/>
  <c r="B115" i="27"/>
  <c r="I156" i="27"/>
  <c r="N156" i="27"/>
  <c r="Y156" i="27"/>
  <c r="L209" i="27"/>
  <c r="I9" i="33"/>
  <c r="K208" i="42"/>
  <c r="AB209" i="27"/>
  <c r="AR209" i="27"/>
  <c r="H210" i="27"/>
  <c r="I209" i="42"/>
  <c r="X210" i="27"/>
  <c r="N209" i="42"/>
  <c r="AN210" i="27"/>
  <c r="AA219" i="27"/>
  <c r="I273" i="42"/>
  <c r="Q306" i="27"/>
  <c r="Q283" i="27"/>
  <c r="AG306" i="27"/>
  <c r="BF306" i="27" s="1"/>
  <c r="AG283" i="27"/>
  <c r="BG283" i="27" s="1"/>
  <c r="AW306" i="27"/>
  <c r="AW283" i="27"/>
  <c r="AY276" i="27"/>
  <c r="E277" i="42"/>
  <c r="E310" i="27"/>
  <c r="BA278" i="27"/>
  <c r="I314" i="27"/>
  <c r="BA282" i="27"/>
  <c r="Y314" i="27"/>
  <c r="Q281" i="42"/>
  <c r="AO314" i="27"/>
  <c r="L13" i="6"/>
  <c r="Q13" i="6" s="1"/>
  <c r="L84" i="26"/>
  <c r="J94" i="26"/>
  <c r="J84" i="44"/>
  <c r="AB84" i="26"/>
  <c r="Z94" i="26"/>
  <c r="AR84" i="26"/>
  <c r="AP94" i="26"/>
  <c r="C86" i="44"/>
  <c r="AY86" i="26"/>
  <c r="U94" i="26"/>
  <c r="AK94" i="26"/>
  <c r="M91" i="44"/>
  <c r="BA91" i="26"/>
  <c r="AS94" i="26"/>
  <c r="AY150" i="26"/>
  <c r="O149" i="44"/>
  <c r="AN151" i="26"/>
  <c r="AY151" i="26"/>
  <c r="AY153" i="26"/>
  <c r="K152" i="44"/>
  <c r="AB154" i="26"/>
  <c r="AR154" i="26"/>
  <c r="AE158" i="26"/>
  <c r="I27" i="33"/>
  <c r="K211" i="44"/>
  <c r="AB214" i="26"/>
  <c r="AI401" i="26"/>
  <c r="C281" i="44"/>
  <c r="C406" i="26"/>
  <c r="F281" i="44"/>
  <c r="N406" i="26"/>
  <c r="P374" i="26"/>
  <c r="AD406" i="26"/>
  <c r="AF374" i="26"/>
  <c r="BF374" i="26" s="1"/>
  <c r="AT406" i="26"/>
  <c r="AV374" i="26"/>
  <c r="K32" i="35"/>
  <c r="S32" i="35" s="1"/>
  <c r="F70" i="35"/>
  <c r="C53" i="136"/>
  <c r="G53" i="136" s="1"/>
  <c r="C13" i="136"/>
  <c r="G13" i="136" s="1"/>
  <c r="J13" i="136" s="1"/>
  <c r="L26" i="5"/>
  <c r="G63" i="182"/>
  <c r="E62" i="182"/>
  <c r="E499" i="182"/>
  <c r="O363" i="183"/>
  <c r="H63" i="182"/>
  <c r="J63" i="182"/>
  <c r="I63" i="182"/>
  <c r="E30" i="182"/>
  <c r="E76" i="183"/>
  <c r="E434" i="182"/>
  <c r="E114" i="183"/>
  <c r="E130" i="183" s="1"/>
  <c r="E116" i="182"/>
  <c r="E24" i="182"/>
  <c r="P365" i="183"/>
  <c r="O501" i="182"/>
  <c r="E122" i="182"/>
  <c r="E31" i="182"/>
  <c r="H7" i="132"/>
  <c r="H9" i="132"/>
  <c r="H11" i="132"/>
  <c r="H13" i="132"/>
  <c r="H15" i="132"/>
  <c r="D15" i="185"/>
  <c r="D48" i="185"/>
  <c r="H48" i="185"/>
  <c r="R100" i="185"/>
  <c r="S4" i="134"/>
  <c r="S20" i="134"/>
  <c r="I7" i="132" s="1"/>
  <c r="S22" i="134"/>
  <c r="I9" i="132" s="1"/>
  <c r="S24" i="134"/>
  <c r="I11" i="132" s="1"/>
  <c r="S26" i="134"/>
  <c r="I13" i="132" s="1"/>
  <c r="S28" i="134"/>
  <c r="I15" i="132" s="1"/>
  <c r="M29" i="134"/>
  <c r="T28" i="9"/>
  <c r="K33" i="132" s="1"/>
  <c r="H36" i="9"/>
  <c r="H40" i="9"/>
  <c r="T40" i="9" s="1"/>
  <c r="L29" i="132" s="1"/>
  <c r="H44" i="9"/>
  <c r="T44" i="9" s="1"/>
  <c r="L33" i="132" s="1"/>
  <c r="F20" i="6"/>
  <c r="F24" i="6"/>
  <c r="F28" i="6"/>
  <c r="S94" i="6"/>
  <c r="S108" i="6"/>
  <c r="I5" i="28"/>
  <c r="I19" i="28"/>
  <c r="H26" i="28"/>
  <c r="J26" i="28" s="1"/>
  <c r="I39" i="28"/>
  <c r="H41" i="28"/>
  <c r="J41" i="28" s="1"/>
  <c r="H45" i="28"/>
  <c r="J45" i="28" s="1"/>
  <c r="H49" i="28"/>
  <c r="J49" i="28" s="1"/>
  <c r="H53" i="28"/>
  <c r="J53" i="28" s="1"/>
  <c r="H58" i="28"/>
  <c r="J58" i="28" s="1"/>
  <c r="H62" i="28"/>
  <c r="J62" i="28" s="1"/>
  <c r="H66" i="28"/>
  <c r="J66" i="28" s="1"/>
  <c r="H70" i="28"/>
  <c r="J70" i="28" s="1"/>
  <c r="H74" i="28"/>
  <c r="J74" i="28" s="1"/>
  <c r="E75" i="28"/>
  <c r="H78" i="28"/>
  <c r="J78" i="28" s="1"/>
  <c r="H82" i="28"/>
  <c r="J82" i="28" s="1"/>
  <c r="H89" i="28"/>
  <c r="J89" i="28" s="1"/>
  <c r="I101" i="28"/>
  <c r="H104" i="28"/>
  <c r="J104" i="28" s="1"/>
  <c r="B30" i="27"/>
  <c r="F30" i="27"/>
  <c r="N30" i="27"/>
  <c r="R30" i="27"/>
  <c r="Z30" i="27"/>
  <c r="AD30" i="27"/>
  <c r="AL30" i="27"/>
  <c r="AP30" i="27"/>
  <c r="B21" i="42"/>
  <c r="L21" i="27"/>
  <c r="P21" i="27"/>
  <c r="AB21" i="27"/>
  <c r="O21" i="42"/>
  <c r="AV21" i="27"/>
  <c r="C23" i="42"/>
  <c r="AR23" i="27"/>
  <c r="H25" i="27"/>
  <c r="G25" i="42"/>
  <c r="X25" i="27"/>
  <c r="J25" i="42"/>
  <c r="AJ25" i="27"/>
  <c r="AN25" i="27"/>
  <c r="C59" i="27"/>
  <c r="D27" i="27"/>
  <c r="T27" i="27"/>
  <c r="AF27" i="27"/>
  <c r="AY27" i="27" s="1"/>
  <c r="K27" i="42"/>
  <c r="N27" i="42"/>
  <c r="B29" i="42"/>
  <c r="L29" i="27"/>
  <c r="P29" i="27"/>
  <c r="AB29" i="27"/>
  <c r="O29" i="42"/>
  <c r="AV29" i="27"/>
  <c r="B53" i="27"/>
  <c r="B116" i="27" s="1"/>
  <c r="D58" i="27"/>
  <c r="B61" i="27"/>
  <c r="B124" i="27" s="1"/>
  <c r="C83" i="42"/>
  <c r="C115" i="27"/>
  <c r="G83" i="42"/>
  <c r="K83" i="42"/>
  <c r="O83" i="42"/>
  <c r="E84" i="42"/>
  <c r="J84" i="42"/>
  <c r="AB85" i="27"/>
  <c r="AR85" i="27"/>
  <c r="B86" i="42"/>
  <c r="D87" i="27"/>
  <c r="T87" i="27"/>
  <c r="M86" i="42"/>
  <c r="AJ87" i="27"/>
  <c r="AX87" i="27"/>
  <c r="C87" i="42"/>
  <c r="G87" i="42"/>
  <c r="K87" i="42"/>
  <c r="O87" i="42"/>
  <c r="E88" i="42"/>
  <c r="L89" i="27"/>
  <c r="J88" i="42"/>
  <c r="AB89" i="27"/>
  <c r="AR89" i="27"/>
  <c r="B90" i="42"/>
  <c r="B122" i="27"/>
  <c r="D91" i="27"/>
  <c r="T91" i="27"/>
  <c r="M90" i="42"/>
  <c r="AJ91" i="27"/>
  <c r="AX91" i="27"/>
  <c r="C91" i="42"/>
  <c r="G91" i="42"/>
  <c r="K91" i="42"/>
  <c r="O91" i="42"/>
  <c r="E92" i="42"/>
  <c r="L93" i="27"/>
  <c r="J92" i="42"/>
  <c r="AB93" i="27"/>
  <c r="AR93" i="27"/>
  <c r="B145" i="42"/>
  <c r="D146" i="27"/>
  <c r="G156" i="27"/>
  <c r="W156" i="27"/>
  <c r="M145" i="42"/>
  <c r="AX146" i="27"/>
  <c r="E147" i="42"/>
  <c r="J147" i="42"/>
  <c r="AB148" i="27"/>
  <c r="B149" i="42"/>
  <c r="M149" i="42"/>
  <c r="AX150" i="27"/>
  <c r="E151" i="42"/>
  <c r="J151" i="42"/>
  <c r="AB152" i="27"/>
  <c r="B153" i="42"/>
  <c r="M153" i="42"/>
  <c r="AX154" i="27"/>
  <c r="AD156" i="27"/>
  <c r="AT156" i="27"/>
  <c r="B10" i="33"/>
  <c r="B209" i="42"/>
  <c r="D210" i="27"/>
  <c r="T210" i="27"/>
  <c r="M209" i="42"/>
  <c r="AJ210" i="27"/>
  <c r="AX210" i="27"/>
  <c r="AR211" i="27"/>
  <c r="E211" i="42"/>
  <c r="E308" i="27"/>
  <c r="U308" i="27"/>
  <c r="AK308" i="27"/>
  <c r="L213" i="27"/>
  <c r="I13" i="33"/>
  <c r="K212" i="42"/>
  <c r="AB213" i="27"/>
  <c r="AR213" i="27"/>
  <c r="E213" i="42"/>
  <c r="L215" i="27"/>
  <c r="I16" i="33"/>
  <c r="K214" i="42"/>
  <c r="AB215" i="27"/>
  <c r="AR215" i="27"/>
  <c r="E215" i="42"/>
  <c r="E312" i="27"/>
  <c r="U312" i="27"/>
  <c r="AK312" i="27"/>
  <c r="L217" i="27"/>
  <c r="I18" i="33"/>
  <c r="K216" i="42"/>
  <c r="AB217" i="27"/>
  <c r="AR217" i="27"/>
  <c r="E217" i="42"/>
  <c r="F305" i="27"/>
  <c r="F283" i="27"/>
  <c r="H273" i="27"/>
  <c r="K305" i="27"/>
  <c r="V305" i="27"/>
  <c r="V283" i="27"/>
  <c r="X273" i="27"/>
  <c r="N272" i="42"/>
  <c r="AL305" i="27"/>
  <c r="AL283" i="27"/>
  <c r="AN273" i="27"/>
  <c r="I4" i="6"/>
  <c r="AQ305" i="27"/>
  <c r="M306" i="27"/>
  <c r="M283" i="27"/>
  <c r="M273" i="42"/>
  <c r="AC306" i="27"/>
  <c r="AC283" i="27"/>
  <c r="AS306" i="27"/>
  <c r="AS283" i="27"/>
  <c r="G308" i="27"/>
  <c r="H276" i="27"/>
  <c r="W308" i="27"/>
  <c r="X276" i="27"/>
  <c r="O275" i="42"/>
  <c r="AM308" i="27"/>
  <c r="J7" i="6"/>
  <c r="O7" i="6" s="1"/>
  <c r="AN276" i="27"/>
  <c r="J309" i="27"/>
  <c r="L277" i="27"/>
  <c r="J276" i="42"/>
  <c r="Z309" i="27"/>
  <c r="AB277" i="27"/>
  <c r="AE309" i="27"/>
  <c r="AP309" i="27"/>
  <c r="AR277" i="27"/>
  <c r="AU309" i="27"/>
  <c r="I277" i="42"/>
  <c r="Q310" i="27"/>
  <c r="AG310" i="27"/>
  <c r="BF310" i="27" s="1"/>
  <c r="AW310" i="27"/>
  <c r="G311" i="27"/>
  <c r="K311" i="27"/>
  <c r="S311" i="27"/>
  <c r="W311" i="27"/>
  <c r="AE311" i="27"/>
  <c r="AI311" i="27"/>
  <c r="AQ311" i="27"/>
  <c r="AU311" i="27"/>
  <c r="K312" i="27"/>
  <c r="L280" i="27"/>
  <c r="K279" i="42"/>
  <c r="AA312" i="27"/>
  <c r="AB280" i="27"/>
  <c r="AQ312" i="27"/>
  <c r="AR280" i="27"/>
  <c r="F280" i="42"/>
  <c r="N313" i="27"/>
  <c r="P281" i="27"/>
  <c r="S313" i="27"/>
  <c r="AD313" i="27"/>
  <c r="AF281" i="27"/>
  <c r="BF281" i="27" s="1"/>
  <c r="AI313" i="27"/>
  <c r="AT313" i="27"/>
  <c r="AV281" i="27"/>
  <c r="E281" i="42"/>
  <c r="E314" i="27"/>
  <c r="U314" i="27"/>
  <c r="AK314" i="27"/>
  <c r="I30" i="26"/>
  <c r="I20" i="44"/>
  <c r="Y30" i="26"/>
  <c r="AO30" i="26"/>
  <c r="C22" i="44"/>
  <c r="K30" i="26"/>
  <c r="L22" i="26"/>
  <c r="AA30" i="26"/>
  <c r="AB22" i="26"/>
  <c r="AQ30" i="26"/>
  <c r="AR22" i="26"/>
  <c r="H23" i="26"/>
  <c r="J23" i="44"/>
  <c r="AJ23" i="26"/>
  <c r="E24" i="44"/>
  <c r="P26" i="26"/>
  <c r="AF26" i="26"/>
  <c r="AY26" i="26" s="1"/>
  <c r="O26" i="44"/>
  <c r="AV26" i="26"/>
  <c r="AB27" i="26"/>
  <c r="D28" i="26"/>
  <c r="T28" i="26"/>
  <c r="F29" i="44"/>
  <c r="AN29" i="26"/>
  <c r="D53" i="26"/>
  <c r="H84" i="26"/>
  <c r="F94" i="26"/>
  <c r="X84" i="26"/>
  <c r="V94" i="26"/>
  <c r="N84" i="44"/>
  <c r="AN84" i="26"/>
  <c r="AL94" i="26"/>
  <c r="B85" i="44"/>
  <c r="D85" i="26"/>
  <c r="B117" i="26"/>
  <c r="T85" i="26"/>
  <c r="AJ85" i="26"/>
  <c r="AX85" i="26"/>
  <c r="I86" i="44"/>
  <c r="Q87" i="44"/>
  <c r="I88" i="44"/>
  <c r="Q89" i="44"/>
  <c r="I90" i="44"/>
  <c r="Q91" i="44"/>
  <c r="I92" i="44"/>
  <c r="Q93" i="44"/>
  <c r="Q94" i="26"/>
  <c r="AW94" i="26"/>
  <c r="G146" i="44"/>
  <c r="P148" i="26"/>
  <c r="AV148" i="26"/>
  <c r="K147" i="44"/>
  <c r="AB149" i="26"/>
  <c r="O148" i="44"/>
  <c r="AN150" i="26"/>
  <c r="C149" i="44"/>
  <c r="D151" i="26"/>
  <c r="G150" i="44"/>
  <c r="P152" i="26"/>
  <c r="K151" i="44"/>
  <c r="AB153" i="26"/>
  <c r="O152" i="44"/>
  <c r="AN154" i="26"/>
  <c r="C153" i="44"/>
  <c r="D155" i="26"/>
  <c r="G154" i="44"/>
  <c r="P156" i="26"/>
  <c r="AV156" i="26"/>
  <c r="K155" i="44"/>
  <c r="AB157" i="26"/>
  <c r="L27" i="33"/>
  <c r="O211" i="44"/>
  <c r="AN214" i="26"/>
  <c r="E214" i="44"/>
  <c r="BA217" i="26"/>
  <c r="I214" i="44"/>
  <c r="Q214" i="44"/>
  <c r="L10" i="9"/>
  <c r="H219" i="26"/>
  <c r="F405" i="26"/>
  <c r="X219" i="26"/>
  <c r="V405" i="26"/>
  <c r="I33" i="33"/>
  <c r="K216" i="44"/>
  <c r="AA405" i="26"/>
  <c r="K33" i="33"/>
  <c r="N216" i="44"/>
  <c r="I12" i="9"/>
  <c r="AN219" i="26"/>
  <c r="AL405" i="26"/>
  <c r="E217" i="44"/>
  <c r="BA220" i="26"/>
  <c r="E406" i="26"/>
  <c r="J217" i="44"/>
  <c r="AB220" i="26"/>
  <c r="AK406" i="26"/>
  <c r="AK221" i="26"/>
  <c r="F398" i="26"/>
  <c r="H366" i="26"/>
  <c r="F375" i="26"/>
  <c r="V398" i="26"/>
  <c r="X366" i="26"/>
  <c r="V375" i="26"/>
  <c r="K273" i="44"/>
  <c r="AA398" i="26"/>
  <c r="N273" i="44"/>
  <c r="AL398" i="26"/>
  <c r="AN366" i="26"/>
  <c r="AL375" i="26"/>
  <c r="J402" i="26"/>
  <c r="L370" i="26"/>
  <c r="G277" i="44"/>
  <c r="O402" i="26"/>
  <c r="J277" i="44"/>
  <c r="Z402" i="26"/>
  <c r="AB370" i="26"/>
  <c r="AP402" i="26"/>
  <c r="AR370" i="26"/>
  <c r="K405" i="26"/>
  <c r="AQ405" i="26"/>
  <c r="E403" i="26"/>
  <c r="J161" i="125"/>
  <c r="C54" i="136"/>
  <c r="C14" i="136"/>
  <c r="G14" i="136" s="1"/>
  <c r="J14" i="136" s="1"/>
  <c r="L27" i="5"/>
  <c r="L314" i="183"/>
  <c r="F26" i="183"/>
  <c r="R101" i="185"/>
  <c r="G10" i="186"/>
  <c r="G14" i="186"/>
  <c r="C18" i="9"/>
  <c r="H8" i="28"/>
  <c r="J8" i="28" s="1"/>
  <c r="H12" i="28"/>
  <c r="J12" i="28" s="1"/>
  <c r="H21" i="28"/>
  <c r="J21" i="28" s="1"/>
  <c r="H34" i="28"/>
  <c r="J34" i="28" s="1"/>
  <c r="H61" i="28"/>
  <c r="J61" i="28" s="1"/>
  <c r="H65" i="28"/>
  <c r="J65" i="28" s="1"/>
  <c r="H69" i="28"/>
  <c r="J69" i="28" s="1"/>
  <c r="H73" i="28"/>
  <c r="J73" i="28" s="1"/>
  <c r="H77" i="28"/>
  <c r="J77" i="28" s="1"/>
  <c r="H81" i="28"/>
  <c r="J81" i="28" s="1"/>
  <c r="H88" i="28"/>
  <c r="J88" i="28" s="1"/>
  <c r="H99" i="28"/>
  <c r="J99" i="28" s="1"/>
  <c r="H100" i="28"/>
  <c r="J100" i="28" s="1"/>
  <c r="C30" i="27"/>
  <c r="G30" i="27"/>
  <c r="O30" i="27"/>
  <c r="S30" i="27"/>
  <c r="AA30" i="27"/>
  <c r="AE30" i="27"/>
  <c r="AM30" i="27"/>
  <c r="AQ30" i="27"/>
  <c r="C21" i="42"/>
  <c r="H23" i="27"/>
  <c r="G23" i="42"/>
  <c r="X23" i="27"/>
  <c r="J23" i="42"/>
  <c r="AJ23" i="27"/>
  <c r="AN23" i="27"/>
  <c r="C57" i="27"/>
  <c r="D57" i="27" s="1"/>
  <c r="D25" i="27"/>
  <c r="T25" i="27"/>
  <c r="AF25" i="27"/>
  <c r="AY25" i="27" s="1"/>
  <c r="K25" i="42"/>
  <c r="N25" i="42"/>
  <c r="B27" i="42"/>
  <c r="L27" i="27"/>
  <c r="P27" i="27"/>
  <c r="AB27" i="27"/>
  <c r="O27" i="42"/>
  <c r="AV27" i="27"/>
  <c r="C29" i="42"/>
  <c r="H85" i="27"/>
  <c r="I84" i="42"/>
  <c r="X85" i="27"/>
  <c r="AN85" i="27"/>
  <c r="AY86" i="27"/>
  <c r="F86" i="42"/>
  <c r="P87" i="27"/>
  <c r="AF87" i="27"/>
  <c r="BC87" i="27" s="1"/>
  <c r="Q86" i="42"/>
  <c r="AV87" i="27"/>
  <c r="H89" i="27"/>
  <c r="I88" i="42"/>
  <c r="X89" i="27"/>
  <c r="N88" i="42"/>
  <c r="AN89" i="27"/>
  <c r="F90" i="42"/>
  <c r="P91" i="27"/>
  <c r="AF91" i="27"/>
  <c r="BC91" i="27" s="1"/>
  <c r="Q90" i="42"/>
  <c r="AV91" i="27"/>
  <c r="H93" i="27"/>
  <c r="I92" i="42"/>
  <c r="X93" i="27"/>
  <c r="N92" i="42"/>
  <c r="AN93" i="27"/>
  <c r="K94" i="27"/>
  <c r="S94" i="27"/>
  <c r="AI94" i="27"/>
  <c r="AQ94" i="27"/>
  <c r="F145" i="42"/>
  <c r="P146" i="27"/>
  <c r="S156" i="27"/>
  <c r="AI156" i="27"/>
  <c r="Q145" i="42"/>
  <c r="I103" i="195"/>
  <c r="BA146" i="27"/>
  <c r="I147" i="42"/>
  <c r="N147" i="42"/>
  <c r="AN148" i="27"/>
  <c r="AY149" i="27"/>
  <c r="F149" i="42"/>
  <c r="P150" i="27"/>
  <c r="Q149" i="42"/>
  <c r="I107" i="195"/>
  <c r="BA150" i="27"/>
  <c r="Q107" i="195" s="1"/>
  <c r="I151" i="42"/>
  <c r="N151" i="42"/>
  <c r="AN152" i="27"/>
  <c r="AY153" i="27"/>
  <c r="F153" i="42"/>
  <c r="P154" i="27"/>
  <c r="Q153" i="42"/>
  <c r="I111" i="195"/>
  <c r="BA154" i="27"/>
  <c r="Q111" i="195" s="1"/>
  <c r="AO156" i="27"/>
  <c r="AW219" i="27"/>
  <c r="E10" i="33"/>
  <c r="F209" i="42"/>
  <c r="P210" i="27"/>
  <c r="AF210" i="27"/>
  <c r="BD210" i="27" s="1"/>
  <c r="Q209" i="42"/>
  <c r="K5" i="134"/>
  <c r="AV210" i="27"/>
  <c r="O210" i="42"/>
  <c r="AN211" i="27"/>
  <c r="AY211" i="27"/>
  <c r="I211" i="42"/>
  <c r="Q308" i="27"/>
  <c r="AG308" i="27"/>
  <c r="BF308" i="27" s="1"/>
  <c r="AW308" i="27"/>
  <c r="H213" i="27"/>
  <c r="X213" i="27"/>
  <c r="O212" i="42"/>
  <c r="I8" i="134"/>
  <c r="AN213" i="27"/>
  <c r="AY213" i="27"/>
  <c r="I213" i="42"/>
  <c r="H215" i="27"/>
  <c r="X215" i="27"/>
  <c r="O214" i="42"/>
  <c r="I10" i="134"/>
  <c r="AN215" i="27"/>
  <c r="AY215" i="27"/>
  <c r="I215" i="42"/>
  <c r="Q312" i="27"/>
  <c r="AG312" i="27"/>
  <c r="BF312" i="27" s="1"/>
  <c r="AW312" i="27"/>
  <c r="H217" i="27"/>
  <c r="X217" i="27"/>
  <c r="O216" i="42"/>
  <c r="I12" i="134"/>
  <c r="AN217" i="27"/>
  <c r="AY217" i="27"/>
  <c r="I217" i="42"/>
  <c r="B272" i="42"/>
  <c r="B305" i="27"/>
  <c r="B283" i="27"/>
  <c r="D273" i="27"/>
  <c r="G305" i="27"/>
  <c r="R305" i="27"/>
  <c r="R283" i="27"/>
  <c r="T273" i="27"/>
  <c r="W305" i="27"/>
  <c r="AH305" i="27"/>
  <c r="AH283" i="27"/>
  <c r="AJ273" i="27"/>
  <c r="AX273" i="27"/>
  <c r="I306" i="27"/>
  <c r="I283" i="27"/>
  <c r="Y306" i="27"/>
  <c r="Y283" i="27"/>
  <c r="Q273" i="42"/>
  <c r="AO306" i="27"/>
  <c r="AO283" i="27"/>
  <c r="L5" i="6"/>
  <c r="Q5" i="6" s="1"/>
  <c r="C275" i="42"/>
  <c r="C308" i="27"/>
  <c r="D276" i="27"/>
  <c r="S308" i="27"/>
  <c r="T276" i="27"/>
  <c r="AI308" i="27"/>
  <c r="AJ276" i="27"/>
  <c r="F309" i="27"/>
  <c r="H277" i="27"/>
  <c r="V309" i="27"/>
  <c r="X277" i="27"/>
  <c r="N276" i="42"/>
  <c r="AL309" i="27"/>
  <c r="AN277" i="27"/>
  <c r="I8" i="6"/>
  <c r="M277" i="42"/>
  <c r="AC310" i="27"/>
  <c r="G312" i="27"/>
  <c r="H280" i="27"/>
  <c r="W312" i="27"/>
  <c r="X280" i="27"/>
  <c r="O279" i="42"/>
  <c r="AM312" i="27"/>
  <c r="J11" i="6"/>
  <c r="O11" i="6" s="1"/>
  <c r="AN280" i="27"/>
  <c r="AY280" i="27"/>
  <c r="J313" i="27"/>
  <c r="L281" i="27"/>
  <c r="J280" i="42"/>
  <c r="Z313" i="27"/>
  <c r="AB281" i="27"/>
  <c r="AE313" i="27"/>
  <c r="AP313" i="27"/>
  <c r="AR281" i="27"/>
  <c r="AU313" i="27"/>
  <c r="I281" i="42"/>
  <c r="Q314" i="27"/>
  <c r="AG314" i="27"/>
  <c r="BF314" i="27" s="1"/>
  <c r="AW314" i="27"/>
  <c r="E30" i="26"/>
  <c r="E52" i="26"/>
  <c r="U30" i="26"/>
  <c r="M20" i="44"/>
  <c r="AK30" i="26"/>
  <c r="G30" i="26"/>
  <c r="H22" i="26"/>
  <c r="G22" i="44"/>
  <c r="W30" i="26"/>
  <c r="X22" i="26"/>
  <c r="AM30" i="26"/>
  <c r="AN22" i="26"/>
  <c r="N23" i="44"/>
  <c r="I24" i="44"/>
  <c r="C26" i="44"/>
  <c r="L26" i="26"/>
  <c r="AB26" i="26"/>
  <c r="J27" i="44"/>
  <c r="AJ27" i="26"/>
  <c r="B28" i="44"/>
  <c r="J29" i="44"/>
  <c r="AJ29" i="26"/>
  <c r="J30" i="26"/>
  <c r="AP30" i="26"/>
  <c r="D61" i="26"/>
  <c r="B84" i="44"/>
  <c r="D84" i="26"/>
  <c r="B116" i="26"/>
  <c r="B94" i="26"/>
  <c r="T84" i="26"/>
  <c r="R94" i="26"/>
  <c r="AJ84" i="26"/>
  <c r="AH94" i="26"/>
  <c r="AX84" i="26"/>
  <c r="F85" i="44"/>
  <c r="P85" i="26"/>
  <c r="AF85" i="26"/>
  <c r="BD85" i="26" s="1"/>
  <c r="AV85" i="26"/>
  <c r="M86" i="44"/>
  <c r="BA86" i="26"/>
  <c r="E87" i="44"/>
  <c r="M88" i="44"/>
  <c r="E89" i="44"/>
  <c r="M90" i="44"/>
  <c r="E91" i="44"/>
  <c r="M92" i="44"/>
  <c r="E93" i="44"/>
  <c r="E94" i="26"/>
  <c r="K146" i="44"/>
  <c r="AB148" i="26"/>
  <c r="O147" i="44"/>
  <c r="AN149" i="26"/>
  <c r="C148" i="44"/>
  <c r="D150" i="26"/>
  <c r="G149" i="44"/>
  <c r="P151" i="26"/>
  <c r="AV151" i="26"/>
  <c r="K150" i="44"/>
  <c r="AB152" i="26"/>
  <c r="O151" i="44"/>
  <c r="AN153" i="26"/>
  <c r="C152" i="44"/>
  <c r="D154" i="26"/>
  <c r="G153" i="44"/>
  <c r="P155" i="26"/>
  <c r="AV155" i="26"/>
  <c r="K154" i="44"/>
  <c r="AB156" i="26"/>
  <c r="O155" i="44"/>
  <c r="AN157" i="26"/>
  <c r="G158" i="26"/>
  <c r="W158" i="26"/>
  <c r="F221" i="26"/>
  <c r="H211" i="26"/>
  <c r="F397" i="26"/>
  <c r="K221" i="26"/>
  <c r="V221" i="26"/>
  <c r="X211" i="26"/>
  <c r="V397" i="26"/>
  <c r="I24" i="33"/>
  <c r="K208" i="44"/>
  <c r="AA221" i="26"/>
  <c r="K24" i="33"/>
  <c r="N208" i="44"/>
  <c r="I4" i="9"/>
  <c r="AL221" i="26"/>
  <c r="AN211" i="26"/>
  <c r="AL397" i="26"/>
  <c r="AQ221" i="26"/>
  <c r="E209" i="44"/>
  <c r="BA212" i="26"/>
  <c r="H25" i="33"/>
  <c r="J209" i="44"/>
  <c r="AB212" i="26"/>
  <c r="C27" i="33"/>
  <c r="C211" i="44"/>
  <c r="AY214" i="26"/>
  <c r="C400" i="26"/>
  <c r="D214" i="26"/>
  <c r="S400" i="26"/>
  <c r="T214" i="26"/>
  <c r="AI400" i="26"/>
  <c r="AJ214" i="26"/>
  <c r="AJ336" i="26"/>
  <c r="AK336" i="26" s="1"/>
  <c r="E274" i="44"/>
  <c r="BA367" i="26"/>
  <c r="E399" i="26"/>
  <c r="E375" i="26"/>
  <c r="L367" i="26"/>
  <c r="J399" i="26"/>
  <c r="U399" i="26"/>
  <c r="U375" i="26"/>
  <c r="J274" i="44"/>
  <c r="AB367" i="26"/>
  <c r="Z399" i="26"/>
  <c r="AK399" i="26"/>
  <c r="AK375" i="26"/>
  <c r="AR367" i="26"/>
  <c r="AP399" i="26"/>
  <c r="I403" i="26"/>
  <c r="F278" i="44"/>
  <c r="P371" i="26"/>
  <c r="N403" i="26"/>
  <c r="Y403" i="26"/>
  <c r="AF371" i="26"/>
  <c r="BF371" i="26" s="1"/>
  <c r="AD403" i="26"/>
  <c r="Q278" i="44"/>
  <c r="AO403" i="26"/>
  <c r="AV371" i="26"/>
  <c r="AT403" i="26"/>
  <c r="J375" i="26"/>
  <c r="AP375" i="26"/>
  <c r="E161" i="125"/>
  <c r="O152" i="125"/>
  <c r="H155" i="125"/>
  <c r="P155" i="125"/>
  <c r="G155" i="125"/>
  <c r="F7" i="5"/>
  <c r="M10" i="35"/>
  <c r="C11" i="5"/>
  <c r="F26" i="5"/>
  <c r="F14" i="35"/>
  <c r="D70" i="35"/>
  <c r="N36" i="35"/>
  <c r="I6" i="5"/>
  <c r="F26" i="35"/>
  <c r="E36" i="35"/>
  <c r="K34" i="35"/>
  <c r="C8" i="136"/>
  <c r="G8" i="136" s="1"/>
  <c r="J8" i="136" s="1"/>
  <c r="F66" i="35"/>
  <c r="C49" i="136"/>
  <c r="G49" i="136" s="1"/>
  <c r="L22" i="5"/>
  <c r="H41" i="5"/>
  <c r="D89" i="35"/>
  <c r="E77" i="182"/>
  <c r="E84" i="183"/>
  <c r="E466" i="182"/>
  <c r="E15" i="182"/>
  <c r="D70" i="42"/>
  <c r="B78" i="42"/>
  <c r="R70" i="42"/>
  <c r="N84" i="42"/>
  <c r="S19" i="134"/>
  <c r="I6" i="132" s="1"/>
  <c r="S21" i="134"/>
  <c r="I8" i="132" s="1"/>
  <c r="S23" i="134"/>
  <c r="I10" i="132" s="1"/>
  <c r="S25" i="134"/>
  <c r="I12" i="132" s="1"/>
  <c r="S27" i="134"/>
  <c r="I14" i="132" s="1"/>
  <c r="G29" i="134"/>
  <c r="G39" i="134"/>
  <c r="G41" i="134"/>
  <c r="G43" i="134"/>
  <c r="T4" i="9"/>
  <c r="F22" i="6"/>
  <c r="F26" i="6"/>
  <c r="H84" i="28"/>
  <c r="J84" i="28" s="1"/>
  <c r="H87" i="28"/>
  <c r="J87" i="28" s="1"/>
  <c r="H91" i="28"/>
  <c r="J91" i="28" s="1"/>
  <c r="H98" i="28"/>
  <c r="J98" i="28" s="1"/>
  <c r="H102" i="28"/>
  <c r="J102" i="28" s="1"/>
  <c r="H21" i="27"/>
  <c r="G21" i="42"/>
  <c r="X21" i="27"/>
  <c r="J21" i="42"/>
  <c r="AJ21" i="27"/>
  <c r="AN21" i="27"/>
  <c r="C55" i="27"/>
  <c r="D23" i="27"/>
  <c r="T23" i="27"/>
  <c r="AF23" i="27"/>
  <c r="AY23" i="27" s="1"/>
  <c r="K23" i="42"/>
  <c r="N23" i="42"/>
  <c r="B25" i="42"/>
  <c r="L25" i="27"/>
  <c r="P25" i="27"/>
  <c r="AB25" i="27"/>
  <c r="O25" i="42"/>
  <c r="AV25" i="27"/>
  <c r="C27" i="42"/>
  <c r="H29" i="27"/>
  <c r="G29" i="42"/>
  <c r="X29" i="27"/>
  <c r="J29" i="42"/>
  <c r="AJ29" i="27"/>
  <c r="AN29" i="27"/>
  <c r="I94" i="27"/>
  <c r="Y94" i="27"/>
  <c r="AG94" i="27"/>
  <c r="BD94" i="27" s="1"/>
  <c r="AW94" i="27"/>
  <c r="B84" i="42"/>
  <c r="D85" i="27"/>
  <c r="T85" i="27"/>
  <c r="M84" i="42"/>
  <c r="AJ85" i="27"/>
  <c r="AX85" i="27"/>
  <c r="C85" i="42"/>
  <c r="G85" i="42"/>
  <c r="K85" i="42"/>
  <c r="O85" i="42"/>
  <c r="E86" i="42"/>
  <c r="J86" i="42"/>
  <c r="AB87" i="27"/>
  <c r="AR87" i="27"/>
  <c r="B88" i="42"/>
  <c r="B120" i="27"/>
  <c r="D89" i="27"/>
  <c r="T89" i="27"/>
  <c r="M88" i="42"/>
  <c r="AJ89" i="27"/>
  <c r="AX89" i="27"/>
  <c r="C89" i="42"/>
  <c r="C121" i="27"/>
  <c r="G89" i="42"/>
  <c r="K89" i="42"/>
  <c r="O89" i="42"/>
  <c r="E90" i="42"/>
  <c r="L91" i="27"/>
  <c r="J90" i="42"/>
  <c r="AB91" i="27"/>
  <c r="AR91" i="27"/>
  <c r="B92" i="42"/>
  <c r="D93" i="27"/>
  <c r="T93" i="27"/>
  <c r="M92" i="42"/>
  <c r="AJ93" i="27"/>
  <c r="AX93" i="27"/>
  <c r="J145" i="42"/>
  <c r="AB146" i="27"/>
  <c r="B147" i="42"/>
  <c r="AX148" i="27"/>
  <c r="J149" i="42"/>
  <c r="AB150" i="27"/>
  <c r="B151" i="42"/>
  <c r="AX152" i="27"/>
  <c r="J153" i="42"/>
  <c r="AB154" i="27"/>
  <c r="B156" i="27"/>
  <c r="J156" i="27"/>
  <c r="R156" i="27"/>
  <c r="Z156" i="27"/>
  <c r="AH156" i="27"/>
  <c r="AP156" i="27"/>
  <c r="F219" i="27"/>
  <c r="V219" i="27"/>
  <c r="E209" i="42"/>
  <c r="L210" i="27"/>
  <c r="H10" i="33"/>
  <c r="J209" i="42"/>
  <c r="AB210" i="27"/>
  <c r="AR210" i="27"/>
  <c r="C11" i="33"/>
  <c r="C210" i="42"/>
  <c r="F11" i="33"/>
  <c r="G210" i="42"/>
  <c r="I11" i="33"/>
  <c r="K210" i="42"/>
  <c r="M308" i="27"/>
  <c r="M211" i="42"/>
  <c r="AC308" i="27"/>
  <c r="C13" i="33"/>
  <c r="C212" i="42"/>
  <c r="D213" i="27"/>
  <c r="M213" i="42"/>
  <c r="C16" i="33"/>
  <c r="C214" i="42"/>
  <c r="D215" i="27"/>
  <c r="M312" i="27"/>
  <c r="M215" i="42"/>
  <c r="AC312" i="27"/>
  <c r="C18" i="33"/>
  <c r="C216" i="42"/>
  <c r="D217" i="27"/>
  <c r="M217" i="42"/>
  <c r="F272" i="42"/>
  <c r="N305" i="27"/>
  <c r="N283" i="27"/>
  <c r="P273" i="27"/>
  <c r="S305" i="27"/>
  <c r="AD305" i="27"/>
  <c r="AD283" i="27"/>
  <c r="BD283" i="27" s="1"/>
  <c r="AF273" i="27"/>
  <c r="BF273" i="27" s="1"/>
  <c r="AI305" i="27"/>
  <c r="AT305" i="27"/>
  <c r="AT283" i="27"/>
  <c r="AV273" i="27"/>
  <c r="E273" i="42"/>
  <c r="E306" i="27"/>
  <c r="E283" i="27"/>
  <c r="U306" i="27"/>
  <c r="U283" i="27"/>
  <c r="AK306" i="27"/>
  <c r="AK283" i="27"/>
  <c r="G275" i="42"/>
  <c r="O308" i="27"/>
  <c r="P276" i="27"/>
  <c r="AE308" i="27"/>
  <c r="AF276" i="27"/>
  <c r="BF276" i="27" s="1"/>
  <c r="AU308" i="27"/>
  <c r="AV276" i="27"/>
  <c r="B276" i="42"/>
  <c r="B309" i="27"/>
  <c r="D277" i="27"/>
  <c r="G309" i="27"/>
  <c r="R309" i="27"/>
  <c r="T277" i="27"/>
  <c r="W309" i="27"/>
  <c r="AH309" i="27"/>
  <c r="AJ277" i="27"/>
  <c r="AX277" i="27"/>
  <c r="I310" i="27"/>
  <c r="Y310" i="27"/>
  <c r="Q277" i="42"/>
  <c r="AO310" i="27"/>
  <c r="C279" i="42"/>
  <c r="C312" i="27"/>
  <c r="D280" i="27"/>
  <c r="S312" i="27"/>
  <c r="T280" i="27"/>
  <c r="AI312" i="27"/>
  <c r="AJ280" i="27"/>
  <c r="F313" i="27"/>
  <c r="H281" i="27"/>
  <c r="V313" i="27"/>
  <c r="X281" i="27"/>
  <c r="N280" i="42"/>
  <c r="AL313" i="27"/>
  <c r="AN281" i="27"/>
  <c r="I12" i="6"/>
  <c r="M314" i="27"/>
  <c r="M281" i="42"/>
  <c r="AC314" i="27"/>
  <c r="AS314" i="27"/>
  <c r="A208" i="26"/>
  <c r="A240" i="26" s="1"/>
  <c r="A362" i="26" s="1"/>
  <c r="A394" i="26" s="1"/>
  <c r="A81" i="26"/>
  <c r="A113" i="26" s="1"/>
  <c r="A272" i="26" s="1"/>
  <c r="Q30" i="26"/>
  <c r="AG30" i="26"/>
  <c r="AZ30" i="26" s="1"/>
  <c r="Q20" i="44"/>
  <c r="AW30" i="26"/>
  <c r="C54" i="26"/>
  <c r="C118" i="26" s="1"/>
  <c r="C30" i="26"/>
  <c r="D22" i="26"/>
  <c r="S30" i="26"/>
  <c r="T22" i="26"/>
  <c r="K22" i="44"/>
  <c r="AI30" i="26"/>
  <c r="AJ22" i="26"/>
  <c r="P23" i="26"/>
  <c r="AF23" i="26"/>
  <c r="AY23" i="26" s="1"/>
  <c r="M24" i="44"/>
  <c r="H26" i="26"/>
  <c r="G26" i="44"/>
  <c r="X26" i="26"/>
  <c r="AN26" i="26"/>
  <c r="D27" i="26"/>
  <c r="T27" i="26"/>
  <c r="N27" i="44"/>
  <c r="F28" i="44"/>
  <c r="AB28" i="26"/>
  <c r="AN28" i="26"/>
  <c r="N29" i="44"/>
  <c r="N30" i="26"/>
  <c r="AD30" i="26"/>
  <c r="AT30" i="26"/>
  <c r="A66" i="26"/>
  <c r="A98" i="26" s="1"/>
  <c r="F84" i="44"/>
  <c r="P84" i="26"/>
  <c r="N94" i="26"/>
  <c r="AF84" i="26"/>
  <c r="BD84" i="26" s="1"/>
  <c r="AD94" i="26"/>
  <c r="AV84" i="26"/>
  <c r="AT94" i="26"/>
  <c r="L85" i="26"/>
  <c r="J85" i="44"/>
  <c r="AB85" i="26"/>
  <c r="AR85" i="26"/>
  <c r="Q86" i="44"/>
  <c r="Q88" i="44"/>
  <c r="Q90" i="44"/>
  <c r="Q92" i="44"/>
  <c r="I94" i="26"/>
  <c r="AO94" i="26"/>
  <c r="O146" i="44"/>
  <c r="AN148" i="26"/>
  <c r="C147" i="44"/>
  <c r="D149" i="26"/>
  <c r="G148" i="44"/>
  <c r="P150" i="26"/>
  <c r="AV150" i="26"/>
  <c r="K149" i="44"/>
  <c r="AB151" i="26"/>
  <c r="O150" i="44"/>
  <c r="AN152" i="26"/>
  <c r="C151" i="44"/>
  <c r="D153" i="26"/>
  <c r="G152" i="44"/>
  <c r="P154" i="26"/>
  <c r="AV154" i="26"/>
  <c r="K153" i="44"/>
  <c r="AB155" i="26"/>
  <c r="O154" i="44"/>
  <c r="AN156" i="26"/>
  <c r="C155" i="44"/>
  <c r="D157" i="26"/>
  <c r="F27" i="33"/>
  <c r="G211" i="44"/>
  <c r="O400" i="26"/>
  <c r="P214" i="26"/>
  <c r="AU400" i="26"/>
  <c r="AV214" i="26"/>
  <c r="AF336" i="26"/>
  <c r="AG336" i="26" s="1"/>
  <c r="AV336" i="26"/>
  <c r="AW336" i="26" s="1"/>
  <c r="E279" i="44"/>
  <c r="E404" i="26"/>
  <c r="BA372" i="26"/>
  <c r="M404" i="26"/>
  <c r="M375" i="26"/>
  <c r="I279" i="44"/>
  <c r="Q404" i="26"/>
  <c r="M279" i="44"/>
  <c r="AC404" i="26"/>
  <c r="AC375" i="26"/>
  <c r="Q279" i="44"/>
  <c r="L100" i="6"/>
  <c r="Q100" i="6" s="1"/>
  <c r="AO404" i="26"/>
  <c r="AS404" i="26"/>
  <c r="AS375" i="26"/>
  <c r="AY374" i="26"/>
  <c r="AE400" i="26"/>
  <c r="K27" i="35"/>
  <c r="S27" i="35" s="1"/>
  <c r="C50" i="136"/>
  <c r="G50" i="136" s="1"/>
  <c r="F67" i="35"/>
  <c r="L23" i="5"/>
  <c r="C9" i="136"/>
  <c r="G9" i="136" s="1"/>
  <c r="J9" i="136" s="1"/>
  <c r="H38" i="5"/>
  <c r="G38" i="5"/>
  <c r="D86" i="35"/>
  <c r="G58" i="182"/>
  <c r="E449" i="182"/>
  <c r="I58" i="182"/>
  <c r="E25" i="182"/>
  <c r="H58" i="182"/>
  <c r="E55" i="183"/>
  <c r="E59" i="182"/>
  <c r="J58" i="182"/>
  <c r="E146" i="183"/>
  <c r="K381" i="183"/>
  <c r="I186" i="183"/>
  <c r="J186" i="183" s="1"/>
  <c r="L186" i="183"/>
  <c r="H186" i="183"/>
  <c r="K186" i="183"/>
  <c r="G186" i="183"/>
  <c r="AZ42" i="201"/>
  <c r="AZ44" i="201"/>
  <c r="B12" i="33"/>
  <c r="B211" i="42"/>
  <c r="E12" i="33"/>
  <c r="F211" i="42"/>
  <c r="H12" i="33"/>
  <c r="J211" i="42"/>
  <c r="N211" i="42"/>
  <c r="AX212" i="27"/>
  <c r="B15" i="33"/>
  <c r="B213" i="42"/>
  <c r="E15" i="33"/>
  <c r="F213" i="42"/>
  <c r="H15" i="33"/>
  <c r="J213" i="42"/>
  <c r="N213" i="42"/>
  <c r="AX214" i="27"/>
  <c r="B17" i="33"/>
  <c r="B215" i="42"/>
  <c r="E17" i="33"/>
  <c r="F215" i="42"/>
  <c r="H17" i="33"/>
  <c r="J215" i="42"/>
  <c r="N215" i="42"/>
  <c r="AX216" i="27"/>
  <c r="B217" i="42"/>
  <c r="F217" i="42"/>
  <c r="J217" i="42"/>
  <c r="N217" i="42"/>
  <c r="AX218" i="27"/>
  <c r="AY273" i="27"/>
  <c r="AX274" i="27"/>
  <c r="BA275" i="27"/>
  <c r="AY277" i="27"/>
  <c r="AX278" i="27"/>
  <c r="BA279" i="27"/>
  <c r="AY281" i="27"/>
  <c r="AX282" i="27"/>
  <c r="E307" i="27"/>
  <c r="Q307" i="27"/>
  <c r="AC307" i="27"/>
  <c r="AO307" i="27"/>
  <c r="E311" i="27"/>
  <c r="Q311" i="27"/>
  <c r="AC311" i="27"/>
  <c r="AO311" i="27"/>
  <c r="C55" i="26"/>
  <c r="C119" i="26" s="1"/>
  <c r="C59" i="26"/>
  <c r="D59" i="26" s="1"/>
  <c r="AY84" i="26"/>
  <c r="AY85" i="26"/>
  <c r="AX86" i="26"/>
  <c r="AX87" i="26"/>
  <c r="AX88" i="26"/>
  <c r="AX89" i="26"/>
  <c r="AX90" i="26"/>
  <c r="AX91" i="26"/>
  <c r="AX92" i="26"/>
  <c r="AX93" i="26"/>
  <c r="B118" i="26"/>
  <c r="B119" i="26"/>
  <c r="B120" i="26"/>
  <c r="B121" i="26"/>
  <c r="B122" i="26"/>
  <c r="B123" i="26"/>
  <c r="B124" i="26"/>
  <c r="B125" i="26"/>
  <c r="B24" i="33"/>
  <c r="B208" i="44"/>
  <c r="B221" i="26"/>
  <c r="D211" i="26"/>
  <c r="G221" i="26"/>
  <c r="R221" i="26"/>
  <c r="T211" i="26"/>
  <c r="W221" i="26"/>
  <c r="AH221" i="26"/>
  <c r="AJ211" i="26"/>
  <c r="L24" i="33"/>
  <c r="O208" i="44"/>
  <c r="AM221" i="26"/>
  <c r="AX211" i="26"/>
  <c r="J4" i="9"/>
  <c r="I209" i="44"/>
  <c r="K25" i="33"/>
  <c r="N209" i="44"/>
  <c r="AN212" i="26"/>
  <c r="I5" i="9"/>
  <c r="F28" i="33"/>
  <c r="G212" i="44"/>
  <c r="H28" i="33"/>
  <c r="J212" i="44"/>
  <c r="AB215" i="26"/>
  <c r="E30" i="33"/>
  <c r="F213" i="44"/>
  <c r="P216" i="26"/>
  <c r="Q213" i="44"/>
  <c r="L9" i="9"/>
  <c r="X17" i="9" s="1"/>
  <c r="BA216" i="26"/>
  <c r="B33" i="33"/>
  <c r="B216" i="44"/>
  <c r="D219" i="26"/>
  <c r="L33" i="33"/>
  <c r="O216" i="44"/>
  <c r="AX219" i="26"/>
  <c r="J12" i="9"/>
  <c r="I217" i="44"/>
  <c r="N217" i="44"/>
  <c r="AN220" i="26"/>
  <c r="AN335" i="26"/>
  <c r="AO335" i="26" s="1"/>
  <c r="AN343" i="26"/>
  <c r="AO343" i="26" s="1"/>
  <c r="AB341" i="26"/>
  <c r="AC341" i="26" s="1"/>
  <c r="C272" i="44"/>
  <c r="C375" i="26"/>
  <c r="K375" i="26"/>
  <c r="G272" i="44"/>
  <c r="O375" i="26"/>
  <c r="S375" i="26"/>
  <c r="K272" i="44"/>
  <c r="AA375" i="26"/>
  <c r="AE375" i="26"/>
  <c r="BE375" i="26" s="1"/>
  <c r="AI375" i="26"/>
  <c r="O272" i="44"/>
  <c r="AM375" i="26"/>
  <c r="AQ375" i="26"/>
  <c r="AU375" i="26"/>
  <c r="B273" i="44"/>
  <c r="B398" i="26"/>
  <c r="D366" i="26"/>
  <c r="R398" i="26"/>
  <c r="T366" i="26"/>
  <c r="AH398" i="26"/>
  <c r="AJ366" i="26"/>
  <c r="O273" i="44"/>
  <c r="AX366" i="26"/>
  <c r="I274" i="44"/>
  <c r="N274" i="44"/>
  <c r="AN367" i="26"/>
  <c r="I95" i="6"/>
  <c r="G400" i="26"/>
  <c r="K400" i="26"/>
  <c r="W400" i="26"/>
  <c r="AQ400" i="26"/>
  <c r="J401" i="26"/>
  <c r="AP401" i="26"/>
  <c r="F402" i="26"/>
  <c r="H370" i="26"/>
  <c r="V402" i="26"/>
  <c r="X370" i="26"/>
  <c r="K277" i="44"/>
  <c r="N277" i="44"/>
  <c r="AL402" i="26"/>
  <c r="AN370" i="26"/>
  <c r="I98" i="6"/>
  <c r="E278" i="44"/>
  <c r="J278" i="44"/>
  <c r="AB371" i="26"/>
  <c r="J406" i="26"/>
  <c r="L374" i="26"/>
  <c r="G281" i="44"/>
  <c r="J281" i="44"/>
  <c r="Z406" i="26"/>
  <c r="AB374" i="26"/>
  <c r="AP406" i="26"/>
  <c r="AR374" i="26"/>
  <c r="B397" i="26"/>
  <c r="R397" i="26"/>
  <c r="AH397" i="26"/>
  <c r="AM398" i="26"/>
  <c r="AW398" i="26"/>
  <c r="O406" i="26"/>
  <c r="H44" i="125"/>
  <c r="G44" i="125"/>
  <c r="P44" i="125" s="1"/>
  <c r="H151" i="125"/>
  <c r="P151" i="125"/>
  <c r="F161" i="125"/>
  <c r="P158" i="125"/>
  <c r="L160" i="125"/>
  <c r="M160" i="125"/>
  <c r="F21" i="5"/>
  <c r="D65" i="35"/>
  <c r="F9" i="35"/>
  <c r="E19" i="35"/>
  <c r="G10" i="35" s="1"/>
  <c r="I66" i="35" s="1"/>
  <c r="K29" i="35"/>
  <c r="S29" i="35" s="1"/>
  <c r="F30" i="35"/>
  <c r="F88" i="35"/>
  <c r="C6" i="5"/>
  <c r="G30" i="5"/>
  <c r="E64" i="35"/>
  <c r="G52" i="136"/>
  <c r="F71" i="35"/>
  <c r="D54" i="136"/>
  <c r="E73" i="35"/>
  <c r="G40" i="5"/>
  <c r="G41" i="5"/>
  <c r="I44" i="5"/>
  <c r="D44" i="5"/>
  <c r="E11" i="182"/>
  <c r="E75" i="183"/>
  <c r="E386" i="182"/>
  <c r="E82" i="183"/>
  <c r="O366" i="183"/>
  <c r="E502" i="182"/>
  <c r="E246" i="182"/>
  <c r="E268" i="183"/>
  <c r="E440" i="182"/>
  <c r="I122" i="183"/>
  <c r="J122" i="183" s="1"/>
  <c r="L122" i="183"/>
  <c r="H122" i="183"/>
  <c r="K122" i="183"/>
  <c r="G122" i="183"/>
  <c r="C224" i="183"/>
  <c r="C30" i="183"/>
  <c r="D385" i="183"/>
  <c r="D99" i="201"/>
  <c r="L107" i="201"/>
  <c r="N29" i="201"/>
  <c r="P34" i="35" s="1"/>
  <c r="D53" i="35" s="1"/>
  <c r="J30" i="27"/>
  <c r="V30" i="27"/>
  <c r="AH30" i="27"/>
  <c r="AT30" i="27"/>
  <c r="BA84" i="27"/>
  <c r="AA14" i="191" s="1"/>
  <c r="AY85" i="27"/>
  <c r="E85" i="42"/>
  <c r="BA86" i="27"/>
  <c r="AY87" i="27"/>
  <c r="AY89" i="27"/>
  <c r="BA90" i="27"/>
  <c r="AY91" i="27"/>
  <c r="BA92" i="27"/>
  <c r="AY93" i="27"/>
  <c r="E94" i="27"/>
  <c r="Q94" i="27"/>
  <c r="AC94" i="27"/>
  <c r="AO94" i="27"/>
  <c r="AY146" i="27"/>
  <c r="BA147" i="27"/>
  <c r="Q104" i="195" s="1"/>
  <c r="AY148" i="27"/>
  <c r="BA149" i="27"/>
  <c r="Q106" i="195" s="1"/>
  <c r="AY150" i="27"/>
  <c r="BA151" i="27"/>
  <c r="Q108" i="195" s="1"/>
  <c r="AY152" i="27"/>
  <c r="BA153" i="27"/>
  <c r="Q110" i="195" s="1"/>
  <c r="AY154" i="27"/>
  <c r="BA155" i="27"/>
  <c r="Q112" i="195" s="1"/>
  <c r="C156" i="27"/>
  <c r="O156" i="27"/>
  <c r="AA156" i="27"/>
  <c r="AM156" i="27"/>
  <c r="E208" i="42"/>
  <c r="I208" i="42"/>
  <c r="Q208" i="42"/>
  <c r="BA209" i="27"/>
  <c r="C10" i="33"/>
  <c r="C209" i="42"/>
  <c r="F10" i="33"/>
  <c r="G209" i="42"/>
  <c r="I10" i="33"/>
  <c r="K209" i="42"/>
  <c r="O209" i="42"/>
  <c r="AY210" i="27"/>
  <c r="E210" i="42"/>
  <c r="I210" i="42"/>
  <c r="Q210" i="42"/>
  <c r="BA211" i="27"/>
  <c r="C12" i="33"/>
  <c r="C211" i="42"/>
  <c r="F12" i="33"/>
  <c r="G211" i="42"/>
  <c r="I12" i="33"/>
  <c r="K211" i="42"/>
  <c r="O211" i="42"/>
  <c r="AY212" i="27"/>
  <c r="E212" i="42"/>
  <c r="I212" i="42"/>
  <c r="Q212" i="42"/>
  <c r="BA213" i="27"/>
  <c r="C15" i="33"/>
  <c r="C213" i="42"/>
  <c r="F15" i="33"/>
  <c r="G213" i="42"/>
  <c r="I15" i="33"/>
  <c r="K213" i="42"/>
  <c r="O213" i="42"/>
  <c r="AY214" i="27"/>
  <c r="E214" i="42"/>
  <c r="I214" i="42"/>
  <c r="Q214" i="42"/>
  <c r="BA215" i="27"/>
  <c r="C17" i="33"/>
  <c r="C215" i="42"/>
  <c r="F17" i="33"/>
  <c r="G215" i="42"/>
  <c r="I17" i="33"/>
  <c r="K215" i="42"/>
  <c r="O215" i="42"/>
  <c r="AY216" i="27"/>
  <c r="E216" i="42"/>
  <c r="I216" i="42"/>
  <c r="Q216" i="42"/>
  <c r="BA217" i="27"/>
  <c r="C217" i="42"/>
  <c r="G217" i="42"/>
  <c r="K217" i="42"/>
  <c r="O217" i="42"/>
  <c r="AY218" i="27"/>
  <c r="E219" i="27"/>
  <c r="I219" i="27"/>
  <c r="M219" i="27"/>
  <c r="Q219" i="27"/>
  <c r="U219" i="27"/>
  <c r="Y219" i="27"/>
  <c r="AC219" i="27"/>
  <c r="AG219" i="27"/>
  <c r="BE219" i="27" s="1"/>
  <c r="AK219" i="27"/>
  <c r="AO219" i="27"/>
  <c r="AE221" i="27"/>
  <c r="J4" i="6"/>
  <c r="AY274" i="27"/>
  <c r="I5" i="6"/>
  <c r="AX275" i="27"/>
  <c r="L6" i="6"/>
  <c r="Q6" i="6" s="1"/>
  <c r="BA276" i="27"/>
  <c r="J8" i="6"/>
  <c r="O8" i="6" s="1"/>
  <c r="AY278" i="27"/>
  <c r="AX279" i="27"/>
  <c r="L10" i="6"/>
  <c r="Q10" i="6" s="1"/>
  <c r="BA280" i="27"/>
  <c r="J12" i="6"/>
  <c r="O12" i="6" s="1"/>
  <c r="AY282" i="27"/>
  <c r="I13" i="6"/>
  <c r="B306" i="27"/>
  <c r="F306" i="27"/>
  <c r="J306" i="27"/>
  <c r="N306" i="27"/>
  <c r="R306" i="27"/>
  <c r="V306" i="27"/>
  <c r="Z306" i="27"/>
  <c r="AD306" i="27"/>
  <c r="AH306" i="27"/>
  <c r="AL306" i="27"/>
  <c r="AP306" i="27"/>
  <c r="AT306" i="27"/>
  <c r="B307" i="27"/>
  <c r="N307" i="27"/>
  <c r="Z307" i="27"/>
  <c r="AL307" i="27"/>
  <c r="B308" i="27"/>
  <c r="N308" i="27"/>
  <c r="Z308" i="27"/>
  <c r="AL308" i="27"/>
  <c r="B310" i="27"/>
  <c r="F310" i="27"/>
  <c r="J310" i="27"/>
  <c r="N310" i="27"/>
  <c r="R310" i="27"/>
  <c r="V310" i="27"/>
  <c r="Z310" i="27"/>
  <c r="AD310" i="27"/>
  <c r="AH310" i="27"/>
  <c r="AL310" i="27"/>
  <c r="AP310" i="27"/>
  <c r="AT310" i="27"/>
  <c r="B311" i="27"/>
  <c r="N311" i="27"/>
  <c r="Z311" i="27"/>
  <c r="AL311" i="27"/>
  <c r="B312" i="27"/>
  <c r="N312" i="27"/>
  <c r="Z312" i="27"/>
  <c r="AL312" i="27"/>
  <c r="B314" i="27"/>
  <c r="F314" i="27"/>
  <c r="J314" i="27"/>
  <c r="N314" i="27"/>
  <c r="R314" i="27"/>
  <c r="V314" i="27"/>
  <c r="Z314" i="27"/>
  <c r="AD314" i="27"/>
  <c r="AH314" i="27"/>
  <c r="AL314" i="27"/>
  <c r="AP314" i="27"/>
  <c r="AT314" i="27"/>
  <c r="L23" i="26"/>
  <c r="X23" i="26"/>
  <c r="AV23" i="26"/>
  <c r="L27" i="26"/>
  <c r="X27" i="26"/>
  <c r="AV27" i="26"/>
  <c r="L28" i="26"/>
  <c r="X28" i="26"/>
  <c r="AV28" i="26"/>
  <c r="D29" i="26"/>
  <c r="H29" i="26"/>
  <c r="L29" i="26"/>
  <c r="P29" i="26"/>
  <c r="T29" i="26"/>
  <c r="X29" i="26"/>
  <c r="AB29" i="26"/>
  <c r="AF29" i="26"/>
  <c r="AY29" i="26" s="1"/>
  <c r="AV29" i="26"/>
  <c r="E86" i="44"/>
  <c r="AY87" i="26"/>
  <c r="AY88" i="26"/>
  <c r="AY89" i="26"/>
  <c r="AY90" i="26"/>
  <c r="AY91" i="26"/>
  <c r="AY92" i="26"/>
  <c r="AY93" i="26"/>
  <c r="C94" i="26"/>
  <c r="G94" i="26"/>
  <c r="K94" i="26"/>
  <c r="O94" i="26"/>
  <c r="S94" i="26"/>
  <c r="W94" i="26"/>
  <c r="AA94" i="26"/>
  <c r="AE94" i="26"/>
  <c r="AI94" i="26"/>
  <c r="AM94" i="26"/>
  <c r="AQ94" i="26"/>
  <c r="AU94" i="26"/>
  <c r="C117" i="26"/>
  <c r="C121" i="26"/>
  <c r="C124" i="26"/>
  <c r="C125" i="26"/>
  <c r="BA148" i="26"/>
  <c r="BA149" i="26"/>
  <c r="Q104" i="196" s="1"/>
  <c r="BA150" i="26"/>
  <c r="Q105" i="196" s="1"/>
  <c r="BA151" i="26"/>
  <c r="Q106" i="196" s="1"/>
  <c r="BA152" i="26"/>
  <c r="Q107" i="196" s="1"/>
  <c r="BA153" i="26"/>
  <c r="Q108" i="196" s="1"/>
  <c r="BA154" i="26"/>
  <c r="Q109" i="196" s="1"/>
  <c r="BA155" i="26"/>
  <c r="Q110" i="196" s="1"/>
  <c r="BA156" i="26"/>
  <c r="Q111" i="196" s="1"/>
  <c r="BA157" i="26"/>
  <c r="Q112" i="196" s="1"/>
  <c r="E158" i="26"/>
  <c r="Q158" i="26"/>
  <c r="AC158" i="26"/>
  <c r="AO158" i="26"/>
  <c r="C24" i="33"/>
  <c r="C208" i="44"/>
  <c r="C221" i="26"/>
  <c r="E24" i="33"/>
  <c r="F208" i="44"/>
  <c r="N221" i="26"/>
  <c r="P211" i="26"/>
  <c r="S221" i="26"/>
  <c r="AD221" i="26"/>
  <c r="BF221" i="26" s="1"/>
  <c r="AF211" i="26"/>
  <c r="BD211" i="26" s="1"/>
  <c r="AI221" i="26"/>
  <c r="AT221" i="26"/>
  <c r="AV211" i="26"/>
  <c r="AY211" i="26"/>
  <c r="B25" i="33"/>
  <c r="B209" i="44"/>
  <c r="D212" i="26"/>
  <c r="M209" i="44"/>
  <c r="AX212" i="26"/>
  <c r="E210" i="44"/>
  <c r="I210" i="44"/>
  <c r="Q210" i="44"/>
  <c r="H215" i="26"/>
  <c r="X215" i="26"/>
  <c r="I28" i="33"/>
  <c r="K212" i="44"/>
  <c r="K28" i="33"/>
  <c r="N212" i="44"/>
  <c r="I8" i="9"/>
  <c r="AN215" i="26"/>
  <c r="E213" i="44"/>
  <c r="H30" i="33"/>
  <c r="J213" i="44"/>
  <c r="AB216" i="26"/>
  <c r="C32" i="33"/>
  <c r="C215" i="44"/>
  <c r="F32" i="33"/>
  <c r="G215" i="44"/>
  <c r="I32" i="33"/>
  <c r="K215" i="44"/>
  <c r="L32" i="33"/>
  <c r="O215" i="44"/>
  <c r="J11" i="9"/>
  <c r="C33" i="33"/>
  <c r="C216" i="44"/>
  <c r="E33" i="33"/>
  <c r="F216" i="44"/>
  <c r="P219" i="26"/>
  <c r="AF219" i="26"/>
  <c r="BD219" i="26" s="1"/>
  <c r="AV219" i="26"/>
  <c r="AY219" i="26"/>
  <c r="B217" i="44"/>
  <c r="D220" i="26"/>
  <c r="M217" i="44"/>
  <c r="AX220" i="26"/>
  <c r="I221" i="26"/>
  <c r="Q221" i="26"/>
  <c r="Y221" i="26"/>
  <c r="AG221" i="26"/>
  <c r="BE221" i="26" s="1"/>
  <c r="AF337" i="26"/>
  <c r="AG337" i="26" s="1"/>
  <c r="AV337" i="26"/>
  <c r="AW337" i="26" s="1"/>
  <c r="AB338" i="26"/>
  <c r="AC338" i="26" s="1"/>
  <c r="AR338" i="26"/>
  <c r="AS338" i="26" s="1"/>
  <c r="AN342" i="26"/>
  <c r="AO342" i="26" s="1"/>
  <c r="D365" i="26"/>
  <c r="H365" i="26"/>
  <c r="L365" i="26"/>
  <c r="P365" i="26"/>
  <c r="T365" i="26"/>
  <c r="X365" i="26"/>
  <c r="AB365" i="26"/>
  <c r="AF365" i="26"/>
  <c r="BF365" i="26" s="1"/>
  <c r="AJ365" i="26"/>
  <c r="AN365" i="26"/>
  <c r="AR365" i="26"/>
  <c r="AV365" i="26"/>
  <c r="C273" i="44"/>
  <c r="I398" i="26"/>
  <c r="F273" i="44"/>
  <c r="N398" i="26"/>
  <c r="P366" i="26"/>
  <c r="Y398" i="26"/>
  <c r="AD398" i="26"/>
  <c r="AF366" i="26"/>
  <c r="BF366" i="26" s="1"/>
  <c r="AT398" i="26"/>
  <c r="AV366" i="26"/>
  <c r="AY366" i="26"/>
  <c r="B274" i="44"/>
  <c r="D367" i="26"/>
  <c r="B399" i="26"/>
  <c r="M399" i="26"/>
  <c r="T367" i="26"/>
  <c r="R399" i="26"/>
  <c r="M274" i="44"/>
  <c r="AC399" i="26"/>
  <c r="AJ367" i="26"/>
  <c r="AH399" i="26"/>
  <c r="AS399" i="26"/>
  <c r="AX367" i="26"/>
  <c r="K401" i="26"/>
  <c r="G276" i="44"/>
  <c r="O401" i="26"/>
  <c r="K276" i="44"/>
  <c r="AA401" i="26"/>
  <c r="AE401" i="26"/>
  <c r="AQ401" i="26"/>
  <c r="AU401" i="26"/>
  <c r="B277" i="44"/>
  <c r="B402" i="26"/>
  <c r="D370" i="26"/>
  <c r="M402" i="26"/>
  <c r="R402" i="26"/>
  <c r="T370" i="26"/>
  <c r="AH402" i="26"/>
  <c r="AJ370" i="26"/>
  <c r="O277" i="44"/>
  <c r="J98" i="6"/>
  <c r="O98" i="6" s="1"/>
  <c r="AS402" i="26"/>
  <c r="AX370" i="26"/>
  <c r="H371" i="26"/>
  <c r="F403" i="26"/>
  <c r="I278" i="44"/>
  <c r="Q403" i="26"/>
  <c r="X371" i="26"/>
  <c r="V403" i="26"/>
  <c r="AG403" i="26"/>
  <c r="BE403" i="26" s="1"/>
  <c r="N278" i="44"/>
  <c r="AN371" i="26"/>
  <c r="AL403" i="26"/>
  <c r="AW403" i="26"/>
  <c r="K404" i="26"/>
  <c r="AE404" i="26"/>
  <c r="AQ404" i="26"/>
  <c r="AU404" i="26"/>
  <c r="J405" i="26"/>
  <c r="AD405" i="26"/>
  <c r="AP405" i="26"/>
  <c r="AT405" i="26"/>
  <c r="F406" i="26"/>
  <c r="H374" i="26"/>
  <c r="V406" i="26"/>
  <c r="X374" i="26"/>
  <c r="K281" i="44"/>
  <c r="AG406" i="26"/>
  <c r="BE406" i="26" s="1"/>
  <c r="N281" i="44"/>
  <c r="AL406" i="26"/>
  <c r="AN374" i="26"/>
  <c r="AW406" i="26"/>
  <c r="I102" i="6"/>
  <c r="N375" i="26"/>
  <c r="AD375" i="26"/>
  <c r="BD375" i="26" s="1"/>
  <c r="AT375" i="26"/>
  <c r="C397" i="26"/>
  <c r="K397" i="26"/>
  <c r="S397" i="26"/>
  <c r="AA397" i="26"/>
  <c r="AI397" i="26"/>
  <c r="AQ397" i="26"/>
  <c r="AC398" i="26"/>
  <c r="F399" i="26"/>
  <c r="Q399" i="26"/>
  <c r="AL399" i="26"/>
  <c r="AW399" i="26"/>
  <c r="E400" i="26"/>
  <c r="C401" i="26"/>
  <c r="AG402" i="26"/>
  <c r="BE402" i="26" s="1"/>
  <c r="J403" i="26"/>
  <c r="AP403" i="26"/>
  <c r="R405" i="26"/>
  <c r="AM405" i="26"/>
  <c r="AA406" i="26"/>
  <c r="H48" i="125"/>
  <c r="G48" i="125"/>
  <c r="P48" i="125" s="1"/>
  <c r="G151" i="125"/>
  <c r="P154" i="125"/>
  <c r="L156" i="125"/>
  <c r="M156" i="125"/>
  <c r="L158" i="125"/>
  <c r="C7" i="5"/>
  <c r="F22" i="5"/>
  <c r="F10" i="35"/>
  <c r="F28" i="5"/>
  <c r="F16" i="35"/>
  <c r="C14" i="5"/>
  <c r="D73" i="35"/>
  <c r="F14" i="5"/>
  <c r="M17" i="35"/>
  <c r="F11" i="5"/>
  <c r="H30" i="5"/>
  <c r="C47" i="136"/>
  <c r="G47" i="136" s="1"/>
  <c r="D49" i="136"/>
  <c r="I49" i="136" s="1"/>
  <c r="E22" i="5"/>
  <c r="E23" i="5"/>
  <c r="D53" i="136"/>
  <c r="I53" i="136" s="1"/>
  <c r="E26" i="5"/>
  <c r="E27" i="5"/>
  <c r="C30" i="5"/>
  <c r="I36" i="5"/>
  <c r="D36" i="5"/>
  <c r="H39" i="5"/>
  <c r="D87" i="35"/>
  <c r="D43" i="5"/>
  <c r="I43" i="5"/>
  <c r="G11" i="136"/>
  <c r="J11" i="136" s="1"/>
  <c r="J70" i="136"/>
  <c r="I51" i="136"/>
  <c r="D35" i="182"/>
  <c r="E433" i="182"/>
  <c r="G51" i="182"/>
  <c r="E44" i="183"/>
  <c r="H51" i="182"/>
  <c r="E96" i="182"/>
  <c r="E104" i="182"/>
  <c r="E107" i="183"/>
  <c r="E387" i="182"/>
  <c r="E451" i="182"/>
  <c r="E119" i="183"/>
  <c r="E119" i="182"/>
  <c r="E114" i="182"/>
  <c r="E164" i="182"/>
  <c r="E197" i="182"/>
  <c r="E470" i="182"/>
  <c r="E212" i="183"/>
  <c r="E244" i="183"/>
  <c r="E471" i="182"/>
  <c r="E227" i="182"/>
  <c r="O370" i="183"/>
  <c r="E506" i="182"/>
  <c r="E272" i="182"/>
  <c r="D305" i="183"/>
  <c r="D425" i="182"/>
  <c r="K386" i="183"/>
  <c r="I346" i="183"/>
  <c r="J346" i="183" s="1"/>
  <c r="H346" i="183"/>
  <c r="K346" i="183"/>
  <c r="G346" i="183"/>
  <c r="D64" i="183"/>
  <c r="D101" i="201"/>
  <c r="AZ43" i="201"/>
  <c r="K30" i="27"/>
  <c r="W30" i="27"/>
  <c r="AI30" i="27"/>
  <c r="AU30" i="27"/>
  <c r="AX84" i="27"/>
  <c r="AX86" i="27"/>
  <c r="AX88" i="27"/>
  <c r="AX90" i="27"/>
  <c r="AX92" i="27"/>
  <c r="B94" i="27"/>
  <c r="N94" i="27"/>
  <c r="Z94" i="27"/>
  <c r="AL94" i="27"/>
  <c r="AX147" i="27"/>
  <c r="AX149" i="27"/>
  <c r="AX151" i="27"/>
  <c r="AX153" i="27"/>
  <c r="AX155" i="27"/>
  <c r="B9" i="33"/>
  <c r="B208" i="42"/>
  <c r="E9" i="33"/>
  <c r="F208" i="42"/>
  <c r="H9" i="33"/>
  <c r="J208" i="42"/>
  <c r="K9" i="33"/>
  <c r="N208" i="42"/>
  <c r="AX209" i="27"/>
  <c r="B11" i="33"/>
  <c r="B210" i="42"/>
  <c r="E11" i="33"/>
  <c r="F210" i="42"/>
  <c r="H11" i="33"/>
  <c r="J210" i="42"/>
  <c r="N210" i="42"/>
  <c r="AX211" i="27"/>
  <c r="D212" i="27"/>
  <c r="P212" i="27"/>
  <c r="T212" i="27"/>
  <c r="AB212" i="27"/>
  <c r="AJ212" i="27"/>
  <c r="AN212" i="27"/>
  <c r="B13" i="33"/>
  <c r="B212" i="42"/>
  <c r="E13" i="33"/>
  <c r="F212" i="42"/>
  <c r="H13" i="33"/>
  <c r="J212" i="42"/>
  <c r="N212" i="42"/>
  <c r="AX213" i="27"/>
  <c r="D214" i="27"/>
  <c r="P214" i="27"/>
  <c r="T214" i="27"/>
  <c r="AB214" i="27"/>
  <c r="AJ214" i="27"/>
  <c r="AN214" i="27"/>
  <c r="B16" i="33"/>
  <c r="B214" i="42"/>
  <c r="E16" i="33"/>
  <c r="F214" i="42"/>
  <c r="H16" i="33"/>
  <c r="J214" i="42"/>
  <c r="N214" i="42"/>
  <c r="AX215" i="27"/>
  <c r="D216" i="27"/>
  <c r="P216" i="27"/>
  <c r="T216" i="27"/>
  <c r="AB216" i="27"/>
  <c r="AJ216" i="27"/>
  <c r="AN216" i="27"/>
  <c r="B18" i="33"/>
  <c r="B216" i="42"/>
  <c r="E18" i="33"/>
  <c r="F216" i="42"/>
  <c r="H18" i="33"/>
  <c r="J216" i="42"/>
  <c r="N216" i="42"/>
  <c r="AX217" i="27"/>
  <c r="D218" i="27"/>
  <c r="P218" i="27"/>
  <c r="T218" i="27"/>
  <c r="AB218" i="27"/>
  <c r="AJ218" i="27"/>
  <c r="AN218" i="27"/>
  <c r="B219" i="27"/>
  <c r="N219" i="27"/>
  <c r="R219" i="27"/>
  <c r="Z219" i="27"/>
  <c r="AH219" i="27"/>
  <c r="AL219" i="27"/>
  <c r="BA273" i="27"/>
  <c r="D274" i="27"/>
  <c r="P274" i="27"/>
  <c r="AB274" i="27"/>
  <c r="AN274" i="27"/>
  <c r="J5" i="6"/>
  <c r="O5" i="6" s="1"/>
  <c r="AY275" i="27"/>
  <c r="I6" i="6"/>
  <c r="AX276" i="27"/>
  <c r="L7" i="6"/>
  <c r="Q7" i="6" s="1"/>
  <c r="BA277" i="27"/>
  <c r="D278" i="27"/>
  <c r="P278" i="27"/>
  <c r="AB278" i="27"/>
  <c r="AN278" i="27"/>
  <c r="AY279" i="27"/>
  <c r="AX280" i="27"/>
  <c r="L11" i="6"/>
  <c r="Q11" i="6" s="1"/>
  <c r="BA281" i="27"/>
  <c r="D282" i="27"/>
  <c r="P282" i="27"/>
  <c r="AB282" i="27"/>
  <c r="AN282" i="27"/>
  <c r="C283" i="27"/>
  <c r="G283" i="27"/>
  <c r="K283" i="27"/>
  <c r="O283" i="27"/>
  <c r="S283" i="27"/>
  <c r="W283" i="27"/>
  <c r="AA283" i="27"/>
  <c r="AE283" i="27"/>
  <c r="BE283" i="27" s="1"/>
  <c r="AI283" i="27"/>
  <c r="AM283" i="27"/>
  <c r="AQ283" i="27"/>
  <c r="AU283" i="27"/>
  <c r="C305" i="27"/>
  <c r="O305" i="27"/>
  <c r="AA305" i="27"/>
  <c r="AM305" i="27"/>
  <c r="C306" i="27"/>
  <c r="O306" i="27"/>
  <c r="AA306" i="27"/>
  <c r="AM306" i="27"/>
  <c r="C307" i="27"/>
  <c r="O307" i="27"/>
  <c r="AA307" i="27"/>
  <c r="AM307" i="27"/>
  <c r="C309" i="27"/>
  <c r="O309" i="27"/>
  <c r="AA309" i="27"/>
  <c r="AM309" i="27"/>
  <c r="C310" i="27"/>
  <c r="O310" i="27"/>
  <c r="AA310" i="27"/>
  <c r="AM310" i="27"/>
  <c r="C311" i="27"/>
  <c r="O311" i="27"/>
  <c r="AA311" i="27"/>
  <c r="AM311" i="27"/>
  <c r="C313" i="27"/>
  <c r="O313" i="27"/>
  <c r="AA313" i="27"/>
  <c r="AM313" i="27"/>
  <c r="C314" i="27"/>
  <c r="O314" i="27"/>
  <c r="AA314" i="27"/>
  <c r="AM314" i="27"/>
  <c r="L20" i="26"/>
  <c r="X20" i="26"/>
  <c r="AJ20" i="26"/>
  <c r="AN20" i="26"/>
  <c r="AV20" i="26"/>
  <c r="L24" i="26"/>
  <c r="X24" i="26"/>
  <c r="AJ24" i="26"/>
  <c r="AN24" i="26"/>
  <c r="AV24" i="26"/>
  <c r="BA84" i="26"/>
  <c r="AA16" i="191" s="1"/>
  <c r="BA85" i="26"/>
  <c r="P86" i="26"/>
  <c r="AB86" i="26"/>
  <c r="AN86" i="26"/>
  <c r="AV86" i="26"/>
  <c r="P87" i="26"/>
  <c r="AB87" i="26"/>
  <c r="AN87" i="26"/>
  <c r="AV87" i="26"/>
  <c r="D88" i="26"/>
  <c r="P88" i="26"/>
  <c r="AB88" i="26"/>
  <c r="AN88" i="26"/>
  <c r="AV88" i="26"/>
  <c r="D89" i="26"/>
  <c r="P89" i="26"/>
  <c r="AB89" i="26"/>
  <c r="AN89" i="26"/>
  <c r="AV89" i="26"/>
  <c r="D90" i="26"/>
  <c r="P90" i="26"/>
  <c r="AB90" i="26"/>
  <c r="AN90" i="26"/>
  <c r="AV90" i="26"/>
  <c r="D91" i="26"/>
  <c r="P91" i="26"/>
  <c r="AB91" i="26"/>
  <c r="AN91" i="26"/>
  <c r="AV91" i="26"/>
  <c r="D92" i="26"/>
  <c r="P92" i="26"/>
  <c r="AB92" i="26"/>
  <c r="AN92" i="26"/>
  <c r="AV92" i="26"/>
  <c r="D93" i="26"/>
  <c r="P93" i="26"/>
  <c r="AB93" i="26"/>
  <c r="AN93" i="26"/>
  <c r="AV93" i="26"/>
  <c r="AX148" i="26"/>
  <c r="AX149" i="26"/>
  <c r="AX150" i="26"/>
  <c r="AX151" i="26"/>
  <c r="AX152" i="26"/>
  <c r="AX153" i="26"/>
  <c r="AX154" i="26"/>
  <c r="AX155" i="26"/>
  <c r="AX156" i="26"/>
  <c r="AX157" i="26"/>
  <c r="B158" i="26"/>
  <c r="N158" i="26"/>
  <c r="Z158" i="26"/>
  <c r="AL158" i="26"/>
  <c r="J221" i="26"/>
  <c r="L211" i="26"/>
  <c r="K243" i="26" s="1"/>
  <c r="F24" i="33"/>
  <c r="G208" i="44"/>
  <c r="O221" i="26"/>
  <c r="H24" i="33"/>
  <c r="J208" i="44"/>
  <c r="Z221" i="26"/>
  <c r="AB211" i="26"/>
  <c r="AE221" i="26"/>
  <c r="BG221" i="26" s="1"/>
  <c r="AP221" i="26"/>
  <c r="AR211" i="26"/>
  <c r="AU221" i="26"/>
  <c r="E25" i="33"/>
  <c r="F209" i="44"/>
  <c r="P212" i="26"/>
  <c r="Q209" i="44"/>
  <c r="L5" i="9"/>
  <c r="B28" i="33"/>
  <c r="B212" i="44"/>
  <c r="D215" i="26"/>
  <c r="T215" i="26"/>
  <c r="AJ215" i="26"/>
  <c r="L28" i="33"/>
  <c r="O212" i="44"/>
  <c r="AX215" i="26"/>
  <c r="J8" i="9"/>
  <c r="I213" i="44"/>
  <c r="K30" i="33"/>
  <c r="N213" i="44"/>
  <c r="AN216" i="26"/>
  <c r="I9" i="9"/>
  <c r="V17" i="9" s="1"/>
  <c r="L219" i="26"/>
  <c r="F33" i="33"/>
  <c r="G216" i="44"/>
  <c r="H33" i="33"/>
  <c r="J216" i="44"/>
  <c r="AB219" i="26"/>
  <c r="AR219" i="26"/>
  <c r="F217" i="44"/>
  <c r="P220" i="26"/>
  <c r="Q217" i="44"/>
  <c r="L13" i="9"/>
  <c r="AJ339" i="26"/>
  <c r="AK339" i="26" s="1"/>
  <c r="AJ341" i="26"/>
  <c r="AK341" i="26" s="1"/>
  <c r="AF342" i="26"/>
  <c r="AG342" i="26" s="1"/>
  <c r="AV342" i="26"/>
  <c r="AW342" i="26" s="1"/>
  <c r="J93" i="6"/>
  <c r="J398" i="26"/>
  <c r="L366" i="26"/>
  <c r="G273" i="44"/>
  <c r="U398" i="26"/>
  <c r="J273" i="44"/>
  <c r="Z398" i="26"/>
  <c r="AB366" i="26"/>
  <c r="AK398" i="26"/>
  <c r="AP398" i="26"/>
  <c r="AR366" i="26"/>
  <c r="I399" i="26"/>
  <c r="F274" i="44"/>
  <c r="N399" i="26"/>
  <c r="P367" i="26"/>
  <c r="Y399" i="26"/>
  <c r="AD399" i="26"/>
  <c r="AF367" i="26"/>
  <c r="BF367" i="26" s="1"/>
  <c r="Q274" i="44"/>
  <c r="AO399" i="26"/>
  <c r="AT399" i="26"/>
  <c r="AV367" i="26"/>
  <c r="L95" i="6"/>
  <c r="Q95" i="6" s="1"/>
  <c r="I275" i="44"/>
  <c r="Q400" i="26"/>
  <c r="M275" i="44"/>
  <c r="AC400" i="26"/>
  <c r="Q275" i="44"/>
  <c r="C277" i="44"/>
  <c r="C402" i="26"/>
  <c r="I402" i="26"/>
  <c r="F277" i="44"/>
  <c r="N402" i="26"/>
  <c r="P370" i="26"/>
  <c r="Y402" i="26"/>
  <c r="AD402" i="26"/>
  <c r="AF370" i="26"/>
  <c r="BF370" i="26" s="1"/>
  <c r="AT402" i="26"/>
  <c r="AV370" i="26"/>
  <c r="AY370" i="26"/>
  <c r="B278" i="44"/>
  <c r="B403" i="26"/>
  <c r="D371" i="26"/>
  <c r="M403" i="26"/>
  <c r="R403" i="26"/>
  <c r="T371" i="26"/>
  <c r="M278" i="44"/>
  <c r="AC403" i="26"/>
  <c r="AH403" i="26"/>
  <c r="AJ371" i="26"/>
  <c r="AS403" i="26"/>
  <c r="AX371" i="26"/>
  <c r="C280" i="44"/>
  <c r="C405" i="26"/>
  <c r="G280" i="44"/>
  <c r="O405" i="26"/>
  <c r="S405" i="26"/>
  <c r="AE405" i="26"/>
  <c r="AI405" i="26"/>
  <c r="AU405" i="26"/>
  <c r="B281" i="44"/>
  <c r="B406" i="26"/>
  <c r="D374" i="26"/>
  <c r="M406" i="26"/>
  <c r="R406" i="26"/>
  <c r="T374" i="26"/>
  <c r="AH406" i="26"/>
  <c r="AJ374" i="26"/>
  <c r="O281" i="44"/>
  <c r="AM406" i="26"/>
  <c r="J102" i="6"/>
  <c r="O102" i="6" s="1"/>
  <c r="AS406" i="26"/>
  <c r="AX374" i="26"/>
  <c r="I375" i="26"/>
  <c r="Q375" i="26"/>
  <c r="Y375" i="26"/>
  <c r="AO375" i="26"/>
  <c r="N397" i="26"/>
  <c r="AD397" i="26"/>
  <c r="AT397" i="26"/>
  <c r="O398" i="26"/>
  <c r="AG398" i="26"/>
  <c r="BE398" i="26" s="1"/>
  <c r="AO400" i="26"/>
  <c r="R401" i="26"/>
  <c r="AM401" i="26"/>
  <c r="E402" i="26"/>
  <c r="AA402" i="26"/>
  <c r="AK402" i="26"/>
  <c r="I406" i="26"/>
  <c r="AO406" i="26"/>
  <c r="L394" i="182"/>
  <c r="N331" i="183"/>
  <c r="G68" i="125"/>
  <c r="H68" i="125"/>
  <c r="H159" i="125"/>
  <c r="P159" i="125"/>
  <c r="K18" i="35"/>
  <c r="D69" i="35"/>
  <c r="F13" i="35"/>
  <c r="K31" i="35"/>
  <c r="S31" i="35" s="1"/>
  <c r="F25" i="5"/>
  <c r="K29" i="5"/>
  <c r="D35" i="5"/>
  <c r="C45" i="5"/>
  <c r="G37" i="5"/>
  <c r="I39" i="5"/>
  <c r="G39" i="5"/>
  <c r="H40" i="5"/>
  <c r="D42" i="5"/>
  <c r="F45" i="5"/>
  <c r="G55" i="182"/>
  <c r="E54" i="182"/>
  <c r="E401" i="182"/>
  <c r="E56" i="182"/>
  <c r="I55" i="182"/>
  <c r="H55" i="182"/>
  <c r="E86" i="182"/>
  <c r="E79" i="183"/>
  <c r="E402" i="182"/>
  <c r="E36" i="182"/>
  <c r="E152" i="182"/>
  <c r="P366" i="183"/>
  <c r="O502" i="182"/>
  <c r="K382" i="183"/>
  <c r="K218" i="183"/>
  <c r="G218" i="183"/>
  <c r="I218" i="183"/>
  <c r="J218" i="183" s="1"/>
  <c r="H218" i="183"/>
  <c r="E250" i="183"/>
  <c r="E26" i="183" s="1"/>
  <c r="E27" i="182"/>
  <c r="D472" i="182"/>
  <c r="D15" i="182"/>
  <c r="D276" i="183"/>
  <c r="E299" i="183"/>
  <c r="I299" i="183" s="1"/>
  <c r="J299" i="183" s="1"/>
  <c r="E393" i="182"/>
  <c r="E284" i="182"/>
  <c r="E303" i="183"/>
  <c r="E294" i="182"/>
  <c r="E409" i="182"/>
  <c r="N318" i="183"/>
  <c r="D508" i="182"/>
  <c r="D349" i="183"/>
  <c r="E47" i="183"/>
  <c r="L50" i="183"/>
  <c r="J377" i="183"/>
  <c r="D383" i="183"/>
  <c r="D18" i="183"/>
  <c r="L346" i="183"/>
  <c r="J382" i="183"/>
  <c r="I98" i="201"/>
  <c r="J20" i="201"/>
  <c r="F103" i="201"/>
  <c r="M106" i="201"/>
  <c r="AX68" i="201"/>
  <c r="AZ52" i="201"/>
  <c r="AV53" i="201"/>
  <c r="AU69" i="201"/>
  <c r="AY71" i="201"/>
  <c r="AU72" i="201"/>
  <c r="AY74" i="201"/>
  <c r="C25" i="33"/>
  <c r="C209" i="44"/>
  <c r="F25" i="33"/>
  <c r="G209" i="44"/>
  <c r="I25" i="33"/>
  <c r="K209" i="44"/>
  <c r="L25" i="33"/>
  <c r="O209" i="44"/>
  <c r="AY212" i="26"/>
  <c r="B26" i="33"/>
  <c r="B210" i="44"/>
  <c r="E26" i="33"/>
  <c r="F210" i="44"/>
  <c r="H26" i="33"/>
  <c r="J210" i="44"/>
  <c r="K26" i="33"/>
  <c r="N210" i="44"/>
  <c r="AX213" i="26"/>
  <c r="E211" i="44"/>
  <c r="I211" i="44"/>
  <c r="Q211" i="44"/>
  <c r="BA214" i="26"/>
  <c r="C30" i="33"/>
  <c r="C213" i="44"/>
  <c r="F30" i="33"/>
  <c r="G213" i="44"/>
  <c r="I30" i="33"/>
  <c r="K213" i="44"/>
  <c r="L30" i="33"/>
  <c r="O213" i="44"/>
  <c r="AY216" i="26"/>
  <c r="B31" i="33"/>
  <c r="B214" i="44"/>
  <c r="E31" i="33"/>
  <c r="F214" i="44"/>
  <c r="H31" i="33"/>
  <c r="J214" i="44"/>
  <c r="K31" i="33"/>
  <c r="N214" i="44"/>
  <c r="AX217" i="26"/>
  <c r="E215" i="44"/>
  <c r="I215" i="44"/>
  <c r="Q215" i="44"/>
  <c r="BA218" i="26"/>
  <c r="C217" i="44"/>
  <c r="G217" i="44"/>
  <c r="K217" i="44"/>
  <c r="O217" i="44"/>
  <c r="AY220" i="26"/>
  <c r="BA365" i="26"/>
  <c r="C274" i="44"/>
  <c r="C399" i="26"/>
  <c r="G399" i="26"/>
  <c r="K399" i="26"/>
  <c r="G274" i="44"/>
  <c r="O399" i="26"/>
  <c r="S399" i="26"/>
  <c r="W399" i="26"/>
  <c r="K274" i="44"/>
  <c r="AA399" i="26"/>
  <c r="AE399" i="26"/>
  <c r="AI399" i="26"/>
  <c r="O274" i="44"/>
  <c r="AM399" i="26"/>
  <c r="AQ399" i="26"/>
  <c r="AU399" i="26"/>
  <c r="AY367" i="26"/>
  <c r="AX368" i="26"/>
  <c r="E276" i="44"/>
  <c r="E401" i="26"/>
  <c r="I401" i="26"/>
  <c r="M401" i="26"/>
  <c r="I276" i="44"/>
  <c r="Q401" i="26"/>
  <c r="U401" i="26"/>
  <c r="Y401" i="26"/>
  <c r="M276" i="44"/>
  <c r="AC401" i="26"/>
  <c r="AG401" i="26"/>
  <c r="BE401" i="26" s="1"/>
  <c r="AK401" i="26"/>
  <c r="Q276" i="44"/>
  <c r="AO401" i="26"/>
  <c r="AS401" i="26"/>
  <c r="AW401" i="26"/>
  <c r="BA369" i="26"/>
  <c r="C278" i="44"/>
  <c r="C403" i="26"/>
  <c r="G403" i="26"/>
  <c r="K403" i="26"/>
  <c r="G278" i="44"/>
  <c r="O403" i="26"/>
  <c r="S403" i="26"/>
  <c r="W403" i="26"/>
  <c r="K278" i="44"/>
  <c r="AA403" i="26"/>
  <c r="AE403" i="26"/>
  <c r="AI403" i="26"/>
  <c r="O278" i="44"/>
  <c r="AM403" i="26"/>
  <c r="AQ403" i="26"/>
  <c r="AU403" i="26"/>
  <c r="AY371" i="26"/>
  <c r="AX372" i="26"/>
  <c r="E280" i="44"/>
  <c r="E405" i="26"/>
  <c r="I405" i="26"/>
  <c r="M405" i="26"/>
  <c r="I280" i="44"/>
  <c r="Q405" i="26"/>
  <c r="U405" i="26"/>
  <c r="Y405" i="26"/>
  <c r="M280" i="44"/>
  <c r="AC405" i="26"/>
  <c r="AG405" i="26"/>
  <c r="BE405" i="26" s="1"/>
  <c r="AK405" i="26"/>
  <c r="Q280" i="44"/>
  <c r="AO405" i="26"/>
  <c r="AS405" i="26"/>
  <c r="AW405" i="26"/>
  <c r="BA373" i="26"/>
  <c r="E398" i="26"/>
  <c r="Q398" i="26"/>
  <c r="AO398" i="26"/>
  <c r="AA400" i="26"/>
  <c r="AL400" i="26"/>
  <c r="Z401" i="26"/>
  <c r="AC402" i="26"/>
  <c r="O404" i="26"/>
  <c r="Z404" i="26"/>
  <c r="N405" i="26"/>
  <c r="Q406" i="26"/>
  <c r="G152" i="125"/>
  <c r="P156" i="125"/>
  <c r="G156" i="125"/>
  <c r="P160" i="125"/>
  <c r="G160" i="125"/>
  <c r="F13" i="5"/>
  <c r="L18" i="35"/>
  <c r="I14" i="5"/>
  <c r="F34" i="35"/>
  <c r="O36" i="35"/>
  <c r="C8" i="5"/>
  <c r="C12" i="5"/>
  <c r="D30" i="5"/>
  <c r="L21" i="5"/>
  <c r="F23" i="5"/>
  <c r="L24" i="5"/>
  <c r="F27" i="5"/>
  <c r="H35" i="5"/>
  <c r="D37" i="5"/>
  <c r="H43" i="5"/>
  <c r="C7" i="136"/>
  <c r="G7" i="136" s="1"/>
  <c r="J7" i="136" s="1"/>
  <c r="H46" i="182"/>
  <c r="E12" i="182"/>
  <c r="J46" i="182"/>
  <c r="H48" i="182"/>
  <c r="E47" i="182"/>
  <c r="E52" i="183"/>
  <c r="E465" i="182"/>
  <c r="J48" i="182"/>
  <c r="K377" i="183"/>
  <c r="L58" i="183"/>
  <c r="H58" i="183"/>
  <c r="K58" i="183"/>
  <c r="G58" i="183"/>
  <c r="J67" i="182"/>
  <c r="E35" i="182"/>
  <c r="I67" i="182"/>
  <c r="E467" i="182"/>
  <c r="E116" i="183"/>
  <c r="E126" i="182"/>
  <c r="E134" i="182"/>
  <c r="E139" i="183"/>
  <c r="E388" i="182"/>
  <c r="E148" i="183"/>
  <c r="E137" i="182"/>
  <c r="P367" i="183"/>
  <c r="O503" i="182"/>
  <c r="D281" i="183"/>
  <c r="E106" i="201"/>
  <c r="I314" i="183"/>
  <c r="J314" i="183" s="1"/>
  <c r="K385" i="183"/>
  <c r="H314" i="183"/>
  <c r="K314" i="183"/>
  <c r="G314" i="183"/>
  <c r="E340" i="183"/>
  <c r="E474" i="182"/>
  <c r="E317" i="182"/>
  <c r="N335" i="183"/>
  <c r="L410" i="182"/>
  <c r="D443" i="182"/>
  <c r="C12" i="183"/>
  <c r="C17" i="183"/>
  <c r="C80" i="183"/>
  <c r="F25" i="183"/>
  <c r="E30" i="201"/>
  <c r="E98" i="201"/>
  <c r="I100" i="201"/>
  <c r="C102" i="201"/>
  <c r="G24" i="201"/>
  <c r="AP45" i="201"/>
  <c r="AX66" i="201"/>
  <c r="AX60" i="201"/>
  <c r="AZ50" i="201"/>
  <c r="AQ72" i="201"/>
  <c r="D75" i="42"/>
  <c r="S75" i="42"/>
  <c r="E208" i="44"/>
  <c r="I208" i="44"/>
  <c r="Q208" i="44"/>
  <c r="BA211" i="26"/>
  <c r="C26" i="33"/>
  <c r="C210" i="44"/>
  <c r="F26" i="33"/>
  <c r="G210" i="44"/>
  <c r="I26" i="33"/>
  <c r="K210" i="44"/>
  <c r="L26" i="33"/>
  <c r="O210" i="44"/>
  <c r="AY213" i="26"/>
  <c r="B27" i="33"/>
  <c r="B211" i="44"/>
  <c r="E27" i="33"/>
  <c r="F211" i="44"/>
  <c r="H27" i="33"/>
  <c r="J211" i="44"/>
  <c r="K27" i="33"/>
  <c r="N211" i="44"/>
  <c r="AX214" i="26"/>
  <c r="E212" i="44"/>
  <c r="I212" i="44"/>
  <c r="Q212" i="44"/>
  <c r="BA215" i="26"/>
  <c r="C31" i="33"/>
  <c r="C214" i="44"/>
  <c r="F31" i="33"/>
  <c r="G214" i="44"/>
  <c r="I31" i="33"/>
  <c r="K214" i="44"/>
  <c r="L31" i="33"/>
  <c r="O214" i="44"/>
  <c r="AY217" i="26"/>
  <c r="B32" i="33"/>
  <c r="B215" i="44"/>
  <c r="E32" i="33"/>
  <c r="F215" i="44"/>
  <c r="H32" i="33"/>
  <c r="J215" i="44"/>
  <c r="K32" i="33"/>
  <c r="N215" i="44"/>
  <c r="AX218" i="26"/>
  <c r="E216" i="44"/>
  <c r="I216" i="44"/>
  <c r="Q216" i="44"/>
  <c r="BA219" i="26"/>
  <c r="AX365" i="26"/>
  <c r="BA366" i="26"/>
  <c r="AY368" i="26"/>
  <c r="AX369" i="26"/>
  <c r="BA370" i="26"/>
  <c r="AY372" i="26"/>
  <c r="AX373" i="26"/>
  <c r="BA374" i="26"/>
  <c r="E397" i="26"/>
  <c r="Q397" i="26"/>
  <c r="AC397" i="26"/>
  <c r="AO397" i="26"/>
  <c r="B400" i="26"/>
  <c r="AM400" i="26"/>
  <c r="AL401" i="26"/>
  <c r="AO402" i="26"/>
  <c r="AA404" i="26"/>
  <c r="AL404" i="26"/>
  <c r="Z405" i="26"/>
  <c r="AC406" i="26"/>
  <c r="H152" i="125"/>
  <c r="H156" i="125"/>
  <c r="H160" i="125"/>
  <c r="F11" i="35"/>
  <c r="M13" i="35"/>
  <c r="F15" i="35"/>
  <c r="M16" i="35"/>
  <c r="E29" i="5"/>
  <c r="H37" i="5"/>
  <c r="D85" i="35"/>
  <c r="E45" i="5"/>
  <c r="H57" i="136"/>
  <c r="C51" i="136"/>
  <c r="E44" i="182"/>
  <c r="I50" i="183"/>
  <c r="J50" i="183" s="1"/>
  <c r="H50" i="183"/>
  <c r="K50" i="183"/>
  <c r="G50" i="183"/>
  <c r="K378" i="183"/>
  <c r="L90" i="183"/>
  <c r="K90" i="183"/>
  <c r="O500" i="182"/>
  <c r="P364" i="183"/>
  <c r="E107" i="182"/>
  <c r="E143" i="183"/>
  <c r="E146" i="182"/>
  <c r="E151" i="183"/>
  <c r="E452" i="182"/>
  <c r="E149" i="182"/>
  <c r="E274" i="183"/>
  <c r="E290" i="183" s="1"/>
  <c r="K384" i="183"/>
  <c r="K282" i="183"/>
  <c r="G282" i="183"/>
  <c r="I282" i="183"/>
  <c r="J282" i="183" s="1"/>
  <c r="D298" i="183"/>
  <c r="D376" i="182"/>
  <c r="D318" i="183"/>
  <c r="D490" i="182"/>
  <c r="E107" i="201"/>
  <c r="L51" i="125" s="1"/>
  <c r="E458" i="182"/>
  <c r="E343" i="183"/>
  <c r="O508" i="182"/>
  <c r="E332" i="182"/>
  <c r="P372" i="183"/>
  <c r="D350" i="183"/>
  <c r="D491" i="182"/>
  <c r="C29" i="183"/>
  <c r="D80" i="183"/>
  <c r="C15" i="183"/>
  <c r="C20" i="183"/>
  <c r="C10" i="183"/>
  <c r="C272" i="183"/>
  <c r="L282" i="183"/>
  <c r="E100" i="201"/>
  <c r="N25" i="201"/>
  <c r="P30" i="35" s="1"/>
  <c r="D49" i="35" s="1"/>
  <c r="L103" i="201"/>
  <c r="C104" i="201"/>
  <c r="G26" i="201"/>
  <c r="L105" i="201"/>
  <c r="N27" i="201"/>
  <c r="P32" i="35" s="1"/>
  <c r="D51" i="35" s="1"/>
  <c r="AR66" i="201"/>
  <c r="AP71" i="201"/>
  <c r="AQ69" i="201"/>
  <c r="E179" i="182"/>
  <c r="E194" i="182"/>
  <c r="E216" i="182"/>
  <c r="E224" i="182"/>
  <c r="E391" i="182"/>
  <c r="D392" i="182"/>
  <c r="L392" i="182"/>
  <c r="E405" i="182"/>
  <c r="D410" i="182"/>
  <c r="E439" i="182"/>
  <c r="E105" i="201"/>
  <c r="D457" i="182"/>
  <c r="E469" i="182"/>
  <c r="N506" i="182"/>
  <c r="N509" i="182" s="1"/>
  <c r="D507" i="182"/>
  <c r="D112" i="183"/>
  <c r="E175" i="183"/>
  <c r="E180" i="183"/>
  <c r="E203" i="183"/>
  <c r="E207" i="183"/>
  <c r="D267" i="183"/>
  <c r="E276" i="183"/>
  <c r="D300" i="183"/>
  <c r="E335" i="183"/>
  <c r="O365" i="183"/>
  <c r="M102" i="201"/>
  <c r="N24" i="201"/>
  <c r="P29" i="35" s="1"/>
  <c r="D48" i="35" s="1"/>
  <c r="AS36" i="201"/>
  <c r="AT45" i="201"/>
  <c r="AT66" i="201"/>
  <c r="AY60" i="201"/>
  <c r="AS51" i="201"/>
  <c r="AT68" i="201"/>
  <c r="AX70" i="201"/>
  <c r="AX73" i="201"/>
  <c r="AT60" i="201"/>
  <c r="AO71" i="201"/>
  <c r="AU74" i="201"/>
  <c r="E239" i="182"/>
  <c r="E266" i="182"/>
  <c r="E299" i="182"/>
  <c r="E326" i="182"/>
  <c r="E406" i="182"/>
  <c r="E410" i="182"/>
  <c r="E453" i="182"/>
  <c r="E457" i="182"/>
  <c r="L458" i="182"/>
  <c r="O499" i="182"/>
  <c r="E500" i="182"/>
  <c r="E501" i="182"/>
  <c r="E503" i="182"/>
  <c r="E504" i="182"/>
  <c r="O504" i="182"/>
  <c r="E505" i="182"/>
  <c r="O505" i="182"/>
  <c r="O506" i="182"/>
  <c r="E507" i="182"/>
  <c r="O507" i="182"/>
  <c r="E508" i="182"/>
  <c r="G154" i="183"/>
  <c r="K154" i="183"/>
  <c r="D224" i="183"/>
  <c r="E236" i="183"/>
  <c r="E247" i="183"/>
  <c r="H383" i="183"/>
  <c r="H387" i="183" s="1"/>
  <c r="E267" i="183"/>
  <c r="D271" i="183"/>
  <c r="E300" i="183"/>
  <c r="D303" i="183"/>
  <c r="D308" i="183"/>
  <c r="E311" i="183"/>
  <c r="D331" i="183"/>
  <c r="D332" i="183"/>
  <c r="O367" i="183"/>
  <c r="G20" i="201"/>
  <c r="G22" i="201"/>
  <c r="I102" i="201"/>
  <c r="J24" i="201"/>
  <c r="AV36" i="201"/>
  <c r="AU60" i="201"/>
  <c r="AZ51" i="201"/>
  <c r="AS53" i="201"/>
  <c r="AX69" i="201"/>
  <c r="AS54" i="201"/>
  <c r="AT70" i="201"/>
  <c r="AS56" i="201"/>
  <c r="AZ56" i="201"/>
  <c r="AS57" i="201"/>
  <c r="AT73" i="201"/>
  <c r="AX75" i="201"/>
  <c r="AQ67" i="201"/>
  <c r="AY67" i="201"/>
  <c r="AO70" i="201"/>
  <c r="AQ71" i="201"/>
  <c r="AQ73" i="201"/>
  <c r="AU75" i="201"/>
  <c r="BD93" i="201"/>
  <c r="G78" i="42"/>
  <c r="AZ21" i="201"/>
  <c r="D64" i="35"/>
  <c r="I6" i="136"/>
  <c r="I19" i="136" s="1"/>
  <c r="D30" i="182"/>
  <c r="I45" i="182"/>
  <c r="K43" i="183" s="1"/>
  <c r="I57" i="182"/>
  <c r="I64" i="182"/>
  <c r="E204" i="182"/>
  <c r="E212" i="182"/>
  <c r="E234" i="182"/>
  <c r="E257" i="182"/>
  <c r="E276" i="182"/>
  <c r="E314" i="182"/>
  <c r="D377" i="182"/>
  <c r="E385" i="182"/>
  <c r="E407" i="182"/>
  <c r="G95" i="183"/>
  <c r="K95" i="183"/>
  <c r="H154" i="183"/>
  <c r="L154" i="183"/>
  <c r="K255" i="183"/>
  <c r="M98" i="201"/>
  <c r="N20" i="201"/>
  <c r="P25" i="35" s="1"/>
  <c r="D44" i="35" s="1"/>
  <c r="J25" i="201"/>
  <c r="M30" i="201"/>
  <c r="AZ37" i="201"/>
  <c r="AZ41" i="201"/>
  <c r="AV42" i="201"/>
  <c r="AV43" i="201"/>
  <c r="AV44" i="201"/>
  <c r="AX45" i="201"/>
  <c r="AV50" i="201"/>
  <c r="AV51" i="201"/>
  <c r="AV52" i="201"/>
  <c r="AP69" i="201"/>
  <c r="AT69" i="201"/>
  <c r="AZ53" i="201"/>
  <c r="AP70" i="201"/>
  <c r="AZ54" i="201"/>
  <c r="AS55" i="201"/>
  <c r="AZ55" i="201"/>
  <c r="AP72" i="201"/>
  <c r="AV56" i="201"/>
  <c r="AP73" i="201"/>
  <c r="AZ57" i="201"/>
  <c r="AS58" i="201"/>
  <c r="AX74" i="201"/>
  <c r="AT75" i="201"/>
  <c r="AU68" i="201"/>
  <c r="AO69" i="201"/>
  <c r="AQ70" i="201"/>
  <c r="AQ74" i="201"/>
  <c r="G21" i="201"/>
  <c r="G25" i="201"/>
  <c r="N28" i="201"/>
  <c r="P33" i="35" s="1"/>
  <c r="D52" i="35" s="1"/>
  <c r="L30" i="201"/>
  <c r="AZ36" i="201"/>
  <c r="AS37" i="201"/>
  <c r="AS39" i="201"/>
  <c r="AS41" i="201"/>
  <c r="AS42" i="201"/>
  <c r="AS43" i="201"/>
  <c r="AS44" i="201"/>
  <c r="AQ45" i="201"/>
  <c r="AU45" i="201"/>
  <c r="AY45" i="201"/>
  <c r="AV58" i="201"/>
  <c r="AZ58" i="201"/>
  <c r="AT71" i="201"/>
  <c r="AX71" i="201"/>
  <c r="AT72" i="201"/>
  <c r="AX72" i="201"/>
  <c r="M101" i="201"/>
  <c r="C103" i="201"/>
  <c r="P43" i="42"/>
  <c r="N105" i="42"/>
  <c r="N167" i="42" s="1"/>
  <c r="F78" i="42"/>
  <c r="J78" i="42"/>
  <c r="N78" i="42"/>
  <c r="K140" i="42"/>
  <c r="O140" i="42"/>
  <c r="R132" i="42"/>
  <c r="R227" i="42"/>
  <c r="J22" i="201"/>
  <c r="N22" i="201"/>
  <c r="P27" i="35" s="1"/>
  <c r="D46" i="35" s="1"/>
  <c r="G23" i="201"/>
  <c r="J26" i="201"/>
  <c r="N26" i="201"/>
  <c r="P31" i="35" s="1"/>
  <c r="D50" i="35" s="1"/>
  <c r="AS35" i="201"/>
  <c r="AS38" i="201"/>
  <c r="AS40" i="201"/>
  <c r="AO45" i="201"/>
  <c r="AS50" i="201"/>
  <c r="AS66" i="201" s="1"/>
  <c r="R243" i="42"/>
  <c r="P11" i="42"/>
  <c r="S74" i="42"/>
  <c r="C78" i="42"/>
  <c r="Q99" i="42"/>
  <c r="C140" i="42"/>
  <c r="B203" i="42"/>
  <c r="R193" i="42"/>
  <c r="F203" i="42"/>
  <c r="J203" i="42"/>
  <c r="P193" i="42"/>
  <c r="N203" i="42"/>
  <c r="U196" i="42"/>
  <c r="S200" i="42"/>
  <c r="C296" i="42"/>
  <c r="B250" i="42"/>
  <c r="R248" i="42"/>
  <c r="N295" i="42"/>
  <c r="P263" i="42"/>
  <c r="J267" i="42"/>
  <c r="N289" i="42"/>
  <c r="P39" i="44"/>
  <c r="N102" i="44"/>
  <c r="N164" i="44" s="1"/>
  <c r="P6" i="42"/>
  <c r="P10" i="42"/>
  <c r="P14" i="42"/>
  <c r="S77" i="42"/>
  <c r="N100" i="42"/>
  <c r="N162" i="42" s="1"/>
  <c r="N104" i="42"/>
  <c r="N166" i="42" s="1"/>
  <c r="G203" i="42"/>
  <c r="U199" i="42"/>
  <c r="K203" i="42"/>
  <c r="K299" i="42" s="1"/>
  <c r="F235" i="42"/>
  <c r="R228" i="42"/>
  <c r="J235" i="42"/>
  <c r="R241" i="42"/>
  <c r="N250" i="42"/>
  <c r="N291" i="42"/>
  <c r="P259" i="42"/>
  <c r="N297" i="42"/>
  <c r="Q267" i="42"/>
  <c r="P5" i="42"/>
  <c r="P9" i="42"/>
  <c r="P13" i="42"/>
  <c r="C291" i="42"/>
  <c r="S195" i="42"/>
  <c r="J250" i="42"/>
  <c r="R240" i="42"/>
  <c r="R242" i="42"/>
  <c r="R249" i="42"/>
  <c r="F15" i="44"/>
  <c r="H5" i="44"/>
  <c r="F141" i="44"/>
  <c r="O203" i="42"/>
  <c r="M203" i="42"/>
  <c r="N235" i="42"/>
  <c r="R226" i="42"/>
  <c r="R231" i="42"/>
  <c r="R232" i="42"/>
  <c r="R233" i="42"/>
  <c r="R247" i="42"/>
  <c r="E290" i="42"/>
  <c r="I290" i="42"/>
  <c r="M290" i="42"/>
  <c r="Q290" i="42"/>
  <c r="E292" i="42"/>
  <c r="U260" i="42"/>
  <c r="I292" i="42"/>
  <c r="M292" i="42"/>
  <c r="E294" i="42"/>
  <c r="I294" i="42"/>
  <c r="M294" i="42"/>
  <c r="Q294" i="42"/>
  <c r="E296" i="42"/>
  <c r="U264" i="42"/>
  <c r="I296" i="42"/>
  <c r="M296" i="42"/>
  <c r="E298" i="42"/>
  <c r="I298" i="42"/>
  <c r="M298" i="42"/>
  <c r="Q298" i="42"/>
  <c r="E267" i="42"/>
  <c r="B289" i="42"/>
  <c r="O289" i="42"/>
  <c r="C290" i="42"/>
  <c r="B297" i="42"/>
  <c r="C298" i="42"/>
  <c r="B15" i="44"/>
  <c r="U194" i="42"/>
  <c r="P197" i="42"/>
  <c r="O229" i="42" s="1"/>
  <c r="P229" i="42" s="1"/>
  <c r="Q229" i="42" s="1"/>
  <c r="S197" i="42"/>
  <c r="R230" i="42"/>
  <c r="F250" i="42"/>
  <c r="P264" i="42"/>
  <c r="N296" i="42"/>
  <c r="M267" i="42"/>
  <c r="N292" i="42"/>
  <c r="B293" i="42"/>
  <c r="C294" i="42"/>
  <c r="M79" i="44"/>
  <c r="B141" i="44"/>
  <c r="J141" i="44"/>
  <c r="N141" i="44"/>
  <c r="R131" i="44"/>
  <c r="E203" i="42"/>
  <c r="P195" i="42"/>
  <c r="O227" i="42" s="1"/>
  <c r="P227" i="42" s="1"/>
  <c r="Q227" i="42" s="1"/>
  <c r="U197" i="42"/>
  <c r="R225" i="42"/>
  <c r="R234" i="42"/>
  <c r="R244" i="42"/>
  <c r="R245" i="42"/>
  <c r="R246" i="42"/>
  <c r="F289" i="42"/>
  <c r="N267" i="42"/>
  <c r="U258" i="42"/>
  <c r="E291" i="42"/>
  <c r="I291" i="42"/>
  <c r="M291" i="42"/>
  <c r="F293" i="42"/>
  <c r="U262" i="42"/>
  <c r="E295" i="42"/>
  <c r="I295" i="42"/>
  <c r="M295" i="42"/>
  <c r="F297" i="42"/>
  <c r="J297" i="42"/>
  <c r="U266" i="42"/>
  <c r="J15" i="44"/>
  <c r="L5" i="44"/>
  <c r="N79" i="44"/>
  <c r="F106" i="44"/>
  <c r="F168" i="44" s="1"/>
  <c r="R70" i="44"/>
  <c r="L194" i="44"/>
  <c r="K226" i="44" s="1"/>
  <c r="L226" i="44" s="1"/>
  <c r="M226" i="44" s="1"/>
  <c r="K203" i="44"/>
  <c r="Q105" i="44"/>
  <c r="Q167" i="44" s="1"/>
  <c r="E79" i="44"/>
  <c r="U68" i="42"/>
  <c r="U130" i="42"/>
  <c r="P194" i="42"/>
  <c r="O226" i="42" s="1"/>
  <c r="P226" i="42" s="1"/>
  <c r="Q226" i="42" s="1"/>
  <c r="P196" i="42"/>
  <c r="O228" i="42" s="1"/>
  <c r="P228" i="42" s="1"/>
  <c r="Q228" i="42" s="1"/>
  <c r="P198" i="42"/>
  <c r="O230" i="42" s="1"/>
  <c r="P230" i="42" s="1"/>
  <c r="Q230" i="42" s="1"/>
  <c r="P200" i="42"/>
  <c r="O232" i="42" s="1"/>
  <c r="P232" i="42" s="1"/>
  <c r="Q232" i="42" s="1"/>
  <c r="P202" i="42"/>
  <c r="O234" i="42" s="1"/>
  <c r="P234" i="42" s="1"/>
  <c r="Q234" i="42" s="1"/>
  <c r="E289" i="42"/>
  <c r="I289" i="42"/>
  <c r="M289" i="42"/>
  <c r="Q289" i="42"/>
  <c r="R258" i="42"/>
  <c r="E293" i="42"/>
  <c r="I293" i="42"/>
  <c r="M293" i="42"/>
  <c r="Q293" i="42"/>
  <c r="R262" i="42"/>
  <c r="E297" i="42"/>
  <c r="I297" i="42"/>
  <c r="M297" i="42"/>
  <c r="Q297" i="42"/>
  <c r="R266" i="42"/>
  <c r="I267" i="42"/>
  <c r="Q100" i="44"/>
  <c r="J79" i="44"/>
  <c r="S257" i="42"/>
  <c r="C225" i="44"/>
  <c r="D225" i="44" s="1"/>
  <c r="E225" i="44" s="1"/>
  <c r="C290" i="44"/>
  <c r="D194" i="44"/>
  <c r="C226" i="44" s="1"/>
  <c r="D226" i="44" s="1"/>
  <c r="E226" i="44" s="1"/>
  <c r="U131" i="44"/>
  <c r="G203" i="44"/>
  <c r="K292" i="44"/>
  <c r="S196" i="44"/>
  <c r="L196" i="44"/>
  <c r="K228" i="44" s="1"/>
  <c r="L228" i="44" s="1"/>
  <c r="M228" i="44" s="1"/>
  <c r="R249" i="44"/>
  <c r="S69" i="44"/>
  <c r="S131" i="44"/>
  <c r="S194" i="44"/>
  <c r="P194" i="44"/>
  <c r="O226" i="44" s="1"/>
  <c r="P226" i="44" s="1"/>
  <c r="Q226" i="44" s="1"/>
  <c r="S199" i="44"/>
  <c r="P199" i="44"/>
  <c r="O231" i="44" s="1"/>
  <c r="P231" i="44" s="1"/>
  <c r="Q231" i="44" s="1"/>
  <c r="S193" i="44"/>
  <c r="S195" i="44"/>
  <c r="C203" i="44"/>
  <c r="O203" i="44"/>
  <c r="H193" i="44"/>
  <c r="B235" i="44"/>
  <c r="J235" i="44"/>
  <c r="R244" i="44"/>
  <c r="R245" i="44"/>
  <c r="N250" i="44"/>
  <c r="O289" i="44"/>
  <c r="K290" i="44"/>
  <c r="O297" i="44"/>
  <c r="K298" i="44"/>
  <c r="R246" i="44"/>
  <c r="R247" i="44"/>
  <c r="C292" i="44"/>
  <c r="G295" i="44"/>
  <c r="R226" i="44"/>
  <c r="R228" i="44"/>
  <c r="L230" i="44"/>
  <c r="M230" i="44" s="1"/>
  <c r="R230" i="44"/>
  <c r="R232" i="44"/>
  <c r="R234" i="44"/>
  <c r="F235" i="44"/>
  <c r="N235" i="44"/>
  <c r="F250" i="44"/>
  <c r="R248" i="44"/>
  <c r="O293" i="44"/>
  <c r="K294" i="44"/>
  <c r="C289" i="44"/>
  <c r="K289" i="44"/>
  <c r="C291" i="44"/>
  <c r="K291" i="44"/>
  <c r="C293" i="44"/>
  <c r="K293" i="44"/>
  <c r="C295" i="44"/>
  <c r="K295" i="44"/>
  <c r="C297" i="44"/>
  <c r="K297" i="44"/>
  <c r="G289" i="44"/>
  <c r="O291" i="44"/>
  <c r="G293" i="44"/>
  <c r="O295" i="44"/>
  <c r="G297" i="44"/>
  <c r="U193" i="44"/>
  <c r="D257" i="44"/>
  <c r="H257" i="44"/>
  <c r="L257" i="44"/>
  <c r="P257" i="44"/>
  <c r="B290" i="44"/>
  <c r="J290" i="44"/>
  <c r="D259" i="44"/>
  <c r="H259" i="44"/>
  <c r="L259" i="44"/>
  <c r="B292" i="44"/>
  <c r="J292" i="44"/>
  <c r="S260" i="44"/>
  <c r="D261" i="44"/>
  <c r="L261" i="44"/>
  <c r="P261" i="44"/>
  <c r="B294" i="44"/>
  <c r="J294" i="44"/>
  <c r="D263" i="44"/>
  <c r="H263" i="44"/>
  <c r="L263" i="44"/>
  <c r="B296" i="44"/>
  <c r="J296" i="44"/>
  <c r="S264" i="44"/>
  <c r="D265" i="44"/>
  <c r="L265" i="44"/>
  <c r="P265" i="44"/>
  <c r="B298" i="44"/>
  <c r="J298" i="44"/>
  <c r="O267" i="44"/>
  <c r="J289" i="44"/>
  <c r="N292" i="44"/>
  <c r="N296" i="44"/>
  <c r="R193" i="44"/>
  <c r="E289" i="44"/>
  <c r="G290" i="44"/>
  <c r="O290" i="44"/>
  <c r="G292" i="44"/>
  <c r="O292" i="44"/>
  <c r="G294" i="44"/>
  <c r="O294" i="44"/>
  <c r="G296" i="44"/>
  <c r="O296" i="44"/>
  <c r="G298" i="44"/>
  <c r="O298" i="44"/>
  <c r="I289" i="44"/>
  <c r="M289" i="44"/>
  <c r="Q289" i="44"/>
  <c r="U257" i="44"/>
  <c r="E290" i="44"/>
  <c r="I290" i="44"/>
  <c r="M290" i="44"/>
  <c r="Q290" i="44"/>
  <c r="U258" i="44"/>
  <c r="E291" i="44"/>
  <c r="I291" i="44"/>
  <c r="M291" i="44"/>
  <c r="Q291" i="44"/>
  <c r="U259" i="44"/>
  <c r="E292" i="44"/>
  <c r="I292" i="44"/>
  <c r="M292" i="44"/>
  <c r="Q292" i="44"/>
  <c r="U260" i="44"/>
  <c r="E293" i="44"/>
  <c r="I293" i="44"/>
  <c r="M293" i="44"/>
  <c r="Q293" i="44"/>
  <c r="U261" i="44"/>
  <c r="E294" i="44"/>
  <c r="I294" i="44"/>
  <c r="M294" i="44"/>
  <c r="Q294" i="44"/>
  <c r="U262" i="44"/>
  <c r="E295" i="44"/>
  <c r="I295" i="44"/>
  <c r="M295" i="44"/>
  <c r="Q295" i="44"/>
  <c r="U263" i="44"/>
  <c r="E296" i="44"/>
  <c r="I296" i="44"/>
  <c r="M296" i="44"/>
  <c r="Q296" i="44"/>
  <c r="U264" i="44"/>
  <c r="E297" i="44"/>
  <c r="I297" i="44"/>
  <c r="M297" i="44"/>
  <c r="Q297" i="44"/>
  <c r="U265" i="44"/>
  <c r="E298" i="44"/>
  <c r="I298" i="44"/>
  <c r="M298" i="44"/>
  <c r="Q298" i="44"/>
  <c r="U266" i="44"/>
  <c r="E267" i="44"/>
  <c r="I267" i="44"/>
  <c r="M267" i="44"/>
  <c r="Q267" i="44"/>
  <c r="Q299" i="44" s="1"/>
  <c r="R257" i="44"/>
  <c r="R258" i="44"/>
  <c r="R260" i="44"/>
  <c r="R262" i="44"/>
  <c r="R264" i="44"/>
  <c r="R266" i="44"/>
  <c r="F267" i="44"/>
  <c r="N267" i="44"/>
  <c r="BC60" i="27" l="1"/>
  <c r="BD60" i="27"/>
  <c r="J80" i="185"/>
  <c r="AA108" i="188"/>
  <c r="AF329" i="26"/>
  <c r="AG329" i="26" s="1"/>
  <c r="BE329" i="26"/>
  <c r="D101" i="27"/>
  <c r="Z122" i="27"/>
  <c r="AB57" i="26"/>
  <c r="H104" i="27"/>
  <c r="AB53" i="26"/>
  <c r="H101" i="27"/>
  <c r="AF54" i="27"/>
  <c r="X60" i="27"/>
  <c r="AR46" i="201"/>
  <c r="AR61" i="201"/>
  <c r="BC61" i="27"/>
  <c r="BC61" i="26"/>
  <c r="BC60" i="26"/>
  <c r="BC59" i="26"/>
  <c r="BC59" i="27"/>
  <c r="BC58" i="26"/>
  <c r="BC58" i="27"/>
  <c r="BC57" i="26"/>
  <c r="BC57" i="27"/>
  <c r="BC56" i="27"/>
  <c r="BC56" i="26"/>
  <c r="BC55" i="27"/>
  <c r="BC55" i="26"/>
  <c r="BC54" i="26"/>
  <c r="BC53" i="26"/>
  <c r="BC53" i="27"/>
  <c r="BC52" i="27"/>
  <c r="I132" i="198"/>
  <c r="I226" i="198" s="1"/>
  <c r="H226" i="198"/>
  <c r="I129" i="198"/>
  <c r="I223" i="198" s="1"/>
  <c r="H223" i="198"/>
  <c r="I126" i="198"/>
  <c r="I220" i="198" s="1"/>
  <c r="H220" i="198"/>
  <c r="I127" i="198"/>
  <c r="I221" i="198" s="1"/>
  <c r="H221" i="198"/>
  <c r="I130" i="198"/>
  <c r="I224" i="198" s="1"/>
  <c r="H224" i="198"/>
  <c r="I128" i="198"/>
  <c r="I222" i="198" s="1"/>
  <c r="H222" i="198"/>
  <c r="I131" i="198"/>
  <c r="I225" i="198" s="1"/>
  <c r="H225" i="198"/>
  <c r="I125" i="198"/>
  <c r="I219" i="198" s="1"/>
  <c r="H219" i="198"/>
  <c r="I133" i="198"/>
  <c r="I227" i="198" s="1"/>
  <c r="H227" i="198"/>
  <c r="X131" i="198"/>
  <c r="X225" i="198" s="1"/>
  <c r="W225" i="198"/>
  <c r="X128" i="198"/>
  <c r="X222" i="198" s="1"/>
  <c r="W222" i="198"/>
  <c r="X130" i="198"/>
  <c r="X224" i="198" s="1"/>
  <c r="W224" i="198"/>
  <c r="X132" i="198"/>
  <c r="X226" i="198" s="1"/>
  <c r="W226" i="198"/>
  <c r="X126" i="198"/>
  <c r="X220" i="198" s="1"/>
  <c r="W220" i="198"/>
  <c r="X133" i="198"/>
  <c r="X227" i="198" s="1"/>
  <c r="W227" i="198"/>
  <c r="X125" i="198"/>
  <c r="X219" i="198" s="1"/>
  <c r="W219" i="198"/>
  <c r="X127" i="198"/>
  <c r="X221" i="198" s="1"/>
  <c r="W221" i="198"/>
  <c r="X129" i="198"/>
  <c r="X223" i="198" s="1"/>
  <c r="W223" i="198"/>
  <c r="I124" i="170"/>
  <c r="I218" i="170" s="1"/>
  <c r="H218" i="170"/>
  <c r="J124" i="201"/>
  <c r="AF6" i="9"/>
  <c r="AD6" i="9"/>
  <c r="AC6" i="9"/>
  <c r="G62" i="196"/>
  <c r="E31" i="196" s="1"/>
  <c r="L289" i="42"/>
  <c r="L107" i="42"/>
  <c r="T6" i="134"/>
  <c r="F6" i="134"/>
  <c r="R187" i="188"/>
  <c r="I111" i="170"/>
  <c r="I107" i="170"/>
  <c r="I112" i="170"/>
  <c r="I109" i="170"/>
  <c r="I113" i="170"/>
  <c r="I115" i="170"/>
  <c r="I108" i="170"/>
  <c r="I110" i="170"/>
  <c r="I114" i="170"/>
  <c r="I116" i="170"/>
  <c r="D5" i="205"/>
  <c r="M9" i="182"/>
  <c r="M43" i="182" s="1"/>
  <c r="M73" i="182" s="1"/>
  <c r="M103" i="182" s="1"/>
  <c r="M133" i="182" s="1"/>
  <c r="M163" i="182" s="1"/>
  <c r="M193" i="182" s="1"/>
  <c r="M223" i="182" s="1"/>
  <c r="M253" i="182" s="1"/>
  <c r="M283" i="182" s="1"/>
  <c r="M313" i="182" s="1"/>
  <c r="E43" i="182"/>
  <c r="E9" i="183"/>
  <c r="C5" i="205"/>
  <c r="D43" i="182"/>
  <c r="D9" i="183"/>
  <c r="L9" i="182"/>
  <c r="L43" i="182" s="1"/>
  <c r="L73" i="182" s="1"/>
  <c r="L103" i="182" s="1"/>
  <c r="L133" i="182" s="1"/>
  <c r="L163" i="182" s="1"/>
  <c r="L193" i="182" s="1"/>
  <c r="L223" i="182" s="1"/>
  <c r="L253" i="182" s="1"/>
  <c r="L283" i="182" s="1"/>
  <c r="L313" i="182" s="1"/>
  <c r="L7" i="125"/>
  <c r="D7" i="35"/>
  <c r="D23" i="125"/>
  <c r="D41" i="125"/>
  <c r="D58" i="125" s="1"/>
  <c r="D75" i="125" s="1"/>
  <c r="D91" i="125" s="1"/>
  <c r="D107" i="125" s="1"/>
  <c r="D121" i="125" s="1"/>
  <c r="D135" i="125" s="1"/>
  <c r="M7" i="125"/>
  <c r="M23" i="125" s="1"/>
  <c r="M41" i="125" s="1"/>
  <c r="M58" i="125" s="1"/>
  <c r="M75" i="125" s="1"/>
  <c r="M91" i="125" s="1"/>
  <c r="M107" i="125" s="1"/>
  <c r="M121" i="125" s="1"/>
  <c r="E7" i="35"/>
  <c r="E23" i="125"/>
  <c r="E41" i="125" s="1"/>
  <c r="E58" i="125" s="1"/>
  <c r="E75" i="125" s="1"/>
  <c r="E91" i="125" s="1"/>
  <c r="E107" i="125" s="1"/>
  <c r="E121" i="125" s="1"/>
  <c r="E135" i="125" s="1"/>
  <c r="I18" i="28"/>
  <c r="J5" i="28"/>
  <c r="H18" i="28"/>
  <c r="AC124" i="26"/>
  <c r="P53" i="26"/>
  <c r="G71" i="35"/>
  <c r="H60" i="26"/>
  <c r="X53" i="26"/>
  <c r="X52" i="27"/>
  <c r="AC125" i="26"/>
  <c r="Z121" i="26"/>
  <c r="AC117" i="26"/>
  <c r="AC121" i="26"/>
  <c r="Z119" i="26"/>
  <c r="Z182" i="26" s="1"/>
  <c r="L55" i="27"/>
  <c r="O67" i="182"/>
  <c r="V117" i="26"/>
  <c r="V180" i="26" s="1"/>
  <c r="Z117" i="26"/>
  <c r="Z180" i="26" s="1"/>
  <c r="X59" i="26"/>
  <c r="X57" i="26"/>
  <c r="AB60" i="27"/>
  <c r="AA245" i="26"/>
  <c r="AB245" i="26" s="1"/>
  <c r="AC245" i="26" s="1"/>
  <c r="K6" i="9"/>
  <c r="M6" i="9" s="1"/>
  <c r="S6" i="9" s="1"/>
  <c r="AB58" i="27"/>
  <c r="T54" i="27"/>
  <c r="AB54" i="27"/>
  <c r="AB52" i="27"/>
  <c r="AB56" i="27"/>
  <c r="Q62" i="183"/>
  <c r="Z123" i="26"/>
  <c r="Z186" i="26" s="1"/>
  <c r="L59" i="27"/>
  <c r="AC117" i="27"/>
  <c r="L57" i="27"/>
  <c r="L53" i="27"/>
  <c r="P61" i="26"/>
  <c r="AB61" i="26"/>
  <c r="AC123" i="26"/>
  <c r="AC122" i="27"/>
  <c r="AC119" i="27"/>
  <c r="AC119" i="26"/>
  <c r="AC120" i="27"/>
  <c r="X58" i="27"/>
  <c r="T60" i="27"/>
  <c r="T58" i="27"/>
  <c r="T56" i="27"/>
  <c r="X56" i="27"/>
  <c r="T52" i="27"/>
  <c r="X54" i="27"/>
  <c r="N66" i="182"/>
  <c r="N36" i="182"/>
  <c r="N35" i="182"/>
  <c r="N68" i="182"/>
  <c r="O66" i="182"/>
  <c r="O247" i="182"/>
  <c r="N247" i="182"/>
  <c r="O278" i="182"/>
  <c r="N278" i="182"/>
  <c r="O307" i="182"/>
  <c r="N307" i="182"/>
  <c r="O246" i="182"/>
  <c r="N246" i="182"/>
  <c r="O254" i="183"/>
  <c r="N128" i="182"/>
  <c r="O128" i="182"/>
  <c r="O217" i="182"/>
  <c r="N217" i="182"/>
  <c r="O277" i="182"/>
  <c r="N277" i="182"/>
  <c r="O216" i="182"/>
  <c r="N216" i="182"/>
  <c r="M156" i="182"/>
  <c r="L156" i="182"/>
  <c r="N158" i="183" s="1"/>
  <c r="N126" i="182"/>
  <c r="O126" i="182"/>
  <c r="O96" i="182"/>
  <c r="N96" i="182"/>
  <c r="M157" i="182"/>
  <c r="L157" i="182"/>
  <c r="O276" i="182"/>
  <c r="N276" i="182"/>
  <c r="O127" i="182"/>
  <c r="N127" i="182"/>
  <c r="O306" i="182"/>
  <c r="N306" i="182"/>
  <c r="M158" i="182"/>
  <c r="L158" i="182"/>
  <c r="M186" i="182"/>
  <c r="L186" i="182"/>
  <c r="N190" i="183" s="1"/>
  <c r="BK83" i="201"/>
  <c r="BJ98" i="201"/>
  <c r="O218" i="182"/>
  <c r="N218" i="182"/>
  <c r="O336" i="182"/>
  <c r="N336" i="182"/>
  <c r="O350" i="183"/>
  <c r="O248" i="182"/>
  <c r="N248" i="182"/>
  <c r="O308" i="182"/>
  <c r="N308" i="182"/>
  <c r="O98" i="182"/>
  <c r="N98" i="182"/>
  <c r="M188" i="182"/>
  <c r="L188" i="182"/>
  <c r="O338" i="182"/>
  <c r="N338" i="182"/>
  <c r="O97" i="182"/>
  <c r="N97" i="182"/>
  <c r="H90" i="185"/>
  <c r="N125" i="188"/>
  <c r="L296" i="44"/>
  <c r="L293" i="42"/>
  <c r="AC233" i="27"/>
  <c r="AC231" i="27"/>
  <c r="AC228" i="27"/>
  <c r="AC227" i="27"/>
  <c r="AC229" i="27"/>
  <c r="L292" i="42"/>
  <c r="AC232" i="27"/>
  <c r="AC226" i="27"/>
  <c r="AC234" i="27"/>
  <c r="AC230" i="27"/>
  <c r="AC235" i="27"/>
  <c r="I98" i="198"/>
  <c r="I95" i="198"/>
  <c r="I94" i="198"/>
  <c r="I93" i="198"/>
  <c r="I96" i="198"/>
  <c r="I90" i="198"/>
  <c r="I92" i="198"/>
  <c r="I91" i="198"/>
  <c r="I99" i="198"/>
  <c r="I97" i="198"/>
  <c r="AW88" i="201"/>
  <c r="V123" i="27"/>
  <c r="V185" i="27" s="1"/>
  <c r="S123" i="27"/>
  <c r="S185" i="27" s="1"/>
  <c r="S119" i="27"/>
  <c r="S181" i="27" s="1"/>
  <c r="S115" i="27"/>
  <c r="T115" i="27" s="1"/>
  <c r="X61" i="26"/>
  <c r="T61" i="26"/>
  <c r="T59" i="26"/>
  <c r="R123" i="26"/>
  <c r="R186" i="26" s="1"/>
  <c r="T57" i="26"/>
  <c r="T55" i="26"/>
  <c r="T53" i="26"/>
  <c r="R121" i="26"/>
  <c r="R184" i="26" s="1"/>
  <c r="Y116" i="27"/>
  <c r="X55" i="26"/>
  <c r="Y117" i="26"/>
  <c r="H55" i="27"/>
  <c r="H53" i="27"/>
  <c r="X58" i="26"/>
  <c r="X56" i="26"/>
  <c r="X54" i="26"/>
  <c r="Y119" i="27"/>
  <c r="Y120" i="26"/>
  <c r="Y124" i="27"/>
  <c r="Y121" i="26"/>
  <c r="I20" i="5"/>
  <c r="M20" i="5" s="1"/>
  <c r="X52" i="26"/>
  <c r="Y121" i="27"/>
  <c r="W250" i="26"/>
  <c r="X250" i="26" s="1"/>
  <c r="Y250" i="26" s="1"/>
  <c r="Y125" i="26"/>
  <c r="Y188" i="26" s="1"/>
  <c r="Y120" i="27"/>
  <c r="X61" i="27"/>
  <c r="X59" i="27"/>
  <c r="X57" i="27"/>
  <c r="X53" i="27"/>
  <c r="Y118" i="27"/>
  <c r="X60" i="26"/>
  <c r="X55" i="27"/>
  <c r="H29" i="28"/>
  <c r="J29" i="28" s="1"/>
  <c r="M17" i="157"/>
  <c r="E35" i="132" s="1"/>
  <c r="Y117" i="27"/>
  <c r="H294" i="44"/>
  <c r="G60" i="196"/>
  <c r="E29" i="196" s="1"/>
  <c r="P80" i="27"/>
  <c r="X79" i="170"/>
  <c r="X76" i="170"/>
  <c r="X73" i="170"/>
  <c r="X78" i="170"/>
  <c r="X77" i="170"/>
  <c r="X80" i="170"/>
  <c r="X81" i="170"/>
  <c r="X75" i="170"/>
  <c r="X74" i="170"/>
  <c r="I76" i="170"/>
  <c r="I75" i="170"/>
  <c r="I73" i="170"/>
  <c r="I74" i="170"/>
  <c r="I72" i="170"/>
  <c r="I79" i="170"/>
  <c r="I81" i="170"/>
  <c r="I80" i="170"/>
  <c r="I78" i="170"/>
  <c r="I77" i="170"/>
  <c r="J19" i="28"/>
  <c r="P55" i="26"/>
  <c r="P59" i="26"/>
  <c r="M15" i="191"/>
  <c r="P60" i="27"/>
  <c r="T61" i="27"/>
  <c r="T52" i="26"/>
  <c r="P56" i="27"/>
  <c r="T59" i="27"/>
  <c r="P57" i="26"/>
  <c r="P54" i="27"/>
  <c r="T57" i="27"/>
  <c r="H61" i="27"/>
  <c r="P52" i="27"/>
  <c r="Q49" i="27" s="1"/>
  <c r="T55" i="27"/>
  <c r="U118" i="26"/>
  <c r="H59" i="27"/>
  <c r="T53" i="27"/>
  <c r="T60" i="26"/>
  <c r="T58" i="26"/>
  <c r="F122" i="26"/>
  <c r="F185" i="26" s="1"/>
  <c r="T56" i="26"/>
  <c r="F120" i="26"/>
  <c r="H120" i="26" s="1"/>
  <c r="T54" i="26"/>
  <c r="U117" i="27"/>
  <c r="H57" i="27"/>
  <c r="S252" i="26"/>
  <c r="T252" i="26" s="1"/>
  <c r="U252" i="26" s="1"/>
  <c r="S249" i="27"/>
  <c r="T249" i="27" s="1"/>
  <c r="S249" i="26"/>
  <c r="T249" i="26" s="1"/>
  <c r="U249" i="26" s="1"/>
  <c r="S245" i="26"/>
  <c r="T245" i="26" s="1"/>
  <c r="U245" i="26" s="1"/>
  <c r="U121" i="26"/>
  <c r="U184" i="26" s="1"/>
  <c r="M47" i="191"/>
  <c r="M13" i="191"/>
  <c r="R15" i="5"/>
  <c r="R16" i="5" s="1"/>
  <c r="G64" i="196"/>
  <c r="E33" i="196" s="1"/>
  <c r="H291" i="42"/>
  <c r="U232" i="27"/>
  <c r="U234" i="27"/>
  <c r="U231" i="27"/>
  <c r="H295" i="42"/>
  <c r="U233" i="27"/>
  <c r="U227" i="27"/>
  <c r="U230" i="27"/>
  <c r="U228" i="27"/>
  <c r="U229" i="27"/>
  <c r="U235" i="27"/>
  <c r="H100" i="42"/>
  <c r="H162" i="42" s="1"/>
  <c r="U172" i="27"/>
  <c r="C70" i="183"/>
  <c r="AJ56" i="27"/>
  <c r="L24" i="44"/>
  <c r="F118" i="27"/>
  <c r="H118" i="27" s="1"/>
  <c r="AJ52" i="26"/>
  <c r="AV61" i="27"/>
  <c r="AV55" i="27"/>
  <c r="L54" i="27"/>
  <c r="L61" i="27"/>
  <c r="AV60" i="27"/>
  <c r="Q124" i="27"/>
  <c r="Q186" i="27" s="1"/>
  <c r="Q122" i="27"/>
  <c r="Q184" i="27" s="1"/>
  <c r="I64" i="198"/>
  <c r="I63" i="198"/>
  <c r="I57" i="198"/>
  <c r="I59" i="198"/>
  <c r="I62" i="198"/>
  <c r="I61" i="198"/>
  <c r="I60" i="198"/>
  <c r="I58" i="198"/>
  <c r="I56" i="198"/>
  <c r="M45" i="6"/>
  <c r="I62" i="170"/>
  <c r="I60" i="170"/>
  <c r="I58" i="170"/>
  <c r="I63" i="170"/>
  <c r="I56" i="170"/>
  <c r="I59" i="170"/>
  <c r="I57" i="170"/>
  <c r="I64" i="170"/>
  <c r="I55" i="170"/>
  <c r="I61" i="170"/>
  <c r="Q120" i="26"/>
  <c r="U10" i="5"/>
  <c r="AW87" i="201"/>
  <c r="AV56" i="27"/>
  <c r="AV52" i="27"/>
  <c r="L52" i="27"/>
  <c r="P58" i="27"/>
  <c r="AR60" i="26"/>
  <c r="H53" i="26"/>
  <c r="P61" i="27"/>
  <c r="H60" i="27"/>
  <c r="P59" i="27"/>
  <c r="P57" i="27"/>
  <c r="P55" i="27"/>
  <c r="O243" i="27"/>
  <c r="P243" i="27" s="1"/>
  <c r="Q243" i="27" s="1"/>
  <c r="Q120" i="27"/>
  <c r="Q182" i="27" s="1"/>
  <c r="AA121" i="27"/>
  <c r="AA183" i="27" s="1"/>
  <c r="AB183" i="27" s="1"/>
  <c r="H58" i="27"/>
  <c r="M45" i="191"/>
  <c r="H56" i="27"/>
  <c r="P60" i="26"/>
  <c r="P58" i="26"/>
  <c r="H52" i="27"/>
  <c r="P56" i="26"/>
  <c r="P54" i="26"/>
  <c r="P52" i="26"/>
  <c r="Q125" i="26"/>
  <c r="Q188" i="26" s="1"/>
  <c r="F124" i="26"/>
  <c r="F187" i="26" s="1"/>
  <c r="H187" i="26" s="1"/>
  <c r="N124" i="26"/>
  <c r="N187" i="26" s="1"/>
  <c r="P53" i="27"/>
  <c r="H110" i="6"/>
  <c r="D161" i="6"/>
  <c r="G161" i="6" s="1"/>
  <c r="H114" i="6"/>
  <c r="H96" i="6"/>
  <c r="H95" i="6"/>
  <c r="H108" i="6"/>
  <c r="H100" i="6"/>
  <c r="H116" i="6"/>
  <c r="H93" i="6"/>
  <c r="H112" i="6"/>
  <c r="H101" i="6"/>
  <c r="H111" i="6"/>
  <c r="D159" i="6"/>
  <c r="G159" i="6" s="1"/>
  <c r="H97" i="6"/>
  <c r="H98" i="6"/>
  <c r="H94" i="6"/>
  <c r="H102" i="6"/>
  <c r="H99" i="6"/>
  <c r="H11" i="6"/>
  <c r="H4" i="6"/>
  <c r="H7" i="6"/>
  <c r="H13" i="6"/>
  <c r="H28" i="6"/>
  <c r="H24" i="6"/>
  <c r="H20" i="6"/>
  <c r="H9" i="6"/>
  <c r="D65" i="6"/>
  <c r="G65" i="6" s="1"/>
  <c r="H5" i="6"/>
  <c r="H10" i="6"/>
  <c r="H6" i="6"/>
  <c r="H12" i="6"/>
  <c r="H8" i="6"/>
  <c r="D292" i="44"/>
  <c r="D298" i="44"/>
  <c r="H297" i="44"/>
  <c r="BB198" i="26"/>
  <c r="BB384" i="26" s="1"/>
  <c r="H140" i="6" s="1"/>
  <c r="C299" i="42"/>
  <c r="D295" i="42"/>
  <c r="C34" i="183"/>
  <c r="F34" i="183"/>
  <c r="H61" i="26"/>
  <c r="L60" i="26"/>
  <c r="N109" i="44"/>
  <c r="N171" i="44" s="1"/>
  <c r="W162" i="27"/>
  <c r="X162" i="27" s="1"/>
  <c r="M229" i="27"/>
  <c r="F115" i="27"/>
  <c r="F177" i="27" s="1"/>
  <c r="H100" i="170"/>
  <c r="M422" i="183"/>
  <c r="P37" i="42"/>
  <c r="H296" i="42"/>
  <c r="S15" i="5"/>
  <c r="F15" i="5" s="1"/>
  <c r="J102" i="185"/>
  <c r="H59" i="26"/>
  <c r="L61" i="26"/>
  <c r="BS124" i="5"/>
  <c r="W115" i="201"/>
  <c r="H202" i="198"/>
  <c r="I202" i="198" s="1"/>
  <c r="AN59" i="27"/>
  <c r="X39" i="170"/>
  <c r="AP152" i="201"/>
  <c r="AQ152" i="201" s="1"/>
  <c r="M174" i="182" s="1"/>
  <c r="T9" i="5"/>
  <c r="U9" i="5" s="1"/>
  <c r="X42" i="170"/>
  <c r="L103" i="27"/>
  <c r="F119" i="26"/>
  <c r="H119" i="26" s="1"/>
  <c r="AR56" i="26"/>
  <c r="L60" i="27"/>
  <c r="D133" i="185"/>
  <c r="AV58" i="27"/>
  <c r="G65" i="196"/>
  <c r="E34" i="196" s="1"/>
  <c r="Z102" i="188"/>
  <c r="M72" i="185" s="1"/>
  <c r="F116" i="26"/>
  <c r="H116" i="26" s="1"/>
  <c r="M124" i="26"/>
  <c r="M187" i="26" s="1"/>
  <c r="AN58" i="27"/>
  <c r="X41" i="170"/>
  <c r="B31" i="134"/>
  <c r="X44" i="170"/>
  <c r="F116" i="27"/>
  <c r="F178" i="27" s="1"/>
  <c r="H178" i="27" s="1"/>
  <c r="AZ44" i="27"/>
  <c r="K45" i="185" s="1"/>
  <c r="L50" i="195" s="1"/>
  <c r="L95" i="195" s="1"/>
  <c r="L142" i="27"/>
  <c r="X158" i="198"/>
  <c r="G123" i="27"/>
  <c r="G185" i="27" s="1"/>
  <c r="W16" i="198"/>
  <c r="AR54" i="27"/>
  <c r="H57" i="26"/>
  <c r="L58" i="27"/>
  <c r="AA117" i="27"/>
  <c r="AA179" i="27" s="1"/>
  <c r="AB179" i="27" s="1"/>
  <c r="D20" i="44"/>
  <c r="X45" i="170"/>
  <c r="X43" i="170"/>
  <c r="X46" i="170"/>
  <c r="J116" i="27"/>
  <c r="L116" i="27" s="1"/>
  <c r="AA119" i="27"/>
  <c r="AA181" i="27" s="1"/>
  <c r="AB181" i="27" s="1"/>
  <c r="R291" i="44"/>
  <c r="J103" i="185"/>
  <c r="P361" i="26"/>
  <c r="L22" i="44"/>
  <c r="H104" i="42"/>
  <c r="H166" i="42" s="1"/>
  <c r="J100" i="185"/>
  <c r="M230" i="27"/>
  <c r="Z104" i="188"/>
  <c r="M74" i="185" s="1"/>
  <c r="M117" i="26"/>
  <c r="M180" i="26" s="1"/>
  <c r="H289" i="42"/>
  <c r="W100" i="198"/>
  <c r="X100" i="198" s="1"/>
  <c r="D15" i="42"/>
  <c r="T269" i="27"/>
  <c r="BF269" i="27" s="1"/>
  <c r="AJ55" i="26"/>
  <c r="H117" i="198"/>
  <c r="I117" i="198" s="1"/>
  <c r="H54" i="27"/>
  <c r="X269" i="27"/>
  <c r="M121" i="27"/>
  <c r="M183" i="27" s="1"/>
  <c r="J118" i="27"/>
  <c r="J180" i="27" s="1"/>
  <c r="AG422" i="183"/>
  <c r="T195" i="44"/>
  <c r="S227" i="44" s="1"/>
  <c r="T227" i="44" s="1"/>
  <c r="U227" i="44" s="1"/>
  <c r="Z116" i="188"/>
  <c r="Q71" i="185" s="1"/>
  <c r="G227" i="42"/>
  <c r="H227" i="42" s="1"/>
  <c r="I227" i="42" s="1"/>
  <c r="M115" i="27"/>
  <c r="H25" i="44"/>
  <c r="X40" i="170"/>
  <c r="AR52" i="26"/>
  <c r="X47" i="170"/>
  <c r="L56" i="27"/>
  <c r="I42" i="170"/>
  <c r="I47" i="170"/>
  <c r="I41" i="170"/>
  <c r="I44" i="170"/>
  <c r="I39" i="170"/>
  <c r="I40" i="170"/>
  <c r="I38" i="170"/>
  <c r="I43" i="170"/>
  <c r="I45" i="170"/>
  <c r="I46" i="170"/>
  <c r="F117" i="26"/>
  <c r="F180" i="26" s="1"/>
  <c r="H180" i="26" s="1"/>
  <c r="J121" i="27"/>
  <c r="J183" i="27" s="1"/>
  <c r="M123" i="27"/>
  <c r="AN57" i="26"/>
  <c r="AN55" i="26"/>
  <c r="AR61" i="26"/>
  <c r="F121" i="26"/>
  <c r="F184" i="26" s="1"/>
  <c r="H184" i="26" s="1"/>
  <c r="J124" i="26"/>
  <c r="J187" i="26" s="1"/>
  <c r="AN58" i="26"/>
  <c r="AN52" i="26"/>
  <c r="N5" i="191"/>
  <c r="N7" i="191"/>
  <c r="J125" i="26"/>
  <c r="J188" i="26" s="1"/>
  <c r="M116" i="27"/>
  <c r="L57" i="26"/>
  <c r="L53" i="26"/>
  <c r="K250" i="26"/>
  <c r="L250" i="26" s="1"/>
  <c r="M250" i="26" s="1"/>
  <c r="K252" i="26"/>
  <c r="L252" i="26" s="1"/>
  <c r="M252" i="26" s="1"/>
  <c r="K13" i="9"/>
  <c r="L56" i="26"/>
  <c r="L52" i="26"/>
  <c r="K247" i="26"/>
  <c r="L247" i="26" s="1"/>
  <c r="M247" i="26" s="1"/>
  <c r="L59" i="26"/>
  <c r="L55" i="26"/>
  <c r="L58" i="26"/>
  <c r="L54" i="26"/>
  <c r="W121" i="201"/>
  <c r="D296" i="42"/>
  <c r="H76" i="185"/>
  <c r="F125" i="188"/>
  <c r="H113" i="185"/>
  <c r="G172" i="188"/>
  <c r="F172" i="188"/>
  <c r="F103" i="195"/>
  <c r="X29" i="170"/>
  <c r="X30" i="170"/>
  <c r="X27" i="170"/>
  <c r="X25" i="170"/>
  <c r="X23" i="170"/>
  <c r="X24" i="170"/>
  <c r="X22" i="170"/>
  <c r="X31" i="170"/>
  <c r="X28" i="170"/>
  <c r="X26" i="170"/>
  <c r="I26" i="170"/>
  <c r="I28" i="170"/>
  <c r="I25" i="170"/>
  <c r="I29" i="170"/>
  <c r="I24" i="170"/>
  <c r="I27" i="170"/>
  <c r="I30" i="170"/>
  <c r="I23" i="170"/>
  <c r="I31" i="170"/>
  <c r="G246" i="26"/>
  <c r="H246" i="26" s="1"/>
  <c r="I246" i="26" s="1"/>
  <c r="G244" i="26"/>
  <c r="H244" i="26" s="1"/>
  <c r="I244" i="26" s="1"/>
  <c r="G248" i="27"/>
  <c r="H248" i="27" s="1"/>
  <c r="I248" i="27" s="1"/>
  <c r="E95" i="196"/>
  <c r="I117" i="27"/>
  <c r="L110" i="125"/>
  <c r="L107" i="182"/>
  <c r="L164" i="182"/>
  <c r="N170" i="183" s="1"/>
  <c r="L104" i="182"/>
  <c r="N106" i="183" s="1"/>
  <c r="L113" i="125"/>
  <c r="L84" i="182"/>
  <c r="L197" i="182"/>
  <c r="N197" i="182" s="1"/>
  <c r="L77" i="182"/>
  <c r="N77" i="182" s="1"/>
  <c r="L224" i="182"/>
  <c r="N234" i="183" s="1"/>
  <c r="L74" i="182"/>
  <c r="N74" i="183" s="1"/>
  <c r="L112" i="125"/>
  <c r="L287" i="182"/>
  <c r="L167" i="182"/>
  <c r="L47" i="182"/>
  <c r="L134" i="182"/>
  <c r="N138" i="183" s="1"/>
  <c r="L114" i="125"/>
  <c r="L227" i="182"/>
  <c r="N227" i="182" s="1"/>
  <c r="L194" i="182"/>
  <c r="N202" i="183" s="1"/>
  <c r="L115" i="125"/>
  <c r="L111" i="125"/>
  <c r="L257" i="182"/>
  <c r="L137" i="182"/>
  <c r="N137" i="182" s="1"/>
  <c r="D292" i="183"/>
  <c r="D132" i="183"/>
  <c r="D356" i="183"/>
  <c r="C134" i="183"/>
  <c r="I174" i="26"/>
  <c r="F172" i="26"/>
  <c r="H172" i="26" s="1"/>
  <c r="D267" i="42"/>
  <c r="I232" i="27"/>
  <c r="I235" i="27"/>
  <c r="I230" i="27"/>
  <c r="I234" i="27"/>
  <c r="I231" i="27"/>
  <c r="I233" i="27"/>
  <c r="I229" i="27"/>
  <c r="I228" i="27"/>
  <c r="I227" i="27"/>
  <c r="E187" i="188"/>
  <c r="H78" i="185"/>
  <c r="H96" i="185"/>
  <c r="H74" i="185"/>
  <c r="D172" i="188"/>
  <c r="I17" i="182"/>
  <c r="L109" i="125"/>
  <c r="U332" i="183"/>
  <c r="W119" i="201"/>
  <c r="C14" i="183"/>
  <c r="BQ141" i="201"/>
  <c r="D166" i="183"/>
  <c r="D262" i="183"/>
  <c r="Y117" i="201"/>
  <c r="BQ138" i="201"/>
  <c r="H17" i="182"/>
  <c r="J17" i="182"/>
  <c r="I472" i="182"/>
  <c r="W122" i="201"/>
  <c r="W120" i="201"/>
  <c r="D334" i="183"/>
  <c r="C4" i="207"/>
  <c r="D352" i="183"/>
  <c r="D320" i="183"/>
  <c r="D9" i="207"/>
  <c r="L119" i="183"/>
  <c r="C32" i="183"/>
  <c r="C12" i="207"/>
  <c r="C15" i="207" s="1"/>
  <c r="G183" i="183"/>
  <c r="H239" i="183"/>
  <c r="E217" i="183"/>
  <c r="L217" i="183" s="1"/>
  <c r="D345" i="183"/>
  <c r="D270" i="183"/>
  <c r="C22" i="207"/>
  <c r="I271" i="183"/>
  <c r="J271" i="183" s="1"/>
  <c r="C9" i="207"/>
  <c r="C21" i="207"/>
  <c r="E270" i="183"/>
  <c r="K270" i="183" s="1"/>
  <c r="I87" i="183"/>
  <c r="J87" i="183" s="1"/>
  <c r="C8" i="207"/>
  <c r="C5" i="207"/>
  <c r="C7" i="207" s="1"/>
  <c r="E28" i="207"/>
  <c r="L28" i="207" s="1"/>
  <c r="E78" i="183"/>
  <c r="I78" i="183" s="1"/>
  <c r="J78" i="183" s="1"/>
  <c r="H370" i="183"/>
  <c r="C29" i="207"/>
  <c r="E238" i="183"/>
  <c r="K238" i="183" s="1"/>
  <c r="D302" i="183"/>
  <c r="C18" i="207"/>
  <c r="D29" i="182"/>
  <c r="D27" i="207"/>
  <c r="D29" i="207" s="1"/>
  <c r="E302" i="183"/>
  <c r="I302" i="183" s="1"/>
  <c r="J302" i="183" s="1"/>
  <c r="L303" i="183"/>
  <c r="E22" i="207"/>
  <c r="E46" i="183"/>
  <c r="G46" i="183" s="1"/>
  <c r="E27" i="207"/>
  <c r="I27" i="207" s="1"/>
  <c r="I111" i="183"/>
  <c r="J111" i="183" s="1"/>
  <c r="C59" i="183"/>
  <c r="C60" i="183" s="1"/>
  <c r="C392" i="183" s="1"/>
  <c r="L144" i="26"/>
  <c r="E173" i="26"/>
  <c r="B56" i="185"/>
  <c r="AR59" i="26"/>
  <c r="AR55" i="26"/>
  <c r="E168" i="26"/>
  <c r="E172" i="26"/>
  <c r="E165" i="26"/>
  <c r="E167" i="26"/>
  <c r="E171" i="26"/>
  <c r="B61" i="185"/>
  <c r="B55" i="185"/>
  <c r="B60" i="185"/>
  <c r="B54" i="185"/>
  <c r="B59" i="185"/>
  <c r="AV61" i="26"/>
  <c r="E169" i="26"/>
  <c r="P102" i="44"/>
  <c r="P164" i="44" s="1"/>
  <c r="E170" i="26"/>
  <c r="AH172" i="26"/>
  <c r="AJ172" i="26" s="1"/>
  <c r="E166" i="26"/>
  <c r="B57" i="185"/>
  <c r="B62" i="185"/>
  <c r="B58" i="185"/>
  <c r="B63" i="185"/>
  <c r="H15" i="44"/>
  <c r="H298" i="44"/>
  <c r="K31" i="183"/>
  <c r="E13" i="207"/>
  <c r="F13" i="207" s="1"/>
  <c r="AR58" i="26"/>
  <c r="Y119" i="201"/>
  <c r="W117" i="201"/>
  <c r="L204" i="182"/>
  <c r="E216" i="183"/>
  <c r="E214" i="183"/>
  <c r="I214" i="183" s="1"/>
  <c r="J214" i="183" s="1"/>
  <c r="E366" i="183"/>
  <c r="E142" i="183"/>
  <c r="K142" i="183" s="1"/>
  <c r="L242" i="183"/>
  <c r="E258" i="183"/>
  <c r="G258" i="183" s="1"/>
  <c r="I308" i="183"/>
  <c r="J308" i="183" s="1"/>
  <c r="E312" i="183"/>
  <c r="E310" i="183"/>
  <c r="I310" i="183" s="1"/>
  <c r="J310" i="183" s="1"/>
  <c r="I18" i="182"/>
  <c r="J18" i="182"/>
  <c r="H18" i="182"/>
  <c r="G18" i="182"/>
  <c r="E386" i="183"/>
  <c r="E354" i="183"/>
  <c r="G354" i="183" s="1"/>
  <c r="E344" i="183"/>
  <c r="E342" i="183"/>
  <c r="I342" i="183" s="1"/>
  <c r="J342" i="183" s="1"/>
  <c r="E152" i="183"/>
  <c r="E150" i="183"/>
  <c r="I150" i="183" s="1"/>
  <c r="J150" i="183" s="1"/>
  <c r="L82" i="183"/>
  <c r="E98" i="183"/>
  <c r="L98" i="183" s="1"/>
  <c r="I172" i="183"/>
  <c r="J172" i="183" s="1"/>
  <c r="E174" i="183"/>
  <c r="L174" i="183" s="1"/>
  <c r="H210" i="183"/>
  <c r="E226" i="183"/>
  <c r="L226" i="183" s="1"/>
  <c r="L306" i="183"/>
  <c r="E322" i="183"/>
  <c r="H322" i="183" s="1"/>
  <c r="H178" i="183"/>
  <c r="E194" i="183"/>
  <c r="K194" i="183" s="1"/>
  <c r="E280" i="183"/>
  <c r="E278" i="183"/>
  <c r="I278" i="183" s="1"/>
  <c r="J278" i="183" s="1"/>
  <c r="E184" i="183"/>
  <c r="E182" i="183"/>
  <c r="I182" i="183" s="1"/>
  <c r="J182" i="183" s="1"/>
  <c r="E120" i="183"/>
  <c r="E118" i="183"/>
  <c r="I118" i="183" s="1"/>
  <c r="J118" i="183" s="1"/>
  <c r="E56" i="183"/>
  <c r="E54" i="183"/>
  <c r="H54" i="183" s="1"/>
  <c r="E248" i="183"/>
  <c r="E246" i="183"/>
  <c r="I246" i="183" s="1"/>
  <c r="J246" i="183" s="1"/>
  <c r="L146" i="183"/>
  <c r="E162" i="183"/>
  <c r="L162" i="183" s="1"/>
  <c r="E88" i="183"/>
  <c r="E86" i="183"/>
  <c r="I86" i="183" s="1"/>
  <c r="J86" i="183" s="1"/>
  <c r="E368" i="183"/>
  <c r="E206" i="183"/>
  <c r="H108" i="183"/>
  <c r="E110" i="183"/>
  <c r="I332" i="183"/>
  <c r="J332" i="183" s="1"/>
  <c r="E334" i="183"/>
  <c r="J20" i="182"/>
  <c r="I20" i="182"/>
  <c r="H20" i="182"/>
  <c r="G20" i="182"/>
  <c r="D219" i="183"/>
  <c r="D225" i="183" s="1"/>
  <c r="D227" i="183" s="1"/>
  <c r="BJ72" i="201"/>
  <c r="M324" i="182"/>
  <c r="O324" i="182" s="1"/>
  <c r="M117" i="125"/>
  <c r="M113" i="125"/>
  <c r="M204" i="182"/>
  <c r="M109" i="125"/>
  <c r="M84" i="182"/>
  <c r="M54" i="182"/>
  <c r="M108" i="125"/>
  <c r="M114" i="182"/>
  <c r="M110" i="125"/>
  <c r="M234" i="182"/>
  <c r="O234" i="182" s="1"/>
  <c r="M114" i="125"/>
  <c r="M115" i="125"/>
  <c r="M264" i="182"/>
  <c r="M294" i="182"/>
  <c r="O294" i="182" s="1"/>
  <c r="M116" i="125"/>
  <c r="M111" i="125"/>
  <c r="M144" i="182"/>
  <c r="Y115" i="201"/>
  <c r="F342" i="183"/>
  <c r="F344" i="183" s="1"/>
  <c r="F278" i="183"/>
  <c r="F246" i="183"/>
  <c r="F214" i="183"/>
  <c r="F152" i="183"/>
  <c r="C16" i="183"/>
  <c r="C24" i="183"/>
  <c r="F14" i="183"/>
  <c r="C22" i="183"/>
  <c r="D280" i="183"/>
  <c r="D278" i="183"/>
  <c r="D312" i="183"/>
  <c r="D310" i="183"/>
  <c r="D344" i="183"/>
  <c r="C219" i="183"/>
  <c r="C225" i="183" s="1"/>
  <c r="C227" i="183" s="1"/>
  <c r="AV58" i="26"/>
  <c r="AV54" i="26"/>
  <c r="L25" i="44"/>
  <c r="AN57" i="27"/>
  <c r="AN53" i="27"/>
  <c r="AJ60" i="27"/>
  <c r="AR54" i="26"/>
  <c r="AV60" i="26"/>
  <c r="AV56" i="26"/>
  <c r="AV52" i="26"/>
  <c r="L55" i="183"/>
  <c r="L234" i="182"/>
  <c r="L114" i="182"/>
  <c r="Z121" i="201"/>
  <c r="Z118" i="201"/>
  <c r="AA118" i="201" s="1"/>
  <c r="L174" i="182"/>
  <c r="Z123" i="201"/>
  <c r="Z122" i="201"/>
  <c r="Z120" i="201"/>
  <c r="Z119" i="201"/>
  <c r="Z117" i="201"/>
  <c r="Z116" i="201"/>
  <c r="AA116" i="201" s="1"/>
  <c r="Z115" i="201"/>
  <c r="C315" i="183"/>
  <c r="C321" i="183" s="1"/>
  <c r="C323" i="183" s="1"/>
  <c r="C187" i="183"/>
  <c r="C188" i="183" s="1"/>
  <c r="C396" i="183" s="1"/>
  <c r="J94" i="28"/>
  <c r="L9" i="28"/>
  <c r="J9" i="28"/>
  <c r="E304" i="44"/>
  <c r="L23" i="44"/>
  <c r="L43" i="28"/>
  <c r="J43" i="28"/>
  <c r="L71" i="28"/>
  <c r="J71" i="28"/>
  <c r="M105" i="182" s="1"/>
  <c r="AJ61" i="26"/>
  <c r="AR61" i="27"/>
  <c r="AV57" i="26"/>
  <c r="AV53" i="26"/>
  <c r="J116" i="26"/>
  <c r="J179" i="26" s="1"/>
  <c r="L23" i="28"/>
  <c r="J23" i="28"/>
  <c r="L14" i="28"/>
  <c r="J14" i="28"/>
  <c r="J96" i="28"/>
  <c r="AT118" i="26"/>
  <c r="AT181" i="26" s="1"/>
  <c r="L35" i="28"/>
  <c r="J35" i="28"/>
  <c r="L72" i="28"/>
  <c r="J72" i="28"/>
  <c r="L52" i="28"/>
  <c r="J52" i="28"/>
  <c r="L48" i="28"/>
  <c r="J48" i="28"/>
  <c r="AR53" i="26"/>
  <c r="AV59" i="27"/>
  <c r="AV57" i="27"/>
  <c r="AV54" i="27"/>
  <c r="AV53" i="27"/>
  <c r="AV59" i="26"/>
  <c r="AV55" i="26"/>
  <c r="E84" i="134"/>
  <c r="E70" i="134" s="1"/>
  <c r="D70" i="134"/>
  <c r="D72" i="134"/>
  <c r="E86" i="134"/>
  <c r="E72" i="134" s="1"/>
  <c r="W123" i="201"/>
  <c r="W118" i="201"/>
  <c r="W116" i="201"/>
  <c r="W114" i="201"/>
  <c r="Z114" i="201"/>
  <c r="L264" i="182"/>
  <c r="L144" i="182"/>
  <c r="G124" i="201"/>
  <c r="P36" i="35"/>
  <c r="L64" i="125"/>
  <c r="L208" i="182"/>
  <c r="L96" i="125"/>
  <c r="L168" i="182"/>
  <c r="L97" i="125"/>
  <c r="L205" i="182"/>
  <c r="L198" i="182"/>
  <c r="L60" i="125"/>
  <c r="L88" i="182"/>
  <c r="L59" i="125"/>
  <c r="L58" i="182"/>
  <c r="Y114" i="201"/>
  <c r="L94" i="125"/>
  <c r="L108" i="182"/>
  <c r="L61" i="125"/>
  <c r="L118" i="182"/>
  <c r="L95" i="125"/>
  <c r="L138" i="182"/>
  <c r="L93" i="125"/>
  <c r="L78" i="182"/>
  <c r="L63" i="125"/>
  <c r="L178" i="182"/>
  <c r="L65" i="125"/>
  <c r="L238" i="182"/>
  <c r="L231" i="182"/>
  <c r="L48" i="182"/>
  <c r="N52" i="183" s="1"/>
  <c r="L92" i="125"/>
  <c r="L98" i="125"/>
  <c r="L228" i="182"/>
  <c r="L62" i="125"/>
  <c r="L148" i="182"/>
  <c r="Y120" i="201"/>
  <c r="L44" i="125"/>
  <c r="L111" i="182"/>
  <c r="L30" i="125"/>
  <c r="L235" i="182"/>
  <c r="L51" i="182"/>
  <c r="N44" i="183" s="1"/>
  <c r="L42" i="125"/>
  <c r="L25" i="125"/>
  <c r="L85" i="182"/>
  <c r="L46" i="125"/>
  <c r="L171" i="182"/>
  <c r="L50" i="125"/>
  <c r="L291" i="182"/>
  <c r="L28" i="125"/>
  <c r="L175" i="182"/>
  <c r="L47" i="125"/>
  <c r="L201" i="182"/>
  <c r="L206" i="182"/>
  <c r="L26" i="125"/>
  <c r="L115" i="182"/>
  <c r="L44" i="182"/>
  <c r="N42" i="183" s="1"/>
  <c r="L116" i="125"/>
  <c r="L294" i="182"/>
  <c r="L24" i="125"/>
  <c r="L55" i="182"/>
  <c r="D123" i="125"/>
  <c r="L108" i="125"/>
  <c r="L54" i="182"/>
  <c r="L49" i="125"/>
  <c r="L261" i="182"/>
  <c r="L27" i="125"/>
  <c r="L145" i="182"/>
  <c r="L45" i="125"/>
  <c r="L141" i="182"/>
  <c r="L43" i="125"/>
  <c r="L81" i="182"/>
  <c r="V118" i="201"/>
  <c r="D126" i="125"/>
  <c r="V116" i="201"/>
  <c r="D124" i="125"/>
  <c r="C347" i="183"/>
  <c r="C348" i="183" s="1"/>
  <c r="C401" i="183" s="1"/>
  <c r="F18" i="183"/>
  <c r="C358" i="183"/>
  <c r="T64" i="185"/>
  <c r="W117" i="198"/>
  <c r="X117" i="198" s="1"/>
  <c r="I175" i="198"/>
  <c r="X179" i="170"/>
  <c r="X181" i="170"/>
  <c r="H117" i="170"/>
  <c r="AQ116" i="26"/>
  <c r="AQ179" i="26" s="1"/>
  <c r="AR57" i="27"/>
  <c r="AR53" i="27"/>
  <c r="AR60" i="27"/>
  <c r="AR56" i="27"/>
  <c r="AR52" i="27"/>
  <c r="AA116" i="26"/>
  <c r="AA179" i="26" s="1"/>
  <c r="AQ124" i="26"/>
  <c r="AQ187" i="26" s="1"/>
  <c r="AQ120" i="26"/>
  <c r="AQ183" i="26" s="1"/>
  <c r="AT122" i="26"/>
  <c r="AT185" i="26" s="1"/>
  <c r="AN54" i="26"/>
  <c r="AR59" i="27"/>
  <c r="AR55" i="27"/>
  <c r="D124" i="201"/>
  <c r="D34" i="182"/>
  <c r="C307" i="183"/>
  <c r="C326" i="183" s="1"/>
  <c r="C123" i="183"/>
  <c r="C124" i="183" s="1"/>
  <c r="C394" i="183" s="1"/>
  <c r="C155" i="183"/>
  <c r="C156" i="183" s="1"/>
  <c r="C395" i="183" s="1"/>
  <c r="AA122" i="26"/>
  <c r="AA185" i="26" s="1"/>
  <c r="AA118" i="26"/>
  <c r="AA181" i="26" s="1"/>
  <c r="S125" i="26"/>
  <c r="S188" i="26" s="1"/>
  <c r="AR57" i="26"/>
  <c r="L28" i="44"/>
  <c r="AQ117" i="26"/>
  <c r="AQ180" i="26" s="1"/>
  <c r="AQ118" i="27"/>
  <c r="AQ180" i="27" s="1"/>
  <c r="AD115" i="27"/>
  <c r="AD177" i="27" s="1"/>
  <c r="AF177" i="27" s="1"/>
  <c r="BC177" i="27" s="1"/>
  <c r="AU117" i="27"/>
  <c r="AU179" i="27" s="1"/>
  <c r="AU122" i="27"/>
  <c r="AU184" i="27" s="1"/>
  <c r="AU124" i="27"/>
  <c r="AU186" i="27" s="1"/>
  <c r="AL120" i="27"/>
  <c r="AL182" i="27" s="1"/>
  <c r="AI123" i="27"/>
  <c r="AI185" i="27" s="1"/>
  <c r="X404" i="26"/>
  <c r="AU118" i="27"/>
  <c r="AU180" i="27" s="1"/>
  <c r="AJ60" i="26"/>
  <c r="AN56" i="26"/>
  <c r="AU120" i="27"/>
  <c r="AU182" i="27" s="1"/>
  <c r="AN55" i="27"/>
  <c r="AZ155" i="27"/>
  <c r="P112" i="195" s="1"/>
  <c r="S112" i="195" s="1"/>
  <c r="AZ147" i="27"/>
  <c r="P104" i="195" s="1"/>
  <c r="S104" i="195" s="1"/>
  <c r="AU115" i="27"/>
  <c r="AU177" i="27" s="1"/>
  <c r="AU116" i="27"/>
  <c r="AU178" i="27" s="1"/>
  <c r="AJ53" i="26"/>
  <c r="AJ59" i="26"/>
  <c r="AN61" i="26"/>
  <c r="AN60" i="27"/>
  <c r="FJ6" i="167"/>
  <c r="FC7" i="167"/>
  <c r="FF8" i="167"/>
  <c r="FD6" i="167"/>
  <c r="FL9" i="167"/>
  <c r="C245" i="26"/>
  <c r="D245" i="26" s="1"/>
  <c r="E245" i="26" s="1"/>
  <c r="E125" i="26"/>
  <c r="E188" i="26" s="1"/>
  <c r="E118" i="26"/>
  <c r="G56" i="185"/>
  <c r="E117" i="26"/>
  <c r="FL12" i="167"/>
  <c r="FH8" i="167"/>
  <c r="FM13" i="167"/>
  <c r="FJ12" i="167"/>
  <c r="FH9" i="167"/>
  <c r="FG9" i="167"/>
  <c r="FM8" i="167"/>
  <c r="E124" i="26"/>
  <c r="G62" i="185"/>
  <c r="E119" i="26"/>
  <c r="E182" i="26" s="1"/>
  <c r="AJ57" i="27"/>
  <c r="AN59" i="26"/>
  <c r="AN53" i="26"/>
  <c r="AJ58" i="26"/>
  <c r="FM6" i="167"/>
  <c r="FK8" i="167"/>
  <c r="FF7" i="167"/>
  <c r="FG12" i="167"/>
  <c r="FH13" i="167"/>
  <c r="FH5" i="167"/>
  <c r="FF5" i="167"/>
  <c r="FK5" i="167"/>
  <c r="FI7" i="167"/>
  <c r="FB7" i="167"/>
  <c r="FK7" i="167"/>
  <c r="FG8" i="167"/>
  <c r="FF9" i="167"/>
  <c r="FL14" i="167"/>
  <c r="FM7" i="167"/>
  <c r="FF12" i="167"/>
  <c r="FB6" i="167"/>
  <c r="FI9" i="167"/>
  <c r="FD14" i="167"/>
  <c r="FD10" i="167"/>
  <c r="FC5" i="167"/>
  <c r="FM14" i="167"/>
  <c r="FK9" i="167"/>
  <c r="FJ13" i="167"/>
  <c r="FH12" i="167"/>
  <c r="FJ5" i="167"/>
  <c r="FL11" i="167"/>
  <c r="FM5" i="167"/>
  <c r="FJ8" i="167"/>
  <c r="FH7" i="167"/>
  <c r="FK14" i="167"/>
  <c r="FE12" i="167"/>
  <c r="FE8" i="167"/>
  <c r="FG5" i="167"/>
  <c r="FH14" i="167"/>
  <c r="FI13" i="167"/>
  <c r="FH6" i="167"/>
  <c r="FF14" i="167"/>
  <c r="FE11" i="167"/>
  <c r="FC14" i="167"/>
  <c r="FK6" i="167"/>
  <c r="FJ10" i="167"/>
  <c r="FF13" i="167"/>
  <c r="FG7" i="167"/>
  <c r="FB12" i="167"/>
  <c r="FB10" i="167"/>
  <c r="FB8" i="167"/>
  <c r="FM12" i="167"/>
  <c r="FE9" i="167"/>
  <c r="FI8" i="167"/>
  <c r="FC9" i="167"/>
  <c r="FJ14" i="167"/>
  <c r="FH10" i="167"/>
  <c r="FD12" i="167"/>
  <c r="FJ7" i="167"/>
  <c r="FE13" i="167"/>
  <c r="E123" i="26"/>
  <c r="G61" i="185"/>
  <c r="AN52" i="27"/>
  <c r="FJ9" i="167"/>
  <c r="FH11" i="167"/>
  <c r="FG13" i="167"/>
  <c r="FK12" i="167"/>
  <c r="FL7" i="167"/>
  <c r="FI10" i="167"/>
  <c r="FB11" i="167"/>
  <c r="FB5" i="167"/>
  <c r="FL6" i="167"/>
  <c r="FF6" i="167"/>
  <c r="FE14" i="167"/>
  <c r="FB14" i="167"/>
  <c r="FC13" i="167"/>
  <c r="FD8" i="167"/>
  <c r="FK13" i="167"/>
  <c r="FL8" i="167"/>
  <c r="FI11" i="167"/>
  <c r="FM9" i="167"/>
  <c r="FI14" i="167"/>
  <c r="FI6" i="167"/>
  <c r="FK11" i="167"/>
  <c r="FF11" i="167"/>
  <c r="FB13" i="167"/>
  <c r="FB9" i="167"/>
  <c r="FI5" i="167"/>
  <c r="FE7" i="167"/>
  <c r="FD13" i="167"/>
  <c r="FC12" i="167"/>
  <c r="FD11" i="167"/>
  <c r="FC10" i="167"/>
  <c r="FD9" i="167"/>
  <c r="FC8" i="167"/>
  <c r="FD7" i="167"/>
  <c r="FC6" i="167"/>
  <c r="FD5" i="167"/>
  <c r="FG11" i="167"/>
  <c r="FE6" i="167"/>
  <c r="FE5" i="167"/>
  <c r="FC11" i="167"/>
  <c r="FG14" i="167"/>
  <c r="FG6" i="167"/>
  <c r="C250" i="26"/>
  <c r="D250" i="26" s="1"/>
  <c r="E250" i="26" s="1"/>
  <c r="AN60" i="26"/>
  <c r="D39" i="42"/>
  <c r="D101" i="42" s="1"/>
  <c r="D163" i="42" s="1"/>
  <c r="B40" i="185"/>
  <c r="E171" i="27"/>
  <c r="E163" i="27"/>
  <c r="E164" i="27"/>
  <c r="B42" i="185"/>
  <c r="D46" i="42"/>
  <c r="D108" i="42" s="1"/>
  <c r="D170" i="42" s="1"/>
  <c r="B47" i="185"/>
  <c r="E166" i="27"/>
  <c r="E170" i="27"/>
  <c r="D292" i="42"/>
  <c r="T300" i="27"/>
  <c r="H300" i="27"/>
  <c r="E123" i="27"/>
  <c r="E185" i="27" s="1"/>
  <c r="E169" i="27"/>
  <c r="C77" i="185"/>
  <c r="E168" i="27"/>
  <c r="C76" i="185"/>
  <c r="B38" i="185"/>
  <c r="E162" i="27"/>
  <c r="C70" i="185"/>
  <c r="AQ236" i="27"/>
  <c r="AR236" i="27" s="1"/>
  <c r="AS236" i="27" s="1"/>
  <c r="S81" i="185"/>
  <c r="AY104" i="27"/>
  <c r="AQ117" i="27"/>
  <c r="AQ179" i="27" s="1"/>
  <c r="D297" i="42"/>
  <c r="B45" i="185"/>
  <c r="B41" i="185"/>
  <c r="B46" i="185"/>
  <c r="D105" i="27"/>
  <c r="D42" i="42"/>
  <c r="D104" i="42" s="1"/>
  <c r="D166" i="42" s="1"/>
  <c r="B43" i="185"/>
  <c r="H106" i="42"/>
  <c r="H168" i="42" s="1"/>
  <c r="E226" i="27"/>
  <c r="E119" i="27"/>
  <c r="E181" i="27" s="1"/>
  <c r="G42" i="185"/>
  <c r="I47" i="195" s="1"/>
  <c r="I92" i="195" s="1"/>
  <c r="D298" i="42"/>
  <c r="AR58" i="27"/>
  <c r="D43" i="42"/>
  <c r="D105" i="42" s="1"/>
  <c r="B44" i="185"/>
  <c r="E236" i="27"/>
  <c r="P105" i="42"/>
  <c r="P167" i="42" s="1"/>
  <c r="C48" i="185"/>
  <c r="E167" i="27"/>
  <c r="C118" i="185" s="1"/>
  <c r="C75" i="185"/>
  <c r="D38" i="42"/>
  <c r="D100" i="42" s="1"/>
  <c r="B39" i="185"/>
  <c r="AB102" i="27"/>
  <c r="L15" i="42"/>
  <c r="AJ61" i="27"/>
  <c r="E165" i="27"/>
  <c r="T262" i="44"/>
  <c r="X361" i="26"/>
  <c r="L293" i="44"/>
  <c r="G234" i="44"/>
  <c r="H234" i="44" s="1"/>
  <c r="I234" i="44" s="1"/>
  <c r="H293" i="44"/>
  <c r="R296" i="44"/>
  <c r="AD165" i="26"/>
  <c r="AF165" i="26" s="1"/>
  <c r="BD165" i="26" s="1"/>
  <c r="L105" i="42"/>
  <c r="L167" i="42" s="1"/>
  <c r="T260" i="42"/>
  <c r="L294" i="42"/>
  <c r="L298" i="42"/>
  <c r="B299" i="42"/>
  <c r="D289" i="42"/>
  <c r="T266" i="42"/>
  <c r="AR232" i="27"/>
  <c r="I299" i="42"/>
  <c r="R294" i="42"/>
  <c r="T139" i="42"/>
  <c r="T131" i="42"/>
  <c r="T138" i="42"/>
  <c r="D140" i="42"/>
  <c r="P100" i="42"/>
  <c r="H101" i="42"/>
  <c r="H163" i="42" s="1"/>
  <c r="AG172" i="27"/>
  <c r="BD172" i="27" s="1"/>
  <c r="AJ103" i="27"/>
  <c r="BA167" i="27"/>
  <c r="L118" i="185" s="1"/>
  <c r="H15" i="42"/>
  <c r="P169" i="27"/>
  <c r="AY168" i="27"/>
  <c r="D107" i="27"/>
  <c r="D169" i="27"/>
  <c r="B19" i="19"/>
  <c r="W4" i="19"/>
  <c r="V46" i="9"/>
  <c r="E18" i="150"/>
  <c r="Z124" i="188"/>
  <c r="Q79" i="185" s="1"/>
  <c r="Z79" i="185" s="1"/>
  <c r="AH79" i="185" s="1"/>
  <c r="AA116" i="188"/>
  <c r="Q130" i="185" s="1"/>
  <c r="Z130" i="185" s="1"/>
  <c r="AH130" i="185" s="1"/>
  <c r="AA102" i="188"/>
  <c r="M131" i="185" s="1"/>
  <c r="AU246" i="27"/>
  <c r="AV246" i="27" s="1"/>
  <c r="AW246" i="27" s="1"/>
  <c r="AU244" i="27"/>
  <c r="AV244" i="27" s="1"/>
  <c r="AW244" i="27" s="1"/>
  <c r="AU244" i="26"/>
  <c r="AV244" i="26" s="1"/>
  <c r="AW244" i="26" s="1"/>
  <c r="AW122" i="26"/>
  <c r="AW185" i="26" s="1"/>
  <c r="AW115" i="27"/>
  <c r="J11" i="182"/>
  <c r="D6" i="182"/>
  <c r="H11" i="182"/>
  <c r="AW180" i="26"/>
  <c r="O59" i="196"/>
  <c r="M28" i="196" s="1"/>
  <c r="P295" i="42"/>
  <c r="T199" i="42"/>
  <c r="S231" i="42" s="1"/>
  <c r="T231" i="42" s="1"/>
  <c r="U231" i="42" s="1"/>
  <c r="AW180" i="27"/>
  <c r="AW172" i="27"/>
  <c r="F105" i="195"/>
  <c r="F90" i="195" s="1"/>
  <c r="AQ247" i="26"/>
  <c r="AR247" i="26" s="1"/>
  <c r="AS247" i="26" s="1"/>
  <c r="O307" i="44"/>
  <c r="AQ248" i="27"/>
  <c r="AR248" i="27" s="1"/>
  <c r="AS248" i="27" s="1"/>
  <c r="AQ248" i="26"/>
  <c r="AR248" i="26" s="1"/>
  <c r="AS248" i="26" s="1"/>
  <c r="H202" i="170"/>
  <c r="AD102" i="201"/>
  <c r="P289" i="42"/>
  <c r="S291" i="42"/>
  <c r="AS230" i="27"/>
  <c r="AS231" i="27"/>
  <c r="AS226" i="27"/>
  <c r="AS232" i="27"/>
  <c r="AS229" i="27"/>
  <c r="AS228" i="27"/>
  <c r="AS227" i="27"/>
  <c r="T70" i="42"/>
  <c r="C120" i="185"/>
  <c r="X187" i="188"/>
  <c r="I161" i="198"/>
  <c r="I166" i="198"/>
  <c r="X166" i="198"/>
  <c r="X164" i="198"/>
  <c r="I158" i="198"/>
  <c r="H168" i="198"/>
  <c r="I168" i="198" s="1"/>
  <c r="I167" i="198"/>
  <c r="E423" i="182"/>
  <c r="G423" i="182" s="1"/>
  <c r="H423" i="182" s="1"/>
  <c r="I389" i="182"/>
  <c r="I107" i="28"/>
  <c r="H20" i="44"/>
  <c r="R122" i="27"/>
  <c r="T122" i="27" s="1"/>
  <c r="AD122" i="27"/>
  <c r="AD184" i="27" s="1"/>
  <c r="AF184" i="27" s="1"/>
  <c r="BC184" i="27" s="1"/>
  <c r="AJ59" i="27"/>
  <c r="AN56" i="27"/>
  <c r="L308" i="183"/>
  <c r="K371" i="183"/>
  <c r="AE119" i="26"/>
  <c r="AE182" i="26" s="1"/>
  <c r="L21" i="44"/>
  <c r="BR59" i="201"/>
  <c r="AN61" i="27"/>
  <c r="L331" i="183"/>
  <c r="L29" i="44"/>
  <c r="L27" i="44"/>
  <c r="K304" i="42"/>
  <c r="AN54" i="27"/>
  <c r="Q306" i="42"/>
  <c r="AA119" i="26"/>
  <c r="AA182" i="26" s="1"/>
  <c r="AI120" i="27"/>
  <c r="AI182" i="27" s="1"/>
  <c r="AA121" i="26"/>
  <c r="AA184" i="26" s="1"/>
  <c r="AA125" i="26"/>
  <c r="AA188" i="26" s="1"/>
  <c r="AJ54" i="26"/>
  <c r="AA117" i="26"/>
  <c r="AA180" i="26" s="1"/>
  <c r="I468" i="182"/>
  <c r="AA123" i="26"/>
  <c r="AA186" i="26" s="1"/>
  <c r="AO122" i="27"/>
  <c r="AO184" i="27" s="1"/>
  <c r="AD124" i="27"/>
  <c r="AF124" i="27" s="1"/>
  <c r="BC124" i="27" s="1"/>
  <c r="AD116" i="27"/>
  <c r="AF116" i="27" s="1"/>
  <c r="BC116" i="27" s="1"/>
  <c r="R118" i="27"/>
  <c r="T118" i="27" s="1"/>
  <c r="L20" i="44"/>
  <c r="AD120" i="26"/>
  <c r="AD183" i="26" s="1"/>
  <c r="AF183" i="26" s="1"/>
  <c r="BD183" i="26" s="1"/>
  <c r="R118" i="26"/>
  <c r="R181" i="26" s="1"/>
  <c r="AO121" i="26"/>
  <c r="R117" i="27"/>
  <c r="R179" i="27" s="1"/>
  <c r="T179" i="27" s="1"/>
  <c r="AI122" i="27"/>
  <c r="AI184" i="27" s="1"/>
  <c r="AL119" i="26"/>
  <c r="AL182" i="26" s="1"/>
  <c r="AN182" i="26" s="1"/>
  <c r="AL117" i="26"/>
  <c r="AL180" i="26" s="1"/>
  <c r="AN180" i="26" s="1"/>
  <c r="AO119" i="26"/>
  <c r="AO182" i="26" s="1"/>
  <c r="S124" i="26"/>
  <c r="S187" i="26" s="1"/>
  <c r="AA120" i="27"/>
  <c r="AA182" i="27" s="1"/>
  <c r="AL123" i="27"/>
  <c r="AL185" i="27" s="1"/>
  <c r="AN185" i="27" s="1"/>
  <c r="O117" i="27"/>
  <c r="O179" i="27" s="1"/>
  <c r="B58" i="42"/>
  <c r="B120" i="42" s="1"/>
  <c r="H21" i="44"/>
  <c r="G29" i="125"/>
  <c r="Q308" i="42"/>
  <c r="D27" i="44"/>
  <c r="W123" i="27"/>
  <c r="W185" i="27" s="1"/>
  <c r="P20" i="42"/>
  <c r="V122" i="26"/>
  <c r="V185" i="26" s="1"/>
  <c r="X185" i="26" s="1"/>
  <c r="AH124" i="27"/>
  <c r="AH186" i="27" s="1"/>
  <c r="AJ186" i="27" s="1"/>
  <c r="AL123" i="26"/>
  <c r="AL186" i="26" s="1"/>
  <c r="AL125" i="26"/>
  <c r="AL188" i="26" s="1"/>
  <c r="H23" i="44"/>
  <c r="AL122" i="27"/>
  <c r="AL184" i="27" s="1"/>
  <c r="AD117" i="26"/>
  <c r="AD180" i="26" s="1"/>
  <c r="AU124" i="26"/>
  <c r="AU187" i="26" s="1"/>
  <c r="AL121" i="26"/>
  <c r="AL184" i="26" s="1"/>
  <c r="AN184" i="26" s="1"/>
  <c r="S121" i="26"/>
  <c r="S184" i="26" s="1"/>
  <c r="AD123" i="27"/>
  <c r="AD185" i="27" s="1"/>
  <c r="AD120" i="27"/>
  <c r="AF120" i="27" s="1"/>
  <c r="BC120" i="27" s="1"/>
  <c r="P279" i="44"/>
  <c r="S119" i="26"/>
  <c r="S182" i="26" s="1"/>
  <c r="R120" i="27"/>
  <c r="R182" i="27" s="1"/>
  <c r="T182" i="27" s="1"/>
  <c r="AO120" i="26"/>
  <c r="AH118" i="26"/>
  <c r="AH181" i="26" s="1"/>
  <c r="L10" i="28"/>
  <c r="O60" i="44"/>
  <c r="O123" i="44" s="1"/>
  <c r="O185" i="44" s="1"/>
  <c r="AJ53" i="27"/>
  <c r="K250" i="27"/>
  <c r="L250" i="27" s="1"/>
  <c r="AA123" i="27"/>
  <c r="AA185" i="27" s="1"/>
  <c r="AB185" i="27" s="1"/>
  <c r="AL118" i="26"/>
  <c r="AL181" i="26" s="1"/>
  <c r="AL116" i="26"/>
  <c r="AL179" i="26" s="1"/>
  <c r="AL122" i="26"/>
  <c r="AD119" i="27"/>
  <c r="AD181" i="27" s="1"/>
  <c r="AF181" i="27" s="1"/>
  <c r="BC181" i="27" s="1"/>
  <c r="H368" i="183"/>
  <c r="O312" i="44"/>
  <c r="D272" i="44"/>
  <c r="B304" i="44"/>
  <c r="AL124" i="26"/>
  <c r="AL187" i="26" s="1"/>
  <c r="AN187" i="26" s="1"/>
  <c r="M307" i="42"/>
  <c r="R116" i="27"/>
  <c r="T116" i="27" s="1"/>
  <c r="K122" i="27"/>
  <c r="K184" i="27" s="1"/>
  <c r="H22" i="44"/>
  <c r="AD123" i="26"/>
  <c r="AD186" i="26" s="1"/>
  <c r="AD116" i="26"/>
  <c r="AF116" i="26" s="1"/>
  <c r="BD116" i="26" s="1"/>
  <c r="AL117" i="27"/>
  <c r="AL179" i="27" s="1"/>
  <c r="AN179" i="27" s="1"/>
  <c r="H186" i="182"/>
  <c r="AT124" i="26"/>
  <c r="AT187" i="26" s="1"/>
  <c r="M307" i="44"/>
  <c r="E381" i="183"/>
  <c r="P280" i="44"/>
  <c r="AL119" i="27"/>
  <c r="AL181" i="27" s="1"/>
  <c r="AN181" i="27" s="1"/>
  <c r="AD117" i="27"/>
  <c r="AD179" i="27" s="1"/>
  <c r="AF179" i="27" s="1"/>
  <c r="BC179" i="27" s="1"/>
  <c r="AO118" i="26"/>
  <c r="AO181" i="26" s="1"/>
  <c r="AN404" i="26"/>
  <c r="O32" i="33"/>
  <c r="D311" i="27"/>
  <c r="E307" i="42"/>
  <c r="AM249" i="26"/>
  <c r="AN249" i="26" s="1"/>
  <c r="AO249" i="26" s="1"/>
  <c r="K10" i="9"/>
  <c r="X10" i="9" s="1"/>
  <c r="AM250" i="26"/>
  <c r="AN250" i="26" s="1"/>
  <c r="AO250" i="26" s="1"/>
  <c r="AN400" i="26"/>
  <c r="K7" i="9"/>
  <c r="AM245" i="26"/>
  <c r="AN245" i="26" s="1"/>
  <c r="AO245" i="26" s="1"/>
  <c r="D370" i="183"/>
  <c r="AO186" i="26"/>
  <c r="AO121" i="27"/>
  <c r="AO122" i="26"/>
  <c r="AO117" i="27"/>
  <c r="AN392" i="26"/>
  <c r="P297" i="44"/>
  <c r="P26" i="44"/>
  <c r="G61" i="196"/>
  <c r="E30" i="196" s="1"/>
  <c r="AI124" i="26"/>
  <c r="AI187" i="26" s="1"/>
  <c r="L105" i="26"/>
  <c r="AI116" i="26"/>
  <c r="AI179" i="26" s="1"/>
  <c r="F299" i="44"/>
  <c r="G299" i="44"/>
  <c r="U295" i="42"/>
  <c r="AO232" i="27"/>
  <c r="AO233" i="27"/>
  <c r="AO229" i="27"/>
  <c r="AO230" i="27"/>
  <c r="AO231" i="27"/>
  <c r="AO235" i="27"/>
  <c r="AO234" i="27"/>
  <c r="AO228" i="27"/>
  <c r="AO227" i="27"/>
  <c r="AY106" i="27"/>
  <c r="P103" i="42"/>
  <c r="P165" i="42" s="1"/>
  <c r="AO171" i="27"/>
  <c r="C79" i="185"/>
  <c r="AO170" i="27"/>
  <c r="C121" i="185" s="1"/>
  <c r="C78" i="185"/>
  <c r="AO165" i="27"/>
  <c r="C73" i="185"/>
  <c r="AO164" i="27"/>
  <c r="C72" i="185"/>
  <c r="AO163" i="27"/>
  <c r="C71" i="185"/>
  <c r="AO168" i="27"/>
  <c r="C119" i="185" s="1"/>
  <c r="T172" i="188"/>
  <c r="U172" i="188"/>
  <c r="D92" i="185"/>
  <c r="U187" i="188"/>
  <c r="H115" i="185"/>
  <c r="Z184" i="188"/>
  <c r="M299" i="44"/>
  <c r="L298" i="44"/>
  <c r="C232" i="44"/>
  <c r="D232" i="44" s="1"/>
  <c r="E232" i="44" s="1"/>
  <c r="P298" i="44"/>
  <c r="E299" i="44"/>
  <c r="I144" i="198"/>
  <c r="I146" i="198"/>
  <c r="I143" i="198"/>
  <c r="I147" i="198"/>
  <c r="I148" i="198"/>
  <c r="I150" i="198"/>
  <c r="I149" i="198"/>
  <c r="I145" i="198"/>
  <c r="I142" i="198"/>
  <c r="AJ309" i="27"/>
  <c r="AJ401" i="26"/>
  <c r="AI245" i="27"/>
  <c r="AJ245" i="27" s="1"/>
  <c r="AK245" i="27" s="1"/>
  <c r="AI252" i="26"/>
  <c r="AJ252" i="26" s="1"/>
  <c r="AK252" i="26" s="1"/>
  <c r="K312" i="44"/>
  <c r="AI250" i="26"/>
  <c r="AJ250" i="26" s="1"/>
  <c r="AK250" i="26" s="1"/>
  <c r="AJ403" i="26"/>
  <c r="J310" i="42"/>
  <c r="AI249" i="26"/>
  <c r="AJ249" i="26" s="1"/>
  <c r="AK249" i="26" s="1"/>
  <c r="AI247" i="27"/>
  <c r="AJ247" i="27" s="1"/>
  <c r="AK247" i="27" s="1"/>
  <c r="AI248" i="26"/>
  <c r="AJ248" i="26" s="1"/>
  <c r="AK248" i="26" s="1"/>
  <c r="AJ399" i="26"/>
  <c r="AI243" i="27"/>
  <c r="AJ243" i="27" s="1"/>
  <c r="AK243" i="27" s="1"/>
  <c r="AI244" i="26"/>
  <c r="AJ244" i="26" s="1"/>
  <c r="AK244" i="26" s="1"/>
  <c r="O197" i="182"/>
  <c r="G10" i="5"/>
  <c r="I147" i="170"/>
  <c r="I145" i="170"/>
  <c r="I146" i="170"/>
  <c r="I149" i="170"/>
  <c r="I144" i="170"/>
  <c r="I142" i="170"/>
  <c r="I141" i="170"/>
  <c r="I150" i="170"/>
  <c r="I148" i="170"/>
  <c r="I143" i="170"/>
  <c r="AK186" i="27"/>
  <c r="L29" i="42"/>
  <c r="E14" i="185"/>
  <c r="L28" i="42"/>
  <c r="AK184" i="27"/>
  <c r="L27" i="42"/>
  <c r="AK183" i="27"/>
  <c r="L26" i="42"/>
  <c r="AJ58" i="27"/>
  <c r="M53" i="191"/>
  <c r="AK182" i="27"/>
  <c r="AJ57" i="26"/>
  <c r="L25" i="42"/>
  <c r="AJ56" i="26"/>
  <c r="L24" i="42"/>
  <c r="L23" i="42"/>
  <c r="AK180" i="27"/>
  <c r="AJ55" i="27"/>
  <c r="L22" i="42"/>
  <c r="AJ54" i="27"/>
  <c r="AK181" i="26"/>
  <c r="AK178" i="27"/>
  <c r="L20" i="42"/>
  <c r="AJ52" i="27"/>
  <c r="H113" i="6"/>
  <c r="AJ392" i="26"/>
  <c r="G67" i="196"/>
  <c r="E36" i="196" s="1"/>
  <c r="AK174" i="26"/>
  <c r="L39" i="44"/>
  <c r="L102" i="44" s="1"/>
  <c r="L164" i="44" s="1"/>
  <c r="AJ102" i="26"/>
  <c r="L267" i="42"/>
  <c r="AY300" i="27"/>
  <c r="E59" i="6" s="1"/>
  <c r="AK229" i="27"/>
  <c r="AK232" i="27"/>
  <c r="AK233" i="27"/>
  <c r="AK227" i="27"/>
  <c r="AK228" i="27"/>
  <c r="AK235" i="27"/>
  <c r="AJ300" i="27"/>
  <c r="AK234" i="27"/>
  <c r="AK230" i="27"/>
  <c r="AK231" i="27"/>
  <c r="AJ142" i="27"/>
  <c r="AK163" i="27"/>
  <c r="L65" i="195"/>
  <c r="O65" i="195" s="1"/>
  <c r="M34" i="195" s="1"/>
  <c r="X127" i="170"/>
  <c r="X221" i="170" s="1"/>
  <c r="X129" i="170"/>
  <c r="X223" i="170" s="1"/>
  <c r="X125" i="170"/>
  <c r="X219" i="170" s="1"/>
  <c r="X132" i="170"/>
  <c r="X226" i="170" s="1"/>
  <c r="X130" i="170"/>
  <c r="X224" i="170" s="1"/>
  <c r="X128" i="170"/>
  <c r="X222" i="170" s="1"/>
  <c r="X133" i="170"/>
  <c r="X227" i="170" s="1"/>
  <c r="X131" i="170"/>
  <c r="X225" i="170" s="1"/>
  <c r="X126" i="170"/>
  <c r="X220" i="170" s="1"/>
  <c r="H151" i="170"/>
  <c r="I129" i="170"/>
  <c r="I223" i="170" s="1"/>
  <c r="I132" i="170"/>
  <c r="I226" i="170" s="1"/>
  <c r="I128" i="170"/>
  <c r="I222" i="170" s="1"/>
  <c r="I131" i="170"/>
  <c r="I225" i="170" s="1"/>
  <c r="I133" i="170"/>
  <c r="I227" i="170" s="1"/>
  <c r="I127" i="170"/>
  <c r="I221" i="170" s="1"/>
  <c r="I130" i="170"/>
  <c r="I224" i="170" s="1"/>
  <c r="I126" i="170"/>
  <c r="I220" i="170" s="1"/>
  <c r="I125" i="170"/>
  <c r="I219" i="170" s="1"/>
  <c r="AE244" i="26"/>
  <c r="AF244" i="26" s="1"/>
  <c r="AG244" i="26" s="1"/>
  <c r="BE244" i="26" s="1"/>
  <c r="AE252" i="26"/>
  <c r="AF252" i="26" s="1"/>
  <c r="AG252" i="26" s="1"/>
  <c r="BE252" i="26" s="1"/>
  <c r="AE250" i="26"/>
  <c r="AF250" i="26" s="1"/>
  <c r="AG250" i="26" s="1"/>
  <c r="BE250" i="26" s="1"/>
  <c r="J11" i="134"/>
  <c r="L11" i="134" s="1"/>
  <c r="AE249" i="26"/>
  <c r="AF249" i="26" s="1"/>
  <c r="AG249" i="26" s="1"/>
  <c r="BE249" i="26" s="1"/>
  <c r="AE248" i="26"/>
  <c r="AF248" i="26" s="1"/>
  <c r="AG248" i="26" s="1"/>
  <c r="BE248" i="26" s="1"/>
  <c r="AE246" i="26"/>
  <c r="AF246" i="26" s="1"/>
  <c r="AG246" i="26" s="1"/>
  <c r="BE246" i="26" s="1"/>
  <c r="AF307" i="27"/>
  <c r="BE307" i="27" s="1"/>
  <c r="AE245" i="26"/>
  <c r="AF245" i="26" s="1"/>
  <c r="AG245" i="26" s="1"/>
  <c r="BE245" i="26" s="1"/>
  <c r="AE243" i="27"/>
  <c r="AF243" i="27" s="1"/>
  <c r="J6" i="134"/>
  <c r="V6" i="134" s="1"/>
  <c r="AD315" i="27"/>
  <c r="Z183" i="188"/>
  <c r="H131" i="185"/>
  <c r="Z178" i="188"/>
  <c r="H91" i="185"/>
  <c r="D122" i="185"/>
  <c r="D93" i="185"/>
  <c r="D77" i="185"/>
  <c r="D72" i="185"/>
  <c r="D118" i="185"/>
  <c r="D73" i="185"/>
  <c r="D136" i="185"/>
  <c r="D98" i="185"/>
  <c r="Q172" i="188"/>
  <c r="AD172" i="188" s="1"/>
  <c r="P172" i="188"/>
  <c r="AC172" i="188" s="1"/>
  <c r="D134" i="185"/>
  <c r="D74" i="185"/>
  <c r="P187" i="188"/>
  <c r="AC187" i="188" s="1"/>
  <c r="Q187" i="188"/>
  <c r="AD187" i="188" s="1"/>
  <c r="AG186" i="27"/>
  <c r="BD186" i="27" s="1"/>
  <c r="AG125" i="26"/>
  <c r="BE125" i="26" s="1"/>
  <c r="AG185" i="27"/>
  <c r="BD185" i="27" s="1"/>
  <c r="AG124" i="26"/>
  <c r="BE124" i="26" s="1"/>
  <c r="AG184" i="27"/>
  <c r="BD184" i="27" s="1"/>
  <c r="AG186" i="26"/>
  <c r="BE186" i="26" s="1"/>
  <c r="AG184" i="26"/>
  <c r="BE184" i="26" s="1"/>
  <c r="AG182" i="27"/>
  <c r="BD182" i="27" s="1"/>
  <c r="AG183" i="26"/>
  <c r="BE183" i="26" s="1"/>
  <c r="AG182" i="26"/>
  <c r="BE182" i="26" s="1"/>
  <c r="AG180" i="27"/>
  <c r="BD180" i="27" s="1"/>
  <c r="AG179" i="27"/>
  <c r="BD179" i="27" s="1"/>
  <c r="AG181" i="26"/>
  <c r="BE181" i="26" s="1"/>
  <c r="AG117" i="26"/>
  <c r="BE117" i="26" s="1"/>
  <c r="C230" i="183"/>
  <c r="C251" i="183"/>
  <c r="C257" i="183" s="1"/>
  <c r="C259" i="183" s="1"/>
  <c r="I392" i="182"/>
  <c r="K299" i="44"/>
  <c r="J299" i="44"/>
  <c r="AF392" i="26"/>
  <c r="BD392" i="26" s="1"/>
  <c r="AG164" i="26"/>
  <c r="BE164" i="26" s="1"/>
  <c r="G63" i="196"/>
  <c r="E32" i="196" s="1"/>
  <c r="AG230" i="27"/>
  <c r="BE230" i="27" s="1"/>
  <c r="AG234" i="27"/>
  <c r="BE234" i="27" s="1"/>
  <c r="AF300" i="27"/>
  <c r="BE300" i="27" s="1"/>
  <c r="AG228" i="27"/>
  <c r="BE228" i="27" s="1"/>
  <c r="AG229" i="27"/>
  <c r="BE229" i="27" s="1"/>
  <c r="AG227" i="27"/>
  <c r="BE227" i="27" s="1"/>
  <c r="AG233" i="27"/>
  <c r="BE233" i="27" s="1"/>
  <c r="AG232" i="27"/>
  <c r="BE232" i="27" s="1"/>
  <c r="AG235" i="27"/>
  <c r="BE235" i="27" s="1"/>
  <c r="AG231" i="27"/>
  <c r="BE231" i="27" s="1"/>
  <c r="L164" i="42"/>
  <c r="L169" i="42"/>
  <c r="G58" i="195"/>
  <c r="E27" i="195" s="1"/>
  <c r="AX107" i="27"/>
  <c r="AF109" i="27"/>
  <c r="BC109" i="27" s="1"/>
  <c r="AD110" i="27"/>
  <c r="K99" i="42"/>
  <c r="K161" i="42" s="1"/>
  <c r="K171" i="42" s="1"/>
  <c r="AF100" i="27"/>
  <c r="BC100" i="27" s="1"/>
  <c r="AF107" i="27"/>
  <c r="BC107" i="27" s="1"/>
  <c r="AE172" i="27"/>
  <c r="U38" i="42"/>
  <c r="AA250" i="26"/>
  <c r="AB250" i="26" s="1"/>
  <c r="AC250" i="26" s="1"/>
  <c r="AA249" i="26"/>
  <c r="AB249" i="26" s="1"/>
  <c r="AC249" i="26" s="1"/>
  <c r="AB311" i="27"/>
  <c r="J308" i="44"/>
  <c r="AB399" i="26"/>
  <c r="K306" i="42"/>
  <c r="M308" i="42"/>
  <c r="E486" i="182"/>
  <c r="I486" i="182" s="1"/>
  <c r="AC184" i="26"/>
  <c r="BA25" i="27"/>
  <c r="AC182" i="27"/>
  <c r="AC182" i="26"/>
  <c r="BA23" i="27"/>
  <c r="AC181" i="27"/>
  <c r="BA24" i="27"/>
  <c r="BA27" i="27"/>
  <c r="AC186" i="26"/>
  <c r="AC184" i="27"/>
  <c r="AC180" i="26"/>
  <c r="AC116" i="27"/>
  <c r="BA21" i="27"/>
  <c r="BA22" i="27"/>
  <c r="AC187" i="26"/>
  <c r="AC185" i="27"/>
  <c r="BA28" i="27"/>
  <c r="AC122" i="26"/>
  <c r="BA26" i="27"/>
  <c r="D251" i="183"/>
  <c r="D257" i="183" s="1"/>
  <c r="D259" i="183" s="1"/>
  <c r="J438" i="182"/>
  <c r="J450" i="182"/>
  <c r="F23" i="183"/>
  <c r="AZ384" i="26"/>
  <c r="S294" i="42"/>
  <c r="AC188" i="26"/>
  <c r="BA29" i="27"/>
  <c r="L295" i="44"/>
  <c r="L294" i="44"/>
  <c r="K229" i="42"/>
  <c r="L229" i="42" s="1"/>
  <c r="M229" i="42" s="1"/>
  <c r="L295" i="42"/>
  <c r="L290" i="42"/>
  <c r="K234" i="42"/>
  <c r="L234" i="42" s="1"/>
  <c r="M234" i="42" s="1"/>
  <c r="Y7" i="9"/>
  <c r="S289" i="44"/>
  <c r="AJ398" i="26"/>
  <c r="J299" i="42"/>
  <c r="S14" i="134"/>
  <c r="L291" i="42"/>
  <c r="J305" i="42"/>
  <c r="K308" i="42"/>
  <c r="N187" i="188"/>
  <c r="O172" i="188"/>
  <c r="N172" i="188"/>
  <c r="AJ144" i="26"/>
  <c r="AC167" i="26"/>
  <c r="AC166" i="26"/>
  <c r="C131" i="185" s="1"/>
  <c r="AC170" i="26"/>
  <c r="C96" i="185"/>
  <c r="AC173" i="26"/>
  <c r="C99" i="185"/>
  <c r="AC165" i="26"/>
  <c r="AC172" i="26"/>
  <c r="AC171" i="26"/>
  <c r="C97" i="185"/>
  <c r="AC169" i="26"/>
  <c r="C95" i="185"/>
  <c r="AC168" i="26"/>
  <c r="AF104" i="26"/>
  <c r="BD104" i="26" s="1"/>
  <c r="L140" i="42"/>
  <c r="AJ80" i="27"/>
  <c r="AC166" i="27"/>
  <c r="C117" i="185" s="1"/>
  <c r="C74" i="185"/>
  <c r="AC165" i="27"/>
  <c r="BA15" i="27"/>
  <c r="AC164" i="27"/>
  <c r="U43" i="42"/>
  <c r="L42" i="42"/>
  <c r="L104" i="42" s="1"/>
  <c r="L166" i="42" s="1"/>
  <c r="D293" i="42"/>
  <c r="L296" i="42"/>
  <c r="L61" i="195"/>
  <c r="O61" i="195" s="1"/>
  <c r="M30" i="195" s="1"/>
  <c r="G61" i="195"/>
  <c r="E30" i="195" s="1"/>
  <c r="C166" i="183"/>
  <c r="S144" i="183"/>
  <c r="X14" i="198"/>
  <c r="T266" i="44"/>
  <c r="D59" i="183"/>
  <c r="D65" i="183" s="1"/>
  <c r="D67" i="183" s="1"/>
  <c r="Z186" i="188"/>
  <c r="N102" i="42"/>
  <c r="N164" i="42" s="1"/>
  <c r="R164" i="42" s="1"/>
  <c r="P104" i="42"/>
  <c r="P166" i="42" s="1"/>
  <c r="K7" i="19"/>
  <c r="W39" i="9"/>
  <c r="X90" i="170"/>
  <c r="H134" i="198"/>
  <c r="H228" i="198" s="1"/>
  <c r="W185" i="198"/>
  <c r="X185" i="198" s="1"/>
  <c r="J404" i="182"/>
  <c r="H27" i="44"/>
  <c r="I94" i="170"/>
  <c r="A222" i="42"/>
  <c r="A190" i="44"/>
  <c r="I95" i="170"/>
  <c r="I91" i="170"/>
  <c r="X11" i="198"/>
  <c r="H242" i="183"/>
  <c r="AJ406" i="26"/>
  <c r="H29" i="44"/>
  <c r="C51" i="186"/>
  <c r="G51" i="186" s="1"/>
  <c r="Y172" i="27"/>
  <c r="AB104" i="27"/>
  <c r="AK48" i="27"/>
  <c r="T262" i="42"/>
  <c r="H134" i="170"/>
  <c r="H228" i="170" s="1"/>
  <c r="W134" i="198"/>
  <c r="J441" i="182"/>
  <c r="I90" i="170"/>
  <c r="X95" i="170"/>
  <c r="Y235" i="27"/>
  <c r="U293" i="42"/>
  <c r="N305" i="42"/>
  <c r="R123" i="27"/>
  <c r="R185" i="27" s="1"/>
  <c r="AY228" i="27"/>
  <c r="AZ228" i="27" s="1"/>
  <c r="BA228" i="27" s="1"/>
  <c r="G6" i="150" s="1"/>
  <c r="O103" i="42"/>
  <c r="O165" i="42" s="1"/>
  <c r="S165" i="42" s="1"/>
  <c r="C110" i="188"/>
  <c r="Y227" i="27"/>
  <c r="W168" i="170"/>
  <c r="X168" i="170" s="1"/>
  <c r="I99" i="170"/>
  <c r="X9" i="198"/>
  <c r="A237" i="44"/>
  <c r="A269" i="42"/>
  <c r="W48" i="198"/>
  <c r="X48" i="198" s="1"/>
  <c r="Y233" i="27"/>
  <c r="K13" i="19"/>
  <c r="W45" i="9"/>
  <c r="G91" i="18"/>
  <c r="I20" i="18"/>
  <c r="M308" i="44"/>
  <c r="J52" i="44"/>
  <c r="J115" i="44" s="1"/>
  <c r="P273" i="42"/>
  <c r="C229" i="42"/>
  <c r="D229" i="42" s="1"/>
  <c r="E229" i="42" s="1"/>
  <c r="K10" i="19"/>
  <c r="W42" i="9"/>
  <c r="K11" i="19"/>
  <c r="W43" i="9"/>
  <c r="P142" i="27"/>
  <c r="X300" i="27"/>
  <c r="Y226" i="27"/>
  <c r="H100" i="198"/>
  <c r="Y228" i="27"/>
  <c r="X12" i="198"/>
  <c r="W422" i="183"/>
  <c r="X92" i="170"/>
  <c r="C299" i="44"/>
  <c r="L59" i="28"/>
  <c r="BG124" i="5"/>
  <c r="T73" i="42"/>
  <c r="K6" i="19"/>
  <c r="W38" i="9"/>
  <c r="K9" i="19"/>
  <c r="W41" i="9"/>
  <c r="D109" i="27"/>
  <c r="AE110" i="27"/>
  <c r="L41" i="42"/>
  <c r="L103" i="42" s="1"/>
  <c r="L165" i="42" s="1"/>
  <c r="Y232" i="27"/>
  <c r="AN300" i="27"/>
  <c r="H290" i="44"/>
  <c r="F509" i="182"/>
  <c r="X99" i="170"/>
  <c r="I92" i="170"/>
  <c r="I97" i="170"/>
  <c r="W202" i="170"/>
  <c r="X202" i="170" s="1"/>
  <c r="Y234" i="27"/>
  <c r="X94" i="170"/>
  <c r="X7" i="198"/>
  <c r="X93" i="170"/>
  <c r="Y174" i="26"/>
  <c r="K8" i="19"/>
  <c r="W40" i="9"/>
  <c r="Y231" i="27"/>
  <c r="AJ361" i="26"/>
  <c r="I100" i="170"/>
  <c r="X96" i="170"/>
  <c r="I98" i="170"/>
  <c r="I93" i="170"/>
  <c r="M141" i="197"/>
  <c r="O141" i="197" s="1"/>
  <c r="K141" i="197"/>
  <c r="Q141" i="197" s="1"/>
  <c r="S141" i="197" s="1"/>
  <c r="W151" i="198"/>
  <c r="X151" i="198" s="1"/>
  <c r="X8" i="198"/>
  <c r="Y230" i="27"/>
  <c r="Y118" i="26"/>
  <c r="E12" i="19"/>
  <c r="Q12" i="19" s="1"/>
  <c r="K124" i="26"/>
  <c r="K187" i="26" s="1"/>
  <c r="S274" i="42"/>
  <c r="K5" i="19"/>
  <c r="W37" i="9"/>
  <c r="AF101" i="27"/>
  <c r="BC101" i="27" s="1"/>
  <c r="T74" i="42"/>
  <c r="Y229" i="27"/>
  <c r="C230" i="44"/>
  <c r="D230" i="44" s="1"/>
  <c r="E230" i="44" s="1"/>
  <c r="O115" i="27"/>
  <c r="O177" i="27" s="1"/>
  <c r="L80" i="27"/>
  <c r="X15" i="198"/>
  <c r="X97" i="170"/>
  <c r="X10" i="198"/>
  <c r="X91" i="170"/>
  <c r="X98" i="170"/>
  <c r="W82" i="198"/>
  <c r="X82" i="198" s="1"/>
  <c r="K12" i="19"/>
  <c r="W44" i="9"/>
  <c r="T48" i="185"/>
  <c r="J101" i="185"/>
  <c r="G63" i="195"/>
  <c r="E32" i="195" s="1"/>
  <c r="J83" i="185"/>
  <c r="S103" i="185"/>
  <c r="G66" i="195"/>
  <c r="E35" i="195" s="1"/>
  <c r="F92" i="35"/>
  <c r="G92" i="35" s="1"/>
  <c r="BR57" i="201"/>
  <c r="K338" i="183"/>
  <c r="L338" i="183"/>
  <c r="AA102" i="201"/>
  <c r="AF24" i="201"/>
  <c r="AD101" i="201"/>
  <c r="AF23" i="201"/>
  <c r="AA101" i="201"/>
  <c r="BI75" i="201"/>
  <c r="V100" i="201"/>
  <c r="BP68" i="201"/>
  <c r="BR51" i="201"/>
  <c r="FM10" i="167"/>
  <c r="FK10" i="167"/>
  <c r="FL10" i="167"/>
  <c r="FE10" i="167"/>
  <c r="FG10" i="167"/>
  <c r="FF10" i="167"/>
  <c r="G186" i="182"/>
  <c r="J186" i="182"/>
  <c r="E190" i="183"/>
  <c r="BQ74" i="201"/>
  <c r="G404" i="182"/>
  <c r="H404" i="182" s="1"/>
  <c r="BR38" i="201"/>
  <c r="BQ69" i="201"/>
  <c r="BR53" i="201"/>
  <c r="W244" i="27"/>
  <c r="X244" i="27" s="1"/>
  <c r="W244" i="26"/>
  <c r="X244" i="26" s="1"/>
  <c r="Y244" i="26" s="1"/>
  <c r="J306" i="42"/>
  <c r="M311" i="42"/>
  <c r="C308" i="42"/>
  <c r="L87" i="42"/>
  <c r="D24" i="44"/>
  <c r="H24" i="44"/>
  <c r="G313" i="42"/>
  <c r="BP24" i="201"/>
  <c r="F311" i="42"/>
  <c r="F307" i="42"/>
  <c r="AI249" i="27"/>
  <c r="AJ249" i="27" s="1"/>
  <c r="C312" i="42"/>
  <c r="W250" i="27"/>
  <c r="X250" i="27" s="1"/>
  <c r="M15" i="33"/>
  <c r="X306" i="27"/>
  <c r="W252" i="26"/>
  <c r="X252" i="26" s="1"/>
  <c r="Y252" i="26" s="1"/>
  <c r="W248" i="26"/>
  <c r="X248" i="26" s="1"/>
  <c r="Y248" i="26" s="1"/>
  <c r="L279" i="44"/>
  <c r="W245" i="26"/>
  <c r="W240" i="26" s="1"/>
  <c r="W243" i="27"/>
  <c r="X243" i="27" s="1"/>
  <c r="L149" i="42"/>
  <c r="W246" i="26"/>
  <c r="X246" i="26" s="1"/>
  <c r="Y246" i="26" s="1"/>
  <c r="AJ405" i="26"/>
  <c r="K308" i="183"/>
  <c r="G242" i="183"/>
  <c r="AP136" i="201"/>
  <c r="I404" i="182"/>
  <c r="H29" i="42"/>
  <c r="H28" i="42"/>
  <c r="E13" i="185"/>
  <c r="L13" i="185" s="1"/>
  <c r="Y123" i="27"/>
  <c r="Y184" i="27"/>
  <c r="H27" i="42"/>
  <c r="Y186" i="26"/>
  <c r="E27" i="185"/>
  <c r="L27" i="185" s="1"/>
  <c r="H26" i="42"/>
  <c r="H25" i="42"/>
  <c r="H24" i="42"/>
  <c r="Y182" i="26"/>
  <c r="E24" i="185"/>
  <c r="H23" i="42"/>
  <c r="F54" i="44"/>
  <c r="F117" i="44" s="1"/>
  <c r="F179" i="44" s="1"/>
  <c r="H22" i="42"/>
  <c r="H21" i="42"/>
  <c r="V115" i="27"/>
  <c r="V177" i="27" s="1"/>
  <c r="H20" i="42"/>
  <c r="E5" i="185"/>
  <c r="L5" i="185" s="1"/>
  <c r="D106" i="201"/>
  <c r="I107" i="201"/>
  <c r="L101" i="125" s="1"/>
  <c r="BR35" i="201"/>
  <c r="BP75" i="201"/>
  <c r="D260" i="183"/>
  <c r="BD142" i="201"/>
  <c r="BD135" i="201"/>
  <c r="W101" i="201"/>
  <c r="BR39" i="201"/>
  <c r="BR42" i="201"/>
  <c r="AD104" i="201"/>
  <c r="BQ71" i="201"/>
  <c r="BC139" i="201"/>
  <c r="BD140" i="201"/>
  <c r="BD134" i="201"/>
  <c r="BD141" i="201"/>
  <c r="BD138" i="201"/>
  <c r="BR44" i="201"/>
  <c r="BP117" i="201"/>
  <c r="D324" i="183"/>
  <c r="BL70" i="201"/>
  <c r="BR40" i="201"/>
  <c r="D196" i="183"/>
  <c r="G77" i="196"/>
  <c r="F31" i="196" s="1"/>
  <c r="H291" i="44"/>
  <c r="R298" i="44"/>
  <c r="H40" i="44"/>
  <c r="H103" i="44" s="1"/>
  <c r="H165" i="44" s="1"/>
  <c r="X102" i="26"/>
  <c r="S40" i="44"/>
  <c r="G299" i="42"/>
  <c r="H21" i="6"/>
  <c r="S296" i="42"/>
  <c r="D67" i="6"/>
  <c r="H292" i="42"/>
  <c r="T135" i="42"/>
  <c r="T72" i="42"/>
  <c r="R41" i="42"/>
  <c r="I47" i="6"/>
  <c r="I91" i="6"/>
  <c r="I106" i="6" s="1"/>
  <c r="I136" i="6" s="1"/>
  <c r="H75" i="185"/>
  <c r="H133" i="185"/>
  <c r="H137" i="185"/>
  <c r="L187" i="188"/>
  <c r="M187" i="188"/>
  <c r="H122" i="185"/>
  <c r="M172" i="188"/>
  <c r="L172" i="188"/>
  <c r="AA115" i="188"/>
  <c r="Q129" i="185" s="1"/>
  <c r="Z129" i="185" s="1"/>
  <c r="AH129" i="185" s="1"/>
  <c r="BL67" i="201"/>
  <c r="H82" i="170"/>
  <c r="I306" i="42"/>
  <c r="BR55" i="201"/>
  <c r="DL109" i="190"/>
  <c r="S248" i="26"/>
  <c r="T248" i="26" s="1"/>
  <c r="U248" i="26" s="1"/>
  <c r="I308" i="42"/>
  <c r="S245" i="27"/>
  <c r="T245" i="27" s="1"/>
  <c r="BR41" i="201"/>
  <c r="S250" i="26"/>
  <c r="T250" i="26" s="1"/>
  <c r="U250" i="26" s="1"/>
  <c r="O11" i="9"/>
  <c r="T404" i="26"/>
  <c r="T403" i="26"/>
  <c r="S247" i="27"/>
  <c r="T247" i="27" s="1"/>
  <c r="T406" i="26"/>
  <c r="S251" i="26"/>
  <c r="T251" i="26" s="1"/>
  <c r="U251" i="26" s="1"/>
  <c r="S244" i="26"/>
  <c r="T244" i="26" s="1"/>
  <c r="U244" i="26" s="1"/>
  <c r="U188" i="26"/>
  <c r="U187" i="26"/>
  <c r="U185" i="27"/>
  <c r="U184" i="27"/>
  <c r="U186" i="26"/>
  <c r="U185" i="26"/>
  <c r="U121" i="27"/>
  <c r="U120" i="27"/>
  <c r="H87" i="42"/>
  <c r="U119" i="27"/>
  <c r="U182" i="26"/>
  <c r="U118" i="27"/>
  <c r="U180" i="26"/>
  <c r="U116" i="27"/>
  <c r="AE105" i="201"/>
  <c r="AE99" i="201"/>
  <c r="AF21" i="201"/>
  <c r="T392" i="26"/>
  <c r="J172" i="26"/>
  <c r="L172" i="26" s="1"/>
  <c r="L80" i="26"/>
  <c r="U174" i="26"/>
  <c r="T108" i="26"/>
  <c r="T104" i="26"/>
  <c r="T309" i="27"/>
  <c r="AF312" i="27"/>
  <c r="BE312" i="27" s="1"/>
  <c r="AE248" i="27"/>
  <c r="AF248" i="27" s="1"/>
  <c r="BF248" i="27" s="1"/>
  <c r="G67" i="195"/>
  <c r="E36" i="195" s="1"/>
  <c r="F299" i="42"/>
  <c r="T257" i="42"/>
  <c r="T265" i="42"/>
  <c r="H294" i="42"/>
  <c r="G230" i="42"/>
  <c r="H230" i="42" s="1"/>
  <c r="I230" i="42" s="1"/>
  <c r="T134" i="42"/>
  <c r="H78" i="42"/>
  <c r="X103" i="27"/>
  <c r="V110" i="27"/>
  <c r="D404" i="26"/>
  <c r="AY140" i="201"/>
  <c r="AU141" i="201"/>
  <c r="BP84" i="201"/>
  <c r="BP86" i="201"/>
  <c r="AY106" i="201"/>
  <c r="AX115" i="201"/>
  <c r="AX142" i="201"/>
  <c r="AY133" i="201"/>
  <c r="G41" i="185"/>
  <c r="I46" i="195" s="1"/>
  <c r="E55" i="44"/>
  <c r="E118" i="44" s="1"/>
  <c r="BP83" i="201"/>
  <c r="BP91" i="201"/>
  <c r="P279" i="42"/>
  <c r="AJ313" i="27"/>
  <c r="BP85" i="201"/>
  <c r="BP100" i="201" s="1"/>
  <c r="BP89" i="201"/>
  <c r="BP92" i="201"/>
  <c r="AY139" i="201"/>
  <c r="K311" i="44"/>
  <c r="K312" i="42"/>
  <c r="L13" i="28"/>
  <c r="AP140" i="201"/>
  <c r="AX120" i="201"/>
  <c r="BP88" i="201"/>
  <c r="G306" i="183"/>
  <c r="H306" i="183"/>
  <c r="K306" i="183"/>
  <c r="E385" i="183"/>
  <c r="I306" i="183"/>
  <c r="J306" i="183" s="1"/>
  <c r="I178" i="183"/>
  <c r="J178" i="183" s="1"/>
  <c r="L178" i="183"/>
  <c r="K178" i="183"/>
  <c r="G178" i="183"/>
  <c r="H65" i="170"/>
  <c r="I473" i="182"/>
  <c r="L67" i="28"/>
  <c r="R273" i="42"/>
  <c r="D25" i="44"/>
  <c r="H275" i="44"/>
  <c r="AJ307" i="27"/>
  <c r="M312" i="42"/>
  <c r="BI69" i="201"/>
  <c r="I108" i="183"/>
  <c r="J108" i="183" s="1"/>
  <c r="AF27" i="201"/>
  <c r="G103" i="201"/>
  <c r="AZ90" i="27"/>
  <c r="P79" i="195" s="1"/>
  <c r="Q124" i="26"/>
  <c r="N120" i="26"/>
  <c r="N183" i="26" s="1"/>
  <c r="P183" i="26" s="1"/>
  <c r="Q117" i="26"/>
  <c r="W105" i="201"/>
  <c r="G456" i="182"/>
  <c r="H456" i="182" s="1"/>
  <c r="D70" i="183"/>
  <c r="M37" i="191"/>
  <c r="X310" i="27"/>
  <c r="AJ400" i="26"/>
  <c r="I313" i="44"/>
  <c r="AV310" i="27"/>
  <c r="I436" i="182"/>
  <c r="H211" i="44"/>
  <c r="G243" i="44" s="1"/>
  <c r="H243" i="44" s="1"/>
  <c r="I243" i="44" s="1"/>
  <c r="E365" i="183"/>
  <c r="AJ402" i="26"/>
  <c r="K309" i="42"/>
  <c r="K305" i="42"/>
  <c r="U85" i="42"/>
  <c r="G394" i="182"/>
  <c r="H394" i="182" s="1"/>
  <c r="I305" i="44"/>
  <c r="AT125" i="26"/>
  <c r="AT188" i="26" s="1"/>
  <c r="F309" i="42"/>
  <c r="Q121" i="27"/>
  <c r="I53" i="42"/>
  <c r="I115" i="42" s="1"/>
  <c r="I177" i="42" s="1"/>
  <c r="G310" i="42"/>
  <c r="F60" i="42"/>
  <c r="F122" i="42" s="1"/>
  <c r="F184" i="42" s="1"/>
  <c r="G441" i="182"/>
  <c r="H441" i="182" s="1"/>
  <c r="L108" i="183"/>
  <c r="X406" i="26"/>
  <c r="I310" i="44"/>
  <c r="E45" i="35"/>
  <c r="K65" i="35" s="1"/>
  <c r="D28" i="44"/>
  <c r="W246" i="27"/>
  <c r="X246" i="27" s="1"/>
  <c r="G244" i="27"/>
  <c r="H244" i="27" s="1"/>
  <c r="B55" i="44"/>
  <c r="B118" i="44" s="1"/>
  <c r="AJ306" i="27"/>
  <c r="O119" i="27"/>
  <c r="O181" i="27" s="1"/>
  <c r="P181" i="27" s="1"/>
  <c r="L332" i="183"/>
  <c r="T405" i="26"/>
  <c r="Q122" i="26"/>
  <c r="D21" i="44"/>
  <c r="D23" i="44"/>
  <c r="H43" i="125"/>
  <c r="L404" i="26"/>
  <c r="J304" i="44"/>
  <c r="F313" i="42"/>
  <c r="J307" i="42"/>
  <c r="I56" i="44"/>
  <c r="I119" i="44" s="1"/>
  <c r="I181" i="44" s="1"/>
  <c r="AN405" i="26"/>
  <c r="G308" i="42"/>
  <c r="P278" i="42"/>
  <c r="U278" i="42"/>
  <c r="M53" i="42"/>
  <c r="M115" i="42" s="1"/>
  <c r="M177" i="42" s="1"/>
  <c r="E383" i="183"/>
  <c r="O249" i="26"/>
  <c r="P249" i="26" s="1"/>
  <c r="Q249" i="26" s="1"/>
  <c r="J312" i="44"/>
  <c r="T399" i="26"/>
  <c r="H46" i="125"/>
  <c r="N123" i="26"/>
  <c r="N186" i="26" s="1"/>
  <c r="J313" i="42"/>
  <c r="N311" i="42"/>
  <c r="H338" i="183"/>
  <c r="Q123" i="26"/>
  <c r="N119" i="26"/>
  <c r="N182" i="26" s="1"/>
  <c r="P182" i="26" s="1"/>
  <c r="M13" i="33"/>
  <c r="O306" i="42"/>
  <c r="K246" i="27"/>
  <c r="L246" i="27" s="1"/>
  <c r="R6" i="9"/>
  <c r="P307" i="27"/>
  <c r="K96" i="6"/>
  <c r="I242" i="183"/>
  <c r="J242" i="183" s="1"/>
  <c r="AJ310" i="27"/>
  <c r="G309" i="42"/>
  <c r="G305" i="42"/>
  <c r="I338" i="183"/>
  <c r="J338" i="183" s="1"/>
  <c r="P23" i="44"/>
  <c r="E311" i="42"/>
  <c r="L147" i="42"/>
  <c r="K118" i="27"/>
  <c r="K180" i="27" s="1"/>
  <c r="R279" i="42"/>
  <c r="S281" i="42"/>
  <c r="M310" i="42"/>
  <c r="F124" i="27"/>
  <c r="F186" i="27" s="1"/>
  <c r="H186" i="27" s="1"/>
  <c r="J473" i="182"/>
  <c r="AB404" i="26"/>
  <c r="L89" i="44"/>
  <c r="K19" i="33"/>
  <c r="AF405" i="26"/>
  <c r="BD405" i="26" s="1"/>
  <c r="K313" i="42"/>
  <c r="O305" i="42"/>
  <c r="Q304" i="42"/>
  <c r="E55" i="136"/>
  <c r="G338" i="183"/>
  <c r="B57" i="42"/>
  <c r="B119" i="42" s="1"/>
  <c r="F120" i="27"/>
  <c r="H120" i="27" s="1"/>
  <c r="F30" i="42"/>
  <c r="G11" i="33"/>
  <c r="AU122" i="26"/>
  <c r="G312" i="42"/>
  <c r="G243" i="27"/>
  <c r="H243" i="27" s="1"/>
  <c r="P26" i="42"/>
  <c r="G155" i="42"/>
  <c r="P91" i="42"/>
  <c r="N60" i="42"/>
  <c r="N122" i="42" s="1"/>
  <c r="N184" i="42" s="1"/>
  <c r="E55" i="42"/>
  <c r="E117" i="42" s="1"/>
  <c r="C313" i="42"/>
  <c r="E308" i="42"/>
  <c r="R407" i="26"/>
  <c r="G307" i="44"/>
  <c r="H279" i="44"/>
  <c r="L33" i="35"/>
  <c r="U276" i="42"/>
  <c r="S315" i="27"/>
  <c r="M16" i="33"/>
  <c r="O309" i="42"/>
  <c r="J311" i="42"/>
  <c r="B307" i="42"/>
  <c r="C306" i="42"/>
  <c r="AG116" i="27"/>
  <c r="BD116" i="27" s="1"/>
  <c r="T313" i="27"/>
  <c r="H32" i="125"/>
  <c r="X400" i="26"/>
  <c r="R275" i="42"/>
  <c r="O59" i="44"/>
  <c r="O122" i="44" s="1"/>
  <c r="O184" i="44" s="1"/>
  <c r="H210" i="42"/>
  <c r="G242" i="42" s="1"/>
  <c r="H242" i="42" s="1"/>
  <c r="I242" i="42" s="1"/>
  <c r="BD120" i="201"/>
  <c r="K332" i="183"/>
  <c r="I309" i="44"/>
  <c r="B308" i="44"/>
  <c r="AE315" i="27"/>
  <c r="M18" i="33"/>
  <c r="F306" i="42"/>
  <c r="F304" i="44"/>
  <c r="O313" i="42"/>
  <c r="C60" i="42"/>
  <c r="C122" i="42" s="1"/>
  <c r="G468" i="182"/>
  <c r="H468" i="182" s="1"/>
  <c r="N121" i="26"/>
  <c r="P121" i="26" s="1"/>
  <c r="N125" i="26"/>
  <c r="P125" i="26" s="1"/>
  <c r="AB400" i="26"/>
  <c r="G304" i="42"/>
  <c r="B59" i="44"/>
  <c r="B122" i="44" s="1"/>
  <c r="S243" i="27"/>
  <c r="T243" i="27" s="1"/>
  <c r="M118" i="27"/>
  <c r="B60" i="42"/>
  <c r="B122" i="42" s="1"/>
  <c r="G437" i="182"/>
  <c r="H437" i="182" s="1"/>
  <c r="E372" i="183"/>
  <c r="AB405" i="26"/>
  <c r="L93" i="44"/>
  <c r="H272" i="44"/>
  <c r="AP124" i="26"/>
  <c r="AP187" i="26" s="1"/>
  <c r="AT123" i="26"/>
  <c r="AT186" i="26" s="1"/>
  <c r="C117" i="27"/>
  <c r="D117" i="27" s="1"/>
  <c r="P311" i="27"/>
  <c r="I57" i="42"/>
  <c r="I119" i="42" s="1"/>
  <c r="I181" i="42" s="1"/>
  <c r="D22" i="44"/>
  <c r="AE246" i="27"/>
  <c r="AF246" i="27" s="1"/>
  <c r="BF246" i="27" s="1"/>
  <c r="Q121" i="26"/>
  <c r="P281" i="42"/>
  <c r="T307" i="27"/>
  <c r="O61" i="44"/>
  <c r="O124" i="44" s="1"/>
  <c r="O186" i="44" s="1"/>
  <c r="O144" i="125"/>
  <c r="F118" i="26"/>
  <c r="H118" i="26" s="1"/>
  <c r="I437" i="182"/>
  <c r="AF402" i="26"/>
  <c r="BD402" i="26" s="1"/>
  <c r="T402" i="26"/>
  <c r="O311" i="44"/>
  <c r="I310" i="42"/>
  <c r="T398" i="26"/>
  <c r="Z124" i="26"/>
  <c r="Z187" i="26" s="1"/>
  <c r="AB187" i="26" s="1"/>
  <c r="F123" i="26"/>
  <c r="F186" i="26" s="1"/>
  <c r="J309" i="42"/>
  <c r="G306" i="42"/>
  <c r="L153" i="42"/>
  <c r="Q119" i="26"/>
  <c r="U149" i="42"/>
  <c r="J54" i="42"/>
  <c r="J116" i="42" s="1"/>
  <c r="J178" i="42" s="1"/>
  <c r="R12" i="9"/>
  <c r="F122" i="27"/>
  <c r="AJ404" i="26"/>
  <c r="N117" i="26"/>
  <c r="N180" i="26" s="1"/>
  <c r="P180" i="26" s="1"/>
  <c r="G115" i="27"/>
  <c r="G177" i="27" s="1"/>
  <c r="BP116" i="201"/>
  <c r="I441" i="182"/>
  <c r="Q143" i="27"/>
  <c r="H149" i="42"/>
  <c r="H107" i="195"/>
  <c r="K107" i="195" s="1"/>
  <c r="H151" i="42"/>
  <c r="S277" i="42"/>
  <c r="Q180" i="27"/>
  <c r="B305" i="42"/>
  <c r="Q179" i="27"/>
  <c r="Q81" i="27"/>
  <c r="U296" i="44"/>
  <c r="E11" i="19"/>
  <c r="Q11" i="19" s="1"/>
  <c r="U291" i="44"/>
  <c r="E5" i="19"/>
  <c r="Q5" i="19" s="1"/>
  <c r="BB202" i="26"/>
  <c r="BB388" i="26" s="1"/>
  <c r="H144" i="6" s="1"/>
  <c r="AY234" i="26"/>
  <c r="AZ234" i="26" s="1"/>
  <c r="BA234" i="26" s="1"/>
  <c r="BB200" i="26"/>
  <c r="BB386" i="26" s="1"/>
  <c r="H142" i="6" s="1"/>
  <c r="AY232" i="26"/>
  <c r="AZ232" i="26" s="1"/>
  <c r="BA232" i="26" s="1"/>
  <c r="Q344" i="26"/>
  <c r="E9" i="19"/>
  <c r="Q9" i="19" s="1"/>
  <c r="E7" i="19"/>
  <c r="Q7" i="19" s="1"/>
  <c r="D276" i="44"/>
  <c r="O245" i="26"/>
  <c r="P245" i="26" s="1"/>
  <c r="Q245" i="26" s="1"/>
  <c r="Q169" i="26"/>
  <c r="Q166" i="26"/>
  <c r="C92" i="185"/>
  <c r="H93" i="44"/>
  <c r="H89" i="44"/>
  <c r="P403" i="26"/>
  <c r="R272" i="44"/>
  <c r="Q168" i="26"/>
  <c r="C94" i="185"/>
  <c r="O103" i="196"/>
  <c r="O113" i="196" s="1"/>
  <c r="Q173" i="26"/>
  <c r="Q170" i="26"/>
  <c r="C135" i="185" s="1"/>
  <c r="P400" i="26"/>
  <c r="P401" i="26"/>
  <c r="K8" i="9"/>
  <c r="AR400" i="26"/>
  <c r="P276" i="44"/>
  <c r="Q167" i="26"/>
  <c r="C93" i="185"/>
  <c r="Q172" i="26"/>
  <c r="C137" i="185" s="1"/>
  <c r="C98" i="185"/>
  <c r="P144" i="26"/>
  <c r="F12" i="196"/>
  <c r="P275" i="44"/>
  <c r="AF404" i="26"/>
  <c r="BD404" i="26" s="1"/>
  <c r="P207" i="26"/>
  <c r="Q171" i="26"/>
  <c r="Q164" i="26"/>
  <c r="C90" i="185"/>
  <c r="Q165" i="26"/>
  <c r="C91" i="185"/>
  <c r="X392" i="26"/>
  <c r="V6" i="9"/>
  <c r="I299" i="44"/>
  <c r="T197" i="44"/>
  <c r="S229" i="44" s="1"/>
  <c r="T229" i="44" s="1"/>
  <c r="U229" i="44" s="1"/>
  <c r="H295" i="44"/>
  <c r="G226" i="44"/>
  <c r="H226" i="44" s="1"/>
  <c r="I226" i="44" s="1"/>
  <c r="E24" i="9"/>
  <c r="G24" i="9" s="1"/>
  <c r="H8" i="19" s="1"/>
  <c r="T8" i="19" s="1"/>
  <c r="T198" i="44"/>
  <c r="S230" i="44" s="1"/>
  <c r="T230" i="44" s="1"/>
  <c r="U230" i="44" s="1"/>
  <c r="AZ45" i="26"/>
  <c r="K62" i="185" s="1"/>
  <c r="L51" i="196" s="1"/>
  <c r="O51" i="196" s="1"/>
  <c r="L35" i="196" s="1"/>
  <c r="O35" i="196" s="1"/>
  <c r="T167" i="26"/>
  <c r="AZ43" i="26"/>
  <c r="K60" i="185" s="1"/>
  <c r="L49" i="196" s="1"/>
  <c r="L94" i="196" s="1"/>
  <c r="O94" i="196" s="1"/>
  <c r="L87" i="44"/>
  <c r="AJ80" i="26"/>
  <c r="AM125" i="26"/>
  <c r="AM188" i="26" s="1"/>
  <c r="L154" i="44"/>
  <c r="D29" i="44"/>
  <c r="T78" i="44"/>
  <c r="BA101" i="26"/>
  <c r="L90" i="185" s="1"/>
  <c r="F171" i="26"/>
  <c r="H171" i="26" s="1"/>
  <c r="AK48" i="26"/>
  <c r="D113" i="195"/>
  <c r="T258" i="42"/>
  <c r="H297" i="42"/>
  <c r="DK109" i="190"/>
  <c r="H203" i="42"/>
  <c r="DJ56" i="190"/>
  <c r="H290" i="42"/>
  <c r="H293" i="42"/>
  <c r="DJ29" i="190"/>
  <c r="T136" i="42"/>
  <c r="T76" i="42"/>
  <c r="U39" i="42"/>
  <c r="T47" i="27"/>
  <c r="S43" i="42"/>
  <c r="H43" i="42"/>
  <c r="H105" i="42" s="1"/>
  <c r="H167" i="42" s="1"/>
  <c r="H73" i="185"/>
  <c r="H97" i="185"/>
  <c r="H120" i="185"/>
  <c r="H132" i="185"/>
  <c r="H114" i="185"/>
  <c r="I187" i="188"/>
  <c r="H95" i="185"/>
  <c r="H99" i="185"/>
  <c r="F177" i="188"/>
  <c r="H187" i="188"/>
  <c r="Q72" i="185"/>
  <c r="Z72" i="185" s="1"/>
  <c r="AH72" i="185" s="1"/>
  <c r="D96" i="185"/>
  <c r="D138" i="185"/>
  <c r="D130" i="185"/>
  <c r="I172" i="188"/>
  <c r="D71" i="185"/>
  <c r="D78" i="185"/>
  <c r="H172" i="188"/>
  <c r="X110" i="26"/>
  <c r="T109" i="26"/>
  <c r="X105" i="26"/>
  <c r="AF109" i="26"/>
  <c r="BD109" i="26" s="1"/>
  <c r="H148" i="44"/>
  <c r="AN103" i="26"/>
  <c r="AN166" i="26"/>
  <c r="U42" i="44"/>
  <c r="H43" i="44"/>
  <c r="H106" i="44" s="1"/>
  <c r="H168" i="44" s="1"/>
  <c r="H37" i="44"/>
  <c r="H100" i="44" s="1"/>
  <c r="X104" i="26"/>
  <c r="AK159" i="26"/>
  <c r="AJ106" i="26"/>
  <c r="L401" i="26"/>
  <c r="L398" i="26"/>
  <c r="E310" i="42"/>
  <c r="W10" i="9"/>
  <c r="K249" i="26"/>
  <c r="L249" i="26" s="1"/>
  <c r="M249" i="26" s="1"/>
  <c r="L311" i="27"/>
  <c r="J472" i="182"/>
  <c r="K245" i="26"/>
  <c r="L245" i="26" s="1"/>
  <c r="M245" i="26" s="1"/>
  <c r="L406" i="26"/>
  <c r="L314" i="27"/>
  <c r="L405" i="26"/>
  <c r="C309" i="42"/>
  <c r="K248" i="26"/>
  <c r="L248" i="26" s="1"/>
  <c r="M248" i="26" s="1"/>
  <c r="L402" i="26"/>
  <c r="L308" i="27"/>
  <c r="K246" i="26"/>
  <c r="L246" i="26" s="1"/>
  <c r="M246" i="26" s="1"/>
  <c r="K244" i="27"/>
  <c r="L244" i="27" s="1"/>
  <c r="K244" i="26"/>
  <c r="L244" i="26" s="1"/>
  <c r="M244" i="26" s="1"/>
  <c r="K315" i="27"/>
  <c r="G389" i="182"/>
  <c r="H389" i="182" s="1"/>
  <c r="O137" i="125"/>
  <c r="G450" i="182"/>
  <c r="H450" i="182" s="1"/>
  <c r="J110" i="27"/>
  <c r="G60" i="195"/>
  <c r="E29" i="195" s="1"/>
  <c r="S331" i="183"/>
  <c r="S332" i="183" s="1"/>
  <c r="K161" i="125"/>
  <c r="L161" i="125" s="1"/>
  <c r="M120" i="27"/>
  <c r="D25" i="42"/>
  <c r="M186" i="27"/>
  <c r="D29" i="42"/>
  <c r="D28" i="42"/>
  <c r="D27" i="42"/>
  <c r="E12" i="185"/>
  <c r="D26" i="42"/>
  <c r="M185" i="26"/>
  <c r="AZ149" i="27"/>
  <c r="P106" i="195" s="1"/>
  <c r="S106" i="195" s="1"/>
  <c r="AZ88" i="27"/>
  <c r="AA45" i="191" s="1"/>
  <c r="M181" i="27"/>
  <c r="D24" i="42"/>
  <c r="E9" i="185"/>
  <c r="L9" i="185" s="1"/>
  <c r="M120" i="26"/>
  <c r="J120" i="26"/>
  <c r="L120" i="26" s="1"/>
  <c r="J119" i="26"/>
  <c r="L119" i="26" s="1"/>
  <c r="D23" i="42"/>
  <c r="M119" i="26"/>
  <c r="J118" i="26"/>
  <c r="L118" i="26" s="1"/>
  <c r="B54" i="44"/>
  <c r="B117" i="44" s="1"/>
  <c r="B179" i="44" s="1"/>
  <c r="M179" i="27"/>
  <c r="D22" i="42"/>
  <c r="M118" i="26"/>
  <c r="J117" i="26"/>
  <c r="J180" i="26" s="1"/>
  <c r="L180" i="26" s="1"/>
  <c r="R146" i="44"/>
  <c r="D20" i="42"/>
  <c r="G7" i="5"/>
  <c r="O77" i="182"/>
  <c r="O137" i="182"/>
  <c r="G13" i="5"/>
  <c r="O227" i="182"/>
  <c r="N317" i="182"/>
  <c r="O317" i="182"/>
  <c r="J8" i="5"/>
  <c r="G12" i="5"/>
  <c r="G9" i="5"/>
  <c r="R292" i="44"/>
  <c r="T194" i="44"/>
  <c r="S293" i="44"/>
  <c r="R290" i="44"/>
  <c r="T196" i="44"/>
  <c r="S228" i="44" s="1"/>
  <c r="T228" i="44" s="1"/>
  <c r="U228" i="44" s="1"/>
  <c r="B299" i="44"/>
  <c r="G82" i="196"/>
  <c r="F36" i="196" s="1"/>
  <c r="D79" i="44"/>
  <c r="T71" i="44"/>
  <c r="T69" i="44"/>
  <c r="M174" i="26"/>
  <c r="K94" i="6"/>
  <c r="T14" i="9"/>
  <c r="W13" i="9"/>
  <c r="Y11" i="9"/>
  <c r="R43" i="44"/>
  <c r="U294" i="42"/>
  <c r="L300" i="27"/>
  <c r="M228" i="27"/>
  <c r="M235" i="27"/>
  <c r="M231" i="27"/>
  <c r="M227" i="27"/>
  <c r="M232" i="27"/>
  <c r="M233" i="27"/>
  <c r="AY235" i="27"/>
  <c r="AZ235" i="27" s="1"/>
  <c r="BA235" i="27" s="1"/>
  <c r="G13" i="150" s="1"/>
  <c r="M234" i="27"/>
  <c r="H140" i="42"/>
  <c r="T132" i="42"/>
  <c r="T137" i="42"/>
  <c r="M172" i="27"/>
  <c r="D78" i="42"/>
  <c r="L64" i="195"/>
  <c r="O64" i="195" s="1"/>
  <c r="M33" i="195" s="1"/>
  <c r="G62" i="195"/>
  <c r="E31" i="195" s="1"/>
  <c r="J164" i="27"/>
  <c r="L164" i="27" s="1"/>
  <c r="BA107" i="27"/>
  <c r="L77" i="185" s="1"/>
  <c r="P104" i="27"/>
  <c r="H48" i="170"/>
  <c r="H310" i="27"/>
  <c r="H399" i="26"/>
  <c r="G245" i="26"/>
  <c r="H245" i="26" s="1"/>
  <c r="I245" i="26" s="1"/>
  <c r="L235" i="183"/>
  <c r="G250" i="27"/>
  <c r="H250" i="27" s="1"/>
  <c r="E312" i="42"/>
  <c r="G249" i="26"/>
  <c r="H249" i="26" s="1"/>
  <c r="I249" i="26" s="1"/>
  <c r="D275" i="44"/>
  <c r="V7" i="9"/>
  <c r="Y4" i="9"/>
  <c r="G252" i="26"/>
  <c r="H252" i="26" s="1"/>
  <c r="I252" i="26" s="1"/>
  <c r="M304" i="42"/>
  <c r="G250" i="26"/>
  <c r="H250" i="26" s="1"/>
  <c r="I250" i="26" s="1"/>
  <c r="H398" i="26"/>
  <c r="G248" i="26"/>
  <c r="H248" i="26" s="1"/>
  <c r="I248" i="26" s="1"/>
  <c r="C305" i="42"/>
  <c r="K52" i="44"/>
  <c r="G407" i="26"/>
  <c r="H405" i="26"/>
  <c r="H308" i="27"/>
  <c r="H404" i="26"/>
  <c r="H314" i="27"/>
  <c r="H403" i="26"/>
  <c r="H312" i="27"/>
  <c r="H306" i="27"/>
  <c r="L47" i="35"/>
  <c r="J468" i="182"/>
  <c r="P43" i="125"/>
  <c r="M152" i="125"/>
  <c r="I450" i="182"/>
  <c r="P152" i="125"/>
  <c r="R152" i="125" s="1"/>
  <c r="E281" i="183"/>
  <c r="L281" i="183" s="1"/>
  <c r="G403" i="182"/>
  <c r="H403" i="182" s="1"/>
  <c r="E46" i="35"/>
  <c r="F46" i="35" s="1"/>
  <c r="J403" i="182"/>
  <c r="BC134" i="201"/>
  <c r="BI66" i="201"/>
  <c r="I124" i="27"/>
  <c r="I125" i="26"/>
  <c r="I187" i="26"/>
  <c r="I123" i="27"/>
  <c r="I186" i="26"/>
  <c r="I121" i="27"/>
  <c r="I185" i="26"/>
  <c r="I120" i="27"/>
  <c r="I184" i="26"/>
  <c r="I181" i="27"/>
  <c r="I120" i="26"/>
  <c r="I180" i="27"/>
  <c r="I119" i="26"/>
  <c r="I118" i="26"/>
  <c r="I180" i="26"/>
  <c r="I116" i="27"/>
  <c r="D336" i="183"/>
  <c r="D339" i="183" s="1"/>
  <c r="D509" i="182"/>
  <c r="D23" i="183"/>
  <c r="D155" i="183"/>
  <c r="D161" i="183" s="1"/>
  <c r="D163" i="183" s="1"/>
  <c r="AF26" i="201"/>
  <c r="AF28" i="201"/>
  <c r="AE106" i="201"/>
  <c r="AD105" i="201"/>
  <c r="AD103" i="201"/>
  <c r="AD30" i="201"/>
  <c r="AF22" i="201"/>
  <c r="AZ389" i="26"/>
  <c r="D30" i="9"/>
  <c r="H105" i="26"/>
  <c r="E105" i="44"/>
  <c r="E110" i="44" s="1"/>
  <c r="D83" i="195"/>
  <c r="D10" i="195" s="1"/>
  <c r="D9" i="195" s="1"/>
  <c r="U297" i="42"/>
  <c r="C228" i="42"/>
  <c r="D228" i="42" s="1"/>
  <c r="E228" i="42" s="1"/>
  <c r="S292" i="42"/>
  <c r="R290" i="42"/>
  <c r="R291" i="42"/>
  <c r="D294" i="42"/>
  <c r="D203" i="42"/>
  <c r="S140" i="42"/>
  <c r="T133" i="42"/>
  <c r="T69" i="42"/>
  <c r="AX109" i="27"/>
  <c r="U37" i="42"/>
  <c r="M48" i="27"/>
  <c r="L47" i="27"/>
  <c r="Z115" i="188"/>
  <c r="Q113" i="185" s="1"/>
  <c r="Z113" i="185" s="1"/>
  <c r="AH113" i="185" s="1"/>
  <c r="F17" i="183"/>
  <c r="X11" i="170"/>
  <c r="X15" i="170"/>
  <c r="X9" i="170"/>
  <c r="X12" i="170"/>
  <c r="X13" i="170"/>
  <c r="X14" i="170"/>
  <c r="X7" i="170"/>
  <c r="W16" i="170"/>
  <c r="I8" i="198"/>
  <c r="I10" i="198"/>
  <c r="I13" i="198"/>
  <c r="I7" i="198"/>
  <c r="H16" i="198"/>
  <c r="I6" i="198"/>
  <c r="I15" i="198"/>
  <c r="I9" i="198"/>
  <c r="I11" i="198"/>
  <c r="I14" i="198"/>
  <c r="I12" i="198"/>
  <c r="B309" i="42"/>
  <c r="I14" i="170"/>
  <c r="I7" i="170"/>
  <c r="I13" i="170"/>
  <c r="I11" i="170"/>
  <c r="I9" i="170"/>
  <c r="I8" i="170"/>
  <c r="I12" i="170"/>
  <c r="I10" i="170"/>
  <c r="I15" i="170"/>
  <c r="E350" i="183"/>
  <c r="G336" i="182"/>
  <c r="H336" i="182"/>
  <c r="J336" i="182"/>
  <c r="I336" i="182"/>
  <c r="H216" i="182"/>
  <c r="G216" i="182"/>
  <c r="J216" i="182"/>
  <c r="I216" i="182"/>
  <c r="H306" i="182"/>
  <c r="G306" i="182"/>
  <c r="J306" i="182"/>
  <c r="I306" i="182"/>
  <c r="H276" i="182"/>
  <c r="G276" i="182"/>
  <c r="I276" i="182"/>
  <c r="J276" i="182"/>
  <c r="G246" i="182"/>
  <c r="H246" i="182"/>
  <c r="J246" i="182"/>
  <c r="I246" i="182"/>
  <c r="H126" i="182"/>
  <c r="G126" i="182"/>
  <c r="I126" i="182"/>
  <c r="J126" i="182"/>
  <c r="E485" i="182"/>
  <c r="I485" i="182" s="1"/>
  <c r="H156" i="182"/>
  <c r="G156" i="182"/>
  <c r="J156" i="182"/>
  <c r="I156" i="182"/>
  <c r="H96" i="182"/>
  <c r="G96" i="182"/>
  <c r="I96" i="182"/>
  <c r="J96" i="182"/>
  <c r="BJ66" i="201"/>
  <c r="H182" i="182"/>
  <c r="G182" i="182"/>
  <c r="J182" i="182"/>
  <c r="I182" i="182"/>
  <c r="E177" i="183"/>
  <c r="G177" i="183" s="1"/>
  <c r="I176" i="182"/>
  <c r="J176" i="182"/>
  <c r="H176" i="182"/>
  <c r="G176" i="182"/>
  <c r="H179" i="182"/>
  <c r="J179" i="182"/>
  <c r="G179" i="182"/>
  <c r="I179" i="182"/>
  <c r="H112" i="125"/>
  <c r="G174" i="182"/>
  <c r="H174" i="182"/>
  <c r="I174" i="182"/>
  <c r="J174" i="182"/>
  <c r="H167" i="182"/>
  <c r="G167" i="182"/>
  <c r="I167" i="182"/>
  <c r="J167" i="182"/>
  <c r="G164" i="182"/>
  <c r="H164" i="182"/>
  <c r="I164" i="182"/>
  <c r="J164" i="182"/>
  <c r="BP121" i="201"/>
  <c r="J392" i="182"/>
  <c r="E103" i="28"/>
  <c r="I103" i="28" s="1"/>
  <c r="I299" i="182"/>
  <c r="J299" i="182"/>
  <c r="H299" i="182"/>
  <c r="G299" i="182"/>
  <c r="G284" i="182"/>
  <c r="H284" i="182"/>
  <c r="J284" i="182"/>
  <c r="I284" i="182"/>
  <c r="G287" i="182"/>
  <c r="H287" i="182"/>
  <c r="I287" i="182"/>
  <c r="J287" i="182"/>
  <c r="H294" i="182"/>
  <c r="G294" i="182"/>
  <c r="I294" i="182"/>
  <c r="J294" i="182"/>
  <c r="J296" i="182"/>
  <c r="G296" i="182"/>
  <c r="I296" i="182"/>
  <c r="H296" i="182"/>
  <c r="G302" i="182"/>
  <c r="H302" i="182"/>
  <c r="I302" i="182"/>
  <c r="J302" i="182"/>
  <c r="S278" i="42"/>
  <c r="S273" i="42"/>
  <c r="H317" i="182"/>
  <c r="G317" i="182"/>
  <c r="J317" i="182"/>
  <c r="I317" i="182"/>
  <c r="J329" i="182"/>
  <c r="I329" i="182"/>
  <c r="G329" i="182"/>
  <c r="H329" i="182"/>
  <c r="H324" i="182"/>
  <c r="G324" i="182"/>
  <c r="J324" i="182"/>
  <c r="I324" i="182"/>
  <c r="G326" i="182"/>
  <c r="H326" i="182"/>
  <c r="J326" i="182"/>
  <c r="I326" i="182"/>
  <c r="I394" i="182"/>
  <c r="H314" i="182"/>
  <c r="G314" i="182"/>
  <c r="J314" i="182"/>
  <c r="I314" i="182"/>
  <c r="G332" i="182"/>
  <c r="H332" i="182"/>
  <c r="I332" i="182"/>
  <c r="J332" i="182"/>
  <c r="H257" i="182"/>
  <c r="G257" i="182"/>
  <c r="I257" i="182"/>
  <c r="J257" i="182"/>
  <c r="J266" i="182"/>
  <c r="G266" i="182"/>
  <c r="I266" i="182"/>
  <c r="H266" i="182"/>
  <c r="E266" i="183"/>
  <c r="L266" i="183" s="1"/>
  <c r="G254" i="182"/>
  <c r="H254" i="182"/>
  <c r="J254" i="182"/>
  <c r="I254" i="182"/>
  <c r="G272" i="182"/>
  <c r="H272" i="182"/>
  <c r="J272" i="182"/>
  <c r="I272" i="182"/>
  <c r="H264" i="182"/>
  <c r="G264" i="182"/>
  <c r="I264" i="182"/>
  <c r="J264" i="182"/>
  <c r="I269" i="182"/>
  <c r="H269" i="182"/>
  <c r="G269" i="182"/>
  <c r="J269" i="182"/>
  <c r="K242" i="183"/>
  <c r="E253" i="183"/>
  <c r="I253" i="183" s="1"/>
  <c r="J253" i="183" s="1"/>
  <c r="H242" i="182"/>
  <c r="G242" i="182"/>
  <c r="J242" i="182"/>
  <c r="I242" i="182"/>
  <c r="G212" i="182"/>
  <c r="H212" i="182"/>
  <c r="I212" i="182"/>
  <c r="J212" i="182"/>
  <c r="H194" i="182"/>
  <c r="I194" i="182"/>
  <c r="G194" i="182"/>
  <c r="J194" i="182"/>
  <c r="G204" i="182"/>
  <c r="H204" i="182"/>
  <c r="J204" i="182"/>
  <c r="I204" i="182"/>
  <c r="H197" i="182"/>
  <c r="G197" i="182"/>
  <c r="J197" i="182"/>
  <c r="I197" i="182"/>
  <c r="I206" i="182"/>
  <c r="J206" i="182"/>
  <c r="H206" i="182"/>
  <c r="G206" i="182"/>
  <c r="H209" i="182"/>
  <c r="I209" i="182"/>
  <c r="G209" i="182"/>
  <c r="J209" i="182"/>
  <c r="L42" i="28"/>
  <c r="H152" i="182"/>
  <c r="G152" i="182"/>
  <c r="J152" i="182"/>
  <c r="I152" i="182"/>
  <c r="H111" i="125"/>
  <c r="H144" i="182"/>
  <c r="G144" i="182"/>
  <c r="J144" i="182"/>
  <c r="I144" i="182"/>
  <c r="H137" i="182"/>
  <c r="G137" i="182"/>
  <c r="I137" i="182"/>
  <c r="J137" i="182"/>
  <c r="J146" i="182"/>
  <c r="H146" i="182"/>
  <c r="G146" i="182"/>
  <c r="I146" i="182"/>
  <c r="G134" i="182"/>
  <c r="H134" i="182"/>
  <c r="J134" i="182"/>
  <c r="I134" i="182"/>
  <c r="I149" i="182"/>
  <c r="G149" i="182"/>
  <c r="J149" i="182"/>
  <c r="H149" i="182"/>
  <c r="H122" i="182"/>
  <c r="G122" i="182"/>
  <c r="J122" i="182"/>
  <c r="I122" i="182"/>
  <c r="I116" i="182"/>
  <c r="H116" i="182"/>
  <c r="G116" i="182"/>
  <c r="J116" i="182"/>
  <c r="H104" i="182"/>
  <c r="G104" i="182"/>
  <c r="J104" i="182"/>
  <c r="I104" i="182"/>
  <c r="H107" i="182"/>
  <c r="G107" i="182"/>
  <c r="J107" i="182"/>
  <c r="I107" i="182"/>
  <c r="H114" i="182"/>
  <c r="G114" i="182"/>
  <c r="I114" i="182"/>
  <c r="J114" i="182"/>
  <c r="G119" i="182"/>
  <c r="H119" i="182"/>
  <c r="J119" i="182"/>
  <c r="I119" i="182"/>
  <c r="AF92" i="201"/>
  <c r="BP122" i="201"/>
  <c r="K83" i="201"/>
  <c r="O83" i="201" s="1"/>
  <c r="X103" i="201"/>
  <c r="X102" i="201"/>
  <c r="BJ67" i="201"/>
  <c r="AF29" i="201"/>
  <c r="AF20" i="201"/>
  <c r="G86" i="182"/>
  <c r="H86" i="182"/>
  <c r="J86" i="182"/>
  <c r="I86" i="182"/>
  <c r="I89" i="182"/>
  <c r="J89" i="182"/>
  <c r="G137" i="125"/>
  <c r="H74" i="182"/>
  <c r="G74" i="182"/>
  <c r="I74" i="182"/>
  <c r="J74" i="182"/>
  <c r="G77" i="182"/>
  <c r="H77" i="182"/>
  <c r="I77" i="182"/>
  <c r="J77" i="182"/>
  <c r="H92" i="182"/>
  <c r="G92" i="182"/>
  <c r="J92" i="182"/>
  <c r="I92" i="182"/>
  <c r="H109" i="125"/>
  <c r="H84" i="182"/>
  <c r="G84" i="182"/>
  <c r="I84" i="182"/>
  <c r="J84" i="182"/>
  <c r="H224" i="182"/>
  <c r="G224" i="182"/>
  <c r="I224" i="182"/>
  <c r="J224" i="182"/>
  <c r="E241" i="183"/>
  <c r="K241" i="183" s="1"/>
  <c r="H236" i="182"/>
  <c r="G236" i="182"/>
  <c r="J236" i="182"/>
  <c r="I236" i="182"/>
  <c r="G234" i="182"/>
  <c r="H234" i="182"/>
  <c r="I234" i="182"/>
  <c r="J234" i="182"/>
  <c r="G239" i="182"/>
  <c r="H239" i="182"/>
  <c r="J239" i="182"/>
  <c r="I239" i="182"/>
  <c r="H227" i="182"/>
  <c r="G227" i="182"/>
  <c r="I227" i="182"/>
  <c r="J227" i="182"/>
  <c r="B313" i="42"/>
  <c r="D42" i="6"/>
  <c r="N42" i="6" s="1"/>
  <c r="R274" i="42"/>
  <c r="P6" i="9"/>
  <c r="C243" i="27"/>
  <c r="D243" i="27" s="1"/>
  <c r="P5" i="9"/>
  <c r="E122" i="26"/>
  <c r="E124" i="27"/>
  <c r="E61" i="42"/>
  <c r="E123" i="42" s="1"/>
  <c r="Q78" i="195"/>
  <c r="E121" i="26"/>
  <c r="O58" i="42"/>
  <c r="O120" i="42" s="1"/>
  <c r="O182" i="42" s="1"/>
  <c r="AU123" i="27"/>
  <c r="AU185" i="27" s="1"/>
  <c r="E118" i="27"/>
  <c r="J58" i="42"/>
  <c r="J120" i="42" s="1"/>
  <c r="J182" i="42" s="1"/>
  <c r="P23" i="42"/>
  <c r="M11" i="33"/>
  <c r="E122" i="27"/>
  <c r="J60" i="42"/>
  <c r="J122" i="42" s="1"/>
  <c r="J184" i="42" s="1"/>
  <c r="G45" i="185"/>
  <c r="I50" i="195" s="1"/>
  <c r="AY56" i="27"/>
  <c r="M12" i="33"/>
  <c r="F54" i="42"/>
  <c r="F116" i="42" s="1"/>
  <c r="F178" i="42" s="1"/>
  <c r="G52" i="42"/>
  <c r="G114" i="42" s="1"/>
  <c r="P24" i="42"/>
  <c r="E121" i="27"/>
  <c r="G44" i="185"/>
  <c r="I49" i="195" s="1"/>
  <c r="I94" i="195" s="1"/>
  <c r="C155" i="42"/>
  <c r="AZ151" i="27"/>
  <c r="P108" i="195" s="1"/>
  <c r="S108" i="195" s="1"/>
  <c r="E120" i="26"/>
  <c r="I8" i="185"/>
  <c r="I61" i="195"/>
  <c r="Q61" i="195" s="1"/>
  <c r="D55" i="27"/>
  <c r="F443" i="182"/>
  <c r="F11" i="183"/>
  <c r="F29" i="183"/>
  <c r="F34" i="182"/>
  <c r="F475" i="182"/>
  <c r="F22" i="182"/>
  <c r="F21" i="182" s="1"/>
  <c r="F29" i="182"/>
  <c r="C25" i="183"/>
  <c r="F304" i="183"/>
  <c r="F315" i="183" s="1"/>
  <c r="G108" i="183"/>
  <c r="V99" i="201"/>
  <c r="K108" i="183"/>
  <c r="I279" i="183"/>
  <c r="J279" i="183" s="1"/>
  <c r="U101" i="201"/>
  <c r="W100" i="201"/>
  <c r="U98" i="201"/>
  <c r="K279" i="183"/>
  <c r="AA103" i="201"/>
  <c r="W98" i="201"/>
  <c r="F112" i="183"/>
  <c r="F134" i="183" s="1"/>
  <c r="I454" i="182"/>
  <c r="F356" i="182"/>
  <c r="F10" i="182"/>
  <c r="F484" i="182"/>
  <c r="F492" i="182" s="1"/>
  <c r="F12" i="183"/>
  <c r="F375" i="182"/>
  <c r="F357" i="182"/>
  <c r="AA104" i="201"/>
  <c r="AA98" i="201"/>
  <c r="F348" i="182"/>
  <c r="F350" i="182"/>
  <c r="F208" i="183"/>
  <c r="F14" i="182"/>
  <c r="F335" i="183"/>
  <c r="F336" i="183" s="1"/>
  <c r="F358" i="183" s="1"/>
  <c r="F410" i="182"/>
  <c r="I410" i="182" s="1"/>
  <c r="H151" i="198"/>
  <c r="H82" i="198"/>
  <c r="I82" i="198" s="1"/>
  <c r="X161" i="198"/>
  <c r="W32" i="198"/>
  <c r="X32" i="198" s="1"/>
  <c r="X22" i="198"/>
  <c r="X167" i="198"/>
  <c r="X159" i="198"/>
  <c r="X162" i="198"/>
  <c r="W168" i="198"/>
  <c r="X165" i="198"/>
  <c r="X192" i="198"/>
  <c r="W202" i="198"/>
  <c r="X202" i="198" s="1"/>
  <c r="X160" i="198"/>
  <c r="X163" i="198"/>
  <c r="W65" i="198"/>
  <c r="X65" i="198" s="1"/>
  <c r="X55" i="198"/>
  <c r="X16" i="198"/>
  <c r="I180" i="198"/>
  <c r="I176" i="198"/>
  <c r="I184" i="198"/>
  <c r="I55" i="198"/>
  <c r="H65" i="198"/>
  <c r="H185" i="198"/>
  <c r="H32" i="198"/>
  <c r="I32" i="198" s="1"/>
  <c r="I177" i="198"/>
  <c r="I38" i="198"/>
  <c r="H48" i="198"/>
  <c r="I48" i="198" s="1"/>
  <c r="I181" i="198"/>
  <c r="I178" i="198"/>
  <c r="I183" i="198"/>
  <c r="I179" i="198"/>
  <c r="I182" i="198"/>
  <c r="X175" i="170"/>
  <c r="W65" i="170"/>
  <c r="X65" i="170" s="1"/>
  <c r="W32" i="170"/>
  <c r="W100" i="170"/>
  <c r="W151" i="170"/>
  <c r="X151" i="170" s="1"/>
  <c r="W134" i="170"/>
  <c r="W228" i="170" s="1"/>
  <c r="X124" i="170"/>
  <c r="X218" i="170" s="1"/>
  <c r="W82" i="170"/>
  <c r="X72" i="170"/>
  <c r="X107" i="170"/>
  <c r="W117" i="170"/>
  <c r="X117" i="170" s="1"/>
  <c r="W48" i="170"/>
  <c r="X38" i="170"/>
  <c r="I178" i="170"/>
  <c r="H168" i="170"/>
  <c r="I168" i="170" s="1"/>
  <c r="I179" i="170"/>
  <c r="I182" i="170"/>
  <c r="I202" i="170"/>
  <c r="I184" i="170"/>
  <c r="I175" i="170"/>
  <c r="I183" i="170"/>
  <c r="I177" i="170"/>
  <c r="I22" i="170"/>
  <c r="H32" i="170"/>
  <c r="I180" i="170"/>
  <c r="I181" i="170"/>
  <c r="I176" i="170"/>
  <c r="I6" i="170"/>
  <c r="H16" i="170"/>
  <c r="M159" i="26"/>
  <c r="D148" i="42"/>
  <c r="D151" i="42"/>
  <c r="D146" i="42"/>
  <c r="H104" i="195"/>
  <c r="K104" i="195" s="1"/>
  <c r="D147" i="42"/>
  <c r="H105" i="195"/>
  <c r="K105" i="195" s="1"/>
  <c r="D149" i="42"/>
  <c r="H106" i="195"/>
  <c r="K106" i="195" s="1"/>
  <c r="D121" i="27"/>
  <c r="H85" i="42"/>
  <c r="L90" i="44"/>
  <c r="D85" i="42"/>
  <c r="D89" i="42"/>
  <c r="H79" i="195"/>
  <c r="K79" i="195" s="1"/>
  <c r="J33" i="195" s="1"/>
  <c r="P87" i="42"/>
  <c r="H86" i="44"/>
  <c r="H181" i="27"/>
  <c r="N56" i="44"/>
  <c r="N119" i="44" s="1"/>
  <c r="N181" i="44" s="1"/>
  <c r="C116" i="26"/>
  <c r="D116" i="26" s="1"/>
  <c r="J57" i="44"/>
  <c r="J120" i="44" s="1"/>
  <c r="J182" i="44" s="1"/>
  <c r="AP125" i="26"/>
  <c r="AP188" i="26" s="1"/>
  <c r="AR188" i="26" s="1"/>
  <c r="P27" i="44"/>
  <c r="AM121" i="27"/>
  <c r="AM183" i="27" s="1"/>
  <c r="I64" i="196"/>
  <c r="Q64" i="196" s="1"/>
  <c r="O52" i="44"/>
  <c r="O115" i="44" s="1"/>
  <c r="BA20" i="27"/>
  <c r="M14" i="33"/>
  <c r="AY58" i="27"/>
  <c r="AY52" i="27"/>
  <c r="C30" i="44"/>
  <c r="B56" i="42"/>
  <c r="B118" i="42" s="1"/>
  <c r="E53" i="42"/>
  <c r="E115" i="42" s="1"/>
  <c r="E120" i="27"/>
  <c r="E116" i="27"/>
  <c r="AL115" i="27"/>
  <c r="AL177" i="27" s="1"/>
  <c r="N52" i="42"/>
  <c r="N114" i="42" s="1"/>
  <c r="D26" i="33"/>
  <c r="M17" i="33"/>
  <c r="I14" i="185"/>
  <c r="P24" i="44"/>
  <c r="D400" i="26"/>
  <c r="M9" i="33"/>
  <c r="M313" i="44"/>
  <c r="F312" i="44"/>
  <c r="D307" i="27"/>
  <c r="C315" i="27"/>
  <c r="M10" i="33"/>
  <c r="D401" i="26"/>
  <c r="E407" i="26"/>
  <c r="BJ73" i="201"/>
  <c r="W106" i="201"/>
  <c r="D387" i="183"/>
  <c r="D187" i="183"/>
  <c r="D188" i="183" s="1"/>
  <c r="D396" i="183" s="1"/>
  <c r="C28" i="182"/>
  <c r="F355" i="182"/>
  <c r="F271" i="183"/>
  <c r="F408" i="182"/>
  <c r="I408" i="182" s="1"/>
  <c r="F288" i="183"/>
  <c r="R286" i="183"/>
  <c r="R287" i="183" s="1"/>
  <c r="F354" i="182"/>
  <c r="F407" i="182"/>
  <c r="J407" i="182" s="1"/>
  <c r="F239" i="183"/>
  <c r="K239" i="183" s="1"/>
  <c r="C262" i="183"/>
  <c r="T242" i="183"/>
  <c r="C387" i="183"/>
  <c r="F388" i="183" s="1"/>
  <c r="F459" i="182"/>
  <c r="F20" i="183"/>
  <c r="J454" i="182"/>
  <c r="C198" i="183"/>
  <c r="R175" i="183"/>
  <c r="R170" i="183"/>
  <c r="F405" i="182"/>
  <c r="J405" i="182" s="1"/>
  <c r="F352" i="182"/>
  <c r="F175" i="183"/>
  <c r="F351" i="182"/>
  <c r="F138" i="183"/>
  <c r="F371" i="182"/>
  <c r="F427" i="182"/>
  <c r="F349" i="182"/>
  <c r="F74" i="183"/>
  <c r="F369" i="182"/>
  <c r="BG66" i="201"/>
  <c r="F64" i="183"/>
  <c r="F30" i="183"/>
  <c r="F32" i="183" s="1"/>
  <c r="F48" i="183"/>
  <c r="R49" i="183" s="1"/>
  <c r="G473" i="182"/>
  <c r="H473" i="182" s="1"/>
  <c r="W107" i="201"/>
  <c r="AE100" i="201"/>
  <c r="AE30" i="201"/>
  <c r="BQ123" i="201"/>
  <c r="AD107" i="201"/>
  <c r="D356" i="182"/>
  <c r="D272" i="183"/>
  <c r="D275" i="183" s="1"/>
  <c r="L79" i="28"/>
  <c r="L36" i="28"/>
  <c r="L64" i="28"/>
  <c r="T258" i="44"/>
  <c r="D156" i="6"/>
  <c r="S297" i="44"/>
  <c r="D160" i="6"/>
  <c r="R294" i="44"/>
  <c r="P290" i="44"/>
  <c r="E13" i="19"/>
  <c r="Q13" i="19" s="1"/>
  <c r="P293" i="44"/>
  <c r="P292" i="44"/>
  <c r="S296" i="44"/>
  <c r="U295" i="44"/>
  <c r="P291" i="44"/>
  <c r="P294" i="44"/>
  <c r="H292" i="44"/>
  <c r="T202" i="44"/>
  <c r="U298" i="44"/>
  <c r="U294" i="44"/>
  <c r="S298" i="44"/>
  <c r="T199" i="44"/>
  <c r="S231" i="44" s="1"/>
  <c r="T231" i="44" s="1"/>
  <c r="U231" i="44" s="1"/>
  <c r="R295" i="44"/>
  <c r="U292" i="44"/>
  <c r="F30" i="9"/>
  <c r="F31" i="9" s="1"/>
  <c r="L392" i="26"/>
  <c r="H392" i="26"/>
  <c r="S294" i="44"/>
  <c r="U43" i="44"/>
  <c r="T133" i="44"/>
  <c r="T131" i="44"/>
  <c r="H141" i="44"/>
  <c r="T135" i="44"/>
  <c r="T74" i="44"/>
  <c r="P80" i="26"/>
  <c r="AX101" i="26"/>
  <c r="R79" i="44"/>
  <c r="R39" i="44"/>
  <c r="S167" i="44"/>
  <c r="L15" i="44"/>
  <c r="AJ110" i="26"/>
  <c r="AI174" i="26"/>
  <c r="AH111" i="26"/>
  <c r="AD111" i="26"/>
  <c r="AF105" i="26"/>
  <c r="BD105" i="26" s="1"/>
  <c r="AD171" i="26"/>
  <c r="AF171" i="26" s="1"/>
  <c r="BD171" i="26" s="1"/>
  <c r="AX104" i="26"/>
  <c r="U168" i="44"/>
  <c r="U169" i="44"/>
  <c r="L43" i="44"/>
  <c r="L106" i="44" s="1"/>
  <c r="L168" i="44" s="1"/>
  <c r="H39" i="44"/>
  <c r="H102" i="44" s="1"/>
  <c r="H164" i="44" s="1"/>
  <c r="AY103" i="26"/>
  <c r="AZ40" i="26"/>
  <c r="K57" i="185" s="1"/>
  <c r="L46" i="196" s="1"/>
  <c r="L91" i="196" s="1"/>
  <c r="O91" i="196" s="1"/>
  <c r="F102" i="44"/>
  <c r="F164" i="44" s="1"/>
  <c r="AZ41" i="26"/>
  <c r="K58" i="185" s="1"/>
  <c r="L47" i="196" s="1"/>
  <c r="O47" i="196" s="1"/>
  <c r="L31" i="196" s="1"/>
  <c r="O31" i="196" s="1"/>
  <c r="U37" i="44"/>
  <c r="U108" i="44"/>
  <c r="H44" i="44"/>
  <c r="H107" i="44" s="1"/>
  <c r="H169" i="44" s="1"/>
  <c r="AZ44" i="26"/>
  <c r="K61" i="185" s="1"/>
  <c r="N61" i="185" s="1"/>
  <c r="U165" i="44"/>
  <c r="AZ37" i="26"/>
  <c r="K54" i="185" s="1"/>
  <c r="T105" i="26"/>
  <c r="AZ42" i="26"/>
  <c r="K59" i="185" s="1"/>
  <c r="L48" i="196" s="1"/>
  <c r="L93" i="196" s="1"/>
  <c r="O93" i="196" s="1"/>
  <c r="U38" i="44"/>
  <c r="U166" i="44"/>
  <c r="BA103" i="26"/>
  <c r="L92" i="185" s="1"/>
  <c r="P47" i="26"/>
  <c r="C103" i="44"/>
  <c r="C165" i="44" s="1"/>
  <c r="S165" i="44" s="1"/>
  <c r="F107" i="44"/>
  <c r="F169" i="44" s="1"/>
  <c r="R169" i="44" s="1"/>
  <c r="AY172" i="26"/>
  <c r="U40" i="44"/>
  <c r="R45" i="44"/>
  <c r="U41" i="44"/>
  <c r="R37" i="44"/>
  <c r="D37" i="44"/>
  <c r="D100" i="44" s="1"/>
  <c r="R100" i="44"/>
  <c r="U104" i="44"/>
  <c r="H102" i="26"/>
  <c r="AX107" i="26"/>
  <c r="AX106" i="26"/>
  <c r="AY47" i="26"/>
  <c r="U46" i="44"/>
  <c r="U106" i="44"/>
  <c r="O101" i="44"/>
  <c r="O163" i="44" s="1"/>
  <c r="P38" i="44"/>
  <c r="P101" i="44" s="1"/>
  <c r="P163" i="44" s="1"/>
  <c r="F109" i="6"/>
  <c r="S109" i="6"/>
  <c r="K97" i="6"/>
  <c r="N97" i="6"/>
  <c r="T97" i="6"/>
  <c r="AU250" i="26"/>
  <c r="AV250" i="26" s="1"/>
  <c r="AW250" i="26" s="1"/>
  <c r="AM116" i="26"/>
  <c r="AM179" i="26" s="1"/>
  <c r="D118" i="6"/>
  <c r="E119" i="6" s="1"/>
  <c r="T134" i="44"/>
  <c r="BA109" i="26"/>
  <c r="L98" i="185" s="1"/>
  <c r="AZ230" i="26"/>
  <c r="BA230" i="26" s="1"/>
  <c r="E22" i="9"/>
  <c r="D44" i="44"/>
  <c r="D107" i="44" s="1"/>
  <c r="D154" i="6"/>
  <c r="AZ46" i="26"/>
  <c r="K63" i="185" s="1"/>
  <c r="L52" i="196" s="1"/>
  <c r="L97" i="196" s="1"/>
  <c r="O97" i="196" s="1"/>
  <c r="AY170" i="26"/>
  <c r="O168" i="26"/>
  <c r="AY168" i="26" s="1"/>
  <c r="AY105" i="26"/>
  <c r="AU119" i="26"/>
  <c r="AZ38" i="26"/>
  <c r="K55" i="185" s="1"/>
  <c r="L44" i="196" s="1"/>
  <c r="O44" i="196" s="1"/>
  <c r="L28" i="196" s="1"/>
  <c r="AX47" i="26"/>
  <c r="J169" i="26"/>
  <c r="L169" i="26" s="1"/>
  <c r="L106" i="26"/>
  <c r="C102" i="44"/>
  <c r="S39" i="44"/>
  <c r="F173" i="26"/>
  <c r="H173" i="26" s="1"/>
  <c r="H110" i="26"/>
  <c r="J171" i="26"/>
  <c r="L171" i="26" s="1"/>
  <c r="L108" i="26"/>
  <c r="AH167" i="26"/>
  <c r="AJ167" i="26" s="1"/>
  <c r="AJ104" i="26"/>
  <c r="AX102" i="26"/>
  <c r="R165" i="26"/>
  <c r="T165" i="26" s="1"/>
  <c r="R169" i="26"/>
  <c r="T169" i="26" s="1"/>
  <c r="T106" i="26"/>
  <c r="F167" i="26"/>
  <c r="H167" i="26" s="1"/>
  <c r="F111" i="26"/>
  <c r="K101" i="44"/>
  <c r="L38" i="44"/>
  <c r="AB392" i="26"/>
  <c r="AB361" i="26"/>
  <c r="L292" i="44"/>
  <c r="S42" i="44"/>
  <c r="U101" i="44"/>
  <c r="Z407" i="26"/>
  <c r="C311" i="44"/>
  <c r="AB403" i="26"/>
  <c r="X402" i="26"/>
  <c r="L297" i="44"/>
  <c r="L291" i="44"/>
  <c r="D290" i="44"/>
  <c r="I47" i="44"/>
  <c r="U103" i="44"/>
  <c r="D39" i="44"/>
  <c r="D102" i="44" s="1"/>
  <c r="S107" i="44"/>
  <c r="U163" i="44"/>
  <c r="M312" i="44"/>
  <c r="H406" i="26"/>
  <c r="Z125" i="26"/>
  <c r="E57" i="44"/>
  <c r="E120" i="44" s="1"/>
  <c r="AF406" i="26"/>
  <c r="BD406" i="26" s="1"/>
  <c r="AY109" i="26"/>
  <c r="E8" i="19"/>
  <c r="Q8" i="19" s="1"/>
  <c r="S44" i="44"/>
  <c r="AX110" i="26"/>
  <c r="L40" i="44"/>
  <c r="L103" i="44" s="1"/>
  <c r="L165" i="44" s="1"/>
  <c r="J103" i="44"/>
  <c r="J165" i="44" s="1"/>
  <c r="W9" i="9"/>
  <c r="P9" i="9"/>
  <c r="S38" i="44"/>
  <c r="U297" i="44"/>
  <c r="R38" i="44"/>
  <c r="S169" i="44"/>
  <c r="S105" i="44"/>
  <c r="P399" i="26"/>
  <c r="E59" i="44"/>
  <c r="E122" i="44" s="1"/>
  <c r="M306" i="44"/>
  <c r="AH407" i="26"/>
  <c r="O54" i="44"/>
  <c r="O117" i="44" s="1"/>
  <c r="O179" i="44" s="1"/>
  <c r="AY107" i="26"/>
  <c r="T72" i="44"/>
  <c r="U277" i="44"/>
  <c r="AZ385" i="26"/>
  <c r="BB199" i="26"/>
  <c r="BB385" i="26" s="1"/>
  <c r="H141" i="6" s="1"/>
  <c r="V172" i="26"/>
  <c r="X172" i="26" s="1"/>
  <c r="T102" i="26"/>
  <c r="H104" i="26"/>
  <c r="D58" i="196"/>
  <c r="D68" i="196" s="1"/>
  <c r="D18" i="196" s="1"/>
  <c r="B31" i="185"/>
  <c r="D32" i="185" s="1"/>
  <c r="AU123" i="26"/>
  <c r="AU121" i="26"/>
  <c r="AV121" i="26" s="1"/>
  <c r="I63" i="196"/>
  <c r="Q63" i="196" s="1"/>
  <c r="I26" i="185"/>
  <c r="V111" i="26"/>
  <c r="L400" i="26"/>
  <c r="T264" i="44"/>
  <c r="AB47" i="26"/>
  <c r="AN47" i="26"/>
  <c r="AV48" i="26" s="1"/>
  <c r="H90" i="44"/>
  <c r="G61" i="44"/>
  <c r="G124" i="44" s="1"/>
  <c r="G186" i="44" s="1"/>
  <c r="H276" i="44"/>
  <c r="P272" i="44"/>
  <c r="L272" i="44"/>
  <c r="N304" i="44"/>
  <c r="J32" i="33"/>
  <c r="D162" i="6"/>
  <c r="T132" i="44"/>
  <c r="S45" i="44"/>
  <c r="O55" i="44"/>
  <c r="O118" i="44" s="1"/>
  <c r="O180" i="44" s="1"/>
  <c r="F58" i="44"/>
  <c r="F121" i="44" s="1"/>
  <c r="F183" i="44" s="1"/>
  <c r="E6" i="19"/>
  <c r="Q6" i="19" s="1"/>
  <c r="X108" i="26"/>
  <c r="X101" i="26"/>
  <c r="J165" i="26"/>
  <c r="L165" i="26" s="1"/>
  <c r="AU117" i="26"/>
  <c r="AV117" i="26" s="1"/>
  <c r="AJ105" i="26"/>
  <c r="T77" i="44"/>
  <c r="T138" i="44"/>
  <c r="AD173" i="26"/>
  <c r="AF173" i="26" s="1"/>
  <c r="BD173" i="26" s="1"/>
  <c r="AN101" i="26"/>
  <c r="T101" i="26"/>
  <c r="R111" i="26"/>
  <c r="AZ39" i="26"/>
  <c r="K56" i="185" s="1"/>
  <c r="L45" i="196" s="1"/>
  <c r="L90" i="196" s="1"/>
  <c r="O90" i="196" s="1"/>
  <c r="D14" i="134"/>
  <c r="D47" i="27"/>
  <c r="S295" i="42"/>
  <c r="R296" i="42"/>
  <c r="P297" i="42"/>
  <c r="R297" i="42"/>
  <c r="R293" i="42"/>
  <c r="AJ269" i="27"/>
  <c r="AB269" i="27"/>
  <c r="R292" i="42"/>
  <c r="T261" i="42"/>
  <c r="H298" i="42"/>
  <c r="H267" i="42"/>
  <c r="D71" i="6"/>
  <c r="H25" i="6"/>
  <c r="S293" i="42"/>
  <c r="S290" i="42"/>
  <c r="U289" i="42"/>
  <c r="R295" i="42"/>
  <c r="U291" i="42"/>
  <c r="AW234" i="27"/>
  <c r="R298" i="42"/>
  <c r="T201" i="42"/>
  <c r="S233" i="42" s="1"/>
  <c r="T233" i="42" s="1"/>
  <c r="U233" i="42" s="1"/>
  <c r="AW231" i="27"/>
  <c r="AW230" i="27"/>
  <c r="AY230" i="27"/>
  <c r="AZ230" i="27" s="1"/>
  <c r="BA230" i="27" s="1"/>
  <c r="G8" i="150" s="1"/>
  <c r="AW229" i="27"/>
  <c r="AW228" i="27"/>
  <c r="AW232" i="27"/>
  <c r="AW233" i="27"/>
  <c r="F9" i="134"/>
  <c r="F15" i="134" s="1"/>
  <c r="AZ290" i="27"/>
  <c r="CR6" i="190" s="1"/>
  <c r="AV300" i="27"/>
  <c r="AW235" i="27"/>
  <c r="BB195" i="27"/>
  <c r="BB291" i="27" s="1"/>
  <c r="BC291" i="27" s="1"/>
  <c r="Q299" i="42"/>
  <c r="D23" i="134"/>
  <c r="AM236" i="27"/>
  <c r="AN236" i="27" s="1"/>
  <c r="AN226" i="27"/>
  <c r="S298" i="42"/>
  <c r="U296" i="42"/>
  <c r="L297" i="42"/>
  <c r="M299" i="42"/>
  <c r="AY227" i="27"/>
  <c r="AZ227" i="27" s="1"/>
  <c r="BA227" i="27" s="1"/>
  <c r="G5" i="150" s="1"/>
  <c r="E29" i="134"/>
  <c r="AI236" i="27"/>
  <c r="AJ236" i="27" s="1"/>
  <c r="AJ226" i="27"/>
  <c r="AE236" i="27"/>
  <c r="AF236" i="27" s="1"/>
  <c r="BF236" i="27" s="1"/>
  <c r="AF226" i="27"/>
  <c r="BF226" i="27" s="1"/>
  <c r="F20" i="134"/>
  <c r="Q5" i="150" s="1"/>
  <c r="K230" i="42"/>
  <c r="L230" i="42" s="1"/>
  <c r="M230" i="42" s="1"/>
  <c r="L203" i="42"/>
  <c r="AY232" i="27"/>
  <c r="AZ232" i="27" s="1"/>
  <c r="BA232" i="27" s="1"/>
  <c r="G10" i="150" s="1"/>
  <c r="AZ291" i="27"/>
  <c r="CR20" i="190" s="1"/>
  <c r="AB300" i="27"/>
  <c r="AJ205" i="27"/>
  <c r="AY234" i="27"/>
  <c r="AZ234" i="27" s="1"/>
  <c r="BA234" i="27" s="1"/>
  <c r="G12" i="150" s="1"/>
  <c r="AA236" i="27"/>
  <c r="AB236" i="27" s="1"/>
  <c r="W236" i="27"/>
  <c r="X236" i="27" s="1"/>
  <c r="T226" i="27"/>
  <c r="S236" i="27"/>
  <c r="T236" i="27" s="1"/>
  <c r="P300" i="27"/>
  <c r="X205" i="27"/>
  <c r="O236" i="27"/>
  <c r="P236" i="27" s="1"/>
  <c r="Q236" i="27" s="1"/>
  <c r="D290" i="42"/>
  <c r="D19" i="134"/>
  <c r="AY229" i="27"/>
  <c r="AZ229" i="27" s="1"/>
  <c r="BA229" i="27" s="1"/>
  <c r="G7" i="150" s="1"/>
  <c r="S297" i="42"/>
  <c r="B29" i="134"/>
  <c r="U298" i="42"/>
  <c r="AY231" i="27"/>
  <c r="AZ231" i="27" s="1"/>
  <c r="BA231" i="27" s="1"/>
  <c r="G9" i="150" s="1"/>
  <c r="L226" i="27"/>
  <c r="K236" i="27"/>
  <c r="L236" i="27" s="1"/>
  <c r="BB194" i="27"/>
  <c r="R203" i="42"/>
  <c r="G236" i="27"/>
  <c r="H226" i="27"/>
  <c r="BB197" i="27"/>
  <c r="BB293" i="27" s="1"/>
  <c r="BC293" i="27" s="1"/>
  <c r="AY226" i="27"/>
  <c r="AZ226" i="27" s="1"/>
  <c r="BA226" i="27" s="1"/>
  <c r="D291" i="42"/>
  <c r="BB198" i="27"/>
  <c r="BB294" i="27" s="1"/>
  <c r="BC294" i="27" s="1"/>
  <c r="C29" i="134"/>
  <c r="R140" i="42"/>
  <c r="P162" i="42"/>
  <c r="U140" i="42"/>
  <c r="BA108" i="27"/>
  <c r="L78" i="185" s="1"/>
  <c r="AY103" i="27"/>
  <c r="AY165" i="27"/>
  <c r="AN103" i="27"/>
  <c r="L78" i="42"/>
  <c r="T77" i="42"/>
  <c r="L108" i="42"/>
  <c r="L170" i="42" s="1"/>
  <c r="T71" i="42"/>
  <c r="AB166" i="27"/>
  <c r="AX102" i="27"/>
  <c r="U101" i="42"/>
  <c r="P165" i="27"/>
  <c r="AX101" i="27"/>
  <c r="AX103" i="27"/>
  <c r="T68" i="42"/>
  <c r="D167" i="27"/>
  <c r="AY163" i="27"/>
  <c r="AY171" i="27"/>
  <c r="AX108" i="27"/>
  <c r="C167" i="42"/>
  <c r="S167" i="42" s="1"/>
  <c r="S105" i="42"/>
  <c r="R43" i="42"/>
  <c r="AY100" i="27"/>
  <c r="B15" i="185"/>
  <c r="D16" i="185" s="1"/>
  <c r="D68" i="195"/>
  <c r="D18" i="195" s="1"/>
  <c r="G18" i="195" s="1"/>
  <c r="N108" i="42"/>
  <c r="N170" i="42" s="1"/>
  <c r="R170" i="42" s="1"/>
  <c r="P45" i="42"/>
  <c r="P107" i="42" s="1"/>
  <c r="P169" i="42" s="1"/>
  <c r="AS172" i="27"/>
  <c r="P39" i="42"/>
  <c r="P101" i="42" s="1"/>
  <c r="P163" i="42" s="1"/>
  <c r="R46" i="42"/>
  <c r="P44" i="42"/>
  <c r="P106" i="42" s="1"/>
  <c r="P168" i="42" s="1"/>
  <c r="O47" i="42"/>
  <c r="BA106" i="27"/>
  <c r="L76" i="185" s="1"/>
  <c r="AO162" i="27"/>
  <c r="AO110" i="27"/>
  <c r="S45" i="42"/>
  <c r="N47" i="42"/>
  <c r="N101" i="42"/>
  <c r="N163" i="42" s="1"/>
  <c r="R39" i="42"/>
  <c r="S102" i="42"/>
  <c r="AX106" i="27"/>
  <c r="Q47" i="42"/>
  <c r="AH110" i="27"/>
  <c r="AN47" i="27"/>
  <c r="AM172" i="27"/>
  <c r="L38" i="42"/>
  <c r="L100" i="42" s="1"/>
  <c r="L162" i="42" s="1"/>
  <c r="AN101" i="27"/>
  <c r="AL163" i="27"/>
  <c r="AN163" i="27" s="1"/>
  <c r="AN108" i="27"/>
  <c r="AL170" i="27"/>
  <c r="AN170" i="27" s="1"/>
  <c r="AM110" i="27"/>
  <c r="AN171" i="27"/>
  <c r="AN104" i="27"/>
  <c r="AL166" i="27"/>
  <c r="AN166" i="27" s="1"/>
  <c r="AX104" i="27"/>
  <c r="AZ45" i="27"/>
  <c r="K46" i="185" s="1"/>
  <c r="L51" i="195" s="1"/>
  <c r="L96" i="195" s="1"/>
  <c r="O96" i="195" s="1"/>
  <c r="AN105" i="27"/>
  <c r="AL167" i="27"/>
  <c r="AN167" i="27" s="1"/>
  <c r="AN106" i="27"/>
  <c r="AL168" i="27"/>
  <c r="AN168" i="27" s="1"/>
  <c r="AL110" i="27"/>
  <c r="AN100" i="27"/>
  <c r="AL162" i="27"/>
  <c r="AN109" i="27"/>
  <c r="S169" i="42"/>
  <c r="S100" i="42"/>
  <c r="L44" i="42"/>
  <c r="L106" i="42" s="1"/>
  <c r="L168" i="42" s="1"/>
  <c r="M47" i="42"/>
  <c r="AF47" i="27"/>
  <c r="AJ102" i="27"/>
  <c r="AH164" i="27"/>
  <c r="AJ164" i="27" s="1"/>
  <c r="AJ108" i="27"/>
  <c r="AH170" i="27"/>
  <c r="AJ170" i="27" s="1"/>
  <c r="K47" i="42"/>
  <c r="S38" i="42"/>
  <c r="R44" i="42"/>
  <c r="M171" i="42"/>
  <c r="AJ101" i="27"/>
  <c r="AH163" i="27"/>
  <c r="AJ163" i="27" s="1"/>
  <c r="AJ47" i="27"/>
  <c r="AJ109" i="27"/>
  <c r="AH171" i="27"/>
  <c r="AJ171" i="27" s="1"/>
  <c r="S46" i="42"/>
  <c r="AJ162" i="27"/>
  <c r="AC110" i="27"/>
  <c r="U169" i="42"/>
  <c r="AZ39" i="27"/>
  <c r="K40" i="185" s="1"/>
  <c r="L45" i="195" s="1"/>
  <c r="L90" i="195" s="1"/>
  <c r="O90" i="195" s="1"/>
  <c r="AF103" i="27"/>
  <c r="BC103" i="27" s="1"/>
  <c r="AD165" i="27"/>
  <c r="AF165" i="27" s="1"/>
  <c r="BC165" i="27" s="1"/>
  <c r="L39" i="42"/>
  <c r="L101" i="42" s="1"/>
  <c r="L163" i="42" s="1"/>
  <c r="AF163" i="27"/>
  <c r="BC163" i="27" s="1"/>
  <c r="U42" i="42"/>
  <c r="BA104" i="27"/>
  <c r="L74" i="185" s="1"/>
  <c r="R37" i="42"/>
  <c r="R99" i="42"/>
  <c r="AF162" i="27"/>
  <c r="BC162" i="27" s="1"/>
  <c r="J47" i="42"/>
  <c r="AZ37" i="27"/>
  <c r="K38" i="185" s="1"/>
  <c r="AY169" i="27"/>
  <c r="X105" i="27"/>
  <c r="Z168" i="27"/>
  <c r="AB168" i="27" s="1"/>
  <c r="AB106" i="27"/>
  <c r="Z162" i="27"/>
  <c r="AB100" i="27"/>
  <c r="Z110" i="27"/>
  <c r="L37" i="42"/>
  <c r="AB47" i="27"/>
  <c r="AA162" i="27"/>
  <c r="AA172" i="27" s="1"/>
  <c r="AA110" i="27"/>
  <c r="U163" i="42"/>
  <c r="U41" i="42"/>
  <c r="W172" i="27"/>
  <c r="W110" i="27"/>
  <c r="X167" i="27"/>
  <c r="Z169" i="27"/>
  <c r="AB169" i="27" s="1"/>
  <c r="AB107" i="27"/>
  <c r="S41" i="42"/>
  <c r="I47" i="42"/>
  <c r="S101" i="42"/>
  <c r="U105" i="42"/>
  <c r="U168" i="42"/>
  <c r="Z165" i="27"/>
  <c r="AB165" i="27" s="1"/>
  <c r="AB103" i="27"/>
  <c r="I165" i="42"/>
  <c r="U165" i="42" s="1"/>
  <c r="I109" i="42"/>
  <c r="U103" i="42"/>
  <c r="S163" i="42"/>
  <c r="H45" i="42"/>
  <c r="H107" i="42" s="1"/>
  <c r="H169" i="42" s="1"/>
  <c r="X47" i="27"/>
  <c r="X109" i="27"/>
  <c r="V171" i="27"/>
  <c r="X171" i="27" s="1"/>
  <c r="Q48" i="27"/>
  <c r="S107" i="42"/>
  <c r="H40" i="42"/>
  <c r="H102" i="42" s="1"/>
  <c r="H164" i="42" s="1"/>
  <c r="H41" i="42"/>
  <c r="H103" i="42" s="1"/>
  <c r="H165" i="42" s="1"/>
  <c r="S39" i="42"/>
  <c r="AZ43" i="27"/>
  <c r="K44" i="185" s="1"/>
  <c r="N44" i="185" s="1"/>
  <c r="AZ46" i="27"/>
  <c r="K47" i="185" s="1"/>
  <c r="L52" i="195" s="1"/>
  <c r="O52" i="195" s="1"/>
  <c r="L36" i="195" s="1"/>
  <c r="O36" i="195" s="1"/>
  <c r="AZ42" i="27"/>
  <c r="K43" i="185" s="1"/>
  <c r="L48" i="195" s="1"/>
  <c r="L93" i="195" s="1"/>
  <c r="G166" i="42"/>
  <c r="G171" i="42" s="1"/>
  <c r="G109" i="42"/>
  <c r="S44" i="42"/>
  <c r="BA103" i="27"/>
  <c r="L73" i="185" s="1"/>
  <c r="AY107" i="27"/>
  <c r="F47" i="42"/>
  <c r="H46" i="42"/>
  <c r="R172" i="27"/>
  <c r="T162" i="27"/>
  <c r="G47" i="42"/>
  <c r="AY102" i="27"/>
  <c r="AX105" i="27"/>
  <c r="P105" i="27"/>
  <c r="AZ38" i="27"/>
  <c r="K39" i="185" s="1"/>
  <c r="L44" i="195" s="1"/>
  <c r="L89" i="195" s="1"/>
  <c r="O89" i="195" s="1"/>
  <c r="P167" i="27"/>
  <c r="P102" i="27"/>
  <c r="Q162" i="27"/>
  <c r="Q172" i="27" s="1"/>
  <c r="Q110" i="27"/>
  <c r="Q111" i="27" s="1"/>
  <c r="T110" i="27"/>
  <c r="AZ41" i="27"/>
  <c r="K42" i="185" s="1"/>
  <c r="N42" i="185" s="1"/>
  <c r="P107" i="27"/>
  <c r="C47" i="42"/>
  <c r="U46" i="42"/>
  <c r="R165" i="42"/>
  <c r="U106" i="42"/>
  <c r="AY108" i="27"/>
  <c r="R103" i="42"/>
  <c r="AZ40" i="27"/>
  <c r="K41" i="185" s="1"/>
  <c r="N41" i="185" s="1"/>
  <c r="AY167" i="27"/>
  <c r="P47" i="27"/>
  <c r="H37" i="42"/>
  <c r="P106" i="27"/>
  <c r="N168" i="27"/>
  <c r="P168" i="27" s="1"/>
  <c r="P164" i="27"/>
  <c r="O172" i="27"/>
  <c r="F105" i="42"/>
  <c r="F167" i="42" s="1"/>
  <c r="R167" i="42" s="1"/>
  <c r="U107" i="42"/>
  <c r="N170" i="27"/>
  <c r="P170" i="27" s="1"/>
  <c r="P108" i="27"/>
  <c r="O110" i="27"/>
  <c r="U44" i="42"/>
  <c r="C164" i="42"/>
  <c r="S164" i="42" s="1"/>
  <c r="E167" i="42"/>
  <c r="U167" i="42" s="1"/>
  <c r="U45" i="42"/>
  <c r="R168" i="42"/>
  <c r="D41" i="42"/>
  <c r="N162" i="27"/>
  <c r="N110" i="27"/>
  <c r="P100" i="27"/>
  <c r="N171" i="27"/>
  <c r="P171" i="27" s="1"/>
  <c r="P109" i="27"/>
  <c r="P103" i="27"/>
  <c r="E164" i="42"/>
  <c r="U164" i="42" s="1"/>
  <c r="U102" i="42"/>
  <c r="I162" i="27"/>
  <c r="U97" i="27"/>
  <c r="I110" i="27"/>
  <c r="BA102" i="27"/>
  <c r="L72" i="185" s="1"/>
  <c r="D44" i="42"/>
  <c r="D40" i="42"/>
  <c r="D102" i="42" s="1"/>
  <c r="D164" i="42" s="1"/>
  <c r="L105" i="27"/>
  <c r="R45" i="42"/>
  <c r="U40" i="42"/>
  <c r="BA109" i="27"/>
  <c r="L79" i="185" s="1"/>
  <c r="BA101" i="27"/>
  <c r="L71" i="185" s="1"/>
  <c r="BA100" i="27"/>
  <c r="L70" i="185" s="1"/>
  <c r="BA47" i="27"/>
  <c r="K172" i="27"/>
  <c r="L48" i="185"/>
  <c r="L101" i="27"/>
  <c r="J163" i="27"/>
  <c r="L163" i="27" s="1"/>
  <c r="L162" i="27"/>
  <c r="K110" i="27"/>
  <c r="C166" i="42"/>
  <c r="C109" i="42"/>
  <c r="S104" i="42"/>
  <c r="B166" i="42"/>
  <c r="R166" i="42" s="1"/>
  <c r="B109" i="42"/>
  <c r="AY47" i="27"/>
  <c r="H167" i="27"/>
  <c r="S40" i="42"/>
  <c r="R42" i="42"/>
  <c r="R38" i="42"/>
  <c r="H103" i="27"/>
  <c r="F165" i="27"/>
  <c r="H165" i="27" s="1"/>
  <c r="F164" i="27"/>
  <c r="H164" i="27" s="1"/>
  <c r="H102" i="27"/>
  <c r="H100" i="27"/>
  <c r="F162" i="27"/>
  <c r="F110" i="27"/>
  <c r="H47" i="27"/>
  <c r="S42" i="42"/>
  <c r="R40" i="42"/>
  <c r="AX100" i="27"/>
  <c r="AY109" i="27"/>
  <c r="AY105" i="27"/>
  <c r="AY101" i="27"/>
  <c r="D45" i="42"/>
  <c r="D107" i="42" s="1"/>
  <c r="D169" i="42" s="1"/>
  <c r="D171" i="27"/>
  <c r="D163" i="27"/>
  <c r="F171" i="27"/>
  <c r="H171" i="27" s="1"/>
  <c r="H109" i="27"/>
  <c r="G162" i="27"/>
  <c r="G172" i="27" s="1"/>
  <c r="G110" i="27"/>
  <c r="D37" i="42"/>
  <c r="H105" i="27"/>
  <c r="D104" i="27"/>
  <c r="B166" i="27"/>
  <c r="E47" i="42"/>
  <c r="D102" i="27"/>
  <c r="B164" i="27"/>
  <c r="AX47" i="27"/>
  <c r="E110" i="27"/>
  <c r="D108" i="27"/>
  <c r="B170" i="27"/>
  <c r="D100" i="27"/>
  <c r="B162" i="27"/>
  <c r="B110" i="27"/>
  <c r="C110" i="27"/>
  <c r="C162" i="27"/>
  <c r="C172" i="27" s="1"/>
  <c r="D106" i="27"/>
  <c r="B168" i="27"/>
  <c r="D168" i="27" s="1"/>
  <c r="B47" i="42"/>
  <c r="AB45" i="9"/>
  <c r="U46" i="9"/>
  <c r="W46" i="9" s="1"/>
  <c r="D18" i="150"/>
  <c r="V46" i="134"/>
  <c r="T46" i="134"/>
  <c r="L14" i="150" s="1"/>
  <c r="T4" i="150"/>
  <c r="T14" i="150" s="1"/>
  <c r="U46" i="134"/>
  <c r="I18" i="150"/>
  <c r="H18" i="150"/>
  <c r="P56" i="196"/>
  <c r="H71" i="196"/>
  <c r="D71" i="196"/>
  <c r="L56" i="196"/>
  <c r="P56" i="195"/>
  <c r="H71" i="195"/>
  <c r="D86" i="195"/>
  <c r="D101" i="195" s="1"/>
  <c r="L71" i="195"/>
  <c r="L86" i="195" s="1"/>
  <c r="L101" i="195" s="1"/>
  <c r="D120" i="185"/>
  <c r="F109" i="195"/>
  <c r="D114" i="185"/>
  <c r="D132" i="185"/>
  <c r="N96" i="196"/>
  <c r="M78" i="185"/>
  <c r="K177" i="188"/>
  <c r="K187" i="188" s="1"/>
  <c r="K125" i="188"/>
  <c r="AA186" i="188"/>
  <c r="G177" i="188"/>
  <c r="G125" i="188"/>
  <c r="Z180" i="188"/>
  <c r="T177" i="188"/>
  <c r="T125" i="188"/>
  <c r="S177" i="188"/>
  <c r="S187" i="188" s="1"/>
  <c r="S125" i="188"/>
  <c r="O177" i="188"/>
  <c r="O125" i="188"/>
  <c r="D116" i="185"/>
  <c r="Z166" i="188"/>
  <c r="N50" i="195"/>
  <c r="N95" i="195" s="1"/>
  <c r="F107" i="195"/>
  <c r="D95" i="185"/>
  <c r="D97" i="185"/>
  <c r="K162" i="188"/>
  <c r="K172" i="188" s="1"/>
  <c r="K110" i="188"/>
  <c r="AA164" i="188"/>
  <c r="D79" i="185"/>
  <c r="Z170" i="188"/>
  <c r="Z167" i="188"/>
  <c r="F108" i="195"/>
  <c r="AA166" i="188"/>
  <c r="AA100" i="188"/>
  <c r="M90" i="185" s="1"/>
  <c r="F111" i="195"/>
  <c r="F96" i="195" s="1"/>
  <c r="D99" i="185"/>
  <c r="S162" i="188"/>
  <c r="S172" i="188" s="1"/>
  <c r="S110" i="188"/>
  <c r="R88" i="195"/>
  <c r="R98" i="195" s="1"/>
  <c r="H8" i="195" s="1"/>
  <c r="K8" i="195" s="1"/>
  <c r="R53" i="195"/>
  <c r="H16" i="195" s="1"/>
  <c r="K16" i="195" s="1"/>
  <c r="AA118" i="188"/>
  <c r="Q93" i="185" s="1"/>
  <c r="Z93" i="185" s="1"/>
  <c r="AH93" i="185" s="1"/>
  <c r="Q138" i="185"/>
  <c r="Z138" i="185" s="1"/>
  <c r="AH138" i="185" s="1"/>
  <c r="Q133" i="185"/>
  <c r="Z133" i="185" s="1"/>
  <c r="AH133" i="185" s="1"/>
  <c r="C172" i="188"/>
  <c r="E162" i="188"/>
  <c r="E110" i="188"/>
  <c r="AA62" i="188"/>
  <c r="D125" i="188"/>
  <c r="D177" i="188"/>
  <c r="Q64" i="185"/>
  <c r="Q96" i="185"/>
  <c r="Z96" i="185" s="1"/>
  <c r="AH96" i="185" s="1"/>
  <c r="Z62" i="188"/>
  <c r="Z118" i="188"/>
  <c r="Q73" i="185" s="1"/>
  <c r="Z73" i="185" s="1"/>
  <c r="AH73" i="185" s="1"/>
  <c r="B125" i="188"/>
  <c r="B187" i="188"/>
  <c r="C125" i="188"/>
  <c r="C187" i="188"/>
  <c r="B110" i="188"/>
  <c r="M119" i="185"/>
  <c r="AA47" i="188"/>
  <c r="B172" i="188"/>
  <c r="M64" i="185"/>
  <c r="U203" i="42"/>
  <c r="U292" i="42"/>
  <c r="J82" i="185"/>
  <c r="P212" i="42"/>
  <c r="O244" i="42" s="1"/>
  <c r="P244" i="42" s="1"/>
  <c r="Q244" i="42" s="1"/>
  <c r="I12" i="195"/>
  <c r="M109" i="42"/>
  <c r="C120" i="26"/>
  <c r="D120" i="26" s="1"/>
  <c r="AL120" i="26"/>
  <c r="K407" i="26"/>
  <c r="G60" i="44"/>
  <c r="G123" i="44" s="1"/>
  <c r="G185" i="44" s="1"/>
  <c r="X403" i="26"/>
  <c r="AF403" i="26"/>
  <c r="BD403" i="26" s="1"/>
  <c r="M311" i="44"/>
  <c r="AF398" i="26"/>
  <c r="BD398" i="26" s="1"/>
  <c r="U407" i="26"/>
  <c r="J59" i="44"/>
  <c r="J122" i="44" s="1"/>
  <c r="J184" i="44" s="1"/>
  <c r="P20" i="44"/>
  <c r="N52" i="44"/>
  <c r="N115" i="44" s="1"/>
  <c r="T200" i="44"/>
  <c r="S232" i="44" s="1"/>
  <c r="T232" i="44" s="1"/>
  <c r="U232" i="44" s="1"/>
  <c r="O238" i="26"/>
  <c r="P238" i="26" s="1"/>
  <c r="P239" i="26" s="1"/>
  <c r="D203" i="44"/>
  <c r="P295" i="44"/>
  <c r="T201" i="44"/>
  <c r="S233" i="44" s="1"/>
  <c r="T233" i="44" s="1"/>
  <c r="U233" i="44" s="1"/>
  <c r="BA107" i="26"/>
  <c r="L96" i="185" s="1"/>
  <c r="AY166" i="26"/>
  <c r="D83" i="196"/>
  <c r="D10" i="196" s="1"/>
  <c r="D9" i="196" s="1"/>
  <c r="AG111" i="26"/>
  <c r="BE111" i="26" s="1"/>
  <c r="L110" i="26"/>
  <c r="R42" i="44"/>
  <c r="H38" i="44"/>
  <c r="H101" i="44" s="1"/>
  <c r="H163" i="44" s="1"/>
  <c r="AJ165" i="26"/>
  <c r="T110" i="26"/>
  <c r="D141" i="44"/>
  <c r="L141" i="44"/>
  <c r="L79" i="44"/>
  <c r="L104" i="26"/>
  <c r="AB103" i="26"/>
  <c r="D38" i="44"/>
  <c r="AN102" i="26"/>
  <c r="J111" i="26"/>
  <c r="R173" i="26"/>
  <c r="T173" i="26" s="1"/>
  <c r="S174" i="26"/>
  <c r="AN165" i="26"/>
  <c r="D47" i="26"/>
  <c r="K47" i="44"/>
  <c r="B111" i="26"/>
  <c r="H45" i="44"/>
  <c r="H108" i="44" s="1"/>
  <c r="H170" i="44" s="1"/>
  <c r="D102" i="26"/>
  <c r="V169" i="26"/>
  <c r="X169" i="26" s="1"/>
  <c r="X106" i="26"/>
  <c r="AJ47" i="26"/>
  <c r="L47" i="26"/>
  <c r="AD169" i="26"/>
  <c r="AF169" i="26" s="1"/>
  <c r="BD169" i="26" s="1"/>
  <c r="AF106" i="26"/>
  <c r="BD106" i="26" s="1"/>
  <c r="S171" i="44"/>
  <c r="AL111" i="26"/>
  <c r="D15" i="44"/>
  <c r="AF47" i="26"/>
  <c r="H47" i="26"/>
  <c r="AB170" i="26"/>
  <c r="AJ108" i="26"/>
  <c r="AH171" i="26"/>
  <c r="AJ171" i="26" s="1"/>
  <c r="F169" i="26"/>
  <c r="H169" i="26" s="1"/>
  <c r="H106" i="26"/>
  <c r="X47" i="26"/>
  <c r="P171" i="26"/>
  <c r="AB166" i="26"/>
  <c r="T47" i="26"/>
  <c r="BQ68" i="201"/>
  <c r="I140" i="183"/>
  <c r="J140" i="183" s="1"/>
  <c r="H93" i="28"/>
  <c r="L39" i="28"/>
  <c r="AZ86" i="27"/>
  <c r="P75" i="195" s="1"/>
  <c r="L114" i="183"/>
  <c r="S84" i="44"/>
  <c r="L211" i="44"/>
  <c r="K243" i="44" s="1"/>
  <c r="L243" i="44" s="1"/>
  <c r="M243" i="44" s="1"/>
  <c r="R280" i="44"/>
  <c r="R277" i="42"/>
  <c r="O56" i="44"/>
  <c r="O119" i="44" s="1"/>
  <c r="O181" i="44" s="1"/>
  <c r="AU120" i="26"/>
  <c r="AW120" i="27"/>
  <c r="U273" i="44"/>
  <c r="U275" i="42"/>
  <c r="L50" i="28"/>
  <c r="BJ68" i="201"/>
  <c r="L51" i="28"/>
  <c r="G455" i="182"/>
  <c r="H455" i="182" s="1"/>
  <c r="J455" i="182"/>
  <c r="J66" i="182"/>
  <c r="J390" i="182"/>
  <c r="G390" i="182"/>
  <c r="H390" i="182" s="1"/>
  <c r="G210" i="183"/>
  <c r="O141" i="125"/>
  <c r="I210" i="183"/>
  <c r="J210" i="183" s="1"/>
  <c r="G215" i="183"/>
  <c r="E52" i="136"/>
  <c r="G50" i="125"/>
  <c r="P50" i="125" s="1"/>
  <c r="G144" i="125"/>
  <c r="BP71" i="201"/>
  <c r="G472" i="182"/>
  <c r="H472" i="182" s="1"/>
  <c r="G408" i="182"/>
  <c r="H408" i="182" s="1"/>
  <c r="H279" i="183"/>
  <c r="L279" i="183"/>
  <c r="G279" i="183"/>
  <c r="BQ73" i="201"/>
  <c r="G42" i="125"/>
  <c r="P42" i="125" s="1"/>
  <c r="I442" i="182"/>
  <c r="AX124" i="201"/>
  <c r="E367" i="183"/>
  <c r="G138" i="125"/>
  <c r="BP20" i="201"/>
  <c r="BP115" i="201" s="1"/>
  <c r="AX133" i="201"/>
  <c r="AY115" i="201"/>
  <c r="G172" i="183"/>
  <c r="K172" i="183"/>
  <c r="H172" i="183"/>
  <c r="BJ70" i="201"/>
  <c r="BC121" i="201"/>
  <c r="AY121" i="201"/>
  <c r="BP28" i="201"/>
  <c r="BP141" i="201" s="1"/>
  <c r="AX141" i="201"/>
  <c r="L52" i="35"/>
  <c r="S33" i="35"/>
  <c r="AX123" i="201"/>
  <c r="BD123" i="201"/>
  <c r="J12" i="5"/>
  <c r="AY122" i="201"/>
  <c r="E51" i="35"/>
  <c r="G32" i="35" s="1"/>
  <c r="BD122" i="201"/>
  <c r="E209" i="183"/>
  <c r="I209" i="183" s="1"/>
  <c r="J209" i="183" s="1"/>
  <c r="K210" i="183"/>
  <c r="E382" i="183"/>
  <c r="K215" i="183"/>
  <c r="L210" i="183"/>
  <c r="G438" i="182"/>
  <c r="H438" i="182" s="1"/>
  <c r="H215" i="183"/>
  <c r="I438" i="182"/>
  <c r="L49" i="35"/>
  <c r="S30" i="35"/>
  <c r="E422" i="182"/>
  <c r="G422" i="182" s="1"/>
  <c r="H422" i="182" s="1"/>
  <c r="L215" i="183"/>
  <c r="I215" i="183"/>
  <c r="J215" i="183" s="1"/>
  <c r="AZ25" i="201"/>
  <c r="AX138" i="201"/>
  <c r="BD117" i="201"/>
  <c r="BQ22" i="201"/>
  <c r="AY135" i="201"/>
  <c r="AY117" i="201"/>
  <c r="I435" i="182"/>
  <c r="BQ29" i="201"/>
  <c r="AY142" i="201"/>
  <c r="AY124" i="201"/>
  <c r="E53" i="35"/>
  <c r="H92" i="35" s="1"/>
  <c r="S34" i="35"/>
  <c r="BB124" i="201"/>
  <c r="BB142" i="201"/>
  <c r="BD124" i="201"/>
  <c r="I56" i="28"/>
  <c r="G62" i="125"/>
  <c r="L25" i="28"/>
  <c r="K87" i="183"/>
  <c r="E89" i="183"/>
  <c r="H87" i="183"/>
  <c r="G87" i="183"/>
  <c r="BC116" i="201"/>
  <c r="AV398" i="26"/>
  <c r="AV401" i="26"/>
  <c r="AU247" i="26"/>
  <c r="AV247" i="26" s="1"/>
  <c r="AW247" i="26" s="1"/>
  <c r="N8" i="134"/>
  <c r="L6" i="28"/>
  <c r="O47" i="182"/>
  <c r="T100" i="6"/>
  <c r="AV404" i="26"/>
  <c r="F310" i="42"/>
  <c r="B407" i="26"/>
  <c r="B310" i="42"/>
  <c r="R278" i="42"/>
  <c r="Q310" i="42"/>
  <c r="O310" i="42"/>
  <c r="AU249" i="26"/>
  <c r="AV249" i="26" s="1"/>
  <c r="AW249" i="26" s="1"/>
  <c r="Q10" i="134"/>
  <c r="AU248" i="26"/>
  <c r="AV248" i="26" s="1"/>
  <c r="AW248" i="26" s="1"/>
  <c r="N9" i="134"/>
  <c r="O304" i="42"/>
  <c r="Q313" i="44"/>
  <c r="U281" i="44"/>
  <c r="AU252" i="26"/>
  <c r="AV252" i="26" s="1"/>
  <c r="AW252" i="26" s="1"/>
  <c r="AU250" i="27"/>
  <c r="AV250" i="27" s="1"/>
  <c r="AV313" i="27"/>
  <c r="Q312" i="42"/>
  <c r="AU251" i="26"/>
  <c r="AV251" i="26" s="1"/>
  <c r="AW251" i="26" s="1"/>
  <c r="K12" i="9"/>
  <c r="N12" i="134"/>
  <c r="P274" i="42"/>
  <c r="AU245" i="26"/>
  <c r="AV245" i="26" s="1"/>
  <c r="AW245" i="26" s="1"/>
  <c r="Q6" i="134"/>
  <c r="AV308" i="27"/>
  <c r="AU315" i="27"/>
  <c r="AU246" i="26"/>
  <c r="AV246" i="26" s="1"/>
  <c r="AW246" i="26" s="1"/>
  <c r="AT315" i="27"/>
  <c r="P25" i="44"/>
  <c r="D91" i="185"/>
  <c r="H110" i="196"/>
  <c r="K110" i="196" s="1"/>
  <c r="E28" i="185"/>
  <c r="L28" i="185" s="1"/>
  <c r="I28" i="185"/>
  <c r="AW184" i="27"/>
  <c r="E30" i="185"/>
  <c r="L30" i="185" s="1"/>
  <c r="AW124" i="27"/>
  <c r="G63" i="185"/>
  <c r="AU188" i="26"/>
  <c r="AW185" i="27"/>
  <c r="E29" i="185"/>
  <c r="P28" i="44"/>
  <c r="G60" i="185"/>
  <c r="AW183" i="27"/>
  <c r="E11" i="185"/>
  <c r="L11" i="185" s="1"/>
  <c r="E25" i="185"/>
  <c r="L25" i="185" s="1"/>
  <c r="AW181" i="27"/>
  <c r="H106" i="196"/>
  <c r="K106" i="196" s="1"/>
  <c r="G57" i="185"/>
  <c r="J49" i="155"/>
  <c r="L49" i="155" s="1"/>
  <c r="H51" i="155"/>
  <c r="AW117" i="27"/>
  <c r="P22" i="44"/>
  <c r="AU118" i="26"/>
  <c r="P22" i="42"/>
  <c r="I113" i="196"/>
  <c r="N54" i="42"/>
  <c r="N116" i="42" s="1"/>
  <c r="N178" i="42" s="1"/>
  <c r="AD118" i="26"/>
  <c r="AD181" i="26" s="1"/>
  <c r="AF181" i="26" s="1"/>
  <c r="BD181" i="26" s="1"/>
  <c r="M54" i="42"/>
  <c r="M116" i="42" s="1"/>
  <c r="M178" i="42" s="1"/>
  <c r="G30" i="44"/>
  <c r="AY54" i="27"/>
  <c r="E23" i="185"/>
  <c r="L23" i="185" s="1"/>
  <c r="I7" i="185"/>
  <c r="E7" i="185"/>
  <c r="L7" i="185" s="1"/>
  <c r="I59" i="196"/>
  <c r="Q59" i="196" s="1"/>
  <c r="I22" i="185"/>
  <c r="E6" i="185"/>
  <c r="L6" i="185" s="1"/>
  <c r="E22" i="185"/>
  <c r="L22" i="185" s="1"/>
  <c r="P21" i="44"/>
  <c r="AW178" i="27"/>
  <c r="I59" i="195"/>
  <c r="Q59" i="195" s="1"/>
  <c r="G39" i="185"/>
  <c r="I44" i="195" s="1"/>
  <c r="AU62" i="26"/>
  <c r="AW62" i="26"/>
  <c r="AT62" i="26"/>
  <c r="BJ74" i="201"/>
  <c r="O161" i="125"/>
  <c r="W104" i="201"/>
  <c r="Z99" i="201"/>
  <c r="BD116" i="201"/>
  <c r="D14" i="182"/>
  <c r="J11" i="5"/>
  <c r="BM124" i="5"/>
  <c r="D10" i="5"/>
  <c r="J7" i="5"/>
  <c r="H99" i="125"/>
  <c r="P47" i="125"/>
  <c r="H60" i="125"/>
  <c r="J44" i="5"/>
  <c r="BA124" i="5"/>
  <c r="J48" i="136"/>
  <c r="E318" i="183"/>
  <c r="U107" i="201"/>
  <c r="U106" i="201"/>
  <c r="AA107" i="201"/>
  <c r="AA106" i="201"/>
  <c r="AU123" i="201"/>
  <c r="Z105" i="201"/>
  <c r="H107" i="201"/>
  <c r="L68" i="125" s="1"/>
  <c r="AP122" i="201"/>
  <c r="P109" i="44"/>
  <c r="P171" i="44" s="1"/>
  <c r="P296" i="44"/>
  <c r="AZ386" i="26"/>
  <c r="AZ388" i="26"/>
  <c r="AV361" i="26"/>
  <c r="E10" i="19"/>
  <c r="Q10" i="19" s="1"/>
  <c r="R293" i="44"/>
  <c r="P141" i="44"/>
  <c r="S141" i="44"/>
  <c r="T137" i="44"/>
  <c r="R141" i="44"/>
  <c r="U79" i="44"/>
  <c r="AW184" i="26"/>
  <c r="AW181" i="26"/>
  <c r="AW188" i="26"/>
  <c r="U44" i="44"/>
  <c r="R44" i="44"/>
  <c r="R41" i="44"/>
  <c r="R104" i="44"/>
  <c r="P43" i="44"/>
  <c r="P106" i="44" s="1"/>
  <c r="P168" i="44" s="1"/>
  <c r="S170" i="44"/>
  <c r="O47" i="44"/>
  <c r="R46" i="44"/>
  <c r="U107" i="44"/>
  <c r="P44" i="44"/>
  <c r="P107" i="44" s="1"/>
  <c r="P169" i="44" s="1"/>
  <c r="AW174" i="26"/>
  <c r="D113" i="196"/>
  <c r="N13" i="134"/>
  <c r="H14" i="134"/>
  <c r="N14" i="134" s="1"/>
  <c r="S78" i="42"/>
  <c r="S108" i="42"/>
  <c r="P108" i="42"/>
  <c r="P170" i="42" s="1"/>
  <c r="R78" i="42"/>
  <c r="AV110" i="27"/>
  <c r="BA300" i="27"/>
  <c r="G59" i="6" s="1"/>
  <c r="AZ294" i="27"/>
  <c r="AZ293" i="27"/>
  <c r="CR39" i="190" s="1"/>
  <c r="AX300" i="27"/>
  <c r="D59" i="6" s="1"/>
  <c r="AV226" i="27"/>
  <c r="AU236" i="27"/>
  <c r="AV236" i="27" s="1"/>
  <c r="U78" i="42"/>
  <c r="O78" i="195"/>
  <c r="N32" i="195" s="1"/>
  <c r="S162" i="42"/>
  <c r="P99" i="42"/>
  <c r="P161" i="42" s="1"/>
  <c r="P78" i="42"/>
  <c r="AY166" i="27"/>
  <c r="S170" i="42"/>
  <c r="AY170" i="27"/>
  <c r="F12" i="195"/>
  <c r="N88" i="195"/>
  <c r="O103" i="195"/>
  <c r="O113" i="195" s="1"/>
  <c r="I12" i="196"/>
  <c r="Q131" i="185"/>
  <c r="Z131" i="185" s="1"/>
  <c r="AH131" i="185" s="1"/>
  <c r="M70" i="185"/>
  <c r="Q48" i="185"/>
  <c r="N43" i="196"/>
  <c r="N53" i="196" s="1"/>
  <c r="G16" i="196" s="1"/>
  <c r="O10" i="150"/>
  <c r="BJ60" i="201"/>
  <c r="BR52" i="201"/>
  <c r="BI73" i="201"/>
  <c r="BJ69" i="201"/>
  <c r="BJ75" i="201"/>
  <c r="N106" i="201"/>
  <c r="AF86" i="201"/>
  <c r="X177" i="170"/>
  <c r="X183" i="170"/>
  <c r="X182" i="170"/>
  <c r="X180" i="170"/>
  <c r="W185" i="170"/>
  <c r="X178" i="170"/>
  <c r="X184" i="170"/>
  <c r="X176" i="170"/>
  <c r="N102" i="201"/>
  <c r="AF87" i="201"/>
  <c r="Z100" i="201"/>
  <c r="BI74" i="201"/>
  <c r="BP69" i="201"/>
  <c r="N105" i="201"/>
  <c r="AF89" i="201"/>
  <c r="K67" i="201"/>
  <c r="AC43" i="201"/>
  <c r="AG43" i="201" s="1"/>
  <c r="BQ75" i="201"/>
  <c r="AC44" i="201"/>
  <c r="AG44" i="201" s="1"/>
  <c r="Z104" i="201"/>
  <c r="AC42" i="201"/>
  <c r="AG42" i="201" s="1"/>
  <c r="V72" i="201"/>
  <c r="V71" i="201"/>
  <c r="V70" i="201"/>
  <c r="J76" i="201"/>
  <c r="V69" i="201"/>
  <c r="AA100" i="201"/>
  <c r="BJ45" i="201"/>
  <c r="V68" i="201"/>
  <c r="AX99" i="201"/>
  <c r="V67" i="201"/>
  <c r="AR76" i="201"/>
  <c r="AF25" i="201"/>
  <c r="BQ120" i="201"/>
  <c r="BR21" i="201"/>
  <c r="BQ116" i="201"/>
  <c r="BQ134" i="201"/>
  <c r="AZ116" i="201"/>
  <c r="AZ134" i="201"/>
  <c r="J35" i="132"/>
  <c r="AY137" i="201"/>
  <c r="AY119" i="201"/>
  <c r="BM60" i="201"/>
  <c r="K183" i="183"/>
  <c r="BD137" i="201"/>
  <c r="BD119" i="201"/>
  <c r="AX119" i="201"/>
  <c r="AX137" i="201"/>
  <c r="BB137" i="201"/>
  <c r="O9" i="150"/>
  <c r="N309" i="42"/>
  <c r="P277" i="42"/>
  <c r="S272" i="42"/>
  <c r="O8" i="150"/>
  <c r="O308" i="44"/>
  <c r="E47" i="35"/>
  <c r="I86" i="35" s="1"/>
  <c r="AQ136" i="201"/>
  <c r="AQ118" i="201"/>
  <c r="AX118" i="201"/>
  <c r="AX136" i="201"/>
  <c r="AU118" i="201"/>
  <c r="AU136" i="201"/>
  <c r="BD136" i="201"/>
  <c r="BD118" i="201"/>
  <c r="G140" i="183"/>
  <c r="BQ23" i="201"/>
  <c r="AY136" i="201"/>
  <c r="AY118" i="201"/>
  <c r="L28" i="35"/>
  <c r="AZ86" i="201"/>
  <c r="BG60" i="201"/>
  <c r="W93" i="201"/>
  <c r="BG45" i="201"/>
  <c r="AZ69" i="201"/>
  <c r="BC30" i="201"/>
  <c r="BC143" i="201" s="1"/>
  <c r="J101" i="201"/>
  <c r="BI71" i="201"/>
  <c r="BR43" i="201"/>
  <c r="V102" i="201"/>
  <c r="BQ70" i="201"/>
  <c r="BP67" i="201"/>
  <c r="AE104" i="201"/>
  <c r="AF91" i="201"/>
  <c r="AF90" i="201"/>
  <c r="BI72" i="201"/>
  <c r="X93" i="201"/>
  <c r="BH60" i="201"/>
  <c r="AF85" i="201"/>
  <c r="AF84" i="201"/>
  <c r="Z93" i="201"/>
  <c r="BQ45" i="201"/>
  <c r="AD93" i="201"/>
  <c r="AF83" i="201"/>
  <c r="AW38" i="201"/>
  <c r="BA38" i="201" s="1"/>
  <c r="W16" i="201"/>
  <c r="BQ86" i="201"/>
  <c r="BP25" i="201"/>
  <c r="BI70" i="201"/>
  <c r="AE93" i="201"/>
  <c r="BI60" i="201"/>
  <c r="BR36" i="201"/>
  <c r="AE107" i="201"/>
  <c r="AE102" i="201"/>
  <c r="AE101" i="201"/>
  <c r="U104" i="201"/>
  <c r="BQ92" i="201"/>
  <c r="W103" i="201"/>
  <c r="AD99" i="201"/>
  <c r="AD98" i="201"/>
  <c r="W102" i="201"/>
  <c r="BQ85" i="201"/>
  <c r="BL45" i="201"/>
  <c r="AE103" i="201"/>
  <c r="AD100" i="201"/>
  <c r="J29" i="201"/>
  <c r="J107" i="201" s="1"/>
  <c r="AZ26" i="201"/>
  <c r="BQ26" i="201"/>
  <c r="AX105" i="201"/>
  <c r="BP90" i="201"/>
  <c r="AZ27" i="201"/>
  <c r="BQ27" i="201"/>
  <c r="AX100" i="201"/>
  <c r="BQ89" i="201"/>
  <c r="BQ83" i="201"/>
  <c r="AU106" i="201"/>
  <c r="BP29" i="201"/>
  <c r="BL93" i="201"/>
  <c r="X99" i="201"/>
  <c r="W99" i="201"/>
  <c r="U93" i="201"/>
  <c r="AF88" i="201"/>
  <c r="BM45" i="201"/>
  <c r="X104" i="201"/>
  <c r="BI45" i="201"/>
  <c r="AA93" i="201"/>
  <c r="X101" i="201"/>
  <c r="AA99" i="201"/>
  <c r="Z102" i="201"/>
  <c r="U102" i="201"/>
  <c r="BQ91" i="201"/>
  <c r="Z101" i="201"/>
  <c r="U99" i="201"/>
  <c r="U100" i="201"/>
  <c r="U103" i="201"/>
  <c r="V93" i="201"/>
  <c r="AW35" i="201"/>
  <c r="BA35" i="201" s="1"/>
  <c r="N76" i="201"/>
  <c r="J99" i="201"/>
  <c r="AZ85" i="201"/>
  <c r="AZ87" i="201"/>
  <c r="BP87" i="201"/>
  <c r="BQ84" i="201"/>
  <c r="BQ88" i="201"/>
  <c r="BP23" i="201"/>
  <c r="AY102" i="201"/>
  <c r="BQ24" i="201"/>
  <c r="BQ20" i="201"/>
  <c r="BR37" i="201"/>
  <c r="BP45" i="201"/>
  <c r="AE98" i="201"/>
  <c r="BQ87" i="201"/>
  <c r="AD106" i="201"/>
  <c r="X100" i="201"/>
  <c r="W30" i="201"/>
  <c r="BQ90" i="201"/>
  <c r="X98" i="201"/>
  <c r="E62" i="183"/>
  <c r="D5" i="5"/>
  <c r="E482" i="182"/>
  <c r="E16" i="136"/>
  <c r="H66" i="182"/>
  <c r="G66" i="182"/>
  <c r="J29" i="5"/>
  <c r="E56" i="136"/>
  <c r="AZ124" i="5"/>
  <c r="E490" i="182"/>
  <c r="E158" i="183"/>
  <c r="G69" i="35"/>
  <c r="M70" i="35" s="1"/>
  <c r="O69" i="35" s="1"/>
  <c r="P69" i="35" s="1"/>
  <c r="G63" i="125"/>
  <c r="F89" i="35"/>
  <c r="E15" i="136"/>
  <c r="D13" i="5"/>
  <c r="G66" i="35"/>
  <c r="H66" i="35" s="1"/>
  <c r="P45" i="125"/>
  <c r="P222" i="183"/>
  <c r="Q153" i="125"/>
  <c r="H47" i="125"/>
  <c r="E12" i="136"/>
  <c r="BL73" i="201"/>
  <c r="BL71" i="201"/>
  <c r="BL68" i="201"/>
  <c r="BL74" i="201"/>
  <c r="BP60" i="201"/>
  <c r="BP66" i="201"/>
  <c r="BR50" i="201"/>
  <c r="K86" i="201"/>
  <c r="O86" i="201" s="1"/>
  <c r="BQ67" i="201"/>
  <c r="BR54" i="201"/>
  <c r="BP70" i="201"/>
  <c r="BL60" i="201"/>
  <c r="BR56" i="201"/>
  <c r="BP72" i="201"/>
  <c r="AZ74" i="201"/>
  <c r="AZ70" i="201"/>
  <c r="AZ23" i="201"/>
  <c r="G100" i="201"/>
  <c r="K92" i="201"/>
  <c r="O92" i="201" s="1"/>
  <c r="N99" i="201"/>
  <c r="BL72" i="201"/>
  <c r="BL75" i="201"/>
  <c r="BQ72" i="201"/>
  <c r="BP74" i="201"/>
  <c r="BR58" i="201"/>
  <c r="BQ66" i="201"/>
  <c r="BQ60" i="201"/>
  <c r="AW40" i="201"/>
  <c r="BA40" i="201" s="1"/>
  <c r="BL69" i="201"/>
  <c r="BL66" i="201"/>
  <c r="BJ71" i="201"/>
  <c r="BP73" i="201"/>
  <c r="BH151" i="201"/>
  <c r="BH157" i="201"/>
  <c r="BH153" i="201"/>
  <c r="BH152" i="201"/>
  <c r="BG73" i="201"/>
  <c r="BG72" i="201"/>
  <c r="BG69" i="201"/>
  <c r="BG70" i="201"/>
  <c r="BG74" i="201"/>
  <c r="BH156" i="201"/>
  <c r="BG75" i="201"/>
  <c r="BG71" i="201"/>
  <c r="BG68" i="201"/>
  <c r="BH150" i="201"/>
  <c r="BG67" i="201"/>
  <c r="AW41" i="201"/>
  <c r="AX103" i="201"/>
  <c r="N101" i="201"/>
  <c r="AZ75" i="201"/>
  <c r="N100" i="201"/>
  <c r="K87" i="201"/>
  <c r="O87" i="201" s="1"/>
  <c r="N104" i="201"/>
  <c r="P30" i="201"/>
  <c r="AS67" i="201"/>
  <c r="J48" i="132" s="1"/>
  <c r="AZ84" i="201"/>
  <c r="AY99" i="201"/>
  <c r="G76" i="201"/>
  <c r="I106" i="201"/>
  <c r="AZ71" i="201"/>
  <c r="N103" i="201"/>
  <c r="AZ29" i="201"/>
  <c r="G102" i="201"/>
  <c r="AX107" i="201"/>
  <c r="AO93" i="201"/>
  <c r="E93" i="35"/>
  <c r="I24" i="5"/>
  <c r="M24" i="5" s="1"/>
  <c r="N11" i="150"/>
  <c r="O11" i="150"/>
  <c r="K100" i="6"/>
  <c r="Q311" i="42"/>
  <c r="O7" i="150"/>
  <c r="Q307" i="42"/>
  <c r="Q305" i="44"/>
  <c r="Q282" i="42"/>
  <c r="H68" i="28"/>
  <c r="J68" i="28" s="1"/>
  <c r="I456" i="182"/>
  <c r="AZ88" i="201"/>
  <c r="H49" i="125"/>
  <c r="J42" i="5"/>
  <c r="P49" i="125"/>
  <c r="AT76" i="201"/>
  <c r="L72" i="35"/>
  <c r="I91" i="35"/>
  <c r="F91" i="35"/>
  <c r="J91" i="35" s="1"/>
  <c r="G33" i="35"/>
  <c r="K72" i="35"/>
  <c r="H91" i="35"/>
  <c r="F52" i="35"/>
  <c r="N16" i="35"/>
  <c r="M33" i="35"/>
  <c r="J43" i="5"/>
  <c r="L13" i="5"/>
  <c r="G142" i="125"/>
  <c r="E49" i="35"/>
  <c r="K69" i="35" s="1"/>
  <c r="L24" i="28"/>
  <c r="G31" i="183"/>
  <c r="E91" i="182"/>
  <c r="H31" i="183"/>
  <c r="E74" i="183"/>
  <c r="H74" i="183" s="1"/>
  <c r="I31" i="183"/>
  <c r="J31" i="183" s="1"/>
  <c r="E369" i="182"/>
  <c r="AY93" i="201"/>
  <c r="AY103" i="201"/>
  <c r="O140" i="125"/>
  <c r="E189" i="183"/>
  <c r="L189" i="183" s="1"/>
  <c r="E185" i="183"/>
  <c r="K185" i="183" s="1"/>
  <c r="L183" i="183"/>
  <c r="H183" i="183"/>
  <c r="AW39" i="201"/>
  <c r="BA39" i="201" s="1"/>
  <c r="L47" i="28"/>
  <c r="G8" i="5"/>
  <c r="AX101" i="201"/>
  <c r="H45" i="125"/>
  <c r="AO76" i="201"/>
  <c r="G111" i="183"/>
  <c r="D365" i="183"/>
  <c r="J19" i="136"/>
  <c r="G61" i="125"/>
  <c r="AW37" i="201"/>
  <c r="BA37" i="201" s="1"/>
  <c r="L20" i="28"/>
  <c r="N13" i="150"/>
  <c r="O13" i="150"/>
  <c r="L105" i="28"/>
  <c r="J442" i="182"/>
  <c r="H101" i="125"/>
  <c r="H45" i="5"/>
  <c r="I12" i="185"/>
  <c r="O66" i="155"/>
  <c r="P66" i="155" s="1"/>
  <c r="M98" i="195"/>
  <c r="G7" i="195" s="1"/>
  <c r="AZ92" i="27"/>
  <c r="P81" i="195" s="1"/>
  <c r="C32" i="156"/>
  <c r="N58" i="42"/>
  <c r="N120" i="42" s="1"/>
  <c r="N182" i="42" s="1"/>
  <c r="O58" i="44"/>
  <c r="O121" i="44" s="1"/>
  <c r="O183" i="44" s="1"/>
  <c r="I66" i="155"/>
  <c r="E66" i="155"/>
  <c r="G66" i="155"/>
  <c r="C66" i="155"/>
  <c r="Z2" i="191"/>
  <c r="AP181" i="27"/>
  <c r="AR181" i="27" s="1"/>
  <c r="AR119" i="27"/>
  <c r="I9" i="185"/>
  <c r="G32" i="156"/>
  <c r="E32" i="156"/>
  <c r="I32" i="156"/>
  <c r="Z3" i="191"/>
  <c r="R64" i="156"/>
  <c r="S64" i="156" s="1"/>
  <c r="I64" i="156"/>
  <c r="E64" i="156"/>
  <c r="K64" i="156"/>
  <c r="G64" i="156"/>
  <c r="C64" i="156"/>
  <c r="R32" i="156"/>
  <c r="S32" i="156" s="1"/>
  <c r="K34" i="155"/>
  <c r="I34" i="155"/>
  <c r="E34" i="155"/>
  <c r="G34" i="155"/>
  <c r="C34" i="155"/>
  <c r="O34" i="155"/>
  <c r="P34" i="155" s="1"/>
  <c r="H35" i="132"/>
  <c r="Z17" i="157"/>
  <c r="I35" i="132" s="1"/>
  <c r="F35" i="132"/>
  <c r="T17" i="157"/>
  <c r="G35" i="132" s="1"/>
  <c r="G17" i="157"/>
  <c r="C35" i="132" s="1"/>
  <c r="B35" i="132"/>
  <c r="AB7" i="191"/>
  <c r="M6" i="191"/>
  <c r="AB5" i="191"/>
  <c r="Q53" i="42"/>
  <c r="Q115" i="42" s="1"/>
  <c r="Q177" i="42" s="1"/>
  <c r="AR156" i="27"/>
  <c r="W181" i="27"/>
  <c r="X181" i="27" s="1"/>
  <c r="X119" i="27"/>
  <c r="AP179" i="27"/>
  <c r="BA403" i="26"/>
  <c r="L144" i="6" s="1"/>
  <c r="Q144" i="6" s="1"/>
  <c r="FJ11" i="167"/>
  <c r="I63" i="195"/>
  <c r="Q63" i="195" s="1"/>
  <c r="O13" i="134"/>
  <c r="V117" i="27"/>
  <c r="X117" i="27" s="1"/>
  <c r="AS122" i="27"/>
  <c r="AS121" i="27"/>
  <c r="J116" i="6"/>
  <c r="FL13" i="167"/>
  <c r="L114" i="6"/>
  <c r="FM11" i="167"/>
  <c r="H400" i="26"/>
  <c r="E156" i="44"/>
  <c r="AF401" i="26"/>
  <c r="BD401" i="26" s="1"/>
  <c r="D31" i="33"/>
  <c r="G26" i="33"/>
  <c r="M309" i="44"/>
  <c r="M304" i="44"/>
  <c r="S275" i="44"/>
  <c r="J27" i="9"/>
  <c r="FI12" i="167"/>
  <c r="Q309" i="44"/>
  <c r="J108" i="6"/>
  <c r="FL5" i="167"/>
  <c r="L31" i="183"/>
  <c r="R150" i="42"/>
  <c r="U146" i="42"/>
  <c r="L148" i="42"/>
  <c r="X313" i="27"/>
  <c r="G282" i="42"/>
  <c r="AY52" i="26"/>
  <c r="K310" i="42"/>
  <c r="G52" i="44"/>
  <c r="G115" i="44" s="1"/>
  <c r="I58" i="42"/>
  <c r="I120" i="42" s="1"/>
  <c r="I182" i="42" s="1"/>
  <c r="I68" i="28"/>
  <c r="N57" i="44"/>
  <c r="AW407" i="26"/>
  <c r="B156" i="44"/>
  <c r="W115" i="27"/>
  <c r="W177" i="27" s="1"/>
  <c r="L310" i="27"/>
  <c r="R85" i="42"/>
  <c r="AF310" i="27"/>
  <c r="BE310" i="27" s="1"/>
  <c r="C30" i="42"/>
  <c r="O30" i="42"/>
  <c r="O62" i="27"/>
  <c r="L313" i="27"/>
  <c r="C52" i="44"/>
  <c r="C115" i="44" s="1"/>
  <c r="F57" i="42"/>
  <c r="F119" i="42" s="1"/>
  <c r="F181" i="42" s="1"/>
  <c r="AS116" i="27"/>
  <c r="P136" i="125"/>
  <c r="H16" i="132"/>
  <c r="AR93" i="201"/>
  <c r="M108" i="201"/>
  <c r="O67" i="201"/>
  <c r="K72" i="201"/>
  <c r="O70" i="201"/>
  <c r="K88" i="201"/>
  <c r="O88" i="201" s="1"/>
  <c r="G93" i="201"/>
  <c r="L108" i="201"/>
  <c r="N107" i="201"/>
  <c r="K70" i="201"/>
  <c r="O41" i="201"/>
  <c r="O72" i="201" s="1"/>
  <c r="K89" i="201"/>
  <c r="O89" i="201" s="1"/>
  <c r="K91" i="201"/>
  <c r="O91" i="201" s="1"/>
  <c r="G101" i="201"/>
  <c r="G104" i="201"/>
  <c r="G99" i="201"/>
  <c r="AV71" i="201"/>
  <c r="N93" i="201"/>
  <c r="J93" i="201"/>
  <c r="O60" i="201"/>
  <c r="K60" i="201"/>
  <c r="H332" i="183"/>
  <c r="D30" i="201"/>
  <c r="G6" i="5"/>
  <c r="D29" i="183"/>
  <c r="D12" i="183"/>
  <c r="D55" i="35"/>
  <c r="AZ338" i="26"/>
  <c r="BB298" i="26"/>
  <c r="D327" i="26"/>
  <c r="D321" i="26"/>
  <c r="E328" i="26"/>
  <c r="E323" i="26"/>
  <c r="D324" i="26"/>
  <c r="E319" i="26"/>
  <c r="D325" i="26"/>
  <c r="D322" i="26"/>
  <c r="E326" i="26"/>
  <c r="E320" i="26"/>
  <c r="N111" i="26"/>
  <c r="N164" i="26"/>
  <c r="P101" i="26"/>
  <c r="L46" i="44"/>
  <c r="L109" i="44" s="1"/>
  <c r="L171" i="44" s="1"/>
  <c r="AN109" i="26"/>
  <c r="AL172" i="26"/>
  <c r="AN172" i="26" s="1"/>
  <c r="B108" i="44"/>
  <c r="D45" i="44"/>
  <c r="Q111" i="26"/>
  <c r="D108" i="26"/>
  <c r="B171" i="26"/>
  <c r="O111" i="26"/>
  <c r="O164" i="26"/>
  <c r="U290" i="44"/>
  <c r="O299" i="44"/>
  <c r="P41" i="44"/>
  <c r="P104" i="44" s="1"/>
  <c r="S109" i="44"/>
  <c r="L275" i="44"/>
  <c r="AM120" i="26"/>
  <c r="AM183" i="26" s="1"/>
  <c r="W407" i="26"/>
  <c r="L153" i="44"/>
  <c r="S147" i="44"/>
  <c r="AI122" i="26"/>
  <c r="AI185" i="26" s="1"/>
  <c r="F94" i="44"/>
  <c r="H153" i="44"/>
  <c r="H154" i="44"/>
  <c r="D158" i="6"/>
  <c r="E14" i="9"/>
  <c r="AX108" i="26"/>
  <c r="AX109" i="26"/>
  <c r="BA110" i="26"/>
  <c r="L99" i="185" s="1"/>
  <c r="BA106" i="26"/>
  <c r="L95" i="185" s="1"/>
  <c r="BA102" i="26"/>
  <c r="L91" i="185" s="1"/>
  <c r="AY167" i="26"/>
  <c r="AZ231" i="26"/>
  <c r="BA231" i="26" s="1"/>
  <c r="E26" i="9"/>
  <c r="G26" i="9" s="1"/>
  <c r="H10" i="19" s="1"/>
  <c r="T10" i="19" s="1"/>
  <c r="S87" i="44"/>
  <c r="J58" i="44"/>
  <c r="J121" i="44" s="1"/>
  <c r="J183" i="44" s="1"/>
  <c r="L403" i="26"/>
  <c r="R276" i="44"/>
  <c r="O329" i="26"/>
  <c r="P329" i="26" s="1"/>
  <c r="P319" i="26"/>
  <c r="Q319" i="26" s="1"/>
  <c r="AY108" i="26"/>
  <c r="AU238" i="26"/>
  <c r="AV238" i="26" s="1"/>
  <c r="AW238" i="26" s="1"/>
  <c r="AA238" i="26"/>
  <c r="AB238" i="26" s="1"/>
  <c r="AC238" i="26" s="1"/>
  <c r="AB228" i="26"/>
  <c r="AC228" i="26" s="1"/>
  <c r="AN228" i="26"/>
  <c r="AO228" i="26" s="1"/>
  <c r="AM238" i="26"/>
  <c r="AN238" i="26" s="1"/>
  <c r="AO238" i="26" s="1"/>
  <c r="H228" i="26"/>
  <c r="I228" i="26" s="1"/>
  <c r="G238" i="26"/>
  <c r="H238" i="26" s="1"/>
  <c r="I238" i="26" s="1"/>
  <c r="AY106" i="26"/>
  <c r="AT174" i="26"/>
  <c r="AV164" i="26"/>
  <c r="AL170" i="26"/>
  <c r="AN170" i="26" s="1"/>
  <c r="AN107" i="26"/>
  <c r="Z165" i="26"/>
  <c r="AB165" i="26" s="1"/>
  <c r="AB102" i="26"/>
  <c r="Z111" i="26"/>
  <c r="Z164" i="26"/>
  <c r="AB101" i="26"/>
  <c r="C164" i="26"/>
  <c r="D164" i="26" s="1"/>
  <c r="C111" i="26"/>
  <c r="AE238" i="26"/>
  <c r="AF238" i="26" s="1"/>
  <c r="AG238" i="26" s="1"/>
  <c r="BE238" i="26" s="1"/>
  <c r="Z171" i="26"/>
  <c r="AB171" i="26" s="1"/>
  <c r="AB108" i="26"/>
  <c r="P102" i="26"/>
  <c r="N165" i="26"/>
  <c r="P165" i="26" s="1"/>
  <c r="AO164" i="26"/>
  <c r="AO174" i="26" s="1"/>
  <c r="AO111" i="26"/>
  <c r="AW112" i="26" s="1"/>
  <c r="D101" i="26"/>
  <c r="P45" i="44"/>
  <c r="P108" i="44" s="1"/>
  <c r="P170" i="44" s="1"/>
  <c r="N108" i="44"/>
  <c r="N170" i="44" s="1"/>
  <c r="N172" i="44" s="1"/>
  <c r="AN108" i="26"/>
  <c r="AL171" i="26"/>
  <c r="AN171" i="26" s="1"/>
  <c r="L44" i="44"/>
  <c r="L107" i="44" s="1"/>
  <c r="L169" i="44" s="1"/>
  <c r="N169" i="26"/>
  <c r="P169" i="26" s="1"/>
  <c r="P106" i="26"/>
  <c r="B169" i="26"/>
  <c r="D106" i="26"/>
  <c r="B168" i="26"/>
  <c r="D168" i="26" s="1"/>
  <c r="AX105" i="26"/>
  <c r="D105" i="26"/>
  <c r="B167" i="26"/>
  <c r="D104" i="26"/>
  <c r="G329" i="26"/>
  <c r="H329" i="26" s="1"/>
  <c r="I329" i="26" s="1"/>
  <c r="D170" i="26"/>
  <c r="P172" i="26"/>
  <c r="D107" i="26"/>
  <c r="D165" i="26"/>
  <c r="AC164" i="26"/>
  <c r="AC111" i="26"/>
  <c r="Q48" i="26"/>
  <c r="L164" i="26"/>
  <c r="AJ329" i="26"/>
  <c r="AI238" i="26"/>
  <c r="AJ228" i="26"/>
  <c r="AK228" i="26" s="1"/>
  <c r="U39" i="44"/>
  <c r="R166" i="44"/>
  <c r="K100" i="44"/>
  <c r="K162" i="44" s="1"/>
  <c r="D46" i="44"/>
  <c r="D109" i="44" s="1"/>
  <c r="G57" i="44"/>
  <c r="G120" i="44" s="1"/>
  <c r="G182" i="44" s="1"/>
  <c r="AX54" i="26"/>
  <c r="U293" i="44"/>
  <c r="U203" i="44"/>
  <c r="T260" i="44"/>
  <c r="L290" i="44"/>
  <c r="H296" i="44"/>
  <c r="R297" i="44"/>
  <c r="Q47" i="44"/>
  <c r="H41" i="44"/>
  <c r="H104" i="44" s="1"/>
  <c r="H166" i="44" s="1"/>
  <c r="S108" i="44"/>
  <c r="B47" i="44"/>
  <c r="L203" i="44"/>
  <c r="G47" i="44"/>
  <c r="O100" i="44"/>
  <c r="O162" i="44" s="1"/>
  <c r="S37" i="44"/>
  <c r="L37" i="44"/>
  <c r="L100" i="44" s="1"/>
  <c r="D43" i="44"/>
  <c r="D106" i="44" s="1"/>
  <c r="N47" i="44"/>
  <c r="K307" i="44"/>
  <c r="L216" i="44"/>
  <c r="K248" i="44" s="1"/>
  <c r="L248" i="44" s="1"/>
  <c r="M248" i="44" s="1"/>
  <c r="C249" i="26"/>
  <c r="D249" i="26" s="1"/>
  <c r="E249" i="26" s="1"/>
  <c r="H92" i="44"/>
  <c r="M55" i="44"/>
  <c r="M118" i="44" s="1"/>
  <c r="M180" i="44" s="1"/>
  <c r="G53" i="44"/>
  <c r="G116" i="44" s="1"/>
  <c r="G178" i="44" s="1"/>
  <c r="H26" i="44"/>
  <c r="AG407" i="26"/>
  <c r="BE407" i="26" s="1"/>
  <c r="Y159" i="26"/>
  <c r="X399" i="26"/>
  <c r="M407" i="26"/>
  <c r="S155" i="44"/>
  <c r="H152" i="44"/>
  <c r="S122" i="26"/>
  <c r="S185" i="26" s="1"/>
  <c r="H28" i="44"/>
  <c r="Q30" i="44"/>
  <c r="E313" i="44"/>
  <c r="G56" i="44"/>
  <c r="G119" i="44" s="1"/>
  <c r="G181" i="44" s="1"/>
  <c r="Q60" i="44"/>
  <c r="Q123" i="44" s="1"/>
  <c r="Q185" i="44" s="1"/>
  <c r="S103" i="6"/>
  <c r="O74" i="196"/>
  <c r="N28" i="196" s="1"/>
  <c r="AF103" i="185"/>
  <c r="H151" i="44"/>
  <c r="G76" i="196"/>
  <c r="F30" i="196" s="1"/>
  <c r="S41" i="44"/>
  <c r="P40" i="44"/>
  <c r="P103" i="44" s="1"/>
  <c r="P165" i="44" s="1"/>
  <c r="AY101" i="26"/>
  <c r="AS174" i="26"/>
  <c r="P42" i="44"/>
  <c r="P105" i="44" s="1"/>
  <c r="P167" i="44" s="1"/>
  <c r="S168" i="44"/>
  <c r="AV144" i="26"/>
  <c r="E23" i="9"/>
  <c r="AY171" i="26"/>
  <c r="AY392" i="26"/>
  <c r="E148" i="6" s="1"/>
  <c r="AY173" i="26"/>
  <c r="R153" i="44"/>
  <c r="R151" i="44"/>
  <c r="AG122" i="26"/>
  <c r="BE122" i="26" s="1"/>
  <c r="AV392" i="26"/>
  <c r="T140" i="44"/>
  <c r="S329" i="26"/>
  <c r="T329" i="26" s="1"/>
  <c r="U329" i="26" s="1"/>
  <c r="T136" i="44"/>
  <c r="AY110" i="26"/>
  <c r="AB207" i="26"/>
  <c r="D207" i="26"/>
  <c r="C329" i="26"/>
  <c r="D329" i="26" s="1"/>
  <c r="E329" i="26" s="1"/>
  <c r="P107" i="26"/>
  <c r="N170" i="26"/>
  <c r="P170" i="26" s="1"/>
  <c r="N166" i="26"/>
  <c r="P166" i="26" s="1"/>
  <c r="P103" i="26"/>
  <c r="E164" i="26"/>
  <c r="E111" i="26"/>
  <c r="L41" i="44"/>
  <c r="L104" i="44" s="1"/>
  <c r="L166" i="44" s="1"/>
  <c r="K104" i="44"/>
  <c r="K166" i="44" s="1"/>
  <c r="D41" i="44"/>
  <c r="D104" i="44" s="1"/>
  <c r="D166" i="44" s="1"/>
  <c r="C104" i="44"/>
  <c r="T139" i="44"/>
  <c r="AX103" i="26"/>
  <c r="H164" i="26"/>
  <c r="BA105" i="26"/>
  <c r="L94" i="185" s="1"/>
  <c r="AY104" i="26"/>
  <c r="T70" i="44"/>
  <c r="B173" i="26"/>
  <c r="D110" i="26"/>
  <c r="AB109" i="26"/>
  <c r="Z172" i="26"/>
  <c r="AB172" i="26" s="1"/>
  <c r="F47" i="44"/>
  <c r="AB106" i="26"/>
  <c r="Z169" i="26"/>
  <c r="AB169" i="26" s="1"/>
  <c r="F105" i="44"/>
  <c r="F167" i="44" s="1"/>
  <c r="H42" i="44"/>
  <c r="H105" i="44" s="1"/>
  <c r="H167" i="44" s="1"/>
  <c r="B105" i="44"/>
  <c r="B167" i="44" s="1"/>
  <c r="D42" i="44"/>
  <c r="D105" i="44" s="1"/>
  <c r="D167" i="44" s="1"/>
  <c r="AB105" i="26"/>
  <c r="Z168" i="26"/>
  <c r="AB168" i="26" s="1"/>
  <c r="N168" i="26"/>
  <c r="P105" i="26"/>
  <c r="N167" i="26"/>
  <c r="P167" i="26" s="1"/>
  <c r="P104" i="26"/>
  <c r="R40" i="44"/>
  <c r="B103" i="44"/>
  <c r="B165" i="44" s="1"/>
  <c r="D40" i="44"/>
  <c r="P109" i="26"/>
  <c r="T73" i="44"/>
  <c r="M48" i="26"/>
  <c r="BA47" i="26"/>
  <c r="L54" i="185"/>
  <c r="AF164" i="26"/>
  <c r="BD164" i="26" s="1"/>
  <c r="AR111" i="26"/>
  <c r="K238" i="26"/>
  <c r="L238" i="26" s="1"/>
  <c r="M238" i="26" s="1"/>
  <c r="L228" i="26"/>
  <c r="M228" i="26" s="1"/>
  <c r="X207" i="26"/>
  <c r="E47" i="44"/>
  <c r="U141" i="44"/>
  <c r="S43" i="44"/>
  <c r="P37" i="44"/>
  <c r="C47" i="44"/>
  <c r="AV402" i="26"/>
  <c r="AV399" i="26"/>
  <c r="R250" i="44"/>
  <c r="M47" i="44"/>
  <c r="U45" i="44"/>
  <c r="S46" i="44"/>
  <c r="J109" i="44"/>
  <c r="J171" i="44" s="1"/>
  <c r="H46" i="44"/>
  <c r="H109" i="44" s="1"/>
  <c r="H171" i="44" s="1"/>
  <c r="U170" i="44"/>
  <c r="AR404" i="26"/>
  <c r="AB398" i="26"/>
  <c r="H91" i="44"/>
  <c r="H87" i="44"/>
  <c r="L86" i="44"/>
  <c r="K61" i="44"/>
  <c r="K124" i="44" s="1"/>
  <c r="K186" i="44" s="1"/>
  <c r="M59" i="44"/>
  <c r="M122" i="44" s="1"/>
  <c r="M184" i="44" s="1"/>
  <c r="I60" i="44"/>
  <c r="I123" i="44" s="1"/>
  <c r="I185" i="44" s="1"/>
  <c r="H402" i="26"/>
  <c r="J123" i="26"/>
  <c r="L123" i="26" s="1"/>
  <c r="D32" i="33"/>
  <c r="AV403" i="26"/>
  <c r="L399" i="26"/>
  <c r="L150" i="44"/>
  <c r="L147" i="44"/>
  <c r="H115" i="6"/>
  <c r="BA108" i="26"/>
  <c r="L97" i="185" s="1"/>
  <c r="BA104" i="26"/>
  <c r="L93" i="185" s="1"/>
  <c r="AR167" i="26"/>
  <c r="AY169" i="26"/>
  <c r="AY165" i="26"/>
  <c r="T75" i="44"/>
  <c r="G14" i="9"/>
  <c r="H15" i="9" s="1"/>
  <c r="T76" i="44"/>
  <c r="J156" i="44"/>
  <c r="AS118" i="26"/>
  <c r="AS124" i="26"/>
  <c r="M58" i="44"/>
  <c r="M121" i="44" s="1"/>
  <c r="M183" i="44" s="1"/>
  <c r="P15" i="44"/>
  <c r="BC392" i="26"/>
  <c r="F148" i="6"/>
  <c r="P392" i="26"/>
  <c r="W329" i="26"/>
  <c r="X329" i="26" s="1"/>
  <c r="Y329" i="26" s="1"/>
  <c r="X319" i="26"/>
  <c r="Y319" i="26" s="1"/>
  <c r="X228" i="26"/>
  <c r="Y228" i="26" s="1"/>
  <c r="W238" i="26"/>
  <c r="X238" i="26" s="1"/>
  <c r="Y238" i="26" s="1"/>
  <c r="AJ207" i="26"/>
  <c r="S238" i="26"/>
  <c r="T238" i="26" s="1"/>
  <c r="U238" i="26" s="1"/>
  <c r="T228" i="26"/>
  <c r="U228" i="26" s="1"/>
  <c r="A99" i="26"/>
  <c r="A82" i="26"/>
  <c r="AM164" i="26"/>
  <c r="AM174" i="26" s="1"/>
  <c r="AM111" i="26"/>
  <c r="AA111" i="26"/>
  <c r="AA164" i="26"/>
  <c r="AA174" i="26" s="1"/>
  <c r="X164" i="26"/>
  <c r="AY102" i="26"/>
  <c r="B166" i="26"/>
  <c r="D166" i="26" s="1"/>
  <c r="D103" i="26"/>
  <c r="AV111" i="26"/>
  <c r="H79" i="44"/>
  <c r="AL173" i="26"/>
  <c r="AN173" i="26" s="1"/>
  <c r="AN110" i="26"/>
  <c r="Z173" i="26"/>
  <c r="AB173" i="26" s="1"/>
  <c r="AB110" i="26"/>
  <c r="P110" i="26"/>
  <c r="N173" i="26"/>
  <c r="P173" i="26" s="1"/>
  <c r="J108" i="44"/>
  <c r="J170" i="44" s="1"/>
  <c r="L45" i="44"/>
  <c r="L108" i="44" s="1"/>
  <c r="L170" i="44" s="1"/>
  <c r="D109" i="26"/>
  <c r="B172" i="26"/>
  <c r="D172" i="26" s="1"/>
  <c r="AL169" i="26"/>
  <c r="AN169" i="26" s="1"/>
  <c r="AN106" i="26"/>
  <c r="J105" i="44"/>
  <c r="J167" i="44" s="1"/>
  <c r="L42" i="44"/>
  <c r="L105" i="44" s="1"/>
  <c r="L167" i="44" s="1"/>
  <c r="AL168" i="26"/>
  <c r="AN168" i="26" s="1"/>
  <c r="AN105" i="26"/>
  <c r="AL167" i="26"/>
  <c r="AN167" i="26" s="1"/>
  <c r="AN104" i="26"/>
  <c r="Z167" i="26"/>
  <c r="AB167" i="26" s="1"/>
  <c r="AB104" i="26"/>
  <c r="J47" i="44"/>
  <c r="P108" i="26"/>
  <c r="AB107" i="26"/>
  <c r="AJ164" i="26"/>
  <c r="T164" i="26"/>
  <c r="AT407" i="26"/>
  <c r="Y8" i="9"/>
  <c r="Q310" i="44"/>
  <c r="K101" i="6"/>
  <c r="T101" i="6"/>
  <c r="P89" i="42"/>
  <c r="I23" i="185"/>
  <c r="O5" i="134"/>
  <c r="L30" i="35"/>
  <c r="S153" i="42"/>
  <c r="Q407" i="26"/>
  <c r="AM118" i="26"/>
  <c r="AM181" i="26" s="1"/>
  <c r="O9" i="134"/>
  <c r="G33" i="125"/>
  <c r="U279" i="42"/>
  <c r="X307" i="27"/>
  <c r="H307" i="27"/>
  <c r="S92" i="42"/>
  <c r="S149" i="42"/>
  <c r="P404" i="26"/>
  <c r="AX58" i="26"/>
  <c r="U146" i="44"/>
  <c r="S280" i="42"/>
  <c r="U274" i="42"/>
  <c r="AJ156" i="27"/>
  <c r="S145" i="42"/>
  <c r="R83" i="42"/>
  <c r="L156" i="27"/>
  <c r="Q56" i="42"/>
  <c r="Q118" i="42" s="1"/>
  <c r="Q180" i="42" s="1"/>
  <c r="H179" i="27"/>
  <c r="G31" i="33"/>
  <c r="S91" i="44"/>
  <c r="AE121" i="27"/>
  <c r="AE125" i="27" s="1"/>
  <c r="AV311" i="27"/>
  <c r="H119" i="27"/>
  <c r="F58" i="42"/>
  <c r="F120" i="42" s="1"/>
  <c r="F182" i="42" s="1"/>
  <c r="S152" i="42"/>
  <c r="D91" i="42"/>
  <c r="S86" i="42"/>
  <c r="G121" i="27"/>
  <c r="G183" i="27" s="1"/>
  <c r="U152" i="42"/>
  <c r="S150" i="42"/>
  <c r="AD407" i="26"/>
  <c r="S118" i="26"/>
  <c r="S181" i="26" s="1"/>
  <c r="J55" i="136"/>
  <c r="AS121" i="26"/>
  <c r="P85" i="42"/>
  <c r="H150" i="42"/>
  <c r="AF156" i="27"/>
  <c r="BC156" i="27" s="1"/>
  <c r="M305" i="44"/>
  <c r="G32" i="33"/>
  <c r="K155" i="42"/>
  <c r="E58" i="44"/>
  <c r="E121" i="44" s="1"/>
  <c r="AX54" i="27"/>
  <c r="F59" i="42"/>
  <c r="F121" i="42" s="1"/>
  <c r="F183" i="42" s="1"/>
  <c r="S90" i="44"/>
  <c r="AW179" i="26"/>
  <c r="I58" i="44"/>
  <c r="I121" i="44" s="1"/>
  <c r="I183" i="44" s="1"/>
  <c r="Y122" i="26"/>
  <c r="AS125" i="26"/>
  <c r="P83" i="42"/>
  <c r="AQ244" i="27"/>
  <c r="AR244" i="27" s="1"/>
  <c r="H143" i="125"/>
  <c r="Q118" i="26"/>
  <c r="I54" i="44"/>
  <c r="I117" i="44" s="1"/>
  <c r="I179" i="44" s="1"/>
  <c r="AE250" i="27"/>
  <c r="AF250" i="27" s="1"/>
  <c r="BF250" i="27" s="1"/>
  <c r="AF314" i="27"/>
  <c r="BE314" i="27" s="1"/>
  <c r="AV156" i="27"/>
  <c r="P146" i="42"/>
  <c r="AA115" i="27"/>
  <c r="AB115" i="27" s="1"/>
  <c r="L37" i="28"/>
  <c r="Q8" i="134"/>
  <c r="H108" i="195"/>
  <c r="K108" i="195" s="1"/>
  <c r="P150" i="42"/>
  <c r="I27" i="6"/>
  <c r="N27" i="6" s="1"/>
  <c r="G246" i="27"/>
  <c r="H246" i="27" s="1"/>
  <c r="D154" i="42"/>
  <c r="E54" i="44"/>
  <c r="E117" i="44" s="1"/>
  <c r="BA54" i="26"/>
  <c r="P56" i="185" s="1"/>
  <c r="Q45" i="196" s="1"/>
  <c r="AD118" i="27"/>
  <c r="AF118" i="27" s="1"/>
  <c r="BC118" i="27" s="1"/>
  <c r="AC118" i="26"/>
  <c r="M54" i="44"/>
  <c r="M117" i="44" s="1"/>
  <c r="M179" i="44" s="1"/>
  <c r="N115" i="27"/>
  <c r="F52" i="42"/>
  <c r="F114" i="42" s="1"/>
  <c r="F308" i="44"/>
  <c r="AY98" i="201"/>
  <c r="AF399" i="26"/>
  <c r="BD399" i="26" s="1"/>
  <c r="O250" i="26"/>
  <c r="P250" i="26" s="1"/>
  <c r="Q250" i="26" s="1"/>
  <c r="W249" i="26"/>
  <c r="X249" i="26" s="1"/>
  <c r="Y249" i="26" s="1"/>
  <c r="T401" i="26"/>
  <c r="AZ213" i="26"/>
  <c r="L92" i="44"/>
  <c r="L88" i="44"/>
  <c r="K57" i="44"/>
  <c r="K120" i="44" s="1"/>
  <c r="K182" i="44" s="1"/>
  <c r="AW36" i="201"/>
  <c r="BA36" i="201" s="1"/>
  <c r="I43" i="183"/>
  <c r="J43" i="183" s="1"/>
  <c r="L91" i="44"/>
  <c r="U86" i="44"/>
  <c r="J26" i="33"/>
  <c r="AP119" i="26"/>
  <c r="AP182" i="26" s="1"/>
  <c r="AR182" i="26" s="1"/>
  <c r="N30" i="44"/>
  <c r="AF94" i="26"/>
  <c r="BD94" i="26" s="1"/>
  <c r="AO119" i="27"/>
  <c r="P148" i="42"/>
  <c r="W248" i="27"/>
  <c r="X248" i="27" s="1"/>
  <c r="E26" i="185"/>
  <c r="L26" i="185" s="1"/>
  <c r="AR30" i="26"/>
  <c r="I122" i="27"/>
  <c r="BA59" i="27"/>
  <c r="P45" i="185" s="1"/>
  <c r="Q50" i="195" s="1"/>
  <c r="R119" i="27"/>
  <c r="R181" i="27" s="1"/>
  <c r="F56" i="42"/>
  <c r="F118" i="42" s="1"/>
  <c r="F180" i="42" s="1"/>
  <c r="BA53" i="27"/>
  <c r="P39" i="185" s="1"/>
  <c r="Q44" i="195" s="1"/>
  <c r="Q116" i="27"/>
  <c r="H112" i="195"/>
  <c r="K112" i="195" s="1"/>
  <c r="P154" i="42"/>
  <c r="AA38" i="191"/>
  <c r="Q76" i="195"/>
  <c r="AW54" i="201"/>
  <c r="BA54" i="201" s="1"/>
  <c r="C57" i="44"/>
  <c r="O315" i="27"/>
  <c r="J36" i="5"/>
  <c r="G73" i="35"/>
  <c r="H73" i="35" s="1"/>
  <c r="AM123" i="26"/>
  <c r="M8" i="191"/>
  <c r="B54" i="42"/>
  <c r="B116" i="42" s="1"/>
  <c r="H93" i="125"/>
  <c r="J60" i="44"/>
  <c r="J123" i="44" s="1"/>
  <c r="J185" i="44" s="1"/>
  <c r="H117" i="27"/>
  <c r="D369" i="183"/>
  <c r="G239" i="183"/>
  <c r="I239" i="183"/>
  <c r="J239" i="183" s="1"/>
  <c r="L158" i="26"/>
  <c r="J9" i="134"/>
  <c r="AQ246" i="27"/>
  <c r="AR246" i="27" s="1"/>
  <c r="Q61" i="42"/>
  <c r="Q123" i="42" s="1"/>
  <c r="Q185" i="42" s="1"/>
  <c r="AO124" i="27"/>
  <c r="L60" i="28"/>
  <c r="L22" i="28"/>
  <c r="K58" i="42"/>
  <c r="K120" i="42" s="1"/>
  <c r="K182" i="42" s="1"/>
  <c r="AI121" i="27"/>
  <c r="J52" i="42"/>
  <c r="J114" i="42" s="1"/>
  <c r="AH115" i="27"/>
  <c r="AH177" i="27" s="1"/>
  <c r="M61" i="42"/>
  <c r="M123" i="42" s="1"/>
  <c r="M185" i="42" s="1"/>
  <c r="AC124" i="27"/>
  <c r="AS119" i="27"/>
  <c r="I56" i="42"/>
  <c r="I118" i="42" s="1"/>
  <c r="I180" i="42" s="1"/>
  <c r="Q119" i="27"/>
  <c r="AC121" i="27"/>
  <c r="L5" i="28"/>
  <c r="D56" i="27"/>
  <c r="C119" i="27"/>
  <c r="D119" i="27" s="1"/>
  <c r="U124" i="27"/>
  <c r="L80" i="28"/>
  <c r="L46" i="28"/>
  <c r="K248" i="27"/>
  <c r="L248" i="27" s="1"/>
  <c r="D210" i="42"/>
  <c r="U91" i="44"/>
  <c r="F305" i="42"/>
  <c r="U145" i="42"/>
  <c r="F109" i="28"/>
  <c r="L155" i="44"/>
  <c r="H150" i="44"/>
  <c r="E10" i="185"/>
  <c r="L10" i="185" s="1"/>
  <c r="L85" i="42"/>
  <c r="M306" i="42"/>
  <c r="D150" i="42"/>
  <c r="K56" i="42"/>
  <c r="K118" i="42" s="1"/>
  <c r="K180" i="42" s="1"/>
  <c r="R91" i="42"/>
  <c r="R148" i="42"/>
  <c r="G70" i="35"/>
  <c r="H70" i="35" s="1"/>
  <c r="I307" i="42"/>
  <c r="AZ211" i="27"/>
  <c r="U153" i="42"/>
  <c r="X398" i="26"/>
  <c r="B61" i="44"/>
  <c r="B124" i="44" s="1"/>
  <c r="L312" i="27"/>
  <c r="L152" i="44"/>
  <c r="H147" i="44"/>
  <c r="L26" i="44"/>
  <c r="U85" i="44"/>
  <c r="G68" i="35"/>
  <c r="H68" i="35" s="1"/>
  <c r="H152" i="42"/>
  <c r="H278" i="42"/>
  <c r="I55" i="42"/>
  <c r="I117" i="42" s="1"/>
  <c r="I179" i="42" s="1"/>
  <c r="K54" i="42"/>
  <c r="K116" i="42" s="1"/>
  <c r="K178" i="42" s="1"/>
  <c r="L154" i="42"/>
  <c r="T400" i="26"/>
  <c r="E305" i="44"/>
  <c r="H149" i="44"/>
  <c r="H309" i="27"/>
  <c r="O312" i="42"/>
  <c r="H153" i="42"/>
  <c r="L151" i="44"/>
  <c r="I92" i="28"/>
  <c r="I38" i="28"/>
  <c r="S93" i="44"/>
  <c r="R86" i="44"/>
  <c r="L280" i="44"/>
  <c r="D152" i="42"/>
  <c r="K52" i="42"/>
  <c r="K114" i="42" s="1"/>
  <c r="R89" i="42"/>
  <c r="AE185" i="27"/>
  <c r="K185" i="27"/>
  <c r="L185" i="27" s="1"/>
  <c r="L123" i="27"/>
  <c r="AP185" i="27"/>
  <c r="AR185" i="27" s="1"/>
  <c r="AR123" i="27"/>
  <c r="AZ373" i="26"/>
  <c r="BB373" i="26" s="1"/>
  <c r="S279" i="44"/>
  <c r="U272" i="44"/>
  <c r="F83" i="35"/>
  <c r="G83" i="35" s="1"/>
  <c r="R279" i="44"/>
  <c r="X158" i="26"/>
  <c r="H158" i="26"/>
  <c r="Q59" i="42"/>
  <c r="Q121" i="42" s="1"/>
  <c r="Q183" i="42" s="1"/>
  <c r="M57" i="42"/>
  <c r="M119" i="42" s="1"/>
  <c r="M181" i="42" s="1"/>
  <c r="B52" i="42"/>
  <c r="B114" i="42" s="1"/>
  <c r="B55" i="42"/>
  <c r="B117" i="42" s="1"/>
  <c r="AV314" i="27"/>
  <c r="L172" i="183"/>
  <c r="T156" i="27"/>
  <c r="H148" i="42"/>
  <c r="Q54" i="44"/>
  <c r="Q117" i="44" s="1"/>
  <c r="Q179" i="44" s="1"/>
  <c r="U148" i="42"/>
  <c r="I59" i="42"/>
  <c r="I121" i="42" s="1"/>
  <c r="I183" i="42" s="1"/>
  <c r="Q61" i="44"/>
  <c r="Q124" i="44" s="1"/>
  <c r="Q186" i="44" s="1"/>
  <c r="AS123" i="27"/>
  <c r="AS118" i="27"/>
  <c r="H154" i="42"/>
  <c r="S89" i="44"/>
  <c r="F74" i="35"/>
  <c r="B312" i="44"/>
  <c r="R275" i="44"/>
  <c r="AS119" i="26"/>
  <c r="U84" i="44"/>
  <c r="BA58" i="26"/>
  <c r="P60" i="185" s="1"/>
  <c r="Q49" i="196" s="1"/>
  <c r="R281" i="42"/>
  <c r="U280" i="42"/>
  <c r="O308" i="42"/>
  <c r="S276" i="42"/>
  <c r="E304" i="42"/>
  <c r="C56" i="44"/>
  <c r="C119" i="44" s="1"/>
  <c r="S148" i="42"/>
  <c r="AE244" i="27"/>
  <c r="AF244" i="27" s="1"/>
  <c r="BF244" i="27" s="1"/>
  <c r="N11" i="134"/>
  <c r="I67" i="196"/>
  <c r="Q67" i="196" s="1"/>
  <c r="I30" i="185"/>
  <c r="I66" i="196"/>
  <c r="Q66" i="196" s="1"/>
  <c r="I29" i="185"/>
  <c r="Q59" i="44"/>
  <c r="Q122" i="44" s="1"/>
  <c r="Q184" i="44" s="1"/>
  <c r="AS123" i="26"/>
  <c r="J13" i="5"/>
  <c r="E61" i="44"/>
  <c r="E124" i="44" s="1"/>
  <c r="E186" i="44" s="1"/>
  <c r="M125" i="26"/>
  <c r="L299" i="183"/>
  <c r="E18" i="183"/>
  <c r="D279" i="44"/>
  <c r="H28" i="125"/>
  <c r="M310" i="44"/>
  <c r="H88" i="44"/>
  <c r="D58" i="26"/>
  <c r="U272" i="42"/>
  <c r="O124" i="26"/>
  <c r="O187" i="26" s="1"/>
  <c r="C123" i="26"/>
  <c r="C186" i="26" s="1"/>
  <c r="I311" i="42"/>
  <c r="I312" i="42"/>
  <c r="O155" i="42"/>
  <c r="AP118" i="26"/>
  <c r="AP181" i="26" s="1"/>
  <c r="AR181" i="26" s="1"/>
  <c r="AE117" i="26"/>
  <c r="AE180" i="26" s="1"/>
  <c r="AF308" i="27"/>
  <c r="BE308" i="27" s="1"/>
  <c r="J56" i="136"/>
  <c r="AY56" i="26"/>
  <c r="X312" i="27"/>
  <c r="L44" i="28"/>
  <c r="T96" i="6"/>
  <c r="N96" i="6"/>
  <c r="E57" i="42"/>
  <c r="E119" i="42" s="1"/>
  <c r="BA57" i="27"/>
  <c r="P43" i="185" s="1"/>
  <c r="Q48" i="195" s="1"/>
  <c r="E59" i="42"/>
  <c r="E121" i="42" s="1"/>
  <c r="E183" i="42" s="1"/>
  <c r="M122" i="27"/>
  <c r="L33" i="28"/>
  <c r="C58" i="42"/>
  <c r="C120" i="42" s="1"/>
  <c r="C182" i="42" s="1"/>
  <c r="K121" i="27"/>
  <c r="G47" i="185"/>
  <c r="I52" i="195" s="1"/>
  <c r="AS124" i="27"/>
  <c r="AG119" i="27"/>
  <c r="BD119" i="27" s="1"/>
  <c r="M56" i="42"/>
  <c r="M118" i="42" s="1"/>
  <c r="M180" i="42" s="1"/>
  <c r="AK119" i="27"/>
  <c r="I61" i="42"/>
  <c r="I123" i="42" s="1"/>
  <c r="I185" i="42" s="1"/>
  <c r="BA61" i="27"/>
  <c r="P47" i="185" s="1"/>
  <c r="Q52" i="195" s="1"/>
  <c r="N123" i="27"/>
  <c r="N185" i="27" s="1"/>
  <c r="P185" i="27" s="1"/>
  <c r="L55" i="28"/>
  <c r="C123" i="27"/>
  <c r="D123" i="27" s="1"/>
  <c r="D60" i="27"/>
  <c r="G43" i="185"/>
  <c r="I48" i="195" s="1"/>
  <c r="AS120" i="27"/>
  <c r="G40" i="185"/>
  <c r="I45" i="195" s="1"/>
  <c r="I90" i="195" s="1"/>
  <c r="AS117" i="27"/>
  <c r="I54" i="42"/>
  <c r="I116" i="42" s="1"/>
  <c r="I178" i="42" s="1"/>
  <c r="AB343" i="26"/>
  <c r="AU248" i="27"/>
  <c r="AV248" i="27" s="1"/>
  <c r="M55" i="42"/>
  <c r="M117" i="42" s="1"/>
  <c r="M179" i="42" s="1"/>
  <c r="AC118" i="27"/>
  <c r="L54" i="28"/>
  <c r="L32" i="28"/>
  <c r="AL121" i="27"/>
  <c r="AL183" i="27" s="1"/>
  <c r="N62" i="27"/>
  <c r="AG121" i="27"/>
  <c r="BD121" i="27" s="1"/>
  <c r="M58" i="42"/>
  <c r="M120" i="42" s="1"/>
  <c r="M182" i="42" s="1"/>
  <c r="L40" i="28"/>
  <c r="H110" i="195"/>
  <c r="K110" i="195" s="1"/>
  <c r="P152" i="42"/>
  <c r="AF158" i="26"/>
  <c r="BD158" i="26" s="1"/>
  <c r="G94" i="44"/>
  <c r="G64" i="125"/>
  <c r="H64" i="125"/>
  <c r="J56" i="42"/>
  <c r="J118" i="42" s="1"/>
  <c r="J180" i="42" s="1"/>
  <c r="L63" i="28"/>
  <c r="R154" i="42"/>
  <c r="AS122" i="26"/>
  <c r="Q58" i="44"/>
  <c r="Q121" i="44" s="1"/>
  <c r="Q183" i="44" s="1"/>
  <c r="E282" i="42"/>
  <c r="P210" i="42"/>
  <c r="O242" i="42" s="1"/>
  <c r="P242" i="42" s="1"/>
  <c r="Q242" i="42" s="1"/>
  <c r="AF400" i="26"/>
  <c r="BD400" i="26" s="1"/>
  <c r="G311" i="44"/>
  <c r="V118" i="26"/>
  <c r="L149" i="44"/>
  <c r="AY60" i="26"/>
  <c r="X405" i="26"/>
  <c r="R116" i="26"/>
  <c r="R62" i="26"/>
  <c r="N100" i="6"/>
  <c r="L148" i="44"/>
  <c r="AU179" i="26"/>
  <c r="AI117" i="27"/>
  <c r="AI179" i="27" s="1"/>
  <c r="J177" i="27"/>
  <c r="L177" i="27" s="1"/>
  <c r="L115" i="27"/>
  <c r="S121" i="27"/>
  <c r="S183" i="27" s="1"/>
  <c r="T183" i="27" s="1"/>
  <c r="G454" i="182"/>
  <c r="H454" i="182" s="1"/>
  <c r="B311" i="44"/>
  <c r="P211" i="44"/>
  <c r="O243" i="44" s="1"/>
  <c r="P243" i="44" s="1"/>
  <c r="Q243" i="44" s="1"/>
  <c r="D280" i="44"/>
  <c r="BA61" i="26"/>
  <c r="P63" i="185" s="1"/>
  <c r="Q52" i="196" s="1"/>
  <c r="K30" i="44"/>
  <c r="G65" i="35"/>
  <c r="N313" i="42"/>
  <c r="C60" i="44"/>
  <c r="C123" i="44" s="1"/>
  <c r="P29" i="44"/>
  <c r="M313" i="42"/>
  <c r="Z62" i="26"/>
  <c r="K60" i="44"/>
  <c r="K123" i="44" s="1"/>
  <c r="K185" i="44" s="1"/>
  <c r="I24" i="185"/>
  <c r="J315" i="27"/>
  <c r="AS117" i="26"/>
  <c r="AQ177" i="27"/>
  <c r="AR177" i="27" s="1"/>
  <c r="AR115" i="27"/>
  <c r="AA243" i="27"/>
  <c r="AB243" i="27" s="1"/>
  <c r="J11" i="33"/>
  <c r="L210" i="42"/>
  <c r="K242" i="42" s="1"/>
  <c r="L242" i="42" s="1"/>
  <c r="M242" i="42" s="1"/>
  <c r="AB307" i="27"/>
  <c r="K243" i="27"/>
  <c r="L243" i="27" s="1"/>
  <c r="L307" i="27"/>
  <c r="D11" i="33"/>
  <c r="L309" i="27"/>
  <c r="D153" i="42"/>
  <c r="S86" i="44"/>
  <c r="H155" i="44"/>
  <c r="I85" i="28"/>
  <c r="J31" i="33"/>
  <c r="X156" i="27"/>
  <c r="H156" i="27"/>
  <c r="AF311" i="27"/>
  <c r="BE311" i="27" s="1"/>
  <c r="R154" i="44"/>
  <c r="R152" i="44"/>
  <c r="L91" i="42"/>
  <c r="H89" i="42"/>
  <c r="L146" i="42"/>
  <c r="M59" i="42"/>
  <c r="M121" i="42" s="1"/>
  <c r="M183" i="42" s="1"/>
  <c r="U87" i="42"/>
  <c r="E30" i="42"/>
  <c r="AV312" i="27"/>
  <c r="T158" i="26"/>
  <c r="S88" i="44"/>
  <c r="AQ62" i="26"/>
  <c r="X314" i="27"/>
  <c r="H274" i="42"/>
  <c r="B58" i="44"/>
  <c r="B121" i="44" s="1"/>
  <c r="B183" i="44" s="1"/>
  <c r="H91" i="42"/>
  <c r="L278" i="42"/>
  <c r="L152" i="42"/>
  <c r="H146" i="42"/>
  <c r="L150" i="42"/>
  <c r="R152" i="42"/>
  <c r="U154" i="42"/>
  <c r="H94" i="26"/>
  <c r="L151" i="42"/>
  <c r="AV406" i="26"/>
  <c r="I305" i="42"/>
  <c r="H147" i="42"/>
  <c r="S92" i="44"/>
  <c r="G58" i="42"/>
  <c r="G120" i="42" s="1"/>
  <c r="G182" i="42" s="1"/>
  <c r="S146" i="42"/>
  <c r="U83" i="42"/>
  <c r="D87" i="42"/>
  <c r="R87" i="42"/>
  <c r="I93" i="42"/>
  <c r="F93" i="42"/>
  <c r="K282" i="42"/>
  <c r="D54" i="26"/>
  <c r="D26" i="44"/>
  <c r="G308" i="44"/>
  <c r="F125" i="26"/>
  <c r="H125" i="26" s="1"/>
  <c r="E58" i="42"/>
  <c r="E120" i="42" s="1"/>
  <c r="K58" i="44"/>
  <c r="K121" i="44" s="1"/>
  <c r="K183" i="44" s="1"/>
  <c r="F62" i="27"/>
  <c r="L250" i="183"/>
  <c r="F34" i="33"/>
  <c r="I282" i="42"/>
  <c r="AZ153" i="27"/>
  <c r="P110" i="195" s="1"/>
  <c r="S110" i="195" s="1"/>
  <c r="AZ73" i="201"/>
  <c r="G315" i="27"/>
  <c r="AA407" i="26"/>
  <c r="AD125" i="26"/>
  <c r="AD188" i="26" s="1"/>
  <c r="AF188" i="26" s="1"/>
  <c r="BD188" i="26" s="1"/>
  <c r="N93" i="42"/>
  <c r="AV309" i="27"/>
  <c r="J30" i="42"/>
  <c r="S154" i="42"/>
  <c r="B93" i="42"/>
  <c r="O282" i="42"/>
  <c r="AM62" i="27"/>
  <c r="M157" i="125"/>
  <c r="L157" i="125"/>
  <c r="Q94" i="44"/>
  <c r="H83" i="42"/>
  <c r="G204" i="183"/>
  <c r="L204" i="183"/>
  <c r="W315" i="27"/>
  <c r="E34" i="33"/>
  <c r="M26" i="33"/>
  <c r="AY30" i="201"/>
  <c r="AY143" i="201" s="1"/>
  <c r="L85" i="44"/>
  <c r="D92" i="42"/>
  <c r="K204" i="183"/>
  <c r="W118" i="26"/>
  <c r="W181" i="26" s="1"/>
  <c r="I313" i="42"/>
  <c r="X94" i="26"/>
  <c r="AD62" i="27"/>
  <c r="U89" i="42"/>
  <c r="N282" i="44"/>
  <c r="M31" i="33"/>
  <c r="E56" i="44"/>
  <c r="E119" i="44" s="1"/>
  <c r="H313" i="27"/>
  <c r="D88" i="42"/>
  <c r="R84" i="42"/>
  <c r="H204" i="183"/>
  <c r="AR158" i="26"/>
  <c r="U89" i="44"/>
  <c r="U87" i="44"/>
  <c r="X309" i="27"/>
  <c r="X94" i="27"/>
  <c r="H90" i="42"/>
  <c r="V120" i="27"/>
  <c r="X120" i="27" s="1"/>
  <c r="H86" i="42"/>
  <c r="V62" i="27"/>
  <c r="AK95" i="26"/>
  <c r="L83" i="42"/>
  <c r="U150" i="42"/>
  <c r="H67" i="125"/>
  <c r="G67" i="125"/>
  <c r="G312" i="44"/>
  <c r="AY61" i="26"/>
  <c r="P216" i="42"/>
  <c r="O248" i="42" s="1"/>
  <c r="P248" i="42" s="1"/>
  <c r="Q248" i="42" s="1"/>
  <c r="G16" i="35"/>
  <c r="I72" i="35" s="1"/>
  <c r="AM122" i="26"/>
  <c r="AM185" i="26" s="1"/>
  <c r="C94" i="44"/>
  <c r="F30" i="44"/>
  <c r="S214" i="42"/>
  <c r="R92" i="42"/>
  <c r="L90" i="42"/>
  <c r="L86" i="42"/>
  <c r="I204" i="183"/>
  <c r="J204" i="183" s="1"/>
  <c r="AF313" i="27"/>
  <c r="BE313" i="27" s="1"/>
  <c r="Q313" i="42"/>
  <c r="AP183" i="27"/>
  <c r="AR183" i="27" s="1"/>
  <c r="AR121" i="27"/>
  <c r="P402" i="26"/>
  <c r="G9" i="35"/>
  <c r="I65" i="35" s="1"/>
  <c r="Y222" i="26"/>
  <c r="U150" i="44"/>
  <c r="U149" i="44"/>
  <c r="J54" i="44"/>
  <c r="J117" i="44" s="1"/>
  <c r="J179" i="44" s="1"/>
  <c r="G92" i="125"/>
  <c r="H92" i="125"/>
  <c r="L22" i="9"/>
  <c r="H145" i="125"/>
  <c r="G145" i="125"/>
  <c r="AZ369" i="26"/>
  <c r="BB369" i="26" s="1"/>
  <c r="N58" i="44"/>
  <c r="AQ93" i="201"/>
  <c r="M218" i="44"/>
  <c r="Q306" i="44"/>
  <c r="L30" i="26"/>
  <c r="K308" i="44"/>
  <c r="R155" i="44"/>
  <c r="N156" i="44"/>
  <c r="S88" i="42"/>
  <c r="G54" i="42"/>
  <c r="G116" i="42" s="1"/>
  <c r="G178" i="42" s="1"/>
  <c r="H139" i="125"/>
  <c r="G139" i="125"/>
  <c r="R146" i="42"/>
  <c r="U91" i="42"/>
  <c r="H280" i="44"/>
  <c r="L215" i="44"/>
  <c r="K247" i="44" s="1"/>
  <c r="L247" i="44" s="1"/>
  <c r="M247" i="44" s="1"/>
  <c r="G17" i="35"/>
  <c r="I73" i="35" s="1"/>
  <c r="U147" i="44"/>
  <c r="E47" i="136"/>
  <c r="AA86" i="191"/>
  <c r="Q82" i="195"/>
  <c r="K94" i="44"/>
  <c r="U148" i="44"/>
  <c r="O57" i="44"/>
  <c r="O120" i="44" s="1"/>
  <c r="O182" i="44" s="1"/>
  <c r="I61" i="44"/>
  <c r="I124" i="44" s="1"/>
  <c r="BA55" i="27"/>
  <c r="P41" i="185" s="1"/>
  <c r="Q46" i="195" s="1"/>
  <c r="AQ178" i="27"/>
  <c r="L274" i="183"/>
  <c r="P373" i="183"/>
  <c r="AR398" i="26"/>
  <c r="E11" i="183"/>
  <c r="AY94" i="27"/>
  <c r="AQ407" i="26"/>
  <c r="G59" i="44"/>
  <c r="G122" i="44" s="1"/>
  <c r="G184" i="44" s="1"/>
  <c r="AA62" i="26"/>
  <c r="M57" i="44"/>
  <c r="M120" i="44" s="1"/>
  <c r="M182" i="44" s="1"/>
  <c r="BA55" i="26"/>
  <c r="P57" i="185" s="1"/>
  <c r="Q46" i="196" s="1"/>
  <c r="T312" i="27"/>
  <c r="M94" i="44"/>
  <c r="Q155" i="42"/>
  <c r="B30" i="42"/>
  <c r="AR402" i="26"/>
  <c r="S62" i="26"/>
  <c r="AS315" i="27"/>
  <c r="AZ91" i="27"/>
  <c r="AR30" i="27"/>
  <c r="E8" i="185"/>
  <c r="L8" i="185" s="1"/>
  <c r="J94" i="44"/>
  <c r="AV94" i="27"/>
  <c r="AF30" i="27"/>
  <c r="AY30" i="27" s="1"/>
  <c r="B60" i="44"/>
  <c r="B123" i="44" s="1"/>
  <c r="AK121" i="26"/>
  <c r="K111" i="183"/>
  <c r="L111" i="183"/>
  <c r="H111" i="183"/>
  <c r="AQ250" i="26"/>
  <c r="AR250" i="26" s="1"/>
  <c r="AS250" i="26" s="1"/>
  <c r="K11" i="9"/>
  <c r="X11" i="9" s="1"/>
  <c r="R157" i="125"/>
  <c r="Q157" i="125"/>
  <c r="AZ372" i="26"/>
  <c r="L111" i="6"/>
  <c r="H25" i="125"/>
  <c r="G25" i="125"/>
  <c r="AB335" i="26"/>
  <c r="U155" i="44"/>
  <c r="R149" i="44"/>
  <c r="R147" i="44"/>
  <c r="R92" i="44"/>
  <c r="R91" i="44"/>
  <c r="R88" i="44"/>
  <c r="R87" i="44"/>
  <c r="AZ368" i="26"/>
  <c r="BB368" i="26" s="1"/>
  <c r="U154" i="44"/>
  <c r="U153" i="44"/>
  <c r="U152" i="44"/>
  <c r="U151" i="44"/>
  <c r="S85" i="44"/>
  <c r="I156" i="44"/>
  <c r="AS62" i="26"/>
  <c r="D274" i="42"/>
  <c r="AZ275" i="27"/>
  <c r="BB275" i="27" s="1"/>
  <c r="I74" i="196"/>
  <c r="M24" i="191"/>
  <c r="N53" i="44"/>
  <c r="N116" i="44" s="1"/>
  <c r="N178" i="44" s="1"/>
  <c r="M61" i="44"/>
  <c r="M124" i="44" s="1"/>
  <c r="M186" i="44" s="1"/>
  <c r="S147" i="42"/>
  <c r="D83" i="42"/>
  <c r="K60" i="42"/>
  <c r="K122" i="42" s="1"/>
  <c r="K184" i="42" s="1"/>
  <c r="C56" i="42"/>
  <c r="C118" i="42" s="1"/>
  <c r="C180" i="42" s="1"/>
  <c r="J117" i="27"/>
  <c r="C52" i="42"/>
  <c r="C114" i="42" s="1"/>
  <c r="AR337" i="26"/>
  <c r="AS337" i="26" s="1"/>
  <c r="P213" i="44"/>
  <c r="O245" i="44" s="1"/>
  <c r="P245" i="44" s="1"/>
  <c r="Q245" i="44" s="1"/>
  <c r="AI62" i="26"/>
  <c r="AQ315" i="27"/>
  <c r="P398" i="26"/>
  <c r="P212" i="44"/>
  <c r="AH120" i="26"/>
  <c r="AH183" i="26" s="1"/>
  <c r="AJ183" i="26" s="1"/>
  <c r="D30" i="26"/>
  <c r="F53" i="44"/>
  <c r="F116" i="44" s="1"/>
  <c r="F178" i="44" s="1"/>
  <c r="H102" i="125"/>
  <c r="G122" i="26"/>
  <c r="G185" i="26" s="1"/>
  <c r="E53" i="44"/>
  <c r="E116" i="44" s="1"/>
  <c r="M30" i="44"/>
  <c r="AR313" i="27"/>
  <c r="P216" i="44"/>
  <c r="S123" i="26"/>
  <c r="S186" i="26" s="1"/>
  <c r="AI119" i="26"/>
  <c r="AJ119" i="26" s="1"/>
  <c r="F312" i="42"/>
  <c r="O307" i="42"/>
  <c r="K93" i="42"/>
  <c r="AF309" i="27"/>
  <c r="BE309" i="27" s="1"/>
  <c r="P183" i="27"/>
  <c r="AP315" i="27"/>
  <c r="H364" i="183"/>
  <c r="L87" i="183"/>
  <c r="AR339" i="26"/>
  <c r="AS339" i="26" s="1"/>
  <c r="AQ252" i="26"/>
  <c r="AR252" i="26" s="1"/>
  <c r="AS252" i="26" s="1"/>
  <c r="AR342" i="26"/>
  <c r="AS342" i="26" s="1"/>
  <c r="F156" i="44"/>
  <c r="R90" i="44"/>
  <c r="G59" i="125"/>
  <c r="H59" i="125"/>
  <c r="E69" i="125"/>
  <c r="AQ244" i="26"/>
  <c r="AR244" i="26" s="1"/>
  <c r="AS244" i="26" s="1"/>
  <c r="AQ249" i="26"/>
  <c r="AR249" i="26" s="1"/>
  <c r="AS249" i="26" s="1"/>
  <c r="AS116" i="26"/>
  <c r="AR314" i="27"/>
  <c r="AK125" i="26"/>
  <c r="AP62" i="26"/>
  <c r="AR310" i="27"/>
  <c r="AA70" i="191"/>
  <c r="Q80" i="195"/>
  <c r="I73" i="195"/>
  <c r="AJ311" i="27"/>
  <c r="V10" i="9"/>
  <c r="G38" i="185"/>
  <c r="AS62" i="27"/>
  <c r="C54" i="42"/>
  <c r="C116" i="42" s="1"/>
  <c r="C178" i="42" s="1"/>
  <c r="O310" i="44"/>
  <c r="G310" i="44"/>
  <c r="O306" i="44"/>
  <c r="K306" i="44"/>
  <c r="G306" i="44"/>
  <c r="S209" i="44"/>
  <c r="U213" i="44"/>
  <c r="I218" i="42"/>
  <c r="AS407" i="26"/>
  <c r="K121" i="26"/>
  <c r="K184" i="26" s="1"/>
  <c r="AF30" i="26"/>
  <c r="AY30" i="26" s="1"/>
  <c r="T30" i="26"/>
  <c r="AL62" i="27"/>
  <c r="F282" i="44"/>
  <c r="AR399" i="26"/>
  <c r="H30" i="26"/>
  <c r="H94" i="27"/>
  <c r="I94" i="44"/>
  <c r="AB30" i="26"/>
  <c r="AR312" i="27"/>
  <c r="U151" i="42"/>
  <c r="R149" i="42"/>
  <c r="J93" i="42"/>
  <c r="H30" i="27"/>
  <c r="P30" i="27"/>
  <c r="Q93" i="42"/>
  <c r="H84" i="42"/>
  <c r="K30" i="42"/>
  <c r="AR308" i="27"/>
  <c r="BA56" i="27"/>
  <c r="P42" i="185" s="1"/>
  <c r="Q47" i="195" s="1"/>
  <c r="J436" i="182"/>
  <c r="G436" i="182"/>
  <c r="H436" i="182" s="1"/>
  <c r="E421" i="182"/>
  <c r="L45" i="35"/>
  <c r="L26" i="35"/>
  <c r="J435" i="182"/>
  <c r="J112" i="6"/>
  <c r="AR403" i="26"/>
  <c r="AB339" i="26"/>
  <c r="AQ246" i="26"/>
  <c r="AR246" i="26" s="1"/>
  <c r="AS246" i="26" s="1"/>
  <c r="AS183" i="26"/>
  <c r="AR335" i="26"/>
  <c r="AS335" i="26" s="1"/>
  <c r="R150" i="44"/>
  <c r="R148" i="44"/>
  <c r="Q156" i="44"/>
  <c r="R93" i="44"/>
  <c r="R89" i="44"/>
  <c r="J5" i="5"/>
  <c r="AZ218" i="26"/>
  <c r="AY250" i="26" s="1"/>
  <c r="AZ250" i="26" s="1"/>
  <c r="AQ245" i="26"/>
  <c r="AR245" i="26" s="1"/>
  <c r="AS245" i="26" s="1"/>
  <c r="O53" i="44"/>
  <c r="O116" i="44" s="1"/>
  <c r="O178" i="44" s="1"/>
  <c r="L274" i="42"/>
  <c r="I73" i="196"/>
  <c r="K56" i="44"/>
  <c r="K119" i="44" s="1"/>
  <c r="K181" i="44" s="1"/>
  <c r="Q55" i="44"/>
  <c r="Q118" i="44" s="1"/>
  <c r="Q180" i="44" s="1"/>
  <c r="S90" i="42"/>
  <c r="L89" i="42"/>
  <c r="T311" i="27"/>
  <c r="S151" i="42"/>
  <c r="AH119" i="27"/>
  <c r="AP62" i="27"/>
  <c r="AQ120" i="27"/>
  <c r="AQ182" i="27" s="1"/>
  <c r="I64" i="195"/>
  <c r="I11" i="185"/>
  <c r="AQ62" i="27"/>
  <c r="Q57" i="42"/>
  <c r="Q119" i="42" s="1"/>
  <c r="Q181" i="42" s="1"/>
  <c r="Q55" i="42"/>
  <c r="Q117" i="42" s="1"/>
  <c r="Q179" i="42" s="1"/>
  <c r="I45" i="5"/>
  <c r="I307" i="44"/>
  <c r="AQ251" i="26"/>
  <c r="AR251" i="26" s="1"/>
  <c r="AS251" i="26" s="1"/>
  <c r="E30" i="5"/>
  <c r="S215" i="42"/>
  <c r="AR406" i="26"/>
  <c r="O305" i="44"/>
  <c r="AU407" i="26"/>
  <c r="AI407" i="26"/>
  <c r="AH121" i="26"/>
  <c r="AH184" i="26" s="1"/>
  <c r="R215" i="42"/>
  <c r="P211" i="42"/>
  <c r="O243" i="42" s="1"/>
  <c r="P243" i="42" s="1"/>
  <c r="Q243" i="42" s="1"/>
  <c r="P30" i="26"/>
  <c r="AK315" i="27"/>
  <c r="E315" i="27"/>
  <c r="N315" i="27"/>
  <c r="M93" i="42"/>
  <c r="J407" i="26"/>
  <c r="S211" i="44"/>
  <c r="M309" i="42"/>
  <c r="Y315" i="27"/>
  <c r="G30" i="42"/>
  <c r="V407" i="26"/>
  <c r="R85" i="44"/>
  <c r="M218" i="42"/>
  <c r="D90" i="42"/>
  <c r="R62" i="27"/>
  <c r="AR336" i="26"/>
  <c r="AS336" i="26" s="1"/>
  <c r="Y95" i="26"/>
  <c r="S212" i="44"/>
  <c r="AR307" i="27"/>
  <c r="AF94" i="27"/>
  <c r="BC94" i="27" s="1"/>
  <c r="BA54" i="27"/>
  <c r="P40" i="185" s="1"/>
  <c r="Q45" i="195" s="1"/>
  <c r="I29" i="28"/>
  <c r="K140" i="183"/>
  <c r="L140" i="183"/>
  <c r="H140" i="183"/>
  <c r="I171" i="183"/>
  <c r="J171" i="183" s="1"/>
  <c r="L171" i="183"/>
  <c r="J456" i="182"/>
  <c r="I183" i="183"/>
  <c r="J183" i="183" s="1"/>
  <c r="H367" i="183"/>
  <c r="AR341" i="26"/>
  <c r="AS341" i="26" s="1"/>
  <c r="E375" i="182"/>
  <c r="AR401" i="26"/>
  <c r="AR340" i="26"/>
  <c r="AS340" i="26" s="1"/>
  <c r="M156" i="44"/>
  <c r="O94" i="44"/>
  <c r="AQ250" i="27"/>
  <c r="AR250" i="27" s="1"/>
  <c r="N54" i="44"/>
  <c r="AS177" i="27"/>
  <c r="AZ217" i="26"/>
  <c r="BB217" i="26" s="1"/>
  <c r="S84" i="42"/>
  <c r="D278" i="42"/>
  <c r="AZ279" i="27"/>
  <c r="BB279" i="27" s="1"/>
  <c r="AA22" i="191"/>
  <c r="Q74" i="195"/>
  <c r="G60" i="42"/>
  <c r="G122" i="42" s="1"/>
  <c r="G184" i="42" s="1"/>
  <c r="P28" i="42"/>
  <c r="G56" i="42"/>
  <c r="G118" i="42" s="1"/>
  <c r="G180" i="42" s="1"/>
  <c r="BA392" i="26"/>
  <c r="G148" i="6" s="1"/>
  <c r="BA269" i="27"/>
  <c r="AZ237" i="26"/>
  <c r="BB205" i="26"/>
  <c r="E29" i="9"/>
  <c r="AX392" i="26"/>
  <c r="D148" i="6" s="1"/>
  <c r="AR173" i="26"/>
  <c r="O299" i="42"/>
  <c r="D28" i="134"/>
  <c r="BB203" i="27"/>
  <c r="AS235" i="27"/>
  <c r="E28" i="9"/>
  <c r="AZ236" i="26"/>
  <c r="BB204" i="26"/>
  <c r="E30" i="6"/>
  <c r="AS234" i="27"/>
  <c r="BB202" i="27"/>
  <c r="D27" i="134"/>
  <c r="R107" i="42"/>
  <c r="R169" i="42"/>
  <c r="BB203" i="26"/>
  <c r="BB389" i="26" s="1"/>
  <c r="H145" i="6" s="1"/>
  <c r="AZ235" i="26"/>
  <c r="E27" i="9"/>
  <c r="N299" i="44"/>
  <c r="AR392" i="26"/>
  <c r="AV80" i="26"/>
  <c r="AV269" i="27"/>
  <c r="BB201" i="27"/>
  <c r="D26" i="134"/>
  <c r="AR300" i="27"/>
  <c r="AY233" i="27"/>
  <c r="AZ233" i="27" s="1"/>
  <c r="BA233" i="27" s="1"/>
  <c r="G11" i="150" s="1"/>
  <c r="AR233" i="27"/>
  <c r="AV142" i="27"/>
  <c r="AV80" i="27"/>
  <c r="R106" i="42"/>
  <c r="G15" i="9"/>
  <c r="AZ391" i="26"/>
  <c r="BB359" i="26"/>
  <c r="AZ390" i="26"/>
  <c r="BB358" i="26"/>
  <c r="D157" i="6"/>
  <c r="AZ360" i="26"/>
  <c r="BB350" i="26"/>
  <c r="AZ382" i="26"/>
  <c r="AZ206" i="26"/>
  <c r="BB196" i="26"/>
  <c r="E20" i="9"/>
  <c r="E82" i="9" s="1"/>
  <c r="F82" i="9" s="1"/>
  <c r="BB197" i="26"/>
  <c r="BB383" i="26" s="1"/>
  <c r="H139" i="6" s="1"/>
  <c r="AZ383" i="26"/>
  <c r="AZ229" i="26"/>
  <c r="BA229" i="26" s="1"/>
  <c r="E21" i="9"/>
  <c r="AQ238" i="26"/>
  <c r="AR238" i="26" s="1"/>
  <c r="AS238" i="26" s="1"/>
  <c r="AR228" i="26"/>
  <c r="AS228" i="26" s="1"/>
  <c r="S292" i="44"/>
  <c r="S295" i="44"/>
  <c r="BB201" i="26"/>
  <c r="BB387" i="26" s="1"/>
  <c r="H143" i="6" s="1"/>
  <c r="E25" i="9"/>
  <c r="AZ387" i="26"/>
  <c r="AZ233" i="26"/>
  <c r="BA233" i="26" s="1"/>
  <c r="L113" i="196"/>
  <c r="AQ174" i="26"/>
  <c r="AZ143" i="26"/>
  <c r="S79" i="44"/>
  <c r="S106" i="44"/>
  <c r="AZ79" i="26"/>
  <c r="L73" i="196"/>
  <c r="P79" i="44"/>
  <c r="AR172" i="26"/>
  <c r="AR164" i="26"/>
  <c r="AP174" i="26"/>
  <c r="AR170" i="26"/>
  <c r="AR168" i="26"/>
  <c r="AR166" i="26"/>
  <c r="E15" i="6"/>
  <c r="AZ299" i="27"/>
  <c r="F58" i="6" s="1"/>
  <c r="BB267" i="27"/>
  <c r="AZ298" i="27"/>
  <c r="F57" i="6" s="1"/>
  <c r="BB266" i="27"/>
  <c r="AZ297" i="27"/>
  <c r="F56" i="6" s="1"/>
  <c r="BB265" i="27"/>
  <c r="BB258" i="27"/>
  <c r="AZ268" i="27"/>
  <c r="D74" i="6"/>
  <c r="U290" i="42"/>
  <c r="BB200" i="27"/>
  <c r="BB296" i="27" s="1"/>
  <c r="D25" i="134"/>
  <c r="AZ296" i="27"/>
  <c r="F55" i="6" s="1"/>
  <c r="BB196" i="27"/>
  <c r="BB292" i="27" s="1"/>
  <c r="D21" i="134"/>
  <c r="AZ292" i="27"/>
  <c r="CR30" i="190" s="1"/>
  <c r="AZ204" i="27"/>
  <c r="P292" i="42"/>
  <c r="T196" i="42"/>
  <c r="S228" i="42" s="1"/>
  <c r="T228" i="42" s="1"/>
  <c r="U228" i="42" s="1"/>
  <c r="S203" i="42"/>
  <c r="P291" i="42"/>
  <c r="T197" i="42"/>
  <c r="S229" i="42" s="1"/>
  <c r="T229" i="42" s="1"/>
  <c r="U229" i="42" s="1"/>
  <c r="N299" i="42"/>
  <c r="BB199" i="27"/>
  <c r="BB295" i="27" s="1"/>
  <c r="D24" i="134"/>
  <c r="AZ295" i="27"/>
  <c r="CR69" i="190" s="1"/>
  <c r="F22" i="134"/>
  <c r="Q7" i="150" s="1"/>
  <c r="AZ141" i="27"/>
  <c r="P140" i="42"/>
  <c r="T130" i="42"/>
  <c r="L113" i="195"/>
  <c r="AZ79" i="27"/>
  <c r="L73" i="195"/>
  <c r="AT172" i="27"/>
  <c r="AU172" i="27"/>
  <c r="AV162" i="27"/>
  <c r="P102" i="42"/>
  <c r="AR167" i="27"/>
  <c r="AR110" i="27"/>
  <c r="AR165" i="27"/>
  <c r="AR171" i="27"/>
  <c r="AR163" i="27"/>
  <c r="AR169" i="27"/>
  <c r="AP172" i="27"/>
  <c r="N9" i="150"/>
  <c r="N5" i="150"/>
  <c r="D11" i="183"/>
  <c r="F127" i="185"/>
  <c r="O111" i="185"/>
  <c r="O127" i="185" s="1"/>
  <c r="B127" i="185"/>
  <c r="K111" i="185"/>
  <c r="K127" i="185" s="1"/>
  <c r="Q98" i="185"/>
  <c r="Z98" i="185" s="1"/>
  <c r="AH98" i="185" s="1"/>
  <c r="AA182" i="188"/>
  <c r="Q134" i="185"/>
  <c r="Z134" i="185" s="1"/>
  <c r="AH134" i="185" s="1"/>
  <c r="Q136" i="185"/>
  <c r="Z136" i="185" s="1"/>
  <c r="AH136" i="185" s="1"/>
  <c r="AA185" i="188"/>
  <c r="AA178" i="188"/>
  <c r="Z182" i="188"/>
  <c r="G113" i="196"/>
  <c r="J98" i="195"/>
  <c r="E8" i="195" s="1"/>
  <c r="AA180" i="188"/>
  <c r="AA183" i="188"/>
  <c r="Q76" i="185"/>
  <c r="Z76" i="185" s="1"/>
  <c r="AH76" i="185" s="1"/>
  <c r="Z179" i="188"/>
  <c r="AA168" i="188"/>
  <c r="Z164" i="188"/>
  <c r="Z181" i="188"/>
  <c r="Z185" i="188"/>
  <c r="AA184" i="188"/>
  <c r="W187" i="188"/>
  <c r="V187" i="188"/>
  <c r="Q78" i="185"/>
  <c r="Z78" i="185" s="1"/>
  <c r="AH78" i="185" s="1"/>
  <c r="Q117" i="185"/>
  <c r="Z117" i="185" s="1"/>
  <c r="AH117" i="185" s="1"/>
  <c r="Q74" i="185"/>
  <c r="Z74" i="185" s="1"/>
  <c r="AH74" i="185" s="1"/>
  <c r="AA181" i="188"/>
  <c r="AA179" i="188"/>
  <c r="Z168" i="188"/>
  <c r="F98" i="196"/>
  <c r="D8" i="196" s="1"/>
  <c r="AA170" i="188"/>
  <c r="W172" i="188"/>
  <c r="V172" i="188"/>
  <c r="Q120" i="185"/>
  <c r="Z120" i="185" s="1"/>
  <c r="AH120" i="185" s="1"/>
  <c r="Q77" i="185"/>
  <c r="Z77" i="185" s="1"/>
  <c r="AH77" i="185" s="1"/>
  <c r="Q118" i="185"/>
  <c r="Z118" i="185" s="1"/>
  <c r="AH118" i="185" s="1"/>
  <c r="Q75" i="185"/>
  <c r="Z75" i="185" s="1"/>
  <c r="AH75" i="185" s="1"/>
  <c r="Y187" i="188"/>
  <c r="X110" i="188"/>
  <c r="Y110" i="188"/>
  <c r="J98" i="196"/>
  <c r="E8" i="196" s="1"/>
  <c r="J53" i="196"/>
  <c r="E16" i="196" s="1"/>
  <c r="F16" i="196" s="1"/>
  <c r="J68" i="196"/>
  <c r="E20" i="196" s="1"/>
  <c r="H20" i="196" s="1"/>
  <c r="AA103" i="188"/>
  <c r="Y165" i="188"/>
  <c r="M48" i="185"/>
  <c r="Z47" i="188"/>
  <c r="AA109" i="188"/>
  <c r="Y171" i="188"/>
  <c r="AA101" i="188"/>
  <c r="Y163" i="188"/>
  <c r="Z107" i="188"/>
  <c r="X169" i="188"/>
  <c r="M133" i="185"/>
  <c r="M94" i="185"/>
  <c r="N48" i="195"/>
  <c r="Z162" i="188"/>
  <c r="AA107" i="188"/>
  <c r="Y169" i="188"/>
  <c r="Z103" i="188"/>
  <c r="X165" i="188"/>
  <c r="M118" i="185"/>
  <c r="M75" i="185"/>
  <c r="X171" i="188"/>
  <c r="Z109" i="188"/>
  <c r="AA105" i="188"/>
  <c r="Y167" i="188"/>
  <c r="Z101" i="188"/>
  <c r="X163" i="188"/>
  <c r="M98" i="185"/>
  <c r="M137" i="185"/>
  <c r="M96" i="185"/>
  <c r="M135" i="185"/>
  <c r="AW44" i="201"/>
  <c r="AZ72" i="201"/>
  <c r="K85" i="201"/>
  <c r="O85" i="201" s="1"/>
  <c r="K68" i="201"/>
  <c r="O37" i="201"/>
  <c r="O68" i="201" s="1"/>
  <c r="K69" i="201"/>
  <c r="O38" i="201"/>
  <c r="O69" i="201" s="1"/>
  <c r="K74" i="201"/>
  <c r="O43" i="201"/>
  <c r="O74" i="201" s="1"/>
  <c r="BC93" i="201"/>
  <c r="K75" i="201"/>
  <c r="O44" i="201"/>
  <c r="O75" i="201" s="1"/>
  <c r="K71" i="201"/>
  <c r="O40" i="201"/>
  <c r="O71" i="201" s="1"/>
  <c r="K66" i="201"/>
  <c r="K45" i="201"/>
  <c r="O35" i="201"/>
  <c r="O42" i="201"/>
  <c r="O73" i="201" s="1"/>
  <c r="K73" i="201"/>
  <c r="K90" i="201"/>
  <c r="O90" i="201" s="1"/>
  <c r="K84" i="201"/>
  <c r="O84" i="201" s="1"/>
  <c r="H185" i="170"/>
  <c r="AL186" i="27"/>
  <c r="AT178" i="27"/>
  <c r="C181" i="26"/>
  <c r="L289" i="44"/>
  <c r="L267" i="44"/>
  <c r="AV72" i="201"/>
  <c r="AW56" i="201"/>
  <c r="G29" i="201"/>
  <c r="C107" i="201"/>
  <c r="J505" i="182"/>
  <c r="I505" i="182"/>
  <c r="G505" i="182"/>
  <c r="H505" i="182" s="1"/>
  <c r="J453" i="182"/>
  <c r="I453" i="182"/>
  <c r="G453" i="182"/>
  <c r="H453" i="182" s="1"/>
  <c r="AZ89" i="201"/>
  <c r="G175" i="183"/>
  <c r="D367" i="183"/>
  <c r="I175" i="183"/>
  <c r="J175" i="183" s="1"/>
  <c r="H175" i="183"/>
  <c r="J28" i="201"/>
  <c r="H106" i="201"/>
  <c r="AS68" i="201"/>
  <c r="J49" i="132" s="1"/>
  <c r="I317" i="183"/>
  <c r="J317" i="183" s="1"/>
  <c r="Q371" i="183"/>
  <c r="L317" i="183"/>
  <c r="H317" i="183"/>
  <c r="G317" i="183"/>
  <c r="K317" i="183"/>
  <c r="S214" i="44"/>
  <c r="O26" i="33"/>
  <c r="J22" i="9"/>
  <c r="AZ66" i="201"/>
  <c r="AZ60" i="201"/>
  <c r="D459" i="182"/>
  <c r="AY403" i="26"/>
  <c r="J144" i="6" s="1"/>
  <c r="O144" i="6" s="1"/>
  <c r="J114" i="6"/>
  <c r="K310" i="44"/>
  <c r="C310" i="44"/>
  <c r="S278" i="44"/>
  <c r="AY399" i="26"/>
  <c r="J140" i="6" s="1"/>
  <c r="O140" i="6" s="1"/>
  <c r="J110" i="6"/>
  <c r="C306" i="44"/>
  <c r="S274" i="44"/>
  <c r="L27" i="9"/>
  <c r="D214" i="44"/>
  <c r="R214" i="44"/>
  <c r="N26" i="33"/>
  <c r="I22" i="9"/>
  <c r="D475" i="182"/>
  <c r="O139" i="125"/>
  <c r="P139" i="125"/>
  <c r="AX158" i="26"/>
  <c r="AM315" i="27"/>
  <c r="L281" i="42"/>
  <c r="AB314" i="27"/>
  <c r="AX308" i="27"/>
  <c r="I52" i="6" s="1"/>
  <c r="N52" i="6" s="1"/>
  <c r="D37" i="6"/>
  <c r="I22" i="6"/>
  <c r="L273" i="42"/>
  <c r="AB306" i="27"/>
  <c r="D217" i="42"/>
  <c r="AZ218" i="27"/>
  <c r="C250" i="27"/>
  <c r="R216" i="42"/>
  <c r="S246" i="27"/>
  <c r="T220" i="27"/>
  <c r="P208" i="42"/>
  <c r="N218" i="42"/>
  <c r="F218" i="42"/>
  <c r="AZ91" i="201"/>
  <c r="E285" i="183"/>
  <c r="K369" i="183"/>
  <c r="I244" i="183"/>
  <c r="J244" i="183" s="1"/>
  <c r="H244" i="183"/>
  <c r="K244" i="183"/>
  <c r="G244" i="183"/>
  <c r="T99" i="6"/>
  <c r="K99" i="6"/>
  <c r="N99" i="6"/>
  <c r="T375" i="26"/>
  <c r="T397" i="26"/>
  <c r="W247" i="26"/>
  <c r="X247" i="26" s="1"/>
  <c r="Y247" i="26" s="1"/>
  <c r="U210" i="44"/>
  <c r="C218" i="44"/>
  <c r="S208" i="44"/>
  <c r="K23" i="134"/>
  <c r="DN68" i="190" s="1"/>
  <c r="S211" i="42"/>
  <c r="AA78" i="191"/>
  <c r="Q81" i="195"/>
  <c r="I306" i="44"/>
  <c r="D33" i="33"/>
  <c r="C251" i="26"/>
  <c r="D251" i="26" s="1"/>
  <c r="E251" i="26" s="1"/>
  <c r="AZ219" i="26"/>
  <c r="B188" i="26"/>
  <c r="D125" i="26"/>
  <c r="B187" i="26"/>
  <c r="D124" i="26"/>
  <c r="B186" i="26"/>
  <c r="B185" i="26"/>
  <c r="D122" i="26"/>
  <c r="B184" i="26"/>
  <c r="D121" i="26"/>
  <c r="B183" i="26"/>
  <c r="B182" i="26"/>
  <c r="D119" i="26"/>
  <c r="AK117" i="26"/>
  <c r="P154" i="44"/>
  <c r="H111" i="196"/>
  <c r="K111" i="196" s="1"/>
  <c r="P150" i="44"/>
  <c r="H107" i="196"/>
  <c r="K107" i="196" s="1"/>
  <c r="M64" i="191"/>
  <c r="I79" i="196"/>
  <c r="AP180" i="26"/>
  <c r="S279" i="42"/>
  <c r="C311" i="42"/>
  <c r="H275" i="42"/>
  <c r="P308" i="27"/>
  <c r="D13" i="33"/>
  <c r="D212" i="42"/>
  <c r="AZ213" i="27"/>
  <c r="C245" i="27"/>
  <c r="K242" i="27"/>
  <c r="L242" i="27" s="1"/>
  <c r="B178" i="27"/>
  <c r="S39" i="134"/>
  <c r="J9" i="132" s="1"/>
  <c r="F36" i="35"/>
  <c r="M72" i="35"/>
  <c r="O71" i="35" s="1"/>
  <c r="P71" i="35" s="1"/>
  <c r="H71" i="35"/>
  <c r="D148" i="44"/>
  <c r="AZ150" i="26"/>
  <c r="P105" i="196" s="1"/>
  <c r="S105" i="196" s="1"/>
  <c r="AX94" i="26"/>
  <c r="G179" i="26"/>
  <c r="E52" i="44"/>
  <c r="E116" i="26"/>
  <c r="BA52" i="26"/>
  <c r="E62" i="26"/>
  <c r="B282" i="42"/>
  <c r="R272" i="42"/>
  <c r="B304" i="42"/>
  <c r="O8" i="134"/>
  <c r="P92" i="42"/>
  <c r="H31" i="125"/>
  <c r="G31" i="125"/>
  <c r="W7" i="9"/>
  <c r="P7" i="9"/>
  <c r="AV158" i="26"/>
  <c r="AW183" i="26"/>
  <c r="I78" i="196"/>
  <c r="M56" i="191"/>
  <c r="AY57" i="26"/>
  <c r="Y116" i="26"/>
  <c r="Y62" i="26"/>
  <c r="AQ247" i="27"/>
  <c r="AR247" i="27" s="1"/>
  <c r="Z186" i="27"/>
  <c r="AP182" i="27"/>
  <c r="B180" i="27"/>
  <c r="U84" i="42"/>
  <c r="G93" i="42"/>
  <c r="C59" i="42"/>
  <c r="AY59" i="27"/>
  <c r="C122" i="27"/>
  <c r="D122" i="27" s="1"/>
  <c r="L89" i="28"/>
  <c r="L41" i="28"/>
  <c r="AY308" i="27"/>
  <c r="J52" i="6" s="1"/>
  <c r="O52" i="6" s="1"/>
  <c r="J22" i="6"/>
  <c r="O22" i="6" s="1"/>
  <c r="E37" i="6"/>
  <c r="O37" i="6" s="1"/>
  <c r="K241" i="27"/>
  <c r="L219" i="27"/>
  <c r="N179" i="27"/>
  <c r="BA60" i="27"/>
  <c r="P46" i="185" s="1"/>
  <c r="Q51" i="195" s="1"/>
  <c r="M30" i="42"/>
  <c r="W121" i="26"/>
  <c r="W184" i="26" s="1"/>
  <c r="BA306" i="27"/>
  <c r="L50" i="6" s="1"/>
  <c r="Q50" i="6" s="1"/>
  <c r="L20" i="6"/>
  <c r="Q20" i="6" s="1"/>
  <c r="G35" i="6"/>
  <c r="Q35" i="6" s="1"/>
  <c r="G9" i="33"/>
  <c r="H208" i="42"/>
  <c r="O241" i="27"/>
  <c r="P219" i="27"/>
  <c r="V183" i="27"/>
  <c r="X183" i="27" s="1"/>
  <c r="X121" i="27"/>
  <c r="N186" i="27"/>
  <c r="C53" i="42"/>
  <c r="AY53" i="27"/>
  <c r="C116" i="27"/>
  <c r="D116" i="27" s="1"/>
  <c r="H92" i="28"/>
  <c r="L86" i="28"/>
  <c r="Q79" i="196"/>
  <c r="AA64" i="191"/>
  <c r="L275" i="42"/>
  <c r="AB308" i="27"/>
  <c r="K26" i="134"/>
  <c r="D9" i="33"/>
  <c r="D208" i="42"/>
  <c r="D219" i="27"/>
  <c r="C241" i="27"/>
  <c r="AZ209" i="27"/>
  <c r="F59" i="44"/>
  <c r="AX59" i="27"/>
  <c r="C156" i="44"/>
  <c r="S146" i="44"/>
  <c r="R267" i="44"/>
  <c r="R289" i="44"/>
  <c r="D295" i="44"/>
  <c r="T263" i="44"/>
  <c r="H289" i="44"/>
  <c r="H267" i="44"/>
  <c r="E171" i="44"/>
  <c r="U171" i="44" s="1"/>
  <c r="U109" i="44"/>
  <c r="E162" i="44"/>
  <c r="U100" i="44"/>
  <c r="K235" i="44"/>
  <c r="L235" i="44" s="1"/>
  <c r="M235" i="44" s="1"/>
  <c r="T259" i="42"/>
  <c r="P293" i="42"/>
  <c r="H225" i="42"/>
  <c r="I225" i="42" s="1"/>
  <c r="T202" i="42"/>
  <c r="S234" i="42" s="1"/>
  <c r="T234" i="42" s="1"/>
  <c r="U234" i="42" s="1"/>
  <c r="P15" i="42"/>
  <c r="T194" i="42"/>
  <c r="S226" i="42" s="1"/>
  <c r="T226" i="42" s="1"/>
  <c r="U226" i="42" s="1"/>
  <c r="C168" i="42"/>
  <c r="S168" i="42" s="1"/>
  <c r="S106" i="42"/>
  <c r="AS74" i="201"/>
  <c r="AS77" i="201" s="1"/>
  <c r="AV66" i="201"/>
  <c r="AW50" i="201"/>
  <c r="AV60" i="201"/>
  <c r="AW43" i="201"/>
  <c r="N98" i="201"/>
  <c r="N30" i="201"/>
  <c r="AS72" i="201"/>
  <c r="J53" i="132" s="1"/>
  <c r="J507" i="182"/>
  <c r="I507" i="182"/>
  <c r="G507" i="182"/>
  <c r="H507" i="182" s="1"/>
  <c r="J500" i="182"/>
  <c r="I500" i="182"/>
  <c r="G500" i="182"/>
  <c r="H500" i="182" s="1"/>
  <c r="E424" i="182"/>
  <c r="E273" i="183"/>
  <c r="D372" i="183"/>
  <c r="G335" i="183"/>
  <c r="I335" i="183"/>
  <c r="J335" i="183" s="1"/>
  <c r="H335" i="183"/>
  <c r="I203" i="183"/>
  <c r="J203" i="183" s="1"/>
  <c r="L203" i="183"/>
  <c r="G439" i="182"/>
  <c r="H439" i="182" s="1"/>
  <c r="J439" i="182"/>
  <c r="I439" i="182"/>
  <c r="E241" i="182"/>
  <c r="E234" i="183"/>
  <c r="E374" i="182"/>
  <c r="J171" i="42"/>
  <c r="AX106" i="201"/>
  <c r="AZ28" i="201"/>
  <c r="L244" i="183"/>
  <c r="F107" i="201"/>
  <c r="J491" i="182"/>
  <c r="I491" i="182"/>
  <c r="G491" i="182"/>
  <c r="H491" i="182" s="1"/>
  <c r="E349" i="183"/>
  <c r="I458" i="182"/>
  <c r="G458" i="182"/>
  <c r="H458" i="182" s="1"/>
  <c r="J458" i="182"/>
  <c r="H271" i="183"/>
  <c r="E271" i="182"/>
  <c r="G452" i="182"/>
  <c r="H452" i="182" s="1"/>
  <c r="J452" i="182"/>
  <c r="I452" i="182"/>
  <c r="E145" i="183"/>
  <c r="E420" i="182"/>
  <c r="G51" i="136"/>
  <c r="C70" i="136"/>
  <c r="H70" i="136" s="1"/>
  <c r="K70" i="136" s="1"/>
  <c r="D93" i="35"/>
  <c r="F85" i="35"/>
  <c r="AX405" i="26"/>
  <c r="I146" i="6" s="1"/>
  <c r="N146" i="6" s="1"/>
  <c r="I116" i="6"/>
  <c r="BA402" i="26"/>
  <c r="L113" i="6"/>
  <c r="N308" i="44"/>
  <c r="AY400" i="26"/>
  <c r="J141" i="6" s="1"/>
  <c r="O141" i="6" s="1"/>
  <c r="J111" i="6"/>
  <c r="AX397" i="26"/>
  <c r="I138" i="6" s="1"/>
  <c r="N138" i="6" s="1"/>
  <c r="AX375" i="26"/>
  <c r="I108" i="6"/>
  <c r="P215" i="44"/>
  <c r="O247" i="44" s="1"/>
  <c r="P247" i="44" s="1"/>
  <c r="Q247" i="44" s="1"/>
  <c r="H215" i="44"/>
  <c r="G247" i="44" s="1"/>
  <c r="H247" i="44" s="1"/>
  <c r="I247" i="44" s="1"/>
  <c r="O31" i="33"/>
  <c r="J26" i="9"/>
  <c r="U212" i="44"/>
  <c r="BA221" i="26"/>
  <c r="L20" i="9"/>
  <c r="I218" i="44"/>
  <c r="AX76" i="201"/>
  <c r="AU93" i="201"/>
  <c r="AP93" i="201"/>
  <c r="E108" i="201"/>
  <c r="N337" i="183"/>
  <c r="L426" i="182"/>
  <c r="K372" i="183"/>
  <c r="I340" i="183"/>
  <c r="J340" i="183" s="1"/>
  <c r="H340" i="183"/>
  <c r="K340" i="183"/>
  <c r="G340" i="183"/>
  <c r="J388" i="182"/>
  <c r="I388" i="182"/>
  <c r="G388" i="182"/>
  <c r="H388" i="182" s="1"/>
  <c r="I35" i="182"/>
  <c r="G35" i="182"/>
  <c r="E34" i="182"/>
  <c r="J35" i="182"/>
  <c r="H35" i="182"/>
  <c r="I26" i="183"/>
  <c r="J26" i="183" s="1"/>
  <c r="K26" i="183"/>
  <c r="E48" i="136"/>
  <c r="E7" i="136"/>
  <c r="D8" i="5"/>
  <c r="BA405" i="26"/>
  <c r="L146" i="6" s="1"/>
  <c r="Q146" i="6" s="1"/>
  <c r="L116" i="6"/>
  <c r="Q312" i="44"/>
  <c r="I312" i="44"/>
  <c r="U280" i="44"/>
  <c r="E312" i="44"/>
  <c r="BA401" i="26"/>
  <c r="L142" i="6" s="1"/>
  <c r="Q142" i="6" s="1"/>
  <c r="L112" i="6"/>
  <c r="Q308" i="44"/>
  <c r="I308" i="44"/>
  <c r="U276" i="44"/>
  <c r="E308" i="44"/>
  <c r="BA397" i="26"/>
  <c r="L138" i="6" s="1"/>
  <c r="Q138" i="6" s="1"/>
  <c r="BA375" i="26"/>
  <c r="L108" i="6"/>
  <c r="M282" i="44"/>
  <c r="N31" i="33"/>
  <c r="I26" i="9"/>
  <c r="S213" i="44"/>
  <c r="P210" i="44"/>
  <c r="O242" i="44" s="1"/>
  <c r="P242" i="44" s="1"/>
  <c r="Q242" i="44" s="1"/>
  <c r="H210" i="44"/>
  <c r="G242" i="44" s="1"/>
  <c r="H242" i="44" s="1"/>
  <c r="I242" i="44" s="1"/>
  <c r="O25" i="33"/>
  <c r="J21" i="9"/>
  <c r="AV69" i="201"/>
  <c r="AW53" i="201"/>
  <c r="G332" i="183"/>
  <c r="E305" i="183"/>
  <c r="E425" i="182"/>
  <c r="E298" i="183"/>
  <c r="E376" i="182"/>
  <c r="E301" i="182"/>
  <c r="I393" i="182"/>
  <c r="G393" i="182"/>
  <c r="H393" i="182" s="1"/>
  <c r="J393" i="182"/>
  <c r="J27" i="182"/>
  <c r="I27" i="182"/>
  <c r="E81" i="183"/>
  <c r="E418" i="182"/>
  <c r="J46" i="35"/>
  <c r="J37" i="5"/>
  <c r="G45" i="5"/>
  <c r="I25" i="5"/>
  <c r="J25" i="5"/>
  <c r="AY101" i="201"/>
  <c r="I376" i="26"/>
  <c r="I407" i="26"/>
  <c r="AX403" i="26"/>
  <c r="I144" i="6" s="1"/>
  <c r="N144" i="6" s="1"/>
  <c r="I114" i="6"/>
  <c r="AY402" i="26"/>
  <c r="J113" i="6"/>
  <c r="H277" i="44"/>
  <c r="F309" i="44"/>
  <c r="U275" i="44"/>
  <c r="F306" i="44"/>
  <c r="H274" i="44"/>
  <c r="J103" i="6"/>
  <c r="K93" i="6"/>
  <c r="O93" i="6"/>
  <c r="AB337" i="26"/>
  <c r="R13" i="9"/>
  <c r="Y13" i="9"/>
  <c r="K251" i="26"/>
  <c r="L251" i="26" s="1"/>
  <c r="M251" i="26" s="1"/>
  <c r="P8" i="9"/>
  <c r="W8" i="9"/>
  <c r="AI247" i="26"/>
  <c r="AJ247" i="26" s="1"/>
  <c r="AK247" i="26" s="1"/>
  <c r="L221" i="26"/>
  <c r="P92" i="44"/>
  <c r="D91" i="44"/>
  <c r="AZ91" i="26"/>
  <c r="P88" i="44"/>
  <c r="D87" i="44"/>
  <c r="AZ87" i="26"/>
  <c r="AK119" i="26"/>
  <c r="AH62" i="26"/>
  <c r="AN30" i="26"/>
  <c r="E21" i="185"/>
  <c r="L21" i="185" s="1"/>
  <c r="AI315" i="27"/>
  <c r="H281" i="42"/>
  <c r="P314" i="27"/>
  <c r="K10" i="6"/>
  <c r="N10" i="6"/>
  <c r="AN310" i="27"/>
  <c r="BA309" i="27"/>
  <c r="L53" i="6" s="1"/>
  <c r="Q53" i="6" s="1"/>
  <c r="G38" i="6"/>
  <c r="Q38" i="6" s="1"/>
  <c r="L23" i="6"/>
  <c r="Q23" i="6" s="1"/>
  <c r="N307" i="42"/>
  <c r="H273" i="42"/>
  <c r="P306" i="27"/>
  <c r="I304" i="42"/>
  <c r="E19" i="33"/>
  <c r="L217" i="42"/>
  <c r="K249" i="42" s="1"/>
  <c r="L249" i="42" s="1"/>
  <c r="M249" i="42" s="1"/>
  <c r="AA250" i="27"/>
  <c r="AB250" i="27" s="1"/>
  <c r="N18" i="33"/>
  <c r="H27" i="134"/>
  <c r="S248" i="27"/>
  <c r="P214" i="42"/>
  <c r="O246" i="42" s="1"/>
  <c r="P246" i="42" s="1"/>
  <c r="Q246" i="42" s="1"/>
  <c r="AM246" i="27"/>
  <c r="AN246" i="27" s="1"/>
  <c r="G15" i="33"/>
  <c r="H213" i="42"/>
  <c r="G245" i="42" s="1"/>
  <c r="H245" i="42" s="1"/>
  <c r="I245" i="42" s="1"/>
  <c r="O246" i="27"/>
  <c r="P246" i="27" s="1"/>
  <c r="AI244" i="27"/>
  <c r="AJ244" i="27" s="1"/>
  <c r="D12" i="33"/>
  <c r="D211" i="42"/>
  <c r="AZ212" i="27"/>
  <c r="C244" i="27"/>
  <c r="R210" i="42"/>
  <c r="AX94" i="27"/>
  <c r="AZ84" i="27"/>
  <c r="J470" i="182"/>
  <c r="I470" i="182"/>
  <c r="G470" i="182"/>
  <c r="H470" i="182" s="1"/>
  <c r="G451" i="182"/>
  <c r="H451" i="182" s="1"/>
  <c r="J451" i="182"/>
  <c r="I451" i="182"/>
  <c r="E121" i="182"/>
  <c r="E106" i="183"/>
  <c r="E370" i="182"/>
  <c r="F87" i="35"/>
  <c r="J22" i="5"/>
  <c r="I22" i="5"/>
  <c r="C308" i="44"/>
  <c r="D274" i="44"/>
  <c r="R274" i="44"/>
  <c r="B306" i="44"/>
  <c r="AV375" i="26"/>
  <c r="AV397" i="26"/>
  <c r="AF375" i="26"/>
  <c r="BF375" i="26" s="1"/>
  <c r="AF397" i="26"/>
  <c r="BD397" i="26" s="1"/>
  <c r="P375" i="26"/>
  <c r="P397" i="26"/>
  <c r="I29" i="9"/>
  <c r="D217" i="44"/>
  <c r="R217" i="44"/>
  <c r="AE251" i="26"/>
  <c r="AF251" i="26" s="1"/>
  <c r="AG251" i="26" s="1"/>
  <c r="BE251" i="26" s="1"/>
  <c r="S216" i="44"/>
  <c r="G247" i="26"/>
  <c r="H247" i="26" s="1"/>
  <c r="I247" i="26" s="1"/>
  <c r="H401" i="26"/>
  <c r="D25" i="33"/>
  <c r="AZ212" i="26"/>
  <c r="C244" i="26"/>
  <c r="D244" i="26" s="1"/>
  <c r="E244" i="26" s="1"/>
  <c r="AV221" i="26"/>
  <c r="AU243" i="26"/>
  <c r="H208" i="44"/>
  <c r="F218" i="44"/>
  <c r="O123" i="26"/>
  <c r="O186" i="26" s="1"/>
  <c r="O179" i="26"/>
  <c r="AY314" i="27"/>
  <c r="J58" i="6" s="1"/>
  <c r="O58" i="6" s="1"/>
  <c r="E43" i="6"/>
  <c r="O43" i="6" s="1"/>
  <c r="J28" i="6"/>
  <c r="O28" i="6" s="1"/>
  <c r="N310" i="42"/>
  <c r="AX307" i="27"/>
  <c r="I51" i="6" s="1"/>
  <c r="N51" i="6" s="1"/>
  <c r="I21" i="6"/>
  <c r="D36" i="6"/>
  <c r="AY306" i="27"/>
  <c r="J50" i="6" s="1"/>
  <c r="O50" i="6" s="1"/>
  <c r="E35" i="6"/>
  <c r="O35" i="6" s="1"/>
  <c r="J20" i="6"/>
  <c r="O20" i="6" s="1"/>
  <c r="I220" i="27"/>
  <c r="O17" i="33"/>
  <c r="I26" i="134"/>
  <c r="U214" i="42"/>
  <c r="O12" i="33"/>
  <c r="I22" i="134"/>
  <c r="U210" i="42"/>
  <c r="Q218" i="42"/>
  <c r="AY156" i="27"/>
  <c r="BA94" i="27"/>
  <c r="Q73" i="195"/>
  <c r="C62" i="27"/>
  <c r="O56" i="42"/>
  <c r="O52" i="42"/>
  <c r="D230" i="183"/>
  <c r="D20" i="183"/>
  <c r="E488" i="182"/>
  <c r="E254" i="183"/>
  <c r="H97" i="125"/>
  <c r="G97" i="125"/>
  <c r="H51" i="125"/>
  <c r="G51" i="125"/>
  <c r="P51" i="125" s="1"/>
  <c r="E74" i="35"/>
  <c r="P142" i="125"/>
  <c r="O142" i="125"/>
  <c r="G12" i="35"/>
  <c r="I68" i="35" s="1"/>
  <c r="G8" i="35"/>
  <c r="I64" i="35" s="1"/>
  <c r="G11" i="35"/>
  <c r="I67" i="35" s="1"/>
  <c r="F19" i="35"/>
  <c r="G15" i="35"/>
  <c r="I71" i="35" s="1"/>
  <c r="G13" i="35"/>
  <c r="I69" i="35" s="1"/>
  <c r="G18" i="35"/>
  <c r="J21" i="5"/>
  <c r="I21" i="5"/>
  <c r="Q151" i="125"/>
  <c r="R151" i="125"/>
  <c r="G313" i="44"/>
  <c r="T98" i="6"/>
  <c r="K98" i="6"/>
  <c r="N98" i="6"/>
  <c r="K309" i="44"/>
  <c r="AN399" i="26"/>
  <c r="AZ366" i="26"/>
  <c r="D398" i="26"/>
  <c r="AE407" i="26"/>
  <c r="S407" i="26"/>
  <c r="V13" i="9"/>
  <c r="O13" i="9"/>
  <c r="N33" i="33"/>
  <c r="I28" i="9"/>
  <c r="D216" i="44"/>
  <c r="R216" i="44"/>
  <c r="G30" i="33"/>
  <c r="O248" i="26"/>
  <c r="P248" i="26" s="1"/>
  <c r="Q248" i="26" s="1"/>
  <c r="L212" i="44"/>
  <c r="K244" i="44" s="1"/>
  <c r="L244" i="44" s="1"/>
  <c r="M244" i="44" s="1"/>
  <c r="P209" i="44"/>
  <c r="O241" i="44" s="1"/>
  <c r="P241" i="44" s="1"/>
  <c r="Q241" i="44" s="1"/>
  <c r="O218" i="44"/>
  <c r="D24" i="33"/>
  <c r="C243" i="26"/>
  <c r="AZ211" i="26"/>
  <c r="D221" i="26"/>
  <c r="AD124" i="26"/>
  <c r="AD185" i="26"/>
  <c r="N185" i="26"/>
  <c r="P185" i="26" s="1"/>
  <c r="P122" i="26"/>
  <c r="AT184" i="26"/>
  <c r="AD184" i="26"/>
  <c r="AF184" i="26" s="1"/>
  <c r="BD184" i="26" s="1"/>
  <c r="AF121" i="26"/>
  <c r="BD121" i="26" s="1"/>
  <c r="AT183" i="26"/>
  <c r="AT182" i="26"/>
  <c r="AD119" i="26"/>
  <c r="N181" i="26"/>
  <c r="P181" i="26" s="1"/>
  <c r="P118" i="26"/>
  <c r="K59" i="44"/>
  <c r="K122" i="44" s="1"/>
  <c r="K184" i="44" s="1"/>
  <c r="Q57" i="44"/>
  <c r="Q120" i="44" s="1"/>
  <c r="Q182" i="44" s="1"/>
  <c r="G59" i="185"/>
  <c r="C55" i="44"/>
  <c r="AY55" i="26"/>
  <c r="AX310" i="27"/>
  <c r="D39" i="6"/>
  <c r="I24" i="6"/>
  <c r="C282" i="42"/>
  <c r="P217" i="42"/>
  <c r="O249" i="42" s="1"/>
  <c r="P249" i="42" s="1"/>
  <c r="Q249" i="42" s="1"/>
  <c r="N17" i="33"/>
  <c r="H26" i="134"/>
  <c r="R213" i="42"/>
  <c r="AZ90" i="201"/>
  <c r="H59" i="182"/>
  <c r="G59" i="182"/>
  <c r="E26" i="182"/>
  <c r="J59" i="182"/>
  <c r="I59" i="182"/>
  <c r="G67" i="35"/>
  <c r="P138" i="125"/>
  <c r="O138" i="125"/>
  <c r="AY406" i="26"/>
  <c r="J147" i="6" s="1"/>
  <c r="O147" i="6" s="1"/>
  <c r="J117" i="6"/>
  <c r="O156" i="44"/>
  <c r="I77" i="196"/>
  <c r="AT179" i="26"/>
  <c r="AV116" i="26"/>
  <c r="A130" i="26"/>
  <c r="I57" i="44"/>
  <c r="I120" i="44" s="1"/>
  <c r="I182" i="44" s="1"/>
  <c r="B53" i="44"/>
  <c r="N312" i="42"/>
  <c r="P280" i="42"/>
  <c r="D276" i="42"/>
  <c r="AZ277" i="27"/>
  <c r="D309" i="27"/>
  <c r="S216" i="42"/>
  <c r="S212" i="42"/>
  <c r="R151" i="42"/>
  <c r="AZ148" i="27"/>
  <c r="P105" i="195" s="1"/>
  <c r="S105" i="195" s="1"/>
  <c r="L145" i="42"/>
  <c r="AB156" i="27"/>
  <c r="E155" i="42"/>
  <c r="AZ93" i="27"/>
  <c r="B186" i="27"/>
  <c r="U90" i="42"/>
  <c r="C183" i="27"/>
  <c r="D183" i="27" s="1"/>
  <c r="AH182" i="27"/>
  <c r="R88" i="42"/>
  <c r="Z180" i="27"/>
  <c r="AJ94" i="27"/>
  <c r="T94" i="27"/>
  <c r="BA58" i="27"/>
  <c r="P44" i="185" s="1"/>
  <c r="Q49" i="195" s="1"/>
  <c r="O53" i="42"/>
  <c r="O115" i="42" s="1"/>
  <c r="O177" i="42" s="1"/>
  <c r="AM116" i="27"/>
  <c r="AM178" i="27" s="1"/>
  <c r="L84" i="28"/>
  <c r="G46" i="134"/>
  <c r="S46" i="134" s="1"/>
  <c r="J16" i="132" s="1"/>
  <c r="K364" i="183"/>
  <c r="I84" i="183"/>
  <c r="J84" i="183" s="1"/>
  <c r="L84" i="183"/>
  <c r="H84" i="183"/>
  <c r="K84" i="183"/>
  <c r="G84" i="183"/>
  <c r="E49" i="136"/>
  <c r="E8" i="136"/>
  <c r="H26" i="125"/>
  <c r="G26" i="125"/>
  <c r="L34" i="35"/>
  <c r="O73" i="35"/>
  <c r="P73" i="35" s="1"/>
  <c r="L53" i="35"/>
  <c r="E146" i="125"/>
  <c r="H136" i="125"/>
  <c r="G136" i="125"/>
  <c r="G14" i="35"/>
  <c r="I70" i="35" s="1"/>
  <c r="AV405" i="26"/>
  <c r="BA399" i="26"/>
  <c r="L140" i="6" s="1"/>
  <c r="Q140" i="6" s="1"/>
  <c r="L110" i="6"/>
  <c r="AI246" i="26"/>
  <c r="AJ246" i="26" s="1"/>
  <c r="AK246" i="26" s="1"/>
  <c r="D27" i="33"/>
  <c r="C246" i="26"/>
  <c r="D246" i="26" s="1"/>
  <c r="E246" i="26" s="1"/>
  <c r="AZ214" i="26"/>
  <c r="K34" i="33"/>
  <c r="I34" i="33"/>
  <c r="W243" i="26"/>
  <c r="X221" i="26"/>
  <c r="G243" i="26"/>
  <c r="H221" i="26"/>
  <c r="D152" i="44"/>
  <c r="AZ154" i="26"/>
  <c r="P109" i="196" s="1"/>
  <c r="S109" i="196" s="1"/>
  <c r="S148" i="44"/>
  <c r="L146" i="44"/>
  <c r="AB158" i="26"/>
  <c r="AW186" i="26"/>
  <c r="AW182" i="26"/>
  <c r="AA32" i="191"/>
  <c r="Q75" i="196"/>
  <c r="AI117" i="26"/>
  <c r="F55" i="44"/>
  <c r="W62" i="26"/>
  <c r="M53" i="44"/>
  <c r="M116" i="44" s="1"/>
  <c r="M178" i="44" s="1"/>
  <c r="U116" i="26"/>
  <c r="U62" i="26"/>
  <c r="L280" i="42"/>
  <c r="AB313" i="27"/>
  <c r="N8" i="6"/>
  <c r="K8" i="6"/>
  <c r="AJ308" i="27"/>
  <c r="D275" i="42"/>
  <c r="AZ276" i="27"/>
  <c r="D308" i="27"/>
  <c r="AO315" i="27"/>
  <c r="AJ305" i="27"/>
  <c r="AJ283" i="27"/>
  <c r="T305" i="27"/>
  <c r="T283" i="27"/>
  <c r="D272" i="42"/>
  <c r="AZ273" i="27"/>
  <c r="D305" i="27"/>
  <c r="D283" i="27"/>
  <c r="W249" i="27"/>
  <c r="X249" i="27" s="1"/>
  <c r="AM247" i="27"/>
  <c r="AN247" i="27" s="1"/>
  <c r="J10" i="134"/>
  <c r="AN311" i="27"/>
  <c r="O13" i="33"/>
  <c r="I23" i="134"/>
  <c r="G245" i="27"/>
  <c r="H245" i="27" s="1"/>
  <c r="O6" i="134"/>
  <c r="AU242" i="27"/>
  <c r="AV242" i="27" s="1"/>
  <c r="AV306" i="27"/>
  <c r="Q103" i="195"/>
  <c r="Q113" i="195" s="1"/>
  <c r="BA156" i="27"/>
  <c r="F155" i="42"/>
  <c r="X124" i="27"/>
  <c r="V186" i="27"/>
  <c r="X186" i="27" s="1"/>
  <c r="N184" i="27"/>
  <c r="H77" i="195"/>
  <c r="K77" i="195" s="1"/>
  <c r="J31" i="195" s="1"/>
  <c r="AT118" i="27"/>
  <c r="N180" i="27"/>
  <c r="Q58" i="42"/>
  <c r="Q120" i="42" s="1"/>
  <c r="Q182" i="42" s="1"/>
  <c r="AE62" i="27"/>
  <c r="AV30" i="27"/>
  <c r="C57" i="42"/>
  <c r="AY57" i="27"/>
  <c r="C120" i="27"/>
  <c r="D120" i="27" s="1"/>
  <c r="L88" i="28"/>
  <c r="L69" i="28"/>
  <c r="L34" i="28"/>
  <c r="L12" i="28"/>
  <c r="F27" i="196"/>
  <c r="S101" i="185"/>
  <c r="U101" i="185"/>
  <c r="E54" i="136"/>
  <c r="E64" i="136" s="1"/>
  <c r="E14" i="136"/>
  <c r="J309" i="44"/>
  <c r="L277" i="44"/>
  <c r="P273" i="44"/>
  <c r="N305" i="44"/>
  <c r="AK222" i="26"/>
  <c r="L217" i="44"/>
  <c r="K249" i="44" s="1"/>
  <c r="L249" i="44" s="1"/>
  <c r="M249" i="44" s="1"/>
  <c r="Y10" i="9"/>
  <c r="R10" i="9"/>
  <c r="U214" i="44"/>
  <c r="S153" i="44"/>
  <c r="D149" i="44"/>
  <c r="AZ151" i="26"/>
  <c r="P106" i="196" s="1"/>
  <c r="S106" i="196" s="1"/>
  <c r="G156" i="44"/>
  <c r="Q95" i="26"/>
  <c r="AI125" i="26"/>
  <c r="AI188" i="26" s="1"/>
  <c r="I80" i="196"/>
  <c r="M72" i="191"/>
  <c r="N94" i="44"/>
  <c r="K179" i="26"/>
  <c r="J55" i="44"/>
  <c r="N61" i="44"/>
  <c r="AX61" i="26"/>
  <c r="I59" i="44"/>
  <c r="I122" i="44" s="1"/>
  <c r="I184" i="44" s="1"/>
  <c r="N62" i="26"/>
  <c r="K311" i="42"/>
  <c r="AR309" i="27"/>
  <c r="AN308" i="27"/>
  <c r="X285" i="27"/>
  <c r="X308" i="27"/>
  <c r="M305" i="42"/>
  <c r="N4" i="6"/>
  <c r="K4" i="6"/>
  <c r="I14" i="6"/>
  <c r="N14" i="6" s="1"/>
  <c r="N282" i="42"/>
  <c r="N304" i="42"/>
  <c r="P272" i="42"/>
  <c r="AQ249" i="27"/>
  <c r="AR249" i="27" s="1"/>
  <c r="U211" i="42"/>
  <c r="N10" i="33"/>
  <c r="H20" i="134"/>
  <c r="S242" i="27"/>
  <c r="R153" i="42"/>
  <c r="AZ150" i="27"/>
  <c r="P107" i="195" s="1"/>
  <c r="S107" i="195" s="1"/>
  <c r="AP186" i="27"/>
  <c r="AR186" i="27" s="1"/>
  <c r="AR124" i="27"/>
  <c r="B184" i="27"/>
  <c r="U88" i="42"/>
  <c r="AJ118" i="27"/>
  <c r="AH180" i="27"/>
  <c r="AJ180" i="27" s="1"/>
  <c r="R86" i="42"/>
  <c r="L84" i="42"/>
  <c r="AB94" i="27"/>
  <c r="L94" i="27"/>
  <c r="AY60" i="27"/>
  <c r="AK117" i="27"/>
  <c r="J53" i="42"/>
  <c r="J115" i="42" s="1"/>
  <c r="J177" i="42" s="1"/>
  <c r="Z62" i="27"/>
  <c r="AI62" i="27"/>
  <c r="G61" i="42"/>
  <c r="G123" i="42" s="1"/>
  <c r="G185" i="42" s="1"/>
  <c r="O124" i="27"/>
  <c r="O186" i="27" s="1"/>
  <c r="P27" i="42"/>
  <c r="G53" i="42"/>
  <c r="O116" i="27"/>
  <c r="O178" i="27" s="1"/>
  <c r="L82" i="28"/>
  <c r="L70" i="28"/>
  <c r="L53" i="28"/>
  <c r="S100" i="185"/>
  <c r="U100" i="185"/>
  <c r="G31" i="182"/>
  <c r="I31" i="182"/>
  <c r="H31" i="182"/>
  <c r="J31" i="182"/>
  <c r="H30" i="182"/>
  <c r="I30" i="182"/>
  <c r="G30" i="182"/>
  <c r="E29" i="182"/>
  <c r="J30" i="182"/>
  <c r="O373" i="183"/>
  <c r="Q363" i="183"/>
  <c r="D85" i="136"/>
  <c r="E85" i="136" s="1"/>
  <c r="J53" i="136"/>
  <c r="L51" i="35"/>
  <c r="L32" i="35"/>
  <c r="H281" i="44"/>
  <c r="F313" i="44"/>
  <c r="J27" i="33"/>
  <c r="AA246" i="26"/>
  <c r="AB246" i="26" s="1"/>
  <c r="AC246" i="26" s="1"/>
  <c r="G123" i="26"/>
  <c r="G186" i="26" s="1"/>
  <c r="N55" i="44"/>
  <c r="BA310" i="27"/>
  <c r="L24" i="6"/>
  <c r="Q24" i="6" s="1"/>
  <c r="G39" i="6"/>
  <c r="Q39" i="6" s="1"/>
  <c r="AW315" i="27"/>
  <c r="G242" i="27"/>
  <c r="H242" i="27" s="1"/>
  <c r="F183" i="27"/>
  <c r="J55" i="42"/>
  <c r="J117" i="42" s="1"/>
  <c r="J179" i="42" s="1"/>
  <c r="Q60" i="42"/>
  <c r="Q122" i="42" s="1"/>
  <c r="Q184" i="42" s="1"/>
  <c r="AO123" i="27"/>
  <c r="G46" i="185"/>
  <c r="I51" i="195" s="1"/>
  <c r="I96" i="195" s="1"/>
  <c r="I60" i="42"/>
  <c r="I122" i="42" s="1"/>
  <c r="I184" i="42" s="1"/>
  <c r="Q123" i="27"/>
  <c r="E60" i="42"/>
  <c r="K57" i="42"/>
  <c r="K119" i="42" s="1"/>
  <c r="K181" i="42" s="1"/>
  <c r="G55" i="42"/>
  <c r="G117" i="42" s="1"/>
  <c r="G179" i="42" s="1"/>
  <c r="O118" i="27"/>
  <c r="O180" i="27" s="1"/>
  <c r="F15" i="185"/>
  <c r="I15" i="185" s="1"/>
  <c r="I58" i="195"/>
  <c r="I5" i="185"/>
  <c r="I30" i="42"/>
  <c r="I52" i="42"/>
  <c r="Q115" i="27"/>
  <c r="Q62" i="27"/>
  <c r="L15" i="28"/>
  <c r="H117" i="6"/>
  <c r="D163" i="6"/>
  <c r="F103" i="6"/>
  <c r="H103" i="6" s="1"/>
  <c r="H212" i="44"/>
  <c r="G244" i="44" s="1"/>
  <c r="H244" i="44" s="1"/>
  <c r="I244" i="44" s="1"/>
  <c r="D150" i="44"/>
  <c r="AZ152" i="26"/>
  <c r="P107" i="196" s="1"/>
  <c r="S107" i="196" s="1"/>
  <c r="Q81" i="196"/>
  <c r="AA80" i="191"/>
  <c r="M121" i="26"/>
  <c r="AE62" i="26"/>
  <c r="C53" i="44"/>
  <c r="B52" i="44"/>
  <c r="K20" i="134"/>
  <c r="DN29" i="190" s="1"/>
  <c r="AE241" i="27"/>
  <c r="AF219" i="27"/>
  <c r="BD219" i="27" s="1"/>
  <c r="CS104" i="190"/>
  <c r="F19" i="33"/>
  <c r="I82" i="195"/>
  <c r="N182" i="27"/>
  <c r="N178" i="27"/>
  <c r="AX55" i="27"/>
  <c r="P29" i="42"/>
  <c r="E179" i="27"/>
  <c r="P21" i="42"/>
  <c r="H85" i="28"/>
  <c r="J85" i="28" s="1"/>
  <c r="L76" i="28"/>
  <c r="D70" i="6"/>
  <c r="T30" i="9"/>
  <c r="K35" i="132" s="1"/>
  <c r="S80" i="185"/>
  <c r="U80" i="185"/>
  <c r="R280" i="42"/>
  <c r="B312" i="42"/>
  <c r="AE249" i="27"/>
  <c r="AF249" i="27" s="1"/>
  <c r="BF249" i="27" s="1"/>
  <c r="AE245" i="27"/>
  <c r="AF245" i="27" s="1"/>
  <c r="BF245" i="27" s="1"/>
  <c r="N59" i="42"/>
  <c r="H27" i="6"/>
  <c r="P153" i="44"/>
  <c r="Y124" i="26"/>
  <c r="U90" i="44"/>
  <c r="J61" i="44"/>
  <c r="M60" i="44"/>
  <c r="M123" i="44" s="1"/>
  <c r="M185" i="44" s="1"/>
  <c r="AX53" i="26"/>
  <c r="G311" i="42"/>
  <c r="T310" i="27"/>
  <c r="Z315" i="27"/>
  <c r="Q7" i="134"/>
  <c r="T219" i="27"/>
  <c r="S241" i="27"/>
  <c r="I155" i="42"/>
  <c r="J181" i="27"/>
  <c r="L181" i="27" s="1"/>
  <c r="L119" i="27"/>
  <c r="AF82" i="185"/>
  <c r="AA82" i="185"/>
  <c r="AI82" i="185" s="1"/>
  <c r="F68" i="196"/>
  <c r="D20" i="196" s="1"/>
  <c r="G20" i="196" s="1"/>
  <c r="N58" i="196"/>
  <c r="N68" i="196" s="1"/>
  <c r="AK120" i="26"/>
  <c r="T306" i="27"/>
  <c r="AM241" i="27"/>
  <c r="AN219" i="27"/>
  <c r="J4" i="134"/>
  <c r="O218" i="42"/>
  <c r="D59" i="27"/>
  <c r="F14" i="6"/>
  <c r="H14" i="6" s="1"/>
  <c r="AJ158" i="26"/>
  <c r="AA88" i="191"/>
  <c r="Q82" i="196"/>
  <c r="W125" i="26"/>
  <c r="W188" i="26" s="1"/>
  <c r="U120" i="26"/>
  <c r="BA56" i="26"/>
  <c r="P58" i="185" s="1"/>
  <c r="Q47" i="196" s="1"/>
  <c r="H75" i="195"/>
  <c r="K75" i="195" s="1"/>
  <c r="J29" i="195" s="1"/>
  <c r="M29" i="191"/>
  <c r="L106" i="28"/>
  <c r="E68" i="196"/>
  <c r="D19" i="196" s="1"/>
  <c r="G19" i="196" s="1"/>
  <c r="J31" i="185"/>
  <c r="J68" i="195"/>
  <c r="E20" i="195" s="1"/>
  <c r="R58" i="195"/>
  <c r="R68" i="195" s="1"/>
  <c r="AW62" i="27"/>
  <c r="M62" i="195"/>
  <c r="E68" i="195"/>
  <c r="D19" i="195" s="1"/>
  <c r="G19" i="195" s="1"/>
  <c r="E88" i="196"/>
  <c r="E53" i="196"/>
  <c r="R235" i="44"/>
  <c r="P294" i="42"/>
  <c r="AS60" i="201"/>
  <c r="J47" i="132"/>
  <c r="P290" i="42"/>
  <c r="E162" i="42"/>
  <c r="U162" i="42" s="1"/>
  <c r="U100" i="42"/>
  <c r="E286" i="183"/>
  <c r="E489" i="182"/>
  <c r="J501" i="182"/>
  <c r="I501" i="182"/>
  <c r="G501" i="182"/>
  <c r="H501" i="182" s="1"/>
  <c r="J406" i="182"/>
  <c r="I406" i="182"/>
  <c r="G406" i="182"/>
  <c r="H406" i="182" s="1"/>
  <c r="D368" i="183"/>
  <c r="K207" i="183"/>
  <c r="G207" i="183"/>
  <c r="I207" i="183"/>
  <c r="J207" i="183" s="1"/>
  <c r="L207" i="183"/>
  <c r="H207" i="183"/>
  <c r="Q94" i="183"/>
  <c r="P94" i="183"/>
  <c r="C105" i="201"/>
  <c r="I47" i="182"/>
  <c r="J47" i="182"/>
  <c r="H47" i="182"/>
  <c r="G47" i="182"/>
  <c r="I54" i="182"/>
  <c r="H54" i="182"/>
  <c r="G54" i="182"/>
  <c r="J54" i="182"/>
  <c r="D45" i="5"/>
  <c r="C312" i="44"/>
  <c r="S280" i="44"/>
  <c r="D278" i="44"/>
  <c r="R278" i="44"/>
  <c r="B310" i="44"/>
  <c r="J305" i="44"/>
  <c r="L273" i="44"/>
  <c r="H217" i="44"/>
  <c r="G249" i="44" s="1"/>
  <c r="H249" i="44" s="1"/>
  <c r="I249" i="44" s="1"/>
  <c r="J33" i="33"/>
  <c r="AA251" i="26"/>
  <c r="AB251" i="26" s="1"/>
  <c r="AC251" i="26" s="1"/>
  <c r="R5" i="9"/>
  <c r="Y5" i="9"/>
  <c r="D92" i="44"/>
  <c r="AZ92" i="26"/>
  <c r="P89" i="44"/>
  <c r="D88" i="44"/>
  <c r="AZ88" i="26"/>
  <c r="AA47" i="191" s="1"/>
  <c r="AI250" i="27"/>
  <c r="AJ250" i="27" s="1"/>
  <c r="N16" i="33"/>
  <c r="H25" i="134"/>
  <c r="E483" i="182"/>
  <c r="E94" i="183"/>
  <c r="L30" i="5"/>
  <c r="C57" i="136"/>
  <c r="F58" i="136" s="1"/>
  <c r="D14" i="5"/>
  <c r="P281" i="44"/>
  <c r="N313" i="44"/>
  <c r="D402" i="26"/>
  <c r="AZ370" i="26"/>
  <c r="S276" i="44"/>
  <c r="D399" i="26"/>
  <c r="AZ367" i="26"/>
  <c r="C305" i="44"/>
  <c r="S273" i="44"/>
  <c r="D375" i="26"/>
  <c r="D397" i="26"/>
  <c r="AZ365" i="26"/>
  <c r="AZ220" i="26"/>
  <c r="C252" i="26"/>
  <c r="D252" i="26" s="1"/>
  <c r="E252" i="26" s="1"/>
  <c r="O24" i="33"/>
  <c r="AY221" i="26"/>
  <c r="O34" i="33" s="1"/>
  <c r="J20" i="9"/>
  <c r="K13" i="6"/>
  <c r="N13" i="6"/>
  <c r="BA219" i="27"/>
  <c r="K19" i="134"/>
  <c r="DN19" i="190" s="1"/>
  <c r="Q77" i="195"/>
  <c r="AT119" i="27"/>
  <c r="AT62" i="27"/>
  <c r="AT115" i="27"/>
  <c r="J50" i="35"/>
  <c r="J41" i="5"/>
  <c r="J52" i="136"/>
  <c r="D84" i="136"/>
  <c r="E84" i="136" s="1"/>
  <c r="J313" i="44"/>
  <c r="L281" i="44"/>
  <c r="U278" i="44"/>
  <c r="E310" i="44"/>
  <c r="R9" i="9"/>
  <c r="Y9" i="9"/>
  <c r="J28" i="33"/>
  <c r="AA247" i="26"/>
  <c r="AB247" i="26" s="1"/>
  <c r="AC247" i="26" s="1"/>
  <c r="L34" i="33"/>
  <c r="AH188" i="26"/>
  <c r="AH187" i="26"/>
  <c r="AH186" i="26"/>
  <c r="AJ186" i="26" s="1"/>
  <c r="AJ123" i="26"/>
  <c r="AH185" i="26"/>
  <c r="R183" i="26"/>
  <c r="T183" i="26" s="1"/>
  <c r="T120" i="26"/>
  <c r="AH182" i="26"/>
  <c r="B181" i="26"/>
  <c r="D118" i="26"/>
  <c r="BA311" i="27"/>
  <c r="L55" i="6" s="1"/>
  <c r="Q55" i="6" s="1"/>
  <c r="G40" i="6"/>
  <c r="Q40" i="6" s="1"/>
  <c r="L25" i="6"/>
  <c r="Q25" i="6" s="1"/>
  <c r="J38" i="5"/>
  <c r="J47" i="35"/>
  <c r="L27" i="35"/>
  <c r="L46" i="35"/>
  <c r="U279" i="44"/>
  <c r="E311" i="44"/>
  <c r="AY375" i="26"/>
  <c r="AO187" i="26"/>
  <c r="C61" i="44"/>
  <c r="C54" i="44"/>
  <c r="AY54" i="26"/>
  <c r="AG62" i="26"/>
  <c r="BE62" i="26" s="1"/>
  <c r="AG116" i="26"/>
  <c r="BE116" i="26" s="1"/>
  <c r="AR122" i="27"/>
  <c r="AP184" i="27"/>
  <c r="AR184" i="27" s="1"/>
  <c r="AZ85" i="27"/>
  <c r="B163" i="42"/>
  <c r="M24" i="33"/>
  <c r="AM243" i="26"/>
  <c r="AN221" i="26"/>
  <c r="K4" i="9"/>
  <c r="AO188" i="26"/>
  <c r="W179" i="26"/>
  <c r="B94" i="44"/>
  <c r="R84" i="44"/>
  <c r="AX305" i="27"/>
  <c r="I49" i="6" s="1"/>
  <c r="N49" i="6" s="1"/>
  <c r="AX283" i="27"/>
  <c r="D34" i="6"/>
  <c r="I19" i="6"/>
  <c r="O16" i="33"/>
  <c r="I25" i="134"/>
  <c r="H145" i="42"/>
  <c r="P156" i="27"/>
  <c r="AX56" i="27"/>
  <c r="L73" i="28"/>
  <c r="L57" i="28"/>
  <c r="AA252" i="26"/>
  <c r="AB252" i="26" s="1"/>
  <c r="AC252" i="26" s="1"/>
  <c r="D153" i="44"/>
  <c r="AZ155" i="26"/>
  <c r="P110" i="196" s="1"/>
  <c r="S110" i="196" s="1"/>
  <c r="H146" i="44"/>
  <c r="P158" i="26"/>
  <c r="Q52" i="44"/>
  <c r="G54" i="185"/>
  <c r="AO116" i="26"/>
  <c r="AO62" i="26"/>
  <c r="AQ245" i="27"/>
  <c r="AR245" i="27" s="1"/>
  <c r="J186" i="27"/>
  <c r="L186" i="27" s="1"/>
  <c r="L124" i="27"/>
  <c r="C93" i="42"/>
  <c r="S83" i="42"/>
  <c r="L74" i="28"/>
  <c r="H46" i="9"/>
  <c r="T46" i="9" s="1"/>
  <c r="L35" i="132" s="1"/>
  <c r="T36" i="9"/>
  <c r="L25" i="132" s="1"/>
  <c r="AE179" i="26"/>
  <c r="I19" i="33"/>
  <c r="J9" i="33"/>
  <c r="L208" i="42"/>
  <c r="AA241" i="27"/>
  <c r="AB219" i="27"/>
  <c r="I115" i="27"/>
  <c r="I62" i="27"/>
  <c r="L27" i="28"/>
  <c r="G28" i="33"/>
  <c r="O247" i="26"/>
  <c r="P247" i="26" s="1"/>
  <c r="Q247" i="26" s="1"/>
  <c r="AA56" i="191"/>
  <c r="Q78" i="196"/>
  <c r="G54" i="44"/>
  <c r="E30" i="44"/>
  <c r="AP125" i="27"/>
  <c r="V184" i="27"/>
  <c r="X184" i="27" s="1"/>
  <c r="X122" i="27"/>
  <c r="H88" i="42"/>
  <c r="AX52" i="27"/>
  <c r="C61" i="42"/>
  <c r="AY61" i="27"/>
  <c r="C124" i="27"/>
  <c r="D124" i="27" s="1"/>
  <c r="M95" i="26"/>
  <c r="L272" i="42"/>
  <c r="AB305" i="27"/>
  <c r="AB283" i="27"/>
  <c r="K28" i="134"/>
  <c r="DN107" i="190" s="1"/>
  <c r="C218" i="42"/>
  <c r="S208" i="42"/>
  <c r="N155" i="42"/>
  <c r="U82" i="185"/>
  <c r="S82" i="185"/>
  <c r="F308" i="42"/>
  <c r="O15" i="134"/>
  <c r="I14" i="134"/>
  <c r="O14" i="134" s="1"/>
  <c r="O4" i="134"/>
  <c r="AA102" i="185"/>
  <c r="AI102" i="185" s="1"/>
  <c r="AF102" i="185"/>
  <c r="AH62" i="27"/>
  <c r="R203" i="44"/>
  <c r="T193" i="44"/>
  <c r="D293" i="44"/>
  <c r="T261" i="44"/>
  <c r="D289" i="44"/>
  <c r="D267" i="44"/>
  <c r="T257" i="44"/>
  <c r="S203" i="44"/>
  <c r="S291" i="44"/>
  <c r="O235" i="44"/>
  <c r="P235" i="44" s="1"/>
  <c r="Q235" i="44" s="1"/>
  <c r="S267" i="42"/>
  <c r="S289" i="42"/>
  <c r="Q162" i="44"/>
  <c r="Q172" i="44" s="1"/>
  <c r="Q110" i="44"/>
  <c r="U102" i="44"/>
  <c r="R101" i="44"/>
  <c r="P267" i="42"/>
  <c r="R235" i="42"/>
  <c r="C162" i="44"/>
  <c r="P296" i="42"/>
  <c r="T264" i="42"/>
  <c r="R162" i="44"/>
  <c r="R250" i="42"/>
  <c r="P298" i="42"/>
  <c r="Q161" i="42"/>
  <c r="Q171" i="42" s="1"/>
  <c r="Q109" i="42"/>
  <c r="E109" i="42"/>
  <c r="AS45" i="201"/>
  <c r="R267" i="42"/>
  <c r="E170" i="42"/>
  <c r="U170" i="42" s="1"/>
  <c r="U108" i="42"/>
  <c r="R104" i="42"/>
  <c r="R100" i="42"/>
  <c r="AQ76" i="201"/>
  <c r="AW42" i="201"/>
  <c r="J103" i="201"/>
  <c r="K25" i="201"/>
  <c r="D81" i="125" s="1"/>
  <c r="G407" i="182"/>
  <c r="H407" i="182" s="1"/>
  <c r="E221" i="183"/>
  <c r="D74" i="35"/>
  <c r="G64" i="35"/>
  <c r="AS73" i="201"/>
  <c r="J54" i="132" s="1"/>
  <c r="AS69" i="201"/>
  <c r="J50" i="132" s="1"/>
  <c r="AV45" i="201"/>
  <c r="C30" i="201"/>
  <c r="P318" i="183"/>
  <c r="Q318" i="183"/>
  <c r="E371" i="183"/>
  <c r="I300" i="183"/>
  <c r="J300" i="183" s="1"/>
  <c r="L300" i="183"/>
  <c r="H300" i="183"/>
  <c r="K300" i="183"/>
  <c r="G300" i="183"/>
  <c r="E249" i="183"/>
  <c r="I247" i="183"/>
  <c r="J247" i="183" s="1"/>
  <c r="H369" i="183"/>
  <c r="L247" i="183"/>
  <c r="H247" i="183"/>
  <c r="K247" i="183"/>
  <c r="G247" i="183"/>
  <c r="J504" i="182"/>
  <c r="I504" i="182"/>
  <c r="G504" i="182"/>
  <c r="H504" i="182" s="1"/>
  <c r="O509" i="182"/>
  <c r="U99" i="42"/>
  <c r="AY76" i="201"/>
  <c r="AQ101" i="201"/>
  <c r="D115" i="183"/>
  <c r="D123" i="183"/>
  <c r="D395" i="182"/>
  <c r="G392" i="182"/>
  <c r="H392" i="182" s="1"/>
  <c r="D357" i="182"/>
  <c r="E202" i="183"/>
  <c r="E211" i="182"/>
  <c r="E373" i="182"/>
  <c r="J109" i="42"/>
  <c r="AW57" i="201"/>
  <c r="AV70" i="201"/>
  <c r="C275" i="183"/>
  <c r="C294" i="183" s="1"/>
  <c r="C283" i="183"/>
  <c r="D91" i="183"/>
  <c r="D83" i="183"/>
  <c r="D102" i="183" s="1"/>
  <c r="C106" i="201"/>
  <c r="G28" i="201"/>
  <c r="E384" i="183"/>
  <c r="I274" i="183"/>
  <c r="J274" i="183" s="1"/>
  <c r="H274" i="183"/>
  <c r="K274" i="183"/>
  <c r="G274" i="183"/>
  <c r="L290" i="183"/>
  <c r="H366" i="183"/>
  <c r="K151" i="183"/>
  <c r="G151" i="183"/>
  <c r="I151" i="183"/>
  <c r="J151" i="183" s="1"/>
  <c r="E153" i="183"/>
  <c r="H151" i="183"/>
  <c r="L151" i="183"/>
  <c r="D366" i="183"/>
  <c r="I143" i="183"/>
  <c r="J143" i="183" s="1"/>
  <c r="L143" i="183"/>
  <c r="H143" i="183"/>
  <c r="G143" i="183"/>
  <c r="K143" i="183"/>
  <c r="I66" i="183"/>
  <c r="J66" i="183" s="1"/>
  <c r="H66" i="183"/>
  <c r="G66" i="183"/>
  <c r="K66" i="183"/>
  <c r="E309" i="44"/>
  <c r="C307" i="44"/>
  <c r="B282" i="44"/>
  <c r="U216" i="44"/>
  <c r="L24" i="9"/>
  <c r="D211" i="44"/>
  <c r="R211" i="44"/>
  <c r="Q218" i="44"/>
  <c r="D105" i="201"/>
  <c r="I148" i="183"/>
  <c r="J148" i="183" s="1"/>
  <c r="L148" i="183"/>
  <c r="H148" i="183"/>
  <c r="G148" i="183"/>
  <c r="K366" i="183"/>
  <c r="K148" i="183"/>
  <c r="I139" i="183"/>
  <c r="J139" i="183" s="1"/>
  <c r="L139" i="183"/>
  <c r="E484" i="182"/>
  <c r="E126" i="183"/>
  <c r="I467" i="182"/>
  <c r="G467" i="182"/>
  <c r="H467" i="182" s="1"/>
  <c r="J467" i="182"/>
  <c r="E475" i="182"/>
  <c r="G465" i="182"/>
  <c r="H465" i="182" s="1"/>
  <c r="J465" i="182"/>
  <c r="I465" i="182"/>
  <c r="H100" i="125"/>
  <c r="G100" i="125"/>
  <c r="J27" i="5"/>
  <c r="I27" i="5"/>
  <c r="R156" i="125"/>
  <c r="Q156" i="125"/>
  <c r="AX404" i="26"/>
  <c r="I145" i="6" s="1"/>
  <c r="N145" i="6" s="1"/>
  <c r="I115" i="6"/>
  <c r="J311" i="44"/>
  <c r="AX400" i="26"/>
  <c r="I141" i="6" s="1"/>
  <c r="N141" i="6" s="1"/>
  <c r="I111" i="6"/>
  <c r="J307" i="44"/>
  <c r="Q304" i="44"/>
  <c r="I304" i="44"/>
  <c r="E282" i="44"/>
  <c r="S217" i="44"/>
  <c r="P214" i="44"/>
  <c r="O246" i="44" s="1"/>
  <c r="P246" i="44" s="1"/>
  <c r="Q246" i="44" s="1"/>
  <c r="H214" i="44"/>
  <c r="G246" i="44" s="1"/>
  <c r="H246" i="44" s="1"/>
  <c r="I246" i="44" s="1"/>
  <c r="O30" i="33"/>
  <c r="J25" i="9"/>
  <c r="U211" i="44"/>
  <c r="J98" i="201"/>
  <c r="K20" i="201"/>
  <c r="D76" i="125" s="1"/>
  <c r="H47" i="183"/>
  <c r="K47" i="183"/>
  <c r="G47" i="183"/>
  <c r="D363" i="183"/>
  <c r="I47" i="183"/>
  <c r="J47" i="183" s="1"/>
  <c r="E15" i="183"/>
  <c r="H250" i="183"/>
  <c r="K383" i="183"/>
  <c r="K250" i="183"/>
  <c r="G250" i="183"/>
  <c r="I250" i="183"/>
  <c r="J250" i="183" s="1"/>
  <c r="E157" i="183"/>
  <c r="I36" i="182"/>
  <c r="J36" i="182"/>
  <c r="H36" i="182"/>
  <c r="G36" i="182"/>
  <c r="J402" i="182"/>
  <c r="I402" i="182"/>
  <c r="G402" i="182"/>
  <c r="H402" i="182" s="1"/>
  <c r="J56" i="182"/>
  <c r="E49" i="183"/>
  <c r="I56" i="182"/>
  <c r="E417" i="182"/>
  <c r="H56" i="182"/>
  <c r="E23" i="182"/>
  <c r="G56" i="182"/>
  <c r="AO407" i="26"/>
  <c r="AX406" i="26"/>
  <c r="I147" i="6" s="1"/>
  <c r="N147" i="6" s="1"/>
  <c r="I117" i="6"/>
  <c r="O313" i="44"/>
  <c r="R281" i="44"/>
  <c r="B313" i="44"/>
  <c r="D281" i="44"/>
  <c r="AZ371" i="26"/>
  <c r="D403" i="26"/>
  <c r="E307" i="44"/>
  <c r="G305" i="44"/>
  <c r="V9" i="9"/>
  <c r="O9" i="9"/>
  <c r="N28" i="33"/>
  <c r="I24" i="9"/>
  <c r="S247" i="26"/>
  <c r="T247" i="26" s="1"/>
  <c r="U247" i="26" s="1"/>
  <c r="G25" i="33"/>
  <c r="O244" i="26"/>
  <c r="P244" i="26" s="1"/>
  <c r="Q244" i="26" s="1"/>
  <c r="J24" i="33"/>
  <c r="AB221" i="26"/>
  <c r="AA243" i="26"/>
  <c r="P91" i="44"/>
  <c r="D90" i="44"/>
  <c r="AZ90" i="26"/>
  <c r="P87" i="44"/>
  <c r="Q74" i="196"/>
  <c r="AA24" i="191"/>
  <c r="AK123" i="26"/>
  <c r="V62" i="26"/>
  <c r="AJ30" i="26"/>
  <c r="D281" i="42"/>
  <c r="AZ282" i="27"/>
  <c r="D314" i="27"/>
  <c r="AX312" i="27"/>
  <c r="I56" i="6" s="1"/>
  <c r="N56" i="6" s="1"/>
  <c r="D41" i="6"/>
  <c r="I26" i="6"/>
  <c r="AY311" i="27"/>
  <c r="J55" i="6" s="1"/>
  <c r="O55" i="6" s="1"/>
  <c r="E40" i="6"/>
  <c r="O40" i="6" s="1"/>
  <c r="J25" i="6"/>
  <c r="O25" i="6" s="1"/>
  <c r="L277" i="42"/>
  <c r="AB310" i="27"/>
  <c r="P275" i="42"/>
  <c r="D273" i="42"/>
  <c r="AZ274" i="27"/>
  <c r="D306" i="27"/>
  <c r="M282" i="42"/>
  <c r="B19" i="33"/>
  <c r="S250" i="27"/>
  <c r="AM248" i="27"/>
  <c r="AN248" i="27" s="1"/>
  <c r="G17" i="33"/>
  <c r="H215" i="42"/>
  <c r="G247" i="42" s="1"/>
  <c r="H247" i="42" s="1"/>
  <c r="I247" i="42" s="1"/>
  <c r="O248" i="27"/>
  <c r="P248" i="27" s="1"/>
  <c r="AI246" i="27"/>
  <c r="AJ246" i="27" s="1"/>
  <c r="D15" i="33"/>
  <c r="D213" i="42"/>
  <c r="AZ214" i="27"/>
  <c r="C246" i="27"/>
  <c r="R212" i="42"/>
  <c r="J12" i="33"/>
  <c r="L211" i="42"/>
  <c r="K243" i="42" s="1"/>
  <c r="L243" i="42" s="1"/>
  <c r="M243" i="42" s="1"/>
  <c r="AA244" i="27"/>
  <c r="AB244" i="27" s="1"/>
  <c r="N11" i="33"/>
  <c r="H21" i="134"/>
  <c r="J218" i="42"/>
  <c r="B218" i="42"/>
  <c r="R208" i="42"/>
  <c r="D198" i="183"/>
  <c r="D199" i="183"/>
  <c r="P126" i="183"/>
  <c r="Q126" i="183"/>
  <c r="E363" i="183"/>
  <c r="I44" i="183"/>
  <c r="J44" i="183" s="1"/>
  <c r="L44" i="183"/>
  <c r="H44" i="183"/>
  <c r="E12" i="183"/>
  <c r="K44" i="183"/>
  <c r="G44" i="183"/>
  <c r="G96" i="125"/>
  <c r="H96" i="125"/>
  <c r="G24" i="125"/>
  <c r="H24" i="125"/>
  <c r="G11" i="5"/>
  <c r="AN406" i="26"/>
  <c r="K313" i="44"/>
  <c r="AN403" i="26"/>
  <c r="O309" i="44"/>
  <c r="B309" i="44"/>
  <c r="D277" i="44"/>
  <c r="R277" i="44"/>
  <c r="AV400" i="26"/>
  <c r="AX399" i="26"/>
  <c r="I140" i="6" s="1"/>
  <c r="N140" i="6" s="1"/>
  <c r="I110" i="6"/>
  <c r="AY398" i="26"/>
  <c r="J139" i="6" s="1"/>
  <c r="O139" i="6" s="1"/>
  <c r="J109" i="6"/>
  <c r="H273" i="44"/>
  <c r="F305" i="44"/>
  <c r="AR375" i="26"/>
  <c r="AR397" i="26"/>
  <c r="AB375" i="26"/>
  <c r="AB397" i="26"/>
  <c r="L375" i="26"/>
  <c r="L397" i="26"/>
  <c r="G33" i="33"/>
  <c r="O251" i="26"/>
  <c r="P251" i="26" s="1"/>
  <c r="Q251" i="26" s="1"/>
  <c r="S215" i="44"/>
  <c r="J30" i="33"/>
  <c r="AA248" i="26"/>
  <c r="AB248" i="26" s="1"/>
  <c r="AC248" i="26" s="1"/>
  <c r="M28" i="33"/>
  <c r="AM247" i="26"/>
  <c r="AN247" i="26" s="1"/>
  <c r="AO247" i="26" s="1"/>
  <c r="AN401" i="26"/>
  <c r="N25" i="33"/>
  <c r="I21" i="9"/>
  <c r="D209" i="44"/>
  <c r="R209" i="44"/>
  <c r="C188" i="26"/>
  <c r="C187" i="26"/>
  <c r="C185" i="26"/>
  <c r="C184" i="26"/>
  <c r="C182" i="26"/>
  <c r="C180" i="26"/>
  <c r="O30" i="44"/>
  <c r="K9" i="6"/>
  <c r="N9" i="6"/>
  <c r="BA308" i="27"/>
  <c r="L52" i="6" s="1"/>
  <c r="Q52" i="6" s="1"/>
  <c r="G37" i="6"/>
  <c r="Q37" i="6" s="1"/>
  <c r="L22" i="6"/>
  <c r="Q22" i="6" s="1"/>
  <c r="N306" i="42"/>
  <c r="B306" i="42"/>
  <c r="AK220" i="27"/>
  <c r="S217" i="42"/>
  <c r="K25" i="134"/>
  <c r="DN85" i="190" s="1"/>
  <c r="S213" i="42"/>
  <c r="K21" i="134"/>
  <c r="DN38" i="190" s="1"/>
  <c r="S209" i="42"/>
  <c r="U208" i="42"/>
  <c r="E218" i="42"/>
  <c r="AA62" i="191"/>
  <c r="Q79" i="195"/>
  <c r="AA30" i="191"/>
  <c r="Q75" i="195"/>
  <c r="AT123" i="27"/>
  <c r="AT121" i="27"/>
  <c r="AT117" i="27"/>
  <c r="N30" i="42"/>
  <c r="H308" i="183"/>
  <c r="E378" i="183"/>
  <c r="H82" i="183"/>
  <c r="K82" i="183"/>
  <c r="G82" i="183"/>
  <c r="I82" i="183"/>
  <c r="J82" i="183" s="1"/>
  <c r="G386" i="182"/>
  <c r="H386" i="182" s="1"/>
  <c r="J386" i="182"/>
  <c r="I386" i="182"/>
  <c r="J40" i="5"/>
  <c r="J49" i="35"/>
  <c r="D64" i="136"/>
  <c r="I54" i="136"/>
  <c r="D6" i="5"/>
  <c r="AY104" i="201"/>
  <c r="H140" i="125"/>
  <c r="G140" i="125"/>
  <c r="AB406" i="26"/>
  <c r="AN402" i="26"/>
  <c r="N306" i="44"/>
  <c r="P274" i="44"/>
  <c r="AX398" i="26"/>
  <c r="I139" i="6" s="1"/>
  <c r="N139" i="6" s="1"/>
  <c r="I109" i="6"/>
  <c r="AM407" i="26"/>
  <c r="O407" i="26"/>
  <c r="C407" i="26"/>
  <c r="AM252" i="26"/>
  <c r="AN252" i="26" s="1"/>
  <c r="AO252" i="26" s="1"/>
  <c r="H213" i="44"/>
  <c r="G245" i="44" s="1"/>
  <c r="H245" i="44" s="1"/>
  <c r="I245" i="44" s="1"/>
  <c r="P4" i="9"/>
  <c r="J14" i="9"/>
  <c r="P14" i="9" s="1"/>
  <c r="W4" i="9"/>
  <c r="S243" i="26"/>
  <c r="T221" i="26"/>
  <c r="B34" i="33"/>
  <c r="AP186" i="26"/>
  <c r="AR186" i="26" s="1"/>
  <c r="AR123" i="26"/>
  <c r="AP185" i="26"/>
  <c r="AR185" i="26" s="1"/>
  <c r="AR122" i="26"/>
  <c r="Z185" i="26"/>
  <c r="J185" i="26"/>
  <c r="L185" i="26" s="1"/>
  <c r="L122" i="26"/>
  <c r="AP184" i="26"/>
  <c r="AR184" i="26" s="1"/>
  <c r="AR121" i="26"/>
  <c r="Z184" i="26"/>
  <c r="J121" i="26"/>
  <c r="AP183" i="26"/>
  <c r="Z183" i="26"/>
  <c r="AB183" i="26" s="1"/>
  <c r="AB120" i="26"/>
  <c r="Z181" i="26"/>
  <c r="AY94" i="26"/>
  <c r="G55" i="44"/>
  <c r="G118" i="44" s="1"/>
  <c r="G180" i="44" s="1"/>
  <c r="J30" i="44"/>
  <c r="B30" i="44"/>
  <c r="AY313" i="27"/>
  <c r="J57" i="6" s="1"/>
  <c r="O57" i="6" s="1"/>
  <c r="E42" i="6"/>
  <c r="O42" i="6" s="1"/>
  <c r="J27" i="6"/>
  <c r="O27" i="6" s="1"/>
  <c r="BA307" i="27"/>
  <c r="L51" i="6" s="1"/>
  <c r="Q51" i="6" s="1"/>
  <c r="G36" i="6"/>
  <c r="Q36" i="6" s="1"/>
  <c r="L21" i="6"/>
  <c r="Q21" i="6" s="1"/>
  <c r="E306" i="42"/>
  <c r="AY305" i="27"/>
  <c r="J49" i="6" s="1"/>
  <c r="O49" i="6" s="1"/>
  <c r="AY283" i="27"/>
  <c r="E34" i="6"/>
  <c r="J19" i="6"/>
  <c r="P215" i="42"/>
  <c r="O247" i="42" s="1"/>
  <c r="P247" i="42" s="1"/>
  <c r="Q247" i="42" s="1"/>
  <c r="N15" i="33"/>
  <c r="H24" i="134"/>
  <c r="U24" i="134" s="1"/>
  <c r="R211" i="42"/>
  <c r="AZ92" i="201"/>
  <c r="H55" i="183"/>
  <c r="H363" i="183"/>
  <c r="K55" i="183"/>
  <c r="G55" i="183"/>
  <c r="E23" i="183"/>
  <c r="I55" i="183"/>
  <c r="J55" i="183" s="1"/>
  <c r="E57" i="183"/>
  <c r="J449" i="182"/>
  <c r="I449" i="182"/>
  <c r="G449" i="182"/>
  <c r="H449" i="182" s="1"/>
  <c r="E459" i="182"/>
  <c r="F86" i="35"/>
  <c r="H27" i="125"/>
  <c r="G27" i="125"/>
  <c r="D82" i="136"/>
  <c r="E82" i="136" s="1"/>
  <c r="J50" i="136"/>
  <c r="AY100" i="201"/>
  <c r="AZ22" i="201"/>
  <c r="Q311" i="44"/>
  <c r="BA404" i="26"/>
  <c r="L145" i="6" s="1"/>
  <c r="Q145" i="6" s="1"/>
  <c r="L115" i="6"/>
  <c r="D155" i="44"/>
  <c r="AZ157" i="26"/>
  <c r="P112" i="196" s="1"/>
  <c r="S112" i="196" s="1"/>
  <c r="D151" i="44"/>
  <c r="AZ153" i="26"/>
  <c r="P108" i="196" s="1"/>
  <c r="S108" i="196" s="1"/>
  <c r="D147" i="44"/>
  <c r="AZ149" i="26"/>
  <c r="P104" i="196" s="1"/>
  <c r="S104" i="196" s="1"/>
  <c r="K125" i="26"/>
  <c r="K188" i="26" s="1"/>
  <c r="AI118" i="26"/>
  <c r="AI181" i="26" s="1"/>
  <c r="AV94" i="26"/>
  <c r="N179" i="26"/>
  <c r="P116" i="26"/>
  <c r="BA60" i="26"/>
  <c r="P62" i="185" s="1"/>
  <c r="Q51" i="196" s="1"/>
  <c r="D55" i="26"/>
  <c r="F61" i="44"/>
  <c r="N60" i="44"/>
  <c r="BA57" i="26"/>
  <c r="P59" i="185" s="1"/>
  <c r="Q48" i="196" s="1"/>
  <c r="AL62" i="26"/>
  <c r="F62" i="26"/>
  <c r="N12" i="6"/>
  <c r="K12" i="6"/>
  <c r="AJ312" i="27"/>
  <c r="D279" i="42"/>
  <c r="AZ280" i="27"/>
  <c r="D312" i="27"/>
  <c r="AX309" i="27"/>
  <c r="I53" i="6" s="1"/>
  <c r="N53" i="6" s="1"/>
  <c r="D38" i="6"/>
  <c r="I23" i="6"/>
  <c r="G307" i="42"/>
  <c r="U315" i="27"/>
  <c r="E305" i="42"/>
  <c r="U273" i="42"/>
  <c r="F282" i="42"/>
  <c r="F304" i="42"/>
  <c r="AQ242" i="27"/>
  <c r="AR242" i="27" s="1"/>
  <c r="J10" i="33"/>
  <c r="L209" i="42"/>
  <c r="K241" i="42" s="1"/>
  <c r="L241" i="42" s="1"/>
  <c r="M241" i="42" s="1"/>
  <c r="AA242" i="27"/>
  <c r="AB242" i="27" s="1"/>
  <c r="U209" i="42"/>
  <c r="J155" i="42"/>
  <c r="AU121" i="27"/>
  <c r="AU183" i="27" s="1"/>
  <c r="S89" i="42"/>
  <c r="U86" i="42"/>
  <c r="AH116" i="27"/>
  <c r="N61" i="42"/>
  <c r="AX57" i="27"/>
  <c r="O61" i="42"/>
  <c r="O123" i="42" s="1"/>
  <c r="O185" i="42" s="1"/>
  <c r="AM124" i="27"/>
  <c r="AM186" i="27" s="1"/>
  <c r="K59" i="42"/>
  <c r="K121" i="42" s="1"/>
  <c r="K183" i="42" s="1"/>
  <c r="AA122" i="27"/>
  <c r="AA184" i="27" s="1"/>
  <c r="L21" i="42"/>
  <c r="AJ30" i="27"/>
  <c r="D72" i="6"/>
  <c r="H26" i="6"/>
  <c r="S43" i="134"/>
  <c r="J13" i="132" s="1"/>
  <c r="O58" i="195"/>
  <c r="D81" i="136"/>
  <c r="E81" i="136" s="1"/>
  <c r="J49" i="136"/>
  <c r="O145" i="125"/>
  <c r="P145" i="125"/>
  <c r="J6" i="5"/>
  <c r="L44" i="35"/>
  <c r="L25" i="35"/>
  <c r="K36" i="35"/>
  <c r="S36" i="35" s="1"/>
  <c r="E44" i="35"/>
  <c r="L5" i="5" s="1"/>
  <c r="D11" i="5"/>
  <c r="D405" i="26"/>
  <c r="AK407" i="26"/>
  <c r="AK376" i="26"/>
  <c r="L274" i="44"/>
  <c r="J306" i="44"/>
  <c r="U274" i="44"/>
  <c r="E306" i="44"/>
  <c r="J25" i="33"/>
  <c r="AA244" i="26"/>
  <c r="AB244" i="26" s="1"/>
  <c r="AC244" i="26" s="1"/>
  <c r="O4" i="9"/>
  <c r="I14" i="9"/>
  <c r="O14" i="9" s="1"/>
  <c r="V4" i="9"/>
  <c r="K218" i="44"/>
  <c r="S152" i="44"/>
  <c r="P147" i="44"/>
  <c r="H104" i="196"/>
  <c r="K104" i="196" s="1"/>
  <c r="K156" i="44"/>
  <c r="U93" i="44"/>
  <c r="AT180" i="26"/>
  <c r="H85" i="44"/>
  <c r="AH116" i="26"/>
  <c r="B179" i="26"/>
  <c r="B126" i="26"/>
  <c r="G62" i="26"/>
  <c r="I25" i="185"/>
  <c r="I62" i="196"/>
  <c r="Q62" i="196" s="1"/>
  <c r="I53" i="44"/>
  <c r="I116" i="44" s="1"/>
  <c r="I178" i="44" s="1"/>
  <c r="AK116" i="26"/>
  <c r="AK62" i="26"/>
  <c r="AY312" i="27"/>
  <c r="J56" i="6" s="1"/>
  <c r="O56" i="6" s="1"/>
  <c r="J26" i="6"/>
  <c r="O26" i="6" s="1"/>
  <c r="E41" i="6"/>
  <c r="O41" i="6" s="1"/>
  <c r="O311" i="42"/>
  <c r="AN309" i="27"/>
  <c r="I315" i="27"/>
  <c r="AH315" i="27"/>
  <c r="R315" i="27"/>
  <c r="B315" i="27"/>
  <c r="O12" i="134"/>
  <c r="W247" i="27"/>
  <c r="X247" i="27" s="1"/>
  <c r="X311" i="27"/>
  <c r="AM245" i="27"/>
  <c r="AN245" i="27" s="1"/>
  <c r="J8" i="134"/>
  <c r="O11" i="33"/>
  <c r="I21" i="134"/>
  <c r="Q5" i="134"/>
  <c r="H81" i="195"/>
  <c r="K81" i="195" s="1"/>
  <c r="J35" i="195" s="1"/>
  <c r="M77" i="191"/>
  <c r="AT122" i="27"/>
  <c r="M38" i="191"/>
  <c r="I76" i="195"/>
  <c r="P84" i="42"/>
  <c r="X116" i="27"/>
  <c r="V178" i="27"/>
  <c r="X178" i="27" s="1"/>
  <c r="AN30" i="27"/>
  <c r="G59" i="42"/>
  <c r="G121" i="42" s="1"/>
  <c r="G183" i="42" s="1"/>
  <c r="O122" i="27"/>
  <c r="O184" i="27" s="1"/>
  <c r="P25" i="42"/>
  <c r="L81" i="28"/>
  <c r="L65" i="28"/>
  <c r="H38" i="28"/>
  <c r="J38" i="28" s="1"/>
  <c r="L30" i="28"/>
  <c r="L8" i="28"/>
  <c r="F27" i="195"/>
  <c r="G83" i="195"/>
  <c r="L26" i="183"/>
  <c r="L47" i="183"/>
  <c r="AB401" i="26"/>
  <c r="AL407" i="26"/>
  <c r="L29" i="9"/>
  <c r="M33" i="33"/>
  <c r="AM251" i="26"/>
  <c r="AN251" i="26" s="1"/>
  <c r="AO251" i="26" s="1"/>
  <c r="W251" i="26"/>
  <c r="X251" i="26" s="1"/>
  <c r="Y251" i="26" s="1"/>
  <c r="P152" i="44"/>
  <c r="H109" i="196"/>
  <c r="K109" i="196" s="1"/>
  <c r="S149" i="44"/>
  <c r="AW187" i="26"/>
  <c r="AI121" i="26"/>
  <c r="AI184" i="26" s="1"/>
  <c r="M40" i="191"/>
  <c r="I76" i="196"/>
  <c r="W117" i="26"/>
  <c r="W180" i="26" s="1"/>
  <c r="B180" i="26"/>
  <c r="D117" i="26"/>
  <c r="C62" i="26"/>
  <c r="F60" i="44"/>
  <c r="M56" i="44"/>
  <c r="M119" i="44" s="1"/>
  <c r="M181" i="44" s="1"/>
  <c r="AC120" i="26"/>
  <c r="AX56" i="26"/>
  <c r="K54" i="44"/>
  <c r="I30" i="44"/>
  <c r="F52" i="44"/>
  <c r="H280" i="42"/>
  <c r="P313" i="27"/>
  <c r="J308" i="42"/>
  <c r="M315" i="27"/>
  <c r="AN283" i="27"/>
  <c r="AN305" i="27"/>
  <c r="X283" i="27"/>
  <c r="X305" i="27"/>
  <c r="H283" i="27"/>
  <c r="H305" i="27"/>
  <c r="U215" i="42"/>
  <c r="J16" i="33"/>
  <c r="L214" i="42"/>
  <c r="AA247" i="27"/>
  <c r="AB247" i="27" s="1"/>
  <c r="K247" i="27"/>
  <c r="L247" i="27" s="1"/>
  <c r="U213" i="42"/>
  <c r="J13" i="33"/>
  <c r="L212" i="42"/>
  <c r="K244" i="42" s="1"/>
  <c r="L244" i="42" s="1"/>
  <c r="M244" i="42" s="1"/>
  <c r="AA245" i="27"/>
  <c r="AB245" i="27" s="1"/>
  <c r="K245" i="27"/>
  <c r="L245" i="27" s="1"/>
  <c r="AI242" i="27"/>
  <c r="AJ242" i="27" s="1"/>
  <c r="R209" i="42"/>
  <c r="AZ154" i="27"/>
  <c r="P111" i="195" s="1"/>
  <c r="S111" i="195" s="1"/>
  <c r="M155" i="42"/>
  <c r="D145" i="42"/>
  <c r="D156" i="27"/>
  <c r="U92" i="42"/>
  <c r="AH122" i="27"/>
  <c r="R90" i="42"/>
  <c r="L88" i="42"/>
  <c r="S87" i="42"/>
  <c r="AR94" i="27"/>
  <c r="Z178" i="27"/>
  <c r="B61" i="42"/>
  <c r="D61" i="27"/>
  <c r="AX61" i="27"/>
  <c r="AX58" i="27"/>
  <c r="N56" i="42"/>
  <c r="O57" i="42"/>
  <c r="O119" i="42" s="1"/>
  <c r="O181" i="42" s="1"/>
  <c r="AM120" i="27"/>
  <c r="AM182" i="27" s="1"/>
  <c r="D21" i="42"/>
  <c r="L30" i="27"/>
  <c r="L104" i="28"/>
  <c r="L78" i="28"/>
  <c r="L66" i="28"/>
  <c r="L49" i="28"/>
  <c r="L26" i="28"/>
  <c r="T93" i="6"/>
  <c r="E125" i="183"/>
  <c r="I114" i="183"/>
  <c r="J114" i="183" s="1"/>
  <c r="E379" i="183"/>
  <c r="H114" i="183"/>
  <c r="K114" i="183"/>
  <c r="G114" i="183"/>
  <c r="J499" i="182"/>
  <c r="E509" i="182"/>
  <c r="I499" i="182"/>
  <c r="G499" i="182"/>
  <c r="H499" i="182" s="1"/>
  <c r="P143" i="125"/>
  <c r="O143" i="125"/>
  <c r="AB336" i="26"/>
  <c r="AK185" i="26"/>
  <c r="AP179" i="26"/>
  <c r="Z179" i="26"/>
  <c r="AX59" i="26"/>
  <c r="AR311" i="27"/>
  <c r="Q315" i="27"/>
  <c r="AM242" i="27"/>
  <c r="AN242" i="27" s="1"/>
  <c r="J5" i="134"/>
  <c r="AQ241" i="27"/>
  <c r="AR219" i="27"/>
  <c r="K218" i="42"/>
  <c r="AH185" i="27"/>
  <c r="AX60" i="27"/>
  <c r="I66" i="195"/>
  <c r="Q66" i="195" s="1"/>
  <c r="I13" i="185"/>
  <c r="Q30" i="42"/>
  <c r="AG115" i="27"/>
  <c r="BD115" i="27" s="1"/>
  <c r="AG62" i="27"/>
  <c r="BE62" i="27" s="1"/>
  <c r="L7" i="156"/>
  <c r="M23" i="156"/>
  <c r="M68" i="196"/>
  <c r="AE247" i="26"/>
  <c r="AF247" i="26" s="1"/>
  <c r="AG247" i="26" s="1"/>
  <c r="BE247" i="26" s="1"/>
  <c r="S150" i="44"/>
  <c r="O62" i="26"/>
  <c r="I55" i="44"/>
  <c r="I118" i="44" s="1"/>
  <c r="I180" i="44" s="1"/>
  <c r="K53" i="44"/>
  <c r="K116" i="44" s="1"/>
  <c r="K178" i="44" s="1"/>
  <c r="M52" i="44"/>
  <c r="AC62" i="26"/>
  <c r="AC116" i="26"/>
  <c r="M62" i="26"/>
  <c r="M116" i="26"/>
  <c r="AJ314" i="27"/>
  <c r="AR306" i="27"/>
  <c r="AU241" i="27"/>
  <c r="AV219" i="27"/>
  <c r="AT120" i="27"/>
  <c r="M22" i="191"/>
  <c r="I74" i="195"/>
  <c r="W62" i="27"/>
  <c r="F61" i="42"/>
  <c r="F123" i="42" s="1"/>
  <c r="F185" i="42" s="1"/>
  <c r="F55" i="42"/>
  <c r="F117" i="42" s="1"/>
  <c r="F179" i="42" s="1"/>
  <c r="E54" i="42"/>
  <c r="F53" i="42"/>
  <c r="F115" i="42" s="1"/>
  <c r="F177" i="42" s="1"/>
  <c r="L83" i="28"/>
  <c r="D66" i="6"/>
  <c r="M53" i="195"/>
  <c r="G15" i="195" s="1"/>
  <c r="AA80" i="185"/>
  <c r="AI80" i="185" s="1"/>
  <c r="AF80" i="185"/>
  <c r="L59" i="195"/>
  <c r="O59" i="195" s="1"/>
  <c r="M28" i="195" s="1"/>
  <c r="G59" i="195"/>
  <c r="E28" i="195" s="1"/>
  <c r="D73" i="6"/>
  <c r="D30" i="33"/>
  <c r="AZ216" i="26"/>
  <c r="C248" i="26"/>
  <c r="D248" i="26" s="1"/>
  <c r="E248" i="26" s="1"/>
  <c r="BA59" i="26"/>
  <c r="P61" i="185" s="1"/>
  <c r="Q50" i="196" s="1"/>
  <c r="AX57" i="26"/>
  <c r="K307" i="42"/>
  <c r="Q11" i="134"/>
  <c r="Q9" i="134"/>
  <c r="K22" i="134"/>
  <c r="DN56" i="190" s="1"/>
  <c r="AJ219" i="27"/>
  <c r="AI241" i="27"/>
  <c r="C19" i="33"/>
  <c r="P153" i="42"/>
  <c r="H111" i="195"/>
  <c r="K111" i="195" s="1"/>
  <c r="AN94" i="27"/>
  <c r="M62" i="27"/>
  <c r="M52" i="42"/>
  <c r="AC115" i="27"/>
  <c r="AC62" i="27"/>
  <c r="G109" i="28"/>
  <c r="H17" i="186"/>
  <c r="G17" i="186"/>
  <c r="H276" i="42"/>
  <c r="P309" i="27"/>
  <c r="G18" i="33"/>
  <c r="H216" i="42"/>
  <c r="G248" i="42" s="1"/>
  <c r="H248" i="42" s="1"/>
  <c r="I248" i="42" s="1"/>
  <c r="O249" i="27"/>
  <c r="P249" i="27" s="1"/>
  <c r="AE247" i="27"/>
  <c r="AF247" i="27" s="1"/>
  <c r="BF247" i="27" s="1"/>
  <c r="AD221" i="27"/>
  <c r="L19" i="33"/>
  <c r="B59" i="42"/>
  <c r="L103" i="6"/>
  <c r="H23" i="6"/>
  <c r="D154" i="44"/>
  <c r="AZ156" i="26"/>
  <c r="P111" i="196" s="1"/>
  <c r="S111" i="196" s="1"/>
  <c r="AY158" i="26"/>
  <c r="Q77" i="196"/>
  <c r="G16" i="33"/>
  <c r="H214" i="42"/>
  <c r="O247" i="27"/>
  <c r="P247" i="27" s="1"/>
  <c r="AU245" i="27"/>
  <c r="AV245" i="27" s="1"/>
  <c r="W241" i="27"/>
  <c r="X219" i="27"/>
  <c r="H107" i="28"/>
  <c r="J107" i="28" s="1"/>
  <c r="G66" i="196"/>
  <c r="E35" i="196" s="1"/>
  <c r="E88" i="195"/>
  <c r="E98" i="195" s="1"/>
  <c r="D7" i="195" s="1"/>
  <c r="E53" i="195"/>
  <c r="D15" i="195" s="1"/>
  <c r="M60" i="42"/>
  <c r="M122" i="42" s="1"/>
  <c r="M184" i="42" s="1"/>
  <c r="D291" i="44"/>
  <c r="T259" i="44"/>
  <c r="S267" i="44"/>
  <c r="I162" i="44"/>
  <c r="I172" i="44" s="1"/>
  <c r="I110" i="44"/>
  <c r="B164" i="44"/>
  <c r="P203" i="42"/>
  <c r="O225" i="42"/>
  <c r="J104" i="201"/>
  <c r="K26" i="201"/>
  <c r="D82" i="125" s="1"/>
  <c r="E166" i="42"/>
  <c r="U166" i="42" s="1"/>
  <c r="U104" i="42"/>
  <c r="AV67" i="201"/>
  <c r="AW51" i="201"/>
  <c r="AT93" i="201"/>
  <c r="E331" i="182"/>
  <c r="E330" i="183"/>
  <c r="E377" i="182"/>
  <c r="G405" i="182"/>
  <c r="H405" i="182" s="1"/>
  <c r="AP105" i="201"/>
  <c r="F106" i="201"/>
  <c r="AX104" i="201"/>
  <c r="N32" i="33"/>
  <c r="I27" i="9"/>
  <c r="K365" i="183"/>
  <c r="K116" i="183"/>
  <c r="G116" i="183"/>
  <c r="I116" i="183"/>
  <c r="J116" i="183" s="1"/>
  <c r="H116" i="183"/>
  <c r="L116" i="183"/>
  <c r="J23" i="5"/>
  <c r="I23" i="5"/>
  <c r="R160" i="125"/>
  <c r="Q160" i="125"/>
  <c r="L214" i="44"/>
  <c r="K246" i="44" s="1"/>
  <c r="L246" i="44" s="1"/>
  <c r="M246" i="44" s="1"/>
  <c r="AZ374" i="26"/>
  <c r="D406" i="26"/>
  <c r="C309" i="44"/>
  <c r="S277" i="44"/>
  <c r="Q307" i="44"/>
  <c r="D212" i="44"/>
  <c r="R212" i="44"/>
  <c r="L208" i="44"/>
  <c r="J218" i="44"/>
  <c r="P93" i="44"/>
  <c r="AV30" i="26"/>
  <c r="D277" i="42"/>
  <c r="AZ278" i="27"/>
  <c r="D310" i="27"/>
  <c r="AY307" i="27"/>
  <c r="J51" i="6" s="1"/>
  <c r="O51" i="6" s="1"/>
  <c r="E36" i="6"/>
  <c r="O36" i="6" s="1"/>
  <c r="J21" i="6"/>
  <c r="O21" i="6" s="1"/>
  <c r="J17" i="33"/>
  <c r="L215" i="42"/>
  <c r="K247" i="42" s="1"/>
  <c r="L247" i="42" s="1"/>
  <c r="M247" i="42" s="1"/>
  <c r="AA248" i="27"/>
  <c r="AB248" i="27" s="1"/>
  <c r="AM244" i="27"/>
  <c r="AN244" i="27" s="1"/>
  <c r="J7" i="134"/>
  <c r="L7" i="134" s="1"/>
  <c r="G12" i="33"/>
  <c r="H211" i="42"/>
  <c r="G243" i="42" s="1"/>
  <c r="H243" i="42" s="1"/>
  <c r="I243" i="42" s="1"/>
  <c r="O244" i="27"/>
  <c r="P244" i="27" s="1"/>
  <c r="I107" i="183"/>
  <c r="J107" i="183" s="1"/>
  <c r="L107" i="183"/>
  <c r="Q364" i="183"/>
  <c r="I93" i="183"/>
  <c r="J93" i="183" s="1"/>
  <c r="H93" i="183"/>
  <c r="K93" i="183"/>
  <c r="G93" i="183"/>
  <c r="I433" i="182"/>
  <c r="E443" i="182"/>
  <c r="G433" i="182"/>
  <c r="H433" i="182" s="1"/>
  <c r="J433" i="182"/>
  <c r="J35" i="5"/>
  <c r="R154" i="125"/>
  <c r="Q154" i="125"/>
  <c r="T102" i="6"/>
  <c r="K102" i="6"/>
  <c r="N102" i="6"/>
  <c r="AJ375" i="26"/>
  <c r="AJ397" i="26"/>
  <c r="AE243" i="26"/>
  <c r="AF221" i="26"/>
  <c r="BD221" i="26" s="1"/>
  <c r="Q159" i="26"/>
  <c r="BA158" i="26"/>
  <c r="Q103" i="196"/>
  <c r="Q113" i="196" s="1"/>
  <c r="BA312" i="27"/>
  <c r="L56" i="6" s="1"/>
  <c r="Q56" i="6" s="1"/>
  <c r="G41" i="6"/>
  <c r="Q41" i="6" s="1"/>
  <c r="L26" i="6"/>
  <c r="Q26" i="6" s="1"/>
  <c r="K5" i="6"/>
  <c r="N5" i="6"/>
  <c r="K27" i="134"/>
  <c r="DN103" i="190" s="1"/>
  <c r="G308" i="183"/>
  <c r="I268" i="183"/>
  <c r="J268" i="183" s="1"/>
  <c r="L268" i="183"/>
  <c r="H268" i="183"/>
  <c r="E370" i="183"/>
  <c r="G268" i="183"/>
  <c r="K268" i="183"/>
  <c r="I11" i="182"/>
  <c r="G11" i="182"/>
  <c r="E10" i="182"/>
  <c r="G88" i="35"/>
  <c r="J10" i="5"/>
  <c r="AX102" i="201"/>
  <c r="AZ24" i="201"/>
  <c r="H161" i="125"/>
  <c r="G161" i="125"/>
  <c r="P277" i="44"/>
  <c r="N309" i="44"/>
  <c r="T95" i="6"/>
  <c r="K95" i="6"/>
  <c r="N95" i="6"/>
  <c r="I103" i="6"/>
  <c r="P12" i="9"/>
  <c r="W12" i="9"/>
  <c r="M25" i="33"/>
  <c r="K5" i="9"/>
  <c r="AM244" i="26"/>
  <c r="AN244" i="26" s="1"/>
  <c r="AO244" i="26" s="1"/>
  <c r="R188" i="26"/>
  <c r="R187" i="26"/>
  <c r="R185" i="26"/>
  <c r="R182" i="26"/>
  <c r="AY309" i="27"/>
  <c r="J53" i="6" s="1"/>
  <c r="O53" i="6" s="1"/>
  <c r="E38" i="6"/>
  <c r="O38" i="6" s="1"/>
  <c r="J23" i="6"/>
  <c r="O23" i="6" s="1"/>
  <c r="H28" i="134"/>
  <c r="G25" i="182"/>
  <c r="J25" i="182"/>
  <c r="I25" i="182"/>
  <c r="H25" i="182"/>
  <c r="E50" i="136"/>
  <c r="E9" i="136"/>
  <c r="G27" i="33"/>
  <c r="O246" i="26"/>
  <c r="P246" i="26" s="1"/>
  <c r="Q246" i="26" s="1"/>
  <c r="P146" i="44"/>
  <c r="H103" i="196"/>
  <c r="AN158" i="26"/>
  <c r="I75" i="196"/>
  <c r="M32" i="191"/>
  <c r="D18" i="33"/>
  <c r="D216" i="42"/>
  <c r="C249" i="27"/>
  <c r="AZ217" i="27"/>
  <c r="B182" i="27"/>
  <c r="G57" i="42"/>
  <c r="G119" i="42" s="1"/>
  <c r="G181" i="42" s="1"/>
  <c r="O120" i="27"/>
  <c r="O182" i="27" s="1"/>
  <c r="L87" i="28"/>
  <c r="G15" i="182"/>
  <c r="I15" i="182"/>
  <c r="H15" i="182"/>
  <c r="E14" i="182"/>
  <c r="J15" i="182"/>
  <c r="J466" i="182"/>
  <c r="I466" i="182"/>
  <c r="G466" i="182"/>
  <c r="H466" i="182" s="1"/>
  <c r="G98" i="125"/>
  <c r="H98" i="125"/>
  <c r="J26" i="5"/>
  <c r="I26" i="5"/>
  <c r="F310" i="44"/>
  <c r="H278" i="44"/>
  <c r="U209" i="44"/>
  <c r="P155" i="44"/>
  <c r="H112" i="196"/>
  <c r="K112" i="196" s="1"/>
  <c r="N308" i="42"/>
  <c r="P276" i="42"/>
  <c r="J12" i="134"/>
  <c r="AM249" i="27"/>
  <c r="AN249" i="27" s="1"/>
  <c r="G247" i="27"/>
  <c r="H247" i="27" s="1"/>
  <c r="H311" i="27"/>
  <c r="K61" i="42"/>
  <c r="K123" i="42" s="1"/>
  <c r="K185" i="42" s="1"/>
  <c r="AA124" i="27"/>
  <c r="AA186" i="27" s="1"/>
  <c r="AN336" i="26"/>
  <c r="AO336" i="26" s="1"/>
  <c r="G251" i="26"/>
  <c r="H251" i="26" s="1"/>
  <c r="I251" i="26" s="1"/>
  <c r="L26" i="9"/>
  <c r="AW95" i="26"/>
  <c r="AH180" i="26"/>
  <c r="P84" i="44"/>
  <c r="AN94" i="26"/>
  <c r="G58" i="44"/>
  <c r="L276" i="42"/>
  <c r="AB309" i="27"/>
  <c r="D10" i="33"/>
  <c r="D209" i="42"/>
  <c r="AZ210" i="27"/>
  <c r="C242" i="27"/>
  <c r="AZ146" i="27"/>
  <c r="AZ143" i="27" s="1"/>
  <c r="AX156" i="27"/>
  <c r="O93" i="42"/>
  <c r="B53" i="42"/>
  <c r="D53" i="27"/>
  <c r="AX53" i="27"/>
  <c r="L58" i="28"/>
  <c r="G24" i="182"/>
  <c r="I24" i="182"/>
  <c r="H24" i="182"/>
  <c r="J24" i="182"/>
  <c r="G434" i="182"/>
  <c r="H434" i="182" s="1"/>
  <c r="J434" i="182"/>
  <c r="I434" i="182"/>
  <c r="M123" i="26"/>
  <c r="W242" i="27"/>
  <c r="X242" i="27" s="1"/>
  <c r="B177" i="27"/>
  <c r="D115" i="27"/>
  <c r="B125" i="27"/>
  <c r="L11" i="28"/>
  <c r="AY53" i="26"/>
  <c r="AT186" i="27"/>
  <c r="P90" i="42"/>
  <c r="AO182" i="27"/>
  <c r="AL180" i="27"/>
  <c r="M135" i="182"/>
  <c r="H19" i="6"/>
  <c r="F29" i="6"/>
  <c r="H29" i="6" s="1"/>
  <c r="F57" i="44"/>
  <c r="AR305" i="27"/>
  <c r="AR283" i="27"/>
  <c r="L305" i="27"/>
  <c r="L283" i="27"/>
  <c r="P149" i="42"/>
  <c r="U88" i="44"/>
  <c r="AU249" i="27"/>
  <c r="AV249" i="27" s="1"/>
  <c r="F16" i="195"/>
  <c r="S290" i="44"/>
  <c r="G225" i="44"/>
  <c r="H203" i="44"/>
  <c r="P203" i="44"/>
  <c r="U289" i="44"/>
  <c r="U267" i="44"/>
  <c r="D297" i="44"/>
  <c r="T265" i="44"/>
  <c r="P289" i="44"/>
  <c r="P267" i="44"/>
  <c r="T193" i="42"/>
  <c r="M162" i="44"/>
  <c r="M172" i="44" s="1"/>
  <c r="M110" i="44"/>
  <c r="T195" i="42"/>
  <c r="S227" i="42" s="1"/>
  <c r="T227" i="42" s="1"/>
  <c r="U227" i="42" s="1"/>
  <c r="U164" i="44"/>
  <c r="R163" i="44"/>
  <c r="U267" i="42"/>
  <c r="T263" i="42"/>
  <c r="T198" i="42"/>
  <c r="S230" i="42" s="1"/>
  <c r="T230" i="42" s="1"/>
  <c r="U230" i="42" s="1"/>
  <c r="G162" i="44"/>
  <c r="G172" i="44" s="1"/>
  <c r="G110" i="44"/>
  <c r="E299" i="42"/>
  <c r="T200" i="42"/>
  <c r="S232" i="42" s="1"/>
  <c r="T232" i="42" s="1"/>
  <c r="U232" i="42" s="1"/>
  <c r="B168" i="44"/>
  <c r="R168" i="44" s="1"/>
  <c r="R106" i="44"/>
  <c r="B171" i="44"/>
  <c r="F161" i="42"/>
  <c r="D167" i="42"/>
  <c r="J100" i="201"/>
  <c r="K22" i="201"/>
  <c r="D78" i="125" s="1"/>
  <c r="R289" i="42"/>
  <c r="AV74" i="201"/>
  <c r="AW58" i="201"/>
  <c r="AZ45" i="201"/>
  <c r="H30" i="201"/>
  <c r="H108" i="201" s="1"/>
  <c r="R162" i="42"/>
  <c r="AP76" i="201"/>
  <c r="AS75" i="201"/>
  <c r="J56" i="132" s="1"/>
  <c r="AS71" i="201"/>
  <c r="AV68" i="201"/>
  <c r="AW52" i="201"/>
  <c r="I385" i="182"/>
  <c r="E395" i="182"/>
  <c r="G385" i="182"/>
  <c r="H385" i="182" s="1"/>
  <c r="J385" i="182"/>
  <c r="AS70" i="201"/>
  <c r="J51" i="132" s="1"/>
  <c r="AZ67" i="201"/>
  <c r="AU76" i="201"/>
  <c r="AX93" i="201"/>
  <c r="AZ83" i="201"/>
  <c r="J102" i="201"/>
  <c r="K24" i="201"/>
  <c r="D80" i="125" s="1"/>
  <c r="G98" i="201"/>
  <c r="H371" i="183"/>
  <c r="I311" i="183"/>
  <c r="J311" i="183" s="1"/>
  <c r="E313" i="183"/>
  <c r="L311" i="183"/>
  <c r="H311" i="183"/>
  <c r="K311" i="183"/>
  <c r="G311" i="183"/>
  <c r="I267" i="183"/>
  <c r="J267" i="183" s="1"/>
  <c r="L267" i="183"/>
  <c r="E369" i="183"/>
  <c r="I236" i="183"/>
  <c r="J236" i="183" s="1"/>
  <c r="L236" i="183"/>
  <c r="H236" i="183"/>
  <c r="K236" i="183"/>
  <c r="G236" i="183"/>
  <c r="J508" i="182"/>
  <c r="I508" i="182"/>
  <c r="G508" i="182"/>
  <c r="H508" i="182" s="1"/>
  <c r="J503" i="182"/>
  <c r="I503" i="182"/>
  <c r="G503" i="182"/>
  <c r="H503" i="182" s="1"/>
  <c r="J457" i="182"/>
  <c r="I457" i="182"/>
  <c r="G457" i="182"/>
  <c r="H457" i="182" s="1"/>
  <c r="J410" i="182"/>
  <c r="G410" i="182"/>
  <c r="H410" i="182" s="1"/>
  <c r="E337" i="183"/>
  <c r="E426" i="182"/>
  <c r="AV75" i="201"/>
  <c r="K23" i="201"/>
  <c r="D79" i="125" s="1"/>
  <c r="K21" i="201"/>
  <c r="D77" i="125" s="1"/>
  <c r="K276" i="183"/>
  <c r="G276" i="183"/>
  <c r="K370" i="183"/>
  <c r="I276" i="183"/>
  <c r="J276" i="183" s="1"/>
  <c r="L276" i="183"/>
  <c r="H276" i="183"/>
  <c r="K367" i="183"/>
  <c r="K180" i="183"/>
  <c r="G180" i="183"/>
  <c r="I180" i="183"/>
  <c r="J180" i="183" s="1"/>
  <c r="L180" i="183"/>
  <c r="H180" i="183"/>
  <c r="G469" i="182"/>
  <c r="H469" i="182" s="1"/>
  <c r="J469" i="182"/>
  <c r="I469" i="182"/>
  <c r="D107" i="201"/>
  <c r="L33" i="125" s="1"/>
  <c r="G391" i="182"/>
  <c r="H391" i="182" s="1"/>
  <c r="J391" i="182"/>
  <c r="I391" i="182"/>
  <c r="D337" i="183"/>
  <c r="D426" i="182"/>
  <c r="D424" i="182"/>
  <c r="D273" i="183"/>
  <c r="D23" i="182"/>
  <c r="D22" i="182" s="1"/>
  <c r="D21" i="182" s="1"/>
  <c r="D12" i="182"/>
  <c r="G12" i="182" s="1"/>
  <c r="E222" i="183"/>
  <c r="E487" i="182"/>
  <c r="AV73" i="201"/>
  <c r="H372" i="183"/>
  <c r="I343" i="183"/>
  <c r="J343" i="183" s="1"/>
  <c r="E345" i="183"/>
  <c r="L343" i="183"/>
  <c r="H343" i="183"/>
  <c r="K343" i="183"/>
  <c r="K391" i="183" s="1"/>
  <c r="G343" i="183"/>
  <c r="D304" i="183"/>
  <c r="G271" i="183"/>
  <c r="G44" i="182"/>
  <c r="J44" i="182"/>
  <c r="E42" i="183"/>
  <c r="E368" i="182"/>
  <c r="I44" i="182"/>
  <c r="E61" i="182"/>
  <c r="H44" i="182"/>
  <c r="D57" i="136"/>
  <c r="J47" i="136"/>
  <c r="L117" i="6"/>
  <c r="BA406" i="26"/>
  <c r="L147" i="6" s="1"/>
  <c r="Q147" i="6" s="1"/>
  <c r="N312" i="44"/>
  <c r="AY404" i="26"/>
  <c r="J145" i="6" s="1"/>
  <c r="O145" i="6" s="1"/>
  <c r="J115" i="6"/>
  <c r="AX401" i="26"/>
  <c r="I142" i="6" s="1"/>
  <c r="N142" i="6" s="1"/>
  <c r="I112" i="6"/>
  <c r="L276" i="44"/>
  <c r="BA398" i="26"/>
  <c r="L139" i="6" s="1"/>
  <c r="Q139" i="6" s="1"/>
  <c r="L109" i="6"/>
  <c r="J282" i="44"/>
  <c r="L28" i="9"/>
  <c r="D215" i="44"/>
  <c r="R215" i="44"/>
  <c r="N27" i="33"/>
  <c r="I23" i="9"/>
  <c r="S210" i="44"/>
  <c r="E218" i="44"/>
  <c r="U208" i="44"/>
  <c r="T75" i="42"/>
  <c r="AW55" i="201"/>
  <c r="BA55" i="201" s="1"/>
  <c r="C91" i="183"/>
  <c r="C83" i="183"/>
  <c r="H105" i="201"/>
  <c r="J474" i="182"/>
  <c r="I474" i="182"/>
  <c r="G474" i="182"/>
  <c r="H474" i="182" s="1"/>
  <c r="D411" i="182"/>
  <c r="D378" i="182"/>
  <c r="E138" i="183"/>
  <c r="E151" i="182"/>
  <c r="E371" i="182"/>
  <c r="K363" i="183"/>
  <c r="K52" i="183"/>
  <c r="G52" i="183"/>
  <c r="I52" i="183"/>
  <c r="J52" i="183" s="1"/>
  <c r="L52" i="183"/>
  <c r="H52" i="183"/>
  <c r="E20" i="183"/>
  <c r="I12" i="182"/>
  <c r="J12" i="182"/>
  <c r="E39" i="182"/>
  <c r="E10" i="136"/>
  <c r="E51" i="136"/>
  <c r="E70" i="136" s="1"/>
  <c r="D12" i="5"/>
  <c r="J14" i="5"/>
  <c r="M18" i="35"/>
  <c r="N311" i="44"/>
  <c r="F311" i="44"/>
  <c r="N307" i="44"/>
  <c r="F307" i="44"/>
  <c r="B307" i="44"/>
  <c r="Q282" i="44"/>
  <c r="I282" i="44"/>
  <c r="J29" i="9"/>
  <c r="U215" i="44"/>
  <c r="BA400" i="26"/>
  <c r="L141" i="6" s="1"/>
  <c r="Q141" i="6" s="1"/>
  <c r="L23" i="9"/>
  <c r="L210" i="44"/>
  <c r="K242" i="44" s="1"/>
  <c r="L242" i="44" s="1"/>
  <c r="M242" i="44" s="1"/>
  <c r="D210" i="44"/>
  <c r="R210" i="44"/>
  <c r="AZ68" i="201"/>
  <c r="L66" i="183"/>
  <c r="G409" i="182"/>
  <c r="H409" i="182" s="1"/>
  <c r="J409" i="182"/>
  <c r="I409" i="182"/>
  <c r="AP123" i="201"/>
  <c r="I303" i="183"/>
  <c r="J303" i="183" s="1"/>
  <c r="H303" i="183"/>
  <c r="K303" i="183"/>
  <c r="G303" i="183"/>
  <c r="D371" i="183"/>
  <c r="D355" i="182"/>
  <c r="D364" i="183"/>
  <c r="I79" i="183"/>
  <c r="J79" i="183" s="1"/>
  <c r="L79" i="183"/>
  <c r="H79" i="183"/>
  <c r="K79" i="183"/>
  <c r="G79" i="183"/>
  <c r="E411" i="182"/>
  <c r="G401" i="182"/>
  <c r="H401" i="182" s="1"/>
  <c r="J401" i="182"/>
  <c r="I401" i="182"/>
  <c r="J48" i="35"/>
  <c r="J39" i="5"/>
  <c r="L31" i="35"/>
  <c r="L50" i="35"/>
  <c r="Q159" i="125"/>
  <c r="R159" i="125"/>
  <c r="Y407" i="26"/>
  <c r="Y376" i="26"/>
  <c r="O252" i="26"/>
  <c r="P252" i="26" s="1"/>
  <c r="Q252" i="26" s="1"/>
  <c r="M32" i="33"/>
  <c r="M30" i="33"/>
  <c r="K9" i="9"/>
  <c r="M9" i="9" s="1"/>
  <c r="S9" i="9" s="1"/>
  <c r="AM248" i="26"/>
  <c r="AN248" i="26" s="1"/>
  <c r="AO248" i="26" s="1"/>
  <c r="D28" i="33"/>
  <c r="C247" i="26"/>
  <c r="D247" i="26" s="1"/>
  <c r="E247" i="26" s="1"/>
  <c r="AZ215" i="26"/>
  <c r="H209" i="44"/>
  <c r="G241" i="44" s="1"/>
  <c r="H241" i="44" s="1"/>
  <c r="I241" i="44" s="1"/>
  <c r="AQ243" i="26"/>
  <c r="AR221" i="26"/>
  <c r="H34" i="33"/>
  <c r="G218" i="44"/>
  <c r="D93" i="44"/>
  <c r="AZ93" i="26"/>
  <c r="P90" i="44"/>
  <c r="D89" i="44"/>
  <c r="AZ89" i="26"/>
  <c r="P86" i="44"/>
  <c r="BA94" i="26"/>
  <c r="AA8" i="191" s="1"/>
  <c r="Q73" i="196"/>
  <c r="E94" i="44"/>
  <c r="J62" i="26"/>
  <c r="X30" i="26"/>
  <c r="AA315" i="27"/>
  <c r="AN314" i="27"/>
  <c r="BA313" i="27"/>
  <c r="L57" i="6" s="1"/>
  <c r="Q57" i="6" s="1"/>
  <c r="G42" i="6"/>
  <c r="Q42" i="6" s="1"/>
  <c r="L27" i="6"/>
  <c r="Q27" i="6" s="1"/>
  <c r="B311" i="42"/>
  <c r="C310" i="42"/>
  <c r="H277" i="42"/>
  <c r="P310" i="27"/>
  <c r="K6" i="6"/>
  <c r="N6" i="6"/>
  <c r="AN306" i="27"/>
  <c r="BA305" i="27"/>
  <c r="L49" i="6" s="1"/>
  <c r="Q49" i="6" s="1"/>
  <c r="BA283" i="27"/>
  <c r="G34" i="6"/>
  <c r="L19" i="6"/>
  <c r="H19" i="33"/>
  <c r="J13" i="134"/>
  <c r="AM250" i="27"/>
  <c r="AN250" i="27" s="1"/>
  <c r="H217" i="42"/>
  <c r="G249" i="42" s="1"/>
  <c r="H249" i="42" s="1"/>
  <c r="I249" i="42" s="1"/>
  <c r="O250" i="27"/>
  <c r="P250" i="27" s="1"/>
  <c r="AI248" i="27"/>
  <c r="AJ248" i="27" s="1"/>
  <c r="D17" i="33"/>
  <c r="D215" i="42"/>
  <c r="AZ216" i="27"/>
  <c r="C248" i="27"/>
  <c r="R214" i="42"/>
  <c r="J15" i="33"/>
  <c r="L213" i="42"/>
  <c r="K245" i="42" s="1"/>
  <c r="L245" i="42" s="1"/>
  <c r="M245" i="42" s="1"/>
  <c r="AA246" i="27"/>
  <c r="AB246" i="27" s="1"/>
  <c r="N13" i="33"/>
  <c r="H23" i="134"/>
  <c r="S244" i="27"/>
  <c r="N9" i="33"/>
  <c r="AX219" i="27"/>
  <c r="N19" i="33" s="1"/>
  <c r="H19" i="134"/>
  <c r="AU62" i="27"/>
  <c r="L340" i="183"/>
  <c r="J506" i="182"/>
  <c r="I506" i="182"/>
  <c r="G506" i="182"/>
  <c r="H506" i="182" s="1"/>
  <c r="I471" i="182"/>
  <c r="G471" i="182"/>
  <c r="H471" i="182" s="1"/>
  <c r="J471" i="182"/>
  <c r="K212" i="183"/>
  <c r="G212" i="183"/>
  <c r="K368" i="183"/>
  <c r="I212" i="183"/>
  <c r="J212" i="183" s="1"/>
  <c r="L212" i="183"/>
  <c r="H212" i="183"/>
  <c r="E181" i="182"/>
  <c r="E170" i="183"/>
  <c r="E372" i="182"/>
  <c r="H365" i="183"/>
  <c r="E121" i="183"/>
  <c r="H119" i="183"/>
  <c r="K119" i="183"/>
  <c r="G119" i="183"/>
  <c r="I119" i="183"/>
  <c r="J119" i="183" s="1"/>
  <c r="G387" i="182"/>
  <c r="H387" i="182" s="1"/>
  <c r="J387" i="182"/>
  <c r="I387" i="182"/>
  <c r="D79" i="136"/>
  <c r="G14" i="5"/>
  <c r="J28" i="5"/>
  <c r="I28" i="5"/>
  <c r="D7" i="5"/>
  <c r="N407" i="26"/>
  <c r="N310" i="44"/>
  <c r="P278" i="44"/>
  <c r="AX402" i="26"/>
  <c r="I113" i="6"/>
  <c r="AN375" i="26"/>
  <c r="AN397" i="26"/>
  <c r="X375" i="26"/>
  <c r="X397" i="26"/>
  <c r="H375" i="26"/>
  <c r="H397" i="26"/>
  <c r="AN341" i="26"/>
  <c r="AO341" i="26" s="1"/>
  <c r="O33" i="33"/>
  <c r="J28" i="9"/>
  <c r="H216" i="44"/>
  <c r="G248" i="44" s="1"/>
  <c r="H248" i="44" s="1"/>
  <c r="I248" i="44" s="1"/>
  <c r="W11" i="9"/>
  <c r="P11" i="9"/>
  <c r="L213" i="44"/>
  <c r="K245" i="44" s="1"/>
  <c r="L245" i="44" s="1"/>
  <c r="M245" i="44" s="1"/>
  <c r="O8" i="9"/>
  <c r="V8" i="9"/>
  <c r="G24" i="33"/>
  <c r="P221" i="26"/>
  <c r="O243" i="26"/>
  <c r="C34" i="33"/>
  <c r="AX311" i="27"/>
  <c r="I55" i="6" s="1"/>
  <c r="N55" i="6" s="1"/>
  <c r="I25" i="6"/>
  <c r="D40" i="6"/>
  <c r="AY310" i="27"/>
  <c r="E39" i="6"/>
  <c r="O39" i="6" s="1"/>
  <c r="J24" i="6"/>
  <c r="O24" i="6" s="1"/>
  <c r="J14" i="6"/>
  <c r="O4" i="6"/>
  <c r="Y220" i="27"/>
  <c r="I28" i="134"/>
  <c r="U216" i="42"/>
  <c r="O15" i="33"/>
  <c r="I24" i="134"/>
  <c r="V24" i="134" s="1"/>
  <c r="U212" i="42"/>
  <c r="O10" i="33"/>
  <c r="I20" i="134"/>
  <c r="AA62" i="27"/>
  <c r="O60" i="42"/>
  <c r="O122" i="42" s="1"/>
  <c r="O184" i="42" s="1"/>
  <c r="O54" i="42"/>
  <c r="E93" i="42"/>
  <c r="D15" i="183"/>
  <c r="AU101" i="201"/>
  <c r="D286" i="183"/>
  <c r="D489" i="182"/>
  <c r="J440" i="182"/>
  <c r="I440" i="182"/>
  <c r="G440" i="182"/>
  <c r="H440" i="182" s="1"/>
  <c r="J502" i="182"/>
  <c r="I502" i="182"/>
  <c r="G502" i="182"/>
  <c r="H502" i="182" s="1"/>
  <c r="I75" i="183"/>
  <c r="J75" i="183" s="1"/>
  <c r="L75" i="183"/>
  <c r="K30" i="5"/>
  <c r="L48" i="35"/>
  <c r="L29" i="35"/>
  <c r="O68" i="35"/>
  <c r="P68" i="35" s="1"/>
  <c r="E48" i="35"/>
  <c r="F30" i="5"/>
  <c r="J30" i="5" s="1"/>
  <c r="R158" i="125"/>
  <c r="Q158" i="125"/>
  <c r="L278" i="44"/>
  <c r="J310" i="44"/>
  <c r="T94" i="6"/>
  <c r="O94" i="6"/>
  <c r="B305" i="44"/>
  <c r="D273" i="44"/>
  <c r="R273" i="44"/>
  <c r="O304" i="44"/>
  <c r="O282" i="44"/>
  <c r="K304" i="44"/>
  <c r="K282" i="44"/>
  <c r="G304" i="44"/>
  <c r="G282" i="44"/>
  <c r="C304" i="44"/>
  <c r="C282" i="44"/>
  <c r="S272" i="44"/>
  <c r="P217" i="44"/>
  <c r="O249" i="44" s="1"/>
  <c r="P249" i="44" s="1"/>
  <c r="Q249" i="44" s="1"/>
  <c r="L25" i="9"/>
  <c r="V5" i="9"/>
  <c r="O5" i="9"/>
  <c r="N24" i="33"/>
  <c r="AX221" i="26"/>
  <c r="N34" i="33" s="1"/>
  <c r="I20" i="9"/>
  <c r="AI243" i="26"/>
  <c r="AJ221" i="26"/>
  <c r="D208" i="44"/>
  <c r="B218" i="44"/>
  <c r="R208" i="44"/>
  <c r="V188" i="26"/>
  <c r="V124" i="26"/>
  <c r="V123" i="26"/>
  <c r="V121" i="26"/>
  <c r="V120" i="26"/>
  <c r="V182" i="26"/>
  <c r="X182" i="26" s="1"/>
  <c r="X119" i="26"/>
  <c r="C59" i="44"/>
  <c r="AY59" i="26"/>
  <c r="K55" i="44"/>
  <c r="K118" i="44" s="1"/>
  <c r="K180" i="44" s="1"/>
  <c r="Q53" i="44"/>
  <c r="Q116" i="44" s="1"/>
  <c r="Q178" i="44" s="1"/>
  <c r="G55" i="185"/>
  <c r="AO117" i="26"/>
  <c r="AX314" i="27"/>
  <c r="I58" i="6" s="1"/>
  <c r="N58" i="6" s="1"/>
  <c r="D43" i="6"/>
  <c r="I28" i="6"/>
  <c r="AX306" i="27"/>
  <c r="I50" i="6" s="1"/>
  <c r="N50" i="6" s="1"/>
  <c r="D35" i="6"/>
  <c r="I20" i="6"/>
  <c r="C304" i="42"/>
  <c r="R217" i="42"/>
  <c r="P213" i="42"/>
  <c r="O245" i="42" s="1"/>
  <c r="P245" i="42" s="1"/>
  <c r="Q245" i="42" s="1"/>
  <c r="N12" i="33"/>
  <c r="H22" i="134"/>
  <c r="D10" i="183"/>
  <c r="E380" i="183"/>
  <c r="H146" i="183"/>
  <c r="K146" i="183"/>
  <c r="G146" i="183"/>
  <c r="I146" i="183"/>
  <c r="J146" i="183" s="1"/>
  <c r="C19" i="136"/>
  <c r="H95" i="125"/>
  <c r="G95" i="125"/>
  <c r="AC376" i="26"/>
  <c r="AC407" i="26"/>
  <c r="I311" i="44"/>
  <c r="AY397" i="26"/>
  <c r="J138" i="6" s="1"/>
  <c r="O138" i="6" s="1"/>
  <c r="S151" i="44"/>
  <c r="M80" i="191"/>
  <c r="I81" i="196"/>
  <c r="H84" i="44"/>
  <c r="P94" i="26"/>
  <c r="AX55" i="26"/>
  <c r="K62" i="26"/>
  <c r="J56" i="44"/>
  <c r="J53" i="44"/>
  <c r="I52" i="44"/>
  <c r="Q62" i="26"/>
  <c r="Q116" i="26"/>
  <c r="A145" i="26"/>
  <c r="A176" i="26" s="1"/>
  <c r="AN313" i="27"/>
  <c r="Q309" i="42"/>
  <c r="R276" i="42"/>
  <c r="B308" i="42"/>
  <c r="AV305" i="27"/>
  <c r="AV283" i="27"/>
  <c r="AF305" i="27"/>
  <c r="BE305" i="27" s="1"/>
  <c r="AF283" i="27"/>
  <c r="BF283" i="27" s="1"/>
  <c r="H272" i="42"/>
  <c r="P305" i="27"/>
  <c r="P283" i="27"/>
  <c r="D16" i="33"/>
  <c r="D214" i="42"/>
  <c r="AZ215" i="27"/>
  <c r="C247" i="27"/>
  <c r="S210" i="42"/>
  <c r="AZ152" i="27"/>
  <c r="P109" i="195" s="1"/>
  <c r="S109" i="195" s="1"/>
  <c r="R147" i="42"/>
  <c r="R124" i="27"/>
  <c r="Z184" i="27"/>
  <c r="J122" i="27"/>
  <c r="AZ89" i="27"/>
  <c r="AP180" i="27"/>
  <c r="S85" i="42"/>
  <c r="D84" i="42"/>
  <c r="D94" i="27"/>
  <c r="J57" i="42"/>
  <c r="J119" i="42" s="1"/>
  <c r="J181" i="42" s="1"/>
  <c r="N53" i="42"/>
  <c r="K62" i="27"/>
  <c r="C55" i="42"/>
  <c r="AY55" i="27"/>
  <c r="C118" i="27"/>
  <c r="L91" i="28"/>
  <c r="D68" i="6"/>
  <c r="H22" i="6"/>
  <c r="S41" i="134"/>
  <c r="J11" i="132" s="1"/>
  <c r="J6" i="136"/>
  <c r="AY107" i="201"/>
  <c r="AX98" i="201"/>
  <c r="AX30" i="201"/>
  <c r="AX143" i="201" s="1"/>
  <c r="AZ20" i="201"/>
  <c r="E50" i="35"/>
  <c r="H89" i="35" s="1"/>
  <c r="Q155" i="125"/>
  <c r="R155" i="125"/>
  <c r="AP407" i="26"/>
  <c r="P405" i="26"/>
  <c r="S246" i="26"/>
  <c r="T246" i="26" s="1"/>
  <c r="U246" i="26" s="1"/>
  <c r="O27" i="33"/>
  <c r="J23" i="9"/>
  <c r="L209" i="44"/>
  <c r="K241" i="44" s="1"/>
  <c r="L241" i="44" s="1"/>
  <c r="M241" i="44" s="1"/>
  <c r="L21" i="9"/>
  <c r="P208" i="44"/>
  <c r="N218" i="44"/>
  <c r="P151" i="44"/>
  <c r="H108" i="196"/>
  <c r="K108" i="196" s="1"/>
  <c r="AE123" i="26"/>
  <c r="AE186" i="26" s="1"/>
  <c r="AJ94" i="26"/>
  <c r="T94" i="26"/>
  <c r="D84" i="44"/>
  <c r="D94" i="26"/>
  <c r="AZ84" i="26"/>
  <c r="AA15" i="191" s="1"/>
  <c r="AM62" i="26"/>
  <c r="E60" i="44"/>
  <c r="Q56" i="44"/>
  <c r="Q119" i="44" s="1"/>
  <c r="Q181" i="44" s="1"/>
  <c r="G58" i="185"/>
  <c r="F56" i="44"/>
  <c r="BA53" i="26"/>
  <c r="P55" i="185" s="1"/>
  <c r="Q44" i="196" s="1"/>
  <c r="J312" i="42"/>
  <c r="AN312" i="27"/>
  <c r="T308" i="27"/>
  <c r="S275" i="42"/>
  <c r="C307" i="42"/>
  <c r="Q305" i="42"/>
  <c r="O18" i="33"/>
  <c r="I27" i="134"/>
  <c r="G249" i="27"/>
  <c r="H249" i="27" s="1"/>
  <c r="O10" i="134"/>
  <c r="W245" i="27"/>
  <c r="X245" i="27" s="1"/>
  <c r="AM243" i="27"/>
  <c r="AN243" i="27" s="1"/>
  <c r="AN307" i="27"/>
  <c r="AE242" i="27"/>
  <c r="AF242" i="27" s="1"/>
  <c r="BF242" i="27" s="1"/>
  <c r="AF306" i="27"/>
  <c r="BE306" i="27" s="1"/>
  <c r="G10" i="33"/>
  <c r="H209" i="42"/>
  <c r="G241" i="42" s="1"/>
  <c r="H241" i="42" s="1"/>
  <c r="I241" i="42" s="1"/>
  <c r="O242" i="27"/>
  <c r="P242" i="27" s="1"/>
  <c r="P151" i="42"/>
  <c r="H109" i="195"/>
  <c r="K109" i="195" s="1"/>
  <c r="P147" i="42"/>
  <c r="I113" i="195"/>
  <c r="F185" i="27"/>
  <c r="AH179" i="27"/>
  <c r="M70" i="191"/>
  <c r="I80" i="195"/>
  <c r="P88" i="42"/>
  <c r="AO180" i="27"/>
  <c r="AL116" i="27"/>
  <c r="H73" i="195"/>
  <c r="J59" i="42"/>
  <c r="J121" i="42" s="1"/>
  <c r="J183" i="42" s="1"/>
  <c r="N55" i="42"/>
  <c r="X30" i="27"/>
  <c r="O55" i="42"/>
  <c r="O117" i="42" s="1"/>
  <c r="O179" i="42" s="1"/>
  <c r="AM118" i="27"/>
  <c r="AM180" i="27" s="1"/>
  <c r="K53" i="42"/>
  <c r="AA116" i="27"/>
  <c r="AA178" i="27" s="1"/>
  <c r="L77" i="28"/>
  <c r="L61" i="28"/>
  <c r="L21" i="28"/>
  <c r="G59" i="196"/>
  <c r="E28" i="196" s="1"/>
  <c r="M29" i="5"/>
  <c r="I53" i="35"/>
  <c r="G54" i="136"/>
  <c r="C64" i="136"/>
  <c r="H64" i="136" s="1"/>
  <c r="AY405" i="26"/>
  <c r="J146" i="6" s="1"/>
  <c r="O146" i="6" s="1"/>
  <c r="AB402" i="26"/>
  <c r="G309" i="44"/>
  <c r="X401" i="26"/>
  <c r="AN398" i="26"/>
  <c r="K305" i="44"/>
  <c r="F407" i="26"/>
  <c r="AB342" i="26"/>
  <c r="U217" i="44"/>
  <c r="O12" i="9"/>
  <c r="V12" i="9"/>
  <c r="M27" i="33"/>
  <c r="AM246" i="26"/>
  <c r="AN246" i="26" s="1"/>
  <c r="AO246" i="26" s="1"/>
  <c r="P148" i="44"/>
  <c r="H105" i="196"/>
  <c r="K105" i="196" s="1"/>
  <c r="M88" i="191"/>
  <c r="I82" i="196"/>
  <c r="R180" i="26"/>
  <c r="T180" i="26" s="1"/>
  <c r="T117" i="26"/>
  <c r="D85" i="44"/>
  <c r="AZ85" i="26"/>
  <c r="V116" i="26"/>
  <c r="N59" i="44"/>
  <c r="B56" i="44"/>
  <c r="I21" i="185"/>
  <c r="F31" i="185"/>
  <c r="I58" i="196"/>
  <c r="AD62" i="26"/>
  <c r="I62" i="26"/>
  <c r="E313" i="42"/>
  <c r="U281" i="42"/>
  <c r="L279" i="42"/>
  <c r="AB312" i="27"/>
  <c r="I309" i="42"/>
  <c r="AC315" i="27"/>
  <c r="AC284" i="27"/>
  <c r="AL315" i="27"/>
  <c r="V315" i="27"/>
  <c r="F315" i="27"/>
  <c r="U217" i="42"/>
  <c r="J18" i="33"/>
  <c r="L216" i="42"/>
  <c r="K248" i="42" s="1"/>
  <c r="L248" i="42" s="1"/>
  <c r="M248" i="42" s="1"/>
  <c r="AA249" i="27"/>
  <c r="AB249" i="27" s="1"/>
  <c r="K249" i="27"/>
  <c r="L249" i="27" s="1"/>
  <c r="AQ243" i="27"/>
  <c r="AR243" i="27" s="1"/>
  <c r="U147" i="42"/>
  <c r="B155" i="42"/>
  <c r="R145" i="42"/>
  <c r="P94" i="27"/>
  <c r="L92" i="42"/>
  <c r="S91" i="42"/>
  <c r="Z120" i="27"/>
  <c r="Z125" i="27" s="1"/>
  <c r="J120" i="27"/>
  <c r="AZ87" i="27"/>
  <c r="D86" i="42"/>
  <c r="AP178" i="27"/>
  <c r="AR116" i="27"/>
  <c r="AM177" i="27"/>
  <c r="C177" i="27"/>
  <c r="J61" i="42"/>
  <c r="J123" i="42" s="1"/>
  <c r="J185" i="42" s="1"/>
  <c r="J62" i="27"/>
  <c r="S62" i="27"/>
  <c r="K55" i="42"/>
  <c r="K117" i="42" s="1"/>
  <c r="K179" i="42" s="1"/>
  <c r="AA118" i="27"/>
  <c r="AA180" i="27" s="1"/>
  <c r="AB30" i="27"/>
  <c r="H75" i="28"/>
  <c r="J75" i="28" s="1"/>
  <c r="I75" i="28"/>
  <c r="L62" i="28"/>
  <c r="L45" i="28"/>
  <c r="M75" i="182"/>
  <c r="S29" i="134"/>
  <c r="I16" i="132" s="1"/>
  <c r="M31" i="134"/>
  <c r="E113" i="183"/>
  <c r="E419" i="182"/>
  <c r="K76" i="183"/>
  <c r="G76" i="183"/>
  <c r="E364" i="183"/>
  <c r="I76" i="183"/>
  <c r="J76" i="183" s="1"/>
  <c r="H76" i="183"/>
  <c r="L76" i="183"/>
  <c r="E61" i="183"/>
  <c r="I62" i="182"/>
  <c r="H62" i="182"/>
  <c r="G62" i="182"/>
  <c r="J62" i="182"/>
  <c r="E53" i="136"/>
  <c r="E13" i="136"/>
  <c r="G30" i="125"/>
  <c r="H30" i="125"/>
  <c r="AY105" i="201"/>
  <c r="P406" i="26"/>
  <c r="C313" i="44"/>
  <c r="S281" i="44"/>
  <c r="P149" i="44"/>
  <c r="AA72" i="191"/>
  <c r="Q80" i="196"/>
  <c r="D86" i="44"/>
  <c r="AZ86" i="26"/>
  <c r="AR94" i="26"/>
  <c r="L84" i="44"/>
  <c r="AB94" i="26"/>
  <c r="L94" i="26"/>
  <c r="BA314" i="27"/>
  <c r="L58" i="6" s="1"/>
  <c r="Q58" i="6" s="1"/>
  <c r="L28" i="6"/>
  <c r="Q28" i="6" s="1"/>
  <c r="G43" i="6"/>
  <c r="Q43" i="6" s="1"/>
  <c r="E309" i="42"/>
  <c r="U277" i="42"/>
  <c r="AG315" i="27"/>
  <c r="BF315" i="27" s="1"/>
  <c r="L14" i="6"/>
  <c r="P209" i="42"/>
  <c r="O241" i="42" s="1"/>
  <c r="P241" i="42" s="1"/>
  <c r="Q241" i="42" s="1"/>
  <c r="AK123" i="27"/>
  <c r="N57" i="42"/>
  <c r="Q52" i="42"/>
  <c r="AO115" i="27"/>
  <c r="AO62" i="27"/>
  <c r="AO63" i="27"/>
  <c r="AK115" i="27"/>
  <c r="AK62" i="27"/>
  <c r="Y115" i="27"/>
  <c r="Y62" i="27"/>
  <c r="U115" i="27"/>
  <c r="U62" i="27"/>
  <c r="E52" i="42"/>
  <c r="BA52" i="27"/>
  <c r="E115" i="27"/>
  <c r="E62" i="27"/>
  <c r="L7" i="28"/>
  <c r="K11" i="6"/>
  <c r="M32" i="156"/>
  <c r="L16" i="156"/>
  <c r="AR405" i="26"/>
  <c r="AN337" i="26"/>
  <c r="AO337" i="26" s="1"/>
  <c r="O28" i="33"/>
  <c r="AY401" i="26"/>
  <c r="J142" i="6" s="1"/>
  <c r="O142" i="6" s="1"/>
  <c r="J24" i="9"/>
  <c r="AW159" i="26"/>
  <c r="AK124" i="26"/>
  <c r="U92" i="44"/>
  <c r="AX52" i="26"/>
  <c r="T314" i="27"/>
  <c r="L306" i="27"/>
  <c r="G218" i="42"/>
  <c r="H92" i="42"/>
  <c r="I78" i="195"/>
  <c r="P86" i="42"/>
  <c r="V180" i="27"/>
  <c r="X180" i="27" s="1"/>
  <c r="X118" i="27"/>
  <c r="AO178" i="27"/>
  <c r="B62" i="27"/>
  <c r="T30" i="27"/>
  <c r="D30" i="27"/>
  <c r="L31" i="28"/>
  <c r="L14" i="9"/>
  <c r="R14" i="9" s="1"/>
  <c r="S83" i="185"/>
  <c r="U83" i="185"/>
  <c r="D280" i="42"/>
  <c r="AZ281" i="27"/>
  <c r="D313" i="27"/>
  <c r="AU247" i="27"/>
  <c r="AV247" i="27" s="1"/>
  <c r="G13" i="33"/>
  <c r="H212" i="42"/>
  <c r="G244" i="42" s="1"/>
  <c r="H244" i="42" s="1"/>
  <c r="I244" i="42" s="1"/>
  <c r="O245" i="27"/>
  <c r="P245" i="27" s="1"/>
  <c r="AU243" i="27"/>
  <c r="AV243" i="27" s="1"/>
  <c r="AV307" i="27"/>
  <c r="P121" i="27"/>
  <c r="E56" i="42"/>
  <c r="K7" i="6"/>
  <c r="H51" i="186"/>
  <c r="N30" i="33"/>
  <c r="I25" i="9"/>
  <c r="D213" i="44"/>
  <c r="R213" i="44"/>
  <c r="AE122" i="26"/>
  <c r="AE185" i="26" s="1"/>
  <c r="AA40" i="191"/>
  <c r="Q76" i="196"/>
  <c r="P85" i="44"/>
  <c r="AX60" i="26"/>
  <c r="C58" i="44"/>
  <c r="AY58" i="26"/>
  <c r="B57" i="44"/>
  <c r="H279" i="42"/>
  <c r="P312" i="27"/>
  <c r="J282" i="42"/>
  <c r="J304" i="42"/>
  <c r="Q13" i="134"/>
  <c r="K24" i="134"/>
  <c r="O9" i="33"/>
  <c r="AY219" i="27"/>
  <c r="O19" i="33" s="1"/>
  <c r="I19" i="134"/>
  <c r="P145" i="42"/>
  <c r="AN156" i="27"/>
  <c r="H103" i="195"/>
  <c r="Q54" i="42"/>
  <c r="Q116" i="42" s="1"/>
  <c r="Q178" i="42" s="1"/>
  <c r="G62" i="27"/>
  <c r="L90" i="28"/>
  <c r="H56" i="28"/>
  <c r="J56" i="28" s="1"/>
  <c r="E104" i="6"/>
  <c r="K14" i="134"/>
  <c r="Q14" i="134" s="1"/>
  <c r="R53" i="196"/>
  <c r="H16" i="196" s="1"/>
  <c r="R88" i="196"/>
  <c r="R98" i="196" s="1"/>
  <c r="H8" i="196" s="1"/>
  <c r="G241" i="27"/>
  <c r="H219" i="27"/>
  <c r="D69" i="6"/>
  <c r="U102" i="185"/>
  <c r="S102" i="185"/>
  <c r="S154" i="44"/>
  <c r="D146" i="44"/>
  <c r="D158" i="26"/>
  <c r="AZ148" i="26"/>
  <c r="M61" i="191"/>
  <c r="O59" i="42"/>
  <c r="O121" i="42" s="1"/>
  <c r="O183" i="42" s="1"/>
  <c r="AM122" i="27"/>
  <c r="AM184" i="27" s="1"/>
  <c r="O66" i="196"/>
  <c r="M35" i="196" s="1"/>
  <c r="AX313" i="27"/>
  <c r="I57" i="6" s="1"/>
  <c r="N57" i="6" s="1"/>
  <c r="J15" i="185"/>
  <c r="R68" i="196"/>
  <c r="AR77" i="201" l="1"/>
  <c r="BD54" i="27"/>
  <c r="BC54" i="27"/>
  <c r="I134" i="198"/>
  <c r="I228" i="198" s="1"/>
  <c r="AG243" i="27"/>
  <c r="BE243" i="27" s="1"/>
  <c r="BF243" i="27"/>
  <c r="AV158" i="201"/>
  <c r="X134" i="198"/>
  <c r="X228" i="198" s="1"/>
  <c r="W228" i="198"/>
  <c r="C108" i="201"/>
  <c r="I124" i="201"/>
  <c r="K124" i="201" s="1"/>
  <c r="BC47" i="26"/>
  <c r="BD47" i="26"/>
  <c r="AG6" i="9"/>
  <c r="BC47" i="27"/>
  <c r="BD47" i="27"/>
  <c r="J7" i="150"/>
  <c r="I117" i="170"/>
  <c r="L23" i="125"/>
  <c r="L41" i="125"/>
  <c r="L58" i="125" s="1"/>
  <c r="L75" i="125" s="1"/>
  <c r="L91" i="125" s="1"/>
  <c r="L107" i="125" s="1"/>
  <c r="L121" i="125" s="1"/>
  <c r="N9" i="183"/>
  <c r="N41" i="183" s="1"/>
  <c r="N73" i="183" s="1"/>
  <c r="N105" i="183" s="1"/>
  <c r="N137" i="183" s="1"/>
  <c r="N169" i="183" s="1"/>
  <c r="N201" i="183" s="1"/>
  <c r="N233" i="183" s="1"/>
  <c r="N265" i="183" s="1"/>
  <c r="N297" i="183" s="1"/>
  <c r="N329" i="183" s="1"/>
  <c r="D41" i="183"/>
  <c r="D73" i="183" s="1"/>
  <c r="D105" i="183" s="1"/>
  <c r="D137" i="183" s="1"/>
  <c r="D169" i="183" s="1"/>
  <c r="D201" i="183" s="1"/>
  <c r="D233" i="183" s="1"/>
  <c r="D265" i="183" s="1"/>
  <c r="D297" i="183" s="1"/>
  <c r="D329" i="183" s="1"/>
  <c r="D391" i="183" s="1"/>
  <c r="L391" i="183" s="1"/>
  <c r="D73" i="182"/>
  <c r="D103" i="182" s="1"/>
  <c r="D133" i="182" s="1"/>
  <c r="D163" i="182" s="1"/>
  <c r="D193" i="182" s="1"/>
  <c r="D223" i="182" s="1"/>
  <c r="D253" i="182" s="1"/>
  <c r="D283" i="182" s="1"/>
  <c r="D313" i="182" s="1"/>
  <c r="D347" i="182"/>
  <c r="L347" i="182" s="1"/>
  <c r="C21" i="205"/>
  <c r="C37" i="205" s="1"/>
  <c r="C53" i="205" s="1"/>
  <c r="C70" i="205" s="1"/>
  <c r="C86" i="205" s="1"/>
  <c r="C132" i="205" s="1"/>
  <c r="C149" i="205" s="1"/>
  <c r="E5" i="205"/>
  <c r="E41" i="183"/>
  <c r="E73" i="183" s="1"/>
  <c r="E105" i="183" s="1"/>
  <c r="E137" i="183" s="1"/>
  <c r="E169" i="183" s="1"/>
  <c r="E201" i="183" s="1"/>
  <c r="E233" i="183" s="1"/>
  <c r="E265" i="183" s="1"/>
  <c r="E297" i="183" s="1"/>
  <c r="E329" i="183" s="1"/>
  <c r="E391" i="183" s="1"/>
  <c r="M391" i="183" s="1"/>
  <c r="O9" i="183"/>
  <c r="O41" i="183" s="1"/>
  <c r="O73" i="183" s="1"/>
  <c r="O105" i="183" s="1"/>
  <c r="O137" i="183" s="1"/>
  <c r="O169" i="183" s="1"/>
  <c r="O201" i="183" s="1"/>
  <c r="O233" i="183" s="1"/>
  <c r="O265" i="183" s="1"/>
  <c r="O297" i="183" s="1"/>
  <c r="O329" i="183" s="1"/>
  <c r="E347" i="182"/>
  <c r="M347" i="182" s="1"/>
  <c r="E73" i="182"/>
  <c r="E103" i="182" s="1"/>
  <c r="E133" i="182" s="1"/>
  <c r="E163" i="182" s="1"/>
  <c r="E193" i="182" s="1"/>
  <c r="E223" i="182" s="1"/>
  <c r="E253" i="182" s="1"/>
  <c r="E283" i="182" s="1"/>
  <c r="E313" i="182" s="1"/>
  <c r="M135" i="125"/>
  <c r="F150" i="125"/>
  <c r="K150" i="125" s="1"/>
  <c r="P150" i="125" s="1"/>
  <c r="K24" i="35"/>
  <c r="E24" i="35"/>
  <c r="E43" i="35" s="1"/>
  <c r="D62" i="35" s="1"/>
  <c r="D81" i="35" s="1"/>
  <c r="I101" i="35" s="1"/>
  <c r="L7" i="35"/>
  <c r="E150" i="125"/>
  <c r="J150" i="125" s="1"/>
  <c r="O150" i="125" s="1"/>
  <c r="L135" i="125"/>
  <c r="K7" i="35"/>
  <c r="D24" i="35"/>
  <c r="P24" i="35" s="1"/>
  <c r="D43" i="35"/>
  <c r="D21" i="205"/>
  <c r="D37" i="205" s="1"/>
  <c r="D53" i="205" s="1"/>
  <c r="D70" i="205" s="1"/>
  <c r="D86" i="205" s="1"/>
  <c r="D132" i="205" s="1"/>
  <c r="D149" i="205" s="1"/>
  <c r="F5" i="205"/>
  <c r="J18" i="28"/>
  <c r="M8" i="125" s="1"/>
  <c r="L18" i="28"/>
  <c r="AC243" i="27"/>
  <c r="S177" i="27"/>
  <c r="T177" i="27" s="1"/>
  <c r="T185" i="27"/>
  <c r="AC179" i="27"/>
  <c r="AC244" i="27"/>
  <c r="AC242" i="27"/>
  <c r="AC245" i="27"/>
  <c r="T181" i="27"/>
  <c r="H66" i="196"/>
  <c r="P66" i="196" s="1"/>
  <c r="S66" i="196" s="1"/>
  <c r="Q35" i="196" s="1"/>
  <c r="L29" i="185"/>
  <c r="H61" i="196"/>
  <c r="P61" i="196" s="1"/>
  <c r="S61" i="196" s="1"/>
  <c r="Q30" i="196" s="1"/>
  <c r="L24" i="185"/>
  <c r="C31" i="207"/>
  <c r="C220" i="183"/>
  <c r="C397" i="183" s="1"/>
  <c r="C353" i="183"/>
  <c r="C355" i="183" s="1"/>
  <c r="O157" i="182"/>
  <c r="N157" i="182"/>
  <c r="N156" i="182"/>
  <c r="O156" i="182"/>
  <c r="O158" i="183"/>
  <c r="P350" i="183"/>
  <c r="Q350" i="183"/>
  <c r="O186" i="182"/>
  <c r="N186" i="182"/>
  <c r="O190" i="183"/>
  <c r="Q254" i="183"/>
  <c r="P254" i="183"/>
  <c r="N158" i="182"/>
  <c r="O158" i="182"/>
  <c r="C24" i="207"/>
  <c r="C11" i="207"/>
  <c r="C16" i="207" s="1"/>
  <c r="C17" i="207" s="1"/>
  <c r="O188" i="182"/>
  <c r="N188" i="182"/>
  <c r="C134" i="185"/>
  <c r="BA168" i="26"/>
  <c r="L133" i="185" s="1"/>
  <c r="C133" i="185"/>
  <c r="B92" i="185"/>
  <c r="E92" i="185" s="1"/>
  <c r="AC236" i="27"/>
  <c r="C115" i="185"/>
  <c r="B76" i="185"/>
  <c r="E76" i="185" s="1"/>
  <c r="I100" i="198"/>
  <c r="J8" i="150"/>
  <c r="F57" i="185"/>
  <c r="Y180" i="26"/>
  <c r="Y181" i="27"/>
  <c r="Y183" i="26"/>
  <c r="Y178" i="27"/>
  <c r="I44" i="35"/>
  <c r="O44" i="35" s="1"/>
  <c r="P44" i="35" s="1"/>
  <c r="Y183" i="27"/>
  <c r="Y186" i="27"/>
  <c r="Y184" i="26"/>
  <c r="Y182" i="27"/>
  <c r="Y180" i="27"/>
  <c r="H124" i="26"/>
  <c r="F180" i="27"/>
  <c r="H180" i="27" s="1"/>
  <c r="Y244" i="27"/>
  <c r="Y250" i="27"/>
  <c r="Y179" i="27"/>
  <c r="F39" i="185"/>
  <c r="H185" i="27"/>
  <c r="Y181" i="26"/>
  <c r="G92" i="185"/>
  <c r="BA166" i="27"/>
  <c r="L117" i="185" s="1"/>
  <c r="X82" i="170"/>
  <c r="I82" i="170"/>
  <c r="D52" i="42"/>
  <c r="D114" i="42" s="1"/>
  <c r="AB121" i="27"/>
  <c r="U179" i="27"/>
  <c r="U181" i="26"/>
  <c r="F183" i="26"/>
  <c r="H183" i="26" s="1"/>
  <c r="M5" i="191"/>
  <c r="C15" i="5"/>
  <c r="D15" i="5" s="1"/>
  <c r="H299" i="42"/>
  <c r="U226" i="27"/>
  <c r="U236" i="27"/>
  <c r="T172" i="27"/>
  <c r="R105" i="42"/>
  <c r="Q114" i="185"/>
  <c r="U15" i="5"/>
  <c r="H124" i="27"/>
  <c r="AJ123" i="27"/>
  <c r="AD179" i="26"/>
  <c r="AF179" i="26" s="1"/>
  <c r="BD179" i="26" s="1"/>
  <c r="Q183" i="26"/>
  <c r="T124" i="26"/>
  <c r="T187" i="26"/>
  <c r="AJ120" i="27"/>
  <c r="AJ182" i="27"/>
  <c r="H121" i="26"/>
  <c r="AV124" i="27"/>
  <c r="AJ185" i="27"/>
  <c r="AR120" i="26"/>
  <c r="AF122" i="27"/>
  <c r="BC122" i="27" s="1"/>
  <c r="AR183" i="26"/>
  <c r="I65" i="198"/>
  <c r="E65" i="6"/>
  <c r="H65" i="6" s="1"/>
  <c r="E161" i="6"/>
  <c r="H161" i="6" s="1"/>
  <c r="U270" i="27"/>
  <c r="E159" i="6"/>
  <c r="H159" i="6" s="1"/>
  <c r="J4" i="150"/>
  <c r="I65" i="170"/>
  <c r="J5" i="150"/>
  <c r="AA6" i="191"/>
  <c r="BA95" i="27"/>
  <c r="F182" i="26"/>
  <c r="H182" i="26" s="1"/>
  <c r="AB119" i="27"/>
  <c r="AB185" i="26"/>
  <c r="AR116" i="26"/>
  <c r="AZ81" i="27"/>
  <c r="AA13" i="191"/>
  <c r="AB117" i="27"/>
  <c r="F62" i="185"/>
  <c r="M370" i="183"/>
  <c r="H123" i="27"/>
  <c r="G150" i="183"/>
  <c r="G342" i="183"/>
  <c r="I28" i="207"/>
  <c r="J92" i="28"/>
  <c r="M255" i="182" s="1"/>
  <c r="Q182" i="26"/>
  <c r="Q187" i="26"/>
  <c r="G98" i="185"/>
  <c r="Q186" i="26"/>
  <c r="Q185" i="26"/>
  <c r="Q184" i="26"/>
  <c r="G95" i="185"/>
  <c r="Q180" i="26"/>
  <c r="M97" i="6"/>
  <c r="R97" i="6" s="1"/>
  <c r="M94" i="6"/>
  <c r="R94" i="6" s="1"/>
  <c r="M100" i="6"/>
  <c r="R100" i="6" s="1"/>
  <c r="M101" i="6"/>
  <c r="R101" i="6" s="1"/>
  <c r="P96" i="6"/>
  <c r="M112" i="125"/>
  <c r="C138" i="185"/>
  <c r="C132" i="185"/>
  <c r="BA171" i="26"/>
  <c r="L136" i="185" s="1"/>
  <c r="C136" i="185"/>
  <c r="BA165" i="26"/>
  <c r="L130" i="185" s="1"/>
  <c r="C130" i="185"/>
  <c r="B91" i="185"/>
  <c r="E91" i="185" s="1"/>
  <c r="BA173" i="26"/>
  <c r="L138" i="185" s="1"/>
  <c r="R178" i="27"/>
  <c r="T178" i="27" s="1"/>
  <c r="M117" i="185"/>
  <c r="N45" i="185"/>
  <c r="F179" i="26"/>
  <c r="H179" i="26" s="1"/>
  <c r="J178" i="27"/>
  <c r="L178" i="27" s="1"/>
  <c r="H116" i="27"/>
  <c r="AR117" i="26"/>
  <c r="M115" i="185"/>
  <c r="O114" i="125"/>
  <c r="J12" i="150"/>
  <c r="AB181" i="26"/>
  <c r="AR180" i="26"/>
  <c r="J11" i="150"/>
  <c r="X48" i="170"/>
  <c r="BK154" i="201"/>
  <c r="AZ104" i="27"/>
  <c r="K74" i="185" s="1"/>
  <c r="N74" i="185" s="1"/>
  <c r="H217" i="183"/>
  <c r="AN117" i="27"/>
  <c r="AB116" i="26"/>
  <c r="G217" i="183"/>
  <c r="AN121" i="26"/>
  <c r="I48" i="170"/>
  <c r="G182" i="183"/>
  <c r="T15" i="5"/>
  <c r="I15" i="5" s="1"/>
  <c r="J15" i="5" s="1"/>
  <c r="I9" i="5"/>
  <c r="J9" i="5" s="1"/>
  <c r="R126" i="26"/>
  <c r="D220" i="183"/>
  <c r="D397" i="183" s="1"/>
  <c r="D299" i="42"/>
  <c r="C10" i="207"/>
  <c r="F182" i="27"/>
  <c r="H182" i="27" s="1"/>
  <c r="M177" i="27"/>
  <c r="H117" i="26"/>
  <c r="M178" i="27"/>
  <c r="M185" i="27"/>
  <c r="C65" i="183"/>
  <c r="C67" i="183" s="1"/>
  <c r="C69" i="183" s="1"/>
  <c r="K217" i="183"/>
  <c r="AN119" i="26"/>
  <c r="AR117" i="27"/>
  <c r="AB118" i="26"/>
  <c r="I217" i="183"/>
  <c r="J217" i="183" s="1"/>
  <c r="AR179" i="27"/>
  <c r="X122" i="26"/>
  <c r="T291" i="44"/>
  <c r="J9" i="150"/>
  <c r="J13" i="150"/>
  <c r="J6" i="150"/>
  <c r="J10" i="150"/>
  <c r="M29" i="35"/>
  <c r="N12" i="35"/>
  <c r="T121" i="26"/>
  <c r="T184" i="26"/>
  <c r="AB186" i="26"/>
  <c r="AR180" i="27"/>
  <c r="T119" i="26"/>
  <c r="T125" i="26"/>
  <c r="M180" i="27"/>
  <c r="M250" i="27"/>
  <c r="F61" i="185"/>
  <c r="F58" i="185"/>
  <c r="H47" i="196" s="1"/>
  <c r="F59" i="185"/>
  <c r="M246" i="27"/>
  <c r="F60" i="185"/>
  <c r="E34" i="183"/>
  <c r="I34" i="183" s="1"/>
  <c r="J34" i="183" s="1"/>
  <c r="N84" i="182"/>
  <c r="M239" i="26"/>
  <c r="M92" i="185"/>
  <c r="F187" i="188"/>
  <c r="G187" i="188"/>
  <c r="H70" i="185"/>
  <c r="H84" i="185" s="1"/>
  <c r="Q91" i="185"/>
  <c r="Z91" i="185" s="1"/>
  <c r="AH91" i="185" s="1"/>
  <c r="X32" i="170"/>
  <c r="I32" i="170"/>
  <c r="DN92" i="190"/>
  <c r="I244" i="27"/>
  <c r="BK155" i="201"/>
  <c r="I250" i="27"/>
  <c r="I243" i="27"/>
  <c r="H312" i="183"/>
  <c r="H270" i="183"/>
  <c r="I423" i="182"/>
  <c r="H238" i="183"/>
  <c r="K150" i="183"/>
  <c r="J28" i="207"/>
  <c r="G28" i="207"/>
  <c r="F28" i="207"/>
  <c r="I50" i="196"/>
  <c r="I95" i="196" s="1"/>
  <c r="I44" i="196"/>
  <c r="I89" i="196" s="1"/>
  <c r="I48" i="196"/>
  <c r="I93" i="196" s="1"/>
  <c r="I45" i="196"/>
  <c r="I90" i="196" s="1"/>
  <c r="I46" i="196"/>
  <c r="I91" i="196" s="1"/>
  <c r="I49" i="196"/>
  <c r="I94" i="196" s="1"/>
  <c r="I47" i="196"/>
  <c r="I92" i="196" s="1"/>
  <c r="I52" i="196"/>
  <c r="I97" i="196" s="1"/>
  <c r="I51" i="196"/>
  <c r="D15" i="196"/>
  <c r="E98" i="196"/>
  <c r="I179" i="27"/>
  <c r="L254" i="182"/>
  <c r="N266" i="183" s="1"/>
  <c r="L176" i="182"/>
  <c r="N177" i="183" s="1"/>
  <c r="L86" i="182"/>
  <c r="L418" i="182" s="1"/>
  <c r="L284" i="182"/>
  <c r="N298" i="183" s="1"/>
  <c r="L116" i="182"/>
  <c r="N113" i="183" s="1"/>
  <c r="AF102" i="201"/>
  <c r="D14" i="183"/>
  <c r="L116" i="26"/>
  <c r="G74" i="6"/>
  <c r="E74" i="6"/>
  <c r="H74" i="6" s="1"/>
  <c r="G71" i="6"/>
  <c r="E71" i="6"/>
  <c r="H71" i="6" s="1"/>
  <c r="G69" i="6"/>
  <c r="E69" i="6"/>
  <c r="H69" i="6" s="1"/>
  <c r="G68" i="6"/>
  <c r="E68" i="6"/>
  <c r="H68" i="6" s="1"/>
  <c r="G73" i="6"/>
  <c r="E73" i="6"/>
  <c r="H73" i="6" s="1"/>
  <c r="G66" i="6"/>
  <c r="E66" i="6"/>
  <c r="H66" i="6" s="1"/>
  <c r="G72" i="6"/>
  <c r="E72" i="6"/>
  <c r="H72" i="6" s="1"/>
  <c r="G70" i="6"/>
  <c r="E70" i="6"/>
  <c r="H70" i="6" s="1"/>
  <c r="G67" i="6"/>
  <c r="E67" i="6"/>
  <c r="H67" i="6" s="1"/>
  <c r="I226" i="27"/>
  <c r="B75" i="185"/>
  <c r="E75" i="185" s="1"/>
  <c r="B72" i="185"/>
  <c r="E72" i="185" s="1"/>
  <c r="D187" i="188"/>
  <c r="Q122" i="185"/>
  <c r="Z122" i="185" s="1"/>
  <c r="AH122" i="185" s="1"/>
  <c r="E172" i="188"/>
  <c r="F27" i="207"/>
  <c r="E29" i="207"/>
  <c r="L29" i="207" s="1"/>
  <c r="H214" i="183"/>
  <c r="H46" i="183"/>
  <c r="H150" i="183"/>
  <c r="G270" i="183"/>
  <c r="I270" i="183"/>
  <c r="J270" i="183" s="1"/>
  <c r="G238" i="183"/>
  <c r="L46" i="183"/>
  <c r="K174" i="183"/>
  <c r="I46" i="183"/>
  <c r="J46" i="183" s="1"/>
  <c r="L270" i="183"/>
  <c r="I238" i="183"/>
  <c r="J238" i="183" s="1"/>
  <c r="K46" i="183"/>
  <c r="L150" i="183"/>
  <c r="L238" i="183"/>
  <c r="BK149" i="201"/>
  <c r="C23" i="207"/>
  <c r="BQ142" i="201"/>
  <c r="BR22" i="201"/>
  <c r="BR135" i="201" s="1"/>
  <c r="AA117" i="201"/>
  <c r="H302" i="183"/>
  <c r="L78" i="183"/>
  <c r="BJ119" i="201"/>
  <c r="D358" i="183"/>
  <c r="AA119" i="201"/>
  <c r="G302" i="183"/>
  <c r="K302" i="183"/>
  <c r="G78" i="183"/>
  <c r="K78" i="183"/>
  <c r="BJ151" i="201"/>
  <c r="AA115" i="201"/>
  <c r="L302" i="183"/>
  <c r="H78" i="183"/>
  <c r="BJ148" i="201"/>
  <c r="M122" i="125" s="1"/>
  <c r="BK148" i="201"/>
  <c r="J27" i="207"/>
  <c r="L27" i="207"/>
  <c r="G27" i="207"/>
  <c r="BK153" i="201"/>
  <c r="G214" i="183"/>
  <c r="BK151" i="201"/>
  <c r="BK150" i="201"/>
  <c r="D4" i="207"/>
  <c r="U111" i="183"/>
  <c r="BH149" i="201"/>
  <c r="BK152" i="201"/>
  <c r="E320" i="183"/>
  <c r="K320" i="183" s="1"/>
  <c r="I190" i="183"/>
  <c r="J190" i="183" s="1"/>
  <c r="E8" i="207"/>
  <c r="E5" i="207"/>
  <c r="E7" i="207" s="1"/>
  <c r="D18" i="207"/>
  <c r="E64" i="183"/>
  <c r="I64" i="183" s="1"/>
  <c r="J64" i="183" s="1"/>
  <c r="I350" i="183"/>
  <c r="J350" i="183" s="1"/>
  <c r="D21" i="207"/>
  <c r="C20" i="207"/>
  <c r="E21" i="207"/>
  <c r="E23" i="207" s="1"/>
  <c r="D5" i="207"/>
  <c r="D7" i="207" s="1"/>
  <c r="D8" i="207"/>
  <c r="D10" i="207" s="1"/>
  <c r="E18" i="207"/>
  <c r="L18" i="207" s="1"/>
  <c r="L10" i="182"/>
  <c r="G158" i="183"/>
  <c r="M112" i="26"/>
  <c r="D47" i="196"/>
  <c r="E58" i="185"/>
  <c r="E57" i="185"/>
  <c r="D46" i="196"/>
  <c r="E55" i="185"/>
  <c r="D44" i="196"/>
  <c r="D49" i="196"/>
  <c r="E60" i="185"/>
  <c r="D50" i="196"/>
  <c r="E61" i="185"/>
  <c r="T294" i="44"/>
  <c r="D51" i="196"/>
  <c r="E62" i="185"/>
  <c r="E59" i="185"/>
  <c r="D48" i="196"/>
  <c r="D52" i="196"/>
  <c r="E63" i="185"/>
  <c r="D43" i="196"/>
  <c r="E54" i="185"/>
  <c r="B64" i="185"/>
  <c r="E64" i="185" s="1"/>
  <c r="E56" i="185"/>
  <c r="D45" i="196"/>
  <c r="G160" i="6"/>
  <c r="E160" i="6"/>
  <c r="H160" i="6" s="1"/>
  <c r="G157" i="6"/>
  <c r="E157" i="6"/>
  <c r="H157" i="6" s="1"/>
  <c r="G158" i="6"/>
  <c r="E158" i="6"/>
  <c r="H158" i="6" s="1"/>
  <c r="G154" i="6"/>
  <c r="E154" i="6"/>
  <c r="H154" i="6" s="1"/>
  <c r="G156" i="6"/>
  <c r="E156" i="6"/>
  <c r="H156" i="6" s="1"/>
  <c r="G163" i="6"/>
  <c r="E163" i="6"/>
  <c r="H163" i="6" s="1"/>
  <c r="G162" i="6"/>
  <c r="E162" i="6"/>
  <c r="H162" i="6" s="1"/>
  <c r="BK156" i="201"/>
  <c r="H18" i="183"/>
  <c r="E9" i="207"/>
  <c r="BJ152" i="201"/>
  <c r="R180" i="27"/>
  <c r="T180" i="27" s="1"/>
  <c r="AB182" i="26"/>
  <c r="P179" i="27"/>
  <c r="AF115" i="27"/>
  <c r="BC115" i="27" s="1"/>
  <c r="F125" i="27"/>
  <c r="H246" i="183"/>
  <c r="E24" i="183"/>
  <c r="E122" i="125"/>
  <c r="G122" i="125" s="1"/>
  <c r="BK157" i="201"/>
  <c r="N324" i="182"/>
  <c r="N234" i="182"/>
  <c r="H118" i="183"/>
  <c r="H342" i="183"/>
  <c r="H86" i="183"/>
  <c r="G246" i="183"/>
  <c r="G86" i="183"/>
  <c r="K86" i="183"/>
  <c r="L86" i="183"/>
  <c r="N204" i="182"/>
  <c r="O204" i="182"/>
  <c r="O84" i="182"/>
  <c r="N294" i="182"/>
  <c r="G118" i="183"/>
  <c r="I334" i="183"/>
  <c r="J334" i="183" s="1"/>
  <c r="K334" i="183"/>
  <c r="L334" i="183"/>
  <c r="I206" i="183"/>
  <c r="J206" i="183" s="1"/>
  <c r="H206" i="183"/>
  <c r="G206" i="183"/>
  <c r="K206" i="183"/>
  <c r="L206" i="183"/>
  <c r="E22" i="183"/>
  <c r="I22" i="183" s="1"/>
  <c r="J22" i="183" s="1"/>
  <c r="L54" i="183"/>
  <c r="K54" i="183"/>
  <c r="H142" i="183"/>
  <c r="G142" i="183"/>
  <c r="I142" i="183"/>
  <c r="J142" i="183" s="1"/>
  <c r="H334" i="183"/>
  <c r="L182" i="183"/>
  <c r="G334" i="183"/>
  <c r="K182" i="183"/>
  <c r="I110" i="183"/>
  <c r="J110" i="183" s="1"/>
  <c r="K110" i="183"/>
  <c r="L110" i="183"/>
  <c r="G110" i="183"/>
  <c r="H110" i="183"/>
  <c r="K118" i="183"/>
  <c r="L118" i="183"/>
  <c r="H174" i="183"/>
  <c r="I174" i="183"/>
  <c r="J174" i="183" s="1"/>
  <c r="G174" i="183"/>
  <c r="E14" i="183"/>
  <c r="I14" i="183" s="1"/>
  <c r="J14" i="183" s="1"/>
  <c r="H182" i="183"/>
  <c r="G54" i="183"/>
  <c r="I54" i="183"/>
  <c r="J54" i="183" s="1"/>
  <c r="L142" i="183"/>
  <c r="K310" i="183"/>
  <c r="L310" i="183"/>
  <c r="X118" i="201"/>
  <c r="L126" i="125" s="1"/>
  <c r="AS158" i="201"/>
  <c r="X116" i="201"/>
  <c r="L124" i="125" s="1"/>
  <c r="K342" i="183"/>
  <c r="L342" i="183"/>
  <c r="L278" i="183"/>
  <c r="K278" i="183"/>
  <c r="F280" i="183"/>
  <c r="K280" i="183" s="1"/>
  <c r="L246" i="183"/>
  <c r="K246" i="183"/>
  <c r="F248" i="183"/>
  <c r="K248" i="183" s="1"/>
  <c r="K214" i="183"/>
  <c r="L214" i="183"/>
  <c r="F22" i="183"/>
  <c r="F216" i="183"/>
  <c r="F219" i="183" s="1"/>
  <c r="C27" i="183"/>
  <c r="F24" i="183"/>
  <c r="G312" i="183"/>
  <c r="G278" i="183"/>
  <c r="H278" i="183"/>
  <c r="D22" i="183"/>
  <c r="D24" i="183"/>
  <c r="H310" i="183"/>
  <c r="G310" i="183"/>
  <c r="C193" i="183"/>
  <c r="C195" i="183" s="1"/>
  <c r="C197" i="183" s="1"/>
  <c r="AA114" i="201"/>
  <c r="C316" i="183"/>
  <c r="C400" i="183" s="1"/>
  <c r="AP158" i="201"/>
  <c r="AA120" i="201"/>
  <c r="L465" i="182"/>
  <c r="I158" i="183"/>
  <c r="J158" i="183" s="1"/>
  <c r="I405" i="182"/>
  <c r="J408" i="182"/>
  <c r="L433" i="182"/>
  <c r="AQ189" i="26"/>
  <c r="AF120" i="26"/>
  <c r="BD120" i="26" s="1"/>
  <c r="AB123" i="27"/>
  <c r="AJ124" i="26"/>
  <c r="AQ126" i="26"/>
  <c r="AB119" i="26"/>
  <c r="AB122" i="26"/>
  <c r="AB123" i="26"/>
  <c r="P117" i="27"/>
  <c r="G190" i="183"/>
  <c r="AR187" i="26"/>
  <c r="M141" i="182"/>
  <c r="M436" i="182" s="1"/>
  <c r="M45" i="125"/>
  <c r="O45" i="125" s="1"/>
  <c r="H103" i="28"/>
  <c r="J103" i="28" s="1"/>
  <c r="M285" i="182" s="1"/>
  <c r="J93" i="28"/>
  <c r="M265" i="182"/>
  <c r="M408" i="182" s="1"/>
  <c r="M31" i="125"/>
  <c r="N31" i="125" s="1"/>
  <c r="M138" i="182"/>
  <c r="O148" i="183" s="1"/>
  <c r="M95" i="125"/>
  <c r="N95" i="125" s="1"/>
  <c r="M288" i="182"/>
  <c r="O288" i="182" s="1"/>
  <c r="M100" i="125"/>
  <c r="N100" i="125" s="1"/>
  <c r="J10" i="182"/>
  <c r="DJ75" i="190"/>
  <c r="D88" i="134"/>
  <c r="DJ19" i="190"/>
  <c r="D83" i="134"/>
  <c r="DJ85" i="190"/>
  <c r="D89" i="134"/>
  <c r="DJ68" i="190"/>
  <c r="D87" i="134"/>
  <c r="DJ38" i="190"/>
  <c r="DJ33" i="190" s="1"/>
  <c r="D85" i="134"/>
  <c r="DJ107" i="190"/>
  <c r="D92" i="134"/>
  <c r="DJ103" i="190"/>
  <c r="D91" i="134"/>
  <c r="DJ92" i="190"/>
  <c r="D90" i="134"/>
  <c r="W124" i="201"/>
  <c r="Z124" i="201"/>
  <c r="N236" i="183"/>
  <c r="L439" i="182"/>
  <c r="L449" i="182"/>
  <c r="N55" i="183"/>
  <c r="L66" i="125"/>
  <c r="L268" i="182"/>
  <c r="L69" i="125"/>
  <c r="L25" i="182"/>
  <c r="N23" i="183" s="1"/>
  <c r="L452" i="182"/>
  <c r="N151" i="183"/>
  <c r="N84" i="183"/>
  <c r="L466" i="182"/>
  <c r="L406" i="182"/>
  <c r="N207" i="183"/>
  <c r="L454" i="182"/>
  <c r="N215" i="183"/>
  <c r="L67" i="125"/>
  <c r="L298" i="182"/>
  <c r="V115" i="201"/>
  <c r="X115" i="201" s="1"/>
  <c r="L123" i="125" s="1"/>
  <c r="N244" i="183"/>
  <c r="L471" i="182"/>
  <c r="L453" i="182"/>
  <c r="N183" i="183"/>
  <c r="L469" i="182"/>
  <c r="N180" i="183"/>
  <c r="L100" i="125"/>
  <c r="L288" i="182"/>
  <c r="Y122" i="201"/>
  <c r="AA122" i="201" s="1"/>
  <c r="N247" i="183"/>
  <c r="L455" i="182"/>
  <c r="N148" i="183"/>
  <c r="L468" i="182"/>
  <c r="N116" i="183"/>
  <c r="L467" i="182"/>
  <c r="N212" i="183"/>
  <c r="L470" i="182"/>
  <c r="Y123" i="201"/>
  <c r="AA123" i="201" s="1"/>
  <c r="L451" i="182"/>
  <c r="N119" i="183"/>
  <c r="L450" i="182"/>
  <c r="N87" i="183"/>
  <c r="V98" i="201"/>
  <c r="D122" i="125"/>
  <c r="L32" i="125"/>
  <c r="L295" i="182"/>
  <c r="N239" i="183"/>
  <c r="L407" i="182"/>
  <c r="L52" i="125"/>
  <c r="L18" i="182"/>
  <c r="N12" i="183" s="1"/>
  <c r="N76" i="183"/>
  <c r="L434" i="182"/>
  <c r="N143" i="183"/>
  <c r="L404" i="182"/>
  <c r="N47" i="183"/>
  <c r="L401" i="182"/>
  <c r="N175" i="183"/>
  <c r="L405" i="182"/>
  <c r="L437" i="182"/>
  <c r="N172" i="183"/>
  <c r="V119" i="201"/>
  <c r="X119" i="201" s="1"/>
  <c r="L127" i="125" s="1"/>
  <c r="D127" i="125"/>
  <c r="D130" i="125"/>
  <c r="V122" i="201"/>
  <c r="X122" i="201" s="1"/>
  <c r="L130" i="125" s="1"/>
  <c r="N209" i="183"/>
  <c r="L422" i="182"/>
  <c r="N108" i="183"/>
  <c r="L435" i="182"/>
  <c r="V107" i="201"/>
  <c r="D131" i="125"/>
  <c r="V123" i="201"/>
  <c r="X123" i="201" s="1"/>
  <c r="L131" i="125" s="1"/>
  <c r="N111" i="183"/>
  <c r="L403" i="182"/>
  <c r="L31" i="125"/>
  <c r="L265" i="182"/>
  <c r="V120" i="201"/>
  <c r="X120" i="201" s="1"/>
  <c r="L128" i="125" s="1"/>
  <c r="D128" i="125"/>
  <c r="V105" i="201"/>
  <c r="V121" i="201"/>
  <c r="X121" i="201" s="1"/>
  <c r="L129" i="125" s="1"/>
  <c r="D129" i="125"/>
  <c r="V101" i="201"/>
  <c r="V117" i="201"/>
  <c r="X117" i="201" s="1"/>
  <c r="L125" i="125" s="1"/>
  <c r="D125" i="125"/>
  <c r="N140" i="183"/>
  <c r="L436" i="182"/>
  <c r="N268" i="183"/>
  <c r="L440" i="182"/>
  <c r="N204" i="183"/>
  <c r="L438" i="182"/>
  <c r="L441" i="182"/>
  <c r="N300" i="183"/>
  <c r="N79" i="183"/>
  <c r="L402" i="182"/>
  <c r="I312" i="183"/>
  <c r="J312" i="183" s="1"/>
  <c r="F371" i="183"/>
  <c r="I10" i="182"/>
  <c r="H318" i="183"/>
  <c r="M371" i="183"/>
  <c r="J486" i="182"/>
  <c r="G486" i="182"/>
  <c r="H486" i="182" s="1"/>
  <c r="F307" i="183"/>
  <c r="F326" i="183"/>
  <c r="AR118" i="27"/>
  <c r="F181" i="26"/>
  <c r="T188" i="26"/>
  <c r="AV125" i="26"/>
  <c r="N184" i="26"/>
  <c r="P184" i="26" s="1"/>
  <c r="AD178" i="27"/>
  <c r="AF178" i="27" s="1"/>
  <c r="BC178" i="27" s="1"/>
  <c r="R184" i="27"/>
  <c r="T184" i="27" s="1"/>
  <c r="T120" i="27"/>
  <c r="X123" i="27"/>
  <c r="C129" i="183"/>
  <c r="C131" i="183" s="1"/>
  <c r="C124" i="201"/>
  <c r="E124" i="201" s="1"/>
  <c r="D108" i="201"/>
  <c r="D283" i="183"/>
  <c r="D284" i="183" s="1"/>
  <c r="D252" i="183"/>
  <c r="D398" i="183" s="1"/>
  <c r="C161" i="183"/>
  <c r="C163" i="183" s="1"/>
  <c r="C252" i="183"/>
  <c r="C398" i="183" s="1"/>
  <c r="K281" i="183"/>
  <c r="E187" i="26"/>
  <c r="J423" i="182"/>
  <c r="AW126" i="26"/>
  <c r="AV178" i="27"/>
  <c r="AJ124" i="27"/>
  <c r="E186" i="26"/>
  <c r="AV116" i="27"/>
  <c r="AV186" i="27"/>
  <c r="AX122" i="26"/>
  <c r="E180" i="26"/>
  <c r="H60" i="42"/>
  <c r="H122" i="42" s="1"/>
  <c r="H184" i="42" s="1"/>
  <c r="AB125" i="26"/>
  <c r="E183" i="26"/>
  <c r="G94" i="185"/>
  <c r="E185" i="26"/>
  <c r="G96" i="185"/>
  <c r="T117" i="27"/>
  <c r="X185" i="27"/>
  <c r="L180" i="27"/>
  <c r="K312" i="183"/>
  <c r="G296" i="167"/>
  <c r="E181" i="26"/>
  <c r="L312" i="183"/>
  <c r="AN123" i="27"/>
  <c r="AF185" i="27"/>
  <c r="BC185" i="27" s="1"/>
  <c r="D46" i="195"/>
  <c r="E41" i="185"/>
  <c r="G235" i="42"/>
  <c r="H235" i="42" s="1"/>
  <c r="I235" i="42" s="1"/>
  <c r="B74" i="185"/>
  <c r="E74" i="185" s="1"/>
  <c r="L299" i="42"/>
  <c r="E183" i="27"/>
  <c r="D44" i="195"/>
  <c r="E39" i="185"/>
  <c r="D45" i="195"/>
  <c r="E40" i="185"/>
  <c r="E186" i="27"/>
  <c r="G79" i="185"/>
  <c r="D43" i="195"/>
  <c r="B48" i="185"/>
  <c r="E48" i="185" s="1"/>
  <c r="E38" i="185"/>
  <c r="S99" i="42"/>
  <c r="E172" i="27"/>
  <c r="B78" i="185"/>
  <c r="E78" i="185" s="1"/>
  <c r="BA170" i="27"/>
  <c r="L121" i="185" s="1"/>
  <c r="E180" i="27"/>
  <c r="C122" i="185"/>
  <c r="D50" i="195"/>
  <c r="E45" i="185"/>
  <c r="D47" i="195"/>
  <c r="E42" i="185"/>
  <c r="F45" i="185"/>
  <c r="AF123" i="27"/>
  <c r="BC123" i="27" s="1"/>
  <c r="BA168" i="27"/>
  <c r="L119" i="185" s="1"/>
  <c r="BA169" i="27"/>
  <c r="L120" i="185" s="1"/>
  <c r="C116" i="185"/>
  <c r="D49" i="195"/>
  <c r="E44" i="185"/>
  <c r="D48" i="195"/>
  <c r="E43" i="185"/>
  <c r="D51" i="195"/>
  <c r="E46" i="185"/>
  <c r="E47" i="185"/>
  <c r="D52" i="195"/>
  <c r="BA170" i="26"/>
  <c r="L135" i="185" s="1"/>
  <c r="BA166" i="26"/>
  <c r="L131" i="185" s="1"/>
  <c r="O174" i="26"/>
  <c r="T295" i="42"/>
  <c r="C235" i="42"/>
  <c r="D235" i="42" s="1"/>
  <c r="E235" i="42" s="1"/>
  <c r="AC172" i="27"/>
  <c r="Q173" i="27"/>
  <c r="BA165" i="27"/>
  <c r="L116" i="185" s="1"/>
  <c r="K109" i="42"/>
  <c r="T42" i="42"/>
  <c r="P48" i="27"/>
  <c r="L48" i="27"/>
  <c r="I19" i="19"/>
  <c r="W10" i="19"/>
  <c r="F19" i="19"/>
  <c r="W8" i="19"/>
  <c r="D19" i="19"/>
  <c r="W6" i="19"/>
  <c r="E19" i="19"/>
  <c r="W7" i="19"/>
  <c r="L19" i="19"/>
  <c r="W13" i="19"/>
  <c r="C19" i="19"/>
  <c r="W5" i="19"/>
  <c r="J19" i="19"/>
  <c r="W11" i="19"/>
  <c r="K19" i="19"/>
  <c r="W12" i="19"/>
  <c r="H19" i="19"/>
  <c r="W9" i="19"/>
  <c r="Q132" i="185"/>
  <c r="Z132" i="185" s="1"/>
  <c r="G105" i="195"/>
  <c r="Z177" i="188"/>
  <c r="Z187" i="188" s="1"/>
  <c r="AP117" i="201"/>
  <c r="BL117" i="201"/>
  <c r="G112" i="125"/>
  <c r="AW250" i="27"/>
  <c r="P312" i="44"/>
  <c r="AW177" i="27"/>
  <c r="D7" i="150"/>
  <c r="D10" i="150"/>
  <c r="D9" i="150"/>
  <c r="D8" i="150"/>
  <c r="D6" i="150"/>
  <c r="AW179" i="27"/>
  <c r="G72" i="185"/>
  <c r="O171" i="42"/>
  <c r="S103" i="42"/>
  <c r="BR75" i="201"/>
  <c r="BB119" i="201"/>
  <c r="AS186" i="27"/>
  <c r="AS187" i="26"/>
  <c r="AS184" i="27"/>
  <c r="AS185" i="26"/>
  <c r="AS183" i="27"/>
  <c r="G76" i="185"/>
  <c r="AS184" i="26"/>
  <c r="AS181" i="27"/>
  <c r="AS182" i="26"/>
  <c r="AS180" i="27"/>
  <c r="G73" i="185"/>
  <c r="AS181" i="26"/>
  <c r="AS180" i="26"/>
  <c r="AR158" i="27"/>
  <c r="T298" i="44"/>
  <c r="E4" i="19"/>
  <c r="Q4" i="19" s="1"/>
  <c r="B135" i="185"/>
  <c r="E135" i="185" s="1"/>
  <c r="D12" i="150"/>
  <c r="D13" i="150"/>
  <c r="B120" i="185"/>
  <c r="E120" i="185" s="1"/>
  <c r="B116" i="185"/>
  <c r="B118" i="185"/>
  <c r="E118" i="185" s="1"/>
  <c r="O109" i="42"/>
  <c r="R102" i="42"/>
  <c r="AZ106" i="27"/>
  <c r="K76" i="185" s="1"/>
  <c r="N76" i="185" s="1"/>
  <c r="AZ107" i="27"/>
  <c r="K77" i="185" s="1"/>
  <c r="O110" i="125"/>
  <c r="O115" i="125"/>
  <c r="P120" i="26"/>
  <c r="AV122" i="26"/>
  <c r="H122" i="27"/>
  <c r="D59" i="44"/>
  <c r="D122" i="44" s="1"/>
  <c r="AU185" i="26"/>
  <c r="AV185" i="26" s="1"/>
  <c r="H115" i="27"/>
  <c r="G187" i="27"/>
  <c r="AL185" i="26"/>
  <c r="AN185" i="26" s="1"/>
  <c r="C179" i="27"/>
  <c r="D179" i="27" s="1"/>
  <c r="AT126" i="26"/>
  <c r="U310" i="42"/>
  <c r="S305" i="42"/>
  <c r="AO181" i="27"/>
  <c r="AD182" i="27"/>
  <c r="AF182" i="27" s="1"/>
  <c r="BC182" i="27" s="1"/>
  <c r="M368" i="183"/>
  <c r="AB184" i="26"/>
  <c r="AJ179" i="27"/>
  <c r="C185" i="27"/>
  <c r="AY185" i="27" s="1"/>
  <c r="AN119" i="27"/>
  <c r="J485" i="182"/>
  <c r="L30" i="44"/>
  <c r="AN116" i="26"/>
  <c r="H177" i="183"/>
  <c r="L124" i="26"/>
  <c r="AJ187" i="26"/>
  <c r="AA189" i="26"/>
  <c r="AD186" i="27"/>
  <c r="AF186" i="27" s="1"/>
  <c r="BC186" i="27" s="1"/>
  <c r="AO183" i="26"/>
  <c r="AQ102" i="201"/>
  <c r="AL126" i="26"/>
  <c r="AX124" i="27"/>
  <c r="AN124" i="26"/>
  <c r="AN117" i="26"/>
  <c r="H350" i="183"/>
  <c r="L187" i="26"/>
  <c r="AA126" i="26"/>
  <c r="AN123" i="26"/>
  <c r="AT99" i="201"/>
  <c r="AB117" i="26"/>
  <c r="AB180" i="26"/>
  <c r="X245" i="26"/>
  <c r="Y245" i="26" s="1"/>
  <c r="F6" i="19" s="1"/>
  <c r="AB121" i="26"/>
  <c r="AO179" i="27"/>
  <c r="AO184" i="26"/>
  <c r="L52" i="44"/>
  <c r="L115" i="44" s="1"/>
  <c r="H56" i="42"/>
  <c r="H118" i="42" s="1"/>
  <c r="H180" i="42" s="1"/>
  <c r="H281" i="183"/>
  <c r="AP101" i="201"/>
  <c r="AD180" i="27"/>
  <c r="AF180" i="27" s="1"/>
  <c r="BC180" i="27" s="1"/>
  <c r="P117" i="26"/>
  <c r="AF117" i="27"/>
  <c r="BC117" i="27" s="1"/>
  <c r="L30" i="42"/>
  <c r="AF119" i="27"/>
  <c r="BC119" i="27" s="1"/>
  <c r="I281" i="183"/>
  <c r="J281" i="183" s="1"/>
  <c r="G281" i="183"/>
  <c r="P54" i="42"/>
  <c r="P116" i="42" s="1"/>
  <c r="P178" i="42" s="1"/>
  <c r="AV124" i="26"/>
  <c r="BO59" i="201"/>
  <c r="BS59" i="201" s="1"/>
  <c r="H52" i="42"/>
  <c r="H114" i="42" s="1"/>
  <c r="AQ119" i="201"/>
  <c r="D58" i="42"/>
  <c r="D120" i="42" s="1"/>
  <c r="D182" i="42" s="1"/>
  <c r="BB123" i="201"/>
  <c r="K158" i="183"/>
  <c r="N9" i="35"/>
  <c r="L6" i="5"/>
  <c r="C52" i="5" s="1"/>
  <c r="C53" i="5" s="1"/>
  <c r="AA61" i="191"/>
  <c r="AO185" i="26"/>
  <c r="AO183" i="27"/>
  <c r="BA50" i="201"/>
  <c r="AW60" i="201"/>
  <c r="AN118" i="26"/>
  <c r="AO236" i="27"/>
  <c r="AO226" i="27"/>
  <c r="B122" i="185"/>
  <c r="B119" i="185"/>
  <c r="E119" i="185" s="1"/>
  <c r="AO172" i="27"/>
  <c r="AW173" i="27" s="1"/>
  <c r="C113" i="185"/>
  <c r="AW111" i="27"/>
  <c r="BA171" i="27"/>
  <c r="L122" i="185" s="1"/>
  <c r="AX167" i="27"/>
  <c r="AZ167" i="27" s="1"/>
  <c r="K118" i="185" s="1"/>
  <c r="B70" i="185"/>
  <c r="E70" i="185" s="1"/>
  <c r="AV48" i="27"/>
  <c r="AN183" i="27"/>
  <c r="T187" i="188"/>
  <c r="BA172" i="26"/>
  <c r="L137" i="185" s="1"/>
  <c r="I151" i="198"/>
  <c r="K190" i="183"/>
  <c r="E192" i="183"/>
  <c r="G192" i="183" s="1"/>
  <c r="L190" i="183"/>
  <c r="F367" i="183"/>
  <c r="H190" i="183"/>
  <c r="N367" i="183"/>
  <c r="BI115" i="201"/>
  <c r="AQ115" i="201"/>
  <c r="E292" i="183"/>
  <c r="AK246" i="27"/>
  <c r="AK244" i="27"/>
  <c r="AK249" i="27"/>
  <c r="AK248" i="27"/>
  <c r="AK242" i="27"/>
  <c r="AK250" i="27"/>
  <c r="I151" i="170"/>
  <c r="BM117" i="201"/>
  <c r="AK185" i="27"/>
  <c r="AK184" i="26"/>
  <c r="P77" i="195"/>
  <c r="S77" i="195" s="1"/>
  <c r="R31" i="195" s="1"/>
  <c r="AK181" i="27"/>
  <c r="AK179" i="27"/>
  <c r="AF31" i="27"/>
  <c r="AC23" i="201"/>
  <c r="AG23" i="201" s="1"/>
  <c r="N62" i="185"/>
  <c r="B94" i="185"/>
  <c r="E94" i="185" s="1"/>
  <c r="B99" i="185"/>
  <c r="E99" i="185" s="1"/>
  <c r="N60" i="185"/>
  <c r="F49" i="6"/>
  <c r="AK236" i="27"/>
  <c r="D5" i="150"/>
  <c r="BB297" i="27"/>
  <c r="H56" i="6" s="1"/>
  <c r="AK226" i="27"/>
  <c r="AK172" i="27"/>
  <c r="C114" i="185"/>
  <c r="BA163" i="27"/>
  <c r="L114" i="185" s="1"/>
  <c r="B115" i="185"/>
  <c r="AA125" i="188"/>
  <c r="Q90" i="185"/>
  <c r="Z90" i="185" s="1"/>
  <c r="AH90" i="185" s="1"/>
  <c r="X134" i="170"/>
  <c r="X228" i="170" s="1"/>
  <c r="J65" i="35"/>
  <c r="G26" i="35"/>
  <c r="H84" i="35"/>
  <c r="F45" i="35"/>
  <c r="M26" i="35"/>
  <c r="I134" i="170"/>
  <c r="I228" i="170" s="1"/>
  <c r="R311" i="42"/>
  <c r="G111" i="125"/>
  <c r="AT134" i="201"/>
  <c r="AG247" i="27"/>
  <c r="BE247" i="27" s="1"/>
  <c r="AG249" i="27"/>
  <c r="BE249" i="27" s="1"/>
  <c r="AG250" i="27"/>
  <c r="BE250" i="27" s="1"/>
  <c r="AG248" i="27"/>
  <c r="BE248" i="27" s="1"/>
  <c r="AG242" i="27"/>
  <c r="BE242" i="27" s="1"/>
  <c r="AG245" i="27"/>
  <c r="BE245" i="27" s="1"/>
  <c r="AG244" i="27"/>
  <c r="BE244" i="27" s="1"/>
  <c r="AG246" i="27"/>
  <c r="BE246" i="27" s="1"/>
  <c r="AA162" i="188"/>
  <c r="AG188" i="26"/>
  <c r="BE188" i="26" s="1"/>
  <c r="AG187" i="26"/>
  <c r="BE187" i="26" s="1"/>
  <c r="AG185" i="26"/>
  <c r="BE185" i="26" s="1"/>
  <c r="AG183" i="27"/>
  <c r="BD183" i="27" s="1"/>
  <c r="AG181" i="27"/>
  <c r="BD181" i="27" s="1"/>
  <c r="AG178" i="27"/>
  <c r="BD178" i="27" s="1"/>
  <c r="AG180" i="26"/>
  <c r="BE180" i="26" s="1"/>
  <c r="G91" i="185"/>
  <c r="F15" i="183"/>
  <c r="K15" i="183" s="1"/>
  <c r="AG174" i="26"/>
  <c r="BE174" i="26" s="1"/>
  <c r="M96" i="6"/>
  <c r="R96" i="6" s="1"/>
  <c r="R165" i="44"/>
  <c r="L96" i="196"/>
  <c r="O96" i="196" s="1"/>
  <c r="S161" i="42"/>
  <c r="AG236" i="27"/>
  <c r="BE236" i="27" s="1"/>
  <c r="AG226" i="27"/>
  <c r="BE226" i="27" s="1"/>
  <c r="B77" i="185"/>
  <c r="E77" i="185" s="1"/>
  <c r="B71" i="185"/>
  <c r="E71" i="185" s="1"/>
  <c r="B79" i="185"/>
  <c r="E79" i="185" s="1"/>
  <c r="B114" i="185"/>
  <c r="AF110" i="27"/>
  <c r="BC110" i="27" s="1"/>
  <c r="I91" i="195"/>
  <c r="T44" i="42"/>
  <c r="T38" i="42"/>
  <c r="G111" i="195"/>
  <c r="AC246" i="27"/>
  <c r="AC250" i="27"/>
  <c r="AC249" i="27"/>
  <c r="AC248" i="27"/>
  <c r="AC247" i="27"/>
  <c r="I490" i="182"/>
  <c r="BP107" i="201"/>
  <c r="BR85" i="201"/>
  <c r="Z15" i="5"/>
  <c r="N366" i="183"/>
  <c r="F366" i="183"/>
  <c r="H158" i="183"/>
  <c r="E160" i="183"/>
  <c r="G160" i="183" s="1"/>
  <c r="L158" i="183"/>
  <c r="L62" i="183"/>
  <c r="G282" i="167"/>
  <c r="V18" i="28"/>
  <c r="AC183" i="26"/>
  <c r="AC178" i="27"/>
  <c r="AC185" i="26"/>
  <c r="AC183" i="27"/>
  <c r="AF101" i="201"/>
  <c r="I482" i="182"/>
  <c r="G322" i="183"/>
  <c r="L350" i="183"/>
  <c r="BA30" i="27"/>
  <c r="AC186" i="27"/>
  <c r="F23" i="134"/>
  <c r="Q8" i="150" s="1"/>
  <c r="T293" i="44"/>
  <c r="E86" i="9"/>
  <c r="C235" i="44"/>
  <c r="D235" i="44" s="1"/>
  <c r="E235" i="44" s="1"/>
  <c r="H307" i="44"/>
  <c r="O187" i="188"/>
  <c r="D84" i="185"/>
  <c r="B96" i="185"/>
  <c r="E96" i="185" s="1"/>
  <c r="B90" i="185"/>
  <c r="E90" i="185" s="1"/>
  <c r="BA169" i="26"/>
  <c r="L134" i="185" s="1"/>
  <c r="B131" i="185"/>
  <c r="E131" i="185" s="1"/>
  <c r="B98" i="185"/>
  <c r="E98" i="185" s="1"/>
  <c r="AC174" i="26"/>
  <c r="C129" i="185"/>
  <c r="T279" i="44"/>
  <c r="C84" i="185"/>
  <c r="BA164" i="27"/>
  <c r="L115" i="185" s="1"/>
  <c r="AJ48" i="27"/>
  <c r="AK111" i="27"/>
  <c r="A222" i="44"/>
  <c r="A254" i="42"/>
  <c r="AF172" i="27"/>
  <c r="BC172" i="27" s="1"/>
  <c r="T105" i="42"/>
  <c r="K115" i="44"/>
  <c r="S115" i="44" s="1"/>
  <c r="X100" i="170"/>
  <c r="T167" i="42"/>
  <c r="T123" i="27"/>
  <c r="D60" i="183"/>
  <c r="D392" i="183" s="1"/>
  <c r="L9" i="134"/>
  <c r="Y9" i="134" s="1"/>
  <c r="W9" i="134"/>
  <c r="F411" i="182"/>
  <c r="I411" i="182" s="1"/>
  <c r="H139" i="185"/>
  <c r="BR73" i="201"/>
  <c r="Y236" i="27"/>
  <c r="R109" i="44"/>
  <c r="S313" i="42"/>
  <c r="Y243" i="27"/>
  <c r="T43" i="42"/>
  <c r="AV120" i="26"/>
  <c r="A301" i="42"/>
  <c r="A301" i="44" s="1"/>
  <c r="A269" i="44"/>
  <c r="DN75" i="190"/>
  <c r="X24" i="134"/>
  <c r="S306" i="42"/>
  <c r="X110" i="27"/>
  <c r="B73" i="185"/>
  <c r="E73" i="185" s="1"/>
  <c r="L92" i="196"/>
  <c r="O92" i="196" s="1"/>
  <c r="O95" i="195"/>
  <c r="H123" i="185"/>
  <c r="BO40" i="201"/>
  <c r="BS40" i="201" s="1"/>
  <c r="BR83" i="201"/>
  <c r="BR92" i="201"/>
  <c r="BO51" i="201"/>
  <c r="BS51" i="201" s="1"/>
  <c r="K354" i="183"/>
  <c r="G106" i="201"/>
  <c r="G107" i="201"/>
  <c r="BR91" i="201"/>
  <c r="AC24" i="201"/>
  <c r="AB102" i="201"/>
  <c r="AZ99" i="201"/>
  <c r="AF99" i="201"/>
  <c r="AZ138" i="201"/>
  <c r="BO54" i="201"/>
  <c r="BS54" i="201" s="1"/>
  <c r="BR69" i="201"/>
  <c r="BA43" i="201"/>
  <c r="BK74" i="201"/>
  <c r="BO44" i="201"/>
  <c r="BS44" i="201" s="1"/>
  <c r="BR86" i="201"/>
  <c r="BA44" i="201"/>
  <c r="BA41" i="201"/>
  <c r="BA42" i="201"/>
  <c r="BA59" i="201"/>
  <c r="AE108" i="201"/>
  <c r="I143" i="6"/>
  <c r="N143" i="6" s="1"/>
  <c r="L143" i="6"/>
  <c r="Q143" i="6" s="1"/>
  <c r="J143" i="6"/>
  <c r="O143" i="6" s="1"/>
  <c r="J54" i="6"/>
  <c r="O54" i="6" s="1"/>
  <c r="L54" i="6"/>
  <c r="Q54" i="6" s="1"/>
  <c r="I54" i="6"/>
  <c r="N54" i="6" s="1"/>
  <c r="BR72" i="201"/>
  <c r="AR119" i="201"/>
  <c r="H194" i="183"/>
  <c r="L177" i="183"/>
  <c r="K177" i="183"/>
  <c r="I177" i="183"/>
  <c r="J177" i="183" s="1"/>
  <c r="AQ137" i="201"/>
  <c r="BI102" i="201"/>
  <c r="H354" i="183"/>
  <c r="L354" i="183"/>
  <c r="I354" i="183"/>
  <c r="J354" i="183" s="1"/>
  <c r="AV123" i="26"/>
  <c r="G266" i="183"/>
  <c r="R305" i="42"/>
  <c r="E100" i="183"/>
  <c r="AU186" i="26"/>
  <c r="AV186" i="26" s="1"/>
  <c r="E272" i="183"/>
  <c r="I272" i="183" s="1"/>
  <c r="J272" i="183" s="1"/>
  <c r="U307" i="42"/>
  <c r="Y318" i="27"/>
  <c r="BP103" i="201"/>
  <c r="E228" i="183"/>
  <c r="BR89" i="201"/>
  <c r="L66" i="35"/>
  <c r="I85" i="35"/>
  <c r="L7" i="5"/>
  <c r="D52" i="5" s="1"/>
  <c r="D53" i="5" s="1"/>
  <c r="AP100" i="201"/>
  <c r="L48" i="136"/>
  <c r="Y249" i="27"/>
  <c r="Y248" i="27"/>
  <c r="Y246" i="27"/>
  <c r="Y247" i="27"/>
  <c r="Y245" i="27"/>
  <c r="Y242" i="27"/>
  <c r="Y185" i="27"/>
  <c r="Y187" i="26"/>
  <c r="Y185" i="26"/>
  <c r="H30" i="42"/>
  <c r="BO53" i="201"/>
  <c r="BS53" i="201" s="1"/>
  <c r="AF105" i="201"/>
  <c r="BR71" i="201"/>
  <c r="E356" i="183"/>
  <c r="E196" i="183"/>
  <c r="BD133" i="201"/>
  <c r="D228" i="183"/>
  <c r="E164" i="183"/>
  <c r="AD108" i="201"/>
  <c r="D164" i="183"/>
  <c r="E132" i="183"/>
  <c r="AB99" i="201"/>
  <c r="R164" i="44"/>
  <c r="T297" i="42"/>
  <c r="T298" i="42"/>
  <c r="F52" i="6"/>
  <c r="T166" i="42"/>
  <c r="H104" i="185"/>
  <c r="O50" i="195"/>
  <c r="L34" i="195" s="1"/>
  <c r="O34" i="195" s="1"/>
  <c r="Q70" i="185"/>
  <c r="Z70" i="185" s="1"/>
  <c r="AH70" i="185" s="1"/>
  <c r="L23" i="183"/>
  <c r="J84" i="35"/>
  <c r="I84" i="35"/>
  <c r="L12" i="5"/>
  <c r="M12" i="5" s="1"/>
  <c r="H90" i="35"/>
  <c r="K71" i="35"/>
  <c r="M32" i="35"/>
  <c r="F51" i="35"/>
  <c r="L71" i="35"/>
  <c r="R306" i="42"/>
  <c r="U243" i="27"/>
  <c r="U245" i="27"/>
  <c r="U247" i="27"/>
  <c r="BR88" i="201"/>
  <c r="I80" i="136"/>
  <c r="J80" i="136" s="1"/>
  <c r="U249" i="27"/>
  <c r="R307" i="42"/>
  <c r="U186" i="27"/>
  <c r="U183" i="27"/>
  <c r="U182" i="27"/>
  <c r="U183" i="26"/>
  <c r="U181" i="27"/>
  <c r="G74" i="185"/>
  <c r="U180" i="27"/>
  <c r="U178" i="27"/>
  <c r="AB100" i="201"/>
  <c r="AC85" i="201"/>
  <c r="AG85" i="201" s="1"/>
  <c r="D193" i="183"/>
  <c r="D195" i="183" s="1"/>
  <c r="B97" i="185"/>
  <c r="E97" i="185" s="1"/>
  <c r="O49" i="196"/>
  <c r="L33" i="196" s="1"/>
  <c r="O33" i="196" s="1"/>
  <c r="F109" i="42"/>
  <c r="AT103" i="201"/>
  <c r="AU124" i="201"/>
  <c r="R60" i="42"/>
  <c r="AQ123" i="201"/>
  <c r="BB139" i="201"/>
  <c r="AT123" i="201"/>
  <c r="R308" i="44"/>
  <c r="AT124" i="201"/>
  <c r="H241" i="183"/>
  <c r="AT139" i="201"/>
  <c r="AP135" i="201"/>
  <c r="AQ120" i="201"/>
  <c r="BB133" i="201"/>
  <c r="AP124" i="201"/>
  <c r="S304" i="42"/>
  <c r="P58" i="42"/>
  <c r="P120" i="42" s="1"/>
  <c r="P182" i="42" s="1"/>
  <c r="BB138" i="201"/>
  <c r="AT116" i="201"/>
  <c r="K322" i="183"/>
  <c r="L322" i="183"/>
  <c r="I322" i="183"/>
  <c r="J322" i="183" s="1"/>
  <c r="BB141" i="201"/>
  <c r="G194" i="183"/>
  <c r="L194" i="183"/>
  <c r="I194" i="183"/>
  <c r="J194" i="183" s="1"/>
  <c r="F10" i="19"/>
  <c r="S310" i="42"/>
  <c r="U308" i="42"/>
  <c r="S311" i="42"/>
  <c r="G314" i="42"/>
  <c r="G350" i="183"/>
  <c r="G62" i="183"/>
  <c r="E352" i="183"/>
  <c r="L352" i="183" s="1"/>
  <c r="K350" i="183"/>
  <c r="BB121" i="201"/>
  <c r="AQ141" i="201"/>
  <c r="BP123" i="201"/>
  <c r="L89" i="183"/>
  <c r="Q183" i="27"/>
  <c r="P308" i="42"/>
  <c r="H59" i="42"/>
  <c r="H121" i="42" s="1"/>
  <c r="H183" i="42" s="1"/>
  <c r="P119" i="26"/>
  <c r="BO56" i="201"/>
  <c r="BS56" i="201" s="1"/>
  <c r="AF98" i="201"/>
  <c r="AF104" i="201"/>
  <c r="H121" i="27"/>
  <c r="F314" i="44"/>
  <c r="S307" i="42"/>
  <c r="V182" i="27"/>
  <c r="X182" i="27" s="1"/>
  <c r="AR178" i="27"/>
  <c r="F314" i="42"/>
  <c r="S125" i="27"/>
  <c r="I74" i="183"/>
  <c r="J74" i="183" s="1"/>
  <c r="N126" i="26"/>
  <c r="T275" i="44"/>
  <c r="K266" i="183"/>
  <c r="J182" i="26"/>
  <c r="L182" i="26" s="1"/>
  <c r="AB124" i="26"/>
  <c r="M73" i="35"/>
  <c r="O72" i="35" s="1"/>
  <c r="P72" i="35" s="1"/>
  <c r="H185" i="183"/>
  <c r="H183" i="27"/>
  <c r="N188" i="26"/>
  <c r="P188" i="26" s="1"/>
  <c r="L311" i="44"/>
  <c r="L118" i="27"/>
  <c r="U309" i="44"/>
  <c r="T89" i="44"/>
  <c r="H266" i="183"/>
  <c r="C370" i="183"/>
  <c r="P119" i="27"/>
  <c r="G125" i="27"/>
  <c r="T116" i="26"/>
  <c r="P124" i="26"/>
  <c r="P52" i="42"/>
  <c r="P114" i="42" s="1"/>
  <c r="T87" i="42"/>
  <c r="L56" i="42"/>
  <c r="L118" i="42" s="1"/>
  <c r="L180" i="42" s="1"/>
  <c r="AN121" i="27"/>
  <c r="BR74" i="201"/>
  <c r="I266" i="183"/>
  <c r="J266" i="183" s="1"/>
  <c r="D308" i="44"/>
  <c r="AQ106" i="201"/>
  <c r="S309" i="42"/>
  <c r="C183" i="26"/>
  <c r="D183" i="26" s="1"/>
  <c r="AY124" i="26"/>
  <c r="P187" i="26"/>
  <c r="P307" i="44"/>
  <c r="P56" i="44"/>
  <c r="P119" i="44" s="1"/>
  <c r="P181" i="44" s="1"/>
  <c r="V125" i="27"/>
  <c r="K66" i="35"/>
  <c r="D30" i="42"/>
  <c r="AR125" i="26"/>
  <c r="C364" i="183"/>
  <c r="E80" i="183"/>
  <c r="I80" i="183" s="1"/>
  <c r="J80" i="183" s="1"/>
  <c r="F184" i="27"/>
  <c r="H184" i="27" s="1"/>
  <c r="V179" i="27"/>
  <c r="X179" i="27" s="1"/>
  <c r="AN115" i="27"/>
  <c r="U311" i="42"/>
  <c r="AR124" i="26"/>
  <c r="G74" i="183"/>
  <c r="H226" i="183"/>
  <c r="M27" i="35"/>
  <c r="N10" i="35"/>
  <c r="R309" i="42"/>
  <c r="J66" i="35"/>
  <c r="G27" i="35"/>
  <c r="AZ307" i="27"/>
  <c r="R311" i="44"/>
  <c r="S311" i="44"/>
  <c r="L55" i="42"/>
  <c r="L117" i="42" s="1"/>
  <c r="L179" i="42" s="1"/>
  <c r="H85" i="35"/>
  <c r="T278" i="42"/>
  <c r="D30" i="44"/>
  <c r="H306" i="42"/>
  <c r="BP133" i="201"/>
  <c r="F56" i="185"/>
  <c r="F44" i="185"/>
  <c r="H49" i="195" s="1"/>
  <c r="Q185" i="27"/>
  <c r="DN82" i="190"/>
  <c r="DN78" i="190"/>
  <c r="DN77" i="190"/>
  <c r="DN81" i="190"/>
  <c r="DN84" i="190"/>
  <c r="DN76" i="190"/>
  <c r="DN79" i="190"/>
  <c r="DN80" i="190"/>
  <c r="DN83" i="190"/>
  <c r="Q248" i="27"/>
  <c r="T274" i="42"/>
  <c r="Q178" i="27"/>
  <c r="G71" i="185"/>
  <c r="Q244" i="27"/>
  <c r="CS105" i="190"/>
  <c r="CU104" i="190"/>
  <c r="DN65" i="190"/>
  <c r="DN59" i="190"/>
  <c r="DN61" i="190"/>
  <c r="DN64" i="190"/>
  <c r="DN66" i="190"/>
  <c r="DN60" i="190"/>
  <c r="DN62" i="190"/>
  <c r="DN63" i="190"/>
  <c r="DN57" i="190"/>
  <c r="DN67" i="190"/>
  <c r="DN58" i="190"/>
  <c r="F47" i="185"/>
  <c r="Q245" i="27"/>
  <c r="Q242" i="27"/>
  <c r="P315" i="27"/>
  <c r="Q250" i="27"/>
  <c r="Q247" i="27"/>
  <c r="Q249" i="27"/>
  <c r="Q246" i="27"/>
  <c r="F46" i="185"/>
  <c r="H51" i="195" s="1"/>
  <c r="P52" i="44"/>
  <c r="P115" i="44" s="1"/>
  <c r="B137" i="185"/>
  <c r="E137" i="185" s="1"/>
  <c r="X111" i="26"/>
  <c r="C104" i="185"/>
  <c r="U313" i="44"/>
  <c r="AN125" i="26"/>
  <c r="R171" i="44"/>
  <c r="Q174" i="26"/>
  <c r="Q112" i="26"/>
  <c r="Q181" i="26"/>
  <c r="B130" i="185"/>
  <c r="AN120" i="26"/>
  <c r="AN188" i="26"/>
  <c r="L59" i="44"/>
  <c r="L122" i="44" s="1"/>
  <c r="L184" i="44" s="1"/>
  <c r="BA167" i="26"/>
  <c r="L132" i="185" s="1"/>
  <c r="D139" i="185"/>
  <c r="B95" i="185"/>
  <c r="E95" i="185" s="1"/>
  <c r="AU126" i="26"/>
  <c r="P309" i="44"/>
  <c r="R102" i="44"/>
  <c r="F118" i="6"/>
  <c r="H118" i="6" s="1"/>
  <c r="L60" i="44"/>
  <c r="L123" i="44" s="1"/>
  <c r="L185" i="44" s="1"/>
  <c r="B93" i="185"/>
  <c r="E93" i="185" s="1"/>
  <c r="D307" i="44"/>
  <c r="T290" i="44"/>
  <c r="Q238" i="26"/>
  <c r="T292" i="44"/>
  <c r="S234" i="44"/>
  <c r="T234" i="44" s="1"/>
  <c r="U234" i="44" s="1"/>
  <c r="S226" i="44"/>
  <c r="T226" i="44" s="1"/>
  <c r="U226" i="44" s="1"/>
  <c r="P168" i="26"/>
  <c r="F126" i="26"/>
  <c r="Z126" i="26"/>
  <c r="R179" i="26"/>
  <c r="R189" i="26" s="1"/>
  <c r="O172" i="44"/>
  <c r="X118" i="26"/>
  <c r="Z188" i="26"/>
  <c r="AB188" i="26" s="1"/>
  <c r="U105" i="44"/>
  <c r="U110" i="44" s="1"/>
  <c r="E167" i="44"/>
  <c r="U167" i="44" s="1"/>
  <c r="AJ185" i="26"/>
  <c r="S103" i="44"/>
  <c r="F19" i="134"/>
  <c r="Q4" i="150" s="1"/>
  <c r="CR40" i="190"/>
  <c r="CT39" i="190"/>
  <c r="CT6" i="190"/>
  <c r="CR7" i="190"/>
  <c r="CR70" i="190"/>
  <c r="CT69" i="190"/>
  <c r="CT30" i="190"/>
  <c r="CR31" i="190"/>
  <c r="F53" i="6"/>
  <c r="CR57" i="190"/>
  <c r="CR21" i="190"/>
  <c r="CT20" i="190"/>
  <c r="F171" i="42"/>
  <c r="AZ100" i="27"/>
  <c r="K70" i="185" s="1"/>
  <c r="T41" i="42"/>
  <c r="H58" i="42"/>
  <c r="H120" i="42" s="1"/>
  <c r="H182" i="42" s="1"/>
  <c r="T40" i="42"/>
  <c r="M129" i="185"/>
  <c r="D104" i="185"/>
  <c r="C179" i="26"/>
  <c r="D179" i="26" s="1"/>
  <c r="L117" i="26"/>
  <c r="L57" i="44"/>
  <c r="L120" i="44" s="1"/>
  <c r="L182" i="44" s="1"/>
  <c r="AX117" i="26"/>
  <c r="AY116" i="26"/>
  <c r="AY120" i="26"/>
  <c r="J181" i="26"/>
  <c r="L181" i="26" s="1"/>
  <c r="AF111" i="26"/>
  <c r="BD111" i="26" s="1"/>
  <c r="P94" i="6"/>
  <c r="AY249" i="26"/>
  <c r="AZ249" i="26" s="1"/>
  <c r="M247" i="27"/>
  <c r="J71" i="35"/>
  <c r="N15" i="35"/>
  <c r="J90" i="35"/>
  <c r="I90" i="35"/>
  <c r="M243" i="27"/>
  <c r="M249" i="27"/>
  <c r="M248" i="27"/>
  <c r="P9" i="150"/>
  <c r="M245" i="27"/>
  <c r="M244" i="27"/>
  <c r="M242" i="27"/>
  <c r="M367" i="183"/>
  <c r="M161" i="125"/>
  <c r="P161" i="125"/>
  <c r="Q161" i="125" s="1"/>
  <c r="E109" i="28"/>
  <c r="E110" i="28" s="1"/>
  <c r="BL134" i="201"/>
  <c r="T39" i="44"/>
  <c r="M111" i="27"/>
  <c r="I88" i="136"/>
  <c r="J88" i="136" s="1"/>
  <c r="AU105" i="201"/>
  <c r="H253" i="183"/>
  <c r="L253" i="183"/>
  <c r="M182" i="27"/>
  <c r="D61" i="44"/>
  <c r="D124" i="44" s="1"/>
  <c r="M188" i="26"/>
  <c r="T153" i="42"/>
  <c r="M186" i="26"/>
  <c r="G97" i="185"/>
  <c r="M184" i="27"/>
  <c r="M183" i="26"/>
  <c r="M181" i="26"/>
  <c r="N287" i="182"/>
  <c r="O287" i="182"/>
  <c r="N257" i="182"/>
  <c r="O257" i="182"/>
  <c r="O144" i="182"/>
  <c r="N144" i="182"/>
  <c r="N107" i="182"/>
  <c r="O107" i="182"/>
  <c r="O264" i="182"/>
  <c r="N264" i="182"/>
  <c r="N174" i="182"/>
  <c r="O174" i="182"/>
  <c r="O114" i="182"/>
  <c r="N114" i="182"/>
  <c r="O167" i="182"/>
  <c r="N167" i="182"/>
  <c r="AC92" i="201"/>
  <c r="AG92" i="201" s="1"/>
  <c r="D347" i="183"/>
  <c r="D353" i="183" s="1"/>
  <c r="D355" i="183" s="1"/>
  <c r="D156" i="183"/>
  <c r="D395" i="183" s="1"/>
  <c r="AX165" i="26"/>
  <c r="AZ165" i="26" s="1"/>
  <c r="K130" i="185" s="1"/>
  <c r="X147" i="185" s="1"/>
  <c r="R107" i="44"/>
  <c r="AX170" i="26"/>
  <c r="AZ170" i="26" s="1"/>
  <c r="K135" i="185" s="1"/>
  <c r="X152" i="185" s="1"/>
  <c r="T46" i="44"/>
  <c r="O48" i="196"/>
  <c r="L32" i="196" s="1"/>
  <c r="O32" i="196" s="1"/>
  <c r="AZ104" i="26"/>
  <c r="K93" i="185" s="1"/>
  <c r="M236" i="27"/>
  <c r="T292" i="42"/>
  <c r="M226" i="27"/>
  <c r="T140" i="42"/>
  <c r="Q92" i="195"/>
  <c r="AZ56" i="27"/>
  <c r="O42" i="185" s="1"/>
  <c r="R42" i="185" s="1"/>
  <c r="J52" i="132"/>
  <c r="S308" i="44"/>
  <c r="J490" i="182"/>
  <c r="Q152" i="125"/>
  <c r="I62" i="183"/>
  <c r="J62" i="183" s="1"/>
  <c r="K62" i="183"/>
  <c r="G490" i="182"/>
  <c r="H490" i="182" s="1"/>
  <c r="G485" i="182"/>
  <c r="H485" i="182" s="1"/>
  <c r="F363" i="183"/>
  <c r="N363" i="183"/>
  <c r="H62" i="183"/>
  <c r="S305" i="44"/>
  <c r="I226" i="183"/>
  <c r="J226" i="183" s="1"/>
  <c r="I242" i="27"/>
  <c r="AA29" i="191"/>
  <c r="AX125" i="26"/>
  <c r="H13" i="185"/>
  <c r="BR28" i="201"/>
  <c r="I249" i="27"/>
  <c r="I247" i="27"/>
  <c r="AN181" i="26"/>
  <c r="X6" i="9"/>
  <c r="G226" i="183"/>
  <c r="H53" i="44"/>
  <c r="H116" i="44" s="1"/>
  <c r="H178" i="44" s="1"/>
  <c r="I245" i="27"/>
  <c r="AS186" i="26"/>
  <c r="F11" i="19"/>
  <c r="H66" i="195"/>
  <c r="P66" i="195" s="1"/>
  <c r="S66" i="195" s="1"/>
  <c r="Q35" i="195" s="1"/>
  <c r="L312" i="44"/>
  <c r="I246" i="27"/>
  <c r="U53" i="42"/>
  <c r="AZ52" i="26"/>
  <c r="O54" i="185" s="1"/>
  <c r="R313" i="44"/>
  <c r="K226" i="183"/>
  <c r="P186" i="26"/>
  <c r="Q93" i="195"/>
  <c r="I181" i="26"/>
  <c r="W187" i="27"/>
  <c r="M30" i="35"/>
  <c r="G189" i="183"/>
  <c r="G109" i="125"/>
  <c r="Z17" i="5"/>
  <c r="AE17" i="5" s="1"/>
  <c r="N47" i="182"/>
  <c r="F188" i="26"/>
  <c r="H188" i="26" s="1"/>
  <c r="I188" i="26"/>
  <c r="I186" i="27"/>
  <c r="AA77" i="191"/>
  <c r="I185" i="27"/>
  <c r="I183" i="27"/>
  <c r="I182" i="27"/>
  <c r="I183" i="26"/>
  <c r="I182" i="26"/>
  <c r="I178" i="27"/>
  <c r="BO52" i="201"/>
  <c r="BS52" i="201" s="1"/>
  <c r="AF107" i="201"/>
  <c r="AF100" i="201"/>
  <c r="AC87" i="201"/>
  <c r="AG87" i="201" s="1"/>
  <c r="AF106" i="201"/>
  <c r="AF30" i="201"/>
  <c r="H24" i="185"/>
  <c r="U299" i="44"/>
  <c r="J186" i="26"/>
  <c r="L186" i="26" s="1"/>
  <c r="S52" i="44"/>
  <c r="AX123" i="26"/>
  <c r="L50" i="196"/>
  <c r="L95" i="196" s="1"/>
  <c r="O95" i="196" s="1"/>
  <c r="T293" i="42"/>
  <c r="R54" i="42"/>
  <c r="O45" i="195"/>
  <c r="L29" i="195" s="1"/>
  <c r="O29" i="195" s="1"/>
  <c r="L110" i="27"/>
  <c r="T45" i="42"/>
  <c r="D103" i="42"/>
  <c r="D165" i="42" s="1"/>
  <c r="T165" i="42" s="1"/>
  <c r="AA110" i="188"/>
  <c r="AA177" i="188"/>
  <c r="AA187" i="188" s="1"/>
  <c r="X16" i="170"/>
  <c r="I16" i="198"/>
  <c r="I16" i="170"/>
  <c r="S309" i="44"/>
  <c r="N372" i="183"/>
  <c r="F372" i="183"/>
  <c r="Q369" i="183"/>
  <c r="L241" i="183"/>
  <c r="G253" i="183"/>
  <c r="K253" i="183"/>
  <c r="G241" i="183"/>
  <c r="I241" i="183"/>
  <c r="J241" i="183" s="1"/>
  <c r="M369" i="183"/>
  <c r="I369" i="182"/>
  <c r="BO36" i="201"/>
  <c r="BS36" i="201" s="1"/>
  <c r="I189" i="183"/>
  <c r="J189" i="183" s="1"/>
  <c r="H181" i="182"/>
  <c r="G181" i="182"/>
  <c r="I181" i="182"/>
  <c r="J181" i="182"/>
  <c r="BB218" i="26"/>
  <c r="N135" i="182"/>
  <c r="O135" i="182"/>
  <c r="H301" i="182"/>
  <c r="G301" i="182"/>
  <c r="J301" i="182"/>
  <c r="I301" i="182"/>
  <c r="G91" i="35"/>
  <c r="I89" i="183"/>
  <c r="J89" i="183" s="1"/>
  <c r="K89" i="183"/>
  <c r="BB211" i="27"/>
  <c r="BB307" i="27" s="1"/>
  <c r="J21" i="134"/>
  <c r="DM38" i="190" s="1"/>
  <c r="P11" i="33"/>
  <c r="BQ124" i="201"/>
  <c r="H331" i="182"/>
  <c r="G331" i="182"/>
  <c r="I331" i="182"/>
  <c r="J331" i="182"/>
  <c r="M372" i="183"/>
  <c r="G271" i="182"/>
  <c r="H271" i="182"/>
  <c r="J271" i="182"/>
  <c r="I271" i="182"/>
  <c r="O105" i="182"/>
  <c r="N105" i="182"/>
  <c r="H211" i="182"/>
  <c r="G211" i="182"/>
  <c r="I211" i="182"/>
  <c r="J211" i="182"/>
  <c r="AZ103" i="201"/>
  <c r="O75" i="182"/>
  <c r="N75" i="182"/>
  <c r="H151" i="182"/>
  <c r="G151" i="182"/>
  <c r="I151" i="182"/>
  <c r="J151" i="182"/>
  <c r="G121" i="182"/>
  <c r="H121" i="182"/>
  <c r="I121" i="182"/>
  <c r="J121" i="182"/>
  <c r="AF103" i="201"/>
  <c r="H91" i="182"/>
  <c r="G91" i="182"/>
  <c r="J91" i="182"/>
  <c r="I91" i="182"/>
  <c r="AT104" i="201"/>
  <c r="G241" i="182"/>
  <c r="H241" i="182"/>
  <c r="I241" i="182"/>
  <c r="J241" i="182"/>
  <c r="AT121" i="201"/>
  <c r="F9" i="19"/>
  <c r="E314" i="42"/>
  <c r="E184" i="26"/>
  <c r="AY123" i="27"/>
  <c r="R58" i="42"/>
  <c r="E184" i="27"/>
  <c r="AJ115" i="27"/>
  <c r="Q95" i="195"/>
  <c r="E182" i="27"/>
  <c r="G77" i="185"/>
  <c r="I95" i="195"/>
  <c r="AJ117" i="27"/>
  <c r="AD125" i="27"/>
  <c r="AZ58" i="27"/>
  <c r="O44" i="185" s="1"/>
  <c r="P49" i="195" s="1"/>
  <c r="L52" i="42"/>
  <c r="L114" i="42" s="1"/>
  <c r="AY117" i="27"/>
  <c r="AX115" i="27"/>
  <c r="H10" i="185"/>
  <c r="W125" i="27"/>
  <c r="AQ187" i="27"/>
  <c r="AZ54" i="27"/>
  <c r="O40" i="185" s="1"/>
  <c r="P45" i="195" s="1"/>
  <c r="T151" i="42"/>
  <c r="AZ57" i="27"/>
  <c r="O43" i="185" s="1"/>
  <c r="R43" i="185" s="1"/>
  <c r="T149" i="42"/>
  <c r="T147" i="42"/>
  <c r="C181" i="27"/>
  <c r="AY181" i="27" s="1"/>
  <c r="AY119" i="27"/>
  <c r="T85" i="42"/>
  <c r="E178" i="27"/>
  <c r="F347" i="183"/>
  <c r="F348" i="183" s="1"/>
  <c r="F401" i="183" s="1"/>
  <c r="F339" i="183"/>
  <c r="K335" i="183"/>
  <c r="L335" i="183"/>
  <c r="I407" i="182"/>
  <c r="K74" i="183"/>
  <c r="L74" i="183"/>
  <c r="F123" i="183"/>
  <c r="F115" i="183"/>
  <c r="M364" i="183"/>
  <c r="K209" i="183"/>
  <c r="L175" i="183"/>
  <c r="AQ142" i="201"/>
  <c r="AQ107" i="201"/>
  <c r="K175" i="183"/>
  <c r="F28" i="182"/>
  <c r="F33" i="182" s="1"/>
  <c r="C37" i="182"/>
  <c r="C38" i="182" s="1"/>
  <c r="C40" i="182" s="1"/>
  <c r="C33" i="182"/>
  <c r="F230" i="183"/>
  <c r="F211" i="183"/>
  <c r="AQ124" i="201"/>
  <c r="AU140" i="201"/>
  <c r="F176" i="183"/>
  <c r="F198" i="183" s="1"/>
  <c r="X168" i="198"/>
  <c r="I185" i="198"/>
  <c r="I185" i="170"/>
  <c r="K314" i="42"/>
  <c r="J314" i="42"/>
  <c r="T272" i="44"/>
  <c r="M19" i="33"/>
  <c r="E243" i="27"/>
  <c r="D134" i="183"/>
  <c r="T113" i="183"/>
  <c r="Y20" i="201"/>
  <c r="Y98" i="201" s="1"/>
  <c r="K271" i="183"/>
  <c r="R271" i="183"/>
  <c r="R272" i="183" s="1"/>
  <c r="L271" i="183"/>
  <c r="F272" i="183"/>
  <c r="L239" i="183"/>
  <c r="F240" i="183"/>
  <c r="F358" i="182"/>
  <c r="F144" i="183"/>
  <c r="R138" i="183"/>
  <c r="F80" i="183"/>
  <c r="R81" i="183" s="1"/>
  <c r="F10" i="183"/>
  <c r="C102" i="183"/>
  <c r="S80" i="183"/>
  <c r="F51" i="183"/>
  <c r="F59" i="183"/>
  <c r="F70" i="183"/>
  <c r="U30" i="201"/>
  <c r="U108" i="201" s="1"/>
  <c r="D427" i="182"/>
  <c r="Y107" i="201"/>
  <c r="E8" i="125"/>
  <c r="P97" i="6"/>
  <c r="M11" i="9"/>
  <c r="S11" i="9" s="1"/>
  <c r="S118" i="6"/>
  <c r="D155" i="6"/>
  <c r="H109" i="6"/>
  <c r="E88" i="9"/>
  <c r="G22" i="9"/>
  <c r="H6" i="19" s="1"/>
  <c r="T6" i="19" s="1"/>
  <c r="T295" i="44"/>
  <c r="T297" i="44"/>
  <c r="T296" i="44"/>
  <c r="E84" i="9"/>
  <c r="N57" i="185"/>
  <c r="AZ101" i="26"/>
  <c r="K90" i="185" s="1"/>
  <c r="N90" i="185" s="1"/>
  <c r="AX166" i="26"/>
  <c r="AZ166" i="26" s="1"/>
  <c r="K131" i="185" s="1"/>
  <c r="X148" i="185" s="1"/>
  <c r="F172" i="44"/>
  <c r="L174" i="26"/>
  <c r="R103" i="44"/>
  <c r="L111" i="26"/>
  <c r="AZ105" i="26"/>
  <c r="K94" i="185" s="1"/>
  <c r="N94" i="185" s="1"/>
  <c r="T79" i="44"/>
  <c r="N58" i="185"/>
  <c r="T104" i="44"/>
  <c r="P166" i="44"/>
  <c r="T166" i="44" s="1"/>
  <c r="AZ103" i="26"/>
  <c r="K92" i="185" s="1"/>
  <c r="AZ110" i="26"/>
  <c r="K99" i="185" s="1"/>
  <c r="O46" i="196"/>
  <c r="L30" i="196" s="1"/>
  <c r="O30" i="196" s="1"/>
  <c r="N110" i="44"/>
  <c r="O110" i="44"/>
  <c r="AZ109" i="26"/>
  <c r="K98" i="185" s="1"/>
  <c r="N98" i="185" s="1"/>
  <c r="L89" i="196"/>
  <c r="O89" i="196" s="1"/>
  <c r="AJ111" i="26"/>
  <c r="J110" i="44"/>
  <c r="AH174" i="26"/>
  <c r="O45" i="196"/>
  <c r="L29" i="196" s="1"/>
  <c r="O29" i="196" s="1"/>
  <c r="AK112" i="26"/>
  <c r="L47" i="44"/>
  <c r="N56" i="185"/>
  <c r="T37" i="44"/>
  <c r="AX164" i="26"/>
  <c r="AZ107" i="26"/>
  <c r="K96" i="185" s="1"/>
  <c r="N96" i="185" s="1"/>
  <c r="V174" i="26"/>
  <c r="N59" i="185"/>
  <c r="R174" i="26"/>
  <c r="R47" i="44"/>
  <c r="T111" i="26"/>
  <c r="F110" i="44"/>
  <c r="J174" i="26"/>
  <c r="N63" i="185"/>
  <c r="O52" i="196"/>
  <c r="L36" i="196" s="1"/>
  <c r="O36" i="196" s="1"/>
  <c r="C110" i="44"/>
  <c r="AZ106" i="26"/>
  <c r="K95" i="185" s="1"/>
  <c r="AY111" i="26"/>
  <c r="L104" i="185"/>
  <c r="U47" i="44"/>
  <c r="T43" i="44"/>
  <c r="AZ102" i="26"/>
  <c r="K91" i="185" s="1"/>
  <c r="D47" i="44"/>
  <c r="N55" i="185"/>
  <c r="D169" i="44"/>
  <c r="T169" i="44" s="1"/>
  <c r="T107" i="44"/>
  <c r="T185" i="26"/>
  <c r="G58" i="196"/>
  <c r="G68" i="196" s="1"/>
  <c r="Q11" i="9"/>
  <c r="D299" i="44"/>
  <c r="L307" i="44"/>
  <c r="P47" i="44"/>
  <c r="L101" i="44"/>
  <c r="L163" i="44" s="1"/>
  <c r="K163" i="44"/>
  <c r="S163" i="44" s="1"/>
  <c r="S101" i="44"/>
  <c r="AU182" i="26"/>
  <c r="AV182" i="26" s="1"/>
  <c r="AL183" i="26"/>
  <c r="AN183" i="26" s="1"/>
  <c r="K110" i="44"/>
  <c r="U305" i="44"/>
  <c r="T123" i="26"/>
  <c r="P311" i="44"/>
  <c r="L58" i="196"/>
  <c r="O58" i="196" s="1"/>
  <c r="H47" i="44"/>
  <c r="S100" i="44"/>
  <c r="X159" i="26"/>
  <c r="S60" i="44"/>
  <c r="G83" i="196"/>
  <c r="AF125" i="26"/>
  <c r="BD125" i="26" s="1"/>
  <c r="P101" i="6"/>
  <c r="T41" i="44"/>
  <c r="BA111" i="26"/>
  <c r="AZ47" i="26"/>
  <c r="T174" i="26"/>
  <c r="AF174" i="26"/>
  <c r="BD174" i="26" s="1"/>
  <c r="H174" i="26"/>
  <c r="P48" i="26"/>
  <c r="H111" i="26"/>
  <c r="AU180" i="26"/>
  <c r="AV180" i="26" s="1"/>
  <c r="Q94" i="196"/>
  <c r="Q91" i="196"/>
  <c r="AX124" i="26"/>
  <c r="H123" i="26"/>
  <c r="P310" i="44"/>
  <c r="L308" i="44"/>
  <c r="AJ188" i="26"/>
  <c r="F37" i="196"/>
  <c r="O9" i="196" s="1"/>
  <c r="AV119" i="26"/>
  <c r="H306" i="44"/>
  <c r="U308" i="44"/>
  <c r="T105" i="44"/>
  <c r="L299" i="44"/>
  <c r="AX168" i="26"/>
  <c r="AZ168" i="26" s="1"/>
  <c r="K133" i="185" s="1"/>
  <c r="X150" i="185" s="1"/>
  <c r="BB391" i="26"/>
  <c r="H147" i="6" s="1"/>
  <c r="AJ174" i="26"/>
  <c r="X174" i="26"/>
  <c r="T44" i="44"/>
  <c r="AD174" i="26"/>
  <c r="F174" i="26"/>
  <c r="AJ48" i="26"/>
  <c r="AU184" i="26"/>
  <c r="AY184" i="26" s="1"/>
  <c r="C164" i="44"/>
  <c r="S164" i="44" s="1"/>
  <c r="S102" i="44"/>
  <c r="H50" i="6"/>
  <c r="BB290" i="27"/>
  <c r="BC290" i="27" s="1"/>
  <c r="F14" i="134"/>
  <c r="G15" i="134" s="1"/>
  <c r="AW236" i="27"/>
  <c r="AW226" i="27"/>
  <c r="U299" i="42"/>
  <c r="R299" i="42"/>
  <c r="H52" i="6"/>
  <c r="K235" i="42"/>
  <c r="L235" i="42" s="1"/>
  <c r="M235" i="42" s="1"/>
  <c r="AY236" i="27"/>
  <c r="AZ236" i="27" s="1"/>
  <c r="BA236" i="27" s="1"/>
  <c r="G14" i="150" s="1"/>
  <c r="G4" i="150"/>
  <c r="F50" i="6"/>
  <c r="BB298" i="27"/>
  <c r="H57" i="6" s="1"/>
  <c r="H236" i="27"/>
  <c r="K237" i="27"/>
  <c r="S299" i="42"/>
  <c r="T163" i="42"/>
  <c r="AD172" i="27"/>
  <c r="S166" i="42"/>
  <c r="U161" i="42"/>
  <c r="U171" i="42" s="1"/>
  <c r="AZ101" i="27"/>
  <c r="K71" i="185" s="1"/>
  <c r="AZ108" i="27"/>
  <c r="K78" i="185" s="1"/>
  <c r="N78" i="185" s="1"/>
  <c r="AZ102" i="27"/>
  <c r="K72" i="185" s="1"/>
  <c r="N72" i="185" s="1"/>
  <c r="AZ103" i="27"/>
  <c r="K73" i="185" s="1"/>
  <c r="N171" i="42"/>
  <c r="R108" i="42"/>
  <c r="T78" i="42"/>
  <c r="AJ110" i="27"/>
  <c r="T104" i="42"/>
  <c r="I171" i="42"/>
  <c r="V172" i="27"/>
  <c r="AX110" i="27"/>
  <c r="D56" i="42"/>
  <c r="D118" i="42" s="1"/>
  <c r="D180" i="42" s="1"/>
  <c r="T39" i="42"/>
  <c r="P47" i="42"/>
  <c r="AV172" i="27"/>
  <c r="N40" i="185"/>
  <c r="T101" i="42"/>
  <c r="L46" i="195"/>
  <c r="O46" i="195" s="1"/>
  <c r="L30" i="195" s="1"/>
  <c r="O30" i="195" s="1"/>
  <c r="R101" i="42"/>
  <c r="L97" i="195"/>
  <c r="O97" i="195" s="1"/>
  <c r="R163" i="42"/>
  <c r="O44" i="195"/>
  <c r="L28" i="195" s="1"/>
  <c r="O28" i="195" s="1"/>
  <c r="N46" i="185"/>
  <c r="N109" i="42"/>
  <c r="N39" i="185"/>
  <c r="N47" i="185"/>
  <c r="AX163" i="27"/>
  <c r="AZ163" i="27" s="1"/>
  <c r="K114" i="185" s="1"/>
  <c r="W147" i="185" s="1"/>
  <c r="AJ172" i="27"/>
  <c r="AL172" i="27"/>
  <c r="AN162" i="27"/>
  <c r="O51" i="195"/>
  <c r="L35" i="195" s="1"/>
  <c r="O35" i="195" s="1"/>
  <c r="AH172" i="27"/>
  <c r="AN110" i="27"/>
  <c r="L49" i="195"/>
  <c r="O49" i="195" s="1"/>
  <c r="L33" i="195" s="1"/>
  <c r="O33" i="195" s="1"/>
  <c r="N43" i="185"/>
  <c r="AZ47" i="27"/>
  <c r="AX169" i="27"/>
  <c r="AZ169" i="27" s="1"/>
  <c r="K120" i="185" s="1"/>
  <c r="W153" i="185" s="1"/>
  <c r="L84" i="185"/>
  <c r="AZ105" i="27"/>
  <c r="K75" i="185" s="1"/>
  <c r="N75" i="185" s="1"/>
  <c r="L47" i="42"/>
  <c r="L99" i="42"/>
  <c r="L47" i="195"/>
  <c r="T107" i="42"/>
  <c r="X172" i="27"/>
  <c r="AB110" i="27"/>
  <c r="U47" i="42"/>
  <c r="Z172" i="27"/>
  <c r="AB162" i="27"/>
  <c r="S47" i="42"/>
  <c r="BA110" i="27"/>
  <c r="AX168" i="27"/>
  <c r="AZ168" i="27" s="1"/>
  <c r="K119" i="185" s="1"/>
  <c r="H108" i="42"/>
  <c r="T46" i="42"/>
  <c r="E171" i="42"/>
  <c r="J172" i="27"/>
  <c r="N172" i="27"/>
  <c r="P162" i="27"/>
  <c r="P172" i="27" s="1"/>
  <c r="T100" i="42"/>
  <c r="D162" i="42"/>
  <c r="T162" i="42" s="1"/>
  <c r="H99" i="42"/>
  <c r="H47" i="42"/>
  <c r="AY110" i="27"/>
  <c r="P110" i="27"/>
  <c r="D106" i="42"/>
  <c r="AZ109" i="27"/>
  <c r="K79" i="185" s="1"/>
  <c r="R47" i="42"/>
  <c r="I172" i="27"/>
  <c r="U159" i="27"/>
  <c r="BA162" i="27"/>
  <c r="C171" i="42"/>
  <c r="L172" i="27"/>
  <c r="T37" i="42"/>
  <c r="D47" i="42"/>
  <c r="D99" i="42"/>
  <c r="AX165" i="27"/>
  <c r="AZ165" i="27" s="1"/>
  <c r="K116" i="185" s="1"/>
  <c r="W149" i="185" s="1"/>
  <c r="H110" i="27"/>
  <c r="F172" i="27"/>
  <c r="H162" i="27"/>
  <c r="AX171" i="27"/>
  <c r="AZ171" i="27" s="1"/>
  <c r="K122" i="185" s="1"/>
  <c r="W155" i="185" s="1"/>
  <c r="D110" i="27"/>
  <c r="D170" i="27"/>
  <c r="B121" i="185" s="1"/>
  <c r="E121" i="185" s="1"/>
  <c r="AX170" i="27"/>
  <c r="AZ170" i="27" s="1"/>
  <c r="D164" i="27"/>
  <c r="AX164" i="27"/>
  <c r="AZ164" i="27" s="1"/>
  <c r="K115" i="185" s="1"/>
  <c r="D166" i="27"/>
  <c r="B117" i="185" s="1"/>
  <c r="E117" i="185" s="1"/>
  <c r="AX166" i="27"/>
  <c r="AZ166" i="27" s="1"/>
  <c r="K117" i="185" s="1"/>
  <c r="D162" i="27"/>
  <c r="B172" i="27"/>
  <c r="AX162" i="27"/>
  <c r="AY162" i="27"/>
  <c r="AY172" i="27" s="1"/>
  <c r="V47" i="9"/>
  <c r="K14" i="19"/>
  <c r="P71" i="196"/>
  <c r="H86" i="196"/>
  <c r="D86" i="196"/>
  <c r="L71" i="196"/>
  <c r="P71" i="195"/>
  <c r="P86" i="195" s="1"/>
  <c r="P101" i="195" s="1"/>
  <c r="H86" i="195"/>
  <c r="H101" i="195" s="1"/>
  <c r="F94" i="195"/>
  <c r="G109" i="195"/>
  <c r="F93" i="195"/>
  <c r="G108" i="195"/>
  <c r="N88" i="196"/>
  <c r="N98" i="196" s="1"/>
  <c r="G8" i="196" s="1"/>
  <c r="I8" i="196" s="1"/>
  <c r="Z163" i="188"/>
  <c r="F104" i="195"/>
  <c r="AA169" i="188"/>
  <c r="Z171" i="188"/>
  <c r="F112" i="195"/>
  <c r="D123" i="185"/>
  <c r="F92" i="195"/>
  <c r="G107" i="195"/>
  <c r="AA167" i="188"/>
  <c r="Z165" i="188"/>
  <c r="F106" i="195"/>
  <c r="Z169" i="188"/>
  <c r="F110" i="195"/>
  <c r="AA171" i="188"/>
  <c r="AA165" i="188"/>
  <c r="Q116" i="185"/>
  <c r="Z116" i="185" s="1"/>
  <c r="AH116" i="185" s="1"/>
  <c r="Z125" i="188"/>
  <c r="I93" i="195"/>
  <c r="M314" i="42"/>
  <c r="H63" i="195"/>
  <c r="P63" i="195" s="1"/>
  <c r="S63" i="195" s="1"/>
  <c r="Q32" i="195" s="1"/>
  <c r="B171" i="42"/>
  <c r="U309" i="42"/>
  <c r="S312" i="42"/>
  <c r="H65" i="195"/>
  <c r="P65" i="195" s="1"/>
  <c r="S65" i="195" s="1"/>
  <c r="Q34" i="195" s="1"/>
  <c r="L12" i="185"/>
  <c r="U312" i="42"/>
  <c r="H67" i="195"/>
  <c r="P67" i="195" s="1"/>
  <c r="S67" i="195" s="1"/>
  <c r="Q36" i="195" s="1"/>
  <c r="L14" i="185"/>
  <c r="BA124" i="26"/>
  <c r="P98" i="185" s="1"/>
  <c r="Y98" i="185" s="1"/>
  <c r="AG98" i="185" s="1"/>
  <c r="H30" i="44"/>
  <c r="H122" i="26"/>
  <c r="H185" i="26"/>
  <c r="BA122" i="26"/>
  <c r="P96" i="185" s="1"/>
  <c r="Y96" i="185" s="1"/>
  <c r="AG96" i="185" s="1"/>
  <c r="AN122" i="26"/>
  <c r="AJ122" i="26"/>
  <c r="M314" i="44"/>
  <c r="T186" i="26"/>
  <c r="C126" i="26"/>
  <c r="D123" i="26"/>
  <c r="AW175" i="26"/>
  <c r="AJ120" i="26"/>
  <c r="X125" i="26"/>
  <c r="D60" i="44"/>
  <c r="D123" i="44" s="1"/>
  <c r="AX172" i="26"/>
  <c r="AZ172" i="26" s="1"/>
  <c r="K137" i="185" s="1"/>
  <c r="X154" i="185" s="1"/>
  <c r="P57" i="44"/>
  <c r="P120" i="44" s="1"/>
  <c r="P182" i="44" s="1"/>
  <c r="X188" i="26"/>
  <c r="R105" i="44"/>
  <c r="L58" i="44"/>
  <c r="L121" i="44" s="1"/>
  <c r="L183" i="44" s="1"/>
  <c r="AN111" i="26"/>
  <c r="AV112" i="26" s="1"/>
  <c r="AU183" i="26"/>
  <c r="D101" i="44"/>
  <c r="T38" i="44"/>
  <c r="J172" i="44"/>
  <c r="L48" i="26"/>
  <c r="H209" i="183"/>
  <c r="L209" i="183"/>
  <c r="G209" i="183"/>
  <c r="M9" i="125"/>
  <c r="H64" i="196"/>
  <c r="P64" i="196" s="1"/>
  <c r="S64" i="196" s="1"/>
  <c r="Q33" i="196" s="1"/>
  <c r="H27" i="185"/>
  <c r="H25" i="185"/>
  <c r="H62" i="196"/>
  <c r="K62" i="196" s="1"/>
  <c r="I31" i="196" s="1"/>
  <c r="H58" i="195"/>
  <c r="H5" i="185"/>
  <c r="L159" i="26"/>
  <c r="L95" i="26"/>
  <c r="BA116" i="27"/>
  <c r="P71" i="185" s="1"/>
  <c r="Y71" i="185" s="1"/>
  <c r="AG71" i="185" s="1"/>
  <c r="BA121" i="27"/>
  <c r="P76" i="185" s="1"/>
  <c r="Y76" i="185" s="1"/>
  <c r="AG76" i="185" s="1"/>
  <c r="J369" i="182"/>
  <c r="K189" i="183"/>
  <c r="Q367" i="183"/>
  <c r="AN182" i="27"/>
  <c r="AW125" i="27"/>
  <c r="H12" i="185"/>
  <c r="AP126" i="26"/>
  <c r="AR119" i="26"/>
  <c r="N125" i="27"/>
  <c r="M10" i="9"/>
  <c r="S10" i="9" s="1"/>
  <c r="P123" i="27"/>
  <c r="AZ58" i="26"/>
  <c r="O60" i="185" s="1"/>
  <c r="P49" i="196" s="1"/>
  <c r="S308" i="42"/>
  <c r="AV118" i="26"/>
  <c r="R312" i="44"/>
  <c r="U306" i="42"/>
  <c r="Q10" i="9"/>
  <c r="T89" i="42"/>
  <c r="T146" i="42"/>
  <c r="L73" i="35"/>
  <c r="AU181" i="26"/>
  <c r="AV181" i="26" s="1"/>
  <c r="BQ135" i="201"/>
  <c r="H311" i="42"/>
  <c r="J125" i="27"/>
  <c r="AF315" i="27"/>
  <c r="BE315" i="27" s="1"/>
  <c r="C314" i="44"/>
  <c r="M28" i="35"/>
  <c r="G369" i="182"/>
  <c r="H369" i="182" s="1"/>
  <c r="S182" i="42"/>
  <c r="H189" i="183"/>
  <c r="N11" i="35"/>
  <c r="H86" i="35"/>
  <c r="Q6" i="9"/>
  <c r="F8" i="19"/>
  <c r="L407" i="26"/>
  <c r="P307" i="42"/>
  <c r="H156" i="44"/>
  <c r="AX119" i="27"/>
  <c r="N120" i="44"/>
  <c r="N182" i="44" s="1"/>
  <c r="AF118" i="26"/>
  <c r="BD118" i="26" s="1"/>
  <c r="E95" i="182"/>
  <c r="E99" i="182" s="1"/>
  <c r="BQ117" i="201"/>
  <c r="P30" i="44"/>
  <c r="L94" i="44"/>
  <c r="L311" i="42"/>
  <c r="J54" i="136"/>
  <c r="X115" i="27"/>
  <c r="T122" i="26"/>
  <c r="T154" i="44"/>
  <c r="AD126" i="26"/>
  <c r="I97" i="195"/>
  <c r="P305" i="44"/>
  <c r="G28" i="35"/>
  <c r="L306" i="42"/>
  <c r="BA120" i="27"/>
  <c r="P75" i="185" s="1"/>
  <c r="Y75" i="185" s="1"/>
  <c r="AG75" i="185" s="1"/>
  <c r="AW182" i="27"/>
  <c r="BO58" i="201"/>
  <c r="BS58" i="201" s="1"/>
  <c r="BO57" i="201"/>
  <c r="BS57" i="201" s="1"/>
  <c r="L29" i="28"/>
  <c r="C325" i="183"/>
  <c r="BJ76" i="201"/>
  <c r="J482" i="182"/>
  <c r="G482" i="182"/>
  <c r="H482" i="182" s="1"/>
  <c r="M71" i="35"/>
  <c r="O70" i="35" s="1"/>
  <c r="P70" i="35" s="1"/>
  <c r="I88" i="35"/>
  <c r="L10" i="5"/>
  <c r="H52" i="5" s="1"/>
  <c r="H53" i="5" s="1"/>
  <c r="J88" i="35"/>
  <c r="BH71" i="201"/>
  <c r="BB120" i="201"/>
  <c r="AQ103" i="201"/>
  <c r="AQ138" i="201"/>
  <c r="E9" i="125"/>
  <c r="H69" i="35"/>
  <c r="AZ120" i="201"/>
  <c r="I92" i="35"/>
  <c r="G89" i="35"/>
  <c r="I18" i="183"/>
  <c r="J18" i="183" s="1"/>
  <c r="L185" i="183"/>
  <c r="G185" i="183"/>
  <c r="I185" i="183"/>
  <c r="J185" i="183" s="1"/>
  <c r="BD139" i="201"/>
  <c r="BD121" i="201"/>
  <c r="AP139" i="201"/>
  <c r="AP121" i="201"/>
  <c r="AQ139" i="201"/>
  <c r="AQ121" i="201"/>
  <c r="AU139" i="201"/>
  <c r="AU121" i="201"/>
  <c r="AP141" i="201"/>
  <c r="BL141" i="201"/>
  <c r="AT141" i="201"/>
  <c r="BB140" i="201"/>
  <c r="BB122" i="201"/>
  <c r="AQ140" i="201"/>
  <c r="AQ122" i="201"/>
  <c r="BL140" i="201"/>
  <c r="AT140" i="201"/>
  <c r="AT122" i="201"/>
  <c r="I422" i="182"/>
  <c r="AU138" i="201"/>
  <c r="AU120" i="201"/>
  <c r="J422" i="182"/>
  <c r="AP138" i="201"/>
  <c r="AP120" i="201"/>
  <c r="AT138" i="201"/>
  <c r="AT120" i="201"/>
  <c r="BB135" i="201"/>
  <c r="BB117" i="201"/>
  <c r="AU135" i="201"/>
  <c r="AU117" i="201"/>
  <c r="AT135" i="201"/>
  <c r="AT117" i="201"/>
  <c r="AQ135" i="201"/>
  <c r="AQ117" i="201"/>
  <c r="BR68" i="201"/>
  <c r="J92" i="35"/>
  <c r="J73" i="35"/>
  <c r="L14" i="5"/>
  <c r="L52" i="5" s="1"/>
  <c r="L53" i="5" s="1"/>
  <c r="N17" i="35"/>
  <c r="F53" i="35"/>
  <c r="M34" i="35"/>
  <c r="G34" i="35"/>
  <c r="K73" i="35"/>
  <c r="AU142" i="201"/>
  <c r="AT142" i="201"/>
  <c r="AP142" i="201"/>
  <c r="F47" i="35"/>
  <c r="K67" i="35"/>
  <c r="J67" i="35"/>
  <c r="L8" i="5"/>
  <c r="AQ134" i="201"/>
  <c r="AO134" i="201"/>
  <c r="AO116" i="201"/>
  <c r="AP134" i="201"/>
  <c r="AP116" i="201"/>
  <c r="AU134" i="201"/>
  <c r="AU116" i="201"/>
  <c r="BB134" i="201"/>
  <c r="BB116" i="201"/>
  <c r="BG148" i="201"/>
  <c r="AT133" i="201"/>
  <c r="AT115" i="201"/>
  <c r="AP133" i="201"/>
  <c r="AP115" i="201"/>
  <c r="BI98" i="201"/>
  <c r="AQ133" i="201"/>
  <c r="BB115" i="201"/>
  <c r="BM133" i="201"/>
  <c r="AU133" i="201"/>
  <c r="AU115" i="201"/>
  <c r="J64" i="35"/>
  <c r="R310" i="42"/>
  <c r="O314" i="42"/>
  <c r="S307" i="44"/>
  <c r="AA163" i="188"/>
  <c r="O28" i="196"/>
  <c r="H28" i="185"/>
  <c r="H65" i="196"/>
  <c r="AV188" i="26"/>
  <c r="Q97" i="195"/>
  <c r="H30" i="185"/>
  <c r="H67" i="196"/>
  <c r="P67" i="196" s="1"/>
  <c r="S67" i="196" s="1"/>
  <c r="Q36" i="196" s="1"/>
  <c r="H14" i="185"/>
  <c r="AW186" i="27"/>
  <c r="U61" i="42"/>
  <c r="H29" i="185"/>
  <c r="AV187" i="26"/>
  <c r="AY187" i="26"/>
  <c r="H64" i="195"/>
  <c r="P64" i="195" s="1"/>
  <c r="H11" i="185"/>
  <c r="T150" i="44"/>
  <c r="H62" i="195"/>
  <c r="H9" i="185"/>
  <c r="P26" i="33"/>
  <c r="U54" i="44"/>
  <c r="AR118" i="26"/>
  <c r="Q90" i="195"/>
  <c r="AI125" i="27"/>
  <c r="T118" i="26"/>
  <c r="T181" i="26"/>
  <c r="AX118" i="26"/>
  <c r="H60" i="196"/>
  <c r="P60" i="196" s="1"/>
  <c r="S60" i="196" s="1"/>
  <c r="Q29" i="196" s="1"/>
  <c r="H23" i="185"/>
  <c r="H7" i="185"/>
  <c r="H60" i="195"/>
  <c r="H6" i="185"/>
  <c r="H59" i="195"/>
  <c r="P59" i="195" s="1"/>
  <c r="S59" i="195" s="1"/>
  <c r="Q28" i="195" s="1"/>
  <c r="H59" i="196"/>
  <c r="H22" i="185"/>
  <c r="F55" i="185"/>
  <c r="H44" i="196" s="1"/>
  <c r="AV62" i="26"/>
  <c r="AW247" i="27"/>
  <c r="AW243" i="27"/>
  <c r="AW242" i="27"/>
  <c r="AW248" i="27"/>
  <c r="AW249" i="27"/>
  <c r="AW245" i="27"/>
  <c r="V75" i="201"/>
  <c r="AC91" i="201"/>
  <c r="AG91" i="201" s="1"/>
  <c r="Y106" i="201"/>
  <c r="Z98" i="201"/>
  <c r="BD115" i="201"/>
  <c r="N114" i="125"/>
  <c r="BH75" i="201"/>
  <c r="BO37" i="201"/>
  <c r="BS37" i="201" s="1"/>
  <c r="G318" i="183"/>
  <c r="L318" i="183"/>
  <c r="K318" i="183"/>
  <c r="AR123" i="201"/>
  <c r="AR141" i="201"/>
  <c r="AR137" i="201"/>
  <c r="AR142" i="201"/>
  <c r="AR124" i="201"/>
  <c r="I318" i="183"/>
  <c r="J318" i="183" s="1"/>
  <c r="N371" i="183"/>
  <c r="AR115" i="201"/>
  <c r="AR133" i="201"/>
  <c r="U105" i="201"/>
  <c r="AU122" i="201"/>
  <c r="S47" i="44"/>
  <c r="T141" i="44"/>
  <c r="AV174" i="26"/>
  <c r="T167" i="44"/>
  <c r="P100" i="44"/>
  <c r="P162" i="44" s="1"/>
  <c r="AX111" i="26"/>
  <c r="T42" i="44"/>
  <c r="P100" i="6"/>
  <c r="BB299" i="27"/>
  <c r="BC299" i="27" s="1"/>
  <c r="T169" i="42"/>
  <c r="U57" i="42"/>
  <c r="H11" i="183"/>
  <c r="F8" i="196"/>
  <c r="O4" i="150"/>
  <c r="BO91" i="201"/>
  <c r="BH74" i="201"/>
  <c r="V30" i="201"/>
  <c r="AC86" i="201"/>
  <c r="AG86" i="201" s="1"/>
  <c r="X185" i="170"/>
  <c r="AC89" i="201"/>
  <c r="AG89" i="201" s="1"/>
  <c r="BO92" i="201"/>
  <c r="AZ101" i="201"/>
  <c r="BO87" i="201"/>
  <c r="BL76" i="201"/>
  <c r="BO55" i="201"/>
  <c r="BS55" i="201" s="1"/>
  <c r="AB104" i="201"/>
  <c r="BK70" i="201"/>
  <c r="BH70" i="201"/>
  <c r="BR67" i="201"/>
  <c r="V74" i="201"/>
  <c r="V73" i="201"/>
  <c r="Y75" i="201"/>
  <c r="Y74" i="201"/>
  <c r="K48" i="132"/>
  <c r="Y72" i="201"/>
  <c r="BJ93" i="201"/>
  <c r="BO88" i="201"/>
  <c r="Y71" i="201"/>
  <c r="BO39" i="201"/>
  <c r="BS39" i="201" s="1"/>
  <c r="Y70" i="201"/>
  <c r="N108" i="201"/>
  <c r="BH69" i="201"/>
  <c r="BP76" i="201"/>
  <c r="Y69" i="201"/>
  <c r="Y68" i="201"/>
  <c r="Y67" i="201"/>
  <c r="BG76" i="201"/>
  <c r="C261" i="183"/>
  <c r="BR27" i="201"/>
  <c r="BQ122" i="201"/>
  <c r="BQ140" i="201"/>
  <c r="AZ141" i="201"/>
  <c r="AZ123" i="201"/>
  <c r="AZ142" i="201"/>
  <c r="AZ124" i="201"/>
  <c r="BR29" i="201"/>
  <c r="BP142" i="201"/>
  <c r="BP124" i="201"/>
  <c r="AZ140" i="201"/>
  <c r="AZ122" i="201"/>
  <c r="BC125" i="201"/>
  <c r="BM123" i="201"/>
  <c r="BM141" i="201"/>
  <c r="BR26" i="201"/>
  <c r="BQ121" i="201"/>
  <c r="BQ139" i="201"/>
  <c r="AZ104" i="201"/>
  <c r="AZ121" i="201"/>
  <c r="AZ139" i="201"/>
  <c r="BR25" i="201"/>
  <c r="BP120" i="201"/>
  <c r="BP138" i="201"/>
  <c r="AZ135" i="201"/>
  <c r="AZ117" i="201"/>
  <c r="AZ133" i="201"/>
  <c r="AZ115" i="201"/>
  <c r="BQ98" i="201"/>
  <c r="BQ133" i="201"/>
  <c r="BQ115" i="201"/>
  <c r="Y99" i="201"/>
  <c r="AC22" i="201"/>
  <c r="AG22" i="201" s="1"/>
  <c r="BR116" i="201"/>
  <c r="BR134" i="201"/>
  <c r="O6" i="150"/>
  <c r="BA70" i="201"/>
  <c r="BQ119" i="201"/>
  <c r="BQ137" i="201"/>
  <c r="I48" i="35"/>
  <c r="O48" i="35" s="1"/>
  <c r="P48" i="35" s="1"/>
  <c r="BP137" i="201"/>
  <c r="BP119" i="201"/>
  <c r="BM102" i="201"/>
  <c r="AU137" i="201"/>
  <c r="AU119" i="201"/>
  <c r="AZ119" i="201"/>
  <c r="AZ137" i="201"/>
  <c r="AP119" i="201"/>
  <c r="AP137" i="201"/>
  <c r="AT137" i="201"/>
  <c r="AT119" i="201"/>
  <c r="BP102" i="201"/>
  <c r="BR24" i="201"/>
  <c r="O12" i="150"/>
  <c r="N12" i="150"/>
  <c r="BK71" i="201"/>
  <c r="BQ118" i="201"/>
  <c r="BQ136" i="201"/>
  <c r="BI118" i="201"/>
  <c r="BI136" i="201"/>
  <c r="BK60" i="201"/>
  <c r="AZ136" i="201"/>
  <c r="AZ118" i="201"/>
  <c r="BI101" i="201"/>
  <c r="BM118" i="201"/>
  <c r="BM136" i="201"/>
  <c r="BB118" i="201"/>
  <c r="BB136" i="201"/>
  <c r="AT118" i="201"/>
  <c r="AT136" i="201"/>
  <c r="BR23" i="201"/>
  <c r="BP118" i="201"/>
  <c r="BP136" i="201"/>
  <c r="AZ105" i="201"/>
  <c r="O51" i="132"/>
  <c r="BI76" i="201"/>
  <c r="Y93" i="201"/>
  <c r="AC88" i="201"/>
  <c r="AG88" i="201" s="1"/>
  <c r="AZ107" i="201"/>
  <c r="O56" i="132"/>
  <c r="BO86" i="201"/>
  <c r="BN45" i="201"/>
  <c r="BR87" i="201"/>
  <c r="AV26" i="201"/>
  <c r="Z103" i="201"/>
  <c r="BQ30" i="201"/>
  <c r="AB101" i="201"/>
  <c r="V106" i="201"/>
  <c r="BR20" i="201"/>
  <c r="AC84" i="201"/>
  <c r="AG84" i="201" s="1"/>
  <c r="AV21" i="201"/>
  <c r="J27" i="201"/>
  <c r="J30" i="201" s="1"/>
  <c r="J108" i="201" s="1"/>
  <c r="Y121" i="201"/>
  <c r="AA121" i="201" s="1"/>
  <c r="BQ93" i="201"/>
  <c r="Z106" i="201"/>
  <c r="V104" i="201"/>
  <c r="X106" i="201"/>
  <c r="BP93" i="201"/>
  <c r="BM93" i="201"/>
  <c r="AV25" i="201"/>
  <c r="V103" i="201"/>
  <c r="Y100" i="201"/>
  <c r="BR45" i="201"/>
  <c r="AC90" i="201"/>
  <c r="AG90" i="201" s="1"/>
  <c r="BR90" i="201"/>
  <c r="Z107" i="201"/>
  <c r="Y102" i="201"/>
  <c r="AB93" i="201"/>
  <c r="AC83" i="201"/>
  <c r="W108" i="201"/>
  <c r="BG93" i="201"/>
  <c r="BR84" i="201"/>
  <c r="BI93" i="201"/>
  <c r="BP30" i="201"/>
  <c r="X107" i="201"/>
  <c r="AF93" i="201"/>
  <c r="Y101" i="201"/>
  <c r="O111" i="125"/>
  <c r="BO85" i="201"/>
  <c r="I87" i="136"/>
  <c r="J87" i="136" s="1"/>
  <c r="BR66" i="201"/>
  <c r="BR60" i="201"/>
  <c r="BR70" i="201"/>
  <c r="BQ76" i="201"/>
  <c r="BO50" i="201"/>
  <c r="BN60" i="201"/>
  <c r="BP105" i="201"/>
  <c r="BP101" i="201"/>
  <c r="BM68" i="201"/>
  <c r="BM71" i="201"/>
  <c r="BM69" i="201"/>
  <c r="BQ102" i="201"/>
  <c r="BQ101" i="201"/>
  <c r="BQ99" i="201"/>
  <c r="BM74" i="201"/>
  <c r="BM70" i="201"/>
  <c r="BQ107" i="201"/>
  <c r="BH154" i="201"/>
  <c r="BP106" i="201"/>
  <c r="BM106" i="201"/>
  <c r="BQ103" i="201"/>
  <c r="BM75" i="201"/>
  <c r="AW75" i="201"/>
  <c r="C56" i="132" s="1"/>
  <c r="K49" i="132"/>
  <c r="O55" i="132"/>
  <c r="C229" i="183"/>
  <c r="O314" i="44"/>
  <c r="O248" i="44"/>
  <c r="P248" i="44" s="1"/>
  <c r="Q248" i="44" s="1"/>
  <c r="F12" i="19"/>
  <c r="P11" i="150"/>
  <c r="Q314" i="42"/>
  <c r="R307" i="44"/>
  <c r="F7" i="19"/>
  <c r="O5" i="150"/>
  <c r="Q314" i="44"/>
  <c r="E30" i="183"/>
  <c r="E32" i="183" s="1"/>
  <c r="E492" i="182"/>
  <c r="I492" i="182" s="1"/>
  <c r="F49" i="35"/>
  <c r="L69" i="35"/>
  <c r="G30" i="35"/>
  <c r="J69" i="35"/>
  <c r="N13" i="35"/>
  <c r="H88" i="35"/>
  <c r="K52" i="5"/>
  <c r="K53" i="5" s="1"/>
  <c r="M13" i="5"/>
  <c r="K18" i="183"/>
  <c r="K34" i="183" s="1"/>
  <c r="L18" i="183"/>
  <c r="G18" i="183"/>
  <c r="G34" i="183" s="1"/>
  <c r="AY108" i="201"/>
  <c r="AS246" i="27"/>
  <c r="AS244" i="27"/>
  <c r="P13" i="150"/>
  <c r="L11" i="183"/>
  <c r="I11" i="183"/>
  <c r="J11" i="183" s="1"/>
  <c r="G11" i="183"/>
  <c r="AY125" i="201"/>
  <c r="G102" i="125"/>
  <c r="K11" i="183"/>
  <c r="T92" i="42"/>
  <c r="Q97" i="196"/>
  <c r="AZ60" i="27"/>
  <c r="O46" i="185" s="1"/>
  <c r="P51" i="195" s="1"/>
  <c r="AS182" i="27"/>
  <c r="AR120" i="27"/>
  <c r="G75" i="185"/>
  <c r="AZ56" i="26"/>
  <c r="O58" i="185" s="1"/>
  <c r="P47" i="196" s="1"/>
  <c r="Q89" i="195"/>
  <c r="AS178" i="27"/>
  <c r="H115" i="125"/>
  <c r="G115" i="125"/>
  <c r="E123" i="6"/>
  <c r="O123" i="6" s="1"/>
  <c r="O108" i="6"/>
  <c r="Q114" i="6"/>
  <c r="G129" i="6"/>
  <c r="Q129" i="6" s="1"/>
  <c r="R308" i="42"/>
  <c r="T153" i="44"/>
  <c r="AY407" i="26"/>
  <c r="U310" i="44"/>
  <c r="D407" i="26"/>
  <c r="H311" i="44"/>
  <c r="R312" i="42"/>
  <c r="O62" i="44"/>
  <c r="AF62" i="26"/>
  <c r="P27" i="9"/>
  <c r="D43" i="9"/>
  <c r="P43" i="9" s="1"/>
  <c r="L313" i="44"/>
  <c r="T91" i="42"/>
  <c r="E131" i="6"/>
  <c r="O131" i="6" s="1"/>
  <c r="O116" i="6"/>
  <c r="BA120" i="26"/>
  <c r="P94" i="185" s="1"/>
  <c r="Y94" i="185" s="1"/>
  <c r="AG94" i="185" s="1"/>
  <c r="T86" i="44"/>
  <c r="H310" i="44"/>
  <c r="Q96" i="196"/>
  <c r="D315" i="27"/>
  <c r="AR182" i="27"/>
  <c r="S187" i="27"/>
  <c r="AW70" i="201"/>
  <c r="B51" i="132" s="1"/>
  <c r="K93" i="201"/>
  <c r="O93" i="201"/>
  <c r="L55" i="136"/>
  <c r="L56" i="136"/>
  <c r="K76" i="201"/>
  <c r="D358" i="182"/>
  <c r="K29" i="201"/>
  <c r="AC342" i="26"/>
  <c r="AZ342" i="26"/>
  <c r="AC336" i="26"/>
  <c r="AZ336" i="26"/>
  <c r="AC339" i="26"/>
  <c r="AZ339" i="26"/>
  <c r="AC335" i="26"/>
  <c r="AZ335" i="26"/>
  <c r="AZ340" i="26"/>
  <c r="BA340" i="26" s="1"/>
  <c r="AC337" i="26"/>
  <c r="AZ337" i="26"/>
  <c r="AZ341" i="26"/>
  <c r="AC343" i="26"/>
  <c r="AZ343" i="26"/>
  <c r="E322" i="26"/>
  <c r="E321" i="26"/>
  <c r="E325" i="26"/>
  <c r="E324" i="26"/>
  <c r="E327" i="26"/>
  <c r="H299" i="44"/>
  <c r="A131" i="26"/>
  <c r="A146" i="26" s="1"/>
  <c r="A114" i="26"/>
  <c r="A286" i="26" s="1"/>
  <c r="A258" i="26"/>
  <c r="A317" i="26" s="1"/>
  <c r="A332" i="26" s="1"/>
  <c r="D173" i="26"/>
  <c r="B138" i="185" s="1"/>
  <c r="AX173" i="26"/>
  <c r="AZ173" i="26" s="1"/>
  <c r="K138" i="185" s="1"/>
  <c r="X155" i="185" s="1"/>
  <c r="G23" i="9"/>
  <c r="H7" i="19" s="1"/>
  <c r="T7" i="19" s="1"/>
  <c r="E85" i="9"/>
  <c r="AN164" i="26"/>
  <c r="AN174" i="26" s="1"/>
  <c r="B174" i="26"/>
  <c r="C174" i="26"/>
  <c r="AY164" i="26"/>
  <c r="AY174" i="26" s="1"/>
  <c r="P330" i="26"/>
  <c r="Q329" i="26"/>
  <c r="D171" i="26"/>
  <c r="B136" i="185" s="1"/>
  <c r="AX171" i="26"/>
  <c r="AZ171" i="26" s="1"/>
  <c r="K136" i="185" s="1"/>
  <c r="X153" i="185" s="1"/>
  <c r="R108" i="44"/>
  <c r="B170" i="44"/>
  <c r="R170" i="44" s="1"/>
  <c r="P111" i="26"/>
  <c r="D103" i="44"/>
  <c r="T40" i="44"/>
  <c r="C166" i="44"/>
  <c r="S166" i="44" s="1"/>
  <c r="S104" i="44"/>
  <c r="B110" i="44"/>
  <c r="AL174" i="26"/>
  <c r="AB111" i="26"/>
  <c r="BB270" i="26"/>
  <c r="AZ108" i="26"/>
  <c r="K97" i="185" s="1"/>
  <c r="N174" i="26"/>
  <c r="P164" i="26"/>
  <c r="E174" i="26"/>
  <c r="BA164" i="26"/>
  <c r="AK329" i="26"/>
  <c r="D167" i="26"/>
  <c r="B132" i="185" s="1"/>
  <c r="AX167" i="26"/>
  <c r="AZ167" i="26" s="1"/>
  <c r="K132" i="185" s="1"/>
  <c r="X149" i="185" s="1"/>
  <c r="Z174" i="26"/>
  <c r="AB164" i="26"/>
  <c r="R167" i="44"/>
  <c r="M43" i="196"/>
  <c r="L64" i="185"/>
  <c r="AI239" i="26"/>
  <c r="AJ238" i="26"/>
  <c r="D169" i="26"/>
  <c r="B134" i="185" s="1"/>
  <c r="AX169" i="26"/>
  <c r="AZ169" i="26" s="1"/>
  <c r="K134" i="185" s="1"/>
  <c r="X151" i="185" s="1"/>
  <c r="D111" i="26"/>
  <c r="D108" i="44"/>
  <c r="T45" i="44"/>
  <c r="AX117" i="27"/>
  <c r="O53" i="132"/>
  <c r="T62" i="26"/>
  <c r="AE183" i="27"/>
  <c r="AF121" i="27"/>
  <c r="BC121" i="27" s="1"/>
  <c r="T280" i="44"/>
  <c r="T210" i="42"/>
  <c r="S242" i="42" s="1"/>
  <c r="T242" i="42" s="1"/>
  <c r="U242" i="42" s="1"/>
  <c r="Q91" i="195"/>
  <c r="Q90" i="196"/>
  <c r="S94" i="44"/>
  <c r="Q181" i="27"/>
  <c r="BA119" i="27"/>
  <c r="P74" i="185" s="1"/>
  <c r="Y74" i="185" s="1"/>
  <c r="AG74" i="185" s="1"/>
  <c r="C120" i="44"/>
  <c r="S120" i="44" s="1"/>
  <c r="S57" i="44"/>
  <c r="AC181" i="26"/>
  <c r="BA118" i="26"/>
  <c r="P92" i="185" s="1"/>
  <c r="Y92" i="185" s="1"/>
  <c r="AG92" i="185" s="1"/>
  <c r="AS188" i="26"/>
  <c r="G99" i="185"/>
  <c r="C242" i="42"/>
  <c r="D242" i="42" s="1"/>
  <c r="E242" i="42" s="1"/>
  <c r="AY115" i="27"/>
  <c r="V181" i="26"/>
  <c r="X181" i="26" s="1"/>
  <c r="AF117" i="26"/>
  <c r="BD117" i="26" s="1"/>
  <c r="H258" i="183"/>
  <c r="M182" i="26"/>
  <c r="BA119" i="26"/>
  <c r="P93" i="185" s="1"/>
  <c r="Y93" i="185" s="1"/>
  <c r="AG93" i="185" s="1"/>
  <c r="O244" i="44"/>
  <c r="P244" i="44" s="1"/>
  <c r="Q244" i="44" s="1"/>
  <c r="P308" i="44"/>
  <c r="I186" i="44"/>
  <c r="U186" i="44" s="1"/>
  <c r="U124" i="44"/>
  <c r="T83" i="42"/>
  <c r="G181" i="26"/>
  <c r="U58" i="44"/>
  <c r="M125" i="27"/>
  <c r="Q64" i="195"/>
  <c r="AS185" i="27"/>
  <c r="I258" i="183"/>
  <c r="J258" i="183" s="1"/>
  <c r="K258" i="183"/>
  <c r="L258" i="183"/>
  <c r="L65" i="35"/>
  <c r="H65" i="35"/>
  <c r="M66" i="35"/>
  <c r="O65" i="35" s="1"/>
  <c r="P65" i="35" s="1"/>
  <c r="AC180" i="27"/>
  <c r="BA118" i="27"/>
  <c r="P73" i="185" s="1"/>
  <c r="Y73" i="185" s="1"/>
  <c r="AG73" i="185" s="1"/>
  <c r="AS125" i="27"/>
  <c r="AS179" i="27"/>
  <c r="K183" i="27"/>
  <c r="K187" i="27" s="1"/>
  <c r="L121" i="27"/>
  <c r="K125" i="27"/>
  <c r="F42" i="185"/>
  <c r="H47" i="195" s="1"/>
  <c r="BA124" i="27"/>
  <c r="P79" i="185" s="1"/>
  <c r="Y79" i="185" s="1"/>
  <c r="AG79" i="185" s="1"/>
  <c r="AO186" i="27"/>
  <c r="AM186" i="26"/>
  <c r="AN186" i="26" s="1"/>
  <c r="AM126" i="26"/>
  <c r="I184" i="27"/>
  <c r="BA122" i="27"/>
  <c r="P77" i="185" s="1"/>
  <c r="Y77" i="185" s="1"/>
  <c r="AG77" i="185" s="1"/>
  <c r="H63" i="196"/>
  <c r="H26" i="185"/>
  <c r="BB213" i="26"/>
  <c r="K22" i="9"/>
  <c r="Q22" i="9" s="1"/>
  <c r="AY245" i="26"/>
  <c r="AZ245" i="26" s="1"/>
  <c r="L61" i="42"/>
  <c r="L123" i="42" s="1"/>
  <c r="L185" i="42" s="1"/>
  <c r="U155" i="42"/>
  <c r="R313" i="42"/>
  <c r="AZ53" i="27"/>
  <c r="O39" i="185" s="1"/>
  <c r="P44" i="195" s="1"/>
  <c r="U55" i="42"/>
  <c r="AA177" i="27"/>
  <c r="AB177" i="27" s="1"/>
  <c r="S56" i="44"/>
  <c r="P306" i="42"/>
  <c r="BA315" i="27"/>
  <c r="R52" i="42"/>
  <c r="AZ60" i="26"/>
  <c r="O62" i="185" s="1"/>
  <c r="R62" i="185" s="1"/>
  <c r="AJ62" i="27"/>
  <c r="L58" i="42"/>
  <c r="L120" i="42" s="1"/>
  <c r="L182" i="42" s="1"/>
  <c r="H54" i="42"/>
  <c r="H116" i="42" s="1"/>
  <c r="H178" i="42" s="1"/>
  <c r="U59" i="42"/>
  <c r="AI182" i="26"/>
  <c r="AY119" i="26"/>
  <c r="D306" i="42"/>
  <c r="P80" i="195"/>
  <c r="S80" i="195" s="1"/>
  <c r="R34" i="195" s="1"/>
  <c r="AA69" i="191"/>
  <c r="N121" i="44"/>
  <c r="N183" i="44" s="1"/>
  <c r="R183" i="44" s="1"/>
  <c r="P58" i="44"/>
  <c r="P121" i="44" s="1"/>
  <c r="P183" i="44" s="1"/>
  <c r="T148" i="42"/>
  <c r="AF180" i="26"/>
  <c r="BD180" i="26" s="1"/>
  <c r="H155" i="42"/>
  <c r="T92" i="44"/>
  <c r="N314" i="42"/>
  <c r="L156" i="44"/>
  <c r="P312" i="42"/>
  <c r="O189" i="26"/>
  <c r="D60" i="42"/>
  <c r="D122" i="42" s="1"/>
  <c r="D184" i="42" s="1"/>
  <c r="N314" i="44"/>
  <c r="AY62" i="27"/>
  <c r="G34" i="33"/>
  <c r="D62" i="27"/>
  <c r="F5" i="19"/>
  <c r="H62" i="26"/>
  <c r="D57" i="42"/>
  <c r="D119" i="42" s="1"/>
  <c r="P30" i="42"/>
  <c r="F93" i="35"/>
  <c r="G93" i="35" s="1"/>
  <c r="R94" i="44"/>
  <c r="AJ159" i="26"/>
  <c r="P123" i="26"/>
  <c r="O126" i="26"/>
  <c r="S81" i="195"/>
  <c r="R35" i="195" s="1"/>
  <c r="S126" i="26"/>
  <c r="S155" i="42"/>
  <c r="G93" i="185"/>
  <c r="T154" i="42"/>
  <c r="T119" i="27"/>
  <c r="AI183" i="27"/>
  <c r="AJ121" i="27"/>
  <c r="N177" i="27"/>
  <c r="P177" i="27" s="1"/>
  <c r="P115" i="27"/>
  <c r="I314" i="44"/>
  <c r="T90" i="42"/>
  <c r="F42" i="6"/>
  <c r="P42" i="6" s="1"/>
  <c r="R56" i="42"/>
  <c r="D62" i="26"/>
  <c r="F13" i="19"/>
  <c r="L155" i="42"/>
  <c r="AZ405" i="26"/>
  <c r="K146" i="6" s="1"/>
  <c r="P146" i="6" s="1"/>
  <c r="S189" i="26"/>
  <c r="S58" i="42"/>
  <c r="T150" i="42"/>
  <c r="T152" i="42"/>
  <c r="T121" i="27"/>
  <c r="G62" i="44"/>
  <c r="I314" i="42"/>
  <c r="H8" i="185"/>
  <c r="E15" i="185"/>
  <c r="H61" i="195"/>
  <c r="P61" i="195" s="1"/>
  <c r="S61" i="195" s="1"/>
  <c r="Q30" i="195" s="1"/>
  <c r="S313" i="44"/>
  <c r="O125" i="27"/>
  <c r="G314" i="44"/>
  <c r="L310" i="44"/>
  <c r="T93" i="44"/>
  <c r="AN120" i="27"/>
  <c r="S312" i="44"/>
  <c r="R58" i="44"/>
  <c r="R155" i="42"/>
  <c r="X95" i="26"/>
  <c r="AJ222" i="26"/>
  <c r="R305" i="44"/>
  <c r="M365" i="183"/>
  <c r="AJ125" i="26"/>
  <c r="T88" i="44"/>
  <c r="Q96" i="195"/>
  <c r="U61" i="44"/>
  <c r="Q89" i="196"/>
  <c r="D282" i="44"/>
  <c r="D54" i="42"/>
  <c r="D116" i="42" s="1"/>
  <c r="D178" i="42" s="1"/>
  <c r="L54" i="42"/>
  <c r="L116" i="42" s="1"/>
  <c r="L178" i="42" s="1"/>
  <c r="AX122" i="27"/>
  <c r="H94" i="44"/>
  <c r="K314" i="44"/>
  <c r="X62" i="27"/>
  <c r="BA123" i="27"/>
  <c r="P78" i="185" s="1"/>
  <c r="Y78" i="185" s="1"/>
  <c r="AG78" i="185" s="1"/>
  <c r="AB184" i="27"/>
  <c r="L308" i="42"/>
  <c r="H93" i="42"/>
  <c r="P178" i="27"/>
  <c r="R156" i="44"/>
  <c r="AY243" i="27"/>
  <c r="AZ243" i="27" s="1"/>
  <c r="BA243" i="27" s="1"/>
  <c r="H6" i="150" s="1"/>
  <c r="N8" i="132" s="1"/>
  <c r="AB122" i="27"/>
  <c r="AZ53" i="26"/>
  <c r="O55" i="185" s="1"/>
  <c r="P44" i="196" s="1"/>
  <c r="P311" i="42"/>
  <c r="B62" i="42"/>
  <c r="P62" i="27"/>
  <c r="M25" i="35"/>
  <c r="BA117" i="27"/>
  <c r="P72" i="185" s="1"/>
  <c r="Y72" i="185" s="1"/>
  <c r="AG72" i="185" s="1"/>
  <c r="P116" i="27"/>
  <c r="L60" i="42"/>
  <c r="L122" i="42" s="1"/>
  <c r="L184" i="42" s="1"/>
  <c r="R22" i="9"/>
  <c r="F38" i="9"/>
  <c r="R38" i="9" s="1"/>
  <c r="Q93" i="196"/>
  <c r="R55" i="44"/>
  <c r="U156" i="44"/>
  <c r="D55" i="42"/>
  <c r="D117" i="42" s="1"/>
  <c r="AM187" i="27"/>
  <c r="AS243" i="27"/>
  <c r="P93" i="42"/>
  <c r="AR315" i="27"/>
  <c r="M7" i="191"/>
  <c r="H308" i="42"/>
  <c r="T62" i="27"/>
  <c r="U218" i="42"/>
  <c r="AS249" i="27"/>
  <c r="R61" i="44"/>
  <c r="AV407" i="26"/>
  <c r="J54" i="35"/>
  <c r="AS250" i="27"/>
  <c r="AV27" i="201"/>
  <c r="F38" i="185"/>
  <c r="H43" i="195" s="1"/>
  <c r="AR62" i="27"/>
  <c r="AQ100" i="201"/>
  <c r="I421" i="182"/>
  <c r="G421" i="182"/>
  <c r="H421" i="182" s="1"/>
  <c r="J421" i="182"/>
  <c r="AK188" i="26"/>
  <c r="AS179" i="26"/>
  <c r="AS126" i="26"/>
  <c r="G69" i="125"/>
  <c r="H69" i="125"/>
  <c r="G126" i="6"/>
  <c r="Q126" i="6" s="1"/>
  <c r="Q111" i="6"/>
  <c r="G117" i="125"/>
  <c r="H117" i="125"/>
  <c r="AQ125" i="27"/>
  <c r="AM125" i="27"/>
  <c r="J62" i="42"/>
  <c r="P62" i="26"/>
  <c r="X315" i="27"/>
  <c r="AX116" i="27"/>
  <c r="AS242" i="27"/>
  <c r="AX315" i="27"/>
  <c r="AJ181" i="26"/>
  <c r="C62" i="44"/>
  <c r="H313" i="44"/>
  <c r="AZ61" i="26"/>
  <c r="O63" i="185" s="1"/>
  <c r="P52" i="196" s="1"/>
  <c r="AB62" i="26"/>
  <c r="P305" i="42"/>
  <c r="AS247" i="27"/>
  <c r="BA117" i="26"/>
  <c r="P91" i="185" s="1"/>
  <c r="Y91" i="185" s="1"/>
  <c r="AG91" i="185" s="1"/>
  <c r="F40" i="185"/>
  <c r="H45" i="195" s="1"/>
  <c r="AH181" i="27"/>
  <c r="AJ181" i="27" s="1"/>
  <c r="AJ119" i="27"/>
  <c r="O54" i="182"/>
  <c r="N54" i="182"/>
  <c r="E127" i="6"/>
  <c r="O127" i="6" s="1"/>
  <c r="O112" i="6"/>
  <c r="F54" i="185"/>
  <c r="H43" i="196" s="1"/>
  <c r="AR62" i="26"/>
  <c r="BA125" i="26"/>
  <c r="P99" i="185" s="1"/>
  <c r="Y99" i="185" s="1"/>
  <c r="AG99" i="185" s="1"/>
  <c r="J179" i="27"/>
  <c r="L179" i="27" s="1"/>
  <c r="L117" i="27"/>
  <c r="U313" i="42"/>
  <c r="U94" i="44"/>
  <c r="AZ57" i="26"/>
  <c r="O59" i="185" s="1"/>
  <c r="P48" i="196" s="1"/>
  <c r="AB178" i="27"/>
  <c r="AF62" i="27"/>
  <c r="R93" i="42"/>
  <c r="L70" i="35"/>
  <c r="AF123" i="26"/>
  <c r="BD123" i="26" s="1"/>
  <c r="P186" i="27"/>
  <c r="U93" i="42"/>
  <c r="T148" i="44"/>
  <c r="K26" i="9"/>
  <c r="M26" i="9" s="1"/>
  <c r="P31" i="33"/>
  <c r="G375" i="182"/>
  <c r="H375" i="182" s="1"/>
  <c r="J375" i="182"/>
  <c r="I375" i="182"/>
  <c r="AT105" i="201"/>
  <c r="BB372" i="26"/>
  <c r="AZ404" i="26"/>
  <c r="K145" i="6" s="1"/>
  <c r="P145" i="6" s="1"/>
  <c r="AZ59" i="26"/>
  <c r="O61" i="185" s="1"/>
  <c r="R61" i="185" s="1"/>
  <c r="R218" i="44"/>
  <c r="M31" i="35"/>
  <c r="AN118" i="27"/>
  <c r="AS245" i="27"/>
  <c r="AN122" i="27"/>
  <c r="AB180" i="27"/>
  <c r="AX407" i="26"/>
  <c r="T407" i="26"/>
  <c r="X180" i="26"/>
  <c r="N117" i="44"/>
  <c r="P54" i="44"/>
  <c r="P117" i="44" s="1"/>
  <c r="P179" i="44" s="1"/>
  <c r="K27" i="9"/>
  <c r="E43" i="9" s="1"/>
  <c r="Q43" i="9" s="1"/>
  <c r="P32" i="33"/>
  <c r="P53" i="44"/>
  <c r="P116" i="44" s="1"/>
  <c r="P178" i="44" s="1"/>
  <c r="AR31" i="27"/>
  <c r="AR33" i="27" s="1"/>
  <c r="R54" i="44"/>
  <c r="G29" i="9"/>
  <c r="H13" i="19" s="1"/>
  <c r="T13" i="19" s="1"/>
  <c r="E91" i="9"/>
  <c r="S299" i="44"/>
  <c r="BA237" i="26"/>
  <c r="AZ300" i="27"/>
  <c r="F59" i="6" s="1"/>
  <c r="F28" i="134"/>
  <c r="Q13" i="150" s="1"/>
  <c r="BB360" i="26"/>
  <c r="BB390" i="26"/>
  <c r="H146" i="6" s="1"/>
  <c r="BA236" i="26"/>
  <c r="G28" i="9"/>
  <c r="H12" i="19" s="1"/>
  <c r="T12" i="19" s="1"/>
  <c r="E90" i="9"/>
  <c r="F27" i="134"/>
  <c r="Q12" i="150" s="1"/>
  <c r="D29" i="134"/>
  <c r="AZ269" i="27"/>
  <c r="BA270" i="27" s="1"/>
  <c r="BA235" i="26"/>
  <c r="G27" i="9"/>
  <c r="H11" i="19" s="1"/>
  <c r="T11" i="19" s="1"/>
  <c r="E89" i="9"/>
  <c r="F26" i="134"/>
  <c r="Q11" i="150" s="1"/>
  <c r="AS233" i="27"/>
  <c r="D11" i="150" s="1"/>
  <c r="AR172" i="27"/>
  <c r="P109" i="42"/>
  <c r="AZ392" i="26"/>
  <c r="BB206" i="26"/>
  <c r="BB382" i="26"/>
  <c r="H138" i="6" s="1"/>
  <c r="E87" i="9"/>
  <c r="G25" i="9"/>
  <c r="H9" i="19" s="1"/>
  <c r="T9" i="19" s="1"/>
  <c r="P299" i="44"/>
  <c r="AY238" i="26"/>
  <c r="AZ238" i="26" s="1"/>
  <c r="AZ228" i="26"/>
  <c r="BA228" i="26" s="1"/>
  <c r="E30" i="9"/>
  <c r="E31" i="9" s="1"/>
  <c r="E83" i="9"/>
  <c r="G21" i="9"/>
  <c r="H5" i="19" s="1"/>
  <c r="T5" i="19" s="1"/>
  <c r="G20" i="9"/>
  <c r="C69" i="9"/>
  <c r="D69" i="9"/>
  <c r="L83" i="196"/>
  <c r="G10" i="196" s="1"/>
  <c r="G9" i="196" s="1"/>
  <c r="O73" i="196"/>
  <c r="R59" i="44"/>
  <c r="AY62" i="26"/>
  <c r="U57" i="44"/>
  <c r="AR174" i="26"/>
  <c r="N54" i="185"/>
  <c r="K64" i="185"/>
  <c r="L43" i="196"/>
  <c r="I83" i="195"/>
  <c r="E11" i="195" s="1"/>
  <c r="F11" i="195" s="1"/>
  <c r="H53" i="6"/>
  <c r="BB268" i="27"/>
  <c r="F54" i="6"/>
  <c r="F51" i="6"/>
  <c r="T294" i="42"/>
  <c r="F24" i="134"/>
  <c r="Q9" i="150" s="1"/>
  <c r="BB204" i="27"/>
  <c r="F21" i="134"/>
  <c r="F25" i="134"/>
  <c r="Q10" i="150" s="1"/>
  <c r="BC295" i="27"/>
  <c r="H54" i="6"/>
  <c r="BC292" i="27"/>
  <c r="H51" i="6"/>
  <c r="BC296" i="27"/>
  <c r="H55" i="6"/>
  <c r="L83" i="195"/>
  <c r="G10" i="195" s="1"/>
  <c r="G9" i="195" s="1"/>
  <c r="O73" i="195"/>
  <c r="S60" i="42"/>
  <c r="AZ55" i="27"/>
  <c r="O41" i="185" s="1"/>
  <c r="R41" i="185" s="1"/>
  <c r="P164" i="42"/>
  <c r="T102" i="42"/>
  <c r="L43" i="195"/>
  <c r="N38" i="185"/>
  <c r="K48" i="185"/>
  <c r="N48" i="185" s="1"/>
  <c r="N10" i="150"/>
  <c r="P10" i="150" s="1"/>
  <c r="N8" i="150"/>
  <c r="P8" i="150" s="1"/>
  <c r="N7" i="150"/>
  <c r="P7" i="150" s="1"/>
  <c r="N6" i="150"/>
  <c r="N4" i="150"/>
  <c r="F88" i="195"/>
  <c r="G103" i="195"/>
  <c r="Z114" i="185"/>
  <c r="Z71" i="185"/>
  <c r="G68" i="195"/>
  <c r="M122" i="185"/>
  <c r="M79" i="185"/>
  <c r="X172" i="188"/>
  <c r="M114" i="185"/>
  <c r="M71" i="185"/>
  <c r="Z110" i="188"/>
  <c r="M73" i="185"/>
  <c r="M116" i="185"/>
  <c r="M91" i="185"/>
  <c r="M130" i="185"/>
  <c r="Y172" i="188"/>
  <c r="M95" i="185"/>
  <c r="M134" i="185"/>
  <c r="M136" i="185"/>
  <c r="M97" i="185"/>
  <c r="N93" i="195"/>
  <c r="O48" i="195"/>
  <c r="L32" i="195" s="1"/>
  <c r="O32" i="195" s="1"/>
  <c r="N53" i="195"/>
  <c r="G16" i="195" s="1"/>
  <c r="I16" i="195" s="1"/>
  <c r="M120" i="185"/>
  <c r="M77" i="185"/>
  <c r="M99" i="185"/>
  <c r="M138" i="185"/>
  <c r="M93" i="185"/>
  <c r="M132" i="185"/>
  <c r="O66" i="201"/>
  <c r="O45" i="201"/>
  <c r="R7" i="134"/>
  <c r="U177" i="27"/>
  <c r="U125" i="27"/>
  <c r="AK177" i="27"/>
  <c r="AK125" i="27"/>
  <c r="P59" i="44"/>
  <c r="P122" i="44" s="1"/>
  <c r="P184" i="44" s="1"/>
  <c r="N122" i="44"/>
  <c r="N184" i="44" s="1"/>
  <c r="K115" i="42"/>
  <c r="K177" i="42" s="1"/>
  <c r="K62" i="42"/>
  <c r="E185" i="42"/>
  <c r="U185" i="42" s="1"/>
  <c r="U123" i="42"/>
  <c r="AN116" i="27"/>
  <c r="AL178" i="27"/>
  <c r="AL125" i="27"/>
  <c r="P6" i="134"/>
  <c r="L6" i="134"/>
  <c r="AZ94" i="26"/>
  <c r="P73" i="196"/>
  <c r="C117" i="42"/>
  <c r="S55" i="42"/>
  <c r="AI253" i="26"/>
  <c r="AJ243" i="26"/>
  <c r="AK243" i="26" s="1"/>
  <c r="S304" i="44"/>
  <c r="S282" i="44"/>
  <c r="G216" i="183"/>
  <c r="I216" i="183"/>
  <c r="J216" i="183" s="1"/>
  <c r="H216" i="183"/>
  <c r="P13" i="134"/>
  <c r="Q34" i="6"/>
  <c r="G44" i="6"/>
  <c r="Q44" i="6" s="1"/>
  <c r="AE344" i="26"/>
  <c r="AF334" i="26"/>
  <c r="AG334" i="26" s="1"/>
  <c r="AP30" i="201"/>
  <c r="E155" i="182"/>
  <c r="AU107" i="201"/>
  <c r="G124" i="6"/>
  <c r="Q124" i="6" s="1"/>
  <c r="Q109" i="6"/>
  <c r="D39" i="182"/>
  <c r="D10" i="182"/>
  <c r="D28" i="182" s="1"/>
  <c r="AP107" i="201"/>
  <c r="M33" i="125" s="1"/>
  <c r="N33" i="125" s="1"/>
  <c r="B181" i="42"/>
  <c r="P5" i="134"/>
  <c r="D155" i="42"/>
  <c r="T145" i="42"/>
  <c r="H312" i="42"/>
  <c r="X12" i="9"/>
  <c r="Q12" i="9"/>
  <c r="M12" i="9"/>
  <c r="S12" i="9" s="1"/>
  <c r="R29" i="9"/>
  <c r="F45" i="9"/>
  <c r="R45" i="9" s="1"/>
  <c r="C38" i="134"/>
  <c r="O38" i="134" s="1"/>
  <c r="O21" i="134"/>
  <c r="M27" i="195"/>
  <c r="I57" i="183"/>
  <c r="J57" i="183" s="1"/>
  <c r="L57" i="183"/>
  <c r="H57" i="183"/>
  <c r="K57" i="183"/>
  <c r="G57" i="183"/>
  <c r="E25" i="183"/>
  <c r="J183" i="26"/>
  <c r="L183" i="26" s="1"/>
  <c r="X8" i="9"/>
  <c r="M8" i="9"/>
  <c r="S8" i="9" s="1"/>
  <c r="Q8" i="9"/>
  <c r="U282" i="42"/>
  <c r="BB282" i="27"/>
  <c r="AZ314" i="27"/>
  <c r="G23" i="182"/>
  <c r="E22" i="182"/>
  <c r="J23" i="182"/>
  <c r="H23" i="182"/>
  <c r="I23" i="182"/>
  <c r="C19" i="183"/>
  <c r="C38" i="183" s="1"/>
  <c r="G373" i="182"/>
  <c r="H373" i="182" s="1"/>
  <c r="J373" i="182"/>
  <c r="I373" i="182"/>
  <c r="D181" i="26"/>
  <c r="G34" i="125"/>
  <c r="H34" i="125"/>
  <c r="AZ54" i="26"/>
  <c r="O56" i="185" s="1"/>
  <c r="AS76" i="201"/>
  <c r="J57" i="132" s="1"/>
  <c r="I85" i="136"/>
  <c r="J85" i="136" s="1"/>
  <c r="L53" i="136"/>
  <c r="P180" i="27"/>
  <c r="BB276" i="27"/>
  <c r="AZ308" i="27"/>
  <c r="AI180" i="26"/>
  <c r="AI126" i="26"/>
  <c r="AY121" i="27"/>
  <c r="AZ309" i="27"/>
  <c r="BB277" i="27"/>
  <c r="E132" i="6"/>
  <c r="O132" i="6" s="1"/>
  <c r="O117" i="6"/>
  <c r="K21" i="6"/>
  <c r="N21" i="6"/>
  <c r="G240" i="44"/>
  <c r="H218" i="44"/>
  <c r="C371" i="183"/>
  <c r="H298" i="183"/>
  <c r="K298" i="183"/>
  <c r="G298" i="183"/>
  <c r="E304" i="183"/>
  <c r="I298" i="183"/>
  <c r="J298" i="183" s="1"/>
  <c r="L298" i="183"/>
  <c r="D37" i="9"/>
  <c r="P37" i="9" s="1"/>
  <c r="P21" i="9"/>
  <c r="D131" i="6"/>
  <c r="T116" i="6"/>
  <c r="K116" i="6"/>
  <c r="N116" i="6"/>
  <c r="G85" i="35"/>
  <c r="J85" i="35"/>
  <c r="I420" i="182"/>
  <c r="G420" i="182"/>
  <c r="H420" i="182" s="1"/>
  <c r="J420" i="182"/>
  <c r="AT107" i="201"/>
  <c r="AV29" i="201"/>
  <c r="Q372" i="183"/>
  <c r="I349" i="183"/>
  <c r="J349" i="183" s="1"/>
  <c r="L349" i="183"/>
  <c r="H349" i="183"/>
  <c r="G349" i="183"/>
  <c r="K349" i="183"/>
  <c r="E245" i="182"/>
  <c r="H113" i="125"/>
  <c r="G113" i="125"/>
  <c r="AB124" i="27"/>
  <c r="AX120" i="26"/>
  <c r="D185" i="26"/>
  <c r="I248" i="183"/>
  <c r="J248" i="183" s="1"/>
  <c r="H248" i="183"/>
  <c r="G248" i="183"/>
  <c r="D156" i="44"/>
  <c r="T146" i="44"/>
  <c r="P155" i="42"/>
  <c r="D57" i="44"/>
  <c r="B120" i="44"/>
  <c r="R57" i="44"/>
  <c r="M7" i="6"/>
  <c r="R7" i="6" s="1"/>
  <c r="P7" i="6"/>
  <c r="AZ313" i="27"/>
  <c r="BB281" i="27"/>
  <c r="H76" i="195"/>
  <c r="K76" i="195" s="1"/>
  <c r="J30" i="195" s="1"/>
  <c r="AX62" i="26"/>
  <c r="P38" i="185"/>
  <c r="BA62" i="27"/>
  <c r="Y63" i="27"/>
  <c r="AO177" i="27"/>
  <c r="G70" i="185"/>
  <c r="AO125" i="27"/>
  <c r="J419" i="182"/>
  <c r="I419" i="182"/>
  <c r="G419" i="182"/>
  <c r="H419" i="182" s="1"/>
  <c r="E179" i="42"/>
  <c r="U179" i="42" s="1"/>
  <c r="U117" i="42"/>
  <c r="T86" i="42"/>
  <c r="I68" i="196"/>
  <c r="E19" i="196" s="1"/>
  <c r="Q58" i="196"/>
  <c r="Q68" i="196" s="1"/>
  <c r="T85" i="44"/>
  <c r="Q7" i="9"/>
  <c r="M7" i="9"/>
  <c r="S7" i="9" s="1"/>
  <c r="X7" i="9"/>
  <c r="O53" i="35"/>
  <c r="P53" i="35" s="1"/>
  <c r="J124" i="42"/>
  <c r="J176" i="42"/>
  <c r="J186" i="42" s="1"/>
  <c r="L59" i="42"/>
  <c r="L121" i="42" s="1"/>
  <c r="L183" i="42" s="1"/>
  <c r="AJ95" i="26"/>
  <c r="O240" i="44"/>
  <c r="P218" i="44"/>
  <c r="P23" i="9"/>
  <c r="D39" i="9"/>
  <c r="P39" i="9" s="1"/>
  <c r="AX125" i="201"/>
  <c r="AX108" i="201"/>
  <c r="L57" i="42"/>
  <c r="L119" i="42" s="1"/>
  <c r="L181" i="42" s="1"/>
  <c r="P78" i="195"/>
  <c r="S78" i="195" s="1"/>
  <c r="R32" i="195" s="1"/>
  <c r="AA53" i="191"/>
  <c r="R186" i="27"/>
  <c r="T186" i="27" s="1"/>
  <c r="T124" i="27"/>
  <c r="R125" i="27"/>
  <c r="C246" i="42"/>
  <c r="D246" i="42" s="1"/>
  <c r="E246" i="42" s="1"/>
  <c r="T214" i="42"/>
  <c r="D310" i="42"/>
  <c r="AV315" i="27"/>
  <c r="I115" i="44"/>
  <c r="I62" i="44"/>
  <c r="L53" i="44"/>
  <c r="L116" i="44" s="1"/>
  <c r="L178" i="44" s="1"/>
  <c r="J116" i="44"/>
  <c r="J178" i="44" s="1"/>
  <c r="K20" i="6"/>
  <c r="N20" i="6"/>
  <c r="N43" i="6"/>
  <c r="F43" i="6"/>
  <c r="H186" i="26"/>
  <c r="D492" i="182"/>
  <c r="K25" i="6"/>
  <c r="N25" i="6"/>
  <c r="O253" i="26"/>
  <c r="P253" i="26" s="1"/>
  <c r="P243" i="26"/>
  <c r="Q243" i="26" s="1"/>
  <c r="D44" i="9"/>
  <c r="P44" i="9" s="1"/>
  <c r="P28" i="9"/>
  <c r="BA338" i="26"/>
  <c r="H376" i="26"/>
  <c r="H407" i="26"/>
  <c r="G372" i="182"/>
  <c r="H372" i="182" s="1"/>
  <c r="J372" i="182"/>
  <c r="I372" i="182"/>
  <c r="E185" i="182"/>
  <c r="B36" i="134"/>
  <c r="N19" i="134"/>
  <c r="H29" i="134"/>
  <c r="N29" i="134" s="1"/>
  <c r="T244" i="27"/>
  <c r="H309" i="42"/>
  <c r="H75" i="196"/>
  <c r="K75" i="196" s="1"/>
  <c r="J29" i="196" s="1"/>
  <c r="M31" i="191"/>
  <c r="H79" i="196"/>
  <c r="K79" i="196" s="1"/>
  <c r="J33" i="196" s="1"/>
  <c r="M63" i="191"/>
  <c r="H12" i="182"/>
  <c r="K373" i="183"/>
  <c r="AW71" i="201"/>
  <c r="BA71" i="201"/>
  <c r="U218" i="44"/>
  <c r="C39" i="9"/>
  <c r="O39" i="9" s="1"/>
  <c r="O23" i="9"/>
  <c r="C247" i="44"/>
  <c r="D247" i="44" s="1"/>
  <c r="E247" i="44" s="1"/>
  <c r="T215" i="44"/>
  <c r="S247" i="44" s="1"/>
  <c r="T247" i="44" s="1"/>
  <c r="U247" i="44" s="1"/>
  <c r="D127" i="6"/>
  <c r="T112" i="6"/>
  <c r="K112" i="6"/>
  <c r="N112" i="6"/>
  <c r="E130" i="6"/>
  <c r="O130" i="6" s="1"/>
  <c r="O115" i="6"/>
  <c r="G368" i="182"/>
  <c r="H368" i="182" s="1"/>
  <c r="J368" i="182"/>
  <c r="I368" i="182"/>
  <c r="E378" i="182"/>
  <c r="E387" i="183"/>
  <c r="K345" i="183"/>
  <c r="G345" i="183"/>
  <c r="I345" i="183"/>
  <c r="J345" i="183" s="1"/>
  <c r="H345" i="183"/>
  <c r="L345" i="183"/>
  <c r="J487" i="182"/>
  <c r="I487" i="182"/>
  <c r="G487" i="182"/>
  <c r="H487" i="182" s="1"/>
  <c r="AU102" i="201"/>
  <c r="K184" i="183"/>
  <c r="G184" i="183"/>
  <c r="I184" i="183"/>
  <c r="J184" i="183" s="1"/>
  <c r="H184" i="183"/>
  <c r="L184" i="183"/>
  <c r="O21" i="201"/>
  <c r="C7" i="205" s="1"/>
  <c r="K99" i="201"/>
  <c r="G426" i="182"/>
  <c r="H426" i="182" s="1"/>
  <c r="J426" i="182"/>
  <c r="I426" i="182"/>
  <c r="K102" i="201"/>
  <c r="O24" i="201"/>
  <c r="C10" i="205" s="1"/>
  <c r="K100" i="201"/>
  <c r="O22" i="201"/>
  <c r="C8" i="205" s="1"/>
  <c r="AS93" i="201"/>
  <c r="AN180" i="27"/>
  <c r="R120" i="42"/>
  <c r="B182" i="42"/>
  <c r="R182" i="42" s="1"/>
  <c r="AY242" i="27"/>
  <c r="AZ242" i="27" s="1"/>
  <c r="BA242" i="27" s="1"/>
  <c r="H5" i="150" s="1"/>
  <c r="D242" i="27"/>
  <c r="C248" i="42"/>
  <c r="D248" i="42" s="1"/>
  <c r="E248" i="42" s="1"/>
  <c r="T216" i="42"/>
  <c r="S248" i="42" s="1"/>
  <c r="T248" i="42" s="1"/>
  <c r="U248" i="42" s="1"/>
  <c r="E183" i="44"/>
  <c r="U183" i="44" s="1"/>
  <c r="U121" i="44"/>
  <c r="H113" i="196"/>
  <c r="K103" i="196"/>
  <c r="K113" i="196" s="1"/>
  <c r="Q5" i="9"/>
  <c r="X5" i="9"/>
  <c r="T103" i="6"/>
  <c r="N103" i="6"/>
  <c r="M67" i="35"/>
  <c r="O66" i="35" s="1"/>
  <c r="P66" i="35" s="1"/>
  <c r="M5" i="6"/>
  <c r="R5" i="6" s="1"/>
  <c r="P5" i="6"/>
  <c r="AJ376" i="26"/>
  <c r="AJ407" i="26"/>
  <c r="K240" i="44"/>
  <c r="L218" i="44"/>
  <c r="I47" i="35"/>
  <c r="O47" i="35" s="1"/>
  <c r="P47" i="35" s="1"/>
  <c r="M23" i="5"/>
  <c r="R304" i="44"/>
  <c r="H330" i="183"/>
  <c r="E336" i="183"/>
  <c r="K330" i="183"/>
  <c r="G330" i="183"/>
  <c r="C372" i="183"/>
  <c r="I330" i="183"/>
  <c r="J330" i="183" s="1"/>
  <c r="L330" i="183"/>
  <c r="E335" i="182"/>
  <c r="AC177" i="27"/>
  <c r="AC125" i="27"/>
  <c r="M63" i="27"/>
  <c r="AI251" i="27"/>
  <c r="AJ251" i="27" s="1"/>
  <c r="AJ241" i="27"/>
  <c r="Q22" i="134"/>
  <c r="E39" i="134"/>
  <c r="Q39" i="134" s="1"/>
  <c r="E116" i="42"/>
  <c r="U54" i="42"/>
  <c r="I89" i="195"/>
  <c r="AU251" i="27"/>
  <c r="AV251" i="27" s="1"/>
  <c r="AV241" i="27"/>
  <c r="AQ251" i="27"/>
  <c r="AR251" i="27" s="1"/>
  <c r="AR241" i="27"/>
  <c r="I130" i="183"/>
  <c r="J130" i="183" s="1"/>
  <c r="H130" i="183"/>
  <c r="K130" i="183"/>
  <c r="G130" i="183"/>
  <c r="L130" i="183"/>
  <c r="Q365" i="183"/>
  <c r="I125" i="183"/>
  <c r="J125" i="183" s="1"/>
  <c r="L125" i="183"/>
  <c r="H125" i="183"/>
  <c r="K125" i="183"/>
  <c r="G125" i="183"/>
  <c r="K246" i="42"/>
  <c r="L246" i="42" s="1"/>
  <c r="M246" i="42" s="1"/>
  <c r="L310" i="42"/>
  <c r="H52" i="44"/>
  <c r="F115" i="44"/>
  <c r="F62" i="44"/>
  <c r="H60" i="44"/>
  <c r="H123" i="44" s="1"/>
  <c r="H185" i="44" s="1"/>
  <c r="F123" i="44"/>
  <c r="F185" i="44" s="1"/>
  <c r="F37" i="195"/>
  <c r="O9" i="195" s="1"/>
  <c r="G308" i="167"/>
  <c r="E10" i="125"/>
  <c r="T53" i="167" s="1"/>
  <c r="L38" i="28"/>
  <c r="AT184" i="27"/>
  <c r="AV184" i="27" s="1"/>
  <c r="AV122" i="27"/>
  <c r="L5" i="134"/>
  <c r="BA250" i="26"/>
  <c r="U306" i="44"/>
  <c r="L68" i="195"/>
  <c r="U305" i="42"/>
  <c r="K23" i="6"/>
  <c r="N23" i="6"/>
  <c r="M12" i="6"/>
  <c r="R12" i="6" s="1"/>
  <c r="P12" i="6"/>
  <c r="AZ55" i="26"/>
  <c r="O57" i="185" s="1"/>
  <c r="P179" i="26"/>
  <c r="T147" i="44"/>
  <c r="T155" i="44"/>
  <c r="I82" i="136"/>
  <c r="J82" i="136" s="1"/>
  <c r="L50" i="136"/>
  <c r="AT98" i="201"/>
  <c r="AT30" i="201"/>
  <c r="AT143" i="201" s="1"/>
  <c r="AV20" i="201"/>
  <c r="H373" i="183"/>
  <c r="M363" i="183"/>
  <c r="O19" i="6"/>
  <c r="J29" i="6"/>
  <c r="J184" i="26"/>
  <c r="L184" i="26" s="1"/>
  <c r="L121" i="26"/>
  <c r="L188" i="26"/>
  <c r="P306" i="44"/>
  <c r="AT179" i="27"/>
  <c r="AV179" i="27" s="1"/>
  <c r="AV117" i="27"/>
  <c r="AT185" i="27"/>
  <c r="AV185" i="27" s="1"/>
  <c r="AV123" i="27"/>
  <c r="AY121" i="26"/>
  <c r="AY123" i="26"/>
  <c r="AY125" i="26"/>
  <c r="AB407" i="26"/>
  <c r="AB376" i="26"/>
  <c r="H305" i="44"/>
  <c r="K110" i="6"/>
  <c r="D125" i="6"/>
  <c r="N110" i="6"/>
  <c r="T110" i="6"/>
  <c r="R309" i="44"/>
  <c r="K12" i="183"/>
  <c r="G12" i="183"/>
  <c r="I12" i="183"/>
  <c r="J12" i="183" s="1"/>
  <c r="H12" i="183"/>
  <c r="E373" i="183"/>
  <c r="S79" i="195"/>
  <c r="R33" i="195" s="1"/>
  <c r="C245" i="42"/>
  <c r="D245" i="42" s="1"/>
  <c r="E245" i="42" s="1"/>
  <c r="T213" i="42"/>
  <c r="S245" i="42" s="1"/>
  <c r="T245" i="42" s="1"/>
  <c r="U245" i="42" s="1"/>
  <c r="AO248" i="27"/>
  <c r="L309" i="42"/>
  <c r="D313" i="42"/>
  <c r="T281" i="42"/>
  <c r="P79" i="196"/>
  <c r="S79" i="196" s="1"/>
  <c r="R33" i="196" s="1"/>
  <c r="AA63" i="191"/>
  <c r="AB243" i="26"/>
  <c r="AC243" i="26" s="1"/>
  <c r="AA253" i="26"/>
  <c r="AB253" i="26" s="1"/>
  <c r="AC253" i="26" s="1"/>
  <c r="AP99" i="201"/>
  <c r="J83" i="35"/>
  <c r="I475" i="182"/>
  <c r="E476" i="182"/>
  <c r="G475" i="182"/>
  <c r="H475" i="182" s="1"/>
  <c r="J475" i="182"/>
  <c r="I152" i="183"/>
  <c r="J152" i="183" s="1"/>
  <c r="H152" i="183"/>
  <c r="K152" i="183"/>
  <c r="G152" i="183"/>
  <c r="L152" i="183"/>
  <c r="C243" i="44"/>
  <c r="D243" i="44" s="1"/>
  <c r="E243" i="44" s="1"/>
  <c r="T211" i="44"/>
  <c r="S243" i="44" s="1"/>
  <c r="T243" i="44" s="1"/>
  <c r="U243" i="44" s="1"/>
  <c r="L304" i="44"/>
  <c r="I153" i="183"/>
  <c r="J153" i="183" s="1"/>
  <c r="L153" i="183"/>
  <c r="H153" i="183"/>
  <c r="K153" i="183"/>
  <c r="G153" i="183"/>
  <c r="M366" i="183"/>
  <c r="BA57" i="201"/>
  <c r="AW73" i="201"/>
  <c r="L12" i="183"/>
  <c r="I249" i="183"/>
  <c r="J249" i="183" s="1"/>
  <c r="L249" i="183"/>
  <c r="H249" i="183"/>
  <c r="G249" i="183"/>
  <c r="K249" i="183"/>
  <c r="L64" i="35"/>
  <c r="H64" i="35"/>
  <c r="G74" i="35"/>
  <c r="M65" i="35"/>
  <c r="O64" i="35" s="1"/>
  <c r="P64" i="35" s="1"/>
  <c r="S225" i="44"/>
  <c r="T203" i="44"/>
  <c r="AX123" i="27"/>
  <c r="AH125" i="27"/>
  <c r="S218" i="42"/>
  <c r="AB284" i="27"/>
  <c r="AB315" i="27"/>
  <c r="C123" i="42"/>
  <c r="S61" i="42"/>
  <c r="I177" i="27"/>
  <c r="I125" i="27"/>
  <c r="B184" i="42"/>
  <c r="R184" i="42" s="1"/>
  <c r="R122" i="42"/>
  <c r="K240" i="42"/>
  <c r="L218" i="42"/>
  <c r="AE189" i="26"/>
  <c r="G64" i="185"/>
  <c r="I43" i="196"/>
  <c r="G344" i="167"/>
  <c r="E12" i="125"/>
  <c r="T55" i="167" s="1"/>
  <c r="L68" i="28"/>
  <c r="M165" i="182"/>
  <c r="W189" i="26"/>
  <c r="K14" i="9"/>
  <c r="Q14" i="9" s="1"/>
  <c r="X4" i="9"/>
  <c r="M4" i="9"/>
  <c r="Q4" i="9"/>
  <c r="U311" i="44"/>
  <c r="AJ121" i="26"/>
  <c r="I84" i="136"/>
  <c r="J84" i="136" s="1"/>
  <c r="L52" i="136"/>
  <c r="C184" i="42"/>
  <c r="S184" i="42" s="1"/>
  <c r="S122" i="42"/>
  <c r="K29" i="134"/>
  <c r="Q29" i="134" s="1"/>
  <c r="E36" i="134"/>
  <c r="Q19" i="134"/>
  <c r="P310" i="42"/>
  <c r="P313" i="44"/>
  <c r="M5" i="9"/>
  <c r="S5" i="9" s="1"/>
  <c r="H108" i="125"/>
  <c r="G108" i="125"/>
  <c r="Q92" i="196"/>
  <c r="P4" i="134"/>
  <c r="L4" i="134"/>
  <c r="J14" i="134"/>
  <c r="P14" i="134" s="1"/>
  <c r="BA123" i="26"/>
  <c r="P97" i="185" s="1"/>
  <c r="Y97" i="185" s="1"/>
  <c r="AG97" i="185" s="1"/>
  <c r="L61" i="44"/>
  <c r="L124" i="44" s="1"/>
  <c r="L186" i="44" s="1"/>
  <c r="J124" i="44"/>
  <c r="J186" i="44" s="1"/>
  <c r="H61" i="42"/>
  <c r="H123" i="42" s="1"/>
  <c r="H185" i="42" s="1"/>
  <c r="AN184" i="27"/>
  <c r="Q20" i="134"/>
  <c r="E37" i="134"/>
  <c r="Q37" i="134" s="1"/>
  <c r="Q177" i="27"/>
  <c r="Q125" i="27"/>
  <c r="H29" i="182"/>
  <c r="J29" i="182"/>
  <c r="I29" i="182"/>
  <c r="G29" i="182"/>
  <c r="F62" i="42"/>
  <c r="L53" i="42"/>
  <c r="L115" i="42" s="1"/>
  <c r="L177" i="42" s="1"/>
  <c r="F63" i="185"/>
  <c r="L55" i="44"/>
  <c r="L118" i="44" s="1"/>
  <c r="L180" i="44" s="1"/>
  <c r="J118" i="44"/>
  <c r="J180" i="44" s="1"/>
  <c r="K126" i="26"/>
  <c r="AT180" i="27"/>
  <c r="AV180" i="27" s="1"/>
  <c r="AV118" i="27"/>
  <c r="P184" i="27"/>
  <c r="T315" i="27"/>
  <c r="D307" i="42"/>
  <c r="T275" i="42"/>
  <c r="E179" i="44"/>
  <c r="U179" i="44" s="1"/>
  <c r="U117" i="44"/>
  <c r="T152" i="44"/>
  <c r="X222" i="26"/>
  <c r="E182" i="42"/>
  <c r="U182" i="42" s="1"/>
  <c r="U120" i="42"/>
  <c r="AB118" i="27"/>
  <c r="P82" i="195"/>
  <c r="S82" i="195" s="1"/>
  <c r="R36" i="195" s="1"/>
  <c r="AA85" i="191"/>
  <c r="D308" i="42"/>
  <c r="T276" i="42"/>
  <c r="E181" i="44"/>
  <c r="U181" i="44" s="1"/>
  <c r="U119" i="44"/>
  <c r="A162" i="26"/>
  <c r="A177" i="26" s="1"/>
  <c r="A161" i="26"/>
  <c r="AT189" i="26"/>
  <c r="AV179" i="26"/>
  <c r="O146" i="125"/>
  <c r="P146" i="125"/>
  <c r="B43" i="134"/>
  <c r="N43" i="134" s="1"/>
  <c r="N26" i="134"/>
  <c r="C314" i="42"/>
  <c r="C118" i="44"/>
  <c r="S55" i="44"/>
  <c r="AD182" i="26"/>
  <c r="AF182" i="26" s="1"/>
  <c r="BD182" i="26" s="1"/>
  <c r="AF119" i="26"/>
  <c r="BD119" i="26" s="1"/>
  <c r="AF122" i="26"/>
  <c r="BD122" i="26" s="1"/>
  <c r="AF186" i="26"/>
  <c r="BD186" i="26" s="1"/>
  <c r="C44" i="9"/>
  <c r="O44" i="9" s="1"/>
  <c r="O28" i="9"/>
  <c r="J488" i="182"/>
  <c r="I488" i="182"/>
  <c r="G488" i="182"/>
  <c r="H488" i="182" s="1"/>
  <c r="AU253" i="26"/>
  <c r="AV253" i="26" s="1"/>
  <c r="AW253" i="26" s="1"/>
  <c r="AV243" i="26"/>
  <c r="AW243" i="26" s="1"/>
  <c r="AF407" i="26"/>
  <c r="BD407" i="26" s="1"/>
  <c r="R306" i="44"/>
  <c r="H87" i="35"/>
  <c r="G370" i="182"/>
  <c r="H370" i="182" s="1"/>
  <c r="J370" i="182"/>
  <c r="I370" i="182"/>
  <c r="AT100" i="201"/>
  <c r="AV22" i="201"/>
  <c r="AO246" i="27"/>
  <c r="T248" i="27"/>
  <c r="P10" i="6"/>
  <c r="M10" i="6"/>
  <c r="R10" i="6" s="1"/>
  <c r="H58" i="196"/>
  <c r="E31" i="185"/>
  <c r="H21" i="185"/>
  <c r="H77" i="196"/>
  <c r="K77" i="196" s="1"/>
  <c r="J31" i="196" s="1"/>
  <c r="H81" i="196"/>
  <c r="K81" i="196" s="1"/>
  <c r="J35" i="196" s="1"/>
  <c r="M79" i="191"/>
  <c r="K103" i="6"/>
  <c r="M93" i="6"/>
  <c r="R93" i="6" s="1"/>
  <c r="P93" i="6"/>
  <c r="U307" i="44"/>
  <c r="I81" i="183"/>
  <c r="J81" i="183" s="1"/>
  <c r="H81" i="183"/>
  <c r="K81" i="183"/>
  <c r="G81" i="183"/>
  <c r="L81" i="183"/>
  <c r="G425" i="182"/>
  <c r="H425" i="182" s="1"/>
  <c r="J425" i="182"/>
  <c r="I425" i="182"/>
  <c r="Q108" i="6"/>
  <c r="G123" i="6"/>
  <c r="L118" i="6"/>
  <c r="Q116" i="6"/>
  <c r="G131" i="6"/>
  <c r="Q131" i="6" s="1"/>
  <c r="J34" i="182"/>
  <c r="I34" i="182"/>
  <c r="H34" i="182"/>
  <c r="G34" i="182"/>
  <c r="G128" i="6"/>
  <c r="Q128" i="6" s="1"/>
  <c r="Q113" i="6"/>
  <c r="I145" i="183"/>
  <c r="J145" i="183" s="1"/>
  <c r="H145" i="183"/>
  <c r="K145" i="183"/>
  <c r="G145" i="183"/>
  <c r="L145" i="183"/>
  <c r="AT101" i="201"/>
  <c r="AV23" i="201"/>
  <c r="I424" i="182"/>
  <c r="G424" i="182"/>
  <c r="H424" i="182" s="1"/>
  <c r="J424" i="182"/>
  <c r="R161" i="42"/>
  <c r="D164" i="44"/>
  <c r="T164" i="44" s="1"/>
  <c r="T102" i="44"/>
  <c r="R299" i="44"/>
  <c r="G17" i="195"/>
  <c r="P9" i="33"/>
  <c r="BB209" i="27"/>
  <c r="AZ219" i="27"/>
  <c r="J19" i="134"/>
  <c r="C240" i="42"/>
  <c r="T208" i="42"/>
  <c r="D218" i="42"/>
  <c r="P124" i="27"/>
  <c r="K251" i="27"/>
  <c r="L241" i="27"/>
  <c r="C121" i="42"/>
  <c r="S59" i="42"/>
  <c r="AB186" i="27"/>
  <c r="Y63" i="26"/>
  <c r="BA62" i="26"/>
  <c r="P54" i="185"/>
  <c r="U53" i="44"/>
  <c r="O177" i="44"/>
  <c r="O187" i="44" s="1"/>
  <c r="O125" i="44"/>
  <c r="C244" i="42"/>
  <c r="D244" i="42" s="1"/>
  <c r="E244" i="42" s="1"/>
  <c r="T212" i="42"/>
  <c r="S244" i="42" s="1"/>
  <c r="T244" i="42" s="1"/>
  <c r="U244" i="42" s="1"/>
  <c r="H307" i="42"/>
  <c r="B180" i="44"/>
  <c r="AX119" i="26"/>
  <c r="D184" i="26"/>
  <c r="D188" i="26"/>
  <c r="E40" i="134"/>
  <c r="Q40" i="134" s="1"/>
  <c r="Q23" i="134"/>
  <c r="N37" i="6"/>
  <c r="F37" i="6"/>
  <c r="L313" i="42"/>
  <c r="R30" i="201"/>
  <c r="T31" i="201" s="1"/>
  <c r="O22" i="9"/>
  <c r="C38" i="9"/>
  <c r="O38" i="9" s="1"/>
  <c r="C246" i="44"/>
  <c r="D246" i="44" s="1"/>
  <c r="E246" i="44" s="1"/>
  <c r="T214" i="44"/>
  <c r="S246" i="44" s="1"/>
  <c r="T246" i="44" s="1"/>
  <c r="U246" i="44" s="1"/>
  <c r="S310" i="44"/>
  <c r="K387" i="183"/>
  <c r="D38" i="9"/>
  <c r="P38" i="9" s="1"/>
  <c r="P22" i="9"/>
  <c r="H282" i="44"/>
  <c r="AT102" i="201"/>
  <c r="AV24" i="201"/>
  <c r="E182" i="44"/>
  <c r="U182" i="44" s="1"/>
  <c r="U120" i="44"/>
  <c r="J126" i="26"/>
  <c r="AB31" i="26"/>
  <c r="AY31" i="26" s="1"/>
  <c r="AN186" i="27"/>
  <c r="AU125" i="27"/>
  <c r="H220" i="27"/>
  <c r="P75" i="196"/>
  <c r="S75" i="196" s="1"/>
  <c r="R29" i="196" s="1"/>
  <c r="AA31" i="191"/>
  <c r="Z182" i="27"/>
  <c r="AB120" i="27"/>
  <c r="P74" i="196"/>
  <c r="S74" i="196" s="1"/>
  <c r="R28" i="196" s="1"/>
  <c r="AA23" i="191"/>
  <c r="T88" i="42"/>
  <c r="Q63" i="26"/>
  <c r="AQ105" i="201"/>
  <c r="I79" i="136"/>
  <c r="J79" i="136" s="1"/>
  <c r="L47" i="136"/>
  <c r="AY248" i="27"/>
  <c r="AZ248" i="27" s="1"/>
  <c r="BA248" i="27" s="1"/>
  <c r="H11" i="150" s="1"/>
  <c r="D248" i="27"/>
  <c r="AR243" i="26"/>
  <c r="AS243" i="26" s="1"/>
  <c r="AQ253" i="26"/>
  <c r="AR253" i="26" s="1"/>
  <c r="AS253" i="26" s="1"/>
  <c r="F39" i="9"/>
  <c r="R39" i="9" s="1"/>
  <c r="R23" i="9"/>
  <c r="F44" i="9"/>
  <c r="R44" i="9" s="1"/>
  <c r="R28" i="9"/>
  <c r="D307" i="183"/>
  <c r="D326" i="183" s="1"/>
  <c r="D315" i="183"/>
  <c r="K313" i="183"/>
  <c r="G313" i="183"/>
  <c r="I313" i="183"/>
  <c r="J313" i="183" s="1"/>
  <c r="L313" i="183"/>
  <c r="H313" i="183"/>
  <c r="H80" i="195"/>
  <c r="K80" i="195" s="1"/>
  <c r="J34" i="195" s="1"/>
  <c r="M69" i="191"/>
  <c r="P12" i="134"/>
  <c r="L12" i="134"/>
  <c r="AZ406" i="26"/>
  <c r="K147" i="6" s="1"/>
  <c r="P147" i="6" s="1"/>
  <c r="BB374" i="26"/>
  <c r="K104" i="201"/>
  <c r="O26" i="201"/>
  <c r="C12" i="205" s="1"/>
  <c r="D168" i="44"/>
  <c r="T168" i="44" s="1"/>
  <c r="T106" i="44"/>
  <c r="B121" i="42"/>
  <c r="R59" i="42"/>
  <c r="E181" i="42"/>
  <c r="U181" i="42" s="1"/>
  <c r="U119" i="42"/>
  <c r="AG177" i="27"/>
  <c r="BD177" i="27" s="1"/>
  <c r="AG125" i="27"/>
  <c r="BD125" i="27" s="1"/>
  <c r="F43" i="185"/>
  <c r="AB179" i="26"/>
  <c r="K117" i="44"/>
  <c r="K179" i="44" s="1"/>
  <c r="L54" i="44"/>
  <c r="L117" i="44" s="1"/>
  <c r="L179" i="44" s="1"/>
  <c r="AZ100" i="201"/>
  <c r="L125" i="26"/>
  <c r="M9" i="6"/>
  <c r="R9" i="6" s="1"/>
  <c r="P9" i="6"/>
  <c r="C37" i="9"/>
  <c r="O37" i="9" s="1"/>
  <c r="O21" i="9"/>
  <c r="P15" i="33"/>
  <c r="BB214" i="27"/>
  <c r="J24" i="134"/>
  <c r="D305" i="42"/>
  <c r="T273" i="42"/>
  <c r="N41" i="6"/>
  <c r="F41" i="6"/>
  <c r="N111" i="6"/>
  <c r="D126" i="6"/>
  <c r="T111" i="6"/>
  <c r="K111" i="6"/>
  <c r="L282" i="44"/>
  <c r="C368" i="183"/>
  <c r="E208" i="183"/>
  <c r="I202" i="183"/>
  <c r="J202" i="183" s="1"/>
  <c r="L202" i="183"/>
  <c r="H202" i="183"/>
  <c r="K202" i="183"/>
  <c r="G202" i="183"/>
  <c r="AO179" i="26"/>
  <c r="G90" i="185"/>
  <c r="AO126" i="26"/>
  <c r="H78" i="196"/>
  <c r="K78" i="196" s="1"/>
  <c r="J32" i="196" s="1"/>
  <c r="M55" i="191"/>
  <c r="F370" i="183"/>
  <c r="N370" i="183"/>
  <c r="E288" i="183"/>
  <c r="I286" i="183"/>
  <c r="J286" i="183" s="1"/>
  <c r="L286" i="183"/>
  <c r="H286" i="183"/>
  <c r="K286" i="183"/>
  <c r="G286" i="183"/>
  <c r="M68" i="195"/>
  <c r="O62" i="195"/>
  <c r="M31" i="195" s="1"/>
  <c r="C116" i="44"/>
  <c r="S53" i="44"/>
  <c r="T242" i="27"/>
  <c r="K189" i="26"/>
  <c r="C182" i="27"/>
  <c r="AY182" i="27" s="1"/>
  <c r="AY120" i="27"/>
  <c r="P27" i="33"/>
  <c r="BB214" i="26"/>
  <c r="BB400" i="26" s="1"/>
  <c r="M141" i="6" s="1"/>
  <c r="R141" i="6" s="1"/>
  <c r="AY246" i="26"/>
  <c r="AZ246" i="26" s="1"/>
  <c r="K23" i="9"/>
  <c r="M23" i="9" s="1"/>
  <c r="AZ400" i="26"/>
  <c r="K141" i="6" s="1"/>
  <c r="P141" i="6" s="1"/>
  <c r="I88" i="183"/>
  <c r="J88" i="183" s="1"/>
  <c r="H88" i="183"/>
  <c r="K88" i="183"/>
  <c r="G88" i="183"/>
  <c r="L88" i="183"/>
  <c r="D53" i="44"/>
  <c r="B116" i="44"/>
  <c r="R53" i="44"/>
  <c r="C253" i="26"/>
  <c r="D253" i="26" s="1"/>
  <c r="E253" i="26" s="1"/>
  <c r="D243" i="26"/>
  <c r="E243" i="26" s="1"/>
  <c r="C248" i="44"/>
  <c r="D248" i="44" s="1"/>
  <c r="E248" i="44" s="1"/>
  <c r="T216" i="44"/>
  <c r="S248" i="44" s="1"/>
  <c r="T248" i="44" s="1"/>
  <c r="U248" i="44" s="1"/>
  <c r="M21" i="5"/>
  <c r="I45" i="35"/>
  <c r="O45" i="35" s="1"/>
  <c r="P45" i="35" s="1"/>
  <c r="O29" i="9"/>
  <c r="C45" i="9"/>
  <c r="O45" i="9" s="1"/>
  <c r="M22" i="5"/>
  <c r="I46" i="35"/>
  <c r="O46" i="35" s="1"/>
  <c r="P46" i="35" s="1"/>
  <c r="C365" i="183"/>
  <c r="E112" i="183"/>
  <c r="I106" i="183"/>
  <c r="J106" i="183" s="1"/>
  <c r="L106" i="183"/>
  <c r="H106" i="183"/>
  <c r="K106" i="183"/>
  <c r="G106" i="183"/>
  <c r="AY244" i="27"/>
  <c r="AZ244" i="27" s="1"/>
  <c r="BA244" i="27" s="1"/>
  <c r="H7" i="150" s="1"/>
  <c r="D244" i="27"/>
  <c r="T87" i="44"/>
  <c r="L243" i="26"/>
  <c r="M243" i="26" s="1"/>
  <c r="K253" i="26"/>
  <c r="L253" i="26" s="1"/>
  <c r="M253" i="26" s="1"/>
  <c r="E128" i="6"/>
  <c r="O128" i="6" s="1"/>
  <c r="O113" i="6"/>
  <c r="AW69" i="201"/>
  <c r="BA53" i="201"/>
  <c r="BA69" i="201" s="1"/>
  <c r="E126" i="6"/>
  <c r="O126" i="6" s="1"/>
  <c r="O111" i="6"/>
  <c r="J51" i="136"/>
  <c r="D83" i="136"/>
  <c r="E83" i="136" s="1"/>
  <c r="C369" i="183"/>
  <c r="H234" i="183"/>
  <c r="K234" i="183"/>
  <c r="G234" i="183"/>
  <c r="E240" i="183"/>
  <c r="I234" i="183"/>
  <c r="J234" i="183" s="1"/>
  <c r="L234" i="183"/>
  <c r="AQ104" i="201"/>
  <c r="F321" i="183"/>
  <c r="F316" i="183"/>
  <c r="F400" i="183" s="1"/>
  <c r="H59" i="44"/>
  <c r="H122" i="44" s="1"/>
  <c r="H184" i="44" s="1"/>
  <c r="F122" i="44"/>
  <c r="F184" i="44" s="1"/>
  <c r="Q26" i="134"/>
  <c r="E43" i="134"/>
  <c r="Q43" i="134" s="1"/>
  <c r="C178" i="27"/>
  <c r="AY178" i="27" s="1"/>
  <c r="AY116" i="27"/>
  <c r="H218" i="42"/>
  <c r="G240" i="42"/>
  <c r="AV159" i="26"/>
  <c r="E178" i="44"/>
  <c r="U178" i="44" s="1"/>
  <c r="U116" i="44"/>
  <c r="AK180" i="26"/>
  <c r="T246" i="27"/>
  <c r="AY250" i="27"/>
  <c r="AZ250" i="27" s="1"/>
  <c r="BA250" i="27" s="1"/>
  <c r="H13" i="150" s="1"/>
  <c r="D250" i="27"/>
  <c r="N22" i="6"/>
  <c r="K22" i="6"/>
  <c r="I105" i="201"/>
  <c r="I30" i="201"/>
  <c r="F124" i="201" s="1"/>
  <c r="H124" i="201" s="1"/>
  <c r="S306" i="44"/>
  <c r="E129" i="6"/>
  <c r="O129" i="6" s="1"/>
  <c r="O114" i="6"/>
  <c r="AW72" i="201"/>
  <c r="BA56" i="201"/>
  <c r="N176" i="42"/>
  <c r="AU187" i="27"/>
  <c r="G251" i="27"/>
  <c r="H251" i="27" s="1"/>
  <c r="H241" i="27"/>
  <c r="K8" i="196"/>
  <c r="G329" i="167"/>
  <c r="E11" i="125"/>
  <c r="T54" i="167" s="1"/>
  <c r="L56" i="28"/>
  <c r="C36" i="134"/>
  <c r="O19" i="134"/>
  <c r="I29" i="134"/>
  <c r="O29" i="134" s="1"/>
  <c r="Q24" i="134"/>
  <c r="E41" i="134"/>
  <c r="Q41" i="134" s="1"/>
  <c r="C245" i="44"/>
  <c r="D245" i="44" s="1"/>
  <c r="E245" i="44" s="1"/>
  <c r="T213" i="44"/>
  <c r="S245" i="44" s="1"/>
  <c r="T245" i="44" s="1"/>
  <c r="U245" i="44" s="1"/>
  <c r="D312" i="42"/>
  <c r="T280" i="42"/>
  <c r="E114" i="42"/>
  <c r="U52" i="42"/>
  <c r="E62" i="42"/>
  <c r="Y177" i="27"/>
  <c r="Y125" i="27"/>
  <c r="Q114" i="42"/>
  <c r="Q62" i="42"/>
  <c r="B184" i="44"/>
  <c r="I61" i="183"/>
  <c r="J61" i="183" s="1"/>
  <c r="H61" i="183"/>
  <c r="K61" i="183"/>
  <c r="G61" i="183"/>
  <c r="E29" i="183"/>
  <c r="L61" i="183"/>
  <c r="I113" i="183"/>
  <c r="J113" i="183" s="1"/>
  <c r="L113" i="183"/>
  <c r="H113" i="183"/>
  <c r="K113" i="183"/>
  <c r="G113" i="183"/>
  <c r="G354" i="167"/>
  <c r="E13" i="125"/>
  <c r="T56" i="167" s="1"/>
  <c r="L75" i="28"/>
  <c r="M195" i="182"/>
  <c r="L62" i="27"/>
  <c r="C125" i="27"/>
  <c r="AA125" i="27"/>
  <c r="P76" i="195"/>
  <c r="S76" i="195" s="1"/>
  <c r="R30" i="195" s="1"/>
  <c r="AA37" i="191"/>
  <c r="F33" i="185"/>
  <c r="I31" i="185"/>
  <c r="AO243" i="27"/>
  <c r="C44" i="134"/>
  <c r="O44" i="134" s="1"/>
  <c r="O27" i="134"/>
  <c r="U60" i="44"/>
  <c r="E123" i="44"/>
  <c r="C181" i="44"/>
  <c r="S181" i="44" s="1"/>
  <c r="S119" i="44"/>
  <c r="T84" i="44"/>
  <c r="D94" i="44"/>
  <c r="F37" i="9"/>
  <c r="R37" i="9" s="1"/>
  <c r="R21" i="9"/>
  <c r="C180" i="27"/>
  <c r="AY180" i="27" s="1"/>
  <c r="AY118" i="27"/>
  <c r="L122" i="27"/>
  <c r="J184" i="27"/>
  <c r="L184" i="27" s="1"/>
  <c r="AY247" i="27"/>
  <c r="AZ247" i="27" s="1"/>
  <c r="BA247" i="27" s="1"/>
  <c r="H10" i="150" s="1"/>
  <c r="D247" i="27"/>
  <c r="H304" i="42"/>
  <c r="H282" i="42"/>
  <c r="N62" i="44"/>
  <c r="L56" i="44"/>
  <c r="L119" i="44" s="1"/>
  <c r="L181" i="44" s="1"/>
  <c r="J119" i="44"/>
  <c r="J181" i="44" s="1"/>
  <c r="P95" i="26"/>
  <c r="J89" i="35"/>
  <c r="H162" i="183"/>
  <c r="K162" i="183"/>
  <c r="G162" i="183"/>
  <c r="I162" i="183"/>
  <c r="J162" i="183" s="1"/>
  <c r="D16" i="183"/>
  <c r="N35" i="6"/>
  <c r="F35" i="6"/>
  <c r="P309" i="42"/>
  <c r="AO180" i="26"/>
  <c r="V183" i="26"/>
  <c r="X183" i="26" s="1"/>
  <c r="X120" i="26"/>
  <c r="V186" i="26"/>
  <c r="X186" i="26" s="1"/>
  <c r="X123" i="26"/>
  <c r="C240" i="44"/>
  <c r="D218" i="44"/>
  <c r="T208" i="44"/>
  <c r="I30" i="9"/>
  <c r="O30" i="9" s="1"/>
  <c r="O20" i="9"/>
  <c r="C36" i="9"/>
  <c r="D305" i="44"/>
  <c r="T273" i="44"/>
  <c r="D295" i="183"/>
  <c r="D288" i="183"/>
  <c r="D294" i="183"/>
  <c r="D30" i="183"/>
  <c r="C176" i="42"/>
  <c r="O116" i="42"/>
  <c r="S54" i="42"/>
  <c r="C37" i="134"/>
  <c r="O37" i="134" s="1"/>
  <c r="O20" i="134"/>
  <c r="C41" i="134"/>
  <c r="O41" i="134" s="1"/>
  <c r="O24" i="134"/>
  <c r="C45" i="134"/>
  <c r="O45" i="134" s="1"/>
  <c r="O28" i="134"/>
  <c r="AN407" i="26"/>
  <c r="G57" i="136"/>
  <c r="I121" i="183"/>
  <c r="J121" i="183" s="1"/>
  <c r="L121" i="183"/>
  <c r="H121" i="183"/>
  <c r="K121" i="183"/>
  <c r="G121" i="183"/>
  <c r="P17" i="33"/>
  <c r="BB216" i="27"/>
  <c r="J26" i="134"/>
  <c r="L62" i="26"/>
  <c r="Q83" i="196"/>
  <c r="H11" i="196" s="1"/>
  <c r="I11" i="196" s="1"/>
  <c r="P28" i="33"/>
  <c r="AY247" i="26"/>
  <c r="AZ247" i="26" s="1"/>
  <c r="BB215" i="26"/>
  <c r="BB401" i="26" s="1"/>
  <c r="M142" i="6" s="1"/>
  <c r="R142" i="6" s="1"/>
  <c r="K24" i="9"/>
  <c r="M24" i="9" s="1"/>
  <c r="AZ401" i="26"/>
  <c r="K142" i="6" s="1"/>
  <c r="P142" i="6" s="1"/>
  <c r="AU344" i="26"/>
  <c r="AV344" i="26" s="1"/>
  <c r="AW344" i="26" s="1"/>
  <c r="AV334" i="26"/>
  <c r="AW334" i="26" s="1"/>
  <c r="AP106" i="201"/>
  <c r="H20" i="183"/>
  <c r="K20" i="183"/>
  <c r="G20" i="183"/>
  <c r="I20" i="183"/>
  <c r="J20" i="183" s="1"/>
  <c r="I56" i="183"/>
  <c r="J56" i="183" s="1"/>
  <c r="H56" i="183"/>
  <c r="G56" i="183"/>
  <c r="K56" i="183"/>
  <c r="L56" i="183"/>
  <c r="J314" i="44"/>
  <c r="G132" i="6"/>
  <c r="Q132" i="6" s="1"/>
  <c r="Q117" i="6"/>
  <c r="C363" i="183"/>
  <c r="H42" i="183"/>
  <c r="E10" i="183"/>
  <c r="E48" i="183"/>
  <c r="K42" i="183"/>
  <c r="G42" i="183"/>
  <c r="I42" i="183"/>
  <c r="J42" i="183" s="1"/>
  <c r="L42" i="183"/>
  <c r="BB30" i="201"/>
  <c r="F368" i="183"/>
  <c r="E224" i="183"/>
  <c r="N368" i="183"/>
  <c r="I222" i="183"/>
  <c r="J222" i="183" s="1"/>
  <c r="L222" i="183"/>
  <c r="H222" i="183"/>
  <c r="K222" i="183"/>
  <c r="G222" i="183"/>
  <c r="K101" i="201"/>
  <c r="O23" i="201"/>
  <c r="C9" i="205" s="1"/>
  <c r="H57" i="42"/>
  <c r="H119" i="42" s="1"/>
  <c r="H181" i="42" s="1"/>
  <c r="L315" i="27"/>
  <c r="H57" i="44"/>
  <c r="H120" i="44" s="1"/>
  <c r="H182" i="44" s="1"/>
  <c r="F120" i="44"/>
  <c r="F182" i="44" s="1"/>
  <c r="AQ99" i="201"/>
  <c r="D53" i="42"/>
  <c r="P94" i="44"/>
  <c r="J62" i="44"/>
  <c r="AU99" i="201"/>
  <c r="G14" i="182"/>
  <c r="J14" i="182"/>
  <c r="I14" i="182"/>
  <c r="H14" i="182"/>
  <c r="AN62" i="27"/>
  <c r="P18" i="33"/>
  <c r="BB217" i="27"/>
  <c r="J27" i="134"/>
  <c r="P156" i="44"/>
  <c r="E44" i="134"/>
  <c r="Q44" i="134" s="1"/>
  <c r="Q27" i="134"/>
  <c r="AQ98" i="201"/>
  <c r="AQ30" i="201"/>
  <c r="AO244" i="27"/>
  <c r="BB278" i="27"/>
  <c r="AZ310" i="27"/>
  <c r="BC310" i="27" s="1"/>
  <c r="H82" i="196"/>
  <c r="K82" i="196" s="1"/>
  <c r="J36" i="196" s="1"/>
  <c r="M87" i="191"/>
  <c r="K120" i="183"/>
  <c r="G120" i="183"/>
  <c r="I120" i="183"/>
  <c r="J120" i="183" s="1"/>
  <c r="L120" i="183"/>
  <c r="H120" i="183"/>
  <c r="C43" i="9"/>
  <c r="O43" i="9" s="1"/>
  <c r="O27" i="9"/>
  <c r="R282" i="44"/>
  <c r="AP102" i="201"/>
  <c r="BA51" i="201"/>
  <c r="BA67" i="201" s="1"/>
  <c r="AW67" i="201"/>
  <c r="O235" i="42"/>
  <c r="P235" i="42" s="1"/>
  <c r="Q235" i="42" s="1"/>
  <c r="P225" i="42"/>
  <c r="Q225" i="42" s="1"/>
  <c r="D171" i="44"/>
  <c r="T171" i="44" s="1"/>
  <c r="T109" i="44"/>
  <c r="L162" i="44"/>
  <c r="D17" i="196"/>
  <c r="G18" i="196"/>
  <c r="G17" i="196" s="1"/>
  <c r="G246" i="42"/>
  <c r="H246" i="42" s="1"/>
  <c r="I246" i="42" s="1"/>
  <c r="H310" i="42"/>
  <c r="M62" i="42"/>
  <c r="M114" i="42"/>
  <c r="AJ220" i="27"/>
  <c r="H55" i="42"/>
  <c r="H117" i="42" s="1"/>
  <c r="H179" i="42" s="1"/>
  <c r="AV120" i="27"/>
  <c r="AT182" i="27"/>
  <c r="AV182" i="27" s="1"/>
  <c r="AP187" i="27"/>
  <c r="M179" i="26"/>
  <c r="M126" i="26"/>
  <c r="M62" i="44"/>
  <c r="M115" i="44"/>
  <c r="AO242" i="27"/>
  <c r="Q284" i="27"/>
  <c r="J509" i="182"/>
  <c r="I509" i="182"/>
  <c r="G509" i="182"/>
  <c r="H509" i="182" s="1"/>
  <c r="AZ61" i="27"/>
  <c r="O47" i="185" s="1"/>
  <c r="H315" i="27"/>
  <c r="AN315" i="27"/>
  <c r="AX180" i="26"/>
  <c r="D180" i="26"/>
  <c r="B180" i="42"/>
  <c r="H177" i="27"/>
  <c r="AO245" i="27"/>
  <c r="B186" i="44"/>
  <c r="B189" i="26"/>
  <c r="AH179" i="26"/>
  <c r="AJ116" i="26"/>
  <c r="AH126" i="26"/>
  <c r="E55" i="35"/>
  <c r="H93" i="35" s="1"/>
  <c r="F44" i="35"/>
  <c r="N8" i="35"/>
  <c r="G25" i="35"/>
  <c r="I83" i="35"/>
  <c r="H83" i="35"/>
  <c r="K64" i="35"/>
  <c r="L54" i="35"/>
  <c r="R116" i="42"/>
  <c r="B178" i="42"/>
  <c r="R178" i="42" s="1"/>
  <c r="F38" i="6"/>
  <c r="N38" i="6"/>
  <c r="BB280" i="27"/>
  <c r="AZ312" i="27"/>
  <c r="BC312" i="27" s="1"/>
  <c r="H61" i="44"/>
  <c r="H124" i="44" s="1"/>
  <c r="H186" i="44" s="1"/>
  <c r="F124" i="44"/>
  <c r="F186" i="44" s="1"/>
  <c r="AV95" i="26"/>
  <c r="J86" i="35"/>
  <c r="G86" i="35"/>
  <c r="I23" i="183"/>
  <c r="J23" i="183" s="1"/>
  <c r="H23" i="183"/>
  <c r="K23" i="183"/>
  <c r="G23" i="183"/>
  <c r="E44" i="6"/>
  <c r="O44" i="6" s="1"/>
  <c r="O34" i="6"/>
  <c r="T109" i="6"/>
  <c r="D124" i="6"/>
  <c r="K109" i="6"/>
  <c r="N109" i="6"/>
  <c r="H52" i="125"/>
  <c r="G52" i="125"/>
  <c r="P52" i="125" s="1"/>
  <c r="E42" i="134"/>
  <c r="Q42" i="134" s="1"/>
  <c r="Q25" i="134"/>
  <c r="E124" i="6"/>
  <c r="O109" i="6"/>
  <c r="J118" i="6"/>
  <c r="D309" i="44"/>
  <c r="T277" i="44"/>
  <c r="B38" i="134"/>
  <c r="N38" i="134" s="1"/>
  <c r="N21" i="134"/>
  <c r="AY246" i="27"/>
  <c r="AZ246" i="27" s="1"/>
  <c r="BA246" i="27" s="1"/>
  <c r="H9" i="150" s="1"/>
  <c r="D246" i="27"/>
  <c r="P11" i="134"/>
  <c r="T250" i="27"/>
  <c r="T90" i="44"/>
  <c r="J34" i="33"/>
  <c r="O24" i="9"/>
  <c r="C40" i="9"/>
  <c r="O40" i="9" s="1"/>
  <c r="AZ403" i="26"/>
  <c r="K144" i="6" s="1"/>
  <c r="P144" i="6" s="1"/>
  <c r="BB371" i="26"/>
  <c r="BB403" i="26" s="1"/>
  <c r="M144" i="6" s="1"/>
  <c r="R144" i="6" s="1"/>
  <c r="E427" i="182"/>
  <c r="G417" i="182"/>
  <c r="H417" i="182" s="1"/>
  <c r="J417" i="182"/>
  <c r="I417" i="182"/>
  <c r="Q366" i="183"/>
  <c r="I157" i="183"/>
  <c r="J157" i="183" s="1"/>
  <c r="H157" i="183"/>
  <c r="K157" i="183"/>
  <c r="G157" i="183"/>
  <c r="L157" i="183"/>
  <c r="D373" i="183"/>
  <c r="E314" i="44"/>
  <c r="I51" i="35"/>
  <c r="O51" i="35" s="1"/>
  <c r="P51" i="35" s="1"/>
  <c r="M27" i="5"/>
  <c r="AU98" i="201"/>
  <c r="AU30" i="201"/>
  <c r="AU143" i="201" s="1"/>
  <c r="AU100" i="201"/>
  <c r="P282" i="44"/>
  <c r="C289" i="183"/>
  <c r="C291" i="183" s="1"/>
  <c r="C284" i="183"/>
  <c r="C399" i="183" s="1"/>
  <c r="E215" i="182"/>
  <c r="H110" i="44"/>
  <c r="H162" i="44"/>
  <c r="H172" i="44" s="1"/>
  <c r="P299" i="42"/>
  <c r="AX62" i="27"/>
  <c r="AZ52" i="27"/>
  <c r="G117" i="44"/>
  <c r="G179" i="44" s="1"/>
  <c r="H54" i="44"/>
  <c r="H117" i="44" s="1"/>
  <c r="H179" i="44" s="1"/>
  <c r="J19" i="33"/>
  <c r="CS86" i="190"/>
  <c r="AE126" i="26"/>
  <c r="Q115" i="44"/>
  <c r="Q62" i="44"/>
  <c r="P159" i="26"/>
  <c r="C42" i="134"/>
  <c r="O42" i="134" s="1"/>
  <c r="O25" i="134"/>
  <c r="I29" i="6"/>
  <c r="K19" i="6"/>
  <c r="N19" i="6"/>
  <c r="W126" i="26"/>
  <c r="M34" i="33"/>
  <c r="U121" i="42"/>
  <c r="C124" i="44"/>
  <c r="S61" i="44"/>
  <c r="AJ184" i="26"/>
  <c r="AT177" i="27"/>
  <c r="AV115" i="27"/>
  <c r="AT125" i="27"/>
  <c r="AT181" i="27"/>
  <c r="AV181" i="27" s="1"/>
  <c r="AV119" i="27"/>
  <c r="D36" i="9"/>
  <c r="P20" i="9"/>
  <c r="J30" i="9"/>
  <c r="P30" i="9" s="1"/>
  <c r="AZ375" i="26"/>
  <c r="BB365" i="26"/>
  <c r="AZ397" i="26"/>
  <c r="K138" i="6" s="1"/>
  <c r="P138" i="6" s="1"/>
  <c r="AZ402" i="26"/>
  <c r="BB370" i="26"/>
  <c r="E19" i="136"/>
  <c r="E57" i="136"/>
  <c r="F364" i="183"/>
  <c r="E96" i="183"/>
  <c r="K94" i="183"/>
  <c r="G94" i="183"/>
  <c r="I94" i="183"/>
  <c r="J94" i="183" s="1"/>
  <c r="N364" i="183"/>
  <c r="H94" i="183"/>
  <c r="L94" i="183"/>
  <c r="B42" i="134"/>
  <c r="N42" i="134" s="1"/>
  <c r="N25" i="134"/>
  <c r="P77" i="196"/>
  <c r="S77" i="196" s="1"/>
  <c r="R31" i="196" s="1"/>
  <c r="P81" i="196"/>
  <c r="S81" i="196" s="1"/>
  <c r="R35" i="196" s="1"/>
  <c r="AA79" i="191"/>
  <c r="R310" i="44"/>
  <c r="AP103" i="201"/>
  <c r="K27" i="6"/>
  <c r="AA344" i="26"/>
  <c r="AB344" i="26" s="1"/>
  <c r="AC344" i="26" s="1"/>
  <c r="AB334" i="26"/>
  <c r="D59" i="42"/>
  <c r="CR104" i="190"/>
  <c r="AK183" i="26"/>
  <c r="S251" i="27"/>
  <c r="T241" i="27"/>
  <c r="N121" i="42"/>
  <c r="N183" i="42" s="1"/>
  <c r="P59" i="42"/>
  <c r="P121" i="42" s="1"/>
  <c r="P183" i="42" s="1"/>
  <c r="E14" i="125"/>
  <c r="T57" i="167" s="1"/>
  <c r="L85" i="28"/>
  <c r="M225" i="182"/>
  <c r="AN177" i="27"/>
  <c r="P182" i="27"/>
  <c r="I68" i="195"/>
  <c r="E19" i="195" s="1"/>
  <c r="Q58" i="195"/>
  <c r="F124" i="42"/>
  <c r="F176" i="42"/>
  <c r="F186" i="42" s="1"/>
  <c r="L93" i="42"/>
  <c r="P61" i="44"/>
  <c r="P124" i="44" s="1"/>
  <c r="P186" i="44" s="1"/>
  <c r="N124" i="44"/>
  <c r="N186" i="44" s="1"/>
  <c r="L309" i="44"/>
  <c r="C119" i="42"/>
  <c r="S57" i="42"/>
  <c r="AO247" i="27"/>
  <c r="L312" i="42"/>
  <c r="AW189" i="26"/>
  <c r="X243" i="26"/>
  <c r="Y243" i="26" s="1"/>
  <c r="W253" i="26"/>
  <c r="X253" i="26" s="1"/>
  <c r="Y253" i="26" s="1"/>
  <c r="G125" i="6"/>
  <c r="Q125" i="6" s="1"/>
  <c r="Q110" i="6"/>
  <c r="U58" i="42"/>
  <c r="U56" i="44"/>
  <c r="M68" i="35"/>
  <c r="O67" i="35" s="1"/>
  <c r="P67" i="35" s="1"/>
  <c r="H67" i="35"/>
  <c r="L67" i="35"/>
  <c r="K24" i="6"/>
  <c r="N24" i="6"/>
  <c r="AF185" i="26"/>
  <c r="BD185" i="26" s="1"/>
  <c r="D34" i="33"/>
  <c r="AZ398" i="26"/>
  <c r="K139" i="6" s="1"/>
  <c r="P139" i="6" s="1"/>
  <c r="BB366" i="26"/>
  <c r="G176" i="42"/>
  <c r="Q83" i="195"/>
  <c r="H11" i="195" s="1"/>
  <c r="D306" i="44"/>
  <c r="T274" i="44"/>
  <c r="E125" i="182"/>
  <c r="AU103" i="201"/>
  <c r="P12" i="33"/>
  <c r="BB212" i="27"/>
  <c r="J22" i="134"/>
  <c r="J104" i="6"/>
  <c r="O103" i="6"/>
  <c r="J45" i="5"/>
  <c r="O24" i="183" s="1"/>
  <c r="E305" i="182"/>
  <c r="U304" i="44"/>
  <c r="BA407" i="26"/>
  <c r="U312" i="44"/>
  <c r="I344" i="183"/>
  <c r="J344" i="183" s="1"/>
  <c r="H344" i="183"/>
  <c r="K344" i="183"/>
  <c r="G344" i="183"/>
  <c r="L344" i="183"/>
  <c r="F36" i="9"/>
  <c r="L30" i="9"/>
  <c r="R20" i="9"/>
  <c r="D42" i="9"/>
  <c r="P42" i="9" s="1"/>
  <c r="P26" i="9"/>
  <c r="D304" i="44"/>
  <c r="E275" i="182"/>
  <c r="G374" i="182"/>
  <c r="H374" i="182" s="1"/>
  <c r="J374" i="182"/>
  <c r="I374" i="182"/>
  <c r="AV76" i="201"/>
  <c r="J55" i="132"/>
  <c r="T290" i="42"/>
  <c r="U162" i="44"/>
  <c r="K20" i="196"/>
  <c r="I20" i="196"/>
  <c r="D17" i="195"/>
  <c r="C251" i="27"/>
  <c r="D251" i="27" s="1"/>
  <c r="AY241" i="27"/>
  <c r="D241" i="27"/>
  <c r="R60" i="44"/>
  <c r="C115" i="42"/>
  <c r="S53" i="42"/>
  <c r="C62" i="42"/>
  <c r="G19" i="33"/>
  <c r="X220" i="27"/>
  <c r="D118" i="27"/>
  <c r="Y179" i="26"/>
  <c r="Y126" i="26"/>
  <c r="R282" i="42"/>
  <c r="R304" i="42"/>
  <c r="E179" i="26"/>
  <c r="BA116" i="26"/>
  <c r="E126" i="26"/>
  <c r="P60" i="42"/>
  <c r="AY245" i="27"/>
  <c r="AZ245" i="27" s="1"/>
  <c r="BA245" i="27" s="1"/>
  <c r="H8" i="150" s="1"/>
  <c r="D245" i="27"/>
  <c r="D55" i="44"/>
  <c r="D187" i="26"/>
  <c r="P33" i="33"/>
  <c r="AY251" i="26"/>
  <c r="AZ251" i="26" s="1"/>
  <c r="BB219" i="26"/>
  <c r="BB405" i="26" s="1"/>
  <c r="M146" i="6" s="1"/>
  <c r="K28" i="9"/>
  <c r="S218" i="44"/>
  <c r="P99" i="6"/>
  <c r="M99" i="6"/>
  <c r="R99" i="6" s="1"/>
  <c r="H110" i="125"/>
  <c r="G110" i="125"/>
  <c r="Q370" i="183"/>
  <c r="H285" i="183"/>
  <c r="K285" i="183"/>
  <c r="G285" i="183"/>
  <c r="I285" i="183"/>
  <c r="J285" i="183" s="1"/>
  <c r="L285" i="183"/>
  <c r="P218" i="42"/>
  <c r="O240" i="42"/>
  <c r="BB218" i="27"/>
  <c r="J28" i="134"/>
  <c r="DM107" i="190" s="1"/>
  <c r="F43" i="9"/>
  <c r="R43" i="9" s="1"/>
  <c r="R27" i="9"/>
  <c r="E125" i="6"/>
  <c r="O125" i="6" s="1"/>
  <c r="O110" i="6"/>
  <c r="BD30" i="201"/>
  <c r="BD143" i="201" s="1"/>
  <c r="H304" i="44"/>
  <c r="J106" i="201"/>
  <c r="K28" i="201"/>
  <c r="D84" i="125" s="1"/>
  <c r="AN124" i="27"/>
  <c r="D312" i="44"/>
  <c r="U59" i="44"/>
  <c r="U55" i="44"/>
  <c r="H74" i="196"/>
  <c r="K74" i="196" s="1"/>
  <c r="J28" i="196" s="1"/>
  <c r="M23" i="191"/>
  <c r="B179" i="42"/>
  <c r="G177" i="44"/>
  <c r="AK187" i="26"/>
  <c r="E177" i="27"/>
  <c r="E125" i="27"/>
  <c r="BA115" i="27"/>
  <c r="G48" i="185"/>
  <c r="I43" i="195"/>
  <c r="L15" i="6"/>
  <c r="Q14" i="6"/>
  <c r="D56" i="44"/>
  <c r="B119" i="44"/>
  <c r="R56" i="44"/>
  <c r="C177" i="44"/>
  <c r="V179" i="26"/>
  <c r="X116" i="26"/>
  <c r="V126" i="26"/>
  <c r="N117" i="42"/>
  <c r="N179" i="42" s="1"/>
  <c r="P55" i="42"/>
  <c r="P117" i="42" s="1"/>
  <c r="P179" i="42" s="1"/>
  <c r="AZ98" i="201"/>
  <c r="AZ30" i="201"/>
  <c r="AZ143" i="201" s="1"/>
  <c r="T84" i="42"/>
  <c r="D93" i="42"/>
  <c r="K28" i="6"/>
  <c r="N28" i="6"/>
  <c r="R25" i="9"/>
  <c r="F41" i="9"/>
  <c r="R41" i="9" s="1"/>
  <c r="O14" i="6"/>
  <c r="J15" i="6"/>
  <c r="N40" i="6"/>
  <c r="F40" i="6"/>
  <c r="B40" i="134"/>
  <c r="N40" i="134" s="1"/>
  <c r="N23" i="134"/>
  <c r="C242" i="44"/>
  <c r="D242" i="44" s="1"/>
  <c r="E242" i="44" s="1"/>
  <c r="T210" i="44"/>
  <c r="S242" i="44" s="1"/>
  <c r="T242" i="44" s="1"/>
  <c r="U242" i="44" s="1"/>
  <c r="D45" i="9"/>
  <c r="P45" i="9" s="1"/>
  <c r="P29" i="9"/>
  <c r="I57" i="136"/>
  <c r="G280" i="183"/>
  <c r="I280" i="183"/>
  <c r="J280" i="183" s="1"/>
  <c r="H280" i="183"/>
  <c r="G395" i="182"/>
  <c r="H395" i="182" s="1"/>
  <c r="J395" i="182"/>
  <c r="I395" i="182"/>
  <c r="B187" i="27"/>
  <c r="D177" i="27"/>
  <c r="C241" i="42"/>
  <c r="D241" i="42" s="1"/>
  <c r="E241" i="42" s="1"/>
  <c r="T209" i="42"/>
  <c r="S241" i="42" s="1"/>
  <c r="T241" i="42" s="1"/>
  <c r="U241" i="42" s="1"/>
  <c r="H73" i="196"/>
  <c r="AF243" i="26"/>
  <c r="AG243" i="26" s="1"/>
  <c r="BE243" i="26" s="1"/>
  <c r="AE253" i="26"/>
  <c r="AF253" i="26" s="1"/>
  <c r="AG253" i="26" s="1"/>
  <c r="BE253" i="26" s="1"/>
  <c r="G443" i="182"/>
  <c r="H443" i="182" s="1"/>
  <c r="J443" i="182"/>
  <c r="I443" i="182"/>
  <c r="P7" i="134"/>
  <c r="G377" i="182"/>
  <c r="H377" i="182" s="1"/>
  <c r="J377" i="182"/>
  <c r="I377" i="182"/>
  <c r="D162" i="44"/>
  <c r="P30" i="33"/>
  <c r="AY248" i="26"/>
  <c r="AZ248" i="26" s="1"/>
  <c r="BB216" i="26"/>
  <c r="K25" i="9"/>
  <c r="M25" i="9" s="1"/>
  <c r="AC179" i="26"/>
  <c r="AC126" i="26"/>
  <c r="B123" i="42"/>
  <c r="R61" i="42"/>
  <c r="P8" i="134"/>
  <c r="L8" i="134"/>
  <c r="AK179" i="26"/>
  <c r="AK126" i="26"/>
  <c r="L36" i="35"/>
  <c r="N123" i="42"/>
  <c r="N185" i="42" s="1"/>
  <c r="P61" i="42"/>
  <c r="P123" i="42" s="1"/>
  <c r="P185" i="42" s="1"/>
  <c r="P60" i="44"/>
  <c r="P123" i="44" s="1"/>
  <c r="P185" i="44" s="1"/>
  <c r="N123" i="44"/>
  <c r="N185" i="44" s="1"/>
  <c r="Q115" i="6"/>
  <c r="G130" i="6"/>
  <c r="Q130" i="6" s="1"/>
  <c r="S253" i="26"/>
  <c r="T253" i="26" s="1"/>
  <c r="U253" i="26" s="1"/>
  <c r="T243" i="26"/>
  <c r="U243" i="26" s="1"/>
  <c r="J64" i="136"/>
  <c r="K64" i="136" s="1"/>
  <c r="E38" i="134"/>
  <c r="Q38" i="134" s="1"/>
  <c r="Q21" i="134"/>
  <c r="AY188" i="26"/>
  <c r="I49" i="183"/>
  <c r="J49" i="183" s="1"/>
  <c r="L49" i="183"/>
  <c r="H49" i="183"/>
  <c r="E17" i="183"/>
  <c r="K49" i="183"/>
  <c r="G49" i="183"/>
  <c r="H15" i="183"/>
  <c r="G15" i="183"/>
  <c r="I15" i="183"/>
  <c r="J15" i="183" s="1"/>
  <c r="N115" i="6"/>
  <c r="D130" i="6"/>
  <c r="T115" i="6"/>
  <c r="K115" i="6"/>
  <c r="N365" i="183"/>
  <c r="H126" i="183"/>
  <c r="F365" i="183"/>
  <c r="K126" i="183"/>
  <c r="G126" i="183"/>
  <c r="E128" i="183"/>
  <c r="I126" i="183"/>
  <c r="J126" i="183" s="1"/>
  <c r="L126" i="183"/>
  <c r="F40" i="9"/>
  <c r="R40" i="9" s="1"/>
  <c r="R24" i="9"/>
  <c r="D124" i="183"/>
  <c r="D394" i="183" s="1"/>
  <c r="D129" i="183"/>
  <c r="D131" i="183" s="1"/>
  <c r="Q368" i="183"/>
  <c r="H221" i="183"/>
  <c r="K221" i="183"/>
  <c r="G221" i="183"/>
  <c r="I221" i="183"/>
  <c r="J221" i="183" s="1"/>
  <c r="L221" i="183"/>
  <c r="T289" i="44"/>
  <c r="T267" i="44"/>
  <c r="P74" i="195"/>
  <c r="S74" i="195" s="1"/>
  <c r="R28" i="195" s="1"/>
  <c r="AA21" i="191"/>
  <c r="C117" i="44"/>
  <c r="S54" i="44"/>
  <c r="D54" i="44"/>
  <c r="F20" i="195"/>
  <c r="H20" i="195"/>
  <c r="AQ344" i="26"/>
  <c r="AR344" i="26" s="1"/>
  <c r="AS344" i="26" s="1"/>
  <c r="AR334" i="26"/>
  <c r="AS334" i="26" s="1"/>
  <c r="AM251" i="27"/>
  <c r="AN251" i="27" s="1"/>
  <c r="AN241" i="27"/>
  <c r="Q63" i="27"/>
  <c r="AO185" i="27"/>
  <c r="G78" i="185"/>
  <c r="P122" i="27"/>
  <c r="P10" i="134"/>
  <c r="L10" i="134"/>
  <c r="D304" i="42"/>
  <c r="T272" i="42"/>
  <c r="D282" i="42"/>
  <c r="U179" i="26"/>
  <c r="U126" i="26"/>
  <c r="A316" i="26"/>
  <c r="J26" i="182"/>
  <c r="I26" i="182"/>
  <c r="O118" i="42"/>
  <c r="S56" i="42"/>
  <c r="P25" i="33"/>
  <c r="AY244" i="26"/>
  <c r="AZ244" i="26" s="1"/>
  <c r="K21" i="9"/>
  <c r="M21" i="9" s="1"/>
  <c r="BB212" i="26"/>
  <c r="B44" i="134"/>
  <c r="N44" i="134" s="1"/>
  <c r="N27" i="134"/>
  <c r="T91" i="44"/>
  <c r="AZ158" i="26"/>
  <c r="P103" i="196"/>
  <c r="K16" i="196"/>
  <c r="I16" i="196"/>
  <c r="H113" i="195"/>
  <c r="K103" i="195"/>
  <c r="K113" i="195" s="1"/>
  <c r="L13" i="134"/>
  <c r="S58" i="44"/>
  <c r="C121" i="44"/>
  <c r="D58" i="44"/>
  <c r="C41" i="9"/>
  <c r="O41" i="9" s="1"/>
  <c r="O25" i="9"/>
  <c r="E118" i="42"/>
  <c r="U56" i="42"/>
  <c r="R55" i="42"/>
  <c r="D40" i="9"/>
  <c r="P40" i="9" s="1"/>
  <c r="P24" i="9"/>
  <c r="M11" i="6"/>
  <c r="R11" i="6" s="1"/>
  <c r="P11" i="6"/>
  <c r="AK63" i="27"/>
  <c r="AW63" i="27"/>
  <c r="N119" i="42"/>
  <c r="N181" i="42" s="1"/>
  <c r="P57" i="42"/>
  <c r="P119" i="42" s="1"/>
  <c r="P181" i="42" s="1"/>
  <c r="O187" i="27"/>
  <c r="J182" i="27"/>
  <c r="L120" i="27"/>
  <c r="I179" i="26"/>
  <c r="I126" i="26"/>
  <c r="AN179" i="26"/>
  <c r="D86" i="136"/>
  <c r="E86" i="136" s="1"/>
  <c r="F41" i="185"/>
  <c r="K73" i="195"/>
  <c r="H78" i="195"/>
  <c r="K78" i="195" s="1"/>
  <c r="J32" i="195" s="1"/>
  <c r="X177" i="27"/>
  <c r="H56" i="44"/>
  <c r="H119" i="44" s="1"/>
  <c r="H181" i="44" s="1"/>
  <c r="F119" i="44"/>
  <c r="F181" i="44" s="1"/>
  <c r="L11" i="5"/>
  <c r="I89" i="35"/>
  <c r="G31" i="35"/>
  <c r="F50" i="35"/>
  <c r="J70" i="35"/>
  <c r="N14" i="35"/>
  <c r="N115" i="42"/>
  <c r="N177" i="42" s="1"/>
  <c r="P53" i="42"/>
  <c r="P115" i="42" s="1"/>
  <c r="P177" i="42" s="1"/>
  <c r="P16" i="33"/>
  <c r="BB215" i="27"/>
  <c r="BB311" i="27" s="1"/>
  <c r="J25" i="134"/>
  <c r="DM85" i="190" s="1"/>
  <c r="AZ311" i="27"/>
  <c r="Q179" i="26"/>
  <c r="Q126" i="26"/>
  <c r="N177" i="44"/>
  <c r="B39" i="134"/>
  <c r="N39" i="134" s="1"/>
  <c r="N22" i="134"/>
  <c r="S59" i="44"/>
  <c r="C122" i="44"/>
  <c r="V184" i="26"/>
  <c r="X184" i="26" s="1"/>
  <c r="X121" i="26"/>
  <c r="V187" i="26"/>
  <c r="X187" i="26" s="1"/>
  <c r="X124" i="26"/>
  <c r="L9" i="5"/>
  <c r="F48" i="35"/>
  <c r="J68" i="35"/>
  <c r="G29" i="35"/>
  <c r="I87" i="35"/>
  <c r="L68" i="35"/>
  <c r="K68" i="35"/>
  <c r="AO99" i="201"/>
  <c r="M74" i="182" s="1"/>
  <c r="K176" i="42"/>
  <c r="S120" i="42"/>
  <c r="X407" i="26"/>
  <c r="X376" i="26"/>
  <c r="T113" i="6"/>
  <c r="D128" i="6"/>
  <c r="K113" i="6"/>
  <c r="N113" i="6"/>
  <c r="M28" i="5"/>
  <c r="I52" i="35"/>
  <c r="O52" i="35" s="1"/>
  <c r="P52" i="35" s="1"/>
  <c r="E79" i="136"/>
  <c r="C367" i="183"/>
  <c r="K170" i="183"/>
  <c r="G170" i="183"/>
  <c r="E176" i="183"/>
  <c r="I170" i="183"/>
  <c r="J170" i="183" s="1"/>
  <c r="H170" i="183"/>
  <c r="L170" i="183"/>
  <c r="AU104" i="201"/>
  <c r="T215" i="42"/>
  <c r="S247" i="42" s="1"/>
  <c r="T247" i="42" s="1"/>
  <c r="U247" i="42" s="1"/>
  <c r="C247" i="42"/>
  <c r="D247" i="42" s="1"/>
  <c r="E247" i="42" s="1"/>
  <c r="AO250" i="27"/>
  <c r="L29" i="6"/>
  <c r="Q19" i="6"/>
  <c r="P6" i="6"/>
  <c r="M6" i="6"/>
  <c r="R6" i="6" s="1"/>
  <c r="P78" i="196"/>
  <c r="S78" i="196" s="1"/>
  <c r="R32" i="196" s="1"/>
  <c r="AA55" i="191"/>
  <c r="P82" i="196"/>
  <c r="S82" i="196" s="1"/>
  <c r="R36" i="196" s="1"/>
  <c r="AA87" i="191"/>
  <c r="Q9" i="9"/>
  <c r="X9" i="9"/>
  <c r="G411" i="182"/>
  <c r="H411" i="182" s="1"/>
  <c r="G15" i="5"/>
  <c r="G371" i="182"/>
  <c r="H371" i="182" s="1"/>
  <c r="J371" i="182"/>
  <c r="I371" i="182"/>
  <c r="E144" i="183"/>
  <c r="I138" i="183"/>
  <c r="J138" i="183" s="1"/>
  <c r="C366" i="183"/>
  <c r="L138" i="183"/>
  <c r="H138" i="183"/>
  <c r="G138" i="183"/>
  <c r="K138" i="183"/>
  <c r="C92" i="183"/>
  <c r="C393" i="183" s="1"/>
  <c r="C97" i="183"/>
  <c r="C99" i="183" s="1"/>
  <c r="G61" i="182"/>
  <c r="H61" i="182"/>
  <c r="I61" i="182"/>
  <c r="E65" i="182"/>
  <c r="J61" i="182"/>
  <c r="D17" i="183"/>
  <c r="I337" i="183"/>
  <c r="J337" i="183" s="1"/>
  <c r="L337" i="183"/>
  <c r="H337" i="183"/>
  <c r="K337" i="183"/>
  <c r="G337" i="183"/>
  <c r="AT106" i="201"/>
  <c r="AV28" i="201"/>
  <c r="AZ93" i="201"/>
  <c r="BA52" i="201"/>
  <c r="BA68" i="201" s="1"/>
  <c r="AW68" i="201"/>
  <c r="AW74" i="201"/>
  <c r="BA58" i="201"/>
  <c r="T203" i="42"/>
  <c r="S225" i="42"/>
  <c r="T289" i="42"/>
  <c r="G235" i="44"/>
  <c r="H235" i="44" s="1"/>
  <c r="I235" i="44" s="1"/>
  <c r="H225" i="44"/>
  <c r="I225" i="44" s="1"/>
  <c r="B115" i="42"/>
  <c r="R53" i="42"/>
  <c r="AZ156" i="27"/>
  <c r="P103" i="195"/>
  <c r="P10" i="33"/>
  <c r="BB210" i="27"/>
  <c r="J20" i="134"/>
  <c r="G121" i="44"/>
  <c r="G183" i="44" s="1"/>
  <c r="H58" i="44"/>
  <c r="H121" i="44" s="1"/>
  <c r="H183" i="44" s="1"/>
  <c r="AJ117" i="26"/>
  <c r="R26" i="9"/>
  <c r="F42" i="9"/>
  <c r="R42" i="9" s="1"/>
  <c r="E177" i="42"/>
  <c r="U177" i="42" s="1"/>
  <c r="U115" i="42"/>
  <c r="AO249" i="27"/>
  <c r="J177" i="44"/>
  <c r="M26" i="5"/>
  <c r="I50" i="35"/>
  <c r="O50" i="35" s="1"/>
  <c r="P50" i="35" s="1"/>
  <c r="R57" i="42"/>
  <c r="AX120" i="27"/>
  <c r="AY249" i="27"/>
  <c r="AZ249" i="27" s="1"/>
  <c r="BA249" i="27" s="1"/>
  <c r="H12" i="150" s="1"/>
  <c r="D249" i="27"/>
  <c r="I83" i="196"/>
  <c r="E11" i="196" s="1"/>
  <c r="F11" i="196" s="1"/>
  <c r="B45" i="134"/>
  <c r="N45" i="134" s="1"/>
  <c r="N28" i="134"/>
  <c r="T182" i="26"/>
  <c r="P95" i="6"/>
  <c r="M95" i="6"/>
  <c r="R95" i="6" s="1"/>
  <c r="AZ102" i="201"/>
  <c r="AI344" i="26"/>
  <c r="AJ334" i="26"/>
  <c r="AK334" i="26" s="1"/>
  <c r="M102" i="6"/>
  <c r="R102" i="6" s="1"/>
  <c r="P102" i="6"/>
  <c r="D309" i="42"/>
  <c r="T277" i="42"/>
  <c r="C244" i="44"/>
  <c r="D244" i="44" s="1"/>
  <c r="E244" i="44" s="1"/>
  <c r="T212" i="44"/>
  <c r="S244" i="44" s="1"/>
  <c r="T244" i="44" s="1"/>
  <c r="U244" i="44" s="1"/>
  <c r="T276" i="44"/>
  <c r="AW83" i="201"/>
  <c r="AV93" i="201"/>
  <c r="G398" i="167"/>
  <c r="E17" i="125"/>
  <c r="T60" i="167" s="1"/>
  <c r="M315" i="182"/>
  <c r="L107" i="28"/>
  <c r="W251" i="27"/>
  <c r="X251" i="27" s="1"/>
  <c r="X241" i="27"/>
  <c r="L104" i="6"/>
  <c r="Q103" i="6"/>
  <c r="R11" i="134"/>
  <c r="Q95" i="196"/>
  <c r="B176" i="42"/>
  <c r="R114" i="42"/>
  <c r="M63" i="26"/>
  <c r="AP189" i="26"/>
  <c r="AR179" i="26"/>
  <c r="K70" i="35"/>
  <c r="N118" i="42"/>
  <c r="N180" i="42" s="1"/>
  <c r="P56" i="42"/>
  <c r="P118" i="42" s="1"/>
  <c r="P180" i="42" s="1"/>
  <c r="D61" i="42"/>
  <c r="AB116" i="27"/>
  <c r="AJ122" i="27"/>
  <c r="AH184" i="27"/>
  <c r="AJ184" i="27" s="1"/>
  <c r="AB62" i="27"/>
  <c r="H74" i="195"/>
  <c r="K74" i="195" s="1"/>
  <c r="J28" i="195" s="1"/>
  <c r="M21" i="191"/>
  <c r="AK63" i="26"/>
  <c r="AX116" i="26"/>
  <c r="L306" i="44"/>
  <c r="I81" i="136"/>
  <c r="J81" i="136" s="1"/>
  <c r="L49" i="136"/>
  <c r="AH178" i="27"/>
  <c r="AJ178" i="27" s="1"/>
  <c r="AJ116" i="27"/>
  <c r="D311" i="42"/>
  <c r="T279" i="42"/>
  <c r="K62" i="44"/>
  <c r="T151" i="44"/>
  <c r="G459" i="182"/>
  <c r="H459" i="182" s="1"/>
  <c r="J459" i="182"/>
  <c r="I459" i="182"/>
  <c r="B41" i="134"/>
  <c r="N41" i="134" s="1"/>
  <c r="N24" i="134"/>
  <c r="S282" i="42"/>
  <c r="AY315" i="27"/>
  <c r="Q13" i="9"/>
  <c r="X13" i="9"/>
  <c r="I30" i="5"/>
  <c r="M30" i="5" s="1"/>
  <c r="K98" i="183"/>
  <c r="I98" i="183"/>
  <c r="J98" i="183" s="1"/>
  <c r="AT183" i="27"/>
  <c r="AV183" i="27" s="1"/>
  <c r="AV121" i="27"/>
  <c r="AX121" i="27"/>
  <c r="AY117" i="26"/>
  <c r="AY122" i="26"/>
  <c r="C241" i="44"/>
  <c r="D241" i="44" s="1"/>
  <c r="E241" i="44" s="1"/>
  <c r="T209" i="44"/>
  <c r="S241" i="44" s="1"/>
  <c r="T241" i="44" s="1"/>
  <c r="U241" i="44" s="1"/>
  <c r="AR407" i="26"/>
  <c r="R218" i="42"/>
  <c r="U304" i="42"/>
  <c r="BB274" i="27"/>
  <c r="AZ306" i="27"/>
  <c r="N26" i="6"/>
  <c r="K26" i="6"/>
  <c r="X62" i="26"/>
  <c r="AK186" i="26"/>
  <c r="H76" i="196"/>
  <c r="K76" i="196" s="1"/>
  <c r="J30" i="196" s="1"/>
  <c r="M39" i="191"/>
  <c r="H80" i="196"/>
  <c r="K80" i="196" s="1"/>
  <c r="J34" i="196" s="1"/>
  <c r="M71" i="191"/>
  <c r="D313" i="44"/>
  <c r="T281" i="44"/>
  <c r="T117" i="6"/>
  <c r="D132" i="6"/>
  <c r="K117" i="6"/>
  <c r="N117" i="6"/>
  <c r="K98" i="201"/>
  <c r="O20" i="201"/>
  <c r="C6" i="205" s="1"/>
  <c r="D41" i="9"/>
  <c r="P41" i="9" s="1"/>
  <c r="P25" i="9"/>
  <c r="J484" i="182"/>
  <c r="I484" i="182"/>
  <c r="G484" i="182"/>
  <c r="H484" i="182" s="1"/>
  <c r="B314" i="44"/>
  <c r="P304" i="44"/>
  <c r="H312" i="44"/>
  <c r="H290" i="183"/>
  <c r="K290" i="183"/>
  <c r="G290" i="183"/>
  <c r="I290" i="183"/>
  <c r="J290" i="183" s="1"/>
  <c r="D97" i="183"/>
  <c r="U109" i="42"/>
  <c r="H114" i="125"/>
  <c r="G114" i="125"/>
  <c r="AP104" i="201"/>
  <c r="K103" i="201"/>
  <c r="O25" i="201"/>
  <c r="C11" i="205" s="1"/>
  <c r="T296" i="42"/>
  <c r="S162" i="44"/>
  <c r="AJ177" i="27"/>
  <c r="Q28" i="134"/>
  <c r="E45" i="134"/>
  <c r="Q45" i="134" s="1"/>
  <c r="L304" i="42"/>
  <c r="L282" i="42"/>
  <c r="C186" i="27"/>
  <c r="AY186" i="27" s="1"/>
  <c r="AY124" i="27"/>
  <c r="AA251" i="27"/>
  <c r="AB251" i="27" s="1"/>
  <c r="AB241" i="27"/>
  <c r="S93" i="42"/>
  <c r="AW63" i="26"/>
  <c r="D44" i="6"/>
  <c r="N44" i="6" s="1"/>
  <c r="N34" i="6"/>
  <c r="F34" i="6"/>
  <c r="AN243" i="26"/>
  <c r="AO243" i="26" s="1"/>
  <c r="AM253" i="26"/>
  <c r="AN253" i="26" s="1"/>
  <c r="AO253" i="26" s="1"/>
  <c r="U183" i="42"/>
  <c r="AG179" i="26"/>
  <c r="BE179" i="26" s="1"/>
  <c r="AG126" i="26"/>
  <c r="BE126" i="26" s="1"/>
  <c r="C185" i="44"/>
  <c r="S185" i="44" s="1"/>
  <c r="S123" i="44"/>
  <c r="AJ118" i="26"/>
  <c r="AV62" i="27"/>
  <c r="M13" i="6"/>
  <c r="R13" i="6" s="1"/>
  <c r="P13" i="6"/>
  <c r="AY252" i="26"/>
  <c r="AZ252" i="26" s="1"/>
  <c r="BB220" i="26"/>
  <c r="K29" i="9"/>
  <c r="M29" i="9" s="1"/>
  <c r="AZ399" i="26"/>
  <c r="K140" i="6" s="1"/>
  <c r="P140" i="6" s="1"/>
  <c r="BB367" i="26"/>
  <c r="J483" i="182"/>
  <c r="I483" i="182"/>
  <c r="G483" i="182"/>
  <c r="H483" i="182" s="1"/>
  <c r="L305" i="44"/>
  <c r="D310" i="44"/>
  <c r="T278" i="44"/>
  <c r="G116" i="125"/>
  <c r="H116" i="125"/>
  <c r="L20" i="183"/>
  <c r="J489" i="182"/>
  <c r="I489" i="182"/>
  <c r="G489" i="182"/>
  <c r="H489" i="182" s="1"/>
  <c r="H62" i="27"/>
  <c r="H53" i="42"/>
  <c r="H115" i="42" s="1"/>
  <c r="H177" i="42" s="1"/>
  <c r="P120" i="27"/>
  <c r="AE251" i="27"/>
  <c r="AF251" i="27" s="1"/>
  <c r="BF251" i="27" s="1"/>
  <c r="AF241" i="27"/>
  <c r="BF241" i="27" s="1"/>
  <c r="D52" i="44"/>
  <c r="B62" i="44"/>
  <c r="B115" i="44"/>
  <c r="R52" i="44"/>
  <c r="M184" i="26"/>
  <c r="BA121" i="26"/>
  <c r="P95" i="185" s="1"/>
  <c r="Y95" i="185" s="1"/>
  <c r="AG95" i="185" s="1"/>
  <c r="I62" i="42"/>
  <c r="I114" i="42"/>
  <c r="E122" i="42"/>
  <c r="U60" i="42"/>
  <c r="P55" i="44"/>
  <c r="P118" i="44" s="1"/>
  <c r="P180" i="44" s="1"/>
  <c r="N118" i="44"/>
  <c r="N180" i="44" s="1"/>
  <c r="G115" i="42"/>
  <c r="G177" i="42" s="1"/>
  <c r="G62" i="42"/>
  <c r="B37" i="134"/>
  <c r="N37" i="134" s="1"/>
  <c r="N20" i="134"/>
  <c r="P304" i="42"/>
  <c r="P282" i="42"/>
  <c r="K14" i="6"/>
  <c r="M4" i="6"/>
  <c r="R4" i="6" s="1"/>
  <c r="P4" i="6"/>
  <c r="T149" i="44"/>
  <c r="E37" i="195"/>
  <c r="P118" i="27"/>
  <c r="C40" i="134"/>
  <c r="O40" i="134" s="1"/>
  <c r="O23" i="134"/>
  <c r="AZ305" i="27"/>
  <c r="BB273" i="27"/>
  <c r="AZ283" i="27"/>
  <c r="AJ315" i="27"/>
  <c r="M8" i="6"/>
  <c r="R8" i="6" s="1"/>
  <c r="P8" i="6"/>
  <c r="H55" i="44"/>
  <c r="H118" i="44" s="1"/>
  <c r="H180" i="44" s="1"/>
  <c r="F118" i="44"/>
  <c r="F180" i="44" s="1"/>
  <c r="H243" i="26"/>
  <c r="I243" i="26" s="1"/>
  <c r="G253" i="26"/>
  <c r="H253" i="26" s="1"/>
  <c r="I253" i="26" s="1"/>
  <c r="H146" i="125"/>
  <c r="G146" i="125"/>
  <c r="Q94" i="195"/>
  <c r="AN62" i="26"/>
  <c r="N39" i="6"/>
  <c r="F39" i="6"/>
  <c r="P313" i="42"/>
  <c r="AD187" i="26"/>
  <c r="AF187" i="26" s="1"/>
  <c r="BD187" i="26" s="1"/>
  <c r="AF124" i="26"/>
  <c r="BD124" i="26" s="1"/>
  <c r="P24" i="33"/>
  <c r="AY243" i="26"/>
  <c r="AZ221" i="26"/>
  <c r="BB211" i="26"/>
  <c r="K20" i="9"/>
  <c r="M20" i="9" s="1"/>
  <c r="M98" i="6"/>
  <c r="R98" i="6" s="1"/>
  <c r="P98" i="6"/>
  <c r="N369" i="183"/>
  <c r="E256" i="183"/>
  <c r="K254" i="183"/>
  <c r="G254" i="183"/>
  <c r="I254" i="183"/>
  <c r="J254" i="183" s="1"/>
  <c r="F369" i="183"/>
  <c r="L254" i="183"/>
  <c r="H254" i="183"/>
  <c r="O62" i="42"/>
  <c r="O114" i="42"/>
  <c r="S52" i="42"/>
  <c r="C39" i="134"/>
  <c r="O39" i="134" s="1"/>
  <c r="O22" i="134"/>
  <c r="C43" i="134"/>
  <c r="O43" i="134" s="1"/>
  <c r="O26" i="134"/>
  <c r="N36" i="6"/>
  <c r="F36" i="6"/>
  <c r="C249" i="44"/>
  <c r="D249" i="44" s="1"/>
  <c r="E249" i="44" s="1"/>
  <c r="T217" i="44"/>
  <c r="S249" i="44" s="1"/>
  <c r="T249" i="44" s="1"/>
  <c r="U249" i="44" s="1"/>
  <c r="P407" i="26"/>
  <c r="J87" i="35"/>
  <c r="G87" i="35"/>
  <c r="AZ94" i="27"/>
  <c r="AA5" i="191" s="1"/>
  <c r="P73" i="195"/>
  <c r="T211" i="42"/>
  <c r="S243" i="42" s="1"/>
  <c r="T243" i="42" s="1"/>
  <c r="U243" i="42" s="1"/>
  <c r="C243" i="42"/>
  <c r="D243" i="42" s="1"/>
  <c r="E243" i="42" s="1"/>
  <c r="P9" i="134"/>
  <c r="H305" i="42"/>
  <c r="H313" i="42"/>
  <c r="AJ62" i="26"/>
  <c r="AK182" i="26"/>
  <c r="P76" i="196"/>
  <c r="S76" i="196" s="1"/>
  <c r="R30" i="196" s="1"/>
  <c r="AA39" i="191"/>
  <c r="P80" i="196"/>
  <c r="S80" i="196" s="1"/>
  <c r="R34" i="196" s="1"/>
  <c r="AA71" i="191"/>
  <c r="M13" i="9"/>
  <c r="S13" i="9" s="1"/>
  <c r="H309" i="44"/>
  <c r="K114" i="6"/>
  <c r="D129" i="6"/>
  <c r="N114" i="6"/>
  <c r="T114" i="6"/>
  <c r="M25" i="5"/>
  <c r="I49" i="35"/>
  <c r="O49" i="35" s="1"/>
  <c r="P49" i="35" s="1"/>
  <c r="G418" i="182"/>
  <c r="H418" i="182" s="1"/>
  <c r="J418" i="182"/>
  <c r="I418" i="182"/>
  <c r="G376" i="182"/>
  <c r="H376" i="182" s="1"/>
  <c r="J376" i="182"/>
  <c r="I376" i="182"/>
  <c r="H305" i="183"/>
  <c r="K305" i="183"/>
  <c r="G305" i="183"/>
  <c r="I305" i="183"/>
  <c r="J305" i="183" s="1"/>
  <c r="L305" i="183"/>
  <c r="O26" i="9"/>
  <c r="C42" i="9"/>
  <c r="O42" i="9" s="1"/>
  <c r="U282" i="44"/>
  <c r="Q112" i="6"/>
  <c r="G127" i="6"/>
  <c r="Q127" i="6" s="1"/>
  <c r="D311" i="44"/>
  <c r="D123" i="6"/>
  <c r="I118" i="6"/>
  <c r="T108" i="6"/>
  <c r="K108" i="6"/>
  <c r="N108" i="6"/>
  <c r="AZ106" i="201"/>
  <c r="I273" i="183"/>
  <c r="J273" i="183" s="1"/>
  <c r="L273" i="183"/>
  <c r="H273" i="183"/>
  <c r="G273" i="183"/>
  <c r="K273" i="183"/>
  <c r="AW66" i="201"/>
  <c r="T291" i="42"/>
  <c r="T267" i="42"/>
  <c r="F20" i="196"/>
  <c r="S156" i="44"/>
  <c r="AZ59" i="27"/>
  <c r="O45" i="185" s="1"/>
  <c r="D19" i="33"/>
  <c r="L307" i="42"/>
  <c r="B185" i="44"/>
  <c r="G377" i="167"/>
  <c r="E15" i="125"/>
  <c r="T58" i="167" s="1"/>
  <c r="L92" i="28"/>
  <c r="O251" i="27"/>
  <c r="P251" i="27" s="1"/>
  <c r="P241" i="27"/>
  <c r="C184" i="27"/>
  <c r="AY184" i="27" s="1"/>
  <c r="AY122" i="27"/>
  <c r="AX118" i="27"/>
  <c r="H82" i="195"/>
  <c r="K82" i="195" s="1"/>
  <c r="J36" i="195" s="1"/>
  <c r="M85" i="191"/>
  <c r="B314" i="42"/>
  <c r="E115" i="44"/>
  <c r="U52" i="44"/>
  <c r="E62" i="44"/>
  <c r="G126" i="26"/>
  <c r="P13" i="33"/>
  <c r="BB213" i="27"/>
  <c r="J23" i="134"/>
  <c r="DM68" i="190" s="1"/>
  <c r="D182" i="26"/>
  <c r="AX121" i="26"/>
  <c r="D186" i="26"/>
  <c r="AM344" i="26"/>
  <c r="AN344" i="26" s="1"/>
  <c r="AO344" i="26" s="1"/>
  <c r="AN334" i="26"/>
  <c r="AO334" i="26" s="1"/>
  <c r="S75" i="195"/>
  <c r="R29" i="195" s="1"/>
  <c r="C249" i="42"/>
  <c r="D249" i="42" s="1"/>
  <c r="E249" i="42" s="1"/>
  <c r="T217" i="42"/>
  <c r="S249" i="42" s="1"/>
  <c r="T249" i="42" s="1"/>
  <c r="U249" i="42" s="1"/>
  <c r="L305" i="42"/>
  <c r="AZ76" i="201"/>
  <c r="H308" i="44"/>
  <c r="AY118" i="26"/>
  <c r="N62" i="42"/>
  <c r="X117" i="26"/>
  <c r="L179" i="26"/>
  <c r="E184" i="44"/>
  <c r="U184" i="44" s="1"/>
  <c r="U122" i="44"/>
  <c r="AW45" i="201"/>
  <c r="E180" i="44"/>
  <c r="U180" i="44" s="1"/>
  <c r="U118" i="44"/>
  <c r="AF344" i="26" l="1"/>
  <c r="AG344" i="26" s="1"/>
  <c r="BE344" i="26"/>
  <c r="K7" i="150"/>
  <c r="K8" i="150"/>
  <c r="BD62" i="27"/>
  <c r="BC62" i="27"/>
  <c r="BC62" i="26"/>
  <c r="BD62" i="26"/>
  <c r="N16" i="183"/>
  <c r="L392" i="183"/>
  <c r="E21" i="205"/>
  <c r="E37" i="205" s="1"/>
  <c r="E53" i="205" s="1"/>
  <c r="E70" i="205" s="1"/>
  <c r="E86" i="205" s="1"/>
  <c r="E132" i="205" s="1"/>
  <c r="E149" i="205" s="1"/>
  <c r="G5" i="205"/>
  <c r="G21" i="205" s="1"/>
  <c r="G37" i="205" s="1"/>
  <c r="G53" i="205" s="1"/>
  <c r="G70" i="205" s="1"/>
  <c r="G86" i="205" s="1"/>
  <c r="G132" i="205" s="1"/>
  <c r="G149" i="205" s="1"/>
  <c r="F21" i="205"/>
  <c r="F37" i="205" s="1"/>
  <c r="F53" i="205" s="1"/>
  <c r="F70" i="205" s="1"/>
  <c r="F86" i="205" s="1"/>
  <c r="F132" i="205" s="1"/>
  <c r="F149" i="205" s="1"/>
  <c r="H5" i="205"/>
  <c r="H21" i="205" s="1"/>
  <c r="H37" i="205" s="1"/>
  <c r="H53" i="205" s="1"/>
  <c r="H70" i="205" s="1"/>
  <c r="H86" i="205" s="1"/>
  <c r="H132" i="205" s="1"/>
  <c r="H149" i="205" s="1"/>
  <c r="AC241" i="27"/>
  <c r="K61" i="196"/>
  <c r="I30" i="196" s="1"/>
  <c r="K66" i="196"/>
  <c r="I35" i="196" s="1"/>
  <c r="C25" i="207"/>
  <c r="C26" i="207" s="1"/>
  <c r="P190" i="183"/>
  <c r="Q190" i="183"/>
  <c r="Q158" i="183"/>
  <c r="P158" i="183"/>
  <c r="E134" i="185"/>
  <c r="E115" i="185"/>
  <c r="AK173" i="27"/>
  <c r="K12" i="150"/>
  <c r="K5" i="150"/>
  <c r="K4" i="150"/>
  <c r="K10" i="150"/>
  <c r="K6" i="150"/>
  <c r="K13" i="150"/>
  <c r="K9" i="150"/>
  <c r="K11" i="150"/>
  <c r="G8" i="125"/>
  <c r="T51" i="167"/>
  <c r="H9" i="125"/>
  <c r="T52" i="167"/>
  <c r="N92" i="185"/>
  <c r="CS6" i="190"/>
  <c r="CS7" i="190" s="1"/>
  <c r="BC305" i="27"/>
  <c r="G117" i="185"/>
  <c r="CS57" i="190"/>
  <c r="CU57" i="190" s="1"/>
  <c r="BC309" i="27"/>
  <c r="K58" i="6"/>
  <c r="P58" i="6" s="1"/>
  <c r="BC314" i="27"/>
  <c r="K57" i="6"/>
  <c r="P57" i="6" s="1"/>
  <c r="BC313" i="27"/>
  <c r="K55" i="6"/>
  <c r="P55" i="6" s="1"/>
  <c r="BC311" i="27"/>
  <c r="CS20" i="190"/>
  <c r="CU20" i="190" s="1"/>
  <c r="BC306" i="27"/>
  <c r="CS39" i="190"/>
  <c r="CU39" i="190" s="1"/>
  <c r="CV39" i="190" s="1"/>
  <c r="BC308" i="27"/>
  <c r="CS30" i="190"/>
  <c r="CU30" i="190" s="1"/>
  <c r="CV30" i="190" s="1"/>
  <c r="BC307" i="27"/>
  <c r="BE31" i="201"/>
  <c r="E130" i="185"/>
  <c r="E138" i="185"/>
  <c r="E136" i="185"/>
  <c r="DB455" i="167"/>
  <c r="W148" i="185"/>
  <c r="DB459" i="167"/>
  <c r="W152" i="185"/>
  <c r="DB457" i="167"/>
  <c r="W150" i="185"/>
  <c r="DB458" i="167"/>
  <c r="W151" i="185"/>
  <c r="Q139" i="185"/>
  <c r="F7" i="207"/>
  <c r="I8" i="207"/>
  <c r="F8" i="207"/>
  <c r="AA7" i="191"/>
  <c r="AZ95" i="26"/>
  <c r="I320" i="183"/>
  <c r="J320" i="183" s="1"/>
  <c r="L320" i="183"/>
  <c r="G320" i="183"/>
  <c r="L419" i="182"/>
  <c r="C139" i="185"/>
  <c r="E132" i="185"/>
  <c r="B133" i="185"/>
  <c r="E133" i="185" s="1"/>
  <c r="DJ35" i="190"/>
  <c r="DJ37" i="190"/>
  <c r="S109" i="42"/>
  <c r="G10" i="205"/>
  <c r="C26" i="205"/>
  <c r="C23" i="205"/>
  <c r="G7" i="205"/>
  <c r="L64" i="183"/>
  <c r="E116" i="185"/>
  <c r="G64" i="183"/>
  <c r="K64" i="183"/>
  <c r="H181" i="26"/>
  <c r="H189" i="26" s="1"/>
  <c r="DJ34" i="190"/>
  <c r="H64" i="183"/>
  <c r="H320" i="183"/>
  <c r="DJ31" i="190"/>
  <c r="DJ30" i="190"/>
  <c r="G6" i="205"/>
  <c r="C22" i="205"/>
  <c r="DJ32" i="190"/>
  <c r="C25" i="205"/>
  <c r="G9" i="205"/>
  <c r="DJ36" i="190"/>
  <c r="C28" i="205"/>
  <c r="G12" i="205"/>
  <c r="G11" i="205"/>
  <c r="C27" i="205"/>
  <c r="C24" i="205"/>
  <c r="G8" i="205"/>
  <c r="D4" i="150"/>
  <c r="DM29" i="190"/>
  <c r="DM26" i="190" s="1"/>
  <c r="H31" i="134"/>
  <c r="H30" i="134" s="1"/>
  <c r="P34" i="33"/>
  <c r="DN109" i="190"/>
  <c r="H122" i="125"/>
  <c r="G391" i="167"/>
  <c r="J29" i="207"/>
  <c r="G29" i="207"/>
  <c r="BR117" i="201"/>
  <c r="D185" i="27"/>
  <c r="M254" i="26"/>
  <c r="M255" i="26" s="1"/>
  <c r="L421" i="182"/>
  <c r="N81" i="183"/>
  <c r="BC297" i="27"/>
  <c r="J14" i="150"/>
  <c r="DM92" i="190"/>
  <c r="CR86" i="190"/>
  <c r="CT86" i="190" s="1"/>
  <c r="I29" i="207"/>
  <c r="F29" i="207"/>
  <c r="J21" i="207"/>
  <c r="J18" i="207"/>
  <c r="I18" i="207"/>
  <c r="E20" i="207"/>
  <c r="G18" i="207"/>
  <c r="J8" i="207"/>
  <c r="I21" i="207"/>
  <c r="L8" i="207"/>
  <c r="F18" i="207"/>
  <c r="DJ109" i="190"/>
  <c r="I96" i="196"/>
  <c r="D7" i="196"/>
  <c r="G119" i="185"/>
  <c r="L14" i="182"/>
  <c r="L266" i="182"/>
  <c r="L424" i="182" s="1"/>
  <c r="L296" i="182"/>
  <c r="L425" i="182" s="1"/>
  <c r="L146" i="182"/>
  <c r="N145" i="183" s="1"/>
  <c r="L56" i="182"/>
  <c r="L417" i="182" s="1"/>
  <c r="L348" i="182"/>
  <c r="L236" i="182"/>
  <c r="N241" i="183" s="1"/>
  <c r="L68" i="196"/>
  <c r="I236" i="27"/>
  <c r="D14" i="150" s="1"/>
  <c r="L19" i="150" s="1"/>
  <c r="M173" i="27"/>
  <c r="E122" i="185"/>
  <c r="H172" i="27"/>
  <c r="AZ124" i="27"/>
  <c r="O79" i="185" s="1"/>
  <c r="X79" i="185" s="1"/>
  <c r="DB462" i="167"/>
  <c r="DB456" i="167"/>
  <c r="DB454" i="167"/>
  <c r="DB460" i="167"/>
  <c r="Q84" i="185"/>
  <c r="L280" i="183"/>
  <c r="BL148" i="201"/>
  <c r="BL151" i="201"/>
  <c r="BN93" i="201"/>
  <c r="BM142" i="201"/>
  <c r="BJ141" i="201"/>
  <c r="BM140" i="201"/>
  <c r="BM99" i="201"/>
  <c r="M125" i="125"/>
  <c r="N125" i="125" s="1"/>
  <c r="BJ124" i="201"/>
  <c r="BR123" i="201"/>
  <c r="BJ150" i="201"/>
  <c r="M124" i="125" s="1"/>
  <c r="O124" i="125" s="1"/>
  <c r="BJ133" i="201"/>
  <c r="F5" i="207"/>
  <c r="L5" i="207"/>
  <c r="E10" i="207"/>
  <c r="F10" i="207" s="1"/>
  <c r="F21" i="207"/>
  <c r="L21" i="207"/>
  <c r="G8" i="207"/>
  <c r="E24" i="207"/>
  <c r="I24" i="207" s="1"/>
  <c r="G21" i="207"/>
  <c r="J5" i="207"/>
  <c r="I5" i="207"/>
  <c r="G5" i="207"/>
  <c r="C293" i="183"/>
  <c r="D20" i="207"/>
  <c r="D24" i="207"/>
  <c r="D12" i="207"/>
  <c r="D15" i="207" s="1"/>
  <c r="C165" i="183"/>
  <c r="D11" i="207"/>
  <c r="N24" i="183"/>
  <c r="P24" i="183" s="1"/>
  <c r="C133" i="183"/>
  <c r="C30" i="207"/>
  <c r="C43" i="207" s="1"/>
  <c r="G45" i="196"/>
  <c r="D90" i="196"/>
  <c r="G90" i="196" s="1"/>
  <c r="G43" i="196"/>
  <c r="D53" i="196"/>
  <c r="D14" i="196" s="1"/>
  <c r="D13" i="196" s="1"/>
  <c r="D88" i="196"/>
  <c r="D89" i="196"/>
  <c r="G89" i="196" s="1"/>
  <c r="G44" i="196"/>
  <c r="D95" i="196"/>
  <c r="G95" i="196" s="1"/>
  <c r="G50" i="196"/>
  <c r="G47" i="196"/>
  <c r="D92" i="196"/>
  <c r="G92" i="196" s="1"/>
  <c r="G52" i="196"/>
  <c r="D97" i="196"/>
  <c r="G97" i="196" s="1"/>
  <c r="G51" i="196"/>
  <c r="D96" i="196"/>
  <c r="G96" i="196" s="1"/>
  <c r="G46" i="196"/>
  <c r="D91" i="196"/>
  <c r="G91" i="196" s="1"/>
  <c r="M175" i="26"/>
  <c r="D93" i="196"/>
  <c r="G93" i="196" s="1"/>
  <c r="G48" i="196"/>
  <c r="D94" i="196"/>
  <c r="G94" i="196" s="1"/>
  <c r="G49" i="196"/>
  <c r="C76" i="9"/>
  <c r="F89" i="9"/>
  <c r="D76" i="9" s="1"/>
  <c r="DC456" i="167"/>
  <c r="DC462" i="167"/>
  <c r="C73" i="9"/>
  <c r="F86" i="9"/>
  <c r="D73" i="9" s="1"/>
  <c r="DC457" i="167"/>
  <c r="C75" i="9"/>
  <c r="F88" i="9"/>
  <c r="D75" i="9" s="1"/>
  <c r="DC459" i="167"/>
  <c r="C74" i="9"/>
  <c r="F87" i="9"/>
  <c r="D74" i="9" s="1"/>
  <c r="C78" i="9"/>
  <c r="F91" i="9"/>
  <c r="D78" i="9" s="1"/>
  <c r="DC460" i="167"/>
  <c r="C72" i="9"/>
  <c r="F85" i="9"/>
  <c r="D72" i="9" s="1"/>
  <c r="C71" i="9"/>
  <c r="F84" i="9"/>
  <c r="D71" i="9" s="1"/>
  <c r="G155" i="6"/>
  <c r="E155" i="6"/>
  <c r="H155" i="6" s="1"/>
  <c r="DC454" i="167"/>
  <c r="DC458" i="167"/>
  <c r="C70" i="9"/>
  <c r="F83" i="9"/>
  <c r="D70" i="9" s="1"/>
  <c r="C77" i="9"/>
  <c r="F90" i="9"/>
  <c r="D77" i="9" s="1"/>
  <c r="DC461" i="167"/>
  <c r="DC455" i="167"/>
  <c r="I30" i="183"/>
  <c r="J30" i="183" s="1"/>
  <c r="E12" i="207"/>
  <c r="F9" i="207"/>
  <c r="E31" i="207"/>
  <c r="J9" i="207"/>
  <c r="G9" i="207"/>
  <c r="I9" i="207"/>
  <c r="I10" i="183"/>
  <c r="J10" i="183" s="1"/>
  <c r="E4" i="207"/>
  <c r="G14" i="183"/>
  <c r="BI122" i="201"/>
  <c r="BJ155" i="201"/>
  <c r="E126" i="125"/>
  <c r="G126" i="125" s="1"/>
  <c r="BG152" i="201"/>
  <c r="BI152" i="201" s="1"/>
  <c r="E129" i="125"/>
  <c r="H129" i="125" s="1"/>
  <c r="BG155" i="201"/>
  <c r="BL152" i="201"/>
  <c r="M126" i="125"/>
  <c r="BG156" i="201"/>
  <c r="BI156" i="201" s="1"/>
  <c r="BI141" i="201"/>
  <c r="BJ156" i="201"/>
  <c r="BI104" i="201"/>
  <c r="BJ154" i="201"/>
  <c r="E128" i="125"/>
  <c r="G128" i="125" s="1"/>
  <c r="BG154" i="201"/>
  <c r="BI154" i="201" s="1"/>
  <c r="BI103" i="201"/>
  <c r="BJ153" i="201"/>
  <c r="E127" i="125"/>
  <c r="G127" i="125" s="1"/>
  <c r="BG153" i="201"/>
  <c r="BI153" i="201" s="1"/>
  <c r="E125" i="125"/>
  <c r="G125" i="125" s="1"/>
  <c r="BG151" i="201"/>
  <c r="BI151" i="201" s="1"/>
  <c r="E124" i="125"/>
  <c r="H124" i="125" s="1"/>
  <c r="BG150" i="201"/>
  <c r="BI150" i="201" s="1"/>
  <c r="BK158" i="201"/>
  <c r="BG149" i="201"/>
  <c r="BI149" i="201" s="1"/>
  <c r="BJ149" i="201"/>
  <c r="BI142" i="201"/>
  <c r="BJ157" i="201"/>
  <c r="E131" i="125"/>
  <c r="BG157" i="201"/>
  <c r="BI157" i="201" s="1"/>
  <c r="O31" i="125"/>
  <c r="L14" i="183"/>
  <c r="K14" i="183"/>
  <c r="H14" i="183"/>
  <c r="O100" i="125"/>
  <c r="L216" i="183"/>
  <c r="K216" i="183"/>
  <c r="L248" i="183"/>
  <c r="L22" i="183"/>
  <c r="K22" i="183"/>
  <c r="BA86" i="201"/>
  <c r="H22" i="183"/>
  <c r="G22" i="183"/>
  <c r="O95" i="125"/>
  <c r="N45" i="125"/>
  <c r="M473" i="182"/>
  <c r="O473" i="182" s="1"/>
  <c r="O271" i="183"/>
  <c r="O265" i="182"/>
  <c r="F476" i="182"/>
  <c r="O138" i="182"/>
  <c r="O308" i="183"/>
  <c r="Q308" i="183" s="1"/>
  <c r="G371" i="183"/>
  <c r="R371" i="183" s="1"/>
  <c r="F353" i="183"/>
  <c r="F355" i="183" s="1"/>
  <c r="N288" i="182"/>
  <c r="N265" i="182"/>
  <c r="O141" i="182"/>
  <c r="N141" i="182"/>
  <c r="O33" i="125"/>
  <c r="O140" i="183"/>
  <c r="M118" i="182"/>
  <c r="N118" i="182" s="1"/>
  <c r="M61" i="125"/>
  <c r="M318" i="182"/>
  <c r="O340" i="183" s="1"/>
  <c r="Q340" i="183" s="1"/>
  <c r="M101" i="125"/>
  <c r="M208" i="182"/>
  <c r="M454" i="182" s="1"/>
  <c r="O454" i="182" s="1"/>
  <c r="M64" i="125"/>
  <c r="M145" i="182"/>
  <c r="O143" i="183" s="1"/>
  <c r="M27" i="125"/>
  <c r="BH16" i="201"/>
  <c r="E123" i="125"/>
  <c r="E16" i="125"/>
  <c r="M205" i="182"/>
  <c r="O207" i="183" s="1"/>
  <c r="M29" i="125"/>
  <c r="M175" i="182"/>
  <c r="O175" i="182" s="1"/>
  <c r="M28" i="125"/>
  <c r="M261" i="182"/>
  <c r="N261" i="182" s="1"/>
  <c r="M49" i="125"/>
  <c r="M85" i="182"/>
  <c r="O79" i="183" s="1"/>
  <c r="M25" i="125"/>
  <c r="M168" i="182"/>
  <c r="O168" i="182" s="1"/>
  <c r="M96" i="125"/>
  <c r="M268" i="182"/>
  <c r="M456" i="182" s="1"/>
  <c r="M66" i="125"/>
  <c r="N66" i="125" s="1"/>
  <c r="M238" i="182"/>
  <c r="O247" i="183" s="1"/>
  <c r="M65" i="125"/>
  <c r="N138" i="182"/>
  <c r="BH141" i="201"/>
  <c r="E130" i="125"/>
  <c r="M115" i="182"/>
  <c r="N115" i="182" s="1"/>
  <c r="M26" i="125"/>
  <c r="H391" i="167"/>
  <c r="M108" i="182"/>
  <c r="O116" i="183" s="1"/>
  <c r="P116" i="183" s="1"/>
  <c r="M94" i="125"/>
  <c r="M468" i="182"/>
  <c r="O468" i="182" s="1"/>
  <c r="AP143" i="201"/>
  <c r="AO158" i="201"/>
  <c r="AQ158" i="201" s="1"/>
  <c r="M201" i="182"/>
  <c r="M438" i="182" s="1"/>
  <c r="M47" i="125"/>
  <c r="M258" i="182"/>
  <c r="M472" i="182" s="1"/>
  <c r="O472" i="182" s="1"/>
  <c r="M99" i="125"/>
  <c r="N99" i="125" s="1"/>
  <c r="M88" i="182"/>
  <c r="N88" i="182" s="1"/>
  <c r="M60" i="125"/>
  <c r="M298" i="182"/>
  <c r="O311" i="183" s="1"/>
  <c r="M67" i="125"/>
  <c r="N67" i="125" s="1"/>
  <c r="M48" i="182"/>
  <c r="O48" i="182" s="1"/>
  <c r="M92" i="125"/>
  <c r="M51" i="182"/>
  <c r="O51" i="182" s="1"/>
  <c r="M42" i="125"/>
  <c r="M58" i="182"/>
  <c r="O55" i="183" s="1"/>
  <c r="P55" i="183" s="1"/>
  <c r="M59" i="125"/>
  <c r="M321" i="182"/>
  <c r="O321" i="182" s="1"/>
  <c r="M51" i="125"/>
  <c r="M235" i="182"/>
  <c r="O235" i="182" s="1"/>
  <c r="M30" i="125"/>
  <c r="H109" i="28"/>
  <c r="J109" i="28" s="1"/>
  <c r="M228" i="182"/>
  <c r="N228" i="182" s="1"/>
  <c r="M98" i="125"/>
  <c r="M198" i="182"/>
  <c r="O198" i="182" s="1"/>
  <c r="M97" i="125"/>
  <c r="AQ143" i="201"/>
  <c r="AR158" i="201"/>
  <c r="AT158" i="201" s="1"/>
  <c r="M14" i="182" s="1"/>
  <c r="O14" i="182" s="1"/>
  <c r="M78" i="182"/>
  <c r="M466" i="182" s="1"/>
  <c r="N466" i="182" s="1"/>
  <c r="M93" i="125"/>
  <c r="M81" i="182"/>
  <c r="N81" i="182" s="1"/>
  <c r="M43" i="125"/>
  <c r="M295" i="182"/>
  <c r="M409" i="182" s="1"/>
  <c r="M32" i="125"/>
  <c r="N32" i="125" s="1"/>
  <c r="M231" i="182"/>
  <c r="O236" i="183" s="1"/>
  <c r="M48" i="125"/>
  <c r="M178" i="182"/>
  <c r="O183" i="183" s="1"/>
  <c r="M63" i="125"/>
  <c r="M62" i="125"/>
  <c r="M148" i="182"/>
  <c r="M68" i="125"/>
  <c r="M328" i="182"/>
  <c r="M55" i="182"/>
  <c r="M401" i="182" s="1"/>
  <c r="M24" i="125"/>
  <c r="M111" i="182"/>
  <c r="M435" i="182" s="1"/>
  <c r="M44" i="125"/>
  <c r="M291" i="182"/>
  <c r="M441" i="182" s="1"/>
  <c r="N441" i="182" s="1"/>
  <c r="M50" i="125"/>
  <c r="M171" i="182"/>
  <c r="O171" i="182" s="1"/>
  <c r="M46" i="125"/>
  <c r="E83" i="134"/>
  <c r="E69" i="134" s="1"/>
  <c r="D69" i="134"/>
  <c r="E90" i="134"/>
  <c r="E76" i="134" s="1"/>
  <c r="D76" i="134"/>
  <c r="E92" i="134"/>
  <c r="E78" i="134" s="1"/>
  <c r="D78" i="134"/>
  <c r="D77" i="134"/>
  <c r="E91" i="134"/>
  <c r="E77" i="134" s="1"/>
  <c r="E85" i="134"/>
  <c r="E71" i="134" s="1"/>
  <c r="D71" i="134"/>
  <c r="E89" i="134"/>
  <c r="E75" i="134" s="1"/>
  <c r="D75" i="134"/>
  <c r="E88" i="134"/>
  <c r="E74" i="134" s="1"/>
  <c r="D74" i="134"/>
  <c r="E87" i="134"/>
  <c r="E73" i="134" s="1"/>
  <c r="D73" i="134"/>
  <c r="L99" i="125"/>
  <c r="L258" i="182"/>
  <c r="N279" i="183"/>
  <c r="L456" i="182"/>
  <c r="L457" i="182"/>
  <c r="N311" i="183"/>
  <c r="D289" i="183"/>
  <c r="D291" i="183" s="1"/>
  <c r="V114" i="201"/>
  <c r="X114" i="201" s="1"/>
  <c r="L122" i="125" s="1"/>
  <c r="O122" i="125" s="1"/>
  <c r="N308" i="183"/>
  <c r="L473" i="182"/>
  <c r="L354" i="182"/>
  <c r="L82" i="125"/>
  <c r="L241" i="182"/>
  <c r="N251" i="183" s="1"/>
  <c r="L352" i="182"/>
  <c r="L80" i="125"/>
  <c r="L181" i="182"/>
  <c r="N187" i="183" s="1"/>
  <c r="L349" i="182"/>
  <c r="L77" i="125"/>
  <c r="L91" i="182"/>
  <c r="N91" i="183" s="1"/>
  <c r="K107" i="201"/>
  <c r="D85" i="125"/>
  <c r="V108" i="201"/>
  <c r="L118" i="125"/>
  <c r="L21" i="182"/>
  <c r="L408" i="182"/>
  <c r="N408" i="182" s="1"/>
  <c r="N271" i="183"/>
  <c r="D132" i="125"/>
  <c r="L353" i="182"/>
  <c r="L81" i="125"/>
  <c r="L211" i="182"/>
  <c r="N219" i="183" s="1"/>
  <c r="L76" i="125"/>
  <c r="L61" i="182"/>
  <c r="N59" i="183" s="1"/>
  <c r="L351" i="182"/>
  <c r="L79" i="125"/>
  <c r="L151" i="182"/>
  <c r="N155" i="183" s="1"/>
  <c r="L350" i="182"/>
  <c r="L78" i="125"/>
  <c r="L121" i="182"/>
  <c r="N123" i="183" s="1"/>
  <c r="L34" i="125"/>
  <c r="L22" i="182"/>
  <c r="N303" i="183"/>
  <c r="L409" i="182"/>
  <c r="H10" i="182"/>
  <c r="J411" i="182"/>
  <c r="G366" i="183"/>
  <c r="R366" i="183" s="1"/>
  <c r="AY179" i="26"/>
  <c r="AY179" i="27"/>
  <c r="AX185" i="26"/>
  <c r="K177" i="44"/>
  <c r="S177" i="44" s="1"/>
  <c r="BS91" i="201"/>
  <c r="BI100" i="201"/>
  <c r="BI117" i="201"/>
  <c r="D89" i="195"/>
  <c r="G44" i="195"/>
  <c r="D28" i="195" s="1"/>
  <c r="G28" i="195" s="1"/>
  <c r="D93" i="195"/>
  <c r="G93" i="195" s="1"/>
  <c r="G48" i="195"/>
  <c r="D32" i="195" s="1"/>
  <c r="G32" i="195" s="1"/>
  <c r="G50" i="195"/>
  <c r="D34" i="195" s="1"/>
  <c r="G34" i="195" s="1"/>
  <c r="D95" i="195"/>
  <c r="D91" i="195"/>
  <c r="G46" i="195"/>
  <c r="D30" i="195" s="1"/>
  <c r="G30" i="195" s="1"/>
  <c r="D125" i="27"/>
  <c r="F73" i="185"/>
  <c r="I73" i="185" s="1"/>
  <c r="J73" i="185" s="1"/>
  <c r="H125" i="27"/>
  <c r="D88" i="195"/>
  <c r="G88" i="195" s="1"/>
  <c r="D53" i="195"/>
  <c r="G43" i="195"/>
  <c r="D27" i="195" s="1"/>
  <c r="D90" i="195"/>
  <c r="G90" i="195" s="1"/>
  <c r="G45" i="195"/>
  <c r="D29" i="195" s="1"/>
  <c r="G29" i="195" s="1"/>
  <c r="G52" i="195"/>
  <c r="D36" i="195" s="1"/>
  <c r="G36" i="195" s="1"/>
  <c r="D97" i="195"/>
  <c r="D96" i="195"/>
  <c r="G96" i="195" s="1"/>
  <c r="G51" i="195"/>
  <c r="D35" i="195" s="1"/>
  <c r="G35" i="195" s="1"/>
  <c r="D94" i="195"/>
  <c r="G94" i="195" s="1"/>
  <c r="G49" i="195"/>
  <c r="D33" i="195" s="1"/>
  <c r="G33" i="195" s="1"/>
  <c r="D92" i="195"/>
  <c r="G92" i="195" s="1"/>
  <c r="G47" i="195"/>
  <c r="D31" i="195" s="1"/>
  <c r="G31" i="195" s="1"/>
  <c r="E32" i="185"/>
  <c r="E172" i="44"/>
  <c r="P111" i="27"/>
  <c r="M15" i="19"/>
  <c r="W14" i="19"/>
  <c r="Q104" i="185"/>
  <c r="K160" i="183"/>
  <c r="H192" i="183"/>
  <c r="I192" i="183"/>
  <c r="J192" i="183" s="1"/>
  <c r="K192" i="183"/>
  <c r="N110" i="125"/>
  <c r="N115" i="125"/>
  <c r="F72" i="185"/>
  <c r="I72" i="185" s="1"/>
  <c r="J72" i="185" s="1"/>
  <c r="F78" i="185"/>
  <c r="I78" i="185" s="1"/>
  <c r="J78" i="185" s="1"/>
  <c r="Z104" i="185"/>
  <c r="AH104" i="185" s="1"/>
  <c r="G115" i="185"/>
  <c r="M6" i="5"/>
  <c r="AY185" i="26"/>
  <c r="N77" i="185"/>
  <c r="L15" i="183"/>
  <c r="L24" i="183"/>
  <c r="BM105" i="201"/>
  <c r="P5" i="150"/>
  <c r="BS88" i="201"/>
  <c r="L192" i="183"/>
  <c r="H160" i="183"/>
  <c r="L160" i="183"/>
  <c r="I160" i="183"/>
  <c r="J160" i="183" s="1"/>
  <c r="AD187" i="27"/>
  <c r="G367" i="183"/>
  <c r="R367" i="183" s="1"/>
  <c r="F90" i="185"/>
  <c r="I90" i="185" s="1"/>
  <c r="J90" i="185" s="1"/>
  <c r="G135" i="185"/>
  <c r="E275" i="183"/>
  <c r="I275" i="183" s="1"/>
  <c r="J275" i="183" s="1"/>
  <c r="T179" i="26"/>
  <c r="F99" i="185"/>
  <c r="I99" i="185" s="1"/>
  <c r="J99" i="185" s="1"/>
  <c r="BS85" i="201"/>
  <c r="BM122" i="201"/>
  <c r="BH123" i="201"/>
  <c r="BB143" i="201"/>
  <c r="BA183" i="27"/>
  <c r="P119" i="185" s="1"/>
  <c r="Y119" i="185" s="1"/>
  <c r="AG119" i="185" s="1"/>
  <c r="G130" i="185"/>
  <c r="M45" i="182"/>
  <c r="O45" i="182" s="1"/>
  <c r="Q43" i="183" s="1"/>
  <c r="G7" i="19"/>
  <c r="R7" i="19"/>
  <c r="S7" i="19" s="1"/>
  <c r="G12" i="19"/>
  <c r="R12" i="19"/>
  <c r="S12" i="19" s="1"/>
  <c r="G8" i="19"/>
  <c r="R8" i="19"/>
  <c r="S8" i="19" s="1"/>
  <c r="G11" i="19"/>
  <c r="R11" i="19"/>
  <c r="S11" i="19" s="1"/>
  <c r="G5" i="19"/>
  <c r="R5" i="19"/>
  <c r="S5" i="19" s="1"/>
  <c r="G9" i="19"/>
  <c r="R9" i="19"/>
  <c r="S9" i="19" s="1"/>
  <c r="G6" i="19"/>
  <c r="R6" i="19"/>
  <c r="S6" i="19" s="1"/>
  <c r="G10" i="19"/>
  <c r="R10" i="19"/>
  <c r="S10" i="19" s="1"/>
  <c r="G13" i="19"/>
  <c r="R13" i="19"/>
  <c r="S13" i="19" s="1"/>
  <c r="C123" i="185"/>
  <c r="E114" i="185"/>
  <c r="AN172" i="27"/>
  <c r="AV173" i="27" s="1"/>
  <c r="B113" i="185"/>
  <c r="E113" i="185" s="1"/>
  <c r="AV111" i="27"/>
  <c r="AO123" i="201"/>
  <c r="BO43" i="201"/>
  <c r="BS43" i="201" s="1"/>
  <c r="I32" i="183"/>
  <c r="J32" i="183" s="1"/>
  <c r="J52" i="5"/>
  <c r="J53" i="5" s="1"/>
  <c r="AK241" i="27"/>
  <c r="AK251" i="27"/>
  <c r="G137" i="185"/>
  <c r="G136" i="185"/>
  <c r="F94" i="185"/>
  <c r="I94" i="185" s="1"/>
  <c r="J94" i="185" s="1"/>
  <c r="G133" i="185"/>
  <c r="G132" i="185"/>
  <c r="F92" i="185"/>
  <c r="I92" i="185" s="1"/>
  <c r="J92" i="185" s="1"/>
  <c r="AK187" i="27"/>
  <c r="L110" i="44"/>
  <c r="B84" i="185"/>
  <c r="E84" i="185" s="1"/>
  <c r="S171" i="42"/>
  <c r="G272" i="183"/>
  <c r="E294" i="183"/>
  <c r="H272" i="183"/>
  <c r="E283" i="183"/>
  <c r="H283" i="183" s="1"/>
  <c r="BS86" i="201"/>
  <c r="AG241" i="27"/>
  <c r="BE241" i="27" s="1"/>
  <c r="AG251" i="27"/>
  <c r="BE251" i="27" s="1"/>
  <c r="F135" i="185"/>
  <c r="AF125" i="27"/>
  <c r="BC125" i="27" s="1"/>
  <c r="F93" i="185"/>
  <c r="I93" i="185" s="1"/>
  <c r="J93" i="185" s="1"/>
  <c r="AG189" i="26"/>
  <c r="BE189" i="26" s="1"/>
  <c r="AG187" i="27"/>
  <c r="BD187" i="27" s="1"/>
  <c r="D348" i="183"/>
  <c r="D401" i="183" s="1"/>
  <c r="F16" i="183"/>
  <c r="F27" i="183" s="1"/>
  <c r="R9" i="134"/>
  <c r="BS92" i="201"/>
  <c r="H80" i="183"/>
  <c r="BA180" i="27"/>
  <c r="P116" i="185" s="1"/>
  <c r="Y116" i="185" s="1"/>
  <c r="AG116" i="185" s="1"/>
  <c r="G116" i="185"/>
  <c r="AB126" i="26"/>
  <c r="AB174" i="26"/>
  <c r="AK175" i="26"/>
  <c r="AB172" i="27"/>
  <c r="AJ111" i="27"/>
  <c r="N115" i="185"/>
  <c r="N118" i="185"/>
  <c r="N135" i="185"/>
  <c r="N119" i="185"/>
  <c r="N133" i="185"/>
  <c r="N137" i="185"/>
  <c r="DM75" i="190"/>
  <c r="W24" i="134"/>
  <c r="A286" i="42"/>
  <c r="A286" i="44" s="1"/>
  <c r="A254" i="44"/>
  <c r="N117" i="185"/>
  <c r="N131" i="185"/>
  <c r="I352" i="183"/>
  <c r="J352" i="183" s="1"/>
  <c r="BK75" i="201"/>
  <c r="AC102" i="201"/>
  <c r="BG134" i="201"/>
  <c r="O99" i="201"/>
  <c r="AG24" i="201"/>
  <c r="AG102" i="201" s="1"/>
  <c r="O101" i="201"/>
  <c r="O104" i="201"/>
  <c r="AB20" i="201"/>
  <c r="AB98" i="201" s="1"/>
  <c r="BA75" i="201"/>
  <c r="BA73" i="201"/>
  <c r="BH101" i="201"/>
  <c r="M146" i="182" s="1"/>
  <c r="M420" i="182" s="1"/>
  <c r="AV104" i="201"/>
  <c r="BH142" i="201"/>
  <c r="BH135" i="201"/>
  <c r="BH139" i="201"/>
  <c r="AV103" i="201"/>
  <c r="AV99" i="201"/>
  <c r="BH138" i="201"/>
  <c r="BH99" i="201"/>
  <c r="M7" i="5"/>
  <c r="BH102" i="201"/>
  <c r="M176" i="182" s="1"/>
  <c r="O176" i="182" s="1"/>
  <c r="BI137" i="201"/>
  <c r="BH122" i="201"/>
  <c r="AC101" i="201"/>
  <c r="BA72" i="201"/>
  <c r="BA45" i="201"/>
  <c r="BA74" i="201"/>
  <c r="BO41" i="201"/>
  <c r="BS41" i="201" s="1"/>
  <c r="K143" i="6"/>
  <c r="P143" i="6" s="1"/>
  <c r="I148" i="6"/>
  <c r="N148" i="6" s="1"/>
  <c r="J148" i="6"/>
  <c r="O148" i="6" s="1"/>
  <c r="J59" i="6"/>
  <c r="O59" i="6" s="1"/>
  <c r="CS69" i="190"/>
  <c r="CS70" i="190" s="1"/>
  <c r="I59" i="6"/>
  <c r="N59" i="6" s="1"/>
  <c r="BJ134" i="201"/>
  <c r="P6" i="150"/>
  <c r="G370" i="183"/>
  <c r="R370" i="183" s="1"/>
  <c r="BA185" i="26"/>
  <c r="P135" i="185" s="1"/>
  <c r="Y135" i="185" s="1"/>
  <c r="AG135" i="185" s="1"/>
  <c r="Y241" i="27"/>
  <c r="Y251" i="27"/>
  <c r="F98" i="185"/>
  <c r="I98" i="185" s="1"/>
  <c r="J98" i="185" s="1"/>
  <c r="F95" i="185"/>
  <c r="I95" i="185" s="1"/>
  <c r="J95" i="185" s="1"/>
  <c r="F91" i="185"/>
  <c r="I91" i="185" s="1"/>
  <c r="J91" i="185" s="1"/>
  <c r="Y187" i="27"/>
  <c r="X125" i="27"/>
  <c r="Y189" i="26"/>
  <c r="BR103" i="201"/>
  <c r="E260" i="183"/>
  <c r="E324" i="183"/>
  <c r="AC21" i="201"/>
  <c r="AG21" i="201" s="1"/>
  <c r="Q123" i="185"/>
  <c r="U246" i="27"/>
  <c r="U248" i="27"/>
  <c r="U250" i="27"/>
  <c r="U244" i="27"/>
  <c r="U242" i="27"/>
  <c r="U241" i="27"/>
  <c r="T187" i="27"/>
  <c r="F76" i="185"/>
  <c r="I76" i="185" s="1"/>
  <c r="J76" i="185" s="1"/>
  <c r="F96" i="185"/>
  <c r="I96" i="185" s="1"/>
  <c r="J96" i="185" s="1"/>
  <c r="U189" i="26"/>
  <c r="U187" i="27"/>
  <c r="N93" i="185"/>
  <c r="B104" i="185"/>
  <c r="E104" i="185" s="1"/>
  <c r="U172" i="44"/>
  <c r="AO117" i="201"/>
  <c r="H352" i="183"/>
  <c r="K352" i="183"/>
  <c r="G352" i="183"/>
  <c r="R161" i="125"/>
  <c r="G372" i="183"/>
  <c r="R372" i="183" s="1"/>
  <c r="I109" i="28"/>
  <c r="K63" i="195"/>
  <c r="I32" i="195" s="1"/>
  <c r="P47" i="195"/>
  <c r="P92" i="195" s="1"/>
  <c r="S92" i="195" s="1"/>
  <c r="X187" i="27"/>
  <c r="G121" i="185"/>
  <c r="G364" i="183"/>
  <c r="R364" i="183" s="1"/>
  <c r="R59" i="185"/>
  <c r="U59" i="185" s="1"/>
  <c r="T93" i="196" s="1"/>
  <c r="V187" i="27"/>
  <c r="AB189" i="26"/>
  <c r="BH121" i="201"/>
  <c r="T52" i="42"/>
  <c r="AX181" i="26"/>
  <c r="L21" i="134"/>
  <c r="R21" i="134" s="1"/>
  <c r="L8" i="132" s="1"/>
  <c r="AV126" i="26"/>
  <c r="D38" i="134"/>
  <c r="P38" i="134" s="1"/>
  <c r="P21" i="134"/>
  <c r="T306" i="42"/>
  <c r="AA187" i="27"/>
  <c r="BL123" i="201"/>
  <c r="I38" i="185"/>
  <c r="J38" i="185" s="1"/>
  <c r="L24" i="134"/>
  <c r="BI106" i="201"/>
  <c r="BI123" i="201"/>
  <c r="AW187" i="27"/>
  <c r="F79" i="185"/>
  <c r="I79" i="185" s="1"/>
  <c r="J79" i="185" s="1"/>
  <c r="F187" i="27"/>
  <c r="P62" i="196"/>
  <c r="S62" i="196" s="1"/>
  <c r="Q31" i="196" s="1"/>
  <c r="AY182" i="26"/>
  <c r="C189" i="26"/>
  <c r="I40" i="185"/>
  <c r="J40" i="185" s="1"/>
  <c r="F74" i="185"/>
  <c r="I74" i="185" s="1"/>
  <c r="J74" i="185" s="1"/>
  <c r="F138" i="185"/>
  <c r="N189" i="26"/>
  <c r="AN126" i="26"/>
  <c r="G131" i="185"/>
  <c r="H8" i="125"/>
  <c r="AY183" i="26"/>
  <c r="BA249" i="26"/>
  <c r="C182" i="44"/>
  <c r="S182" i="44" s="1"/>
  <c r="E83" i="183"/>
  <c r="G83" i="183" s="1"/>
  <c r="H314" i="42"/>
  <c r="Z189" i="26"/>
  <c r="BL116" i="201"/>
  <c r="G80" i="183"/>
  <c r="E91" i="183"/>
  <c r="H91" i="183" s="1"/>
  <c r="AZ123" i="27"/>
  <c r="O78" i="185" s="1"/>
  <c r="X78" i="185" s="1"/>
  <c r="AI189" i="26"/>
  <c r="AY177" i="27"/>
  <c r="BB404" i="26"/>
  <c r="M145" i="6" s="1"/>
  <c r="R145" i="6" s="1"/>
  <c r="BR141" i="201"/>
  <c r="L80" i="183"/>
  <c r="AL189" i="26"/>
  <c r="K51" i="6"/>
  <c r="P51" i="6" s="1"/>
  <c r="K80" i="183"/>
  <c r="BH106" i="201"/>
  <c r="M296" i="182" s="1"/>
  <c r="M425" i="182" s="1"/>
  <c r="O425" i="182" s="1"/>
  <c r="Q241" i="27"/>
  <c r="Q251" i="27"/>
  <c r="L22" i="134"/>
  <c r="K9" i="132" s="1"/>
  <c r="DM56" i="190"/>
  <c r="CR105" i="190"/>
  <c r="CT104" i="190"/>
  <c r="CV104" i="190" s="1"/>
  <c r="Q112" i="27"/>
  <c r="F70" i="185"/>
  <c r="I70" i="185" s="1"/>
  <c r="J70" i="185" s="1"/>
  <c r="BA181" i="27"/>
  <c r="P117" i="185" s="1"/>
  <c r="Y117" i="185" s="1"/>
  <c r="AG117" i="185" s="1"/>
  <c r="BA178" i="27"/>
  <c r="P114" i="185" s="1"/>
  <c r="Y114" i="185" s="1"/>
  <c r="AG114" i="185" s="1"/>
  <c r="DM66" i="190"/>
  <c r="DM64" i="190"/>
  <c r="DM58" i="190"/>
  <c r="DM67" i="190"/>
  <c r="DM60" i="190"/>
  <c r="DM65" i="190"/>
  <c r="DM57" i="190"/>
  <c r="DM59" i="190"/>
  <c r="DM61" i="190"/>
  <c r="DM63" i="190"/>
  <c r="DM62" i="190"/>
  <c r="L19" i="134"/>
  <c r="F36" i="134" s="1"/>
  <c r="DM19" i="190"/>
  <c r="DM78" i="190"/>
  <c r="DM79" i="190"/>
  <c r="DM80" i="190"/>
  <c r="DM83" i="190"/>
  <c r="DM84" i="190"/>
  <c r="DM81" i="190"/>
  <c r="DM82" i="190"/>
  <c r="DM77" i="190"/>
  <c r="DM76" i="190"/>
  <c r="CS87" i="190"/>
  <c r="CU86" i="190"/>
  <c r="L27" i="134"/>
  <c r="R27" i="134" s="1"/>
  <c r="L14" i="132" s="1"/>
  <c r="DM103" i="190"/>
  <c r="DM30" i="190"/>
  <c r="DM34" i="190"/>
  <c r="DM36" i="190"/>
  <c r="DM31" i="190"/>
  <c r="DM32" i="190"/>
  <c r="DM35" i="190"/>
  <c r="DM33" i="190"/>
  <c r="DM37" i="190"/>
  <c r="CS106" i="190"/>
  <c r="CU105" i="190"/>
  <c r="Q189" i="26"/>
  <c r="G129" i="185"/>
  <c r="P126" i="26"/>
  <c r="F97" i="185"/>
  <c r="I97" i="185" s="1"/>
  <c r="J97" i="185" s="1"/>
  <c r="P174" i="26"/>
  <c r="B129" i="185"/>
  <c r="E129" i="185" s="1"/>
  <c r="Q175" i="26"/>
  <c r="AC189" i="26"/>
  <c r="P189" i="26"/>
  <c r="AJ112" i="26"/>
  <c r="G138" i="185"/>
  <c r="CR22" i="190"/>
  <c r="CT21" i="190"/>
  <c r="CR58" i="190"/>
  <c r="CT57" i="190"/>
  <c r="CR71" i="190"/>
  <c r="CT70" i="190"/>
  <c r="CR41" i="190"/>
  <c r="CT40" i="190"/>
  <c r="CT31" i="190"/>
  <c r="CR32" i="190"/>
  <c r="CR8" i="190"/>
  <c r="CT7" i="190"/>
  <c r="F189" i="26"/>
  <c r="P172" i="44"/>
  <c r="AX188" i="26"/>
  <c r="AR136" i="201"/>
  <c r="AR118" i="201"/>
  <c r="T309" i="42"/>
  <c r="M241" i="27"/>
  <c r="O165" i="182"/>
  <c r="N165" i="182"/>
  <c r="O285" i="182"/>
  <c r="N285" i="182"/>
  <c r="N195" i="182"/>
  <c r="O195" i="182"/>
  <c r="R109" i="42"/>
  <c r="N315" i="182"/>
  <c r="O315" i="182"/>
  <c r="N255" i="182"/>
  <c r="O255" i="182"/>
  <c r="L54" i="136"/>
  <c r="N225" i="182"/>
  <c r="O225" i="182"/>
  <c r="BA184" i="26"/>
  <c r="P134" i="185" s="1"/>
  <c r="Y134" i="185" s="1"/>
  <c r="AG134" i="185" s="1"/>
  <c r="G134" i="185"/>
  <c r="K67" i="196"/>
  <c r="I36" i="196" s="1"/>
  <c r="M187" i="27"/>
  <c r="I56" i="185"/>
  <c r="J56" i="185" s="1"/>
  <c r="H45" i="196"/>
  <c r="H90" i="196" s="1"/>
  <c r="K90" i="196" s="1"/>
  <c r="O74" i="182"/>
  <c r="N74" i="182"/>
  <c r="O74" i="183"/>
  <c r="Q74" i="183" s="1"/>
  <c r="Z30" i="201"/>
  <c r="Z108" i="201" s="1"/>
  <c r="AF108" i="201"/>
  <c r="I54" i="185"/>
  <c r="J54" i="185" s="1"/>
  <c r="E27" i="196"/>
  <c r="E37" i="196" s="1"/>
  <c r="O17" i="196" s="1"/>
  <c r="H49" i="6"/>
  <c r="K66" i="195"/>
  <c r="I35" i="195" s="1"/>
  <c r="R40" i="185"/>
  <c r="S40" i="185" s="1"/>
  <c r="AZ119" i="27"/>
  <c r="O74" i="185" s="1"/>
  <c r="X74" i="185" s="1"/>
  <c r="AA74" i="185" s="1"/>
  <c r="AI74" i="185" s="1"/>
  <c r="AA172" i="188"/>
  <c r="BJ102" i="201"/>
  <c r="BJ137" i="201"/>
  <c r="L30" i="183"/>
  <c r="K30" i="183"/>
  <c r="D314" i="42"/>
  <c r="I251" i="27"/>
  <c r="AC187" i="27"/>
  <c r="AZ117" i="27"/>
  <c r="O72" i="185" s="1"/>
  <c r="X72" i="185" s="1"/>
  <c r="AF72" i="185" s="1"/>
  <c r="BK67" i="201"/>
  <c r="AR126" i="26"/>
  <c r="I241" i="27"/>
  <c r="BB312" i="27"/>
  <c r="G9" i="125"/>
  <c r="Z16" i="5"/>
  <c r="BA186" i="27"/>
  <c r="P122" i="185" s="1"/>
  <c r="Y122" i="185" s="1"/>
  <c r="AG122" i="185" s="1"/>
  <c r="G122" i="185"/>
  <c r="AZ122" i="27"/>
  <c r="O77" i="185" s="1"/>
  <c r="R77" i="185" s="1"/>
  <c r="BA184" i="27"/>
  <c r="P120" i="185" s="1"/>
  <c r="Y120" i="185" s="1"/>
  <c r="AG120" i="185" s="1"/>
  <c r="G120" i="185"/>
  <c r="P48" i="195"/>
  <c r="P93" i="195" s="1"/>
  <c r="S93" i="195" s="1"/>
  <c r="AZ115" i="27"/>
  <c r="O70" i="185" s="1"/>
  <c r="I189" i="26"/>
  <c r="H187" i="27"/>
  <c r="I187" i="27"/>
  <c r="BA87" i="201"/>
  <c r="BA92" i="201"/>
  <c r="BA90" i="201"/>
  <c r="BA88" i="201"/>
  <c r="BA89" i="201"/>
  <c r="BA85" i="201"/>
  <c r="BA84" i="201"/>
  <c r="BA91" i="201"/>
  <c r="O76" i="201"/>
  <c r="D32" i="183"/>
  <c r="H32" i="183" s="1"/>
  <c r="H30" i="183"/>
  <c r="N99" i="185"/>
  <c r="O50" i="196"/>
  <c r="L34" i="196" s="1"/>
  <c r="O34" i="196" s="1"/>
  <c r="R60" i="185"/>
  <c r="S60" i="185" s="1"/>
  <c r="K59" i="195"/>
  <c r="I28" i="195" s="1"/>
  <c r="L111" i="27"/>
  <c r="N73" i="185"/>
  <c r="T103" i="42"/>
  <c r="L94" i="195"/>
  <c r="O94" i="195" s="1"/>
  <c r="L148" i="6"/>
  <c r="Q148" i="6" s="1"/>
  <c r="L59" i="6"/>
  <c r="Q59" i="6" s="1"/>
  <c r="G185" i="182"/>
  <c r="H185" i="182"/>
  <c r="I185" i="182"/>
  <c r="J185" i="182"/>
  <c r="BH140" i="201"/>
  <c r="H305" i="182"/>
  <c r="G305" i="182"/>
  <c r="J305" i="182"/>
  <c r="I305" i="182"/>
  <c r="O14" i="150"/>
  <c r="U314" i="44"/>
  <c r="G335" i="182"/>
  <c r="H335" i="182"/>
  <c r="I335" i="182"/>
  <c r="J335" i="182"/>
  <c r="G275" i="182"/>
  <c r="H275" i="182"/>
  <c r="I275" i="182"/>
  <c r="J275" i="182"/>
  <c r="H215" i="182"/>
  <c r="G215" i="182"/>
  <c r="I215" i="182"/>
  <c r="J215" i="182"/>
  <c r="H155" i="182"/>
  <c r="G155" i="182"/>
  <c r="J155" i="182"/>
  <c r="I155" i="182"/>
  <c r="H125" i="182"/>
  <c r="G125" i="182"/>
  <c r="I125" i="182"/>
  <c r="J125" i="182"/>
  <c r="BH117" i="201"/>
  <c r="M14" i="5"/>
  <c r="J105" i="201"/>
  <c r="M10" i="5"/>
  <c r="BH100" i="201"/>
  <c r="M116" i="182" s="1"/>
  <c r="M419" i="182" s="1"/>
  <c r="BG116" i="201"/>
  <c r="BG99" i="201"/>
  <c r="BI139" i="201"/>
  <c r="G95" i="182"/>
  <c r="H95" i="182"/>
  <c r="J95" i="182"/>
  <c r="I95" i="182"/>
  <c r="G99" i="182"/>
  <c r="H99" i="182"/>
  <c r="J99" i="182"/>
  <c r="I99" i="182"/>
  <c r="BI99" i="201"/>
  <c r="BI134" i="201"/>
  <c r="BM115" i="201"/>
  <c r="BM98" i="201"/>
  <c r="H245" i="182"/>
  <c r="G245" i="182"/>
  <c r="J245" i="182"/>
  <c r="I245" i="182"/>
  <c r="K64" i="196"/>
  <c r="I33" i="196" s="1"/>
  <c r="R44" i="185"/>
  <c r="S44" i="185" s="1"/>
  <c r="G118" i="185"/>
  <c r="R46" i="185"/>
  <c r="U46" i="185" s="1"/>
  <c r="T96" i="195" s="1"/>
  <c r="I46" i="185"/>
  <c r="J46" i="185" s="1"/>
  <c r="N187" i="27"/>
  <c r="K65" i="195"/>
  <c r="I34" i="195" s="1"/>
  <c r="AX177" i="27"/>
  <c r="K67" i="195"/>
  <c r="I36" i="195" s="1"/>
  <c r="D181" i="27"/>
  <c r="F117" i="185" s="1"/>
  <c r="G114" i="185"/>
  <c r="F121" i="185"/>
  <c r="AZ116" i="27"/>
  <c r="O71" i="185" s="1"/>
  <c r="X71" i="185" s="1"/>
  <c r="F179" i="183"/>
  <c r="F124" i="183"/>
  <c r="F394" i="183" s="1"/>
  <c r="F129" i="183"/>
  <c r="F131" i="183" s="1"/>
  <c r="F133" i="183" s="1"/>
  <c r="F37" i="182"/>
  <c r="F39" i="182" s="1"/>
  <c r="BH107" i="201"/>
  <c r="M326" i="182" s="1"/>
  <c r="M426" i="182" s="1"/>
  <c r="N426" i="182" s="1"/>
  <c r="BI124" i="201"/>
  <c r="F187" i="183"/>
  <c r="F193" i="183" s="1"/>
  <c r="F195" i="183" s="1"/>
  <c r="F197" i="183" s="1"/>
  <c r="F225" i="183"/>
  <c r="F227" i="183" s="1"/>
  <c r="F229" i="183" s="1"/>
  <c r="F220" i="183"/>
  <c r="F397" i="183" s="1"/>
  <c r="BL115" i="201"/>
  <c r="BI107" i="201"/>
  <c r="F131" i="185"/>
  <c r="D126" i="26"/>
  <c r="F115" i="185"/>
  <c r="F137" i="185"/>
  <c r="T126" i="26"/>
  <c r="AV184" i="26"/>
  <c r="E245" i="27"/>
  <c r="E244" i="27"/>
  <c r="E249" i="27"/>
  <c r="E251" i="27"/>
  <c r="E246" i="27"/>
  <c r="E242" i="27"/>
  <c r="E250" i="27"/>
  <c r="BC407" i="26"/>
  <c r="E241" i="27"/>
  <c r="E247" i="27"/>
  <c r="E248" i="27"/>
  <c r="F275" i="183"/>
  <c r="F283" i="183"/>
  <c r="F294" i="183"/>
  <c r="K272" i="183"/>
  <c r="L272" i="183"/>
  <c r="F262" i="183"/>
  <c r="F243" i="183"/>
  <c r="F251" i="183"/>
  <c r="F155" i="183"/>
  <c r="F147" i="183"/>
  <c r="F166" i="183"/>
  <c r="C402" i="183"/>
  <c r="F91" i="183"/>
  <c r="F83" i="183"/>
  <c r="F102" i="183"/>
  <c r="F60" i="183"/>
  <c r="F392" i="183" s="1"/>
  <c r="F65" i="183"/>
  <c r="F67" i="183" s="1"/>
  <c r="F69" i="183" s="1"/>
  <c r="BA245" i="26"/>
  <c r="T299" i="44"/>
  <c r="N91" i="185"/>
  <c r="L172" i="44"/>
  <c r="N95" i="185"/>
  <c r="K104" i="185"/>
  <c r="N134" i="185"/>
  <c r="P112" i="26"/>
  <c r="N130" i="185"/>
  <c r="AZ188" i="26"/>
  <c r="O138" i="185" s="1"/>
  <c r="Z155" i="185" s="1"/>
  <c r="P50" i="196"/>
  <c r="P95" i="196" s="1"/>
  <c r="S95" i="196" s="1"/>
  <c r="K60" i="196"/>
  <c r="I29" i="196" s="1"/>
  <c r="AZ125" i="26"/>
  <c r="O99" i="185" s="1"/>
  <c r="X99" i="185" s="1"/>
  <c r="M22" i="9"/>
  <c r="S22" i="9" s="1"/>
  <c r="N27" i="132" s="1"/>
  <c r="N132" i="185"/>
  <c r="L112" i="26"/>
  <c r="C172" i="44"/>
  <c r="AY180" i="26"/>
  <c r="BA181" i="26"/>
  <c r="P131" i="185" s="1"/>
  <c r="Y131" i="185" s="1"/>
  <c r="AG131" i="185" s="1"/>
  <c r="S110" i="44"/>
  <c r="R110" i="44"/>
  <c r="K172" i="44"/>
  <c r="D109" i="42"/>
  <c r="D172" i="27"/>
  <c r="H58" i="6"/>
  <c r="BC298" i="27"/>
  <c r="T299" i="42"/>
  <c r="R171" i="42"/>
  <c r="T106" i="42"/>
  <c r="D168" i="42"/>
  <c r="T168" i="42" s="1"/>
  <c r="T47" i="42"/>
  <c r="L91" i="195"/>
  <c r="O91" i="195" s="1"/>
  <c r="N120" i="185"/>
  <c r="N116" i="185"/>
  <c r="N122" i="185"/>
  <c r="P173" i="27"/>
  <c r="L92" i="195"/>
  <c r="O92" i="195" s="1"/>
  <c r="O47" i="195"/>
  <c r="L31" i="195" s="1"/>
  <c r="O31" i="195" s="1"/>
  <c r="L109" i="42"/>
  <c r="L161" i="42"/>
  <c r="L171" i="42" s="1"/>
  <c r="H170" i="42"/>
  <c r="T170" i="42" s="1"/>
  <c r="T108" i="42"/>
  <c r="H109" i="42"/>
  <c r="H161" i="42"/>
  <c r="N79" i="185"/>
  <c r="AZ110" i="27"/>
  <c r="L113" i="185"/>
  <c r="L123" i="185" s="1"/>
  <c r="BA172" i="27"/>
  <c r="AX172" i="27"/>
  <c r="AZ162" i="27"/>
  <c r="K113" i="185" s="1"/>
  <c r="W146" i="185" s="1"/>
  <c r="D161" i="42"/>
  <c r="T99" i="42"/>
  <c r="K121" i="185"/>
  <c r="H101" i="196"/>
  <c r="P86" i="196"/>
  <c r="P101" i="196" s="1"/>
  <c r="L86" i="196"/>
  <c r="L101" i="196" s="1"/>
  <c r="D101" i="196"/>
  <c r="Z172" i="188"/>
  <c r="G110" i="195"/>
  <c r="F95" i="195"/>
  <c r="G112" i="195"/>
  <c r="F97" i="195"/>
  <c r="F113" i="195"/>
  <c r="F91" i="195"/>
  <c r="G106" i="195"/>
  <c r="F89" i="195"/>
  <c r="G104" i="195"/>
  <c r="T58" i="42"/>
  <c r="T120" i="42"/>
  <c r="AV183" i="26"/>
  <c r="P51" i="196"/>
  <c r="P96" i="196" s="1"/>
  <c r="S96" i="196" s="1"/>
  <c r="AJ63" i="26"/>
  <c r="H126" i="26"/>
  <c r="T311" i="44"/>
  <c r="D174" i="26"/>
  <c r="AY186" i="26"/>
  <c r="D163" i="44"/>
  <c r="T163" i="44" s="1"/>
  <c r="T101" i="44"/>
  <c r="L63" i="26"/>
  <c r="AM189" i="26"/>
  <c r="N64" i="185"/>
  <c r="T47" i="44"/>
  <c r="D110" i="44"/>
  <c r="R172" i="44"/>
  <c r="N97" i="185"/>
  <c r="AZ111" i="26"/>
  <c r="B172" i="44"/>
  <c r="BH120" i="201"/>
  <c r="I59" i="185"/>
  <c r="J59" i="185" s="1"/>
  <c r="H48" i="196"/>
  <c r="H93" i="196" s="1"/>
  <c r="K93" i="196" s="1"/>
  <c r="BA182" i="27"/>
  <c r="P118" i="185" s="1"/>
  <c r="Y118" i="185" s="1"/>
  <c r="AG118" i="185" s="1"/>
  <c r="BH72" i="201"/>
  <c r="BH124" i="201"/>
  <c r="AY183" i="27"/>
  <c r="G189" i="26"/>
  <c r="T312" i="42"/>
  <c r="R63" i="185"/>
  <c r="U63" i="185" s="1"/>
  <c r="T97" i="196" s="1"/>
  <c r="P63" i="27"/>
  <c r="K64" i="195"/>
  <c r="I33" i="195" s="1"/>
  <c r="BJ107" i="201"/>
  <c r="BM107" i="201"/>
  <c r="BJ142" i="201"/>
  <c r="BM124" i="201"/>
  <c r="AU189" i="26"/>
  <c r="AY181" i="26"/>
  <c r="D314" i="44"/>
  <c r="AZ120" i="26"/>
  <c r="O94" i="185" s="1"/>
  <c r="X94" i="185" s="1"/>
  <c r="L183" i="27"/>
  <c r="S64" i="195"/>
  <c r="Q33" i="195" s="1"/>
  <c r="BI140" i="201"/>
  <c r="BL122" i="201"/>
  <c r="K58" i="195"/>
  <c r="I27" i="195" s="1"/>
  <c r="P58" i="195"/>
  <c r="S58" i="195" s="1"/>
  <c r="Q27" i="195" s="1"/>
  <c r="BH103" i="201"/>
  <c r="M206" i="182" s="1"/>
  <c r="O209" i="183" s="1"/>
  <c r="BI120" i="201"/>
  <c r="BI138" i="201"/>
  <c r="BL133" i="201"/>
  <c r="BN20" i="201"/>
  <c r="BI133" i="201"/>
  <c r="BI121" i="201"/>
  <c r="O48" i="132"/>
  <c r="BJ123" i="201"/>
  <c r="AO139" i="201"/>
  <c r="AO121" i="201"/>
  <c r="AO141" i="201"/>
  <c r="AO140" i="201"/>
  <c r="AO122" i="201"/>
  <c r="BI105" i="201"/>
  <c r="BI30" i="201"/>
  <c r="AO138" i="201"/>
  <c r="AO120" i="201"/>
  <c r="BM100" i="201"/>
  <c r="AO135" i="201"/>
  <c r="BL135" i="201"/>
  <c r="BM135" i="201"/>
  <c r="BK68" i="201"/>
  <c r="BL124" i="201"/>
  <c r="AO142" i="201"/>
  <c r="AO124" i="201"/>
  <c r="L34" i="183"/>
  <c r="BL142" i="201"/>
  <c r="M8" i="5"/>
  <c r="E52" i="5"/>
  <c r="E53" i="5" s="1"/>
  <c r="BO38" i="201"/>
  <c r="BS38" i="201" s="1"/>
  <c r="AO133" i="201"/>
  <c r="AO115" i="201"/>
  <c r="BB399" i="26"/>
  <c r="M140" i="6" s="1"/>
  <c r="R140" i="6" s="1"/>
  <c r="F75" i="185"/>
  <c r="I75" i="185" s="1"/>
  <c r="J75" i="185" s="1"/>
  <c r="E12" i="150"/>
  <c r="F12" i="150" s="1"/>
  <c r="K65" i="196"/>
  <c r="I34" i="196" s="1"/>
  <c r="P65" i="196"/>
  <c r="S65" i="196" s="1"/>
  <c r="Q34" i="196" s="1"/>
  <c r="F77" i="185"/>
  <c r="I77" i="185" s="1"/>
  <c r="J77" i="185" s="1"/>
  <c r="T155" i="42"/>
  <c r="H49" i="196"/>
  <c r="H94" i="196" s="1"/>
  <c r="K94" i="196" s="1"/>
  <c r="I60" i="185"/>
  <c r="J60" i="185" s="1"/>
  <c r="R58" i="185"/>
  <c r="S58" i="185" s="1"/>
  <c r="I58" i="185"/>
  <c r="J58" i="185" s="1"/>
  <c r="P62" i="195"/>
  <c r="S62" i="195" s="1"/>
  <c r="Q31" i="195" s="1"/>
  <c r="K62" i="195"/>
  <c r="I31" i="195" s="1"/>
  <c r="H68" i="195"/>
  <c r="E18" i="195" s="1"/>
  <c r="H18" i="195" s="1"/>
  <c r="K18" i="195" s="1"/>
  <c r="K60" i="195"/>
  <c r="I29" i="195" s="1"/>
  <c r="P60" i="195"/>
  <c r="S60" i="195" s="1"/>
  <c r="Q29" i="195" s="1"/>
  <c r="K59" i="196"/>
  <c r="I28" i="196" s="1"/>
  <c r="P59" i="196"/>
  <c r="S59" i="196" s="1"/>
  <c r="Q28" i="196" s="1"/>
  <c r="AW251" i="27"/>
  <c r="AW241" i="27"/>
  <c r="N48" i="132"/>
  <c r="AR121" i="201"/>
  <c r="AR139" i="201"/>
  <c r="AR116" i="201"/>
  <c r="AR134" i="201"/>
  <c r="AR122" i="201"/>
  <c r="AR140" i="201"/>
  <c r="AR120" i="201"/>
  <c r="AR138" i="201"/>
  <c r="AR117" i="201"/>
  <c r="AR135" i="201"/>
  <c r="N136" i="185"/>
  <c r="R146" i="6"/>
  <c r="BB392" i="26"/>
  <c r="H148" i="6" s="1"/>
  <c r="AZ164" i="26"/>
  <c r="AZ174" i="26" s="1"/>
  <c r="S172" i="44"/>
  <c r="F136" i="185"/>
  <c r="P110" i="44"/>
  <c r="T100" i="44"/>
  <c r="N138" i="185"/>
  <c r="AX174" i="26"/>
  <c r="O5" i="185"/>
  <c r="BB300" i="27"/>
  <c r="H59" i="6" s="1"/>
  <c r="F52" i="132"/>
  <c r="AC100" i="201"/>
  <c r="G55" i="132"/>
  <c r="BS87" i="201"/>
  <c r="B56" i="132"/>
  <c r="BO84" i="201"/>
  <c r="BS84" i="201" s="1"/>
  <c r="AG75" i="201"/>
  <c r="AC75" i="201"/>
  <c r="AG74" i="201"/>
  <c r="AC74" i="201"/>
  <c r="Y73" i="201"/>
  <c r="AG72" i="201"/>
  <c r="AC72" i="201"/>
  <c r="AG71" i="201"/>
  <c r="AC71" i="201"/>
  <c r="N51" i="132"/>
  <c r="AG70" i="201"/>
  <c r="AC70" i="201"/>
  <c r="K51" i="132"/>
  <c r="AG69" i="201"/>
  <c r="AC69" i="201"/>
  <c r="O49" i="132"/>
  <c r="AG68" i="201"/>
  <c r="AC68" i="201"/>
  <c r="AG67" i="201"/>
  <c r="AC67" i="201"/>
  <c r="O29" i="201"/>
  <c r="C15" i="205" s="1"/>
  <c r="N56" i="132"/>
  <c r="C101" i="183"/>
  <c r="D133" i="183"/>
  <c r="AV142" i="201"/>
  <c r="AV124" i="201"/>
  <c r="BR124" i="201"/>
  <c r="BR142" i="201"/>
  <c r="AV140" i="201"/>
  <c r="AV122" i="201"/>
  <c r="AV141" i="201"/>
  <c r="AV123" i="201"/>
  <c r="BR122" i="201"/>
  <c r="BR140" i="201"/>
  <c r="BL139" i="201"/>
  <c r="BL121" i="201"/>
  <c r="BM121" i="201"/>
  <c r="BM139" i="201"/>
  <c r="BM104" i="201"/>
  <c r="AV139" i="201"/>
  <c r="AV121" i="201"/>
  <c r="BR121" i="201"/>
  <c r="BR139" i="201"/>
  <c r="AV138" i="201"/>
  <c r="AV120" i="201"/>
  <c r="BR120" i="201"/>
  <c r="BR138" i="201"/>
  <c r="BM138" i="201"/>
  <c r="BM120" i="201"/>
  <c r="BL120" i="201"/>
  <c r="BL138" i="201"/>
  <c r="AV135" i="201"/>
  <c r="AV117" i="201"/>
  <c r="BM116" i="201"/>
  <c r="BM134" i="201"/>
  <c r="AV133" i="201"/>
  <c r="AV115" i="201"/>
  <c r="AV116" i="201"/>
  <c r="AV134" i="201"/>
  <c r="BH115" i="201"/>
  <c r="BH133" i="201"/>
  <c r="BH134" i="201"/>
  <c r="BH116" i="201"/>
  <c r="BR133" i="201"/>
  <c r="BR115" i="201"/>
  <c r="D357" i="183"/>
  <c r="BR102" i="201"/>
  <c r="AO119" i="201"/>
  <c r="AO137" i="201"/>
  <c r="BR30" i="201"/>
  <c r="BR125" i="201" s="1"/>
  <c r="BN119" i="201"/>
  <c r="BN137" i="201"/>
  <c r="BR119" i="201"/>
  <c r="BR137" i="201"/>
  <c r="BH137" i="201"/>
  <c r="BH119" i="201"/>
  <c r="AV137" i="201"/>
  <c r="AV119" i="201"/>
  <c r="BL137" i="201"/>
  <c r="BL119" i="201"/>
  <c r="BM137" i="201"/>
  <c r="BM119" i="201"/>
  <c r="P12" i="150"/>
  <c r="U314" i="42"/>
  <c r="AO136" i="201"/>
  <c r="AO118" i="201"/>
  <c r="BQ143" i="201"/>
  <c r="BQ125" i="201"/>
  <c r="N111" i="125"/>
  <c r="AV136" i="201"/>
  <c r="AV118" i="201"/>
  <c r="BP143" i="201"/>
  <c r="BP125" i="201"/>
  <c r="BH118" i="201"/>
  <c r="BH136" i="201"/>
  <c r="BR118" i="201"/>
  <c r="BR136" i="201"/>
  <c r="BL118" i="201"/>
  <c r="BL136" i="201"/>
  <c r="K56" i="132"/>
  <c r="N49" i="132"/>
  <c r="BR76" i="201"/>
  <c r="AG101" i="201"/>
  <c r="AB107" i="201"/>
  <c r="AC29" i="201"/>
  <c r="AA105" i="201"/>
  <c r="Y124" i="201"/>
  <c r="AA124" i="201" s="1"/>
  <c r="Y103" i="201"/>
  <c r="AG100" i="201"/>
  <c r="BH30" i="201"/>
  <c r="AB103" i="201"/>
  <c r="AC25" i="201"/>
  <c r="BR93" i="201"/>
  <c r="BM103" i="201"/>
  <c r="BM30" i="201"/>
  <c r="Y104" i="201"/>
  <c r="AC26" i="201"/>
  <c r="AB106" i="201"/>
  <c r="AC28" i="201"/>
  <c r="AG83" i="201"/>
  <c r="AG93" i="201" s="1"/>
  <c r="AC93" i="201"/>
  <c r="BL30" i="201"/>
  <c r="G492" i="182"/>
  <c r="H492" i="182" s="1"/>
  <c r="J492" i="182"/>
  <c r="BO89" i="201"/>
  <c r="BS89" i="201" s="1"/>
  <c r="BH104" i="201"/>
  <c r="M236" i="182" s="1"/>
  <c r="O236" i="182" s="1"/>
  <c r="BS50" i="201"/>
  <c r="BS60" i="201" s="1"/>
  <c r="BO60" i="201"/>
  <c r="O103" i="201"/>
  <c r="BP98" i="201"/>
  <c r="O100" i="201"/>
  <c r="BQ106" i="201"/>
  <c r="BM72" i="201"/>
  <c r="BN74" i="201"/>
  <c r="BQ100" i="201"/>
  <c r="BP104" i="201"/>
  <c r="BR101" i="201"/>
  <c r="BR107" i="201"/>
  <c r="BQ104" i="201"/>
  <c r="BN69" i="201"/>
  <c r="O102" i="201"/>
  <c r="BM101" i="201"/>
  <c r="BP99" i="201"/>
  <c r="BN75" i="201"/>
  <c r="BN70" i="201"/>
  <c r="BN71" i="201"/>
  <c r="BJ106" i="201"/>
  <c r="BN68" i="201"/>
  <c r="BN67" i="201"/>
  <c r="AR30" i="201"/>
  <c r="N55" i="132"/>
  <c r="K55" i="132"/>
  <c r="C51" i="132"/>
  <c r="F373" i="183"/>
  <c r="G365" i="183"/>
  <c r="R365" i="183" s="1"/>
  <c r="N373" i="183"/>
  <c r="AV105" i="201"/>
  <c r="N112" i="125"/>
  <c r="O112" i="125"/>
  <c r="D20" i="150"/>
  <c r="AR187" i="27"/>
  <c r="AR125" i="27"/>
  <c r="I42" i="185"/>
  <c r="J42" i="185" s="1"/>
  <c r="K61" i="195"/>
  <c r="I30" i="195" s="1"/>
  <c r="P19" i="33"/>
  <c r="R55" i="185"/>
  <c r="S55" i="185" s="1"/>
  <c r="L125" i="27"/>
  <c r="P46" i="195"/>
  <c r="P91" i="195" s="1"/>
  <c r="S91" i="195" s="1"/>
  <c r="K124" i="42"/>
  <c r="K186" i="42"/>
  <c r="T93" i="42"/>
  <c r="D399" i="183"/>
  <c r="N53" i="132"/>
  <c r="K53" i="132"/>
  <c r="G30" i="183"/>
  <c r="G10" i="182"/>
  <c r="AC334" i="26"/>
  <c r="AZ334" i="26"/>
  <c r="BA334" i="26" s="1"/>
  <c r="M88" i="196"/>
  <c r="M98" i="196" s="1"/>
  <c r="G7" i="196" s="1"/>
  <c r="M53" i="196"/>
  <c r="G15" i="196" s="1"/>
  <c r="AJ239" i="26"/>
  <c r="AK238" i="26"/>
  <c r="E14" i="19" s="1"/>
  <c r="Q14" i="19" s="1"/>
  <c r="BA174" i="26"/>
  <c r="L129" i="185"/>
  <c r="L139" i="185" s="1"/>
  <c r="T103" i="44"/>
  <c r="D165" i="44"/>
  <c r="T165" i="44" s="1"/>
  <c r="D170" i="44"/>
  <c r="T170" i="44" s="1"/>
  <c r="T108" i="44"/>
  <c r="J93" i="35"/>
  <c r="AJ182" i="26"/>
  <c r="AJ63" i="27"/>
  <c r="R121" i="44"/>
  <c r="AF183" i="27"/>
  <c r="BC183" i="27" s="1"/>
  <c r="AE187" i="27"/>
  <c r="AX186" i="27"/>
  <c r="AZ186" i="27" s="1"/>
  <c r="O122" i="185" s="1"/>
  <c r="Y155" i="185" s="1"/>
  <c r="M36" i="35"/>
  <c r="H42" i="6"/>
  <c r="R42" i="6" s="1"/>
  <c r="BB310" i="27"/>
  <c r="E38" i="9"/>
  <c r="Q38" i="9" s="1"/>
  <c r="R39" i="185"/>
  <c r="S39" i="185" s="1"/>
  <c r="K52" i="132"/>
  <c r="O52" i="132"/>
  <c r="N52" i="132"/>
  <c r="K50" i="132"/>
  <c r="O50" i="132"/>
  <c r="N50" i="132"/>
  <c r="D186" i="27"/>
  <c r="AZ315" i="27"/>
  <c r="BC315" i="27" s="1"/>
  <c r="BA179" i="27"/>
  <c r="P115" i="185" s="1"/>
  <c r="Y115" i="185" s="1"/>
  <c r="AG115" i="185" s="1"/>
  <c r="T310" i="44"/>
  <c r="S314" i="42"/>
  <c r="Q68" i="195"/>
  <c r="P314" i="44"/>
  <c r="AS187" i="27"/>
  <c r="AI187" i="27"/>
  <c r="AJ183" i="27"/>
  <c r="P63" i="196"/>
  <c r="S63" i="196" s="1"/>
  <c r="Q32" i="196" s="1"/>
  <c r="K63" i="196"/>
  <c r="I32" i="196" s="1"/>
  <c r="AX183" i="27"/>
  <c r="AX183" i="26"/>
  <c r="J189" i="26"/>
  <c r="T116" i="42"/>
  <c r="AZ119" i="26"/>
  <c r="O93" i="185" s="1"/>
  <c r="X93" i="185" s="1"/>
  <c r="T125" i="27"/>
  <c r="T59" i="44"/>
  <c r="R122" i="44"/>
  <c r="I44" i="185"/>
  <c r="J44" i="185" s="1"/>
  <c r="O116" i="125"/>
  <c r="N116" i="125"/>
  <c r="BA343" i="26"/>
  <c r="T178" i="42"/>
  <c r="AZ121" i="27"/>
  <c r="O76" i="185" s="1"/>
  <c r="X76" i="185" s="1"/>
  <c r="M27" i="9"/>
  <c r="I11" i="19" s="1"/>
  <c r="U11" i="19" s="1"/>
  <c r="T309" i="44"/>
  <c r="I55" i="185"/>
  <c r="J55" i="185" s="1"/>
  <c r="R184" i="44"/>
  <c r="T54" i="42"/>
  <c r="F4" i="19"/>
  <c r="R187" i="27"/>
  <c r="H314" i="44"/>
  <c r="Q27" i="9"/>
  <c r="H15" i="185"/>
  <c r="G16" i="185"/>
  <c r="L189" i="26"/>
  <c r="P314" i="42"/>
  <c r="L314" i="42"/>
  <c r="AZ120" i="27"/>
  <c r="O75" i="185" s="1"/>
  <c r="R75" i="185" s="1"/>
  <c r="L126" i="26"/>
  <c r="U62" i="44"/>
  <c r="AX184" i="27"/>
  <c r="AZ184" i="27" s="1"/>
  <c r="O120" i="185" s="1"/>
  <c r="Y153" i="185" s="1"/>
  <c r="T61" i="44"/>
  <c r="AD189" i="26"/>
  <c r="R314" i="44"/>
  <c r="D19" i="150"/>
  <c r="X63" i="27"/>
  <c r="AZ117" i="26"/>
  <c r="O91" i="185" s="1"/>
  <c r="R91" i="185" s="1"/>
  <c r="BB221" i="26"/>
  <c r="BB222" i="26" s="1"/>
  <c r="AF126" i="26"/>
  <c r="BD126" i="26" s="1"/>
  <c r="X63" i="26"/>
  <c r="BB306" i="27"/>
  <c r="AB125" i="27"/>
  <c r="X32" i="27"/>
  <c r="B124" i="42"/>
  <c r="AZ123" i="26"/>
  <c r="O97" i="185" s="1"/>
  <c r="R97" i="185" s="1"/>
  <c r="AX185" i="27"/>
  <c r="AZ185" i="27" s="1"/>
  <c r="O121" i="185" s="1"/>
  <c r="Y154" i="185" s="1"/>
  <c r="I6" i="150"/>
  <c r="O8" i="132" s="1"/>
  <c r="M6" i="150"/>
  <c r="P8" i="132" s="1"/>
  <c r="AZ122" i="26"/>
  <c r="O96" i="185" s="1"/>
  <c r="X96" i="185" s="1"/>
  <c r="BA188" i="26"/>
  <c r="P138" i="185" s="1"/>
  <c r="Y138" i="185" s="1"/>
  <c r="AG138" i="185" s="1"/>
  <c r="E6" i="150"/>
  <c r="F6" i="150" s="1"/>
  <c r="AX180" i="27"/>
  <c r="AZ180" i="27" s="1"/>
  <c r="O116" i="185" s="1"/>
  <c r="Y149" i="185" s="1"/>
  <c r="AZ124" i="26"/>
  <c r="O98" i="185" s="1"/>
  <c r="X98" i="185" s="1"/>
  <c r="T308" i="44"/>
  <c r="BB219" i="27"/>
  <c r="S62" i="44"/>
  <c r="AS241" i="27"/>
  <c r="P187" i="27"/>
  <c r="BB314" i="27"/>
  <c r="N436" i="182"/>
  <c r="O436" i="182"/>
  <c r="E42" i="9"/>
  <c r="Q42" i="9" s="1"/>
  <c r="Q26" i="9"/>
  <c r="AJ125" i="27"/>
  <c r="AZ187" i="26"/>
  <c r="O137" i="185" s="1"/>
  <c r="Z154" i="185" s="1"/>
  <c r="Q373" i="183"/>
  <c r="D62" i="42"/>
  <c r="AS251" i="27"/>
  <c r="BB309" i="27"/>
  <c r="M53" i="6" s="1"/>
  <c r="R53" i="6" s="1"/>
  <c r="D184" i="27"/>
  <c r="AR189" i="26"/>
  <c r="G186" i="42"/>
  <c r="J57" i="136"/>
  <c r="T282" i="44"/>
  <c r="AZ121" i="26"/>
  <c r="O95" i="185" s="1"/>
  <c r="R95" i="185" s="1"/>
  <c r="T55" i="42"/>
  <c r="N179" i="44"/>
  <c r="R179" i="44" s="1"/>
  <c r="R117" i="44"/>
  <c r="AO105" i="201"/>
  <c r="M254" i="182" s="1"/>
  <c r="BA335" i="26"/>
  <c r="O108" i="125"/>
  <c r="N108" i="125"/>
  <c r="T306" i="44"/>
  <c r="BB406" i="26"/>
  <c r="M147" i="6" s="1"/>
  <c r="R147" i="6" s="1"/>
  <c r="D180" i="27"/>
  <c r="BA339" i="26"/>
  <c r="AS189" i="26"/>
  <c r="AV175" i="26"/>
  <c r="F64" i="185"/>
  <c r="I64" i="185" s="1"/>
  <c r="J64" i="185" s="1"/>
  <c r="AZ239" i="26"/>
  <c r="BA238" i="26"/>
  <c r="G31" i="9"/>
  <c r="H4" i="19"/>
  <c r="T4" i="19" s="1"/>
  <c r="G30" i="9"/>
  <c r="O83" i="196"/>
  <c r="N27" i="196"/>
  <c r="N37" i="196" s="1"/>
  <c r="Q9" i="196" s="1"/>
  <c r="AY126" i="26"/>
  <c r="R62" i="44"/>
  <c r="O43" i="196"/>
  <c r="L53" i="196"/>
  <c r="G14" i="196" s="1"/>
  <c r="L88" i="196"/>
  <c r="G84" i="185"/>
  <c r="Q6" i="150"/>
  <c r="Q14" i="150" s="1"/>
  <c r="F29" i="134"/>
  <c r="G30" i="134" s="1"/>
  <c r="F30" i="134"/>
  <c r="N27" i="195"/>
  <c r="N37" i="195" s="1"/>
  <c r="Q9" i="195" s="1"/>
  <c r="O83" i="195"/>
  <c r="AX181" i="27"/>
  <c r="AZ181" i="27" s="1"/>
  <c r="O117" i="185" s="1"/>
  <c r="Y150" i="185" s="1"/>
  <c r="T180" i="42"/>
  <c r="AX125" i="27"/>
  <c r="R181" i="42"/>
  <c r="R62" i="42"/>
  <c r="T182" i="42"/>
  <c r="K84" i="185"/>
  <c r="N70" i="185"/>
  <c r="T164" i="42"/>
  <c r="P171" i="42"/>
  <c r="O43" i="195"/>
  <c r="L27" i="195" s="1"/>
  <c r="L53" i="195"/>
  <c r="G14" i="195" s="1"/>
  <c r="G13" i="195" s="1"/>
  <c r="L88" i="195"/>
  <c r="N14" i="150"/>
  <c r="P4" i="150"/>
  <c r="AH114" i="185"/>
  <c r="Z123" i="185"/>
  <c r="AH123" i="185" s="1"/>
  <c r="AH71" i="185"/>
  <c r="Z84" i="185"/>
  <c r="AH84" i="185" s="1"/>
  <c r="AH132" i="185"/>
  <c r="Z139" i="185"/>
  <c r="AH139" i="185" s="1"/>
  <c r="O68" i="195"/>
  <c r="M139" i="185"/>
  <c r="M84" i="185"/>
  <c r="N71" i="185"/>
  <c r="M104" i="185"/>
  <c r="N114" i="185"/>
  <c r="M123" i="185"/>
  <c r="O93" i="195"/>
  <c r="N98" i="195"/>
  <c r="G8" i="195" s="1"/>
  <c r="I8" i="195" s="1"/>
  <c r="AW76" i="201"/>
  <c r="C57" i="132" s="1"/>
  <c r="I86" i="136"/>
  <c r="J86" i="136" s="1"/>
  <c r="M64" i="136"/>
  <c r="S20" i="9"/>
  <c r="N25" i="132" s="1"/>
  <c r="G36" i="9"/>
  <c r="M25" i="132"/>
  <c r="I4" i="19"/>
  <c r="U4" i="19" s="1"/>
  <c r="X4" i="19" s="1"/>
  <c r="G37" i="9"/>
  <c r="S37" i="9" s="1"/>
  <c r="O26" i="132" s="1"/>
  <c r="S21" i="9"/>
  <c r="N26" i="132" s="1"/>
  <c r="I5" i="19"/>
  <c r="U5" i="19" s="1"/>
  <c r="M26" i="132"/>
  <c r="BA60" i="201"/>
  <c r="P47" i="167" s="1"/>
  <c r="BA66" i="201"/>
  <c r="D133" i="6"/>
  <c r="N133" i="6" s="1"/>
  <c r="N123" i="6"/>
  <c r="F123" i="6"/>
  <c r="O176" i="42"/>
  <c r="S176" i="42" s="1"/>
  <c r="O124" i="42"/>
  <c r="P39" i="6"/>
  <c r="H39" i="6"/>
  <c r="R39" i="6" s="1"/>
  <c r="BA252" i="26"/>
  <c r="AB253" i="27"/>
  <c r="AC251" i="27"/>
  <c r="G17" i="125"/>
  <c r="H17" i="125"/>
  <c r="J20" i="150"/>
  <c r="M12" i="150"/>
  <c r="P14" i="132" s="1"/>
  <c r="AC4" i="150"/>
  <c r="AC5" i="150" s="1"/>
  <c r="N14" i="132"/>
  <c r="I12" i="150"/>
  <c r="O14" i="132" s="1"/>
  <c r="J19" i="150"/>
  <c r="Q29" i="6"/>
  <c r="L30" i="6"/>
  <c r="I176" i="183"/>
  <c r="J176" i="183" s="1"/>
  <c r="E187" i="183"/>
  <c r="E179" i="183"/>
  <c r="H176" i="183"/>
  <c r="K176" i="183"/>
  <c r="G176" i="183"/>
  <c r="L176" i="183"/>
  <c r="D121" i="44"/>
  <c r="T58" i="44"/>
  <c r="D117" i="44"/>
  <c r="T54" i="44"/>
  <c r="H40" i="6"/>
  <c r="R40" i="6" s="1"/>
  <c r="P40" i="6"/>
  <c r="P28" i="134"/>
  <c r="D45" i="134"/>
  <c r="P45" i="134" s="1"/>
  <c r="E44" i="9"/>
  <c r="Q44" i="9" s="1"/>
  <c r="Q28" i="9"/>
  <c r="Y127" i="26"/>
  <c r="BA337" i="26"/>
  <c r="C181" i="42"/>
  <c r="S181" i="42" s="1"/>
  <c r="S119" i="42"/>
  <c r="H46" i="196"/>
  <c r="I57" i="185"/>
  <c r="J57" i="185" s="1"/>
  <c r="M16" i="125"/>
  <c r="AJ126" i="26"/>
  <c r="BB125" i="201"/>
  <c r="S240" i="44"/>
  <c r="T218" i="44"/>
  <c r="D19" i="183"/>
  <c r="D27" i="183"/>
  <c r="E243" i="183"/>
  <c r="H240" i="183"/>
  <c r="E251" i="183"/>
  <c r="K240" i="183"/>
  <c r="G240" i="183"/>
  <c r="I240" i="183"/>
  <c r="J240" i="183" s="1"/>
  <c r="L240" i="183"/>
  <c r="BA246" i="26"/>
  <c r="H48" i="195"/>
  <c r="I43" i="185"/>
  <c r="J43" i="185" s="1"/>
  <c r="I19" i="150"/>
  <c r="I20" i="150"/>
  <c r="I11" i="150"/>
  <c r="O13" i="132" s="1"/>
  <c r="M11" i="150"/>
  <c r="P13" i="132" s="1"/>
  <c r="AB4" i="150"/>
  <c r="AB5" i="150" s="1"/>
  <c r="N13" i="132"/>
  <c r="D176" i="42"/>
  <c r="T114" i="42"/>
  <c r="H118" i="125"/>
  <c r="E119" i="125"/>
  <c r="G118" i="125"/>
  <c r="S235" i="44"/>
  <c r="T235" i="44" s="1"/>
  <c r="U235" i="44" s="1"/>
  <c r="T225" i="44"/>
  <c r="U225" i="44" s="1"/>
  <c r="P43" i="6"/>
  <c r="H43" i="6"/>
  <c r="R43" i="6" s="1"/>
  <c r="O250" i="44"/>
  <c r="P250" i="44" s="1"/>
  <c r="Q250" i="44" s="1"/>
  <c r="P240" i="44"/>
  <c r="Q240" i="44" s="1"/>
  <c r="L176" i="42"/>
  <c r="L186" i="42" s="1"/>
  <c r="L124" i="42"/>
  <c r="AI254" i="26"/>
  <c r="AJ253" i="26"/>
  <c r="D115" i="44"/>
  <c r="D62" i="44"/>
  <c r="T52" i="44"/>
  <c r="F44" i="6"/>
  <c r="P34" i="6"/>
  <c r="H34" i="6"/>
  <c r="R34" i="6" s="1"/>
  <c r="U42" i="185"/>
  <c r="T92" i="195" s="1"/>
  <c r="S42" i="185"/>
  <c r="AX179" i="27"/>
  <c r="T313" i="44"/>
  <c r="D186" i="44"/>
  <c r="T186" i="44" s="1"/>
  <c r="T124" i="44"/>
  <c r="J125" i="44"/>
  <c r="P20" i="134"/>
  <c r="D37" i="134"/>
  <c r="P37" i="134" s="1"/>
  <c r="S235" i="42"/>
  <c r="T235" i="42" s="1"/>
  <c r="U235" i="42" s="1"/>
  <c r="T225" i="42"/>
  <c r="U225" i="42" s="1"/>
  <c r="C55" i="132"/>
  <c r="B55" i="132"/>
  <c r="I144" i="183"/>
  <c r="J144" i="183" s="1"/>
  <c r="E155" i="183"/>
  <c r="E147" i="183"/>
  <c r="H144" i="183"/>
  <c r="K144" i="183"/>
  <c r="G144" i="183"/>
  <c r="L144" i="183"/>
  <c r="P113" i="6"/>
  <c r="M113" i="6"/>
  <c r="R113" i="6" s="1"/>
  <c r="C184" i="44"/>
  <c r="S184" i="44" s="1"/>
  <c r="S122" i="44"/>
  <c r="Q127" i="26"/>
  <c r="P25" i="134"/>
  <c r="D42" i="134"/>
  <c r="P42" i="134" s="1"/>
  <c r="J27" i="195"/>
  <c r="K83" i="195"/>
  <c r="L182" i="27"/>
  <c r="J187" i="27"/>
  <c r="E180" i="42"/>
  <c r="U180" i="42" s="1"/>
  <c r="U118" i="42"/>
  <c r="C183" i="44"/>
  <c r="S183" i="44" s="1"/>
  <c r="S121" i="44"/>
  <c r="N130" i="6"/>
  <c r="F130" i="6"/>
  <c r="H17" i="183"/>
  <c r="K17" i="183"/>
  <c r="G17" i="183"/>
  <c r="I17" i="183"/>
  <c r="J17" i="183" s="1"/>
  <c r="L17" i="183"/>
  <c r="R123" i="42"/>
  <c r="B185" i="42"/>
  <c r="R185" i="42" s="1"/>
  <c r="T57" i="42"/>
  <c r="X126" i="26"/>
  <c r="BA125" i="27"/>
  <c r="P70" i="185"/>
  <c r="R117" i="42"/>
  <c r="AX187" i="26"/>
  <c r="P122" i="42"/>
  <c r="P124" i="42" s="1"/>
  <c r="T60" i="42"/>
  <c r="E189" i="26"/>
  <c r="BA179" i="26"/>
  <c r="AY251" i="27"/>
  <c r="AZ251" i="27" s="1"/>
  <c r="BA251" i="27" s="1"/>
  <c r="H14" i="150" s="1"/>
  <c r="AZ241" i="27"/>
  <c r="AS26" i="201"/>
  <c r="AO104" i="201"/>
  <c r="M224" i="182" s="1"/>
  <c r="Q24" i="183"/>
  <c r="E129" i="182"/>
  <c r="E349" i="182"/>
  <c r="R349" i="182" s="1"/>
  <c r="BA341" i="26"/>
  <c r="M14" i="125"/>
  <c r="BB397" i="26"/>
  <c r="M138" i="6" s="1"/>
  <c r="R138" i="6" s="1"/>
  <c r="BB375" i="26"/>
  <c r="D46" i="9"/>
  <c r="P46" i="9" s="1"/>
  <c r="P36" i="9"/>
  <c r="AV125" i="27"/>
  <c r="K29" i="6"/>
  <c r="M19" i="6"/>
  <c r="R19" i="6" s="1"/>
  <c r="P19" i="6"/>
  <c r="Q177" i="44"/>
  <c r="Q187" i="44" s="1"/>
  <c r="Q125" i="44"/>
  <c r="AZ62" i="27"/>
  <c r="AZ63" i="27" s="1"/>
  <c r="O38" i="185"/>
  <c r="J427" i="182"/>
  <c r="I427" i="182"/>
  <c r="G427" i="182"/>
  <c r="H427" i="182" s="1"/>
  <c r="Z4" i="150"/>
  <c r="Z5" i="150" s="1"/>
  <c r="I9" i="150"/>
  <c r="O11" i="132" s="1"/>
  <c r="G19" i="150"/>
  <c r="M9" i="150"/>
  <c r="P11" i="132" s="1"/>
  <c r="G20" i="150"/>
  <c r="N11" i="132"/>
  <c r="L25" i="134"/>
  <c r="BA182" i="26"/>
  <c r="P132" i="185" s="1"/>
  <c r="Y132" i="185" s="1"/>
  <c r="AG132" i="185" s="1"/>
  <c r="P38" i="6"/>
  <c r="H38" i="6"/>
  <c r="R38" i="6" s="1"/>
  <c r="L15" i="5"/>
  <c r="E56" i="35"/>
  <c r="F55" i="35"/>
  <c r="I93" i="35"/>
  <c r="G19" i="35"/>
  <c r="I74" i="35" s="1"/>
  <c r="G36" i="35"/>
  <c r="K74" i="35"/>
  <c r="N18" i="35"/>
  <c r="AH189" i="26"/>
  <c r="AJ179" i="26"/>
  <c r="R118" i="42"/>
  <c r="M127" i="26"/>
  <c r="M176" i="42"/>
  <c r="M186" i="42" s="1"/>
  <c r="M124" i="42"/>
  <c r="AX182" i="27"/>
  <c r="AZ182" i="27" s="1"/>
  <c r="O118" i="185" s="1"/>
  <c r="Y151" i="185" s="1"/>
  <c r="C373" i="183"/>
  <c r="G363" i="183"/>
  <c r="O178" i="42"/>
  <c r="S178" i="42" s="1"/>
  <c r="S116" i="42"/>
  <c r="C46" i="9"/>
  <c r="O46" i="9" s="1"/>
  <c r="O36" i="9"/>
  <c r="M10" i="150"/>
  <c r="P12" i="132" s="1"/>
  <c r="H19" i="150"/>
  <c r="H20" i="150"/>
  <c r="N12" i="132"/>
  <c r="I10" i="150"/>
  <c r="O12" i="132" s="1"/>
  <c r="AA4" i="150"/>
  <c r="AA5" i="150" s="1"/>
  <c r="H96" i="195"/>
  <c r="K96" i="195" s="1"/>
  <c r="K51" i="195"/>
  <c r="H35" i="195" s="1"/>
  <c r="K35" i="195" s="1"/>
  <c r="G11" i="125"/>
  <c r="H11" i="125"/>
  <c r="B53" i="132"/>
  <c r="C53" i="132"/>
  <c r="I108" i="201"/>
  <c r="BA180" i="26"/>
  <c r="P130" i="185" s="1"/>
  <c r="Y130" i="185" s="1"/>
  <c r="AG130" i="185" s="1"/>
  <c r="G250" i="42"/>
  <c r="H250" i="42" s="1"/>
  <c r="I250" i="42" s="1"/>
  <c r="H240" i="42"/>
  <c r="I240" i="42" s="1"/>
  <c r="F323" i="183"/>
  <c r="E19" i="150"/>
  <c r="E20" i="150"/>
  <c r="I7" i="150"/>
  <c r="O9" i="132" s="1"/>
  <c r="M7" i="150"/>
  <c r="P9" i="132" s="1"/>
  <c r="W4" i="150"/>
  <c r="W5" i="150" s="1"/>
  <c r="N9" i="132"/>
  <c r="J74" i="35"/>
  <c r="O408" i="182"/>
  <c r="S41" i="185"/>
  <c r="U41" i="185"/>
  <c r="T91" i="195" s="1"/>
  <c r="I288" i="183"/>
  <c r="J288" i="183" s="1"/>
  <c r="H288" i="183"/>
  <c r="K288" i="183"/>
  <c r="G288" i="183"/>
  <c r="L288" i="183"/>
  <c r="N126" i="6"/>
  <c r="F126" i="6"/>
  <c r="P41" i="6"/>
  <c r="H41" i="6"/>
  <c r="R41" i="6" s="1"/>
  <c r="P24" i="134"/>
  <c r="D41" i="134"/>
  <c r="P41" i="134" s="1"/>
  <c r="P43" i="196"/>
  <c r="R54" i="185"/>
  <c r="O64" i="185"/>
  <c r="R12" i="134"/>
  <c r="M28" i="9"/>
  <c r="O8" i="125"/>
  <c r="N8" i="125"/>
  <c r="T312" i="44"/>
  <c r="R118" i="44"/>
  <c r="P90" i="195"/>
  <c r="S90" i="195" s="1"/>
  <c r="S45" i="195"/>
  <c r="P29" i="195" s="1"/>
  <c r="S29" i="195" s="1"/>
  <c r="K252" i="27"/>
  <c r="L251" i="27"/>
  <c r="C250" i="42"/>
  <c r="D250" i="42" s="1"/>
  <c r="E250" i="42" s="1"/>
  <c r="D240" i="42"/>
  <c r="E240" i="42" s="1"/>
  <c r="G133" i="6"/>
  <c r="Q133" i="6" s="1"/>
  <c r="Q123" i="6"/>
  <c r="H68" i="196"/>
  <c r="E18" i="196" s="1"/>
  <c r="P58" i="196"/>
  <c r="K58" i="196"/>
  <c r="AO100" i="201"/>
  <c r="M104" i="182" s="1"/>
  <c r="P92" i="196"/>
  <c r="S92" i="196" s="1"/>
  <c r="S47" i="196"/>
  <c r="P31" i="196" s="1"/>
  <c r="S31" i="196" s="1"/>
  <c r="L20" i="134"/>
  <c r="G12" i="125"/>
  <c r="H12" i="125"/>
  <c r="H176" i="42"/>
  <c r="H186" i="42" s="1"/>
  <c r="H124" i="42"/>
  <c r="K250" i="42"/>
  <c r="L250" i="42" s="1"/>
  <c r="M250" i="42" s="1"/>
  <c r="L240" i="42"/>
  <c r="M240" i="42" s="1"/>
  <c r="C185" i="42"/>
  <c r="S185" i="42" s="1"/>
  <c r="S123" i="42"/>
  <c r="L18" i="125"/>
  <c r="T307" i="44"/>
  <c r="T313" i="42"/>
  <c r="I54" i="35"/>
  <c r="M373" i="183"/>
  <c r="AT108" i="201"/>
  <c r="M69" i="125" s="1"/>
  <c r="N69" i="125" s="1"/>
  <c r="AT125" i="201"/>
  <c r="R5" i="134"/>
  <c r="O68" i="196"/>
  <c r="M27" i="196"/>
  <c r="M37" i="196" s="1"/>
  <c r="Q17" i="196" s="1"/>
  <c r="K250" i="44"/>
  <c r="L250" i="44" s="1"/>
  <c r="M250" i="44" s="1"/>
  <c r="L240" i="44"/>
  <c r="M240" i="44" s="1"/>
  <c r="M5" i="150"/>
  <c r="P7" i="132" s="1"/>
  <c r="C19" i="150"/>
  <c r="C20" i="150"/>
  <c r="I5" i="150"/>
  <c r="O7" i="132" s="1"/>
  <c r="N7" i="132"/>
  <c r="P89" i="195"/>
  <c r="S89" i="195" s="1"/>
  <c r="S44" i="195"/>
  <c r="P28" i="195" s="1"/>
  <c r="S28" i="195" s="1"/>
  <c r="AO187" i="27"/>
  <c r="G113" i="185"/>
  <c r="AZ49" i="27"/>
  <c r="BB313" i="27"/>
  <c r="O75" i="183"/>
  <c r="Q75" i="183"/>
  <c r="P75" i="183"/>
  <c r="M386" i="182"/>
  <c r="D185" i="44"/>
  <c r="T185" i="44" s="1"/>
  <c r="T123" i="44"/>
  <c r="AV107" i="201"/>
  <c r="M21" i="6"/>
  <c r="R21" i="6" s="1"/>
  <c r="P21" i="6"/>
  <c r="K53" i="6"/>
  <c r="P53" i="6" s="1"/>
  <c r="K52" i="6"/>
  <c r="P52" i="6" s="1"/>
  <c r="I22" i="182"/>
  <c r="E21" i="182"/>
  <c r="J22" i="182"/>
  <c r="H22" i="182"/>
  <c r="G22" i="182"/>
  <c r="K125" i="44"/>
  <c r="P94" i="195"/>
  <c r="S94" i="195" s="1"/>
  <c r="S49" i="195"/>
  <c r="P33" i="195" s="1"/>
  <c r="S33" i="195" s="1"/>
  <c r="R119" i="42"/>
  <c r="AP108" i="201"/>
  <c r="M34" i="125" s="1"/>
  <c r="N34" i="125" s="1"/>
  <c r="AP125" i="201"/>
  <c r="S314" i="44"/>
  <c r="P62" i="44"/>
  <c r="R6" i="134"/>
  <c r="F71" i="185"/>
  <c r="AN125" i="27"/>
  <c r="C187" i="27"/>
  <c r="P176" i="42"/>
  <c r="P97" i="196"/>
  <c r="S97" i="196" s="1"/>
  <c r="S52" i="196"/>
  <c r="P36" i="196" s="1"/>
  <c r="S36" i="196" s="1"/>
  <c r="U61" i="185"/>
  <c r="T95" i="196" s="1"/>
  <c r="S61" i="185"/>
  <c r="D179" i="42"/>
  <c r="T179" i="42" s="1"/>
  <c r="T117" i="42"/>
  <c r="P89" i="196"/>
  <c r="S89" i="196" s="1"/>
  <c r="S44" i="196"/>
  <c r="P28" i="196" s="1"/>
  <c r="S28" i="196" s="1"/>
  <c r="D40" i="134"/>
  <c r="P40" i="134" s="1"/>
  <c r="P23" i="134"/>
  <c r="AV63" i="26"/>
  <c r="K49" i="6"/>
  <c r="P49" i="6" s="1"/>
  <c r="I176" i="42"/>
  <c r="I186" i="42" s="1"/>
  <c r="I124" i="42"/>
  <c r="H52" i="195"/>
  <c r="I47" i="185"/>
  <c r="J47" i="185" s="1"/>
  <c r="O109" i="125"/>
  <c r="N109" i="125"/>
  <c r="R115" i="42"/>
  <c r="B177" i="42"/>
  <c r="R177" i="42" s="1"/>
  <c r="J65" i="182"/>
  <c r="H65" i="182"/>
  <c r="E69" i="182"/>
  <c r="G65" i="182"/>
  <c r="I65" i="182"/>
  <c r="H50" i="196"/>
  <c r="I61" i="185"/>
  <c r="J61" i="185" s="1"/>
  <c r="AK189" i="26"/>
  <c r="R179" i="42"/>
  <c r="F20" i="150"/>
  <c r="M8" i="150"/>
  <c r="P10" i="132" s="1"/>
  <c r="X4" i="150"/>
  <c r="X5" i="150" s="1"/>
  <c r="N10" i="132"/>
  <c r="F19" i="150"/>
  <c r="I8" i="150"/>
  <c r="O10" i="132" s="1"/>
  <c r="R186" i="44"/>
  <c r="BA247" i="26"/>
  <c r="M13" i="125"/>
  <c r="C178" i="44"/>
  <c r="S178" i="44" s="1"/>
  <c r="S116" i="44"/>
  <c r="AO189" i="26"/>
  <c r="N122" i="125"/>
  <c r="AV101" i="201"/>
  <c r="M110" i="6"/>
  <c r="R110" i="6" s="1"/>
  <c r="P110" i="6"/>
  <c r="O29" i="6"/>
  <c r="J30" i="6"/>
  <c r="P46" i="196"/>
  <c r="R57" i="185"/>
  <c r="M23" i="6"/>
  <c r="R23" i="6" s="1"/>
  <c r="P23" i="6"/>
  <c r="H115" i="44"/>
  <c r="H62" i="44"/>
  <c r="H88" i="195"/>
  <c r="K43" i="195"/>
  <c r="H27" i="195" s="1"/>
  <c r="N127" i="6"/>
  <c r="F127" i="6"/>
  <c r="E189" i="182"/>
  <c r="AO102" i="201"/>
  <c r="M164" i="182" s="1"/>
  <c r="AS24" i="201"/>
  <c r="P48" i="185"/>
  <c r="Q43" i="195"/>
  <c r="T156" i="44"/>
  <c r="Q148" i="183"/>
  <c r="P148" i="183"/>
  <c r="S29" i="9"/>
  <c r="N34" i="132" s="1"/>
  <c r="G45" i="9"/>
  <c r="S45" i="9" s="1"/>
  <c r="O34" i="132" s="1"/>
  <c r="I13" i="19"/>
  <c r="U13" i="19" s="1"/>
  <c r="M34" i="132"/>
  <c r="M108" i="6"/>
  <c r="R108" i="6" s="1"/>
  <c r="P108" i="6"/>
  <c r="K118" i="6"/>
  <c r="AZ186" i="26"/>
  <c r="O136" i="185" s="1"/>
  <c r="Z153" i="185" s="1"/>
  <c r="E177" i="44"/>
  <c r="U115" i="44"/>
  <c r="E125" i="44"/>
  <c r="G15" i="125"/>
  <c r="H15" i="125"/>
  <c r="R123" i="44"/>
  <c r="M114" i="6"/>
  <c r="R114" i="6" s="1"/>
  <c r="P114" i="6"/>
  <c r="P125" i="27"/>
  <c r="E45" i="9"/>
  <c r="Q45" i="9" s="1"/>
  <c r="Q29" i="9"/>
  <c r="AZ118" i="26"/>
  <c r="O92" i="185" s="1"/>
  <c r="P117" i="6"/>
  <c r="M117" i="6"/>
  <c r="R117" i="6" s="1"/>
  <c r="M26" i="6"/>
  <c r="R26" i="6" s="1"/>
  <c r="P26" i="6"/>
  <c r="H51" i="196"/>
  <c r="I62" i="185"/>
  <c r="J62" i="185" s="1"/>
  <c r="BA336" i="26"/>
  <c r="R176" i="42"/>
  <c r="O113" i="125"/>
  <c r="N113" i="125"/>
  <c r="J187" i="44"/>
  <c r="B49" i="132"/>
  <c r="C49" i="132"/>
  <c r="AV106" i="201"/>
  <c r="AO101" i="201"/>
  <c r="M134" i="182" s="1"/>
  <c r="AS23" i="201"/>
  <c r="D89" i="136"/>
  <c r="E89" i="136" s="1"/>
  <c r="N128" i="6"/>
  <c r="F128" i="6"/>
  <c r="AS21" i="201"/>
  <c r="M9" i="5"/>
  <c r="F52" i="5"/>
  <c r="F53" i="5" s="1"/>
  <c r="I52" i="5"/>
  <c r="I53" i="5" s="1"/>
  <c r="M11" i="5"/>
  <c r="H83" i="195"/>
  <c r="E10" i="195" s="1"/>
  <c r="T122" i="44"/>
  <c r="D184" i="44"/>
  <c r="T184" i="44" s="1"/>
  <c r="E37" i="9"/>
  <c r="Q37" i="9" s="1"/>
  <c r="Q21" i="9"/>
  <c r="O180" i="42"/>
  <c r="S180" i="42" s="1"/>
  <c r="S118" i="42"/>
  <c r="R10" i="134"/>
  <c r="AO241" i="27"/>
  <c r="K20" i="195"/>
  <c r="I20" i="195"/>
  <c r="C179" i="44"/>
  <c r="S179" i="44" s="1"/>
  <c r="S117" i="44"/>
  <c r="S24" i="9"/>
  <c r="N29" i="132" s="1"/>
  <c r="G40" i="9"/>
  <c r="S40" i="9" s="1"/>
  <c r="O29" i="132" s="1"/>
  <c r="M29" i="132"/>
  <c r="I8" i="19"/>
  <c r="U8" i="19" s="1"/>
  <c r="R8" i="134"/>
  <c r="E41" i="9"/>
  <c r="Q41" i="9" s="1"/>
  <c r="Q25" i="9"/>
  <c r="T162" i="44"/>
  <c r="AS29" i="201"/>
  <c r="P28" i="6"/>
  <c r="M28" i="6"/>
  <c r="R28" i="6" s="1"/>
  <c r="D181" i="42"/>
  <c r="T181" i="42" s="1"/>
  <c r="T119" i="42"/>
  <c r="V189" i="26"/>
  <c r="X179" i="26"/>
  <c r="G125" i="44"/>
  <c r="BD125" i="201"/>
  <c r="BA251" i="26"/>
  <c r="D118" i="44"/>
  <c r="T55" i="44"/>
  <c r="V28" i="9"/>
  <c r="R30" i="9"/>
  <c r="L31" i="9"/>
  <c r="P22" i="134"/>
  <c r="D39" i="134"/>
  <c r="P39" i="134" s="1"/>
  <c r="I11" i="195"/>
  <c r="BB398" i="26"/>
  <c r="M139" i="6" s="1"/>
  <c r="R139" i="6" s="1"/>
  <c r="P24" i="6"/>
  <c r="M24" i="6"/>
  <c r="R24" i="6" s="1"/>
  <c r="H88" i="196"/>
  <c r="K43" i="196"/>
  <c r="T56" i="42"/>
  <c r="T251" i="27"/>
  <c r="BB402" i="26"/>
  <c r="AZ407" i="26"/>
  <c r="AT187" i="27"/>
  <c r="AV177" i="27"/>
  <c r="I30" i="6"/>
  <c r="N29" i="6"/>
  <c r="O124" i="6"/>
  <c r="E133" i="6"/>
  <c r="P109" i="6"/>
  <c r="M109" i="6"/>
  <c r="R109" i="6" s="1"/>
  <c r="K56" i="6"/>
  <c r="P56" i="6" s="1"/>
  <c r="B52" i="5"/>
  <c r="B53" i="5" s="1"/>
  <c r="M5" i="5"/>
  <c r="D189" i="26"/>
  <c r="H89" i="196"/>
  <c r="K89" i="196" s="1"/>
  <c r="K44" i="196"/>
  <c r="R180" i="42"/>
  <c r="P52" i="195"/>
  <c r="R47" i="185"/>
  <c r="M189" i="26"/>
  <c r="K54" i="6"/>
  <c r="P54" i="6" s="1"/>
  <c r="D44" i="134"/>
  <c r="P44" i="134" s="1"/>
  <c r="P27" i="134"/>
  <c r="D182" i="27"/>
  <c r="E59" i="183"/>
  <c r="I48" i="183"/>
  <c r="J48" i="183" s="1"/>
  <c r="E51" i="183"/>
  <c r="H48" i="183"/>
  <c r="K48" i="183"/>
  <c r="G48" i="183"/>
  <c r="L48" i="183"/>
  <c r="E40" i="9"/>
  <c r="Q40" i="9" s="1"/>
  <c r="Q24" i="9"/>
  <c r="S114" i="42"/>
  <c r="C250" i="44"/>
  <c r="D250" i="44" s="1"/>
  <c r="E250" i="44" s="1"/>
  <c r="D240" i="44"/>
  <c r="E240" i="44" s="1"/>
  <c r="P35" i="6"/>
  <c r="H35" i="6"/>
  <c r="R35" i="6" s="1"/>
  <c r="E185" i="44"/>
  <c r="U185" i="44" s="1"/>
  <c r="U123" i="44"/>
  <c r="G13" i="125"/>
  <c r="H13" i="125"/>
  <c r="K29" i="183"/>
  <c r="G29" i="183"/>
  <c r="I29" i="183"/>
  <c r="J29" i="183" s="1"/>
  <c r="H29" i="183"/>
  <c r="L29" i="183"/>
  <c r="Q176" i="42"/>
  <c r="Q186" i="42" s="1"/>
  <c r="Q124" i="42"/>
  <c r="U62" i="42"/>
  <c r="C46" i="134"/>
  <c r="O46" i="134" s="1"/>
  <c r="O36" i="134"/>
  <c r="N186" i="42"/>
  <c r="I83" i="136"/>
  <c r="J83" i="136" s="1"/>
  <c r="L51" i="136"/>
  <c r="T304" i="44"/>
  <c r="E219" i="183"/>
  <c r="I208" i="183"/>
  <c r="J208" i="183" s="1"/>
  <c r="E211" i="183"/>
  <c r="H208" i="183"/>
  <c r="K208" i="183"/>
  <c r="G208" i="183"/>
  <c r="L208" i="183"/>
  <c r="L314" i="44"/>
  <c r="AZ62" i="26"/>
  <c r="R121" i="42"/>
  <c r="B183" i="42"/>
  <c r="R183" i="42" s="1"/>
  <c r="L62" i="44"/>
  <c r="AB182" i="27"/>
  <c r="Z187" i="27"/>
  <c r="L23" i="134"/>
  <c r="AX184" i="26"/>
  <c r="R180" i="44"/>
  <c r="AX178" i="27"/>
  <c r="AZ178" i="27" s="1"/>
  <c r="O114" i="185" s="1"/>
  <c r="Y147" i="185" s="1"/>
  <c r="C183" i="42"/>
  <c r="S183" i="42" s="1"/>
  <c r="S121" i="42"/>
  <c r="J29" i="134"/>
  <c r="P29" i="134" s="1"/>
  <c r="D36" i="134"/>
  <c r="P19" i="134"/>
  <c r="P103" i="6"/>
  <c r="M103" i="6"/>
  <c r="R103" i="6" s="1"/>
  <c r="AV100" i="201"/>
  <c r="C180" i="44"/>
  <c r="S180" i="44" s="1"/>
  <c r="S118" i="44"/>
  <c r="T308" i="42"/>
  <c r="T307" i="42"/>
  <c r="Q187" i="27"/>
  <c r="Q174" i="27"/>
  <c r="H50" i="195"/>
  <c r="I45" i="185"/>
  <c r="J45" i="185" s="1"/>
  <c r="L14" i="134"/>
  <c r="L15" i="134"/>
  <c r="R15" i="134" s="1"/>
  <c r="R4" i="134"/>
  <c r="AY344" i="26"/>
  <c r="AZ344" i="26" s="1"/>
  <c r="E46" i="134"/>
  <c r="Q36" i="134"/>
  <c r="H62" i="42"/>
  <c r="C54" i="132"/>
  <c r="B54" i="132"/>
  <c r="U43" i="185"/>
  <c r="T93" i="195" s="1"/>
  <c r="S43" i="185"/>
  <c r="M10" i="125"/>
  <c r="E178" i="42"/>
  <c r="U178" i="42" s="1"/>
  <c r="U116" i="42"/>
  <c r="H92" i="196"/>
  <c r="K92" i="196" s="1"/>
  <c r="K47" i="196"/>
  <c r="E339" i="182"/>
  <c r="I378" i="182"/>
  <c r="G378" i="182"/>
  <c r="H378" i="182" s="1"/>
  <c r="J378" i="182"/>
  <c r="AO98" i="201"/>
  <c r="M44" i="182" s="1"/>
  <c r="AO30" i="201"/>
  <c r="M112" i="6"/>
  <c r="R112" i="6" s="1"/>
  <c r="P112" i="6"/>
  <c r="B46" i="134"/>
  <c r="N46" i="134" s="1"/>
  <c r="N36" i="134"/>
  <c r="Q253" i="26"/>
  <c r="P254" i="26"/>
  <c r="S246" i="42"/>
  <c r="T246" i="42" s="1"/>
  <c r="U246" i="42" s="1"/>
  <c r="T310" i="42"/>
  <c r="F19" i="196"/>
  <c r="H19" i="196"/>
  <c r="AY125" i="27"/>
  <c r="BA185" i="27"/>
  <c r="P121" i="185" s="1"/>
  <c r="Y121" i="185" s="1"/>
  <c r="AG121" i="185" s="1"/>
  <c r="B182" i="44"/>
  <c r="R182" i="44" s="1"/>
  <c r="R120" i="44"/>
  <c r="BA183" i="26"/>
  <c r="P133" i="185" s="1"/>
  <c r="Y133" i="185" s="1"/>
  <c r="AG133" i="185" s="1"/>
  <c r="O9" i="125"/>
  <c r="N9" i="125"/>
  <c r="N131" i="6"/>
  <c r="F131" i="6"/>
  <c r="BB308" i="27"/>
  <c r="AO103" i="201"/>
  <c r="M194" i="182" s="1"/>
  <c r="AS25" i="201"/>
  <c r="C33" i="183"/>
  <c r="C37" i="183" s="1"/>
  <c r="C28" i="183"/>
  <c r="P125" i="44"/>
  <c r="P177" i="44"/>
  <c r="P187" i="44" s="1"/>
  <c r="P83" i="196"/>
  <c r="H10" i="196" s="1"/>
  <c r="S73" i="196"/>
  <c r="P63" i="26"/>
  <c r="L459" i="182"/>
  <c r="M15" i="125"/>
  <c r="P50" i="195"/>
  <c r="R45" i="185"/>
  <c r="P83" i="195"/>
  <c r="H10" i="195" s="1"/>
  <c r="S73" i="195"/>
  <c r="I256" i="183"/>
  <c r="J256" i="183" s="1"/>
  <c r="H256" i="183"/>
  <c r="K256" i="183"/>
  <c r="G256" i="183"/>
  <c r="L256" i="183"/>
  <c r="E36" i="9"/>
  <c r="K30" i="9"/>
  <c r="Q20" i="9"/>
  <c r="K50" i="6"/>
  <c r="P50" i="6" s="1"/>
  <c r="AW93" i="201"/>
  <c r="BA83" i="201"/>
  <c r="AJ344" i="26"/>
  <c r="AI345" i="26"/>
  <c r="P113" i="195"/>
  <c r="S103" i="195"/>
  <c r="S113" i="195" s="1"/>
  <c r="H46" i="195"/>
  <c r="I41" i="185"/>
  <c r="J41" i="185" s="1"/>
  <c r="P113" i="196"/>
  <c r="S103" i="196"/>
  <c r="S113" i="196" s="1"/>
  <c r="BA248" i="26"/>
  <c r="H83" i="196"/>
  <c r="E10" i="196" s="1"/>
  <c r="K73" i="196"/>
  <c r="G41" i="9"/>
  <c r="S41" i="9" s="1"/>
  <c r="O30" i="132" s="1"/>
  <c r="S25" i="9"/>
  <c r="N30" i="132" s="1"/>
  <c r="M30" i="132"/>
  <c r="I9" i="19"/>
  <c r="U9" i="19" s="1"/>
  <c r="D119" i="44"/>
  <c r="T56" i="44"/>
  <c r="M55" i="6"/>
  <c r="R55" i="6" s="1"/>
  <c r="K106" i="201"/>
  <c r="O28" i="201"/>
  <c r="C14" i="205" s="1"/>
  <c r="P90" i="185"/>
  <c r="BA126" i="26"/>
  <c r="C177" i="42"/>
  <c r="S177" i="42" s="1"/>
  <c r="S115" i="42"/>
  <c r="D121" i="42"/>
  <c r="T59" i="42"/>
  <c r="I96" i="183"/>
  <c r="J96" i="183" s="1"/>
  <c r="H96" i="183"/>
  <c r="K96" i="183"/>
  <c r="G96" i="183"/>
  <c r="L96" i="183"/>
  <c r="C186" i="44"/>
  <c r="S186" i="44" s="1"/>
  <c r="S124" i="44"/>
  <c r="J119" i="6"/>
  <c r="O118" i="6"/>
  <c r="B48" i="132"/>
  <c r="C48" i="132"/>
  <c r="P26" i="134"/>
  <c r="D43" i="134"/>
  <c r="P43" i="134" s="1"/>
  <c r="C124" i="42"/>
  <c r="M22" i="6"/>
  <c r="R22" i="6" s="1"/>
  <c r="P22" i="6"/>
  <c r="G369" i="183"/>
  <c r="R369" i="183" s="1"/>
  <c r="B50" i="132"/>
  <c r="C50" i="132"/>
  <c r="D116" i="44"/>
  <c r="T53" i="44"/>
  <c r="G39" i="9"/>
  <c r="S39" i="9" s="1"/>
  <c r="O28" i="132" s="1"/>
  <c r="S23" i="9"/>
  <c r="N28" i="132" s="1"/>
  <c r="M28" i="132"/>
  <c r="I7" i="19"/>
  <c r="U7" i="19" s="1"/>
  <c r="P37" i="6"/>
  <c r="H37" i="6"/>
  <c r="R37" i="6" s="1"/>
  <c r="S240" i="42"/>
  <c r="T218" i="42"/>
  <c r="Q118" i="6"/>
  <c r="L119" i="6"/>
  <c r="H31" i="185"/>
  <c r="G32" i="185"/>
  <c r="L74" i="35"/>
  <c r="M75" i="35"/>
  <c r="M76" i="35" s="1"/>
  <c r="O75" i="35" s="1"/>
  <c r="H74" i="35"/>
  <c r="AV98" i="201"/>
  <c r="AV30" i="201"/>
  <c r="AV143" i="201" s="1"/>
  <c r="N117" i="125"/>
  <c r="O117" i="125"/>
  <c r="M25" i="6"/>
  <c r="R25" i="6" s="1"/>
  <c r="P25" i="6"/>
  <c r="BA342" i="26"/>
  <c r="T60" i="44"/>
  <c r="M116" i="6"/>
  <c r="R116" i="6" s="1"/>
  <c r="P116" i="6"/>
  <c r="H94" i="195"/>
  <c r="K94" i="195" s="1"/>
  <c r="K49" i="195"/>
  <c r="H33" i="195" s="1"/>
  <c r="K33" i="195" s="1"/>
  <c r="E159" i="182"/>
  <c r="C179" i="42"/>
  <c r="S179" i="42" s="1"/>
  <c r="S117" i="42"/>
  <c r="AN178" i="27"/>
  <c r="AL187" i="27"/>
  <c r="P62" i="42"/>
  <c r="AZ118" i="27"/>
  <c r="O73" i="185" s="1"/>
  <c r="N129" i="6"/>
  <c r="F129" i="6"/>
  <c r="AX186" i="26"/>
  <c r="AX182" i="26"/>
  <c r="H90" i="195"/>
  <c r="K90" i="195" s="1"/>
  <c r="K45" i="195"/>
  <c r="H29" i="195" s="1"/>
  <c r="K29" i="195" s="1"/>
  <c r="R185" i="44"/>
  <c r="B47" i="132"/>
  <c r="C47" i="132"/>
  <c r="N118" i="6"/>
  <c r="T118" i="6"/>
  <c r="B118" i="6"/>
  <c r="AS28" i="201"/>
  <c r="AO106" i="201"/>
  <c r="M284" i="182" s="1"/>
  <c r="P36" i="6"/>
  <c r="H36" i="6"/>
  <c r="R36" i="6" s="1"/>
  <c r="S62" i="42"/>
  <c r="AY253" i="26"/>
  <c r="AZ253" i="26" s="1"/>
  <c r="AZ243" i="26"/>
  <c r="BB305" i="27"/>
  <c r="BB283" i="27"/>
  <c r="T118" i="42"/>
  <c r="P14" i="6"/>
  <c r="M14" i="6"/>
  <c r="R14" i="6" s="1"/>
  <c r="E184" i="42"/>
  <c r="U184" i="42" s="1"/>
  <c r="U122" i="42"/>
  <c r="B177" i="44"/>
  <c r="B125" i="44"/>
  <c r="R115" i="44"/>
  <c r="L28" i="134"/>
  <c r="AH187" i="27"/>
  <c r="O98" i="201"/>
  <c r="N132" i="6"/>
  <c r="F132" i="6"/>
  <c r="T311" i="42"/>
  <c r="AX126" i="26"/>
  <c r="D123" i="42"/>
  <c r="T61" i="42"/>
  <c r="M17" i="125"/>
  <c r="S26" i="9"/>
  <c r="N31" i="132" s="1"/>
  <c r="G42" i="9"/>
  <c r="S42" i="9" s="1"/>
  <c r="O31" i="132" s="1"/>
  <c r="M31" i="132"/>
  <c r="I10" i="19"/>
  <c r="U10" i="19" s="1"/>
  <c r="N125" i="44"/>
  <c r="M51" i="6"/>
  <c r="R51" i="6" s="1"/>
  <c r="AN189" i="26"/>
  <c r="R13" i="134"/>
  <c r="BA244" i="26"/>
  <c r="T304" i="42"/>
  <c r="T282" i="42"/>
  <c r="AO251" i="27"/>
  <c r="K128" i="183"/>
  <c r="G128" i="183"/>
  <c r="I128" i="183"/>
  <c r="J128" i="183" s="1"/>
  <c r="H128" i="183"/>
  <c r="L128" i="183"/>
  <c r="M115" i="6"/>
  <c r="R115" i="6" s="1"/>
  <c r="P115" i="6"/>
  <c r="AF189" i="26"/>
  <c r="BD189" i="26" s="1"/>
  <c r="AK127" i="26"/>
  <c r="AZ108" i="201"/>
  <c r="AZ125" i="201"/>
  <c r="C125" i="44"/>
  <c r="B181" i="44"/>
  <c r="R181" i="44" s="1"/>
  <c r="R119" i="44"/>
  <c r="I88" i="195"/>
  <c r="I98" i="195" s="1"/>
  <c r="E7" i="195" s="1"/>
  <c r="F7" i="195" s="1"/>
  <c r="I53" i="195"/>
  <c r="E15" i="195" s="1"/>
  <c r="F15" i="195" s="1"/>
  <c r="E187" i="27"/>
  <c r="BA177" i="27"/>
  <c r="G187" i="44"/>
  <c r="O250" i="42"/>
  <c r="P250" i="42" s="1"/>
  <c r="Q250" i="42" s="1"/>
  <c r="P240" i="42"/>
  <c r="Q240" i="42" s="1"/>
  <c r="R314" i="42"/>
  <c r="O17" i="195"/>
  <c r="E279" i="182"/>
  <c r="R36" i="9"/>
  <c r="F46" i="9"/>
  <c r="E309" i="182"/>
  <c r="G124" i="42"/>
  <c r="AS27" i="201"/>
  <c r="H92" i="195"/>
  <c r="K92" i="195" s="1"/>
  <c r="K47" i="195"/>
  <c r="H31" i="195" s="1"/>
  <c r="K31" i="195" s="1"/>
  <c r="F19" i="195"/>
  <c r="H19" i="195"/>
  <c r="H14" i="125"/>
  <c r="G14" i="125"/>
  <c r="BA186" i="26"/>
  <c r="P136" i="185" s="1"/>
  <c r="Y136" i="185" s="1"/>
  <c r="AG136" i="185" s="1"/>
  <c r="M27" i="6"/>
  <c r="R27" i="6" s="1"/>
  <c r="P27" i="6"/>
  <c r="E219" i="182"/>
  <c r="AU108" i="201"/>
  <c r="M102" i="125" s="1"/>
  <c r="N102" i="125" s="1"/>
  <c r="AU125" i="201"/>
  <c r="N124" i="6"/>
  <c r="F124" i="6"/>
  <c r="AX179" i="26"/>
  <c r="R124" i="44"/>
  <c r="P96" i="195"/>
  <c r="S96" i="195" s="1"/>
  <c r="S51" i="195"/>
  <c r="P35" i="195" s="1"/>
  <c r="S35" i="195" s="1"/>
  <c r="M177" i="44"/>
  <c r="M187" i="44" s="1"/>
  <c r="M125" i="44"/>
  <c r="AQ125" i="201"/>
  <c r="AQ108" i="201"/>
  <c r="M52" i="125" s="1"/>
  <c r="O52" i="125" s="1"/>
  <c r="AV63" i="27"/>
  <c r="D115" i="42"/>
  <c r="T53" i="42"/>
  <c r="I224" i="183"/>
  <c r="J224" i="183" s="1"/>
  <c r="H224" i="183"/>
  <c r="K224" i="183"/>
  <c r="G224" i="183"/>
  <c r="L224" i="183"/>
  <c r="E16" i="183"/>
  <c r="H10" i="183"/>
  <c r="K10" i="183"/>
  <c r="G10" i="183"/>
  <c r="L10" i="183"/>
  <c r="H24" i="183"/>
  <c r="K24" i="183"/>
  <c r="G24" i="183"/>
  <c r="I24" i="183"/>
  <c r="J24" i="183" s="1"/>
  <c r="T305" i="44"/>
  <c r="H44" i="195"/>
  <c r="I39" i="185"/>
  <c r="J39" i="185" s="1"/>
  <c r="T94" i="44"/>
  <c r="L63" i="27"/>
  <c r="E176" i="42"/>
  <c r="U114" i="42"/>
  <c r="E124" i="42"/>
  <c r="M11" i="125"/>
  <c r="N124" i="42"/>
  <c r="AD4" i="150"/>
  <c r="AD5" i="150" s="1"/>
  <c r="I13" i="150"/>
  <c r="O15" i="132" s="1"/>
  <c r="K19" i="150"/>
  <c r="M13" i="150"/>
  <c r="P15" i="132" s="1"/>
  <c r="K20" i="150"/>
  <c r="N15" i="132"/>
  <c r="L26" i="134"/>
  <c r="L443" i="182"/>
  <c r="I112" i="183"/>
  <c r="J112" i="183" s="1"/>
  <c r="E123" i="183"/>
  <c r="E115" i="183"/>
  <c r="U113" i="183" s="1"/>
  <c r="H112" i="183"/>
  <c r="G112" i="183"/>
  <c r="K112" i="183"/>
  <c r="L112" i="183"/>
  <c r="B178" i="44"/>
  <c r="R178" i="44" s="1"/>
  <c r="R116" i="44"/>
  <c r="Q23" i="9"/>
  <c r="E39" i="9"/>
  <c r="Q39" i="9" s="1"/>
  <c r="G104" i="185"/>
  <c r="G368" i="183"/>
  <c r="R368" i="183" s="1"/>
  <c r="M111" i="6"/>
  <c r="R111" i="6" s="1"/>
  <c r="P111" i="6"/>
  <c r="T305" i="42"/>
  <c r="L177" i="44"/>
  <c r="L187" i="44" s="1"/>
  <c r="L125" i="44"/>
  <c r="AJ180" i="26"/>
  <c r="D316" i="183"/>
  <c r="D400" i="183" s="1"/>
  <c r="D321" i="183"/>
  <c r="D323" i="183" s="1"/>
  <c r="AV102" i="201"/>
  <c r="D178" i="27"/>
  <c r="Q43" i="196"/>
  <c r="P64" i="185"/>
  <c r="H52" i="196"/>
  <c r="I63" i="185"/>
  <c r="J63" i="185" s="1"/>
  <c r="M15" i="9"/>
  <c r="S15" i="9" s="1"/>
  <c r="S4" i="9"/>
  <c r="M14" i="9"/>
  <c r="M12" i="125"/>
  <c r="I88" i="196"/>
  <c r="I53" i="196"/>
  <c r="AW127" i="26"/>
  <c r="N125" i="6"/>
  <c r="F125" i="6"/>
  <c r="AZ116" i="26"/>
  <c r="H10" i="125"/>
  <c r="G10" i="125"/>
  <c r="F177" i="44"/>
  <c r="F187" i="44" s="1"/>
  <c r="F125" i="44"/>
  <c r="BA187" i="26"/>
  <c r="P137" i="185" s="1"/>
  <c r="Y137" i="185" s="1"/>
  <c r="AG137" i="185" s="1"/>
  <c r="E339" i="183"/>
  <c r="I336" i="183"/>
  <c r="J336" i="183" s="1"/>
  <c r="E347" i="183"/>
  <c r="S338" i="183" s="1"/>
  <c r="H336" i="183"/>
  <c r="K336" i="183"/>
  <c r="G336" i="183"/>
  <c r="L336" i="183"/>
  <c r="F48" i="185"/>
  <c r="I48" i="185" s="1"/>
  <c r="J48" i="185" s="1"/>
  <c r="B52" i="132"/>
  <c r="C52" i="132"/>
  <c r="F105" i="201"/>
  <c r="F30" i="201"/>
  <c r="F108" i="201" s="1"/>
  <c r="G27" i="201"/>
  <c r="P20" i="6"/>
  <c r="M20" i="6"/>
  <c r="R20" i="6" s="1"/>
  <c r="I177" i="44"/>
  <c r="I187" i="44" s="1"/>
  <c r="I125" i="44"/>
  <c r="D120" i="44"/>
  <c r="T57" i="44"/>
  <c r="AZ185" i="26"/>
  <c r="O135" i="185" s="1"/>
  <c r="Z152" i="185" s="1"/>
  <c r="E249" i="182"/>
  <c r="E307" i="183"/>
  <c r="H304" i="183"/>
  <c r="K304" i="183"/>
  <c r="G304" i="183"/>
  <c r="E315" i="183"/>
  <c r="I304" i="183"/>
  <c r="J304" i="183" s="1"/>
  <c r="L304" i="183"/>
  <c r="G250" i="44"/>
  <c r="H250" i="44" s="1"/>
  <c r="I250" i="44" s="1"/>
  <c r="H240" i="44"/>
  <c r="I240" i="44" s="1"/>
  <c r="P45" i="196"/>
  <c r="R56" i="185"/>
  <c r="K25" i="183"/>
  <c r="I25" i="183"/>
  <c r="J25" i="183" s="1"/>
  <c r="L25" i="183"/>
  <c r="M37" i="195"/>
  <c r="Q17" i="195" s="1"/>
  <c r="L62" i="42"/>
  <c r="D37" i="182"/>
  <c r="D33" i="182"/>
  <c r="P94" i="196"/>
  <c r="S94" i="196" s="1"/>
  <c r="S49" i="196"/>
  <c r="P33" i="196" s="1"/>
  <c r="S33" i="196" s="1"/>
  <c r="S62" i="185"/>
  <c r="U62" i="185"/>
  <c r="T96" i="196" s="1"/>
  <c r="P93" i="196"/>
  <c r="S93" i="196" s="1"/>
  <c r="S48" i="196"/>
  <c r="P32" i="196" s="1"/>
  <c r="S32" i="196" s="1"/>
  <c r="AO143" i="201" l="1"/>
  <c r="AU158" i="201"/>
  <c r="AW158" i="201" s="1"/>
  <c r="O16" i="183" s="1"/>
  <c r="Q16" i="183" s="1"/>
  <c r="AJ175" i="26"/>
  <c r="C34" i="207"/>
  <c r="I117" i="185"/>
  <c r="J117" i="185" s="1"/>
  <c r="CS58" i="190"/>
  <c r="CS59" i="190" s="1"/>
  <c r="G16" i="125"/>
  <c r="T59" i="167"/>
  <c r="T61" i="167" s="1"/>
  <c r="O125" i="125"/>
  <c r="BW45" i="201"/>
  <c r="O47" i="167"/>
  <c r="CS21" i="190"/>
  <c r="CU21" i="190" s="1"/>
  <c r="CU6" i="190"/>
  <c r="CV6" i="190" s="1"/>
  <c r="CS40" i="190"/>
  <c r="CS41" i="190" s="1"/>
  <c r="CS31" i="190"/>
  <c r="CS32" i="190" s="1"/>
  <c r="CS33" i="190" s="1"/>
  <c r="CR87" i="190"/>
  <c r="CT87" i="190" s="1"/>
  <c r="E13" i="150"/>
  <c r="F13" i="150" s="1"/>
  <c r="E9" i="150"/>
  <c r="F9" i="150" s="1"/>
  <c r="E7" i="150"/>
  <c r="F7" i="150" s="1"/>
  <c r="T189" i="26"/>
  <c r="F20" i="207"/>
  <c r="DB461" i="167"/>
  <c r="W154" i="185"/>
  <c r="W156" i="185" s="1"/>
  <c r="AR143" i="201"/>
  <c r="AR108" i="201"/>
  <c r="M34" i="182" s="1"/>
  <c r="E36" i="183"/>
  <c r="AZ181" i="26"/>
  <c r="O131" i="185" s="1"/>
  <c r="Z148" i="185" s="1"/>
  <c r="L423" i="182"/>
  <c r="E139" i="185"/>
  <c r="P175" i="26"/>
  <c r="G14" i="205"/>
  <c r="C30" i="205"/>
  <c r="H16" i="125"/>
  <c r="C40" i="205"/>
  <c r="G24" i="205"/>
  <c r="G23" i="205"/>
  <c r="C39" i="205"/>
  <c r="C31" i="205"/>
  <c r="G15" i="205"/>
  <c r="K187" i="44"/>
  <c r="C43" i="205"/>
  <c r="G27" i="205"/>
  <c r="C42" i="205"/>
  <c r="G26" i="205"/>
  <c r="C44" i="205"/>
  <c r="G28" i="205"/>
  <c r="L420" i="182"/>
  <c r="N420" i="182" s="1"/>
  <c r="G25" i="205"/>
  <c r="C41" i="205"/>
  <c r="G22" i="205"/>
  <c r="C38" i="205"/>
  <c r="N305" i="183"/>
  <c r="DM24" i="190"/>
  <c r="DM23" i="190"/>
  <c r="DM21" i="190"/>
  <c r="DM28" i="190"/>
  <c r="DM22" i="190"/>
  <c r="DM20" i="190"/>
  <c r="DM25" i="190"/>
  <c r="DM27" i="190"/>
  <c r="I31" i="134"/>
  <c r="I30" i="134" s="1"/>
  <c r="G129" i="125"/>
  <c r="H128" i="125"/>
  <c r="R79" i="185"/>
  <c r="U79" i="185" s="1"/>
  <c r="N49" i="183"/>
  <c r="N273" i="183"/>
  <c r="K14" i="150"/>
  <c r="M56" i="6"/>
  <c r="R56" i="6" s="1"/>
  <c r="L24" i="207"/>
  <c r="G10" i="207"/>
  <c r="G24" i="207"/>
  <c r="BL150" i="201"/>
  <c r="J24" i="207"/>
  <c r="F24" i="207"/>
  <c r="E15" i="196"/>
  <c r="F15" i="196" s="1"/>
  <c r="I98" i="196"/>
  <c r="H28" i="196"/>
  <c r="K28" i="196" s="1"/>
  <c r="H31" i="196"/>
  <c r="K31" i="196" s="1"/>
  <c r="D32" i="196"/>
  <c r="G32" i="196" s="1"/>
  <c r="D30" i="196"/>
  <c r="G30" i="196" s="1"/>
  <c r="D36" i="196"/>
  <c r="G36" i="196" s="1"/>
  <c r="D29" i="196"/>
  <c r="G29" i="196" s="1"/>
  <c r="D28" i="196"/>
  <c r="G28" i="196" s="1"/>
  <c r="D34" i="196"/>
  <c r="G34" i="196" s="1"/>
  <c r="D33" i="196"/>
  <c r="G33" i="196" s="1"/>
  <c r="D35" i="196"/>
  <c r="G35" i="196" s="1"/>
  <c r="D31" i="196"/>
  <c r="G31" i="196" s="1"/>
  <c r="L357" i="182"/>
  <c r="G124" i="125"/>
  <c r="G89" i="195"/>
  <c r="G91" i="195"/>
  <c r="DB453" i="167"/>
  <c r="H125" i="125"/>
  <c r="D16" i="207"/>
  <c r="D17" i="207" s="1"/>
  <c r="BJ140" i="201"/>
  <c r="BN140" i="201"/>
  <c r="BN123" i="201"/>
  <c r="H126" i="125"/>
  <c r="BJ138" i="201"/>
  <c r="BN135" i="201"/>
  <c r="BN124" i="201"/>
  <c r="BJ101" i="201"/>
  <c r="BJ135" i="201"/>
  <c r="H127" i="125"/>
  <c r="D293" i="183"/>
  <c r="C42" i="207"/>
  <c r="C40" i="207"/>
  <c r="C32" i="207"/>
  <c r="C36" i="207"/>
  <c r="C38" i="207"/>
  <c r="L411" i="182"/>
  <c r="N15" i="183"/>
  <c r="L175" i="26"/>
  <c r="D27" i="196"/>
  <c r="G53" i="196"/>
  <c r="G88" i="196"/>
  <c r="D98" i="196"/>
  <c r="D6" i="196" s="1"/>
  <c r="D5" i="196" s="1"/>
  <c r="M437" i="182"/>
  <c r="O437" i="182" s="1"/>
  <c r="I12" i="207"/>
  <c r="L12" i="207"/>
  <c r="G12" i="207"/>
  <c r="J12" i="207"/>
  <c r="F12" i="207"/>
  <c r="E15" i="207"/>
  <c r="F15" i="207" s="1"/>
  <c r="L31" i="207"/>
  <c r="I31" i="207"/>
  <c r="G31" i="207"/>
  <c r="J31" i="207"/>
  <c r="G4" i="207"/>
  <c r="I4" i="207"/>
  <c r="E11" i="207"/>
  <c r="J4" i="207"/>
  <c r="F4" i="207"/>
  <c r="L4" i="207"/>
  <c r="L23" i="182"/>
  <c r="L427" i="182" s="1"/>
  <c r="N17" i="183"/>
  <c r="BL155" i="201"/>
  <c r="M129" i="125"/>
  <c r="N129" i="125" s="1"/>
  <c r="BL156" i="201"/>
  <c r="M130" i="125"/>
  <c r="BL154" i="201"/>
  <c r="M128" i="125"/>
  <c r="BL153" i="201"/>
  <c r="M127" i="125"/>
  <c r="N124" i="125"/>
  <c r="BL149" i="201"/>
  <c r="M123" i="125"/>
  <c r="BI143" i="201"/>
  <c r="BJ158" i="201"/>
  <c r="H131" i="125"/>
  <c r="G131" i="125"/>
  <c r="BG158" i="201"/>
  <c r="BL157" i="201"/>
  <c r="M131" i="125"/>
  <c r="N176" i="182"/>
  <c r="O111" i="182"/>
  <c r="M453" i="182"/>
  <c r="N453" i="182" s="1"/>
  <c r="N473" i="182"/>
  <c r="O201" i="182"/>
  <c r="O119" i="183"/>
  <c r="O215" i="183"/>
  <c r="O208" i="182"/>
  <c r="M469" i="182"/>
  <c r="O469" i="182" s="1"/>
  <c r="O305" i="183"/>
  <c r="M442" i="182"/>
  <c r="O442" i="182" s="1"/>
  <c r="O88" i="182"/>
  <c r="O99" i="125"/>
  <c r="E132" i="125"/>
  <c r="H132" i="125" s="1"/>
  <c r="P308" i="183"/>
  <c r="N296" i="182"/>
  <c r="O296" i="182"/>
  <c r="M422" i="182"/>
  <c r="O422" i="182" s="1"/>
  <c r="O81" i="182"/>
  <c r="N235" i="182"/>
  <c r="O145" i="183"/>
  <c r="O279" i="183"/>
  <c r="N238" i="182"/>
  <c r="O108" i="182"/>
  <c r="M467" i="182"/>
  <c r="O467" i="182" s="1"/>
  <c r="N14" i="182"/>
  <c r="O261" i="182"/>
  <c r="N168" i="182"/>
  <c r="N205" i="182"/>
  <c r="M470" i="182"/>
  <c r="N470" i="182" s="1"/>
  <c r="O212" i="183"/>
  <c r="Q212" i="183" s="1"/>
  <c r="O180" i="183"/>
  <c r="P180" i="183" s="1"/>
  <c r="M440" i="182"/>
  <c r="N440" i="182" s="1"/>
  <c r="M406" i="182"/>
  <c r="N406" i="182" s="1"/>
  <c r="O268" i="183"/>
  <c r="O205" i="182"/>
  <c r="M455" i="182"/>
  <c r="O455" i="182" s="1"/>
  <c r="N198" i="182"/>
  <c r="O238" i="182"/>
  <c r="N108" i="182"/>
  <c r="O241" i="183"/>
  <c r="N85" i="182"/>
  <c r="N268" i="182"/>
  <c r="O175" i="183"/>
  <c r="O85" i="182"/>
  <c r="M402" i="182"/>
  <c r="N402" i="182" s="1"/>
  <c r="F19" i="183"/>
  <c r="F28" i="183" s="1"/>
  <c r="N291" i="182"/>
  <c r="O300" i="183"/>
  <c r="M434" i="182"/>
  <c r="N434" i="182" s="1"/>
  <c r="O58" i="182"/>
  <c r="O276" i="183"/>
  <c r="Q276" i="183" s="1"/>
  <c r="M407" i="182"/>
  <c r="N407" i="182" s="1"/>
  <c r="O426" i="182"/>
  <c r="N55" i="182"/>
  <c r="M439" i="182"/>
  <c r="O439" i="182" s="1"/>
  <c r="O55" i="182"/>
  <c r="O52" i="183"/>
  <c r="Q52" i="183" s="1"/>
  <c r="O291" i="182"/>
  <c r="N321" i="182"/>
  <c r="N201" i="182"/>
  <c r="M451" i="182"/>
  <c r="O451" i="182" s="1"/>
  <c r="N178" i="182"/>
  <c r="O118" i="182"/>
  <c r="N208" i="182"/>
  <c r="M403" i="182"/>
  <c r="O403" i="182" s="1"/>
  <c r="O87" i="183"/>
  <c r="N295" i="182"/>
  <c r="O204" i="183"/>
  <c r="N78" i="182"/>
  <c r="O115" i="182"/>
  <c r="O111" i="183"/>
  <c r="M450" i="182"/>
  <c r="N450" i="182" s="1"/>
  <c r="M423" i="182"/>
  <c r="N111" i="182"/>
  <c r="O295" i="182"/>
  <c r="O44" i="183"/>
  <c r="P44" i="183" s="1"/>
  <c r="N231" i="182"/>
  <c r="O47" i="183"/>
  <c r="P47" i="183" s="1"/>
  <c r="N58" i="182"/>
  <c r="N145" i="182"/>
  <c r="O239" i="183"/>
  <c r="O231" i="182"/>
  <c r="O76" i="183"/>
  <c r="N48" i="182"/>
  <c r="M474" i="182"/>
  <c r="N474" i="182" s="1"/>
  <c r="M449" i="182"/>
  <c r="O449" i="182" s="1"/>
  <c r="O145" i="182"/>
  <c r="E284" i="183"/>
  <c r="G284" i="183" s="1"/>
  <c r="M465" i="182"/>
  <c r="N465" i="182" s="1"/>
  <c r="DE462" i="167"/>
  <c r="DD462" i="167"/>
  <c r="DD461" i="167"/>
  <c r="DE461" i="167"/>
  <c r="DD460" i="167"/>
  <c r="DE460" i="167"/>
  <c r="DE459" i="167"/>
  <c r="DD458" i="167"/>
  <c r="DD457" i="167"/>
  <c r="DD456" i="167"/>
  <c r="DD454" i="167"/>
  <c r="O228" i="182"/>
  <c r="N318" i="182"/>
  <c r="M471" i="182"/>
  <c r="N471" i="182" s="1"/>
  <c r="N468" i="182"/>
  <c r="AZ179" i="27"/>
  <c r="O115" i="185" s="1"/>
  <c r="R115" i="185" s="1"/>
  <c r="O108" i="183"/>
  <c r="M405" i="182"/>
  <c r="O405" i="182" s="1"/>
  <c r="N175" i="182"/>
  <c r="O244" i="183"/>
  <c r="Q244" i="183" s="1"/>
  <c r="O268" i="182"/>
  <c r="O178" i="182"/>
  <c r="O318" i="182"/>
  <c r="N298" i="182"/>
  <c r="O84" i="183"/>
  <c r="P84" i="183" s="1"/>
  <c r="O258" i="182"/>
  <c r="O303" i="183"/>
  <c r="O332" i="183"/>
  <c r="M404" i="182"/>
  <c r="O404" i="182" s="1"/>
  <c r="O66" i="125"/>
  <c r="E18" i="125"/>
  <c r="H18" i="125" s="1"/>
  <c r="O78" i="182"/>
  <c r="M457" i="182"/>
  <c r="N457" i="182" s="1"/>
  <c r="O298" i="182"/>
  <c r="N51" i="182"/>
  <c r="M433" i="182"/>
  <c r="O433" i="182" s="1"/>
  <c r="N258" i="182"/>
  <c r="O116" i="182"/>
  <c r="N116" i="182"/>
  <c r="O34" i="125"/>
  <c r="N326" i="182"/>
  <c r="O337" i="183"/>
  <c r="O24" i="125"/>
  <c r="N24" i="125"/>
  <c r="O148" i="182"/>
  <c r="O151" i="183"/>
  <c r="M452" i="182"/>
  <c r="N148" i="182"/>
  <c r="O48" i="125"/>
  <c r="N48" i="125"/>
  <c r="N43" i="125"/>
  <c r="O43" i="125"/>
  <c r="O30" i="125"/>
  <c r="N30" i="125"/>
  <c r="O59" i="125"/>
  <c r="N59" i="125"/>
  <c r="O92" i="125"/>
  <c r="N92" i="125"/>
  <c r="N60" i="125"/>
  <c r="O60" i="125"/>
  <c r="N47" i="125"/>
  <c r="O47" i="125"/>
  <c r="O67" i="125"/>
  <c r="N25" i="125"/>
  <c r="O25" i="125"/>
  <c r="N28" i="125"/>
  <c r="O28" i="125"/>
  <c r="N27" i="125"/>
  <c r="O27" i="125"/>
  <c r="N101" i="125"/>
  <c r="O101" i="125"/>
  <c r="O326" i="182"/>
  <c r="O46" i="125"/>
  <c r="N46" i="125"/>
  <c r="N236" i="182"/>
  <c r="O62" i="125"/>
  <c r="N62" i="125"/>
  <c r="N98" i="125"/>
  <c r="O98" i="125"/>
  <c r="O32" i="125"/>
  <c r="O94" i="125"/>
  <c r="N94" i="125"/>
  <c r="O26" i="125"/>
  <c r="N26" i="125"/>
  <c r="O69" i="125"/>
  <c r="N52" i="125"/>
  <c r="O113" i="183"/>
  <c r="N206" i="182"/>
  <c r="O206" i="182"/>
  <c r="M86" i="182"/>
  <c r="M56" i="182"/>
  <c r="O172" i="183"/>
  <c r="N171" i="182"/>
  <c r="N44" i="125"/>
  <c r="O44" i="125"/>
  <c r="O328" i="182"/>
  <c r="N328" i="182"/>
  <c r="M458" i="182"/>
  <c r="O343" i="183"/>
  <c r="O63" i="125"/>
  <c r="N63" i="125"/>
  <c r="N93" i="125"/>
  <c r="O93" i="125"/>
  <c r="N51" i="125"/>
  <c r="O51" i="125"/>
  <c r="O42" i="125"/>
  <c r="N42" i="125"/>
  <c r="M118" i="125"/>
  <c r="O118" i="125" s="1"/>
  <c r="M21" i="182"/>
  <c r="N65" i="125"/>
  <c r="O65" i="125"/>
  <c r="N96" i="125"/>
  <c r="O96" i="125"/>
  <c r="O49" i="125"/>
  <c r="N49" i="125"/>
  <c r="O29" i="125"/>
  <c r="N29" i="125"/>
  <c r="H123" i="125"/>
  <c r="G123" i="125"/>
  <c r="N64" i="125"/>
  <c r="O64" i="125"/>
  <c r="O61" i="125"/>
  <c r="N61" i="125"/>
  <c r="O146" i="182"/>
  <c r="N146" i="182"/>
  <c r="N50" i="125"/>
  <c r="O50" i="125"/>
  <c r="O68" i="125"/>
  <c r="N68" i="125"/>
  <c r="N97" i="125"/>
  <c r="O97" i="125"/>
  <c r="H130" i="125"/>
  <c r="G130" i="125"/>
  <c r="L102" i="125"/>
  <c r="O102" i="125" s="1"/>
  <c r="L15" i="182"/>
  <c r="N20" i="183" s="1"/>
  <c r="L472" i="182"/>
  <c r="N472" i="182" s="1"/>
  <c r="N276" i="183"/>
  <c r="V124" i="201"/>
  <c r="X124" i="201" s="1"/>
  <c r="L132" i="125" s="1"/>
  <c r="L356" i="182"/>
  <c r="L84" i="125"/>
  <c r="L301" i="182"/>
  <c r="N315" i="183" s="1"/>
  <c r="L85" i="125"/>
  <c r="G275" i="183"/>
  <c r="E295" i="183"/>
  <c r="AC99" i="201"/>
  <c r="I137" i="185"/>
  <c r="J137" i="185" s="1"/>
  <c r="G27" i="195"/>
  <c r="G37" i="195" s="1"/>
  <c r="D37" i="195"/>
  <c r="F120" i="185"/>
  <c r="I120" i="185" s="1"/>
  <c r="J120" i="185" s="1"/>
  <c r="G97" i="195"/>
  <c r="E11" i="150"/>
  <c r="F11" i="150" s="1"/>
  <c r="D14" i="195"/>
  <c r="D13" i="195" s="1"/>
  <c r="G53" i="195"/>
  <c r="F122" i="185"/>
  <c r="I122" i="185" s="1"/>
  <c r="J122" i="185" s="1"/>
  <c r="E10" i="150"/>
  <c r="F10" i="150" s="1"/>
  <c r="E5" i="150"/>
  <c r="F5" i="150" s="1"/>
  <c r="D98" i="195"/>
  <c r="D6" i="195" s="1"/>
  <c r="F116" i="185"/>
  <c r="I116" i="185" s="1"/>
  <c r="J116" i="185" s="1"/>
  <c r="G95" i="195"/>
  <c r="L173" i="27"/>
  <c r="E8" i="150"/>
  <c r="F8" i="150" s="1"/>
  <c r="K32" i="183"/>
  <c r="F38" i="183"/>
  <c r="F33" i="183"/>
  <c r="N425" i="182"/>
  <c r="M385" i="182"/>
  <c r="O385" i="182" s="1"/>
  <c r="AZ184" i="26"/>
  <c r="O134" i="185" s="1"/>
  <c r="Z151" i="185" s="1"/>
  <c r="F134" i="185"/>
  <c r="I134" i="185" s="1"/>
  <c r="J134" i="185" s="1"/>
  <c r="F133" i="185"/>
  <c r="I133" i="185" s="1"/>
  <c r="J133" i="185" s="1"/>
  <c r="I135" i="185"/>
  <c r="J135" i="185" s="1"/>
  <c r="H275" i="183"/>
  <c r="L275" i="183"/>
  <c r="I115" i="185"/>
  <c r="J115" i="185" s="1"/>
  <c r="AR127" i="27"/>
  <c r="L32" i="183"/>
  <c r="N45" i="182"/>
  <c r="P43" i="183" s="1"/>
  <c r="R22" i="134"/>
  <c r="L9" i="132" s="1"/>
  <c r="O43" i="183"/>
  <c r="G283" i="183"/>
  <c r="E289" i="183"/>
  <c r="H289" i="183" s="1"/>
  <c r="K283" i="183"/>
  <c r="I283" i="183"/>
  <c r="J283" i="183" s="1"/>
  <c r="L283" i="183"/>
  <c r="E92" i="183"/>
  <c r="E393" i="183" s="1"/>
  <c r="X10" i="19"/>
  <c r="V10" i="19"/>
  <c r="V7" i="19"/>
  <c r="X7" i="19"/>
  <c r="G4" i="19"/>
  <c r="R4" i="19"/>
  <c r="S4" i="19" s="1"/>
  <c r="X11" i="19"/>
  <c r="V11" i="19"/>
  <c r="X9" i="19"/>
  <c r="V9" i="19"/>
  <c r="X8" i="19"/>
  <c r="V8" i="19"/>
  <c r="V4" i="19"/>
  <c r="E15" i="19"/>
  <c r="X13" i="19"/>
  <c r="V13" i="19"/>
  <c r="X5" i="19"/>
  <c r="V5" i="19"/>
  <c r="E123" i="185"/>
  <c r="B123" i="185"/>
  <c r="I136" i="185"/>
  <c r="J136" i="185" s="1"/>
  <c r="AJ187" i="27"/>
  <c r="F119" i="185"/>
  <c r="I119" i="185" s="1"/>
  <c r="J119" i="185" s="1"/>
  <c r="F132" i="185"/>
  <c r="I132" i="185" s="1"/>
  <c r="J132" i="185" s="1"/>
  <c r="F130" i="185"/>
  <c r="I130" i="185" s="1"/>
  <c r="J130" i="185" s="1"/>
  <c r="AF187" i="27"/>
  <c r="BC187" i="27" s="1"/>
  <c r="B139" i="185"/>
  <c r="CU69" i="190"/>
  <c r="CV69" i="190" s="1"/>
  <c r="BJ136" i="201"/>
  <c r="Y15" i="5"/>
  <c r="AA15" i="5"/>
  <c r="AB187" i="27"/>
  <c r="F118" i="185"/>
  <c r="I118" i="185" s="1"/>
  <c r="J118" i="185" s="1"/>
  <c r="AA72" i="185"/>
  <c r="AI72" i="185" s="1"/>
  <c r="AK190" i="26"/>
  <c r="AC20" i="201"/>
  <c r="AG20" i="201" s="1"/>
  <c r="AB30" i="201"/>
  <c r="AB108" i="201" s="1"/>
  <c r="BN115" i="201"/>
  <c r="I138" i="185"/>
  <c r="J138" i="185" s="1"/>
  <c r="AJ173" i="27"/>
  <c r="N121" i="185"/>
  <c r="X138" i="185"/>
  <c r="AF138" i="185" s="1"/>
  <c r="F41" i="134"/>
  <c r="R41" i="134" s="1"/>
  <c r="M11" i="132" s="1"/>
  <c r="Y24" i="134"/>
  <c r="X137" i="185"/>
  <c r="AA137" i="185" s="1"/>
  <c r="R78" i="185"/>
  <c r="S78" i="185" s="1"/>
  <c r="BG115" i="201"/>
  <c r="BG117" i="201"/>
  <c r="BG120" i="201"/>
  <c r="BG104" i="201"/>
  <c r="BK102" i="201"/>
  <c r="BG140" i="201"/>
  <c r="BJ116" i="201"/>
  <c r="O107" i="201"/>
  <c r="BG124" i="201"/>
  <c r="BK123" i="201"/>
  <c r="O466" i="182"/>
  <c r="BJ118" i="201"/>
  <c r="N454" i="182"/>
  <c r="D325" i="183"/>
  <c r="BA76" i="201"/>
  <c r="BK72" i="201"/>
  <c r="M143" i="6"/>
  <c r="R143" i="6" s="1"/>
  <c r="M54" i="6"/>
  <c r="R54" i="6" s="1"/>
  <c r="D261" i="183"/>
  <c r="F39" i="134"/>
  <c r="R39" i="134" s="1"/>
  <c r="M9" i="132" s="1"/>
  <c r="D197" i="183"/>
  <c r="S59" i="185"/>
  <c r="F44" i="134"/>
  <c r="R44" i="134" s="1"/>
  <c r="M14" i="132" s="1"/>
  <c r="X189" i="26"/>
  <c r="F129" i="185"/>
  <c r="I129" i="185" s="1"/>
  <c r="O441" i="182"/>
  <c r="I131" i="185"/>
  <c r="J131" i="185" s="1"/>
  <c r="S47" i="195"/>
  <c r="P31" i="195" s="1"/>
  <c r="S31" i="195" s="1"/>
  <c r="R120" i="185"/>
  <c r="S120" i="185" s="1"/>
  <c r="C13" i="132" s="1"/>
  <c r="M25" i="182"/>
  <c r="N25" i="182" s="1"/>
  <c r="M18" i="182"/>
  <c r="M443" i="182" s="1"/>
  <c r="O443" i="182" s="1"/>
  <c r="M15" i="182"/>
  <c r="M22" i="182"/>
  <c r="O15" i="183" s="1"/>
  <c r="U251" i="27"/>
  <c r="D171" i="42"/>
  <c r="F38" i="134"/>
  <c r="R38" i="134" s="1"/>
  <c r="M8" i="132" s="1"/>
  <c r="X77" i="185"/>
  <c r="AF77" i="185" s="1"/>
  <c r="S46" i="195"/>
  <c r="P30" i="195" s="1"/>
  <c r="S30" i="195" s="1"/>
  <c r="G91" i="183"/>
  <c r="I91" i="183"/>
  <c r="J91" i="183" s="1"/>
  <c r="K91" i="183"/>
  <c r="E97" i="183"/>
  <c r="E99" i="183" s="1"/>
  <c r="BN141" i="201"/>
  <c r="L91" i="183"/>
  <c r="P74" i="183"/>
  <c r="Q190" i="26"/>
  <c r="Y190" i="26"/>
  <c r="AZ112" i="27"/>
  <c r="P340" i="183"/>
  <c r="I121" i="185"/>
  <c r="J121" i="185" s="1"/>
  <c r="K8" i="132"/>
  <c r="Q116" i="183"/>
  <c r="K14" i="132"/>
  <c r="BG107" i="201"/>
  <c r="BG100" i="201"/>
  <c r="BG135" i="201"/>
  <c r="AV127" i="26"/>
  <c r="K11" i="132"/>
  <c r="R117" i="185"/>
  <c r="S117" i="185" s="1"/>
  <c r="C10" i="132" s="1"/>
  <c r="AY187" i="27"/>
  <c r="K45" i="196"/>
  <c r="R24" i="134"/>
  <c r="L11" i="132" s="1"/>
  <c r="S50" i="196"/>
  <c r="P34" i="196" s="1"/>
  <c r="S34" i="196" s="1"/>
  <c r="AZ177" i="27"/>
  <c r="O113" i="185" s="1"/>
  <c r="Y146" i="185" s="1"/>
  <c r="AF74" i="185"/>
  <c r="M32" i="132"/>
  <c r="U60" i="185"/>
  <c r="T94" i="196" s="1"/>
  <c r="H83" i="183"/>
  <c r="S51" i="196"/>
  <c r="P35" i="196" s="1"/>
  <c r="S35" i="196" s="1"/>
  <c r="I6" i="19"/>
  <c r="R74" i="185"/>
  <c r="U74" i="185" s="1"/>
  <c r="K6" i="132"/>
  <c r="U55" i="185"/>
  <c r="T89" i="196" s="1"/>
  <c r="I83" i="183"/>
  <c r="J83" i="183" s="1"/>
  <c r="R122" i="185"/>
  <c r="S122" i="185" s="1"/>
  <c r="C15" i="132" s="1"/>
  <c r="R19" i="134"/>
  <c r="L6" i="132" s="1"/>
  <c r="L83" i="183"/>
  <c r="CV86" i="190"/>
  <c r="AZ183" i="26"/>
  <c r="O133" i="185" s="1"/>
  <c r="Z150" i="185" s="1"/>
  <c r="CU70" i="190"/>
  <c r="CV70" i="190" s="1"/>
  <c r="CS71" i="190"/>
  <c r="CS88" i="190"/>
  <c r="CU87" i="190"/>
  <c r="DM109" i="190"/>
  <c r="U40" i="185"/>
  <c r="T90" i="195" s="1"/>
  <c r="BG123" i="201"/>
  <c r="CU58" i="190"/>
  <c r="CS107" i="190"/>
  <c r="CU106" i="190"/>
  <c r="CV20" i="190"/>
  <c r="CT105" i="190"/>
  <c r="CV105" i="190" s="1"/>
  <c r="CR106" i="190"/>
  <c r="CS8" i="190"/>
  <c r="CU7" i="190"/>
  <c r="CV7" i="190" s="1"/>
  <c r="AV189" i="26"/>
  <c r="G139" i="185"/>
  <c r="BC300" i="27"/>
  <c r="CT71" i="190"/>
  <c r="CR72" i="190"/>
  <c r="CR33" i="190"/>
  <c r="CT32" i="190"/>
  <c r="CV57" i="190"/>
  <c r="CR9" i="190"/>
  <c r="CT8" i="190"/>
  <c r="CR42" i="190"/>
  <c r="CT41" i="190"/>
  <c r="CT58" i="190"/>
  <c r="CR59" i="190"/>
  <c r="CT22" i="190"/>
  <c r="CR23" i="190"/>
  <c r="R72" i="185"/>
  <c r="S72" i="185" s="1"/>
  <c r="M251" i="27"/>
  <c r="BG142" i="201"/>
  <c r="L187" i="27"/>
  <c r="R93" i="185"/>
  <c r="S93" i="185" s="1"/>
  <c r="O456" i="182"/>
  <c r="N456" i="182"/>
  <c r="O194" i="182"/>
  <c r="N194" i="182"/>
  <c r="O202" i="183"/>
  <c r="M314" i="182"/>
  <c r="M325" i="182"/>
  <c r="N44" i="182"/>
  <c r="O44" i="182"/>
  <c r="O42" i="183"/>
  <c r="O164" i="182"/>
  <c r="N164" i="182"/>
  <c r="O170" i="183"/>
  <c r="N284" i="182"/>
  <c r="O284" i="182"/>
  <c r="O298" i="183"/>
  <c r="O409" i="182"/>
  <c r="N409" i="182"/>
  <c r="O104" i="182"/>
  <c r="N104" i="182"/>
  <c r="O106" i="183"/>
  <c r="N224" i="182"/>
  <c r="O224" i="182"/>
  <c r="O234" i="183"/>
  <c r="O134" i="182"/>
  <c r="N134" i="182"/>
  <c r="O138" i="183"/>
  <c r="N435" i="182"/>
  <c r="O435" i="182"/>
  <c r="N254" i="182"/>
  <c r="O254" i="182"/>
  <c r="O266" i="183"/>
  <c r="N438" i="182"/>
  <c r="O438" i="182"/>
  <c r="N401" i="182"/>
  <c r="O401" i="182"/>
  <c r="G32" i="183"/>
  <c r="U44" i="185"/>
  <c r="T94" i="195" s="1"/>
  <c r="M27" i="132"/>
  <c r="G38" i="9"/>
  <c r="S38" i="9" s="1"/>
  <c r="O27" i="132" s="1"/>
  <c r="S48" i="195"/>
  <c r="P32" i="195" s="1"/>
  <c r="S32" i="195" s="1"/>
  <c r="BG106" i="201"/>
  <c r="BG141" i="201"/>
  <c r="AZ182" i="26"/>
  <c r="O132" i="185" s="1"/>
  <c r="Z149" i="185" s="1"/>
  <c r="G123" i="185"/>
  <c r="BK69" i="201"/>
  <c r="T16" i="5"/>
  <c r="BK20" i="201"/>
  <c r="Q37" i="195"/>
  <c r="R71" i="185"/>
  <c r="U71" i="185" s="1"/>
  <c r="BA93" i="201"/>
  <c r="X75" i="185"/>
  <c r="AF75" i="185" s="1"/>
  <c r="AZ183" i="27"/>
  <c r="O119" i="185" s="1"/>
  <c r="Y152" i="185" s="1"/>
  <c r="S63" i="185"/>
  <c r="S46" i="185"/>
  <c r="K275" i="183"/>
  <c r="K83" i="183"/>
  <c r="K148" i="6"/>
  <c r="P148" i="6" s="1"/>
  <c r="K59" i="6"/>
  <c r="P59" i="6" s="1"/>
  <c r="BG121" i="201"/>
  <c r="G189" i="182"/>
  <c r="H189" i="182"/>
  <c r="I189" i="182"/>
  <c r="J189" i="182"/>
  <c r="BG122" i="201"/>
  <c r="BJ105" i="201"/>
  <c r="BJ122" i="201"/>
  <c r="G309" i="182"/>
  <c r="H309" i="182"/>
  <c r="J309" i="182"/>
  <c r="I309" i="182"/>
  <c r="P14" i="150"/>
  <c r="H339" i="182"/>
  <c r="G339" i="182"/>
  <c r="J339" i="182"/>
  <c r="I339" i="182"/>
  <c r="G279" i="182"/>
  <c r="H279" i="182"/>
  <c r="I279" i="182"/>
  <c r="J279" i="182"/>
  <c r="H219" i="182"/>
  <c r="G219" i="182"/>
  <c r="J219" i="182"/>
  <c r="I219" i="182"/>
  <c r="G159" i="182"/>
  <c r="H159" i="182"/>
  <c r="I159" i="182"/>
  <c r="J159" i="182"/>
  <c r="H129" i="182"/>
  <c r="G129" i="182"/>
  <c r="J129" i="182"/>
  <c r="I129" i="182"/>
  <c r="BJ100" i="201"/>
  <c r="BG105" i="201"/>
  <c r="BJ120" i="201"/>
  <c r="BN142" i="201"/>
  <c r="BK100" i="201"/>
  <c r="H249" i="182"/>
  <c r="G249" i="182"/>
  <c r="J249" i="182"/>
  <c r="I249" i="182"/>
  <c r="F104" i="185"/>
  <c r="I104" i="185" s="1"/>
  <c r="J104" i="185" s="1"/>
  <c r="AY189" i="26"/>
  <c r="K48" i="196"/>
  <c r="X117" i="185"/>
  <c r="AF117" i="185" s="1"/>
  <c r="U58" i="185"/>
  <c r="T92" i="196" s="1"/>
  <c r="R94" i="185"/>
  <c r="S94" i="185" s="1"/>
  <c r="M190" i="26"/>
  <c r="F188" i="183"/>
  <c r="F396" i="183" s="1"/>
  <c r="BN117" i="201"/>
  <c r="BN133" i="201"/>
  <c r="BG139" i="201"/>
  <c r="BG102" i="201"/>
  <c r="BG98" i="201"/>
  <c r="F114" i="185"/>
  <c r="I114" i="185" s="1"/>
  <c r="J114" i="185" s="1"/>
  <c r="F284" i="183"/>
  <c r="F289" i="183"/>
  <c r="F291" i="183" s="1"/>
  <c r="F293" i="183" s="1"/>
  <c r="F252" i="183"/>
  <c r="F398" i="183" s="1"/>
  <c r="F257" i="183"/>
  <c r="F259" i="183" s="1"/>
  <c r="F261" i="183" s="1"/>
  <c r="F156" i="183"/>
  <c r="F395" i="183" s="1"/>
  <c r="F161" i="183"/>
  <c r="F163" i="183" s="1"/>
  <c r="F165" i="183" s="1"/>
  <c r="F97" i="183"/>
  <c r="F99" i="183" s="1"/>
  <c r="F101" i="183" s="1"/>
  <c r="F92" i="183"/>
  <c r="R99" i="185"/>
  <c r="U99" i="185" s="1"/>
  <c r="N104" i="185"/>
  <c r="K129" i="185"/>
  <c r="X146" i="185" s="1"/>
  <c r="R138" i="185"/>
  <c r="S138" i="185" s="1"/>
  <c r="F15" i="132" s="1"/>
  <c r="D16" i="150"/>
  <c r="L18" i="150"/>
  <c r="L20" i="150" s="1"/>
  <c r="R121" i="185"/>
  <c r="X121" i="185"/>
  <c r="AF121" i="185" s="1"/>
  <c r="T109" i="42"/>
  <c r="H171" i="42"/>
  <c r="T161" i="42"/>
  <c r="T171" i="42" s="1"/>
  <c r="K123" i="185"/>
  <c r="N113" i="185"/>
  <c r="AZ172" i="27"/>
  <c r="G113" i="195"/>
  <c r="F98" i="195"/>
  <c r="D8" i="195" s="1"/>
  <c r="S68" i="195"/>
  <c r="P68" i="195"/>
  <c r="L127" i="26"/>
  <c r="K49" i="196"/>
  <c r="S27" i="9"/>
  <c r="N32" i="132" s="1"/>
  <c r="G43" i="9"/>
  <c r="S43" i="9" s="1"/>
  <c r="O32" i="132" s="1"/>
  <c r="M31" i="9"/>
  <c r="S31" i="9" s="1"/>
  <c r="D172" i="44"/>
  <c r="BI108" i="201"/>
  <c r="BJ103" i="201"/>
  <c r="BG103" i="201"/>
  <c r="BI125" i="201"/>
  <c r="BG133" i="201"/>
  <c r="G52" i="132"/>
  <c r="BK138" i="201"/>
  <c r="BG30" i="201"/>
  <c r="BG138" i="201"/>
  <c r="BJ108" i="201"/>
  <c r="BK116" i="201"/>
  <c r="BJ99" i="201"/>
  <c r="X120" i="185"/>
  <c r="AF120" i="185" s="1"/>
  <c r="F18" i="195"/>
  <c r="I18" i="195"/>
  <c r="E17" i="195"/>
  <c r="F17" i="195" s="1"/>
  <c r="H17" i="195"/>
  <c r="I37" i="195"/>
  <c r="X91" i="185"/>
  <c r="AA91" i="185" s="1"/>
  <c r="AI91" i="185" s="1"/>
  <c r="AV187" i="27"/>
  <c r="F113" i="185"/>
  <c r="I113" i="185" s="1"/>
  <c r="E4" i="150"/>
  <c r="F4" i="150" s="1"/>
  <c r="F55" i="132"/>
  <c r="T172" i="44"/>
  <c r="R98" i="185"/>
  <c r="U98" i="185" s="1"/>
  <c r="T110" i="44"/>
  <c r="G13" i="196"/>
  <c r="K68" i="195"/>
  <c r="AG73" i="201"/>
  <c r="AC73" i="201"/>
  <c r="BK101" i="201"/>
  <c r="BG101" i="201"/>
  <c r="AS141" i="201"/>
  <c r="AS123" i="201"/>
  <c r="AS122" i="201"/>
  <c r="AS140" i="201"/>
  <c r="BN122" i="201"/>
  <c r="AS124" i="201"/>
  <c r="AS142" i="201"/>
  <c r="AS139" i="201"/>
  <c r="AS121" i="201"/>
  <c r="BN121" i="201"/>
  <c r="BN139" i="201"/>
  <c r="BJ121" i="201"/>
  <c r="BJ139" i="201"/>
  <c r="AS120" i="201"/>
  <c r="AS138" i="201"/>
  <c r="BN120" i="201"/>
  <c r="BN138" i="201"/>
  <c r="BN30" i="201"/>
  <c r="AS134" i="201"/>
  <c r="AS116" i="201"/>
  <c r="AW22" i="201"/>
  <c r="AS135" i="201"/>
  <c r="AS117" i="201"/>
  <c r="AW20" i="201"/>
  <c r="BA20" i="201" s="1"/>
  <c r="AS133" i="201"/>
  <c r="AS115" i="201"/>
  <c r="BN116" i="201"/>
  <c r="BN134" i="201"/>
  <c r="BR143" i="201"/>
  <c r="AS119" i="201"/>
  <c r="AS137" i="201"/>
  <c r="BG119" i="201"/>
  <c r="BG137" i="201"/>
  <c r="AS136" i="201"/>
  <c r="AS118" i="201"/>
  <c r="BL143" i="201"/>
  <c r="BL125" i="201"/>
  <c r="BN118" i="201"/>
  <c r="BN136" i="201"/>
  <c r="BM125" i="201"/>
  <c r="BM143" i="201"/>
  <c r="BH143" i="201"/>
  <c r="BH125" i="201"/>
  <c r="BG118" i="201"/>
  <c r="BG136" i="201"/>
  <c r="X105" i="201"/>
  <c r="AC27" i="201"/>
  <c r="AB105" i="201"/>
  <c r="AC103" i="201"/>
  <c r="AG25" i="201"/>
  <c r="AA108" i="201"/>
  <c r="AC106" i="201"/>
  <c r="AG28" i="201"/>
  <c r="AC104" i="201"/>
  <c r="AG26" i="201"/>
  <c r="AC107" i="201"/>
  <c r="AG29" i="201"/>
  <c r="AG99" i="201"/>
  <c r="BH148" i="201"/>
  <c r="BI148" i="201" s="1"/>
  <c r="BJ104" i="201"/>
  <c r="BM108" i="201"/>
  <c r="O106" i="201"/>
  <c r="BM66" i="201"/>
  <c r="BS71" i="201"/>
  <c r="BO71" i="201"/>
  <c r="BS69" i="201"/>
  <c r="BO69" i="201"/>
  <c r="BR104" i="201"/>
  <c r="BS74" i="201"/>
  <c r="BO74" i="201"/>
  <c r="BR98" i="201"/>
  <c r="BP108" i="201"/>
  <c r="BQ105" i="201"/>
  <c r="BQ108" i="201"/>
  <c r="BS70" i="201"/>
  <c r="BO70" i="201"/>
  <c r="BS75" i="201"/>
  <c r="BO75" i="201"/>
  <c r="BN72" i="201"/>
  <c r="BH155" i="201"/>
  <c r="BI155" i="201" s="1"/>
  <c r="BM76" i="201"/>
  <c r="BS67" i="201"/>
  <c r="BO67" i="201"/>
  <c r="BS68" i="201"/>
  <c r="BO68" i="201"/>
  <c r="BR106" i="201"/>
  <c r="BR99" i="201"/>
  <c r="BR100" i="201"/>
  <c r="BB315" i="27"/>
  <c r="U39" i="185"/>
  <c r="T89" i="195" s="1"/>
  <c r="C357" i="183"/>
  <c r="R76" i="185"/>
  <c r="S76" i="185" s="1"/>
  <c r="AJ127" i="26"/>
  <c r="N187" i="44"/>
  <c r="I89" i="136"/>
  <c r="J89" i="136" s="1"/>
  <c r="L190" i="26"/>
  <c r="M50" i="6"/>
  <c r="R50" i="6" s="1"/>
  <c r="L57" i="136"/>
  <c r="H53" i="195"/>
  <c r="K53" i="195" s="1"/>
  <c r="AZ179" i="26"/>
  <c r="O129" i="185" s="1"/>
  <c r="Z146" i="185" s="1"/>
  <c r="AZ125" i="27"/>
  <c r="T314" i="42"/>
  <c r="X97" i="185"/>
  <c r="AF97" i="185" s="1"/>
  <c r="T314" i="44"/>
  <c r="R96" i="185"/>
  <c r="S96" i="185" s="1"/>
  <c r="BB407" i="26"/>
  <c r="C186" i="42"/>
  <c r="B57" i="132"/>
  <c r="X122" i="185"/>
  <c r="AF122" i="185" s="1"/>
  <c r="M58" i="6"/>
  <c r="R58" i="6" s="1"/>
  <c r="R124" i="42"/>
  <c r="AN187" i="27"/>
  <c r="X95" i="185"/>
  <c r="AA95" i="185" s="1"/>
  <c r="AI95" i="185" s="1"/>
  <c r="D187" i="27"/>
  <c r="U124" i="42"/>
  <c r="N84" i="185"/>
  <c r="H31" i="9"/>
  <c r="H14" i="19"/>
  <c r="T14" i="19" s="1"/>
  <c r="U125" i="44"/>
  <c r="S125" i="44"/>
  <c r="R64" i="185"/>
  <c r="U64" i="185" s="1"/>
  <c r="O53" i="196"/>
  <c r="L27" i="196"/>
  <c r="L98" i="196"/>
  <c r="G6" i="196" s="1"/>
  <c r="G5" i="196" s="1"/>
  <c r="Q5" i="196" s="1"/>
  <c r="O88" i="196"/>
  <c r="O98" i="196" s="1"/>
  <c r="O53" i="195"/>
  <c r="T62" i="42"/>
  <c r="L37" i="195"/>
  <c r="Q13" i="195" s="1"/>
  <c r="O27" i="195"/>
  <c r="O37" i="195" s="1"/>
  <c r="L98" i="195"/>
  <c r="G6" i="195" s="1"/>
  <c r="G5" i="195" s="1"/>
  <c r="Q5" i="195" s="1"/>
  <c r="O88" i="195"/>
  <c r="O98" i="195" s="1"/>
  <c r="X70" i="185"/>
  <c r="R70" i="185"/>
  <c r="O84" i="185"/>
  <c r="G50" i="132"/>
  <c r="F50" i="132"/>
  <c r="G48" i="132"/>
  <c r="F48" i="132"/>
  <c r="E9" i="196"/>
  <c r="F10" i="196"/>
  <c r="R27" i="196"/>
  <c r="R37" i="196" s="1"/>
  <c r="S83" i="196"/>
  <c r="K51" i="183"/>
  <c r="G51" i="183"/>
  <c r="I51" i="183"/>
  <c r="J51" i="183" s="1"/>
  <c r="H51" i="183"/>
  <c r="L51" i="183"/>
  <c r="G49" i="132"/>
  <c r="F49" i="132"/>
  <c r="H27" i="196"/>
  <c r="S97" i="185"/>
  <c r="U97" i="185"/>
  <c r="M18" i="125"/>
  <c r="M11" i="182"/>
  <c r="O11" i="182" s="1"/>
  <c r="AS102" i="201"/>
  <c r="M51" i="132"/>
  <c r="L51" i="132"/>
  <c r="H97" i="195"/>
  <c r="K97" i="195" s="1"/>
  <c r="K52" i="195"/>
  <c r="H36" i="195" s="1"/>
  <c r="K36" i="195" s="1"/>
  <c r="P126" i="6"/>
  <c r="H126" i="6"/>
  <c r="R126" i="6" s="1"/>
  <c r="I147" i="183"/>
  <c r="J147" i="183" s="1"/>
  <c r="H147" i="183"/>
  <c r="K147" i="183"/>
  <c r="G147" i="183"/>
  <c r="L147" i="183"/>
  <c r="S75" i="185"/>
  <c r="U75" i="185"/>
  <c r="T62" i="44"/>
  <c r="I243" i="183"/>
  <c r="J243" i="183" s="1"/>
  <c r="H243" i="183"/>
  <c r="K243" i="183"/>
  <c r="G243" i="183"/>
  <c r="L243" i="183"/>
  <c r="D183" i="44"/>
  <c r="T183" i="44" s="1"/>
  <c r="T121" i="44"/>
  <c r="K187" i="183"/>
  <c r="G187" i="183"/>
  <c r="E193" i="183"/>
  <c r="I187" i="183"/>
  <c r="J187" i="183" s="1"/>
  <c r="E188" i="183"/>
  <c r="H187" i="183"/>
  <c r="L187" i="183"/>
  <c r="U95" i="185"/>
  <c r="S95" i="185"/>
  <c r="U56" i="185"/>
  <c r="T90" i="196" s="1"/>
  <c r="S56" i="185"/>
  <c r="K315" i="183"/>
  <c r="G315" i="183"/>
  <c r="E321" i="183"/>
  <c r="G321" i="183" s="1"/>
  <c r="I315" i="183"/>
  <c r="J315" i="183" s="1"/>
  <c r="E316" i="183"/>
  <c r="H315" i="183"/>
  <c r="L315" i="183"/>
  <c r="I307" i="183"/>
  <c r="J307" i="183" s="1"/>
  <c r="H307" i="183"/>
  <c r="K307" i="183"/>
  <c r="G307" i="183"/>
  <c r="L307" i="183"/>
  <c r="T120" i="44"/>
  <c r="D182" i="44"/>
  <c r="T182" i="44" s="1"/>
  <c r="I339" i="183"/>
  <c r="J339" i="183" s="1"/>
  <c r="H339" i="183"/>
  <c r="G339" i="183"/>
  <c r="K339" i="183"/>
  <c r="L339" i="183"/>
  <c r="O12" i="125"/>
  <c r="N12" i="125"/>
  <c r="H97" i="196"/>
  <c r="K97" i="196" s="1"/>
  <c r="K52" i="196"/>
  <c r="K123" i="183"/>
  <c r="G123" i="183"/>
  <c r="E129" i="183"/>
  <c r="I123" i="183"/>
  <c r="J123" i="183" s="1"/>
  <c r="H123" i="183"/>
  <c r="E124" i="183"/>
  <c r="L123" i="183"/>
  <c r="F43" i="134"/>
  <c r="R26" i="134"/>
  <c r="L13" i="132" s="1"/>
  <c r="K13" i="132"/>
  <c r="P139" i="183"/>
  <c r="M388" i="182"/>
  <c r="O139" i="183"/>
  <c r="Q139" i="183"/>
  <c r="E186" i="42"/>
  <c r="U176" i="42"/>
  <c r="U186" i="42" s="1"/>
  <c r="H89" i="195"/>
  <c r="K89" i="195" s="1"/>
  <c r="K44" i="195"/>
  <c r="H28" i="195" s="1"/>
  <c r="K28" i="195" s="1"/>
  <c r="I16" i="183"/>
  <c r="J16" i="183" s="1"/>
  <c r="H16" i="183"/>
  <c r="E27" i="183"/>
  <c r="K16" i="183"/>
  <c r="G16" i="183"/>
  <c r="E19" i="183"/>
  <c r="L16" i="183"/>
  <c r="AX189" i="26"/>
  <c r="E353" i="182"/>
  <c r="R353" i="182" s="1"/>
  <c r="D185" i="42"/>
  <c r="T185" i="42" s="1"/>
  <c r="T123" i="42"/>
  <c r="F45" i="134"/>
  <c r="R28" i="134"/>
  <c r="L15" i="132" s="1"/>
  <c r="K15" i="132"/>
  <c r="B187" i="44"/>
  <c r="R177" i="44"/>
  <c r="R187" i="44" s="1"/>
  <c r="M49" i="6"/>
  <c r="R49" i="6" s="1"/>
  <c r="P129" i="6"/>
  <c r="H129" i="6"/>
  <c r="R129" i="6" s="1"/>
  <c r="X73" i="185"/>
  <c r="R73" i="185"/>
  <c r="E351" i="182"/>
  <c r="R351" i="182" s="1"/>
  <c r="L29" i="134"/>
  <c r="D178" i="44"/>
  <c r="T178" i="44" s="1"/>
  <c r="T116" i="44"/>
  <c r="AJ345" i="26"/>
  <c r="AK344" i="26"/>
  <c r="Q36" i="9"/>
  <c r="E46" i="9"/>
  <c r="P95" i="195"/>
  <c r="S95" i="195" s="1"/>
  <c r="S50" i="195"/>
  <c r="P34" i="195" s="1"/>
  <c r="S34" i="195" s="1"/>
  <c r="AA96" i="185"/>
  <c r="AI96" i="185" s="1"/>
  <c r="AF96" i="185"/>
  <c r="H9" i="196"/>
  <c r="I10" i="196"/>
  <c r="M52" i="6"/>
  <c r="R52" i="6" s="1"/>
  <c r="AO125" i="201"/>
  <c r="AO108" i="201"/>
  <c r="F52" i="134"/>
  <c r="G52" i="134" s="1"/>
  <c r="Q46" i="134"/>
  <c r="D46" i="134"/>
  <c r="P36" i="134"/>
  <c r="F40" i="134"/>
  <c r="R23" i="134"/>
  <c r="L10" i="132" s="1"/>
  <c r="K10" i="132"/>
  <c r="E225" i="183"/>
  <c r="I219" i="183"/>
  <c r="J219" i="183" s="1"/>
  <c r="E220" i="183"/>
  <c r="H219" i="183"/>
  <c r="K219" i="183"/>
  <c r="G219" i="183"/>
  <c r="L219" i="183"/>
  <c r="O177" i="183"/>
  <c r="M421" i="182"/>
  <c r="S47" i="185"/>
  <c r="U47" i="185"/>
  <c r="T97" i="195" s="1"/>
  <c r="K88" i="196"/>
  <c r="BB45" i="201"/>
  <c r="AS107" i="201"/>
  <c r="M56" i="132"/>
  <c r="L56" i="132"/>
  <c r="F20" i="19"/>
  <c r="F21" i="19" s="1"/>
  <c r="L8" i="19"/>
  <c r="R29" i="132" s="1"/>
  <c r="P29" i="132"/>
  <c r="J8" i="19"/>
  <c r="Q29" i="132" s="1"/>
  <c r="AS99" i="201"/>
  <c r="M48" i="132"/>
  <c r="L48" i="132"/>
  <c r="AW21" i="201"/>
  <c r="B186" i="42"/>
  <c r="N419" i="182"/>
  <c r="O419" i="182"/>
  <c r="E187" i="44"/>
  <c r="U177" i="44"/>
  <c r="U187" i="44" s="1"/>
  <c r="S57" i="185"/>
  <c r="U57" i="185"/>
  <c r="T91" i="196" s="1"/>
  <c r="I21" i="182"/>
  <c r="G21" i="182"/>
  <c r="J21" i="182"/>
  <c r="H21" i="182"/>
  <c r="E28" i="182"/>
  <c r="AW29" i="201"/>
  <c r="F37" i="134"/>
  <c r="R20" i="134"/>
  <c r="L7" i="132" s="1"/>
  <c r="K7" i="132"/>
  <c r="G44" i="9"/>
  <c r="S44" i="9" s="1"/>
  <c r="O33" i="132" s="1"/>
  <c r="S28" i="9"/>
  <c r="N33" i="132" s="1"/>
  <c r="M33" i="132"/>
  <c r="I12" i="19"/>
  <c r="U12" i="19" s="1"/>
  <c r="U54" i="185"/>
  <c r="S54" i="185"/>
  <c r="F325" i="183"/>
  <c r="R118" i="185"/>
  <c r="X118" i="185"/>
  <c r="AJ189" i="26"/>
  <c r="P43" i="195"/>
  <c r="R38" i="185"/>
  <c r="O48" i="185"/>
  <c r="R48" i="185" s="1"/>
  <c r="O14" i="125"/>
  <c r="N14" i="125"/>
  <c r="AS104" i="201"/>
  <c r="M53" i="132"/>
  <c r="L53" i="132"/>
  <c r="AW26" i="201"/>
  <c r="G51" i="132"/>
  <c r="F51" i="132"/>
  <c r="BA241" i="27"/>
  <c r="H4" i="150" s="1"/>
  <c r="AF93" i="185"/>
  <c r="AA93" i="185"/>
  <c r="AI93" i="185" s="1"/>
  <c r="S187" i="44"/>
  <c r="E161" i="183"/>
  <c r="I155" i="183"/>
  <c r="J155" i="183" s="1"/>
  <c r="E156" i="183"/>
  <c r="H155" i="183"/>
  <c r="K155" i="183"/>
  <c r="G155" i="183"/>
  <c r="L155" i="183"/>
  <c r="O186" i="42"/>
  <c r="C20" i="19"/>
  <c r="C21" i="19" s="1"/>
  <c r="L5" i="19"/>
  <c r="R26" i="132" s="1"/>
  <c r="J5" i="19"/>
  <c r="Q26" i="132" s="1"/>
  <c r="P26" i="132"/>
  <c r="B20" i="19"/>
  <c r="B21" i="19" s="1"/>
  <c r="L4" i="19"/>
  <c r="R25" i="132" s="1"/>
  <c r="P25" i="132"/>
  <c r="J4" i="19"/>
  <c r="Q25" i="132" s="1"/>
  <c r="P48" i="132"/>
  <c r="AS106" i="201"/>
  <c r="M55" i="132"/>
  <c r="L55" i="132"/>
  <c r="K31" i="9"/>
  <c r="Q30" i="9"/>
  <c r="V27" i="9"/>
  <c r="S45" i="185"/>
  <c r="U45" i="185"/>
  <c r="T95" i="195" s="1"/>
  <c r="R114" i="185"/>
  <c r="X114" i="185"/>
  <c r="AW28" i="201"/>
  <c r="F357" i="183"/>
  <c r="BA189" i="26"/>
  <c r="P129" i="185"/>
  <c r="T176" i="42"/>
  <c r="D38" i="183"/>
  <c r="D33" i="183"/>
  <c r="AA94" i="185"/>
  <c r="AI94" i="185" s="1"/>
  <c r="AF94" i="185"/>
  <c r="AF98" i="185"/>
  <c r="AA98" i="185"/>
  <c r="AI98" i="185" s="1"/>
  <c r="P90" i="196"/>
  <c r="S90" i="196" s="1"/>
  <c r="S45" i="196"/>
  <c r="P29" i="196" s="1"/>
  <c r="S29" i="196" s="1"/>
  <c r="E354" i="182"/>
  <c r="R354" i="182" s="1"/>
  <c r="G105" i="201"/>
  <c r="G30" i="201"/>
  <c r="K27" i="201"/>
  <c r="D83" i="125" s="1"/>
  <c r="O171" i="183"/>
  <c r="M389" i="182"/>
  <c r="Q171" i="183"/>
  <c r="P171" i="183"/>
  <c r="Q88" i="196"/>
  <c r="Q98" i="196" s="1"/>
  <c r="H7" i="196" s="1"/>
  <c r="Q53" i="196"/>
  <c r="H15" i="196" s="1"/>
  <c r="AW24" i="201"/>
  <c r="N11" i="125"/>
  <c r="O11" i="125"/>
  <c r="P124" i="6"/>
  <c r="H124" i="6"/>
  <c r="R124" i="6" s="1"/>
  <c r="K19" i="195"/>
  <c r="I19" i="195"/>
  <c r="AS105" i="201"/>
  <c r="M54" i="132"/>
  <c r="L54" i="132"/>
  <c r="AW27" i="201"/>
  <c r="E355" i="182"/>
  <c r="R355" i="182" s="1"/>
  <c r="J10" i="19"/>
  <c r="Q31" i="132" s="1"/>
  <c r="I20" i="19"/>
  <c r="I21" i="19" s="1"/>
  <c r="P31" i="132"/>
  <c r="L10" i="19"/>
  <c r="R31" i="132" s="1"/>
  <c r="Q331" i="183"/>
  <c r="P331" i="183"/>
  <c r="O331" i="183"/>
  <c r="M394" i="182"/>
  <c r="P132" i="6"/>
  <c r="H132" i="6"/>
  <c r="R132" i="6" s="1"/>
  <c r="BA243" i="26"/>
  <c r="S250" i="42"/>
  <c r="T250" i="42" s="1"/>
  <c r="U250" i="42" s="1"/>
  <c r="T240" i="42"/>
  <c r="U240" i="42" s="1"/>
  <c r="J7" i="19"/>
  <c r="Q28" i="132" s="1"/>
  <c r="E20" i="19"/>
  <c r="E21" i="19" s="1"/>
  <c r="L7" i="19"/>
  <c r="R28" i="132" s="1"/>
  <c r="P28" i="132"/>
  <c r="T121" i="42"/>
  <c r="D183" i="42"/>
  <c r="T183" i="42" s="1"/>
  <c r="P104" i="185"/>
  <c r="Y90" i="185"/>
  <c r="D181" i="44"/>
  <c r="T181" i="44" s="1"/>
  <c r="T119" i="44"/>
  <c r="H91" i="195"/>
  <c r="K91" i="195" s="1"/>
  <c r="K46" i="195"/>
  <c r="H30" i="195" s="1"/>
  <c r="K30" i="195" s="1"/>
  <c r="AR125" i="201"/>
  <c r="P267" i="183"/>
  <c r="M392" i="182"/>
  <c r="O267" i="183"/>
  <c r="Q267" i="183"/>
  <c r="AS103" i="201"/>
  <c r="M52" i="132"/>
  <c r="L52" i="132"/>
  <c r="AW25" i="201"/>
  <c r="O10" i="125"/>
  <c r="N10" i="125"/>
  <c r="AF78" i="185"/>
  <c r="AA78" i="185"/>
  <c r="AI78" i="185" s="1"/>
  <c r="R14" i="134"/>
  <c r="M15" i="134"/>
  <c r="S15" i="134" s="1"/>
  <c r="N126" i="125"/>
  <c r="O126" i="125"/>
  <c r="I59" i="183"/>
  <c r="J59" i="183" s="1"/>
  <c r="E60" i="183"/>
  <c r="H59" i="183"/>
  <c r="G59" i="183"/>
  <c r="E65" i="183"/>
  <c r="K59" i="183"/>
  <c r="L59" i="183"/>
  <c r="P97" i="195"/>
  <c r="S97" i="195" s="1"/>
  <c r="S52" i="195"/>
  <c r="P36" i="195" s="1"/>
  <c r="S36" i="195" s="1"/>
  <c r="H53" i="196"/>
  <c r="E14" i="196" s="1"/>
  <c r="T118" i="44"/>
  <c r="D180" i="44"/>
  <c r="T180" i="44" s="1"/>
  <c r="P128" i="6"/>
  <c r="H128" i="6"/>
  <c r="R128" i="6" s="1"/>
  <c r="R186" i="42"/>
  <c r="G53" i="132"/>
  <c r="F53" i="132"/>
  <c r="P127" i="6"/>
  <c r="H127" i="6"/>
  <c r="R127" i="6" s="1"/>
  <c r="H125" i="44"/>
  <c r="H177" i="44"/>
  <c r="H187" i="44" s="1"/>
  <c r="P91" i="196"/>
  <c r="S91" i="196" s="1"/>
  <c r="S46" i="196"/>
  <c r="P30" i="196" s="1"/>
  <c r="S30" i="196" s="1"/>
  <c r="O203" i="183"/>
  <c r="Q203" i="183"/>
  <c r="P203" i="183"/>
  <c r="M390" i="182"/>
  <c r="H95" i="196"/>
  <c r="K95" i="196" s="1"/>
  <c r="K50" i="196"/>
  <c r="G69" i="182"/>
  <c r="J69" i="182"/>
  <c r="I69" i="182"/>
  <c r="E348" i="182"/>
  <c r="R348" i="182" s="1"/>
  <c r="H69" i="182"/>
  <c r="AA76" i="185"/>
  <c r="AI76" i="185" s="1"/>
  <c r="AF76" i="185"/>
  <c r="O54" i="35"/>
  <c r="AS100" i="201"/>
  <c r="M49" i="132"/>
  <c r="L49" i="132"/>
  <c r="K68" i="196"/>
  <c r="I27" i="196"/>
  <c r="I37" i="196" s="1"/>
  <c r="P53" i="196"/>
  <c r="H14" i="196" s="1"/>
  <c r="P88" i="196"/>
  <c r="S43" i="196"/>
  <c r="Q235" i="183"/>
  <c r="O235" i="183"/>
  <c r="M391" i="182"/>
  <c r="P235" i="183"/>
  <c r="AW190" i="26"/>
  <c r="G349" i="182"/>
  <c r="H349" i="182" s="1"/>
  <c r="J349" i="182"/>
  <c r="I349" i="182"/>
  <c r="E350" i="182"/>
  <c r="R350" i="182" s="1"/>
  <c r="H16" i="150"/>
  <c r="M14" i="150"/>
  <c r="P16" i="132" s="1"/>
  <c r="C16" i="150"/>
  <c r="N16" i="132"/>
  <c r="I14" i="150"/>
  <c r="O16" i="132" s="1"/>
  <c r="P84" i="185"/>
  <c r="Y70" i="185"/>
  <c r="C187" i="44"/>
  <c r="D177" i="44"/>
  <c r="D125" i="44"/>
  <c r="T115" i="44"/>
  <c r="E257" i="183"/>
  <c r="I251" i="183"/>
  <c r="J251" i="183" s="1"/>
  <c r="E252" i="183"/>
  <c r="H251" i="183"/>
  <c r="G251" i="183"/>
  <c r="K251" i="183"/>
  <c r="L251" i="183"/>
  <c r="O16" i="125"/>
  <c r="N16" i="125"/>
  <c r="D179" i="44"/>
  <c r="T179" i="44" s="1"/>
  <c r="T117" i="44"/>
  <c r="P123" i="6"/>
  <c r="H123" i="6"/>
  <c r="R123" i="6" s="1"/>
  <c r="F133" i="6"/>
  <c r="AA99" i="185"/>
  <c r="AI99" i="185" s="1"/>
  <c r="AF99" i="185"/>
  <c r="M30" i="9"/>
  <c r="AF79" i="185"/>
  <c r="AA79" i="185"/>
  <c r="AI79" i="185" s="1"/>
  <c r="AZ126" i="26"/>
  <c r="O90" i="185"/>
  <c r="P125" i="6"/>
  <c r="H125" i="6"/>
  <c r="R125" i="6" s="1"/>
  <c r="R116" i="185"/>
  <c r="X116" i="185"/>
  <c r="K115" i="183"/>
  <c r="G115" i="183"/>
  <c r="I115" i="183"/>
  <c r="J115" i="183" s="1"/>
  <c r="H115" i="183"/>
  <c r="L115" i="183"/>
  <c r="U77" i="185"/>
  <c r="S77" i="185"/>
  <c r="R36" i="134"/>
  <c r="M6" i="132" s="1"/>
  <c r="R4" i="150"/>
  <c r="V4" i="150" s="1"/>
  <c r="H9" i="195"/>
  <c r="I10" i="195"/>
  <c r="P131" i="6"/>
  <c r="H131" i="6"/>
  <c r="R131" i="6" s="1"/>
  <c r="G134" i="6"/>
  <c r="Q134" i="6" s="1"/>
  <c r="O133" i="6"/>
  <c r="F10" i="195"/>
  <c r="E9" i="195"/>
  <c r="M118" i="6"/>
  <c r="R118" i="6" s="1"/>
  <c r="P118" i="6"/>
  <c r="H18" i="196"/>
  <c r="F18" i="196"/>
  <c r="E17" i="196"/>
  <c r="G373" i="183"/>
  <c r="R363" i="183"/>
  <c r="R373" i="183" s="1"/>
  <c r="J37" i="195"/>
  <c r="K27" i="195"/>
  <c r="D38" i="182"/>
  <c r="D359" i="182"/>
  <c r="X135" i="185"/>
  <c r="R135" i="185"/>
  <c r="K347" i="183"/>
  <c r="G347" i="183"/>
  <c r="E353" i="183"/>
  <c r="I347" i="183"/>
  <c r="J347" i="183" s="1"/>
  <c r="E348" i="183"/>
  <c r="H347" i="183"/>
  <c r="L347" i="183"/>
  <c r="S339" i="183"/>
  <c r="S14" i="9"/>
  <c r="N15" i="9"/>
  <c r="T15" i="9" s="1"/>
  <c r="S186" i="42"/>
  <c r="D177" i="42"/>
  <c r="T177" i="42" s="1"/>
  <c r="T115" i="42"/>
  <c r="E356" i="182"/>
  <c r="R356" i="182" s="1"/>
  <c r="F52" i="9"/>
  <c r="G52" i="9" s="1"/>
  <c r="R46" i="9"/>
  <c r="BA187" i="27"/>
  <c r="P113" i="185"/>
  <c r="O17" i="125"/>
  <c r="N17" i="125"/>
  <c r="R125" i="44"/>
  <c r="BA253" i="26"/>
  <c r="AV125" i="201"/>
  <c r="AV108" i="201"/>
  <c r="L30" i="134"/>
  <c r="R30" i="134" s="1"/>
  <c r="R137" i="185"/>
  <c r="L9" i="19"/>
  <c r="R30" i="132" s="1"/>
  <c r="J9" i="19"/>
  <c r="Q30" i="132" s="1"/>
  <c r="H20" i="19"/>
  <c r="H21" i="19" s="1"/>
  <c r="P30" i="132"/>
  <c r="J27" i="196"/>
  <c r="J37" i="196" s="1"/>
  <c r="K83" i="196"/>
  <c r="R27" i="195"/>
  <c r="S83" i="195"/>
  <c r="O15" i="125"/>
  <c r="N15" i="125"/>
  <c r="C35" i="183"/>
  <c r="C7" i="183"/>
  <c r="K19" i="196"/>
  <c r="I19" i="196"/>
  <c r="AS30" i="201"/>
  <c r="AS143" i="201" s="1"/>
  <c r="AS98" i="201"/>
  <c r="M47" i="132"/>
  <c r="L47" i="132"/>
  <c r="E357" i="182"/>
  <c r="R357" i="182" s="1"/>
  <c r="O107" i="183"/>
  <c r="P107" i="183"/>
  <c r="M387" i="182"/>
  <c r="Q107" i="183"/>
  <c r="BA344" i="26"/>
  <c r="H95" i="195"/>
  <c r="K95" i="195" s="1"/>
  <c r="K50" i="195"/>
  <c r="H34" i="195" s="1"/>
  <c r="K34" i="195" s="1"/>
  <c r="K211" i="183"/>
  <c r="G211" i="183"/>
  <c r="I211" i="183"/>
  <c r="J211" i="183" s="1"/>
  <c r="H211" i="183"/>
  <c r="L211" i="183"/>
  <c r="E231" i="183"/>
  <c r="S124" i="42"/>
  <c r="M50" i="132"/>
  <c r="AS101" i="201"/>
  <c r="L50" i="132"/>
  <c r="H96" i="196"/>
  <c r="K96" i="196" s="1"/>
  <c r="K51" i="196"/>
  <c r="X92" i="185"/>
  <c r="R92" i="185"/>
  <c r="X136" i="185"/>
  <c r="R136" i="185"/>
  <c r="L13" i="19"/>
  <c r="R34" i="132" s="1"/>
  <c r="J13" i="19"/>
  <c r="Q34" i="132" s="1"/>
  <c r="L20" i="19"/>
  <c r="L21" i="19" s="1"/>
  <c r="P34" i="132"/>
  <c r="Q88" i="195"/>
  <c r="Q98" i="195" s="1"/>
  <c r="H7" i="195" s="1"/>
  <c r="Q53" i="195"/>
  <c r="H15" i="195" s="1"/>
  <c r="E352" i="182"/>
  <c r="R352" i="182" s="1"/>
  <c r="K88" i="195"/>
  <c r="AW23" i="201"/>
  <c r="O13" i="125"/>
  <c r="N13" i="125"/>
  <c r="AX187" i="27"/>
  <c r="I71" i="185"/>
  <c r="J71" i="185" s="1"/>
  <c r="F84" i="185"/>
  <c r="I84" i="185" s="1"/>
  <c r="J84" i="185" s="1"/>
  <c r="O386" i="182"/>
  <c r="N386" i="182"/>
  <c r="M57" i="6"/>
  <c r="R57" i="6" s="1"/>
  <c r="L395" i="182"/>
  <c r="P68" i="196"/>
  <c r="S58" i="196"/>
  <c r="G56" i="132"/>
  <c r="F56" i="132"/>
  <c r="AZ180" i="26"/>
  <c r="O130" i="185" s="1"/>
  <c r="Z147" i="185" s="1"/>
  <c r="M15" i="5"/>
  <c r="F42" i="134"/>
  <c r="R25" i="134"/>
  <c r="L12" i="132" s="1"/>
  <c r="K12" i="132"/>
  <c r="M29" i="6"/>
  <c r="R29" i="6" s="1"/>
  <c r="P29" i="6"/>
  <c r="P184" i="42"/>
  <c r="T184" i="42" s="1"/>
  <c r="T122" i="42"/>
  <c r="J11" i="19"/>
  <c r="Q32" i="132" s="1"/>
  <c r="J20" i="19"/>
  <c r="J21" i="19" s="1"/>
  <c r="L11" i="19"/>
  <c r="R32" i="132" s="1"/>
  <c r="P32" i="132"/>
  <c r="X127" i="26"/>
  <c r="P130" i="6"/>
  <c r="H130" i="6"/>
  <c r="R130" i="6" s="1"/>
  <c r="P44" i="6"/>
  <c r="H44" i="6"/>
  <c r="R44" i="6" s="1"/>
  <c r="AJ254" i="26"/>
  <c r="AK253" i="26"/>
  <c r="F14" i="19" s="1"/>
  <c r="R14" i="19" s="1"/>
  <c r="S14" i="19" s="1"/>
  <c r="O420" i="182"/>
  <c r="D124" i="42"/>
  <c r="H93" i="195"/>
  <c r="K93" i="195" s="1"/>
  <c r="K48" i="195"/>
  <c r="H32" i="195" s="1"/>
  <c r="K32" i="195" s="1"/>
  <c r="S250" i="44"/>
  <c r="T250" i="44" s="1"/>
  <c r="U250" i="44" s="1"/>
  <c r="T240" i="44"/>
  <c r="U240" i="44" s="1"/>
  <c r="M393" i="182"/>
  <c r="O299" i="183"/>
  <c r="Q299" i="183"/>
  <c r="P299" i="183"/>
  <c r="H91" i="196"/>
  <c r="K91" i="196" s="1"/>
  <c r="K46" i="196"/>
  <c r="K179" i="183"/>
  <c r="G179" i="183"/>
  <c r="I179" i="183"/>
  <c r="J179" i="183" s="1"/>
  <c r="H179" i="183"/>
  <c r="E199" i="183"/>
  <c r="L179" i="183"/>
  <c r="S36" i="9"/>
  <c r="O25" i="132" s="1"/>
  <c r="U91" i="185"/>
  <c r="S91" i="185"/>
  <c r="AF71" i="185"/>
  <c r="AA71" i="185"/>
  <c r="AI71" i="185" s="1"/>
  <c r="P127" i="26"/>
  <c r="CS22" i="190" l="1"/>
  <c r="CU22" i="190" s="1"/>
  <c r="BG108" i="201"/>
  <c r="BM158" i="201"/>
  <c r="CR88" i="190"/>
  <c r="O34" i="182"/>
  <c r="O30" i="183"/>
  <c r="CU40" i="190"/>
  <c r="CV40" i="190" s="1"/>
  <c r="CU31" i="190"/>
  <c r="CV31" i="190" s="1"/>
  <c r="CU32" i="190"/>
  <c r="CV32" i="190" s="1"/>
  <c r="DB463" i="167"/>
  <c r="X131" i="185"/>
  <c r="AF131" i="185" s="1"/>
  <c r="E14" i="150"/>
  <c r="F14" i="150" s="1"/>
  <c r="S79" i="185"/>
  <c r="G132" i="125"/>
  <c r="R131" i="185"/>
  <c r="U131" i="185" s="1"/>
  <c r="DE455" i="167"/>
  <c r="X115" i="185"/>
  <c r="AF115" i="185" s="1"/>
  <c r="Y148" i="185"/>
  <c r="N423" i="182"/>
  <c r="O13" i="195"/>
  <c r="N437" i="182"/>
  <c r="D25" i="207"/>
  <c r="D30" i="207" s="1"/>
  <c r="C47" i="205"/>
  <c r="G31" i="205"/>
  <c r="G39" i="205"/>
  <c r="C55" i="205"/>
  <c r="C56" i="205"/>
  <c r="G40" i="205"/>
  <c r="C46" i="205"/>
  <c r="G30" i="205"/>
  <c r="C54" i="205"/>
  <c r="G38" i="205"/>
  <c r="C57" i="205"/>
  <c r="G41" i="205"/>
  <c r="F35" i="183"/>
  <c r="F37" i="183"/>
  <c r="C60" i="205"/>
  <c r="G44" i="205"/>
  <c r="C58" i="205"/>
  <c r="G42" i="205"/>
  <c r="C59" i="205"/>
  <c r="G43" i="205"/>
  <c r="U255" i="26"/>
  <c r="BA345" i="26"/>
  <c r="BA346" i="26" s="1"/>
  <c r="BB346" i="26" s="1"/>
  <c r="BC346" i="26" s="1"/>
  <c r="O129" i="125"/>
  <c r="G98" i="195"/>
  <c r="H36" i="196"/>
  <c r="K36" i="196" s="1"/>
  <c r="H34" i="196"/>
  <c r="K34" i="196" s="1"/>
  <c r="H30" i="196"/>
  <c r="K30" i="196" s="1"/>
  <c r="H35" i="196"/>
  <c r="K35" i="196" s="1"/>
  <c r="H33" i="196"/>
  <c r="K33" i="196" s="1"/>
  <c r="H32" i="196"/>
  <c r="K32" i="196" s="1"/>
  <c r="H29" i="196"/>
  <c r="K29" i="196" s="1"/>
  <c r="E7" i="196"/>
  <c r="F7" i="196" s="1"/>
  <c r="G98" i="196"/>
  <c r="O453" i="182"/>
  <c r="P15" i="183"/>
  <c r="D37" i="196"/>
  <c r="O13" i="196" s="1"/>
  <c r="G27" i="196"/>
  <c r="G37" i="196" s="1"/>
  <c r="O5" i="196" s="1"/>
  <c r="X156" i="185"/>
  <c r="DC453" i="167"/>
  <c r="DC463" i="167" s="1"/>
  <c r="L11" i="207"/>
  <c r="F11" i="207"/>
  <c r="E16" i="207"/>
  <c r="E17" i="207" s="1"/>
  <c r="I11" i="207"/>
  <c r="I16" i="207" s="1"/>
  <c r="J11" i="207"/>
  <c r="G11" i="207"/>
  <c r="P276" i="183"/>
  <c r="D68" i="183"/>
  <c r="G18" i="125"/>
  <c r="N130" i="125"/>
  <c r="O130" i="125"/>
  <c r="O128" i="125"/>
  <c r="N128" i="125"/>
  <c r="E19" i="125"/>
  <c r="O127" i="125"/>
  <c r="N127" i="125"/>
  <c r="N123" i="125"/>
  <c r="O123" i="125"/>
  <c r="N118" i="125"/>
  <c r="N131" i="125"/>
  <c r="O131" i="125"/>
  <c r="BL158" i="201"/>
  <c r="M132" i="125"/>
  <c r="O132" i="125" s="1"/>
  <c r="N442" i="182"/>
  <c r="E84" i="125"/>
  <c r="G84" i="125" s="1"/>
  <c r="E83" i="125"/>
  <c r="G83" i="125" s="1"/>
  <c r="E76" i="125"/>
  <c r="H76" i="125" s="1"/>
  <c r="E85" i="125"/>
  <c r="H85" i="125" s="1"/>
  <c r="E82" i="125"/>
  <c r="G82" i="125" s="1"/>
  <c r="E79" i="125"/>
  <c r="H79" i="125" s="1"/>
  <c r="E81" i="125"/>
  <c r="H81" i="125" s="1"/>
  <c r="E80" i="125"/>
  <c r="H80" i="125" s="1"/>
  <c r="E77" i="125"/>
  <c r="G77" i="125" s="1"/>
  <c r="DE453" i="167"/>
  <c r="N469" i="182"/>
  <c r="DD453" i="167"/>
  <c r="O423" i="182"/>
  <c r="N422" i="182"/>
  <c r="O406" i="182"/>
  <c r="O434" i="182"/>
  <c r="N455" i="182"/>
  <c r="H284" i="183"/>
  <c r="O457" i="182"/>
  <c r="P52" i="183"/>
  <c r="O402" i="182"/>
  <c r="N451" i="182"/>
  <c r="O470" i="182"/>
  <c r="N467" i="182"/>
  <c r="O474" i="182"/>
  <c r="O407" i="182"/>
  <c r="O440" i="182"/>
  <c r="Q180" i="183"/>
  <c r="P212" i="183"/>
  <c r="P244" i="183"/>
  <c r="N439" i="182"/>
  <c r="E399" i="183"/>
  <c r="G399" i="183" s="1"/>
  <c r="H399" i="183" s="1"/>
  <c r="Q84" i="183"/>
  <c r="I284" i="183"/>
  <c r="J284" i="183" s="1"/>
  <c r="O471" i="182"/>
  <c r="N433" i="182"/>
  <c r="N404" i="182"/>
  <c r="O450" i="182"/>
  <c r="O465" i="182"/>
  <c r="N403" i="182"/>
  <c r="N449" i="182"/>
  <c r="DD459" i="167"/>
  <c r="DE458" i="167"/>
  <c r="DE457" i="167"/>
  <c r="DE456" i="167"/>
  <c r="DD455" i="167"/>
  <c r="DE454" i="167"/>
  <c r="N405" i="182"/>
  <c r="O21" i="182"/>
  <c r="N21" i="182"/>
  <c r="N56" i="182"/>
  <c r="O49" i="183"/>
  <c r="M417" i="182"/>
  <c r="O56" i="182"/>
  <c r="BA22" i="201"/>
  <c r="E78" i="125"/>
  <c r="N458" i="182"/>
  <c r="O458" i="182"/>
  <c r="N86" i="182"/>
  <c r="O86" i="182"/>
  <c r="O81" i="183"/>
  <c r="M418" i="182"/>
  <c r="O452" i="182"/>
  <c r="N452" i="182"/>
  <c r="D86" i="125"/>
  <c r="BK137" i="201"/>
  <c r="O12" i="183"/>
  <c r="P12" i="183" s="1"/>
  <c r="I289" i="183"/>
  <c r="J289" i="183" s="1"/>
  <c r="N385" i="182"/>
  <c r="X134" i="185"/>
  <c r="AA134" i="185" s="1"/>
  <c r="R134" i="185"/>
  <c r="U134" i="185" s="1"/>
  <c r="E291" i="183"/>
  <c r="G289" i="183"/>
  <c r="AA138" i="185"/>
  <c r="E15" i="132" s="1"/>
  <c r="AV190" i="26"/>
  <c r="BO24" i="201"/>
  <c r="BS24" i="201" s="1"/>
  <c r="BK119" i="201"/>
  <c r="P190" i="26"/>
  <c r="X190" i="26"/>
  <c r="I92" i="183"/>
  <c r="J92" i="183" s="1"/>
  <c r="K92" i="183"/>
  <c r="U78" i="185"/>
  <c r="H15" i="19"/>
  <c r="L6" i="19"/>
  <c r="R27" i="132" s="1"/>
  <c r="U6" i="19"/>
  <c r="V12" i="19"/>
  <c r="X12" i="19"/>
  <c r="R12" i="150"/>
  <c r="F15" i="19"/>
  <c r="I17" i="19" s="1"/>
  <c r="G14" i="19"/>
  <c r="G348" i="182"/>
  <c r="H348" i="182" s="1"/>
  <c r="AF137" i="185"/>
  <c r="AJ190" i="26"/>
  <c r="R7" i="150"/>
  <c r="AC98" i="201"/>
  <c r="BK141" i="201"/>
  <c r="K97" i="183"/>
  <c r="BK106" i="201"/>
  <c r="BO28" i="201"/>
  <c r="BS28" i="201" s="1"/>
  <c r="F139" i="185"/>
  <c r="U120" i="185"/>
  <c r="AA77" i="185"/>
  <c r="AI77" i="185" s="1"/>
  <c r="BN125" i="201"/>
  <c r="S121" i="185"/>
  <c r="C14" i="132" s="1"/>
  <c r="N123" i="185"/>
  <c r="R9" i="150"/>
  <c r="N129" i="185"/>
  <c r="N139" i="185" s="1"/>
  <c r="X132" i="185"/>
  <c r="AF132" i="185" s="1"/>
  <c r="X133" i="185"/>
  <c r="AA133" i="185" s="1"/>
  <c r="AI133" i="185" s="1"/>
  <c r="G10" i="132" s="1"/>
  <c r="L284" i="183"/>
  <c r="F399" i="183"/>
  <c r="L92" i="183"/>
  <c r="F393" i="183"/>
  <c r="L99" i="183"/>
  <c r="R119" i="185"/>
  <c r="S119" i="185" s="1"/>
  <c r="C12" i="132" s="1"/>
  <c r="AW100" i="201"/>
  <c r="AW98" i="201"/>
  <c r="BK124" i="201"/>
  <c r="BK133" i="201"/>
  <c r="BO27" i="201"/>
  <c r="BO122" i="201" s="1"/>
  <c r="D229" i="183"/>
  <c r="BK73" i="201"/>
  <c r="M148" i="6"/>
  <c r="R148" i="6" s="1"/>
  <c r="D20" i="19"/>
  <c r="D21" i="19" s="1"/>
  <c r="J6" i="19"/>
  <c r="Q27" i="132" s="1"/>
  <c r="D165" i="183"/>
  <c r="M459" i="182"/>
  <c r="O459" i="182" s="1"/>
  <c r="O25" i="182"/>
  <c r="U117" i="185"/>
  <c r="N18" i="182"/>
  <c r="M475" i="182"/>
  <c r="O475" i="182" s="1"/>
  <c r="N22" i="182"/>
  <c r="O22" i="182"/>
  <c r="M411" i="182"/>
  <c r="O411" i="182" s="1"/>
  <c r="O18" i="182"/>
  <c r="BT117" i="201"/>
  <c r="O23" i="183"/>
  <c r="O20" i="183"/>
  <c r="Q20" i="183" s="1"/>
  <c r="O15" i="182"/>
  <c r="M10" i="182"/>
  <c r="R6" i="150"/>
  <c r="H97" i="183"/>
  <c r="I97" i="183"/>
  <c r="J97" i="183" s="1"/>
  <c r="G97" i="183"/>
  <c r="BK134" i="201"/>
  <c r="M35" i="132"/>
  <c r="BK115" i="201"/>
  <c r="AZ174" i="27"/>
  <c r="P27" i="132"/>
  <c r="CV58" i="190"/>
  <c r="S74" i="185"/>
  <c r="BK140" i="201"/>
  <c r="U122" i="185"/>
  <c r="R133" i="185"/>
  <c r="U133" i="185" s="1"/>
  <c r="CV87" i="190"/>
  <c r="CU59" i="190"/>
  <c r="CS60" i="190"/>
  <c r="CS34" i="190"/>
  <c r="CU33" i="190"/>
  <c r="CV21" i="190"/>
  <c r="U72" i="185"/>
  <c r="CU88" i="190"/>
  <c r="CS89" i="190"/>
  <c r="CU8" i="190"/>
  <c r="CV8" i="190" s="1"/>
  <c r="CS9" i="190"/>
  <c r="CT88" i="190"/>
  <c r="CR89" i="190"/>
  <c r="CU71" i="190"/>
  <c r="CS72" i="190"/>
  <c r="CT106" i="190"/>
  <c r="CT107" i="190" s="1"/>
  <c r="CR107" i="190"/>
  <c r="CS42" i="190"/>
  <c r="CU41" i="190"/>
  <c r="CV41" i="190" s="1"/>
  <c r="CU107" i="190"/>
  <c r="CR60" i="190"/>
  <c r="CT59" i="190"/>
  <c r="CR10" i="190"/>
  <c r="CT9" i="190"/>
  <c r="CT33" i="190"/>
  <c r="CR34" i="190"/>
  <c r="CT23" i="190"/>
  <c r="CR24" i="190"/>
  <c r="CR73" i="190"/>
  <c r="CT72" i="190"/>
  <c r="CT42" i="190"/>
  <c r="CR43" i="190"/>
  <c r="U94" i="185"/>
  <c r="BO29" i="201"/>
  <c r="BO142" i="201" s="1"/>
  <c r="BK107" i="201"/>
  <c r="BK142" i="201"/>
  <c r="Q15" i="183"/>
  <c r="N443" i="182"/>
  <c r="BK103" i="201"/>
  <c r="BO25" i="201"/>
  <c r="BS25" i="201" s="1"/>
  <c r="BO20" i="201"/>
  <c r="BS20" i="201" s="1"/>
  <c r="J348" i="182"/>
  <c r="U93" i="185"/>
  <c r="O314" i="182"/>
  <c r="N314" i="182"/>
  <c r="O330" i="183"/>
  <c r="P170" i="183"/>
  <c r="Q170" i="183"/>
  <c r="Q202" i="183"/>
  <c r="P202" i="183"/>
  <c r="P266" i="183"/>
  <c r="Q266" i="183"/>
  <c r="P234" i="183"/>
  <c r="Q234" i="183"/>
  <c r="Q106" i="183"/>
  <c r="P106" i="183"/>
  <c r="Q42" i="183"/>
  <c r="P42" i="183"/>
  <c r="Q138" i="183"/>
  <c r="P138" i="183"/>
  <c r="P298" i="183"/>
  <c r="Q298" i="183"/>
  <c r="O325" i="182"/>
  <c r="N325" i="182"/>
  <c r="O335" i="183"/>
  <c r="M410" i="182"/>
  <c r="K139" i="185"/>
  <c r="X119" i="185"/>
  <c r="AF119" i="185" s="1"/>
  <c r="AZ187" i="27"/>
  <c r="AA121" i="185"/>
  <c r="AI121" i="185" s="1"/>
  <c r="D14" i="132" s="1"/>
  <c r="AA120" i="185"/>
  <c r="AI120" i="185" s="1"/>
  <c r="D13" i="132" s="1"/>
  <c r="S71" i="185"/>
  <c r="BK120" i="201"/>
  <c r="AA97" i="185"/>
  <c r="AI97" i="185" s="1"/>
  <c r="R132" i="185"/>
  <c r="U132" i="185" s="1"/>
  <c r="AA75" i="185"/>
  <c r="AI75" i="185" s="1"/>
  <c r="R17" i="195"/>
  <c r="AA117" i="185"/>
  <c r="AI117" i="185" s="1"/>
  <c r="D10" i="132" s="1"/>
  <c r="Y17" i="5"/>
  <c r="AD17" i="5" s="1"/>
  <c r="U138" i="185"/>
  <c r="S99" i="185"/>
  <c r="BK135" i="201"/>
  <c r="BK117" i="201"/>
  <c r="BO22" i="201"/>
  <c r="BS22" i="201" s="1"/>
  <c r="U121" i="185"/>
  <c r="L18" i="195"/>
  <c r="F123" i="185"/>
  <c r="AF91" i="185"/>
  <c r="K284" i="183"/>
  <c r="K289" i="183"/>
  <c r="L289" i="183"/>
  <c r="L97" i="183"/>
  <c r="T88" i="196"/>
  <c r="T53" i="196"/>
  <c r="B20" i="150"/>
  <c r="B19" i="150"/>
  <c r="F8" i="195"/>
  <c r="D5" i="195"/>
  <c r="O5" i="195" s="1"/>
  <c r="S98" i="185"/>
  <c r="D49" i="132"/>
  <c r="BG143" i="201"/>
  <c r="BG125" i="201"/>
  <c r="D6" i="205"/>
  <c r="BJ125" i="201"/>
  <c r="BJ143" i="201"/>
  <c r="BO21" i="201"/>
  <c r="BK99" i="201"/>
  <c r="P17" i="195"/>
  <c r="I17" i="195"/>
  <c r="L20" i="195"/>
  <c r="K17" i="195"/>
  <c r="L19" i="195"/>
  <c r="L17" i="195"/>
  <c r="E14" i="195"/>
  <c r="F14" i="195" s="1"/>
  <c r="BH73" i="201"/>
  <c r="U96" i="185"/>
  <c r="N34" i="182"/>
  <c r="BO23" i="201"/>
  <c r="BO118" i="201" s="1"/>
  <c r="BK136" i="201"/>
  <c r="BK118" i="201"/>
  <c r="D47" i="132"/>
  <c r="E49" i="132"/>
  <c r="E47" i="132"/>
  <c r="BN143" i="201"/>
  <c r="AW140" i="201"/>
  <c r="AW122" i="201"/>
  <c r="AW124" i="201"/>
  <c r="AW142" i="201"/>
  <c r="BK122" i="201"/>
  <c r="AW141" i="201"/>
  <c r="AW123" i="201"/>
  <c r="AW139" i="201"/>
  <c r="AW121" i="201"/>
  <c r="BK139" i="201"/>
  <c r="BK121" i="201"/>
  <c r="AW120" i="201"/>
  <c r="AW138" i="201"/>
  <c r="AW134" i="201"/>
  <c r="AW116" i="201"/>
  <c r="AW133" i="201"/>
  <c r="AW115" i="201"/>
  <c r="AW135" i="201"/>
  <c r="AW117" i="201"/>
  <c r="AW119" i="201"/>
  <c r="AW137" i="201"/>
  <c r="M59" i="6"/>
  <c r="R59" i="6" s="1"/>
  <c r="AW136" i="201"/>
  <c r="AW118" i="201"/>
  <c r="AC105" i="201"/>
  <c r="AG27" i="201"/>
  <c r="AC30" i="201"/>
  <c r="AG104" i="201"/>
  <c r="AG106" i="201"/>
  <c r="X108" i="201"/>
  <c r="Y105" i="201"/>
  <c r="Y30" i="201"/>
  <c r="AG107" i="201"/>
  <c r="AG98" i="201"/>
  <c r="AG103" i="201"/>
  <c r="BB93" i="201"/>
  <c r="BF94" i="201" s="1"/>
  <c r="BH105" i="201"/>
  <c r="M266" i="182" s="1"/>
  <c r="BO26" i="201"/>
  <c r="BK104" i="201"/>
  <c r="BH45" i="201"/>
  <c r="BH76" i="201" s="1"/>
  <c r="BH66" i="201"/>
  <c r="BK30" i="201"/>
  <c r="BH93" i="201"/>
  <c r="BN158" i="201" s="1"/>
  <c r="BH98" i="201"/>
  <c r="BL100" i="201"/>
  <c r="BL98" i="201"/>
  <c r="BN76" i="201"/>
  <c r="BN66" i="201"/>
  <c r="G108" i="201"/>
  <c r="BM73" i="201"/>
  <c r="BS72" i="201"/>
  <c r="BO72" i="201"/>
  <c r="BR105" i="201"/>
  <c r="C39" i="183"/>
  <c r="S64" i="185"/>
  <c r="U76" i="185"/>
  <c r="P54" i="132"/>
  <c r="AF95" i="185"/>
  <c r="AA122" i="185"/>
  <c r="AI122" i="185" s="1"/>
  <c r="D15" i="132" s="1"/>
  <c r="K16" i="132"/>
  <c r="D186" i="42"/>
  <c r="T124" i="42"/>
  <c r="O27" i="196"/>
  <c r="O37" i="196" s="1"/>
  <c r="L37" i="196"/>
  <c r="Q13" i="196" s="1"/>
  <c r="I18" i="196"/>
  <c r="H17" i="196"/>
  <c r="K18" i="196"/>
  <c r="AI137" i="185"/>
  <c r="G14" i="132" s="1"/>
  <c r="E14" i="132"/>
  <c r="P55" i="132"/>
  <c r="O394" i="182"/>
  <c r="N394" i="182"/>
  <c r="AW102" i="201"/>
  <c r="BA24" i="201"/>
  <c r="D10" i="205" s="1"/>
  <c r="E51" i="132"/>
  <c r="D51" i="132"/>
  <c r="D7" i="183"/>
  <c r="Q56" i="132"/>
  <c r="P56" i="132"/>
  <c r="AF114" i="185"/>
  <c r="AA114" i="185"/>
  <c r="E163" i="183"/>
  <c r="I161" i="183"/>
  <c r="J161" i="183" s="1"/>
  <c r="H161" i="183"/>
  <c r="K161" i="183"/>
  <c r="G161" i="183"/>
  <c r="L161" i="183"/>
  <c r="P51" i="132"/>
  <c r="F51" i="134"/>
  <c r="G51" i="134" s="1"/>
  <c r="P46" i="134"/>
  <c r="R9" i="196"/>
  <c r="I9" i="196"/>
  <c r="R29" i="134"/>
  <c r="L16" i="132" s="1"/>
  <c r="M30" i="134"/>
  <c r="S30" i="134" s="1"/>
  <c r="K27" i="196"/>
  <c r="K15" i="195"/>
  <c r="I15" i="195"/>
  <c r="S136" i="185"/>
  <c r="F13" i="132" s="1"/>
  <c r="U136" i="185"/>
  <c r="AS125" i="201"/>
  <c r="AS108" i="201"/>
  <c r="M57" i="132"/>
  <c r="R37" i="195"/>
  <c r="R9" i="195" s="1"/>
  <c r="F9" i="195"/>
  <c r="P9" i="195"/>
  <c r="L9" i="195"/>
  <c r="I9" i="195"/>
  <c r="L12" i="195"/>
  <c r="L11" i="195"/>
  <c r="U4" i="150"/>
  <c r="S6" i="132" s="1"/>
  <c r="S4" i="150"/>
  <c r="R6" i="132" s="1"/>
  <c r="Q6" i="132"/>
  <c r="S116" i="185"/>
  <c r="C9" i="132" s="1"/>
  <c r="U116" i="185"/>
  <c r="E398" i="183"/>
  <c r="K252" i="183"/>
  <c r="G252" i="183"/>
  <c r="I252" i="183"/>
  <c r="J252" i="183" s="1"/>
  <c r="H252" i="183"/>
  <c r="L252" i="183"/>
  <c r="T125" i="44"/>
  <c r="S115" i="185"/>
  <c r="C8" i="132" s="1"/>
  <c r="U115" i="185"/>
  <c r="P98" i="196"/>
  <c r="H6" i="196" s="1"/>
  <c r="S88" i="196"/>
  <c r="S98" i="196" s="1"/>
  <c r="O123" i="185"/>
  <c r="R113" i="185"/>
  <c r="X113" i="185"/>
  <c r="E392" i="183"/>
  <c r="K60" i="183"/>
  <c r="G60" i="183"/>
  <c r="I60" i="183"/>
  <c r="J60" i="183" s="1"/>
  <c r="H60" i="183"/>
  <c r="L60" i="183"/>
  <c r="AW103" i="201"/>
  <c r="E52" i="132"/>
  <c r="BA25" i="201"/>
  <c r="D11" i="205" s="1"/>
  <c r="D52" i="132"/>
  <c r="N392" i="182"/>
  <c r="O392" i="182"/>
  <c r="K15" i="196"/>
  <c r="I15" i="196"/>
  <c r="O54" i="132"/>
  <c r="K54" i="132"/>
  <c r="N54" i="132"/>
  <c r="P50" i="132"/>
  <c r="S114" i="185"/>
  <c r="C7" i="132" s="1"/>
  <c r="U114" i="185"/>
  <c r="I4" i="150"/>
  <c r="O6" i="132" s="1"/>
  <c r="M4" i="150"/>
  <c r="P6" i="132" s="1"/>
  <c r="N6" i="132"/>
  <c r="K20" i="19"/>
  <c r="K21" i="19" s="1"/>
  <c r="L12" i="19"/>
  <c r="R33" i="132" s="1"/>
  <c r="P33" i="132"/>
  <c r="J12" i="19"/>
  <c r="Q33" i="132" s="1"/>
  <c r="Q49" i="132"/>
  <c r="P49" i="132"/>
  <c r="E394" i="183"/>
  <c r="H124" i="183"/>
  <c r="K124" i="183"/>
  <c r="G124" i="183"/>
  <c r="I124" i="183"/>
  <c r="J124" i="183" s="1"/>
  <c r="L124" i="183"/>
  <c r="E400" i="183"/>
  <c r="H316" i="183"/>
  <c r="K316" i="183"/>
  <c r="G316" i="183"/>
  <c r="I316" i="183"/>
  <c r="J316" i="183" s="1"/>
  <c r="L316" i="183"/>
  <c r="O18" i="125"/>
  <c r="N18" i="125"/>
  <c r="K53" i="196"/>
  <c r="E401" i="183"/>
  <c r="H348" i="183"/>
  <c r="K348" i="183"/>
  <c r="G348" i="183"/>
  <c r="I348" i="183"/>
  <c r="J348" i="183" s="1"/>
  <c r="L348" i="183"/>
  <c r="K37" i="195"/>
  <c r="J129" i="185"/>
  <c r="I139" i="185"/>
  <c r="J139" i="185" s="1"/>
  <c r="AF116" i="185"/>
  <c r="AA116" i="185"/>
  <c r="H50" i="132"/>
  <c r="H49" i="132"/>
  <c r="S118" i="185"/>
  <c r="C11" i="132" s="1"/>
  <c r="U118" i="185"/>
  <c r="R45" i="134"/>
  <c r="M15" i="132" s="1"/>
  <c r="R13" i="150"/>
  <c r="K129" i="183"/>
  <c r="G129" i="183"/>
  <c r="E131" i="183"/>
  <c r="E133" i="183" s="1"/>
  <c r="I129" i="183"/>
  <c r="J129" i="183" s="1"/>
  <c r="H129" i="183"/>
  <c r="L129" i="183"/>
  <c r="N11" i="182"/>
  <c r="P11" i="183" s="1"/>
  <c r="Q11" i="183"/>
  <c r="O11" i="183"/>
  <c r="M395" i="182"/>
  <c r="G357" i="182"/>
  <c r="H357" i="182" s="1"/>
  <c r="J357" i="182"/>
  <c r="I357" i="182"/>
  <c r="G46" i="9"/>
  <c r="K98" i="195"/>
  <c r="I7" i="195"/>
  <c r="K7" i="195"/>
  <c r="AF136" i="185"/>
  <c r="AA136" i="185"/>
  <c r="O387" i="182"/>
  <c r="N387" i="182"/>
  <c r="L57" i="132"/>
  <c r="P52" i="132"/>
  <c r="Y113" i="185"/>
  <c r="P123" i="185"/>
  <c r="E355" i="183"/>
  <c r="I353" i="183"/>
  <c r="J353" i="183" s="1"/>
  <c r="H353" i="183"/>
  <c r="G353" i="183"/>
  <c r="K353" i="183"/>
  <c r="S350" i="183"/>
  <c r="L353" i="183"/>
  <c r="AF135" i="185"/>
  <c r="AA135" i="185"/>
  <c r="P17" i="196"/>
  <c r="F17" i="196"/>
  <c r="P47" i="132"/>
  <c r="L10" i="195"/>
  <c r="S30" i="9"/>
  <c r="N35" i="132" s="1"/>
  <c r="I14" i="19"/>
  <c r="U14" i="19" s="1"/>
  <c r="N31" i="9"/>
  <c r="T31" i="9" s="1"/>
  <c r="P133" i="6"/>
  <c r="H133" i="6"/>
  <c r="R133" i="6" s="1"/>
  <c r="AG70" i="185"/>
  <c r="Y84" i="185"/>
  <c r="AG84" i="185" s="1"/>
  <c r="G350" i="182"/>
  <c r="H350" i="182" s="1"/>
  <c r="J350" i="182"/>
  <c r="I350" i="182"/>
  <c r="I14" i="196"/>
  <c r="H13" i="196"/>
  <c r="K14" i="196"/>
  <c r="N55" i="35"/>
  <c r="M55" i="35"/>
  <c r="K55" i="35"/>
  <c r="J55" i="35"/>
  <c r="L55" i="35"/>
  <c r="X129" i="185"/>
  <c r="R129" i="185"/>
  <c r="O139" i="185"/>
  <c r="H65" i="183"/>
  <c r="K65" i="183"/>
  <c r="G65" i="183"/>
  <c r="I65" i="183"/>
  <c r="J65" i="183" s="1"/>
  <c r="E67" i="183"/>
  <c r="L65" i="183"/>
  <c r="G355" i="182"/>
  <c r="H355" i="182" s="1"/>
  <c r="J355" i="182"/>
  <c r="I355" i="182"/>
  <c r="K7" i="196"/>
  <c r="I7" i="196"/>
  <c r="O389" i="182"/>
  <c r="N389" i="182"/>
  <c r="K105" i="201"/>
  <c r="O27" i="201"/>
  <c r="C13" i="205" s="1"/>
  <c r="K30" i="201"/>
  <c r="G354" i="182"/>
  <c r="H354" i="182" s="1"/>
  <c r="J354" i="182"/>
  <c r="I354" i="182"/>
  <c r="H53" i="132"/>
  <c r="E395" i="183"/>
  <c r="K156" i="183"/>
  <c r="G156" i="183"/>
  <c r="I156" i="183"/>
  <c r="J156" i="183" s="1"/>
  <c r="H156" i="183"/>
  <c r="L156" i="183"/>
  <c r="U48" i="185"/>
  <c r="S48" i="185"/>
  <c r="L475" i="182"/>
  <c r="N15" i="182"/>
  <c r="AW99" i="201"/>
  <c r="E48" i="132"/>
  <c r="BA21" i="201"/>
  <c r="D7" i="205" s="1"/>
  <c r="D48" i="132"/>
  <c r="O421" i="182"/>
  <c r="N421" i="182"/>
  <c r="E397" i="183"/>
  <c r="I220" i="183"/>
  <c r="J220" i="183" s="1"/>
  <c r="H220" i="183"/>
  <c r="K220" i="183"/>
  <c r="G220" i="183"/>
  <c r="L220" i="183"/>
  <c r="R40" i="134"/>
  <c r="M10" i="132" s="1"/>
  <c r="R8" i="150"/>
  <c r="G351" i="182"/>
  <c r="H351" i="182" s="1"/>
  <c r="J351" i="182"/>
  <c r="I351" i="182"/>
  <c r="U73" i="185"/>
  <c r="S73" i="185"/>
  <c r="E38" i="183"/>
  <c r="F39" i="183" s="1"/>
  <c r="E28" i="183"/>
  <c r="K27" i="183"/>
  <c r="G27" i="183"/>
  <c r="E33" i="183"/>
  <c r="E37" i="183" s="1"/>
  <c r="I27" i="183"/>
  <c r="J27" i="183" s="1"/>
  <c r="H27" i="183"/>
  <c r="L27" i="183"/>
  <c r="E396" i="183"/>
  <c r="H188" i="183"/>
  <c r="K188" i="183"/>
  <c r="G188" i="183"/>
  <c r="I188" i="183"/>
  <c r="J188" i="183" s="1"/>
  <c r="L188" i="183"/>
  <c r="P53" i="132"/>
  <c r="P186" i="42"/>
  <c r="R84" i="185"/>
  <c r="Q54" i="132"/>
  <c r="H55" i="132"/>
  <c r="AF92" i="185"/>
  <c r="AA92" i="185"/>
  <c r="AI92" i="185" s="1"/>
  <c r="U137" i="185"/>
  <c r="S137" i="185"/>
  <c r="F14" i="132" s="1"/>
  <c r="G356" i="182"/>
  <c r="H356" i="182" s="1"/>
  <c r="J356" i="182"/>
  <c r="I356" i="182"/>
  <c r="X90" i="185"/>
  <c r="R90" i="185"/>
  <c r="O104" i="185"/>
  <c r="R104" i="185" s="1"/>
  <c r="S53" i="196"/>
  <c r="P27" i="196"/>
  <c r="O57" i="132"/>
  <c r="K57" i="132"/>
  <c r="N57" i="132"/>
  <c r="Y104" i="185"/>
  <c r="AG104" i="185" s="1"/>
  <c r="AG90" i="185"/>
  <c r="H48" i="132"/>
  <c r="J113" i="185"/>
  <c r="I123" i="185"/>
  <c r="J123" i="185" s="1"/>
  <c r="AW104" i="201"/>
  <c r="BA26" i="201"/>
  <c r="D12" i="205" s="1"/>
  <c r="E53" i="132"/>
  <c r="D53" i="132"/>
  <c r="P53" i="195"/>
  <c r="P88" i="195"/>
  <c r="S43" i="195"/>
  <c r="P27" i="195" s="1"/>
  <c r="P37" i="195" s="1"/>
  <c r="AW107" i="201"/>
  <c r="E56" i="132"/>
  <c r="BA29" i="201"/>
  <c r="D15" i="205" s="1"/>
  <c r="D56" i="132"/>
  <c r="H98" i="196"/>
  <c r="E6" i="196" s="1"/>
  <c r="E227" i="183"/>
  <c r="I225" i="183"/>
  <c r="J225" i="183" s="1"/>
  <c r="H225" i="183"/>
  <c r="K225" i="183"/>
  <c r="G225" i="183"/>
  <c r="L225" i="183"/>
  <c r="K193" i="183"/>
  <c r="G193" i="183"/>
  <c r="E195" i="183"/>
  <c r="I193" i="183"/>
  <c r="J193" i="183" s="1"/>
  <c r="H193" i="183"/>
  <c r="L193" i="183"/>
  <c r="P9" i="196"/>
  <c r="F9" i="196"/>
  <c r="X84" i="185"/>
  <c r="AF84" i="185" s="1"/>
  <c r="AA70" i="185"/>
  <c r="AF70" i="185"/>
  <c r="O393" i="182"/>
  <c r="N393" i="182"/>
  <c r="R130" i="185"/>
  <c r="X130" i="185"/>
  <c r="S68" i="196"/>
  <c r="Q27" i="196"/>
  <c r="Q37" i="196" s="1"/>
  <c r="G352" i="182"/>
  <c r="H352" i="182" s="1"/>
  <c r="J352" i="182"/>
  <c r="I352" i="182"/>
  <c r="S135" i="185"/>
  <c r="F12" i="132" s="1"/>
  <c r="U135" i="185"/>
  <c r="R42" i="134"/>
  <c r="M12" i="132" s="1"/>
  <c r="R10" i="150"/>
  <c r="AW101" i="201"/>
  <c r="E50" i="132"/>
  <c r="BA23" i="201"/>
  <c r="D9" i="205" s="1"/>
  <c r="D50" i="132"/>
  <c r="H98" i="195"/>
  <c r="E6" i="195" s="1"/>
  <c r="U92" i="185"/>
  <c r="S92" i="185"/>
  <c r="I99" i="183"/>
  <c r="J99" i="183" s="1"/>
  <c r="K99" i="183"/>
  <c r="E101" i="183"/>
  <c r="F46" i="134"/>
  <c r="E259" i="183"/>
  <c r="I257" i="183"/>
  <c r="J257" i="183" s="1"/>
  <c r="H257" i="183"/>
  <c r="K257" i="183"/>
  <c r="G257" i="183"/>
  <c r="R248" i="183"/>
  <c r="L257" i="183"/>
  <c r="D187" i="44"/>
  <c r="T177" i="44"/>
  <c r="T187" i="44" s="1"/>
  <c r="O391" i="182"/>
  <c r="N391" i="182"/>
  <c r="I55" i="35"/>
  <c r="E358" i="182"/>
  <c r="R358" i="182" s="1"/>
  <c r="I348" i="182"/>
  <c r="O390" i="182"/>
  <c r="N390" i="182"/>
  <c r="H37" i="195"/>
  <c r="K47" i="132"/>
  <c r="N47" i="132"/>
  <c r="O47" i="132"/>
  <c r="E13" i="196"/>
  <c r="F14" i="196"/>
  <c r="AZ189" i="26"/>
  <c r="AW105" i="201"/>
  <c r="E54" i="132"/>
  <c r="BA27" i="201"/>
  <c r="D13" i="205" s="1"/>
  <c r="D54" i="132"/>
  <c r="T186" i="42"/>
  <c r="P139" i="185"/>
  <c r="Y129" i="185"/>
  <c r="AW106" i="201"/>
  <c r="BA28" i="201"/>
  <c r="D14" i="205" s="1"/>
  <c r="E55" i="132"/>
  <c r="D55" i="132"/>
  <c r="AW30" i="201"/>
  <c r="AW143" i="201" s="1"/>
  <c r="U38" i="185"/>
  <c r="S38" i="185"/>
  <c r="AF118" i="185"/>
  <c r="AA118" i="185"/>
  <c r="R37" i="134"/>
  <c r="M7" i="132" s="1"/>
  <c r="R5" i="150"/>
  <c r="E37" i="182"/>
  <c r="H28" i="182"/>
  <c r="G28" i="182"/>
  <c r="J28" i="182"/>
  <c r="I28" i="182"/>
  <c r="E33" i="182"/>
  <c r="K98" i="196"/>
  <c r="Q46" i="9"/>
  <c r="F51" i="9"/>
  <c r="G51" i="9" s="1"/>
  <c r="AA73" i="185"/>
  <c r="AI73" i="185" s="1"/>
  <c r="AF73" i="185"/>
  <c r="G353" i="182"/>
  <c r="H353" i="182" s="1"/>
  <c r="J353" i="182"/>
  <c r="I353" i="182"/>
  <c r="H19" i="183"/>
  <c r="K19" i="183"/>
  <c r="G19" i="183"/>
  <c r="I19" i="183"/>
  <c r="J19" i="183" s="1"/>
  <c r="L19" i="183"/>
  <c r="N388" i="182"/>
  <c r="O388" i="182"/>
  <c r="R43" i="134"/>
  <c r="M13" i="132" s="1"/>
  <c r="R11" i="150"/>
  <c r="K321" i="183"/>
  <c r="E323" i="183"/>
  <c r="I321" i="183"/>
  <c r="J321" i="183" s="1"/>
  <c r="H321" i="183"/>
  <c r="L321" i="183"/>
  <c r="U70" i="185"/>
  <c r="S70" i="185"/>
  <c r="AA131" i="185" l="1"/>
  <c r="AI131" i="185" s="1"/>
  <c r="G8" i="132" s="1"/>
  <c r="CS23" i="190"/>
  <c r="BO158" i="201"/>
  <c r="D47" i="207"/>
  <c r="D42" i="207"/>
  <c r="Q30" i="183"/>
  <c r="P30" i="183"/>
  <c r="S131" i="185"/>
  <c r="F8" i="132" s="1"/>
  <c r="AA115" i="185"/>
  <c r="AI115" i="185" s="1"/>
  <c r="D8" i="132" s="1"/>
  <c r="D27" i="205"/>
  <c r="H11" i="205"/>
  <c r="I11" i="205" s="1"/>
  <c r="C107" i="205" s="1"/>
  <c r="H10" i="205"/>
  <c r="I10" i="205" s="1"/>
  <c r="C106" i="205" s="1"/>
  <c r="D26" i="205"/>
  <c r="C62" i="205"/>
  <c r="G46" i="205"/>
  <c r="D23" i="205"/>
  <c r="H7" i="205"/>
  <c r="I7" i="205" s="1"/>
  <c r="C103" i="205" s="1"/>
  <c r="C29" i="205"/>
  <c r="G13" i="205"/>
  <c r="C16" i="205"/>
  <c r="G56" i="205"/>
  <c r="C73" i="205"/>
  <c r="C71" i="205"/>
  <c r="G71" i="205" s="1"/>
  <c r="G54" i="205"/>
  <c r="H6" i="205"/>
  <c r="D22" i="205"/>
  <c r="C72" i="205"/>
  <c r="G55" i="205"/>
  <c r="BA117" i="201"/>
  <c r="D8" i="205"/>
  <c r="D30" i="205"/>
  <c r="H14" i="205"/>
  <c r="I14" i="205" s="1"/>
  <c r="C110" i="205" s="1"/>
  <c r="C63" i="205"/>
  <c r="G47" i="205"/>
  <c r="G58" i="205"/>
  <c r="C75" i="205"/>
  <c r="D31" i="205"/>
  <c r="H15" i="205"/>
  <c r="I15" i="205" s="1"/>
  <c r="C111" i="205" s="1"/>
  <c r="C77" i="205"/>
  <c r="G60" i="205"/>
  <c r="H13" i="205"/>
  <c r="D29" i="205"/>
  <c r="G57" i="205"/>
  <c r="C74" i="205"/>
  <c r="D28" i="205"/>
  <c r="H12" i="205"/>
  <c r="I12" i="205" s="1"/>
  <c r="C108" i="205" s="1"/>
  <c r="D25" i="205"/>
  <c r="H9" i="205"/>
  <c r="I9" i="205" s="1"/>
  <c r="C105" i="205" s="1"/>
  <c r="F402" i="183"/>
  <c r="C76" i="205"/>
  <c r="G59" i="205"/>
  <c r="H82" i="125"/>
  <c r="V7" i="150"/>
  <c r="S6" i="150"/>
  <c r="R8" i="132" s="1"/>
  <c r="S9" i="150"/>
  <c r="R11" i="132" s="1"/>
  <c r="S12" i="150"/>
  <c r="R14" i="132" s="1"/>
  <c r="K37" i="196"/>
  <c r="H37" i="196"/>
  <c r="P13" i="196" s="1"/>
  <c r="M79" i="125"/>
  <c r="M83" i="125"/>
  <c r="M82" i="125"/>
  <c r="M77" i="125"/>
  <c r="M81" i="125"/>
  <c r="M80" i="125"/>
  <c r="M84" i="125"/>
  <c r="M85" i="125"/>
  <c r="M78" i="125"/>
  <c r="Z156" i="185"/>
  <c r="DD463" i="167"/>
  <c r="BS133" i="201"/>
  <c r="I291" i="183"/>
  <c r="J291" i="183" s="1"/>
  <c r="P16" i="183"/>
  <c r="D36" i="207"/>
  <c r="D38" i="207"/>
  <c r="D40" i="207"/>
  <c r="D34" i="207"/>
  <c r="U12" i="150"/>
  <c r="S14" i="132" s="1"/>
  <c r="G16" i="207"/>
  <c r="L16" i="207"/>
  <c r="J16" i="207"/>
  <c r="F16" i="207"/>
  <c r="E25" i="207"/>
  <c r="N132" i="125"/>
  <c r="Y156" i="185"/>
  <c r="H84" i="125"/>
  <c r="BH108" i="201"/>
  <c r="M23" i="182" s="1"/>
  <c r="M427" i="182" s="1"/>
  <c r="N427" i="182" s="1"/>
  <c r="BH158" i="201"/>
  <c r="BI158" i="201" s="1"/>
  <c r="G85" i="125"/>
  <c r="G80" i="125"/>
  <c r="H77" i="125"/>
  <c r="G79" i="125"/>
  <c r="H83" i="125"/>
  <c r="G81" i="125"/>
  <c r="G76" i="125"/>
  <c r="DE463" i="167"/>
  <c r="J399" i="183"/>
  <c r="Q12" i="183"/>
  <c r="S134" i="185"/>
  <c r="F11" i="132" s="1"/>
  <c r="K291" i="183"/>
  <c r="O266" i="182"/>
  <c r="M424" i="182"/>
  <c r="N266" i="182"/>
  <c r="O273" i="183"/>
  <c r="O418" i="182"/>
  <c r="N418" i="182"/>
  <c r="O417" i="182"/>
  <c r="N417" i="182"/>
  <c r="G291" i="183"/>
  <c r="E293" i="183"/>
  <c r="L293" i="183" s="1"/>
  <c r="G78" i="125"/>
  <c r="H78" i="125"/>
  <c r="E86" i="125"/>
  <c r="G86" i="125" s="1"/>
  <c r="M348" i="182"/>
  <c r="N348" i="182" s="1"/>
  <c r="M76" i="125"/>
  <c r="L355" i="182"/>
  <c r="L83" i="125"/>
  <c r="L271" i="182"/>
  <c r="N283" i="183" s="1"/>
  <c r="Q55" i="132"/>
  <c r="J393" i="183"/>
  <c r="I399" i="183"/>
  <c r="I393" i="183"/>
  <c r="H291" i="183"/>
  <c r="AF134" i="185"/>
  <c r="L291" i="183"/>
  <c r="E8" i="132"/>
  <c r="AI138" i="185"/>
  <c r="G15" i="132" s="1"/>
  <c r="BO137" i="201"/>
  <c r="BO119" i="201"/>
  <c r="BS27" i="201"/>
  <c r="V12" i="150"/>
  <c r="Q14" i="132"/>
  <c r="AA132" i="185"/>
  <c r="E9" i="132" s="1"/>
  <c r="S7" i="150"/>
  <c r="R9" i="132" s="1"/>
  <c r="M121" i="182"/>
  <c r="X6" i="19"/>
  <c r="V6" i="19"/>
  <c r="I15" i="19"/>
  <c r="I16" i="19" s="1"/>
  <c r="Q9" i="132"/>
  <c r="U7" i="150"/>
  <c r="S9" i="132" s="1"/>
  <c r="BO42" i="201"/>
  <c r="BS42" i="201" s="1"/>
  <c r="AF133" i="185"/>
  <c r="BO140" i="201"/>
  <c r="BO123" i="201"/>
  <c r="BO141" i="201"/>
  <c r="Q11" i="132"/>
  <c r="U9" i="150"/>
  <c r="S11" i="132" s="1"/>
  <c r="V9" i="150"/>
  <c r="U6" i="150"/>
  <c r="S8" i="132" s="1"/>
  <c r="E10" i="132"/>
  <c r="U119" i="185"/>
  <c r="M350" i="182"/>
  <c r="O350" i="182" s="1"/>
  <c r="BA133" i="201"/>
  <c r="H47" i="132"/>
  <c r="M61" i="182"/>
  <c r="Q8" i="132"/>
  <c r="V6" i="150"/>
  <c r="N475" i="182"/>
  <c r="Q53" i="132"/>
  <c r="I49" i="132"/>
  <c r="N459" i="182"/>
  <c r="P20" i="183"/>
  <c r="N411" i="182"/>
  <c r="O10" i="182"/>
  <c r="Q23" i="183"/>
  <c r="P23" i="183"/>
  <c r="I51" i="132"/>
  <c r="M402" i="183"/>
  <c r="O402" i="183" s="1"/>
  <c r="M401" i="183"/>
  <c r="O401" i="183" s="1"/>
  <c r="Q51" i="132"/>
  <c r="M392" i="183"/>
  <c r="O392" i="183" s="1"/>
  <c r="N10" i="182"/>
  <c r="O10" i="183"/>
  <c r="Q10" i="183" s="1"/>
  <c r="E35" i="183"/>
  <c r="N38" i="183"/>
  <c r="BO133" i="201"/>
  <c r="BO124" i="201"/>
  <c r="BA135" i="201"/>
  <c r="CV106" i="190"/>
  <c r="BS29" i="201"/>
  <c r="AA119" i="185"/>
  <c r="B12" i="132" s="1"/>
  <c r="BO115" i="201"/>
  <c r="S133" i="185"/>
  <c r="F10" i="132" s="1"/>
  <c r="BS115" i="201"/>
  <c r="CV33" i="190"/>
  <c r="CV107" i="190"/>
  <c r="CS43" i="190"/>
  <c r="CU42" i="190"/>
  <c r="CU72" i="190"/>
  <c r="CV72" i="190" s="1"/>
  <c r="CS73" i="190"/>
  <c r="CS10" i="190"/>
  <c r="CU9" i="190"/>
  <c r="CV9" i="190" s="1"/>
  <c r="CU89" i="190"/>
  <c r="CS90" i="190"/>
  <c r="CU34" i="190"/>
  <c r="CS35" i="190"/>
  <c r="CV88" i="190"/>
  <c r="CU60" i="190"/>
  <c r="CS61" i="190"/>
  <c r="CR90" i="190"/>
  <c r="CT89" i="190"/>
  <c r="CV22" i="190"/>
  <c r="CU23" i="190"/>
  <c r="CV23" i="190" s="1"/>
  <c r="CS24" i="190"/>
  <c r="CV71" i="190"/>
  <c r="CT73" i="190"/>
  <c r="CR74" i="190"/>
  <c r="CR44" i="190"/>
  <c r="CT43" i="190"/>
  <c r="CR25" i="190"/>
  <c r="CT24" i="190"/>
  <c r="CV59" i="190"/>
  <c r="CT34" i="190"/>
  <c r="CR35" i="190"/>
  <c r="CR11" i="190"/>
  <c r="CT10" i="190"/>
  <c r="CR61" i="190"/>
  <c r="CT60" i="190"/>
  <c r="BO138" i="201"/>
  <c r="BO120" i="201"/>
  <c r="B14" i="132"/>
  <c r="O410" i="182"/>
  <c r="N410" i="182"/>
  <c r="P330" i="183"/>
  <c r="Q330" i="183"/>
  <c r="M181" i="182"/>
  <c r="M301" i="182"/>
  <c r="M151" i="182"/>
  <c r="M241" i="182"/>
  <c r="M91" i="182"/>
  <c r="M331" i="182"/>
  <c r="M355" i="182"/>
  <c r="M271" i="182"/>
  <c r="M211" i="182"/>
  <c r="B13" i="132"/>
  <c r="S132" i="185"/>
  <c r="F9" i="132" s="1"/>
  <c r="B10" i="132"/>
  <c r="I401" i="183"/>
  <c r="J401" i="183"/>
  <c r="G401" i="183"/>
  <c r="H401" i="183" s="1"/>
  <c r="J400" i="183"/>
  <c r="I400" i="183"/>
  <c r="G400" i="183"/>
  <c r="H400" i="183" s="1"/>
  <c r="J398" i="183"/>
  <c r="I398" i="183"/>
  <c r="G398" i="183"/>
  <c r="H398" i="183" s="1"/>
  <c r="J397" i="183"/>
  <c r="I397" i="183"/>
  <c r="G397" i="183"/>
  <c r="H397" i="183" s="1"/>
  <c r="I395" i="183"/>
  <c r="J395" i="183"/>
  <c r="G395" i="183"/>
  <c r="H395" i="183" s="1"/>
  <c r="I396" i="183"/>
  <c r="J396" i="183"/>
  <c r="G396" i="183"/>
  <c r="H396" i="183" s="1"/>
  <c r="J394" i="183"/>
  <c r="I394" i="183"/>
  <c r="G394" i="183"/>
  <c r="H394" i="183" s="1"/>
  <c r="BO135" i="201"/>
  <c r="BO117" i="201"/>
  <c r="J392" i="183"/>
  <c r="I392" i="183"/>
  <c r="G392" i="183"/>
  <c r="H392" i="183" s="1"/>
  <c r="Y16" i="5"/>
  <c r="S16" i="5"/>
  <c r="AA17" i="5"/>
  <c r="AF17" i="5" s="1"/>
  <c r="T98" i="196"/>
  <c r="E13" i="195"/>
  <c r="F13" i="195" s="1"/>
  <c r="BO136" i="201"/>
  <c r="BS23" i="201"/>
  <c r="T88" i="195"/>
  <c r="T98" i="195" s="1"/>
  <c r="T53" i="195"/>
  <c r="BA98" i="201"/>
  <c r="BA115" i="201"/>
  <c r="BO116" i="201"/>
  <c r="BO134" i="201"/>
  <c r="BS21" i="201"/>
  <c r="M356" i="182"/>
  <c r="O356" i="182" s="1"/>
  <c r="M351" i="182"/>
  <c r="O351" i="182" s="1"/>
  <c r="M352" i="182"/>
  <c r="O352" i="182" s="1"/>
  <c r="M354" i="182"/>
  <c r="M349" i="182"/>
  <c r="O349" i="182" s="1"/>
  <c r="M357" i="182"/>
  <c r="O357" i="182" s="1"/>
  <c r="M353" i="182"/>
  <c r="O353" i="182" s="1"/>
  <c r="BA100" i="201"/>
  <c r="BA122" i="201"/>
  <c r="BA140" i="201"/>
  <c r="BA141" i="201"/>
  <c r="BA123" i="201"/>
  <c r="BA124" i="201"/>
  <c r="BA142" i="201"/>
  <c r="BS141" i="201"/>
  <c r="BS123" i="201"/>
  <c r="BA139" i="201"/>
  <c r="BA121" i="201"/>
  <c r="BO139" i="201"/>
  <c r="BO121" i="201"/>
  <c r="BS120" i="201"/>
  <c r="BS138" i="201"/>
  <c r="BA120" i="201"/>
  <c r="BA138" i="201"/>
  <c r="BS117" i="201"/>
  <c r="BS135" i="201"/>
  <c r="BA134" i="201"/>
  <c r="BA116" i="201"/>
  <c r="BS137" i="201"/>
  <c r="BS119" i="201"/>
  <c r="BA119" i="201"/>
  <c r="BA137" i="201"/>
  <c r="BK125" i="201"/>
  <c r="BK143" i="201"/>
  <c r="BA136" i="201"/>
  <c r="BA118" i="201"/>
  <c r="AG105" i="201"/>
  <c r="Y108" i="201"/>
  <c r="Y31" i="201"/>
  <c r="AG30" i="201"/>
  <c r="AC108" i="201"/>
  <c r="BK45" i="201"/>
  <c r="BK76" i="201" s="1"/>
  <c r="BK66" i="201"/>
  <c r="BO35" i="201"/>
  <c r="BO66" i="201" s="1"/>
  <c r="BS26" i="201"/>
  <c r="BO30" i="201"/>
  <c r="BK93" i="201"/>
  <c r="BK108" i="201" s="1"/>
  <c r="BO83" i="201"/>
  <c r="BK98" i="201"/>
  <c r="BO90" i="201"/>
  <c r="BS90" i="201" s="1"/>
  <c r="BK105" i="201"/>
  <c r="BR108" i="201"/>
  <c r="BL101" i="201"/>
  <c r="BL107" i="201"/>
  <c r="BL99" i="201"/>
  <c r="BN98" i="201"/>
  <c r="BN100" i="201"/>
  <c r="BL105" i="201"/>
  <c r="BL104" i="201"/>
  <c r="BL103" i="201"/>
  <c r="BL102" i="201"/>
  <c r="BL106" i="201"/>
  <c r="BN73" i="201"/>
  <c r="B15" i="132"/>
  <c r="H54" i="132"/>
  <c r="I54" i="132"/>
  <c r="BA30" i="201"/>
  <c r="M47" i="167" s="1"/>
  <c r="R14" i="150"/>
  <c r="S14" i="150" s="1"/>
  <c r="D57" i="132"/>
  <c r="S27" i="195"/>
  <c r="S37" i="195" s="1"/>
  <c r="U90" i="185"/>
  <c r="S90" i="185"/>
  <c r="J14" i="19"/>
  <c r="Q35" i="132" s="1"/>
  <c r="L14" i="19"/>
  <c r="R35" i="132" s="1"/>
  <c r="P35" i="132"/>
  <c r="S11" i="150"/>
  <c r="R13" i="132" s="1"/>
  <c r="V11" i="150"/>
  <c r="U11" i="150"/>
  <c r="S13" i="132" s="1"/>
  <c r="Q13" i="132"/>
  <c r="R46" i="134"/>
  <c r="M16" i="132" s="1"/>
  <c r="F53" i="134"/>
  <c r="G53" i="134" s="1"/>
  <c r="K101" i="183"/>
  <c r="I101" i="183"/>
  <c r="J101" i="183" s="1"/>
  <c r="U130" i="185"/>
  <c r="S130" i="185"/>
  <c r="F7" i="132" s="1"/>
  <c r="AI70" i="185"/>
  <c r="AA84" i="185"/>
  <c r="AI84" i="185" s="1"/>
  <c r="BA107" i="201"/>
  <c r="S53" i="195"/>
  <c r="H14" i="195"/>
  <c r="X104" i="185"/>
  <c r="AF104" i="185" s="1"/>
  <c r="AF90" i="185"/>
  <c r="AA90" i="185"/>
  <c r="S84" i="185"/>
  <c r="U84" i="185"/>
  <c r="I28" i="183"/>
  <c r="J28" i="183" s="1"/>
  <c r="K28" i="183"/>
  <c r="L28" i="183"/>
  <c r="P57" i="132"/>
  <c r="AI134" i="185"/>
  <c r="G11" i="132" s="1"/>
  <c r="E11" i="132"/>
  <c r="E402" i="183"/>
  <c r="S113" i="185"/>
  <c r="C6" i="132" s="1"/>
  <c r="R123" i="185"/>
  <c r="U113" i="185"/>
  <c r="BA102" i="201"/>
  <c r="P98" i="195"/>
  <c r="H6" i="195" s="1"/>
  <c r="S88" i="195"/>
  <c r="S98" i="195" s="1"/>
  <c r="BA104" i="201"/>
  <c r="G54" i="132"/>
  <c r="F54" i="132"/>
  <c r="G47" i="132"/>
  <c r="F47" i="132"/>
  <c r="AI116" i="185"/>
  <c r="D9" i="132" s="1"/>
  <c r="B9" i="132"/>
  <c r="X123" i="185"/>
  <c r="AF123" i="185" s="1"/>
  <c r="AF113" i="185"/>
  <c r="AA113" i="185"/>
  <c r="AI114" i="185"/>
  <c r="D7" i="132" s="1"/>
  <c r="B7" i="132"/>
  <c r="R17" i="196"/>
  <c r="K17" i="196"/>
  <c r="I17" i="196"/>
  <c r="Y139" i="185"/>
  <c r="AG139" i="185" s="1"/>
  <c r="AG129" i="185"/>
  <c r="I259" i="183"/>
  <c r="J259" i="183" s="1"/>
  <c r="H259" i="183"/>
  <c r="K259" i="183"/>
  <c r="G259" i="183"/>
  <c r="E261" i="183"/>
  <c r="L259" i="183"/>
  <c r="F6" i="195"/>
  <c r="E5" i="195"/>
  <c r="U10" i="150"/>
  <c r="S12" i="132" s="1"/>
  <c r="S10" i="150"/>
  <c r="R12" i="132" s="1"/>
  <c r="V10" i="150"/>
  <c r="Q12" i="132"/>
  <c r="K195" i="183"/>
  <c r="G195" i="183"/>
  <c r="E197" i="183"/>
  <c r="I195" i="183"/>
  <c r="J195" i="183" s="1"/>
  <c r="H195" i="183"/>
  <c r="L195" i="183"/>
  <c r="I227" i="183"/>
  <c r="J227" i="183" s="1"/>
  <c r="H227" i="183"/>
  <c r="K227" i="183"/>
  <c r="G227" i="183"/>
  <c r="E229" i="183"/>
  <c r="L227" i="183"/>
  <c r="K33" i="183"/>
  <c r="G33" i="183"/>
  <c r="E39" i="183"/>
  <c r="E7" i="183"/>
  <c r="I33" i="183"/>
  <c r="J33" i="183" s="1"/>
  <c r="H33" i="183"/>
  <c r="G39" i="183"/>
  <c r="L33" i="183"/>
  <c r="U8" i="150"/>
  <c r="S10" i="132" s="1"/>
  <c r="S8" i="150"/>
  <c r="R10" i="132" s="1"/>
  <c r="V8" i="150"/>
  <c r="Q10" i="132"/>
  <c r="K108" i="201"/>
  <c r="K31" i="201"/>
  <c r="H67" i="183"/>
  <c r="K67" i="183"/>
  <c r="G67" i="183"/>
  <c r="I67" i="183"/>
  <c r="J67" i="183" s="1"/>
  <c r="L67" i="183"/>
  <c r="U129" i="185"/>
  <c r="R139" i="185"/>
  <c r="S129" i="185"/>
  <c r="F6" i="132" s="1"/>
  <c r="G57" i="132"/>
  <c r="F57" i="132"/>
  <c r="I13" i="196"/>
  <c r="K13" i="196"/>
  <c r="AI136" i="185"/>
  <c r="G13" i="132" s="1"/>
  <c r="E13" i="132"/>
  <c r="O395" i="182"/>
  <c r="N395" i="182"/>
  <c r="S13" i="150"/>
  <c r="R15" i="132" s="1"/>
  <c r="V13" i="150"/>
  <c r="U13" i="150"/>
  <c r="S15" i="132" s="1"/>
  <c r="Q15" i="132"/>
  <c r="L101" i="183"/>
  <c r="BA103" i="201"/>
  <c r="K6" i="196"/>
  <c r="I6" i="196"/>
  <c r="H5" i="196"/>
  <c r="E38" i="182"/>
  <c r="I37" i="182"/>
  <c r="J37" i="182"/>
  <c r="H37" i="182"/>
  <c r="G37" i="182"/>
  <c r="AW125" i="201"/>
  <c r="AW108" i="201"/>
  <c r="E57" i="132"/>
  <c r="BA105" i="201"/>
  <c r="BA101" i="201"/>
  <c r="AA130" i="185"/>
  <c r="AF130" i="185"/>
  <c r="H52" i="132"/>
  <c r="H51" i="132"/>
  <c r="E165" i="183"/>
  <c r="I163" i="183"/>
  <c r="J163" i="183" s="1"/>
  <c r="H163" i="183"/>
  <c r="G163" i="183"/>
  <c r="K163" i="183"/>
  <c r="L163" i="183"/>
  <c r="U5" i="150"/>
  <c r="S7" i="132" s="1"/>
  <c r="S5" i="150"/>
  <c r="R7" i="132" s="1"/>
  <c r="V5" i="150"/>
  <c r="Q7" i="132"/>
  <c r="BA106" i="201"/>
  <c r="F13" i="196"/>
  <c r="K323" i="183"/>
  <c r="G323" i="183"/>
  <c r="E325" i="183"/>
  <c r="I323" i="183"/>
  <c r="J323" i="183" s="1"/>
  <c r="H323" i="183"/>
  <c r="L323" i="183"/>
  <c r="J33" i="182"/>
  <c r="H33" i="182"/>
  <c r="G33" i="182"/>
  <c r="I33" i="182"/>
  <c r="AI118" i="185"/>
  <c r="D11" i="132" s="1"/>
  <c r="B11" i="132"/>
  <c r="G358" i="182"/>
  <c r="H358" i="182" s="1"/>
  <c r="J358" i="182"/>
  <c r="I358" i="182"/>
  <c r="F6" i="196"/>
  <c r="E5" i="196"/>
  <c r="P37" i="196"/>
  <c r="R13" i="196" s="1"/>
  <c r="S27" i="196"/>
  <c r="S37" i="196" s="1"/>
  <c r="S104" i="185"/>
  <c r="U104" i="185"/>
  <c r="BA99" i="201"/>
  <c r="O105" i="201"/>
  <c r="O30" i="201"/>
  <c r="AA129" i="185"/>
  <c r="X139" i="185"/>
  <c r="AF139" i="185" s="1"/>
  <c r="AF129" i="185"/>
  <c r="AI135" i="185"/>
  <c r="G12" i="132" s="1"/>
  <c r="E12" i="132"/>
  <c r="E357" i="183"/>
  <c r="I355" i="183"/>
  <c r="J355" i="183" s="1"/>
  <c r="H355" i="183"/>
  <c r="K355" i="183"/>
  <c r="G355" i="183"/>
  <c r="L355" i="183"/>
  <c r="Y123" i="185"/>
  <c r="AG123" i="185" s="1"/>
  <c r="AG113" i="185"/>
  <c r="S46" i="9"/>
  <c r="O35" i="132" s="1"/>
  <c r="F53" i="9"/>
  <c r="G53" i="9" s="1"/>
  <c r="K131" i="183"/>
  <c r="G131" i="183"/>
  <c r="I131" i="183"/>
  <c r="J131" i="183" s="1"/>
  <c r="H131" i="183"/>
  <c r="L131" i="183"/>
  <c r="BT124" i="201"/>
  <c r="I56" i="132"/>
  <c r="H56" i="132"/>
  <c r="BT122" i="201"/>
  <c r="B8" i="132" l="1"/>
  <c r="G29" i="205"/>
  <c r="G32" i="205" s="1"/>
  <c r="C45" i="205"/>
  <c r="C32" i="205"/>
  <c r="G77" i="205"/>
  <c r="C93" i="205"/>
  <c r="C92" i="205"/>
  <c r="G76" i="205"/>
  <c r="H23" i="205"/>
  <c r="I23" i="205" s="1"/>
  <c r="D103" i="205" s="1"/>
  <c r="D39" i="205"/>
  <c r="H31" i="205"/>
  <c r="I31" i="205" s="1"/>
  <c r="D111" i="205" s="1"/>
  <c r="D47" i="205"/>
  <c r="C91" i="205"/>
  <c r="G75" i="205"/>
  <c r="C79" i="205"/>
  <c r="G62" i="205"/>
  <c r="H25" i="205"/>
  <c r="I25" i="205" s="1"/>
  <c r="D105" i="205" s="1"/>
  <c r="D41" i="205"/>
  <c r="H26" i="205"/>
  <c r="I26" i="205" s="1"/>
  <c r="D106" i="205" s="1"/>
  <c r="D42" i="205"/>
  <c r="D45" i="205"/>
  <c r="H29" i="205"/>
  <c r="D44" i="205"/>
  <c r="H28" i="205"/>
  <c r="I28" i="205" s="1"/>
  <c r="D108" i="205" s="1"/>
  <c r="G74" i="205"/>
  <c r="C90" i="205"/>
  <c r="C80" i="205"/>
  <c r="G63" i="205"/>
  <c r="D46" i="205"/>
  <c r="H30" i="205"/>
  <c r="I30" i="205" s="1"/>
  <c r="D110" i="205" s="1"/>
  <c r="D24" i="205"/>
  <c r="H8" i="205"/>
  <c r="I8" i="205" s="1"/>
  <c r="C104" i="205" s="1"/>
  <c r="G72" i="205"/>
  <c r="C88" i="205"/>
  <c r="D16" i="205"/>
  <c r="H22" i="205"/>
  <c r="D38" i="205"/>
  <c r="D32" i="205"/>
  <c r="I6" i="205"/>
  <c r="C102" i="205" s="1"/>
  <c r="C87" i="205"/>
  <c r="C89" i="205"/>
  <c r="G73" i="205"/>
  <c r="I13" i="205"/>
  <c r="C109" i="205" s="1"/>
  <c r="G16" i="205"/>
  <c r="D43" i="205"/>
  <c r="H27" i="205"/>
  <c r="I27" i="205" s="1"/>
  <c r="D107" i="205" s="1"/>
  <c r="BA125" i="201"/>
  <c r="M86" i="125"/>
  <c r="BS142" i="201"/>
  <c r="BS122" i="201"/>
  <c r="BS118" i="201"/>
  <c r="O427" i="182"/>
  <c r="G17" i="207"/>
  <c r="F17" i="207"/>
  <c r="E30" i="207"/>
  <c r="F25" i="207"/>
  <c r="L25" i="207"/>
  <c r="E26" i="207"/>
  <c r="I25" i="207"/>
  <c r="J25" i="207"/>
  <c r="G25" i="207"/>
  <c r="N23" i="182"/>
  <c r="O23" i="182"/>
  <c r="O17" i="183"/>
  <c r="O348" i="182"/>
  <c r="N355" i="182"/>
  <c r="I293" i="183"/>
  <c r="J293" i="183" s="1"/>
  <c r="N424" i="182"/>
  <c r="O424" i="182"/>
  <c r="G293" i="183"/>
  <c r="K293" i="183"/>
  <c r="H293" i="183"/>
  <c r="H86" i="125"/>
  <c r="L86" i="125"/>
  <c r="L28" i="182"/>
  <c r="N27" i="183" s="1"/>
  <c r="L358" i="182"/>
  <c r="BS140" i="201"/>
  <c r="AI132" i="185"/>
  <c r="G9" i="132" s="1"/>
  <c r="O123" i="183"/>
  <c r="Q123" i="183" s="1"/>
  <c r="O76" i="125"/>
  <c r="N121" i="182"/>
  <c r="O121" i="182"/>
  <c r="N78" i="125"/>
  <c r="X14" i="19"/>
  <c r="V14" i="19"/>
  <c r="N350" i="182"/>
  <c r="N61" i="182"/>
  <c r="O61" i="182"/>
  <c r="O59" i="183"/>
  <c r="Q59" i="183" s="1"/>
  <c r="E69" i="183"/>
  <c r="I69" i="183" s="1"/>
  <c r="J69" i="183" s="1"/>
  <c r="N392" i="183"/>
  <c r="BT119" i="201"/>
  <c r="BS124" i="201"/>
  <c r="BS136" i="201"/>
  <c r="N402" i="183"/>
  <c r="L36" i="183"/>
  <c r="N401" i="183"/>
  <c r="I55" i="132"/>
  <c r="BT123" i="201"/>
  <c r="M393" i="183"/>
  <c r="O393" i="183" s="1"/>
  <c r="I53" i="132"/>
  <c r="BT121" i="201"/>
  <c r="D69" i="183"/>
  <c r="Q52" i="132"/>
  <c r="O355" i="182"/>
  <c r="AI119" i="185"/>
  <c r="D12" i="132" s="1"/>
  <c r="P10" i="183"/>
  <c r="O354" i="182"/>
  <c r="CV34" i="190"/>
  <c r="CT90" i="190"/>
  <c r="CR91" i="190"/>
  <c r="CU24" i="190"/>
  <c r="CV24" i="190" s="1"/>
  <c r="CS25" i="190"/>
  <c r="CS11" i="190"/>
  <c r="CU10" i="190"/>
  <c r="CV10" i="190" s="1"/>
  <c r="CU43" i="190"/>
  <c r="CV43" i="190" s="1"/>
  <c r="CS44" i="190"/>
  <c r="CU35" i="190"/>
  <c r="CS36" i="190"/>
  <c r="CV42" i="190"/>
  <c r="CU90" i="190"/>
  <c r="CS91" i="190"/>
  <c r="CS74" i="190"/>
  <c r="CU73" i="190"/>
  <c r="CV60" i="190"/>
  <c r="CU61" i="190"/>
  <c r="CS62" i="190"/>
  <c r="CV89" i="190"/>
  <c r="CT11" i="190"/>
  <c r="CR12" i="190"/>
  <c r="CR45" i="190"/>
  <c r="CT44" i="190"/>
  <c r="CR36" i="190"/>
  <c r="CT35" i="190"/>
  <c r="CR75" i="190"/>
  <c r="CT74" i="190"/>
  <c r="CT61" i="190"/>
  <c r="CR62" i="190"/>
  <c r="CT25" i="190"/>
  <c r="CR26" i="190"/>
  <c r="O211" i="182"/>
  <c r="N211" i="182"/>
  <c r="O219" i="183"/>
  <c r="O331" i="182"/>
  <c r="N331" i="182"/>
  <c r="O347" i="183"/>
  <c r="O241" i="182"/>
  <c r="N241" i="182"/>
  <c r="O251" i="183"/>
  <c r="O271" i="182"/>
  <c r="N271" i="182"/>
  <c r="O283" i="183"/>
  <c r="O91" i="182"/>
  <c r="N91" i="182"/>
  <c r="O91" i="183"/>
  <c r="N151" i="182"/>
  <c r="O151" i="182"/>
  <c r="O155" i="183"/>
  <c r="O181" i="182"/>
  <c r="N181" i="182"/>
  <c r="O187" i="183"/>
  <c r="O301" i="182"/>
  <c r="N301" i="182"/>
  <c r="O315" i="183"/>
  <c r="N356" i="182"/>
  <c r="P13" i="195"/>
  <c r="J402" i="183"/>
  <c r="I402" i="183"/>
  <c r="AA16" i="5"/>
  <c r="U16" i="5"/>
  <c r="N351" i="182"/>
  <c r="N354" i="182"/>
  <c r="N353" i="182"/>
  <c r="N352" i="182"/>
  <c r="N349" i="182"/>
  <c r="BS134" i="201"/>
  <c r="BS116" i="201"/>
  <c r="N357" i="182"/>
  <c r="BS30" i="201"/>
  <c r="BS125" i="201" s="1"/>
  <c r="BS139" i="201"/>
  <c r="BS121" i="201"/>
  <c r="BO125" i="201"/>
  <c r="BO143" i="201"/>
  <c r="BA108" i="201"/>
  <c r="O33" i="183" s="1"/>
  <c r="BA143" i="201"/>
  <c r="AG108" i="201"/>
  <c r="BO93" i="201"/>
  <c r="BS83" i="201"/>
  <c r="BO45" i="201"/>
  <c r="BO76" i="201" s="1"/>
  <c r="BS35" i="201"/>
  <c r="BS45" i="201" s="1"/>
  <c r="BS76" i="201" s="1"/>
  <c r="BL108" i="201"/>
  <c r="O108" i="201"/>
  <c r="N33" i="183" s="1"/>
  <c r="BN105" i="201"/>
  <c r="BN107" i="201"/>
  <c r="BN104" i="201"/>
  <c r="BO100" i="201"/>
  <c r="BN99" i="201"/>
  <c r="BN103" i="201"/>
  <c r="BO98" i="201"/>
  <c r="BN101" i="201"/>
  <c r="BS73" i="201"/>
  <c r="BO73" i="201"/>
  <c r="BN106" i="201"/>
  <c r="BN102" i="201"/>
  <c r="Q16" i="132"/>
  <c r="U14" i="150"/>
  <c r="V14" i="150"/>
  <c r="H57" i="132"/>
  <c r="S16" i="132"/>
  <c r="R16" i="132"/>
  <c r="AI129" i="185"/>
  <c r="G6" i="132" s="1"/>
  <c r="AA139" i="185"/>
  <c r="E6" i="132"/>
  <c r="F5" i="196"/>
  <c r="P5" i="196"/>
  <c r="I5" i="196"/>
  <c r="R5" i="196"/>
  <c r="K5" i="196"/>
  <c r="F5" i="195"/>
  <c r="P5" i="195"/>
  <c r="AA123" i="185"/>
  <c r="AI123" i="185" s="1"/>
  <c r="D16" i="132" s="1"/>
  <c r="AI113" i="185"/>
  <c r="D6" i="132" s="1"/>
  <c r="B6" i="132"/>
  <c r="H5" i="195"/>
  <c r="K6" i="195"/>
  <c r="I6" i="195"/>
  <c r="AI130" i="185"/>
  <c r="G7" i="132" s="1"/>
  <c r="E7" i="132"/>
  <c r="H357" i="183"/>
  <c r="G357" i="183"/>
  <c r="K357" i="183"/>
  <c r="I357" i="183"/>
  <c r="J357" i="183" s="1"/>
  <c r="L357" i="183"/>
  <c r="I325" i="183"/>
  <c r="J325" i="183" s="1"/>
  <c r="H325" i="183"/>
  <c r="K325" i="183"/>
  <c r="G325" i="183"/>
  <c r="L325" i="183"/>
  <c r="I165" i="183"/>
  <c r="J165" i="183" s="1"/>
  <c r="H165" i="183"/>
  <c r="K165" i="183"/>
  <c r="G165" i="183"/>
  <c r="L165" i="183"/>
  <c r="G39" i="182"/>
  <c r="F38" i="182"/>
  <c r="S139" i="185"/>
  <c r="F16" i="132" s="1"/>
  <c r="U139" i="185"/>
  <c r="K35" i="183"/>
  <c r="H38" i="183"/>
  <c r="I35" i="183"/>
  <c r="J35" i="183" s="1"/>
  <c r="L35" i="183"/>
  <c r="H229" i="183"/>
  <c r="K229" i="183"/>
  <c r="G229" i="183"/>
  <c r="I229" i="183"/>
  <c r="J229" i="183" s="1"/>
  <c r="L229" i="183"/>
  <c r="I197" i="183"/>
  <c r="J197" i="183" s="1"/>
  <c r="H197" i="183"/>
  <c r="G197" i="183"/>
  <c r="K197" i="183"/>
  <c r="L197" i="183"/>
  <c r="H261" i="183"/>
  <c r="K261" i="183"/>
  <c r="G261" i="183"/>
  <c r="I261" i="183"/>
  <c r="J261" i="183" s="1"/>
  <c r="L261" i="183"/>
  <c r="S123" i="185"/>
  <c r="C16" i="132" s="1"/>
  <c r="U123" i="185"/>
  <c r="K14" i="195"/>
  <c r="I14" i="195"/>
  <c r="H13" i="195"/>
  <c r="L14" i="195" s="1"/>
  <c r="I133" i="183"/>
  <c r="J133" i="183" s="1"/>
  <c r="H133" i="183"/>
  <c r="K133" i="183"/>
  <c r="G133" i="183"/>
  <c r="L133" i="183"/>
  <c r="M358" i="182"/>
  <c r="M28" i="182"/>
  <c r="AI90" i="185"/>
  <c r="AA104" i="185"/>
  <c r="AI104" i="185" s="1"/>
  <c r="B16" i="132" l="1"/>
  <c r="E47" i="207"/>
  <c r="E43" i="207"/>
  <c r="E44" i="207" s="1"/>
  <c r="H16" i="205"/>
  <c r="I16" i="205" s="1"/>
  <c r="C112" i="205" s="1"/>
  <c r="I29" i="205"/>
  <c r="D109" i="205" s="1"/>
  <c r="H41" i="205"/>
  <c r="I41" i="205" s="1"/>
  <c r="E105" i="205" s="1"/>
  <c r="D57" i="205"/>
  <c r="G88" i="205"/>
  <c r="C134" i="205"/>
  <c r="G91" i="205"/>
  <c r="C137" i="205"/>
  <c r="H24" i="205"/>
  <c r="I24" i="205" s="1"/>
  <c r="D104" i="205" s="1"/>
  <c r="D40" i="205"/>
  <c r="D48" i="205" s="1"/>
  <c r="G92" i="205"/>
  <c r="C138" i="205"/>
  <c r="G87" i="205"/>
  <c r="C133" i="205"/>
  <c r="G133" i="205" s="1"/>
  <c r="C139" i="205"/>
  <c r="G93" i="205"/>
  <c r="D59" i="205"/>
  <c r="H43" i="205"/>
  <c r="I43" i="205" s="1"/>
  <c r="E107" i="205" s="1"/>
  <c r="H44" i="205"/>
  <c r="I44" i="205" s="1"/>
  <c r="E108" i="205" s="1"/>
  <c r="D60" i="205"/>
  <c r="D62" i="205"/>
  <c r="H46" i="205"/>
  <c r="I46" i="205" s="1"/>
  <c r="E110" i="205" s="1"/>
  <c r="H42" i="205"/>
  <c r="I42" i="205" s="1"/>
  <c r="E106" i="205" s="1"/>
  <c r="D58" i="205"/>
  <c r="I22" i="205"/>
  <c r="D102" i="205" s="1"/>
  <c r="G89" i="205"/>
  <c r="C135" i="205"/>
  <c r="C96" i="205"/>
  <c r="G80" i="205"/>
  <c r="C61" i="205"/>
  <c r="G45" i="205"/>
  <c r="C48" i="205"/>
  <c r="D61" i="205"/>
  <c r="H45" i="205"/>
  <c r="C95" i="205"/>
  <c r="G79" i="205"/>
  <c r="D54" i="205"/>
  <c r="H38" i="205"/>
  <c r="D63" i="205"/>
  <c r="H47" i="205"/>
  <c r="I47" i="205" s="1"/>
  <c r="E111" i="205" s="1"/>
  <c r="H39" i="205"/>
  <c r="I39" i="205" s="1"/>
  <c r="E103" i="205" s="1"/>
  <c r="D55" i="205"/>
  <c r="G90" i="205"/>
  <c r="C136" i="205"/>
  <c r="BS93" i="201"/>
  <c r="E38" i="207"/>
  <c r="F38" i="207" s="1"/>
  <c r="E42" i="207"/>
  <c r="F42" i="207" s="1"/>
  <c r="E32" i="207"/>
  <c r="J30" i="207"/>
  <c r="E40" i="207"/>
  <c r="F40" i="207" s="1"/>
  <c r="F30" i="207"/>
  <c r="E36" i="207"/>
  <c r="F36" i="207" s="1"/>
  <c r="E34" i="207"/>
  <c r="F34" i="207" s="1"/>
  <c r="G30" i="207"/>
  <c r="L30" i="207"/>
  <c r="I30" i="207"/>
  <c r="J26" i="207"/>
  <c r="L26" i="207"/>
  <c r="I26" i="207"/>
  <c r="G26" i="207"/>
  <c r="Q17" i="183"/>
  <c r="P17" i="183"/>
  <c r="P123" i="183"/>
  <c r="O78" i="125"/>
  <c r="N76" i="125"/>
  <c r="Q48" i="132"/>
  <c r="AI139" i="185"/>
  <c r="G16" i="132" s="1"/>
  <c r="I48" i="132"/>
  <c r="P59" i="183"/>
  <c r="Q50" i="132"/>
  <c r="L69" i="183"/>
  <c r="K69" i="183"/>
  <c r="G69" i="183"/>
  <c r="H69" i="183"/>
  <c r="K36" i="183"/>
  <c r="I36" i="183"/>
  <c r="J36" i="183" s="1"/>
  <c r="N393" i="183"/>
  <c r="I50" i="132"/>
  <c r="BT118" i="201"/>
  <c r="BT120" i="201"/>
  <c r="I52" i="132"/>
  <c r="CV35" i="190"/>
  <c r="CV90" i="190"/>
  <c r="CR92" i="190"/>
  <c r="CT91" i="190"/>
  <c r="CT92" i="190" s="1"/>
  <c r="CU74" i="190"/>
  <c r="CU75" i="190" s="1"/>
  <c r="CS75" i="190"/>
  <c r="CU44" i="190"/>
  <c r="CV44" i="190" s="1"/>
  <c r="CS45" i="190"/>
  <c r="CU62" i="190"/>
  <c r="CS63" i="190"/>
  <c r="CV73" i="190"/>
  <c r="CU91" i="190"/>
  <c r="CU92" i="190" s="1"/>
  <c r="CS92" i="190"/>
  <c r="CU36" i="190"/>
  <c r="CS37" i="190"/>
  <c r="CS26" i="190"/>
  <c r="CU25" i="190"/>
  <c r="CV25" i="190" s="1"/>
  <c r="CS12" i="190"/>
  <c r="CU11" i="190"/>
  <c r="CV11" i="190" s="1"/>
  <c r="CT12" i="190"/>
  <c r="CR13" i="190"/>
  <c r="CV61" i="190"/>
  <c r="CR37" i="190"/>
  <c r="CT36" i="190"/>
  <c r="CR63" i="190"/>
  <c r="CT62" i="190"/>
  <c r="CT26" i="190"/>
  <c r="CR27" i="190"/>
  <c r="CT75" i="190"/>
  <c r="CT45" i="190"/>
  <c r="CR46" i="190"/>
  <c r="N79" i="125"/>
  <c r="O79" i="125"/>
  <c r="O77" i="125"/>
  <c r="N77" i="125"/>
  <c r="Q283" i="183"/>
  <c r="P283" i="183"/>
  <c r="N82" i="125"/>
  <c r="O82" i="125"/>
  <c r="Q219" i="183"/>
  <c r="P219" i="183"/>
  <c r="Q155" i="183"/>
  <c r="P155" i="183"/>
  <c r="O83" i="125"/>
  <c r="N83" i="125"/>
  <c r="Q251" i="183"/>
  <c r="P251" i="183"/>
  <c r="O81" i="125"/>
  <c r="N81" i="125"/>
  <c r="N84" i="125"/>
  <c r="O84" i="125"/>
  <c r="O80" i="125"/>
  <c r="N80" i="125"/>
  <c r="P347" i="183"/>
  <c r="Q347" i="183"/>
  <c r="P91" i="183"/>
  <c r="Q91" i="183"/>
  <c r="P315" i="183"/>
  <c r="Q315" i="183"/>
  <c r="Q187" i="183"/>
  <c r="P187" i="183"/>
  <c r="N85" i="125"/>
  <c r="O85" i="125"/>
  <c r="BS143" i="201"/>
  <c r="BS66" i="201"/>
  <c r="BN108" i="201"/>
  <c r="BO101" i="201"/>
  <c r="BS100" i="201"/>
  <c r="BO107" i="201"/>
  <c r="BS98" i="201"/>
  <c r="BO102" i="201"/>
  <c r="BO106" i="201"/>
  <c r="BO103" i="201"/>
  <c r="BO104" i="201"/>
  <c r="BO105" i="201"/>
  <c r="BO99" i="201"/>
  <c r="M359" i="182"/>
  <c r="O358" i="182"/>
  <c r="N358" i="182"/>
  <c r="E16" i="132"/>
  <c r="O27" i="183"/>
  <c r="N28" i="182"/>
  <c r="O28" i="182"/>
  <c r="K13" i="195"/>
  <c r="I13" i="195"/>
  <c r="L13" i="195"/>
  <c r="R13" i="195"/>
  <c r="L16" i="195"/>
  <c r="L15" i="195"/>
  <c r="R5" i="195"/>
  <c r="K5" i="195"/>
  <c r="I5" i="195"/>
  <c r="C150" i="205" l="1"/>
  <c r="G138" i="205"/>
  <c r="C155" i="205"/>
  <c r="G155" i="205" s="1"/>
  <c r="G61" i="205"/>
  <c r="G64" i="205" s="1"/>
  <c r="C78" i="205"/>
  <c r="C64" i="205"/>
  <c r="G137" i="205"/>
  <c r="C154" i="205"/>
  <c r="G154" i="205" s="1"/>
  <c r="H59" i="205"/>
  <c r="I59" i="205" s="1"/>
  <c r="F107" i="205" s="1"/>
  <c r="D76" i="205"/>
  <c r="H54" i="205"/>
  <c r="D64" i="205"/>
  <c r="D71" i="205"/>
  <c r="I45" i="205"/>
  <c r="E109" i="205" s="1"/>
  <c r="G48" i="205"/>
  <c r="H62" i="205"/>
  <c r="I62" i="205" s="1"/>
  <c r="F110" i="205" s="1"/>
  <c r="D79" i="205"/>
  <c r="D80" i="205"/>
  <c r="H63" i="205"/>
  <c r="I63" i="205" s="1"/>
  <c r="F111" i="205" s="1"/>
  <c r="G139" i="205"/>
  <c r="C156" i="205"/>
  <c r="G156" i="205" s="1"/>
  <c r="G96" i="205"/>
  <c r="C142" i="205"/>
  <c r="G135" i="205"/>
  <c r="C152" i="205"/>
  <c r="G152" i="205" s="1"/>
  <c r="C151" i="205"/>
  <c r="G151" i="205" s="1"/>
  <c r="G134" i="205"/>
  <c r="H61" i="205"/>
  <c r="D78" i="205"/>
  <c r="G136" i="205"/>
  <c r="C153" i="205"/>
  <c r="G153" i="205" s="1"/>
  <c r="D56" i="205"/>
  <c r="H40" i="205"/>
  <c r="I40" i="205" s="1"/>
  <c r="E104" i="205" s="1"/>
  <c r="D72" i="205"/>
  <c r="H55" i="205"/>
  <c r="I55" i="205" s="1"/>
  <c r="F103" i="205" s="1"/>
  <c r="G95" i="205"/>
  <c r="C141" i="205"/>
  <c r="H32" i="205"/>
  <c r="I32" i="205" s="1"/>
  <c r="D112" i="205" s="1"/>
  <c r="D74" i="205"/>
  <c r="H57" i="205"/>
  <c r="I57" i="205" s="1"/>
  <c r="F105" i="205" s="1"/>
  <c r="D77" i="205"/>
  <c r="H60" i="205"/>
  <c r="I60" i="205" s="1"/>
  <c r="F108" i="205" s="1"/>
  <c r="I38" i="205"/>
  <c r="E102" i="205" s="1"/>
  <c r="D75" i="205"/>
  <c r="H58" i="205"/>
  <c r="I58" i="205" s="1"/>
  <c r="F106" i="205" s="1"/>
  <c r="G32" i="207"/>
  <c r="I32" i="207"/>
  <c r="L32" i="207"/>
  <c r="J32" i="207"/>
  <c r="BT116" i="201"/>
  <c r="L37" i="183"/>
  <c r="I37" i="183"/>
  <c r="J37" i="183" s="1"/>
  <c r="K37" i="183"/>
  <c r="CV92" i="190"/>
  <c r="CV74" i="190"/>
  <c r="CV62" i="190"/>
  <c r="CV91" i="190"/>
  <c r="CV36" i="190"/>
  <c r="CU26" i="190"/>
  <c r="CV26" i="190" s="1"/>
  <c r="CS27" i="190"/>
  <c r="CU63" i="190"/>
  <c r="CS64" i="190"/>
  <c r="CU45" i="190"/>
  <c r="CV45" i="190" s="1"/>
  <c r="CS46" i="190"/>
  <c r="CU37" i="190"/>
  <c r="CU38" i="190" s="1"/>
  <c r="CS38" i="190"/>
  <c r="CV75" i="190"/>
  <c r="CS13" i="190"/>
  <c r="CU12" i="190"/>
  <c r="CV12" i="190" s="1"/>
  <c r="CT46" i="190"/>
  <c r="CR47" i="190"/>
  <c r="CR64" i="190"/>
  <c r="CT63" i="190"/>
  <c r="CT27" i="190"/>
  <c r="CR28" i="190"/>
  <c r="CT13" i="190"/>
  <c r="CR14" i="190"/>
  <c r="CR38" i="190"/>
  <c r="CT37" i="190"/>
  <c r="BS108" i="201"/>
  <c r="BS104" i="201"/>
  <c r="BO108" i="201"/>
  <c r="BS106" i="201"/>
  <c r="BS107" i="201"/>
  <c r="BS101" i="201"/>
  <c r="BS99" i="201"/>
  <c r="BS105" i="201"/>
  <c r="BS103" i="201"/>
  <c r="BS102" i="201"/>
  <c r="P27" i="183"/>
  <c r="Q27" i="183"/>
  <c r="O86" i="125"/>
  <c r="N86" i="125"/>
  <c r="H48" i="205" l="1"/>
  <c r="I48" i="205"/>
  <c r="E112" i="205" s="1"/>
  <c r="I61" i="205"/>
  <c r="F109" i="205" s="1"/>
  <c r="D87" i="205"/>
  <c r="H71" i="205"/>
  <c r="H78" i="205"/>
  <c r="D94" i="205"/>
  <c r="I54" i="205"/>
  <c r="F102" i="205" s="1"/>
  <c r="G78" i="205"/>
  <c r="C94" i="205"/>
  <c r="C81" i="205"/>
  <c r="H80" i="205"/>
  <c r="I80" i="205" s="1"/>
  <c r="G111" i="205" s="1"/>
  <c r="D96" i="205"/>
  <c r="D90" i="205"/>
  <c r="H74" i="205"/>
  <c r="I74" i="205" s="1"/>
  <c r="G105" i="205" s="1"/>
  <c r="H75" i="205"/>
  <c r="I75" i="205" s="1"/>
  <c r="G106" i="205" s="1"/>
  <c r="D91" i="205"/>
  <c r="H72" i="205"/>
  <c r="I72" i="205" s="1"/>
  <c r="G103" i="205" s="1"/>
  <c r="D88" i="205"/>
  <c r="D73" i="205"/>
  <c r="H56" i="205"/>
  <c r="I56" i="205" s="1"/>
  <c r="F104" i="205" s="1"/>
  <c r="G141" i="205"/>
  <c r="C158" i="205"/>
  <c r="G158" i="205" s="1"/>
  <c r="H77" i="205"/>
  <c r="I77" i="205" s="1"/>
  <c r="G108" i="205" s="1"/>
  <c r="D93" i="205"/>
  <c r="D95" i="205"/>
  <c r="H79" i="205"/>
  <c r="I79" i="205" s="1"/>
  <c r="G110" i="205" s="1"/>
  <c r="H76" i="205"/>
  <c r="I76" i="205" s="1"/>
  <c r="G107" i="205" s="1"/>
  <c r="D92" i="205"/>
  <c r="C159" i="205"/>
  <c r="G159" i="205" s="1"/>
  <c r="G142" i="205"/>
  <c r="G150" i="205"/>
  <c r="Q47" i="132"/>
  <c r="CV63" i="190"/>
  <c r="CU46" i="190"/>
  <c r="CV46" i="190" s="1"/>
  <c r="CS47" i="190"/>
  <c r="CU27" i="190"/>
  <c r="CV27" i="190" s="1"/>
  <c r="CS28" i="190"/>
  <c r="CU13" i="190"/>
  <c r="CV13" i="190" s="1"/>
  <c r="CS14" i="190"/>
  <c r="CS65" i="190"/>
  <c r="CU64" i="190"/>
  <c r="CR29" i="190"/>
  <c r="CT28" i="190"/>
  <c r="CR65" i="190"/>
  <c r="CT64" i="190"/>
  <c r="CT38" i="190"/>
  <c r="CV38" i="190" s="1"/>
  <c r="CV37" i="190"/>
  <c r="CR48" i="190"/>
  <c r="CT47" i="190"/>
  <c r="CR15" i="190"/>
  <c r="CT14" i="190"/>
  <c r="P45" i="201"/>
  <c r="T46" i="201" s="1"/>
  <c r="V66" i="201"/>
  <c r="Y45" i="201"/>
  <c r="Y76" i="201" s="1"/>
  <c r="H88" i="205" l="1"/>
  <c r="I88" i="205" s="1"/>
  <c r="H103" i="205" s="1"/>
  <c r="D134" i="205"/>
  <c r="H73" i="205"/>
  <c r="I73" i="205" s="1"/>
  <c r="G104" i="205" s="1"/>
  <c r="D89" i="205"/>
  <c r="H91" i="205"/>
  <c r="I91" i="205" s="1"/>
  <c r="H106" i="205" s="1"/>
  <c r="D137" i="205"/>
  <c r="G94" i="205"/>
  <c r="C140" i="205"/>
  <c r="C97" i="205"/>
  <c r="H64" i="205"/>
  <c r="I64" i="205" s="1"/>
  <c r="F112" i="205" s="1"/>
  <c r="H96" i="205"/>
  <c r="I96" i="205" s="1"/>
  <c r="H111" i="205" s="1"/>
  <c r="D142" i="205"/>
  <c r="D81" i="205"/>
  <c r="D136" i="205"/>
  <c r="H90" i="205"/>
  <c r="I90" i="205" s="1"/>
  <c r="H105" i="205" s="1"/>
  <c r="I78" i="205"/>
  <c r="G109" i="205" s="1"/>
  <c r="G81" i="205"/>
  <c r="D138" i="205"/>
  <c r="H92" i="205"/>
  <c r="I92" i="205" s="1"/>
  <c r="H107" i="205" s="1"/>
  <c r="D140" i="205"/>
  <c r="H94" i="205"/>
  <c r="H81" i="205"/>
  <c r="I71" i="205"/>
  <c r="G102" i="205" s="1"/>
  <c r="H95" i="205"/>
  <c r="I95" i="205" s="1"/>
  <c r="H110" i="205" s="1"/>
  <c r="D141" i="205"/>
  <c r="H93" i="205"/>
  <c r="I93" i="205" s="1"/>
  <c r="H108" i="205" s="1"/>
  <c r="D139" i="205"/>
  <c r="D97" i="205"/>
  <c r="H87" i="205"/>
  <c r="D133" i="205"/>
  <c r="H133" i="205" s="1"/>
  <c r="Q57" i="132"/>
  <c r="I47" i="132"/>
  <c r="CV64" i="190"/>
  <c r="CU14" i="190"/>
  <c r="CV14" i="190" s="1"/>
  <c r="CS15" i="190"/>
  <c r="CU65" i="190"/>
  <c r="CS66" i="190"/>
  <c r="CU47" i="190"/>
  <c r="CV47" i="190" s="1"/>
  <c r="CS48" i="190"/>
  <c r="CS29" i="190"/>
  <c r="CU28" i="190"/>
  <c r="CU29" i="190" s="1"/>
  <c r="CR16" i="190"/>
  <c r="CR17" i="190" s="1"/>
  <c r="CT15" i="190"/>
  <c r="CT65" i="190"/>
  <c r="CR66" i="190"/>
  <c r="CT29" i="190"/>
  <c r="CT48" i="190"/>
  <c r="CR49" i="190"/>
  <c r="AC35" i="201"/>
  <c r="V45" i="201"/>
  <c r="V76" i="201" s="1"/>
  <c r="Y66" i="201"/>
  <c r="CR18" i="190" l="1"/>
  <c r="CT18" i="190" s="1"/>
  <c r="CT17" i="190"/>
  <c r="I81" i="205"/>
  <c r="G112" i="205" s="1"/>
  <c r="H142" i="205"/>
  <c r="I142" i="205" s="1"/>
  <c r="I111" i="205" s="1"/>
  <c r="D159" i="205"/>
  <c r="H159" i="205" s="1"/>
  <c r="I159" i="205" s="1"/>
  <c r="H138" i="205"/>
  <c r="I138" i="205" s="1"/>
  <c r="I107" i="205" s="1"/>
  <c r="D155" i="205"/>
  <c r="H155" i="205" s="1"/>
  <c r="I155" i="205" s="1"/>
  <c r="D153" i="205"/>
  <c r="H153" i="205" s="1"/>
  <c r="I153" i="205" s="1"/>
  <c r="H136" i="205"/>
  <c r="I136" i="205" s="1"/>
  <c r="I105" i="205" s="1"/>
  <c r="I87" i="205"/>
  <c r="H102" i="205" s="1"/>
  <c r="H139" i="205"/>
  <c r="I139" i="205" s="1"/>
  <c r="I108" i="205" s="1"/>
  <c r="D156" i="205"/>
  <c r="H156" i="205" s="1"/>
  <c r="I156" i="205" s="1"/>
  <c r="D154" i="205"/>
  <c r="H154" i="205" s="1"/>
  <c r="I154" i="205" s="1"/>
  <c r="H137" i="205"/>
  <c r="I137" i="205" s="1"/>
  <c r="I106" i="205" s="1"/>
  <c r="D150" i="205"/>
  <c r="H150" i="205" s="1"/>
  <c r="I150" i="205" s="1"/>
  <c r="D151" i="205"/>
  <c r="H151" i="205" s="1"/>
  <c r="I151" i="205" s="1"/>
  <c r="H134" i="205"/>
  <c r="I134" i="205" s="1"/>
  <c r="I103" i="205" s="1"/>
  <c r="D157" i="205"/>
  <c r="H157" i="205" s="1"/>
  <c r="H140" i="205"/>
  <c r="G140" i="205"/>
  <c r="C157" i="205"/>
  <c r="C143" i="205"/>
  <c r="I94" i="205"/>
  <c r="H109" i="205" s="1"/>
  <c r="G97" i="205"/>
  <c r="D135" i="205"/>
  <c r="D143" i="205" s="1"/>
  <c r="H89" i="205"/>
  <c r="I89" i="205" s="1"/>
  <c r="H104" i="205" s="1"/>
  <c r="D158" i="205"/>
  <c r="H158" i="205" s="1"/>
  <c r="I158" i="205" s="1"/>
  <c r="H141" i="205"/>
  <c r="I141" i="205" s="1"/>
  <c r="I110" i="205" s="1"/>
  <c r="I57" i="132"/>
  <c r="CV28" i="190"/>
  <c r="CV29" i="190"/>
  <c r="CS49" i="190"/>
  <c r="CU48" i="190"/>
  <c r="CV48" i="190" s="1"/>
  <c r="CU15" i="190"/>
  <c r="CV15" i="190" s="1"/>
  <c r="CS16" i="190"/>
  <c r="CS17" i="190" s="1"/>
  <c r="CV65" i="190"/>
  <c r="CS67" i="190"/>
  <c r="CU66" i="190"/>
  <c r="CT49" i="190"/>
  <c r="CR50" i="190"/>
  <c r="CT66" i="190"/>
  <c r="CR67" i="190"/>
  <c r="CT16" i="190"/>
  <c r="CR19" i="190"/>
  <c r="AC66" i="201"/>
  <c r="AG35" i="201"/>
  <c r="AC45" i="201"/>
  <c r="AC76" i="201" s="1"/>
  <c r="H97" i="205" l="1"/>
  <c r="I97" i="205" s="1"/>
  <c r="H112" i="205" s="1"/>
  <c r="CS18" i="190"/>
  <c r="CU18" i="190" s="1"/>
  <c r="CV18" i="190" s="1"/>
  <c r="CU17" i="190"/>
  <c r="CV17" i="190" s="1"/>
  <c r="I140" i="205"/>
  <c r="I109" i="205" s="1"/>
  <c r="G143" i="205"/>
  <c r="G157" i="205"/>
  <c r="G160" i="205" s="1"/>
  <c r="C160" i="205"/>
  <c r="I133" i="205"/>
  <c r="I102" i="205" s="1"/>
  <c r="H135" i="205"/>
  <c r="I135" i="205" s="1"/>
  <c r="I104" i="205" s="1"/>
  <c r="D152" i="205"/>
  <c r="H152" i="205" s="1"/>
  <c r="I152" i="205" s="1"/>
  <c r="CS50" i="190"/>
  <c r="CU49" i="190"/>
  <c r="CV49" i="190" s="1"/>
  <c r="CU16" i="190"/>
  <c r="CU19" i="190" s="1"/>
  <c r="CS19" i="190"/>
  <c r="CV66" i="190"/>
  <c r="CS68" i="190"/>
  <c r="CU67" i="190"/>
  <c r="CU68" i="190" s="1"/>
  <c r="CT19" i="190"/>
  <c r="CT67" i="190"/>
  <c r="CR68" i="190"/>
  <c r="CR51" i="190"/>
  <c r="CT50" i="190"/>
  <c r="AG66" i="201"/>
  <c r="AG45" i="201"/>
  <c r="AG76" i="201" s="1"/>
  <c r="H143" i="205" l="1"/>
  <c r="I143" i="205" s="1"/>
  <c r="I112" i="205" s="1"/>
  <c r="H160" i="205"/>
  <c r="I160" i="205" s="1"/>
  <c r="D160" i="205"/>
  <c r="I157" i="205"/>
  <c r="CV19" i="190"/>
  <c r="CS51" i="190"/>
  <c r="CU50" i="190"/>
  <c r="CV50" i="190" s="1"/>
  <c r="CV16" i="190"/>
  <c r="CT51" i="190"/>
  <c r="CR52" i="190"/>
  <c r="CV67" i="190"/>
  <c r="CT68" i="190"/>
  <c r="CV68" i="190" s="1"/>
  <c r="CS52" i="190" l="1"/>
  <c r="CU51" i="190"/>
  <c r="CV51" i="190" s="1"/>
  <c r="CT52" i="190"/>
  <c r="CR53" i="190"/>
  <c r="CS53" i="190" l="1"/>
  <c r="CU52" i="190"/>
  <c r="CV52" i="190" s="1"/>
  <c r="CT53" i="190"/>
  <c r="CR54" i="190"/>
  <c r="CS54" i="190" l="1"/>
  <c r="CU53" i="190"/>
  <c r="CV53" i="190" s="1"/>
  <c r="CT54" i="190"/>
  <c r="CR55" i="190"/>
  <c r="CS55" i="190" l="1"/>
  <c r="CU54" i="190"/>
  <c r="CV54" i="190" s="1"/>
  <c r="CR56" i="190"/>
  <c r="CT55" i="190"/>
  <c r="CU55" i="190" l="1"/>
  <c r="CU56" i="190" s="1"/>
  <c r="CS56" i="190"/>
  <c r="CT56" i="190"/>
  <c r="CV55" i="190" l="1"/>
  <c r="CV56" i="190"/>
  <c r="D26" i="182"/>
  <c r="G26" i="182" s="1"/>
  <c r="D27" i="182"/>
  <c r="H27" i="182" s="1"/>
  <c r="H89" i="182"/>
  <c r="D90" i="183"/>
  <c r="G90" i="183" l="1"/>
  <c r="D98" i="183"/>
  <c r="J378" i="183"/>
  <c r="J387" i="183" s="1"/>
  <c r="D92" i="183"/>
  <c r="H92" i="183" s="1"/>
  <c r="G27" i="182"/>
  <c r="D26" i="183"/>
  <c r="D89" i="183"/>
  <c r="H26" i="182"/>
  <c r="H90" i="183"/>
  <c r="G89" i="182"/>
  <c r="G98" i="183" l="1"/>
  <c r="D34" i="183"/>
  <c r="D35" i="183" s="1"/>
  <c r="D100" i="183"/>
  <c r="D22" i="207"/>
  <c r="F22" i="207" s="1"/>
  <c r="G92" i="183"/>
  <c r="D393" i="183"/>
  <c r="D402" i="183" s="1"/>
  <c r="G402" i="183" s="1"/>
  <c r="H402" i="183" s="1"/>
  <c r="H98" i="183"/>
  <c r="D99" i="183"/>
  <c r="H89" i="183"/>
  <c r="G89" i="183"/>
  <c r="D25" i="183"/>
  <c r="G26" i="183"/>
  <c r="H26" i="183"/>
  <c r="D28" i="183"/>
  <c r="H99" i="183" l="1"/>
  <c r="D23" i="207"/>
  <c r="F23" i="207" s="1"/>
  <c r="D31" i="207"/>
  <c r="D43" i="207" s="1"/>
  <c r="D45" i="207" s="1"/>
  <c r="G393" i="183"/>
  <c r="H393" i="183" s="1"/>
  <c r="G99" i="183"/>
  <c r="H28" i="183"/>
  <c r="G28" i="183"/>
  <c r="H25" i="183"/>
  <c r="G25" i="183"/>
  <c r="H34" i="183"/>
  <c r="O31" i="207" l="1"/>
  <c r="F43" i="207"/>
  <c r="F31" i="207"/>
  <c r="D26" i="207"/>
  <c r="F26" i="207" s="1"/>
  <c r="D32" i="207"/>
  <c r="F32" i="207" s="1"/>
  <c r="D36" i="183"/>
  <c r="D37" i="183" s="1"/>
  <c r="D101" i="183"/>
  <c r="H35" i="183"/>
  <c r="G35" i="183"/>
  <c r="G101" i="183" l="1"/>
  <c r="H101" i="183"/>
  <c r="G36" i="183"/>
  <c r="H36" i="183"/>
  <c r="H37" i="183"/>
  <c r="G37" i="183"/>
  <c r="L284" i="26"/>
  <c r="M284" i="26"/>
  <c r="K328" i="26"/>
  <c r="K324" i="26"/>
  <c r="K326" i="26"/>
  <c r="L326" i="26" s="1"/>
  <c r="K323" i="26"/>
  <c r="K321" i="26"/>
  <c r="K327" i="26"/>
  <c r="K322" i="26"/>
  <c r="K320" i="26"/>
  <c r="K325" i="26"/>
  <c r="K319" i="26"/>
  <c r="K329" i="26" l="1"/>
  <c r="L329" i="26" s="1"/>
  <c r="M329" i="26" s="1"/>
  <c r="L319" i="26"/>
  <c r="L321" i="26"/>
  <c r="L270" i="26"/>
  <c r="L320" i="26"/>
  <c r="L324" i="26"/>
  <c r="M326" i="26"/>
  <c r="L325" i="26"/>
  <c r="L322" i="26"/>
  <c r="L327" i="26"/>
  <c r="L323" i="26"/>
  <c r="L328" i="26"/>
  <c r="M270" i="26"/>
  <c r="M323" i="26" l="1"/>
  <c r="M320" i="26"/>
  <c r="U270" i="26"/>
  <c r="M328" i="26"/>
  <c r="M327" i="26"/>
  <c r="Q270" i="26"/>
  <c r="M324" i="26"/>
  <c r="M321" i="26"/>
  <c r="M319" i="26"/>
  <c r="M322" i="26"/>
  <c r="M325" i="26"/>
  <c r="P270" i="26"/>
  <c r="T270" i="26" l="1"/>
  <c r="Y270" i="26"/>
  <c r="X270" i="26" l="1"/>
  <c r="AK260" i="26" l="1"/>
  <c r="AG270" i="26"/>
  <c r="AO260" i="26" l="1"/>
  <c r="AF270" i="26"/>
  <c r="AJ260" i="26"/>
  <c r="AN260" i="26" l="1"/>
  <c r="AS260" i="26"/>
  <c r="AW260" i="26" l="1"/>
  <c r="AR260" i="26"/>
  <c r="AV260" i="26" l="1"/>
  <c r="K103" i="28"/>
  <c r="L103" i="28" s="1"/>
  <c r="L100" i="28"/>
  <c r="L99" i="28"/>
  <c r="L102" i="28"/>
  <c r="L93" i="28"/>
  <c r="L96" i="28"/>
  <c r="L98" i="28"/>
  <c r="L101" i="28"/>
  <c r="L95" i="28"/>
  <c r="L97" i="28"/>
  <c r="L94" i="28"/>
  <c r="K109" i="28" l="1"/>
  <c r="K111" i="28" l="1"/>
  <c r="K112" i="28" s="1"/>
  <c r="L109" i="28"/>
  <c r="AK261" i="26"/>
  <c r="AO261" i="26"/>
  <c r="AS261" i="26" s="1"/>
  <c r="AK262" i="26"/>
  <c r="AO262" i="26"/>
  <c r="AS262" i="26"/>
  <c r="AW262" i="26"/>
  <c r="AK263" i="26"/>
  <c r="AO263" i="26"/>
  <c r="AS263" i="26" s="1"/>
  <c r="AW263" i="26" s="1"/>
  <c r="AK264" i="26"/>
  <c r="AO264" i="26"/>
  <c r="AS264" i="26" s="1"/>
  <c r="AW264" i="26" s="1"/>
  <c r="AK265" i="26"/>
  <c r="AO265" i="26"/>
  <c r="AS265" i="26"/>
  <c r="AW265" i="26"/>
  <c r="AJ267" i="26"/>
  <c r="AN267" i="26" s="1"/>
  <c r="AR267" i="26" s="1"/>
  <c r="AV267" i="26" s="1"/>
  <c r="AK266" i="26"/>
  <c r="AO266" i="26"/>
  <c r="AS266" i="26" s="1"/>
  <c r="AW266" i="26" s="1"/>
  <c r="AK267" i="26"/>
  <c r="AO267" i="26"/>
  <c r="AS267" i="26"/>
  <c r="AW267" i="26"/>
  <c r="AJ268" i="26"/>
  <c r="AN268" i="26"/>
  <c r="AR268" i="26" s="1"/>
  <c r="AV268" i="26" s="1"/>
  <c r="AJ261" i="26"/>
  <c r="AN261" i="26"/>
  <c r="AR261" i="26" s="1"/>
  <c r="AK268" i="26"/>
  <c r="AO268" i="26"/>
  <c r="AS268" i="26"/>
  <c r="AW268" i="26"/>
  <c r="AJ263" i="26"/>
  <c r="AN263" i="26"/>
  <c r="AR263" i="26" s="1"/>
  <c r="AV263" i="26" s="1"/>
  <c r="AJ264" i="26"/>
  <c r="AN264" i="26"/>
  <c r="AR264" i="26" s="1"/>
  <c r="AV264" i="26" s="1"/>
  <c r="AJ265" i="26"/>
  <c r="AN265" i="26"/>
  <c r="AR265" i="26"/>
  <c r="AV265" i="26"/>
  <c r="AJ266" i="26"/>
  <c r="AN266" i="26"/>
  <c r="AR266" i="26" s="1"/>
  <c r="AV266" i="26" s="1"/>
  <c r="AJ269" i="26"/>
  <c r="AN269" i="26"/>
  <c r="AR269" i="26" s="1"/>
  <c r="AV269" i="26" s="1"/>
  <c r="AJ262" i="26"/>
  <c r="AN262" i="26"/>
  <c r="AR262" i="26"/>
  <c r="AV262" i="26"/>
  <c r="AK269" i="26"/>
  <c r="AO269" i="26"/>
  <c r="AS269" i="26" s="1"/>
  <c r="AW269" i="26" s="1"/>
  <c r="BA282" i="26"/>
  <c r="AZ275" i="26"/>
  <c r="AZ280" i="26"/>
  <c r="BA280" i="26"/>
  <c r="AZ282" i="26"/>
  <c r="AA320" i="26"/>
  <c r="AY320" i="26" s="1"/>
  <c r="AA325" i="26"/>
  <c r="AY325" i="26" s="1"/>
  <c r="AB284" i="26"/>
  <c r="AZ276" i="26"/>
  <c r="BA278" i="26"/>
  <c r="AZ279" i="26"/>
  <c r="AZ278" i="26"/>
  <c r="AZ281" i="26"/>
  <c r="BA276" i="26"/>
  <c r="AA322" i="26"/>
  <c r="AZ277" i="26"/>
  <c r="AC284" i="26"/>
  <c r="BA274" i="26"/>
  <c r="BA283" i="26"/>
  <c r="AA327" i="26"/>
  <c r="AY327" i="26" s="1"/>
  <c r="BA277" i="26"/>
  <c r="AA324" i="26"/>
  <c r="AB324" i="26" s="1"/>
  <c r="BA281" i="26"/>
  <c r="BA275" i="26"/>
  <c r="BA279" i="26"/>
  <c r="AA323" i="26"/>
  <c r="AY323" i="26" s="1"/>
  <c r="AC270" i="26"/>
  <c r="AZ274" i="26"/>
  <c r="AA328" i="26"/>
  <c r="AY328" i="26" s="1"/>
  <c r="AZ283" i="26"/>
  <c r="AB270" i="26"/>
  <c r="AA319" i="26"/>
  <c r="AB319" i="26" s="1"/>
  <c r="AZ319" i="26" s="1"/>
  <c r="BA319" i="26" s="1"/>
  <c r="AY319" i="26"/>
  <c r="AA326" i="26"/>
  <c r="AY326" i="26" s="1"/>
  <c r="AA321" i="26"/>
  <c r="AB321" i="26" s="1"/>
  <c r="AS270" i="26" l="1"/>
  <c r="AW261" i="26"/>
  <c r="AW270" i="26" s="1"/>
  <c r="AR270" i="26"/>
  <c r="AV261" i="26"/>
  <c r="AV270" i="26" s="1"/>
  <c r="AB323" i="26"/>
  <c r="AC323" i="26" s="1"/>
  <c r="AO270" i="26"/>
  <c r="AN270" i="26"/>
  <c r="AJ270" i="26"/>
  <c r="AK270" i="26"/>
  <c r="AY321" i="26"/>
  <c r="AB327" i="26"/>
  <c r="AC327" i="26" s="1"/>
  <c r="AZ323" i="26"/>
  <c r="BA323" i="26" s="1"/>
  <c r="AA329" i="26"/>
  <c r="AB329" i="26" s="1"/>
  <c r="AZ284" i="26"/>
  <c r="AB326" i="26"/>
  <c r="AC319" i="26"/>
  <c r="AY322" i="26"/>
  <c r="AB322" i="26"/>
  <c r="AC322" i="26" s="1"/>
  <c r="AB320" i="26"/>
  <c r="BA284" i="26"/>
  <c r="AB328" i="26"/>
  <c r="AC329" i="26"/>
  <c r="AJ330" i="26"/>
  <c r="AC321" i="26"/>
  <c r="AZ321" i="26"/>
  <c r="BA321" i="26" s="1"/>
  <c r="AZ324" i="26"/>
  <c r="BA324" i="26" s="1"/>
  <c r="AC324" i="26"/>
  <c r="AB325" i="26"/>
  <c r="AY324" i="26"/>
  <c r="AI330" i="26"/>
  <c r="AZ322" i="26" l="1"/>
  <c r="BA322" i="26" s="1"/>
  <c r="AY329" i="26"/>
  <c r="AZ329" i="26" s="1"/>
  <c r="AZ327" i="26"/>
  <c r="BA327" i="26" s="1"/>
  <c r="AC326" i="26"/>
  <c r="AZ326" i="26"/>
  <c r="BA326" i="26" s="1"/>
  <c r="AZ328" i="26"/>
  <c r="BA328" i="26" s="1"/>
  <c r="AC328" i="26"/>
  <c r="AZ320" i="26"/>
  <c r="BA320" i="26" s="1"/>
  <c r="AC320" i="26"/>
  <c r="AZ330" i="26"/>
  <c r="BA329" i="26"/>
  <c r="AC325" i="26"/>
  <c r="AZ325" i="26"/>
  <c r="BA325" i="26" s="1"/>
</calcChain>
</file>

<file path=xl/comments1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Bsi</author>
  </authors>
  <commentList>
    <comment ref="F38" authorId="0" shapeId="0" xr:uid="{00000000-0006-0000-0A00-000001000000}">
      <text>
        <r>
          <rPr>
            <b/>
            <sz val="9"/>
            <color indexed="81"/>
            <rFont val="Tahoma"/>
            <family val="2"/>
          </rPr>
          <t>lien avec la feuille délais</t>
        </r>
      </text>
    </comment>
  </commentList>
</comments>
</file>

<file path=xl/comments2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Bsi</author>
  </authors>
  <commentList>
    <comment ref="H5" authorId="0" shapeId="0" xr:uid="{00000000-0006-0000-0B00-000001000000}">
      <text>
        <r>
          <rPr>
            <b/>
            <sz val="9"/>
            <color indexed="81"/>
            <rFont val="Tahoma"/>
            <family val="2"/>
          </rPr>
          <t>lien avec la feuille délais</t>
        </r>
      </text>
    </comment>
    <comment ref="F36" authorId="0" shapeId="0" xr:uid="{00000000-0006-0000-0B00-000002000000}">
      <text>
        <r>
          <rPr>
            <b/>
            <sz val="9"/>
            <color indexed="81"/>
            <rFont val="Tahoma"/>
            <family val="2"/>
          </rPr>
          <t>lien avec la feuille délais</t>
        </r>
      </text>
    </comment>
  </commentList>
</comments>
</file>

<file path=xl/sharedStrings.xml><?xml version="1.0" encoding="utf-8"?>
<sst xmlns="http://schemas.openxmlformats.org/spreadsheetml/2006/main" count="15395" uniqueCount="1229">
  <si>
    <t>D.R</t>
  </si>
  <si>
    <t xml:space="preserve">Cumul </t>
  </si>
  <si>
    <t>Ecart</t>
  </si>
  <si>
    <t>Djelfa</t>
  </si>
  <si>
    <t>T.Ouzou</t>
  </si>
  <si>
    <t>Laghouat</t>
  </si>
  <si>
    <t>Blida</t>
  </si>
  <si>
    <t>Bouira</t>
  </si>
  <si>
    <t>Médéa</t>
  </si>
  <si>
    <t>Biskra</t>
  </si>
  <si>
    <t>El Oued</t>
  </si>
  <si>
    <t>Tamanrasset</t>
  </si>
  <si>
    <t>Ghardaïa</t>
  </si>
  <si>
    <t>Ouargla I</t>
  </si>
  <si>
    <t>Pertes d'électricité</t>
  </si>
  <si>
    <t xml:space="preserve">Illizi </t>
  </si>
  <si>
    <t>SDC</t>
  </si>
  <si>
    <t>AO</t>
  </si>
  <si>
    <t>FSM</t>
  </si>
  <si>
    <t>MT</t>
  </si>
  <si>
    <t>Total</t>
  </si>
  <si>
    <t>MP</t>
  </si>
  <si>
    <t>Chiffre d'affaires</t>
  </si>
  <si>
    <t>MT/MP</t>
  </si>
  <si>
    <t>Achats</t>
  </si>
  <si>
    <t>Electricité</t>
  </si>
  <si>
    <t>Gaz</t>
  </si>
  <si>
    <t>Ouargla2</t>
  </si>
  <si>
    <t>Ouargla1</t>
  </si>
  <si>
    <t>Retour</t>
  </si>
  <si>
    <t>Ventes/Achats électricité</t>
  </si>
  <si>
    <t>Tam.</t>
  </si>
  <si>
    <t>Tam</t>
  </si>
  <si>
    <t>Apport abonnés</t>
  </si>
  <si>
    <t>réal°/obj</t>
  </si>
  <si>
    <t>objectif</t>
  </si>
  <si>
    <t>réalist°</t>
  </si>
  <si>
    <t>DR</t>
  </si>
  <si>
    <t>évolution (%)</t>
  </si>
  <si>
    <t>clients à 1 quit</t>
  </si>
  <si>
    <t>clients à + d'1 quit</t>
  </si>
  <si>
    <t>total portefeuille</t>
  </si>
  <si>
    <t>clients à + de 1 quit</t>
  </si>
  <si>
    <t xml:space="preserve">Blida  </t>
  </si>
  <si>
    <t>Tizi Ouzou</t>
  </si>
  <si>
    <t>Ouargla 1</t>
  </si>
  <si>
    <t>Gardaîa</t>
  </si>
  <si>
    <t>Ouargla 2</t>
  </si>
  <si>
    <t>Illizi</t>
  </si>
  <si>
    <t>TOTAL SDC</t>
  </si>
  <si>
    <t>Taux client ayant 1 quittance (%)</t>
  </si>
  <si>
    <t>Tayx client ayant + 1 quittance (%)</t>
  </si>
  <si>
    <t>BT</t>
  </si>
  <si>
    <t>évolution</t>
  </si>
  <si>
    <t>Délais crédit client énergie</t>
  </si>
  <si>
    <t>réalisé en jours</t>
  </si>
  <si>
    <t>BP</t>
  </si>
  <si>
    <t>BP+MP</t>
  </si>
  <si>
    <t>global</t>
  </si>
  <si>
    <t>Ventes/Achats gaz</t>
  </si>
  <si>
    <t>Poids (%)</t>
  </si>
  <si>
    <t>Poids par rapport au solde global</t>
  </si>
  <si>
    <t>Taux de perte gaz</t>
  </si>
  <si>
    <t>Ecart par rapport à l'objectif</t>
  </si>
  <si>
    <t>Ghardaîa</t>
  </si>
  <si>
    <t>Boufarik</t>
  </si>
  <si>
    <t>Berrouaghia</t>
  </si>
  <si>
    <t>Berriane</t>
  </si>
  <si>
    <t xml:space="preserve">Blida </t>
  </si>
  <si>
    <t>Annexes</t>
  </si>
  <si>
    <t>Annulations</t>
  </si>
  <si>
    <t>Janvier</t>
  </si>
  <si>
    <t>Février</t>
  </si>
  <si>
    <t>Mars</t>
  </si>
  <si>
    <t>Avril</t>
  </si>
  <si>
    <t>Mai</t>
  </si>
  <si>
    <t>Juin</t>
  </si>
  <si>
    <t>Juillet</t>
  </si>
  <si>
    <t>Août</t>
  </si>
  <si>
    <t>Septembre</t>
  </si>
  <si>
    <t>Octobre</t>
  </si>
  <si>
    <t>Novembre</t>
  </si>
  <si>
    <t>Décembre</t>
  </si>
  <si>
    <t>CUMUL</t>
  </si>
  <si>
    <t>I-  Nombre d'abonnés</t>
  </si>
  <si>
    <t>III-  Ventes électricité (GWh)</t>
  </si>
  <si>
    <t>V-  Chiffre d'affaires électricité (MDA)</t>
  </si>
  <si>
    <t>VI- Prix de Ventes Moyen électricité (cDA)</t>
  </si>
  <si>
    <t>IV-  Achats électricité &amp; pertes d'énergie (GWh/%)</t>
  </si>
  <si>
    <t>Pertes (GWh)</t>
  </si>
  <si>
    <t>Ventes (GWh)</t>
  </si>
  <si>
    <t>Pertes %</t>
  </si>
  <si>
    <t>V-  Chiffre d'affaires gaz (MDA)</t>
  </si>
  <si>
    <t>VI- Prix de Ventes Moyen gaz (cDA)</t>
  </si>
  <si>
    <t>III-  Ventes gaz (MTh)</t>
  </si>
  <si>
    <t>IV-  Achats gaz &amp; pertes d'énergie (MTh/%)</t>
  </si>
  <si>
    <t>Ventes (MTh)</t>
  </si>
  <si>
    <t>Pertes (MTh)</t>
  </si>
  <si>
    <t>TOTAL</t>
  </si>
  <si>
    <t>Situation des encaissements cumulés par agence</t>
  </si>
  <si>
    <t>Agence</t>
  </si>
  <si>
    <t>Solde n-1</t>
  </si>
  <si>
    <t>P.E.C</t>
  </si>
  <si>
    <t>Encaiss.</t>
  </si>
  <si>
    <t>Tx enc %</t>
  </si>
  <si>
    <t>Nbre d'ab.</t>
  </si>
  <si>
    <t>Solde/ Nbr Ab.(DA)</t>
  </si>
  <si>
    <t>BLIDA</t>
  </si>
  <si>
    <t>Blida-Ouest</t>
  </si>
  <si>
    <t>Mouzaïa</t>
  </si>
  <si>
    <t>Blida-Est</t>
  </si>
  <si>
    <t>Oued El Alleug</t>
  </si>
  <si>
    <t>Meftah</t>
  </si>
  <si>
    <t>Larbaa</t>
  </si>
  <si>
    <t>BOUIRA</t>
  </si>
  <si>
    <t>S.E.G</t>
  </si>
  <si>
    <t>Lakhdaria</t>
  </si>
  <si>
    <t>Aïn Bessam</t>
  </si>
  <si>
    <t>M'Chedellah</t>
  </si>
  <si>
    <t>MEDEA</t>
  </si>
  <si>
    <t>K.E.B</t>
  </si>
  <si>
    <t>B.Slimane</t>
  </si>
  <si>
    <t>Tablat</t>
  </si>
  <si>
    <t>Aïn Boucif</t>
  </si>
  <si>
    <t>T.OUZOU</t>
  </si>
  <si>
    <t>Tizi-Ouzou</t>
  </si>
  <si>
    <t>DJELFA</t>
  </si>
  <si>
    <t>Messaad</t>
  </si>
  <si>
    <t>Chorfa</t>
  </si>
  <si>
    <t>H.Messaoud</t>
  </si>
  <si>
    <t>ILLIZI</t>
  </si>
  <si>
    <t>Djanet</t>
  </si>
  <si>
    <t>BISKRA</t>
  </si>
  <si>
    <t>LAGHOUAT</t>
  </si>
  <si>
    <t>TAMANRASSET</t>
  </si>
  <si>
    <t>In Salah</t>
  </si>
  <si>
    <t>EL OUED</t>
  </si>
  <si>
    <t>Debila</t>
  </si>
  <si>
    <t>Taghzout</t>
  </si>
  <si>
    <t>GHARDAÏA</t>
  </si>
  <si>
    <t>Guerrara</t>
  </si>
  <si>
    <t>El Menea</t>
  </si>
  <si>
    <t>Total (énergie)</t>
  </si>
  <si>
    <t>cumul</t>
  </si>
  <si>
    <t>Demandes                   reçues                                  (2)</t>
  </si>
  <si>
    <t>Demandes                   annulées                        (3)</t>
  </si>
  <si>
    <t>Affaires               M E S                 (4)</t>
  </si>
  <si>
    <t>Taux  Evolution   (%)</t>
  </si>
  <si>
    <t>Etude</t>
  </si>
  <si>
    <t>Accord</t>
  </si>
  <si>
    <t>Réalisation</t>
  </si>
  <si>
    <t>Cours Réalisation</t>
  </si>
  <si>
    <t>MES</t>
  </si>
  <si>
    <t>Nbre</t>
  </si>
  <si>
    <t>Poids</t>
  </si>
  <si>
    <t>Portefeuille</t>
  </si>
  <si>
    <t>Demandes                reçues                        (2)</t>
  </si>
  <si>
    <t>Branchements                    Réalisés                       (3)</t>
  </si>
  <si>
    <t>Affaires                   Annulées                            (4)</t>
  </si>
  <si>
    <t>Taux  Evolution%</t>
  </si>
  <si>
    <t>Global</t>
  </si>
  <si>
    <t>Encaissement par agence</t>
  </si>
  <si>
    <t>Taux de pertes électricité</t>
  </si>
  <si>
    <t>écart (jours)</t>
  </si>
  <si>
    <t>Objectif DCC énergie : 90 jours</t>
  </si>
  <si>
    <t>1er Trimestre</t>
  </si>
  <si>
    <t>2ème trimestre</t>
  </si>
  <si>
    <t>3ème trimestre</t>
  </si>
  <si>
    <t>4ème trimestre</t>
  </si>
  <si>
    <t>Annuelle</t>
  </si>
  <si>
    <t>écart</t>
  </si>
  <si>
    <t>Affaires   M E S                 (4)</t>
  </si>
  <si>
    <t>Laghouat A</t>
  </si>
  <si>
    <t>Laghouat B</t>
  </si>
  <si>
    <t>Tx. Évol.</t>
  </si>
  <si>
    <t>mois</t>
  </si>
  <si>
    <t>BT mois</t>
  </si>
  <si>
    <t>MT mois</t>
  </si>
  <si>
    <t>achats mois</t>
  </si>
  <si>
    <t>Mois</t>
  </si>
  <si>
    <t>pertes mois</t>
  </si>
  <si>
    <t>BP mois</t>
  </si>
  <si>
    <t>MP mois</t>
  </si>
  <si>
    <t>Chiffre d'affaires cumulé (TTC)</t>
  </si>
  <si>
    <t>Délai crédit client (jours)</t>
  </si>
  <si>
    <t>FRM</t>
  </si>
  <si>
    <t>MT/MP Privés</t>
  </si>
  <si>
    <t>MT/MP ADM</t>
  </si>
  <si>
    <t>Créances AO (MDA)</t>
  </si>
  <si>
    <t>Contentieux ex. zone</t>
  </si>
  <si>
    <t>Créances FSM (MDA)</t>
  </si>
  <si>
    <t>Créances MT/MP Globale (MDA)</t>
  </si>
  <si>
    <t>Créances travaux (MDA)</t>
  </si>
  <si>
    <t>Créances globales (MDA)</t>
  </si>
  <si>
    <t>Créances Privés  (MDA)</t>
  </si>
  <si>
    <t>Créances administration  (MDA)</t>
  </si>
  <si>
    <t>mai</t>
  </si>
  <si>
    <t>juin</t>
  </si>
  <si>
    <t>HT</t>
  </si>
  <si>
    <t>HP</t>
  </si>
  <si>
    <t>Nombre d'abonnés électricité</t>
  </si>
  <si>
    <t>Nombre d'abonnés gaz</t>
  </si>
  <si>
    <t>Tx réal°</t>
  </si>
  <si>
    <t>Accroissement Abonnés  électricité</t>
  </si>
  <si>
    <t>Accroissement Abonnés gaz</t>
  </si>
  <si>
    <t>Cumul</t>
  </si>
  <si>
    <t>I-Créances par portefeuille</t>
  </si>
  <si>
    <t xml:space="preserve">    I-5) Solde global</t>
  </si>
  <si>
    <t xml:space="preserve">    I-4) Créances Travaux </t>
  </si>
  <si>
    <t>(comptes : 47054, 47143, 47587, 47287 &amp; 47036)</t>
  </si>
  <si>
    <t xml:space="preserve">     I-2) Créances FSM </t>
  </si>
  <si>
    <t>(comptes : 47012, 47022, 470184 &amp; 470284)</t>
  </si>
  <si>
    <t xml:space="preserve">     I-3) Créances MT/MP</t>
  </si>
  <si>
    <t xml:space="preserve"> (comptes : 47015, 47025, 47185, 47285 &amp; 47056)</t>
  </si>
  <si>
    <t xml:space="preserve">    I-1)Créances AO </t>
  </si>
  <si>
    <t>II-Créances par Ctégories de clients</t>
  </si>
  <si>
    <t>Ventes &amp; Achats électricité (BT/MT en GWh) du mois</t>
  </si>
  <si>
    <t>Ventes &amp; Achats électricité (BT/MT en GWh) cumulés</t>
  </si>
  <si>
    <t>Ventes &amp; Achats GAZ (BP/MP en Mth) du mois</t>
  </si>
  <si>
    <t>Ventes  &amp; Achats GAZ (BP/ MP en Mth) cumulés</t>
  </si>
  <si>
    <t>Chiffre d'affaires électricité (BT/MT) cumulé (MDA) (HT)</t>
  </si>
  <si>
    <t>Prix moyen  de vente électricité (BT/MT) (cDA)</t>
  </si>
  <si>
    <t>Chiffre d'affaires GAZ (BP/MP) cumulé (MDA) (HT)</t>
  </si>
  <si>
    <t>Prix moyen de  vente Gaz (BP/MP) (cDA)</t>
  </si>
  <si>
    <t xml:space="preserve">    II-1) Solde privés (AO, FRM et  MT/MP privés)</t>
  </si>
  <si>
    <t>II-2) Solde administration (FSM et MT/MP ADM.)</t>
  </si>
  <si>
    <t>FSM (BT/BP)</t>
  </si>
  <si>
    <t>Délais de réalisations</t>
  </si>
  <si>
    <t>Branchements</t>
  </si>
  <si>
    <t>extensions</t>
  </si>
  <si>
    <t>nbr réalisé</t>
  </si>
  <si>
    <t>délais moyens</t>
  </si>
  <si>
    <t xml:space="preserve">II-4) Solde JEA </t>
  </si>
  <si>
    <t>(comptes : 47003, 47004, 47005, 47006 &amp; 47008)</t>
  </si>
  <si>
    <t>FSM (BT/MP)</t>
  </si>
  <si>
    <t>Délais de réalistion</t>
  </si>
  <si>
    <t xml:space="preserve">FRM   </t>
  </si>
  <si>
    <t>Demandes           reçues           (2)</t>
  </si>
  <si>
    <t>ANP</t>
  </si>
  <si>
    <t>APC</t>
  </si>
  <si>
    <t>Eaux</t>
  </si>
  <si>
    <t>DARAK</t>
  </si>
  <si>
    <t>Santé</t>
  </si>
  <si>
    <t>Wilayas</t>
  </si>
  <si>
    <t>DGSN</t>
  </si>
  <si>
    <t>Tx pertes mois</t>
  </si>
  <si>
    <t>créances ADM</t>
  </si>
  <si>
    <t>Créances Eaux</t>
  </si>
  <si>
    <t>Créances Aarouch</t>
  </si>
  <si>
    <t>Créances globales</t>
  </si>
  <si>
    <t xml:space="preserve">    I-6) Répartition du solde</t>
  </si>
  <si>
    <t>créances privés sans les Eaux</t>
  </si>
  <si>
    <t>poids (%)</t>
  </si>
  <si>
    <t>Poids privé/ solde global (%)</t>
  </si>
  <si>
    <t>Poids ADM / solde global (%)</t>
  </si>
  <si>
    <t xml:space="preserve"> (MT/MP)</t>
  </si>
  <si>
    <t xml:space="preserve">Créances au mois </t>
  </si>
  <si>
    <t>Créances travaux</t>
  </si>
  <si>
    <t>Chiffre d'affaires GAZ ( BP/MP) du mois en (MDA) (HT)</t>
  </si>
  <si>
    <t>Chiffre d'affaires électricité (BT/MT) du mois en (MDA) (HT)</t>
  </si>
  <si>
    <t>Créances eaux</t>
  </si>
  <si>
    <t xml:space="preserve">Bounoura </t>
  </si>
  <si>
    <t>Metlili</t>
  </si>
  <si>
    <t>mars</t>
  </si>
  <si>
    <t>PCX ex. zone</t>
  </si>
  <si>
    <t>bt</t>
  </si>
  <si>
    <t>mt</t>
  </si>
  <si>
    <t>Achats avec litige</t>
  </si>
  <si>
    <t xml:space="preserve"> </t>
  </si>
  <si>
    <t>trim1</t>
  </si>
  <si>
    <t>trim2</t>
  </si>
  <si>
    <t>trim3</t>
  </si>
  <si>
    <t>trim4</t>
  </si>
  <si>
    <t>Ouled yaîch</t>
  </si>
  <si>
    <t>Ouargla(Amir AEK)</t>
  </si>
  <si>
    <t>Année mobile</t>
  </si>
  <si>
    <t>Demandes          annulées              (3)</t>
  </si>
  <si>
    <t xml:space="preserve">  A.O     </t>
  </si>
  <si>
    <t xml:space="preserve">  MT/MP          </t>
  </si>
  <si>
    <t>AO(47005+47008)</t>
  </si>
  <si>
    <t>Cx ex zone</t>
  </si>
  <si>
    <t>Solde  Créances (MDA)</t>
  </si>
  <si>
    <t>Total énergie</t>
  </si>
  <si>
    <t>énergie</t>
  </si>
  <si>
    <t>janv</t>
  </si>
  <si>
    <t>févr</t>
  </si>
  <si>
    <t>avr</t>
  </si>
  <si>
    <t>juil</t>
  </si>
  <si>
    <t>recettes mois</t>
  </si>
  <si>
    <t>Créances SDC</t>
  </si>
  <si>
    <t>sept.</t>
  </si>
  <si>
    <t>écart AM-objectif</t>
  </si>
  <si>
    <t>bouira</t>
  </si>
  <si>
    <t>Ouargla urbain</t>
  </si>
  <si>
    <t>Nbr agences</t>
  </si>
  <si>
    <t xml:space="preserve">                    MT/MP sans les eaux</t>
  </si>
  <si>
    <t>Les eaux</t>
  </si>
  <si>
    <t>SDC, Société par actions au Capital Social de 15 000 000 DA – RC n° 06B0805455-0/09</t>
  </si>
  <si>
    <t>Siège social: Boulevard Mohamed Boudiaf, Blida - Tél. : 213 025 41 60 35/42 Fax : 213 025 31 40 34</t>
  </si>
  <si>
    <t>Société du groupe Sonelgaz</t>
  </si>
  <si>
    <t>Ouargla Urbain</t>
  </si>
  <si>
    <t>Ouargla Rural</t>
  </si>
  <si>
    <t>Taux de réalisation</t>
  </si>
  <si>
    <t>Réalisations par rapport à l'objectif</t>
  </si>
  <si>
    <t>Réalisation par rapport à l'objectif</t>
  </si>
  <si>
    <t>Taux de réalisation (%)</t>
  </si>
  <si>
    <t>H. Délai</t>
  </si>
  <si>
    <t>rs</t>
  </si>
  <si>
    <t>DD</t>
  </si>
  <si>
    <t>gaz</t>
  </si>
  <si>
    <t>Bechelloul</t>
  </si>
  <si>
    <t>TOTAL DD</t>
  </si>
  <si>
    <t>AO mois</t>
  </si>
  <si>
    <t>FSM mois</t>
  </si>
  <si>
    <t>répartition  en pourcentage des clients ayant 1 quittance et plus  par DD</t>
  </si>
  <si>
    <t>BT+MT</t>
  </si>
  <si>
    <t>adm</t>
  </si>
  <si>
    <t>aci</t>
  </si>
  <si>
    <t>ADM</t>
  </si>
  <si>
    <t>ACI</t>
  </si>
  <si>
    <t>TIZI OUZOU</t>
  </si>
  <si>
    <t>DEM</t>
  </si>
  <si>
    <t>AZAZGA</t>
  </si>
  <si>
    <t>LNI</t>
  </si>
  <si>
    <t>TIGZIRT</t>
  </si>
  <si>
    <t>BOGHNI</t>
  </si>
  <si>
    <t>OUADHIAS</t>
  </si>
  <si>
    <t xml:space="preserve">TIZI OUZOU </t>
  </si>
  <si>
    <t>BOUZGUENE</t>
  </si>
  <si>
    <t>OUAGUENOUNE</t>
  </si>
  <si>
    <t>Créances AO agences  (MDA)</t>
  </si>
  <si>
    <t>(comptes : 47003, 47004)</t>
  </si>
  <si>
    <t xml:space="preserve"> (comptes :  47025,  47285 )</t>
  </si>
  <si>
    <t>Créances MT/MP Privés (MDA)</t>
  </si>
  <si>
    <t>Créances par DD</t>
  </si>
  <si>
    <t>DCC AO agences (jours)</t>
  </si>
  <si>
    <t>DCC FRM (Jours)</t>
  </si>
  <si>
    <t>Créances FRM (MDA)</t>
  </si>
  <si>
    <t>DCC MT/MP Privés (jours)</t>
  </si>
  <si>
    <t>Crédit client</t>
  </si>
  <si>
    <t>Liv aux Rx MT</t>
  </si>
  <si>
    <t>Liv au Rx MP</t>
  </si>
  <si>
    <t>bt+mt mois</t>
  </si>
  <si>
    <t>Accroissement</t>
  </si>
  <si>
    <t>au mois</t>
  </si>
  <si>
    <t>Tx évol.</t>
  </si>
  <si>
    <t>Tx Réal.</t>
  </si>
  <si>
    <t>Electricite</t>
  </si>
  <si>
    <t>Achats, ventes &amp; pertes électricité</t>
  </si>
  <si>
    <t>Pertes (%)</t>
  </si>
  <si>
    <t>Achats [GWh]</t>
  </si>
  <si>
    <t>Ventes [GWh]</t>
  </si>
  <si>
    <t>BRT</t>
  </si>
  <si>
    <t>Ext</t>
  </si>
  <si>
    <t>Délais de réalisation</t>
  </si>
  <si>
    <t>Achats, ventes &amp; pertes gaz</t>
  </si>
  <si>
    <t>Achats [MTh]</t>
  </si>
  <si>
    <t>Ventes [MTh]</t>
  </si>
  <si>
    <t>DCC</t>
  </si>
  <si>
    <t>Solde</t>
  </si>
  <si>
    <t>(MDA)</t>
  </si>
  <si>
    <t>Créances énergie</t>
  </si>
  <si>
    <t>Créances MT/MP privés</t>
  </si>
  <si>
    <t>Créances FSM</t>
  </si>
  <si>
    <t>Créances MT/MP ADM</t>
  </si>
  <si>
    <t xml:space="preserve">Synthèse tableau de bord </t>
  </si>
  <si>
    <t xml:space="preserve"> (comptes :  47015,  47185 )</t>
  </si>
  <si>
    <t>Créances MT/MP ADM (MDA)</t>
  </si>
  <si>
    <t>DCC MT/MP ADM (jours)</t>
  </si>
  <si>
    <t>Créances total énergie</t>
  </si>
  <si>
    <t>DCC total énergie (jours)</t>
  </si>
  <si>
    <t xml:space="preserve">   Créances énergie</t>
  </si>
  <si>
    <t xml:space="preserve">   Créances FSM</t>
  </si>
  <si>
    <t xml:space="preserve">   Créances MT/MP</t>
  </si>
  <si>
    <t>DCC FSM (jours)</t>
  </si>
  <si>
    <t xml:space="preserve"> Créances AO </t>
  </si>
  <si>
    <t xml:space="preserve"> Solde FRM</t>
  </si>
  <si>
    <t xml:space="preserve"> Créances MT/MP ADM</t>
  </si>
  <si>
    <t>Créances   MT/MP</t>
  </si>
  <si>
    <t>DCC MT/MP (jours)</t>
  </si>
  <si>
    <t>Unité: MDA</t>
  </si>
  <si>
    <t>Créances MT/MP</t>
  </si>
  <si>
    <t>Chiffres d'affaires MT/MP</t>
  </si>
  <si>
    <t>DCC MT/MP privés (j)</t>
  </si>
  <si>
    <t>Créances des eaux</t>
  </si>
  <si>
    <t>Créances MT/MP sans les eaux</t>
  </si>
  <si>
    <t>Chiffres d'affaires des eaux</t>
  </si>
  <si>
    <t>Chiffres d'affaires sans les eaux</t>
  </si>
  <si>
    <t>DCC MT/MP privés sans les eaux (j)</t>
  </si>
  <si>
    <t>Créances à Octobre</t>
  </si>
  <si>
    <t>à saisir</t>
  </si>
  <si>
    <t>Créances à novembre</t>
  </si>
  <si>
    <t>ecart/obj.</t>
  </si>
  <si>
    <t>In Aménas</t>
  </si>
  <si>
    <t>Rouissat</t>
  </si>
  <si>
    <t>HT/HP</t>
  </si>
  <si>
    <t>REPARTITION DU PORTEFEUILLE AO (compte 47003 &amp; 47004) PAR DD</t>
  </si>
  <si>
    <t>Tipaza</t>
  </si>
  <si>
    <t>Boumerdesse</t>
  </si>
  <si>
    <t>Boumerdes</t>
  </si>
  <si>
    <t>Hadjout</t>
  </si>
  <si>
    <t>Cherchell</t>
  </si>
  <si>
    <t>Koléa</t>
  </si>
  <si>
    <t>Gouraya</t>
  </si>
  <si>
    <t>Bouismaïl</t>
  </si>
  <si>
    <t>Dellys</t>
  </si>
  <si>
    <t>Bordj Menaïl</t>
  </si>
  <si>
    <t>Thenia</t>
  </si>
  <si>
    <t>Isser</t>
  </si>
  <si>
    <t>Khemis El Khechena</t>
  </si>
  <si>
    <t>Boudouaou</t>
  </si>
  <si>
    <t>Soumaa</t>
  </si>
  <si>
    <t>Brakni</t>
  </si>
  <si>
    <t>Bouhraoua</t>
  </si>
  <si>
    <t>Ecart 
(1) - (2)</t>
  </si>
  <si>
    <t>Créances MT/MP privés s/eau</t>
  </si>
  <si>
    <t>créances CX agriculteurs</t>
  </si>
  <si>
    <t>El Affroun</t>
  </si>
  <si>
    <t>NB :</t>
  </si>
  <si>
    <t xml:space="preserve"> Le DCC MT/MP privé sans les eaux et sans le CX des agriculteurs de Tamanrasset est:</t>
  </si>
  <si>
    <t>DCC MT/MP privés sans les eaux (j) Mai 2015 (1)</t>
  </si>
  <si>
    <t>ok</t>
  </si>
  <si>
    <t xml:space="preserve">créances CX
des eaux </t>
  </si>
  <si>
    <t xml:space="preserve">créances CX </t>
  </si>
  <si>
    <t>KRIM BELKACEM</t>
  </si>
  <si>
    <t>MEKLA</t>
  </si>
  <si>
    <t xml:space="preserve">Pour la DD D'illizi le solde Cx des eaux qui s'élève à 10,729MDA a été déduit des créances MT sans les eaux </t>
  </si>
  <si>
    <t>Crédit client 2016</t>
  </si>
  <si>
    <t>Chahbounia</t>
  </si>
  <si>
    <t>A/Madhi</t>
  </si>
  <si>
    <t xml:space="preserve"> Solde au 31/03/ 2015</t>
  </si>
  <si>
    <t xml:space="preserve"> Solde au 31/03/2016</t>
  </si>
  <si>
    <t xml:space="preserve"> DCC au 31/03/ 2015</t>
  </si>
  <si>
    <t>DCC au 31/03/2016</t>
  </si>
  <si>
    <t>écart 16/15-mois</t>
  </si>
  <si>
    <t>évol° 16/15-mois (%)</t>
  </si>
  <si>
    <t>Ventes MT</t>
  </si>
  <si>
    <t>Achats BT</t>
  </si>
  <si>
    <t>GWh</t>
  </si>
  <si>
    <t>Ventes BT</t>
  </si>
  <si>
    <t>MDA</t>
  </si>
  <si>
    <t>Pertes  BT (GWh)</t>
  </si>
  <si>
    <t xml:space="preserve">Achats </t>
  </si>
  <si>
    <t>Ventes et Achats par agences</t>
  </si>
  <si>
    <t xml:space="preserve"> DEM</t>
  </si>
  <si>
    <t xml:space="preserve"> BOGHNI</t>
  </si>
  <si>
    <t xml:space="preserve"> OUADHIAS</t>
  </si>
  <si>
    <t xml:space="preserve"> BENI DOUALA</t>
  </si>
  <si>
    <t xml:space="preserve"> DBK</t>
  </si>
  <si>
    <t xml:space="preserve"> BOUZGUENE</t>
  </si>
  <si>
    <t xml:space="preserve"> AEH</t>
  </si>
  <si>
    <t xml:space="preserve"> OUAGUENOUN</t>
  </si>
  <si>
    <t xml:space="preserve"> LNI</t>
  </si>
  <si>
    <t>DOUCEN</t>
  </si>
  <si>
    <t>FOUGHALA</t>
  </si>
  <si>
    <t>TOLGA</t>
  </si>
  <si>
    <t>OURLAL</t>
  </si>
  <si>
    <t>El oued I</t>
  </si>
  <si>
    <t>El Mégheir</t>
  </si>
  <si>
    <t>El oued II</t>
  </si>
  <si>
    <t>Djamaa</t>
  </si>
  <si>
    <t>Hassi Khalifa</t>
  </si>
  <si>
    <t>Créances MT/MP Privés sans les eaux  (MDA)</t>
  </si>
  <si>
    <t>DCC MT/MP Privés sans les eaux  (jours)</t>
  </si>
  <si>
    <t>El Hachimia</t>
  </si>
  <si>
    <t>Bordj  Okhriss</t>
  </si>
  <si>
    <t>ventes</t>
  </si>
  <si>
    <r>
      <t xml:space="preserve">   I.   </t>
    </r>
    <r>
      <rPr>
        <b/>
        <u/>
        <sz val="12"/>
        <rFont val="Calibri"/>
        <family val="2"/>
        <scheme val="minor"/>
      </rPr>
      <t>Extension</t>
    </r>
  </si>
  <si>
    <r>
      <t xml:space="preserve">      I.1.   </t>
    </r>
    <r>
      <rPr>
        <b/>
        <u/>
        <sz val="12"/>
        <rFont val="Calibri"/>
        <family val="2"/>
        <scheme val="minor"/>
      </rPr>
      <t>Portefeuille</t>
    </r>
  </si>
  <si>
    <r>
      <t xml:space="preserve">      I.2.   </t>
    </r>
    <r>
      <rPr>
        <b/>
        <u/>
        <sz val="12"/>
        <rFont val="Calibri"/>
        <family val="2"/>
        <scheme val="minor"/>
      </rPr>
      <t>Affaires en instance</t>
    </r>
  </si>
  <si>
    <r>
      <t xml:space="preserve">   II.   </t>
    </r>
    <r>
      <rPr>
        <b/>
        <u/>
        <sz val="12"/>
        <rFont val="Calibri"/>
        <family val="2"/>
        <scheme val="minor"/>
      </rPr>
      <t>Branchements Simples Electricité</t>
    </r>
  </si>
  <si>
    <r>
      <t xml:space="preserve">   II.   </t>
    </r>
    <r>
      <rPr>
        <b/>
        <u/>
        <sz val="12"/>
        <rFont val="Calibri"/>
        <family val="2"/>
        <scheme val="minor"/>
      </rPr>
      <t>Extension</t>
    </r>
  </si>
  <si>
    <r>
      <t xml:space="preserve">      II.1.   </t>
    </r>
    <r>
      <rPr>
        <b/>
        <u/>
        <sz val="12"/>
        <rFont val="Calibri"/>
        <family val="2"/>
        <scheme val="minor"/>
      </rPr>
      <t>Portefeuille</t>
    </r>
  </si>
  <si>
    <r>
      <t xml:space="preserve">      II.2.   </t>
    </r>
    <r>
      <rPr>
        <b/>
        <u/>
        <sz val="12"/>
        <rFont val="Calibri"/>
        <family val="2"/>
        <scheme val="minor"/>
      </rPr>
      <t>Affaires en instance</t>
    </r>
  </si>
  <si>
    <r>
      <t xml:space="preserve">   II.   </t>
    </r>
    <r>
      <rPr>
        <b/>
        <u/>
        <sz val="12"/>
        <rFont val="Calibri"/>
        <family val="2"/>
        <scheme val="minor"/>
      </rPr>
      <t>Branchements Simples Gaz</t>
    </r>
  </si>
  <si>
    <r>
      <t xml:space="preserve">2- Délais crédit client Privés  (énergie), </t>
    </r>
    <r>
      <rPr>
        <b/>
        <i/>
        <sz val="12"/>
        <rFont val="Calibri"/>
        <family val="2"/>
        <scheme val="minor"/>
      </rPr>
      <t>AO, FRM, MT/MP Privés</t>
    </r>
  </si>
  <si>
    <r>
      <t xml:space="preserve">3- Délais crédit client ADM  (énergie), </t>
    </r>
    <r>
      <rPr>
        <b/>
        <i/>
        <sz val="12"/>
        <rFont val="Calibri"/>
        <family val="2"/>
        <scheme val="minor"/>
      </rPr>
      <t>FSM, MT/MP ADM</t>
    </r>
  </si>
  <si>
    <t>Ventes</t>
  </si>
  <si>
    <t>CA</t>
  </si>
  <si>
    <t>Solde Final</t>
  </si>
  <si>
    <t>Encaissement</t>
  </si>
  <si>
    <t xml:space="preserve">Travaux </t>
  </si>
  <si>
    <t>Travaux ADM</t>
  </si>
  <si>
    <t>Total Créance</t>
  </si>
  <si>
    <t>AO services commerciaux</t>
  </si>
  <si>
    <t xml:space="preserve">MT/MP Privé </t>
  </si>
  <si>
    <t xml:space="preserve"> MT/MP ADM </t>
  </si>
  <si>
    <t xml:space="preserve">  FSM</t>
  </si>
  <si>
    <t>Prise en charge Net</t>
  </si>
  <si>
    <t>évolution mois (%)</t>
  </si>
  <si>
    <t>Agences</t>
  </si>
  <si>
    <t>Bab Essebt</t>
  </si>
  <si>
    <t>Belkacem El Ouzeri</t>
  </si>
  <si>
    <t>Labrâ</t>
  </si>
  <si>
    <t>Ouled Yaïch</t>
  </si>
  <si>
    <t>Etat 5</t>
  </si>
  <si>
    <t>Soldes agences</t>
  </si>
  <si>
    <t>SOUR EL GHOZLANE</t>
  </si>
  <si>
    <t>LAKHDARIA</t>
  </si>
  <si>
    <t>AIN BESSEM</t>
  </si>
  <si>
    <t xml:space="preserve">M'CHEDALLAH </t>
  </si>
  <si>
    <t>BECHLOUL</t>
  </si>
  <si>
    <t>EL HACHIMIA</t>
  </si>
  <si>
    <t>BORDJ OKHRISS</t>
  </si>
  <si>
    <t>MEDEA 1+2</t>
  </si>
  <si>
    <t>KSAR EL BOUKHARI</t>
  </si>
  <si>
    <t>BERROUAGHIA</t>
  </si>
  <si>
    <t>BENI SLIMANE</t>
  </si>
  <si>
    <t>TABLAT</t>
  </si>
  <si>
    <t>AIN BOUCIF</t>
  </si>
  <si>
    <t>CHAHBOUNIA</t>
  </si>
  <si>
    <t xml:space="preserve">Total </t>
  </si>
  <si>
    <t>Prise en charge</t>
  </si>
  <si>
    <t>annulations</t>
  </si>
  <si>
    <t>Encaissements</t>
  </si>
  <si>
    <t>Délai Crédit /j 2016</t>
  </si>
  <si>
    <t>BISKRA 2</t>
  </si>
  <si>
    <t>O/DJELLAL</t>
  </si>
  <si>
    <t>Solde Fin Période</t>
  </si>
  <si>
    <t>Daya</t>
  </si>
  <si>
    <t>Mobile Janvier</t>
  </si>
  <si>
    <t>année mobileau mois</t>
  </si>
  <si>
    <t>achats</t>
  </si>
  <si>
    <t>pertes</t>
  </si>
  <si>
    <t>taux</t>
  </si>
  <si>
    <t>Mobile février</t>
  </si>
  <si>
    <t>Mobile Mars</t>
  </si>
  <si>
    <t>Mobile Avril</t>
  </si>
  <si>
    <t>Mobile mai</t>
  </si>
  <si>
    <t>Mobile juin</t>
  </si>
  <si>
    <t>Mobile juillet</t>
  </si>
  <si>
    <t>Mobile Septembre</t>
  </si>
  <si>
    <t>Mobile Octobre</t>
  </si>
  <si>
    <t>Mobile novembre</t>
  </si>
  <si>
    <t>Mobile décembre</t>
  </si>
  <si>
    <t>Année n-1</t>
  </si>
  <si>
    <t>Mobile Août</t>
  </si>
  <si>
    <t>électricité</t>
  </si>
  <si>
    <t>AO (47006- Cx ex Zone)</t>
  </si>
  <si>
    <t>Réalisations</t>
  </si>
  <si>
    <t>année (n-1) au mois</t>
  </si>
  <si>
    <t>année (n) au mois</t>
  </si>
  <si>
    <t>Taux d'encaissement</t>
  </si>
  <si>
    <t>CLIENTELE HT/HP  - SDC-</t>
  </si>
  <si>
    <t>Non /Raison Sociale</t>
  </si>
  <si>
    <t>PMD</t>
  </si>
  <si>
    <t>Lieu de Consommation</t>
  </si>
  <si>
    <t>Secteur D'activité</t>
  </si>
  <si>
    <t>Date de mise en service</t>
  </si>
  <si>
    <t>Intégration client HP</t>
  </si>
  <si>
    <t>DMD [m3]</t>
  </si>
  <si>
    <t xml:space="preserve">reste à réaliser </t>
  </si>
  <si>
    <t>BT+HTA</t>
  </si>
  <si>
    <t>HTA</t>
  </si>
  <si>
    <t xml:space="preserve">      MT/MP Privé </t>
  </si>
  <si>
    <t>Taibet</t>
  </si>
  <si>
    <t>recettes à Janvier 2017</t>
  </si>
  <si>
    <t xml:space="preserve">Juillet </t>
  </si>
  <si>
    <t xml:space="preserve"> Solde au 31/12/ 2016</t>
  </si>
  <si>
    <t>chahid rouis haroun</t>
  </si>
  <si>
    <t>CHAHID ROUIS HAROUN</t>
  </si>
  <si>
    <t>Reguiba</t>
  </si>
  <si>
    <t>Magrane</t>
  </si>
  <si>
    <t xml:space="preserve">Ouargla </t>
  </si>
  <si>
    <t xml:space="preserve">OUARGLA </t>
  </si>
  <si>
    <t xml:space="preserve"> Touggourt</t>
  </si>
  <si>
    <t xml:space="preserve"> Zaouia</t>
  </si>
  <si>
    <t>Témacine</t>
  </si>
  <si>
    <t>Hadjira</t>
  </si>
  <si>
    <t>BENIE DOUALA</t>
  </si>
  <si>
    <t xml:space="preserve"> AZEFOUN</t>
  </si>
  <si>
    <t xml:space="preserve"> KRIM BELKACEM</t>
  </si>
  <si>
    <t xml:space="preserve"> MEKLA</t>
  </si>
  <si>
    <t>recettes à Février 2017</t>
  </si>
  <si>
    <t>Pertes globale (GWh)</t>
  </si>
  <si>
    <t>Gain</t>
  </si>
  <si>
    <t>Pertes globales (%)</t>
  </si>
  <si>
    <t>Taux de pertes(BT (%))</t>
  </si>
  <si>
    <t>Gains/dégrdation</t>
  </si>
  <si>
    <t>Prix de vente moyen</t>
  </si>
  <si>
    <t>Valorisation des pertes  BT (MDA)</t>
  </si>
  <si>
    <t>gain/Dégradation</t>
  </si>
  <si>
    <t>(GWh)</t>
  </si>
  <si>
    <t>(%)</t>
  </si>
  <si>
    <t>(DA)</t>
  </si>
  <si>
    <t xml:space="preserve"> TIGZIRT +Azefoun</t>
  </si>
  <si>
    <t>TIZI OUZOU+Krim belkacem</t>
  </si>
  <si>
    <t>BOUIRA LARBI BEN MHIDI</t>
  </si>
  <si>
    <t>LAARBI BEN M'HIDI</t>
  </si>
  <si>
    <t xml:space="preserve">Objectif </t>
  </si>
  <si>
    <t>Objectif pertes</t>
  </si>
  <si>
    <t>Taux de Réal</t>
  </si>
  <si>
    <t xml:space="preserve">Pertes BT </t>
  </si>
  <si>
    <t xml:space="preserve">Pertes globale </t>
  </si>
  <si>
    <t xml:space="preserve"> TIGZIRT</t>
  </si>
  <si>
    <t>BISKRA1</t>
  </si>
  <si>
    <t xml:space="preserve">Ecart </t>
  </si>
  <si>
    <t>2016/2017</t>
  </si>
  <si>
    <t>Evolution : Obj 17/Réal 17</t>
  </si>
  <si>
    <t>%</t>
  </si>
  <si>
    <t>écart mois</t>
  </si>
  <si>
    <t>écart année</t>
  </si>
  <si>
    <t>AO Agences Commerciales</t>
  </si>
  <si>
    <t xml:space="preserve">MT/MP ADM </t>
  </si>
  <si>
    <t>S/T Energie                                  : (1)</t>
  </si>
  <si>
    <t>S/T Travaux (ADM+ACI)         : (2)</t>
  </si>
  <si>
    <t>Total créances :  (1) + (2)</t>
  </si>
  <si>
    <t>Clientèle HT/HP                       : (3)</t>
  </si>
  <si>
    <t>Total Pôle Centre :       (1) + (2) + (3)</t>
  </si>
  <si>
    <t xml:space="preserve">       AO Agences commerciales</t>
  </si>
  <si>
    <t>S/T Energie                                 (1)</t>
  </si>
  <si>
    <t>S/T Travaux (ADM+ACI)            (2)</t>
  </si>
  <si>
    <t>Total DD :       (1) + (2) + (3)</t>
  </si>
  <si>
    <t>S/T Energie                                (1)</t>
  </si>
  <si>
    <t>RDC</t>
  </si>
  <si>
    <t>Ecart (17-Obj.)</t>
  </si>
  <si>
    <t>Ecart (17-16)</t>
  </si>
  <si>
    <t>Ouled Moussa</t>
  </si>
  <si>
    <t>OULED MOUSSA</t>
  </si>
  <si>
    <t>Solde  total Créances (MDA)</t>
  </si>
  <si>
    <t>Total privé sans les eaux    (2)</t>
  </si>
  <si>
    <t xml:space="preserve">  Total ADM                         (3)</t>
  </si>
  <si>
    <t xml:space="preserve">S/T Energie  sans les eaux     (2)+(3)                        </t>
  </si>
  <si>
    <t xml:space="preserve">S/T Travaux (ADM+ACI)         : </t>
  </si>
  <si>
    <t>MT-MP privé avec les eaux</t>
  </si>
  <si>
    <t>Total privé avec les eaux                 (1)</t>
  </si>
  <si>
    <t>Les eaux MT-MP privé</t>
  </si>
  <si>
    <t xml:space="preserve">Clientèle HTB-HP avec les eaux        </t>
  </si>
  <si>
    <t>Les eaux HTB-HP</t>
  </si>
  <si>
    <t>Clientèle HTB-HP   Sans les eaux</t>
  </si>
  <si>
    <t xml:space="preserve">Total RDC avec les eaux : </t>
  </si>
  <si>
    <t xml:space="preserve">Total RDC sans les eaux : </t>
  </si>
  <si>
    <t xml:space="preserve">Total avec les eaux : </t>
  </si>
  <si>
    <t xml:space="preserve">Total sans les eaux : </t>
  </si>
  <si>
    <t>TO</t>
  </si>
  <si>
    <t xml:space="preserve">S/T Energie  avec les eaux              (1)+(3)                       </t>
  </si>
  <si>
    <t>MT-MP privé sans les eaux</t>
  </si>
  <si>
    <t xml:space="preserve">les eaux Total RDC </t>
  </si>
  <si>
    <t xml:space="preserve">Total Les eaux </t>
  </si>
  <si>
    <t>Résiliation HP</t>
  </si>
  <si>
    <t>Date derésiliation</t>
  </si>
  <si>
    <t>DCM</t>
  </si>
  <si>
    <t>recettes à mars 2018</t>
  </si>
  <si>
    <t>TOTAL RDC</t>
  </si>
  <si>
    <t>II-  Accroissement abonnés</t>
  </si>
  <si>
    <t xml:space="preserve">Direction commerciale </t>
  </si>
  <si>
    <t>Apport Abonnés  électricité</t>
  </si>
  <si>
    <t>Apport Abonnés gaz</t>
  </si>
  <si>
    <t>Apport Abonnés  Electricité</t>
  </si>
  <si>
    <t>Taux de Réalisation</t>
  </si>
  <si>
    <t>BT+MT+HT</t>
  </si>
  <si>
    <t>Apport Abonnés Gaz</t>
  </si>
  <si>
    <t>BP+MP+HP</t>
  </si>
  <si>
    <t>Si-Mustapha</t>
  </si>
  <si>
    <t>Si Mustapha</t>
  </si>
  <si>
    <t>recettes à avril 2018</t>
  </si>
  <si>
    <t>recettes à mai 2018</t>
  </si>
  <si>
    <t>Recettes à juin 2018</t>
  </si>
  <si>
    <t>Recettes à juillet 2018</t>
  </si>
  <si>
    <t>situation arrêtée au 31/12/2018</t>
  </si>
  <si>
    <t xml:space="preserve"> Solde au 31/12/ 2018</t>
  </si>
  <si>
    <t>SIDI KHALED</t>
  </si>
  <si>
    <t>KSAR EL HIRANE</t>
  </si>
  <si>
    <t>PMD [KW]</t>
  </si>
  <si>
    <t>Motif de Résiliation</t>
  </si>
  <si>
    <t xml:space="preserve"> 2019 (1)</t>
  </si>
  <si>
    <t xml:space="preserve"> 2018 (2)</t>
  </si>
  <si>
    <t>Département études commerciales et marketing</t>
  </si>
  <si>
    <t>Réalisation 2019</t>
  </si>
  <si>
    <t>Rélisation 2019</t>
  </si>
  <si>
    <t>Recettes à Déc 2018</t>
  </si>
  <si>
    <t>Recettes à Nov 2018</t>
  </si>
  <si>
    <t>Recettes à Oct 2018</t>
  </si>
  <si>
    <t>Recettes à Sept 2018</t>
  </si>
  <si>
    <t>Recettes à aout 2018</t>
  </si>
  <si>
    <t>recettes au mois</t>
  </si>
  <si>
    <t>Hassi R'Mel 836</t>
  </si>
  <si>
    <t>Aflou 832</t>
  </si>
  <si>
    <t>Synthèse des affaires branchements Elec en instances d'étude  et de réalisation RDC</t>
  </si>
  <si>
    <t>Direction de Distribution</t>
  </si>
  <si>
    <t>Affaires en instance   d'études</t>
  </si>
  <si>
    <t>Affaires en instance de réalisation</t>
  </si>
  <si>
    <t>Nombre d'agences</t>
  </si>
  <si>
    <t>Affaires recçues durant le mois</t>
  </si>
  <si>
    <t>Moyenne d'Affaires par agence</t>
  </si>
  <si>
    <t>Evol°%)</t>
  </si>
  <si>
    <t>Evol°(%)</t>
  </si>
  <si>
    <t>Total RDC</t>
  </si>
  <si>
    <t>Synthèse des affaires extensions du réseau Elec en instances d'étude  et de réalisation RDC</t>
  </si>
  <si>
    <t>Affaires en instance d'étude</t>
  </si>
  <si>
    <t>Evolution  (%)</t>
  </si>
  <si>
    <t>Synthèse des affaires branchements gaz en instances d'étude  et de réalisation RDC</t>
  </si>
  <si>
    <t>Evol° /(%)</t>
  </si>
  <si>
    <t>Evol° /%)</t>
  </si>
  <si>
    <t>Synthèse des affaires extensions du réseau gaz en instances d'étude  et de réalisation RDC</t>
  </si>
  <si>
    <t>CD</t>
  </si>
  <si>
    <t>Electricité (KWh/client/Trim)</t>
  </si>
  <si>
    <t>GAZ (Th/ client/Trim)</t>
  </si>
  <si>
    <t>Direction Commerciale</t>
  </si>
  <si>
    <t>Clients administratifs</t>
  </si>
  <si>
    <t>Recu Mois</t>
  </si>
  <si>
    <t>Créances FSM adm</t>
  </si>
  <si>
    <t>Créances   MT/MP sans les eaux</t>
  </si>
  <si>
    <t>DCC MT/MP (jours) sans les eaux</t>
  </si>
  <si>
    <t>Créances   Travaux ADM</t>
  </si>
  <si>
    <t>Créances   Travaux ACI</t>
  </si>
  <si>
    <t>Résiliation HT</t>
  </si>
  <si>
    <t>Intégration TB</t>
  </si>
  <si>
    <t>situation arrêtée au 31/12/2019</t>
  </si>
  <si>
    <t>date de Résiliation</t>
  </si>
  <si>
    <t>Intégration électricité HT:</t>
  </si>
  <si>
    <t>Clients privés</t>
  </si>
  <si>
    <t>Clients 
HT/HP</t>
  </si>
  <si>
    <t>Créances Travaux</t>
  </si>
  <si>
    <t>Total Créances</t>
  </si>
  <si>
    <t>Délais Crédit Client 
énergie (jours)</t>
  </si>
  <si>
    <t>Taux Encais. (%)</t>
  </si>
  <si>
    <t>Abonnés
 Ordinaires</t>
  </si>
  <si>
    <t>Abonnés 
MT/MP</t>
  </si>
  <si>
    <t>Abonnés 
FSM</t>
  </si>
  <si>
    <t>Clients HT/HP Privés</t>
  </si>
  <si>
    <t>Abonnés
 FSM</t>
  </si>
  <si>
    <t>Clients HT/HP Etatiques</t>
  </si>
  <si>
    <t xml:space="preserve">Abonnés
Administratifs </t>
  </si>
  <si>
    <t>RD Centre</t>
  </si>
  <si>
    <t>Total privés</t>
  </si>
  <si>
    <t>Total ADM</t>
  </si>
  <si>
    <t>Total travaux</t>
  </si>
  <si>
    <t>Objectif 2020</t>
  </si>
  <si>
    <t>Solde 2020</t>
  </si>
  <si>
    <t>Obj 2020</t>
  </si>
  <si>
    <t>Rapprochement 2019</t>
  </si>
  <si>
    <t>Rapprochement 2020</t>
  </si>
  <si>
    <t>Objectif  2020</t>
  </si>
  <si>
    <t>fin d'année</t>
  </si>
  <si>
    <t>2019/2020</t>
  </si>
  <si>
    <t>Evolution : Obj 20/Réal 20</t>
  </si>
  <si>
    <t xml:space="preserve"> MAATKAS</t>
  </si>
  <si>
    <t>II-Résiliation</t>
  </si>
  <si>
    <t xml:space="preserve"> Solde au 31/03/2019</t>
  </si>
  <si>
    <t xml:space="preserve"> Solde au 30/04/2019</t>
  </si>
  <si>
    <t xml:space="preserve">DBK </t>
  </si>
  <si>
    <t xml:space="preserve">AEH </t>
  </si>
  <si>
    <t>AZEFFOUNE</t>
  </si>
  <si>
    <t xml:space="preserve"> IFERHOUNENE</t>
  </si>
  <si>
    <t>AIN OUSSERA</t>
  </si>
  <si>
    <t>MESSAAD</t>
  </si>
  <si>
    <t>HASSI BAHBAH</t>
  </si>
  <si>
    <t>DJELFA OUEST</t>
  </si>
  <si>
    <t>EL IDRISSIA</t>
  </si>
  <si>
    <t>HAD SAHARY</t>
  </si>
  <si>
    <t>AIN EL IBEL</t>
  </si>
  <si>
    <t>DJELFA DJADIDA</t>
  </si>
  <si>
    <t>SIDI LAADJEL</t>
  </si>
  <si>
    <t>FEID EL BOTMA</t>
  </si>
  <si>
    <t>Feid ElBotma</t>
  </si>
  <si>
    <t>Ain Elibel</t>
  </si>
  <si>
    <t>recette MT ADM</t>
  </si>
  <si>
    <t>recette MT SE</t>
  </si>
  <si>
    <t>recette FSM</t>
  </si>
  <si>
    <t>recette FRM</t>
  </si>
  <si>
    <t>recette EAU</t>
  </si>
  <si>
    <t> recette ao</t>
  </si>
  <si>
    <t>eaux</t>
  </si>
  <si>
    <t>Delfa</t>
  </si>
  <si>
    <t>Prise en charges</t>
  </si>
  <si>
    <t>Privé</t>
  </si>
  <si>
    <t xml:space="preserve">Mois </t>
  </si>
  <si>
    <t>Assainissement de Fichier</t>
  </si>
  <si>
    <t>Chantier/Branchement Provisoire</t>
  </si>
  <si>
    <t>Créances impayées</t>
  </si>
  <si>
    <t>Demande clients</t>
  </si>
  <si>
    <t>Double emploi</t>
  </si>
  <si>
    <t>Fraude</t>
  </si>
  <si>
    <t>Mutation</t>
  </si>
  <si>
    <t>Raisons sécuritaires</t>
  </si>
  <si>
    <t>Relogement/Démolition</t>
  </si>
  <si>
    <t>Autres (A préciser)</t>
  </si>
  <si>
    <t>Total Résiliation</t>
  </si>
  <si>
    <t>Dif.</t>
  </si>
  <si>
    <t>Cumul au mois</t>
  </si>
  <si>
    <t xml:space="preserve">Motifs de résiliations RDC </t>
  </si>
  <si>
    <t xml:space="preserve">Nouveaux clients électricité </t>
  </si>
  <si>
    <t>Nouveaux clients  gaz</t>
  </si>
  <si>
    <t>Clientèle électricité :</t>
  </si>
  <si>
    <t>T.E%</t>
  </si>
  <si>
    <t>T.R%</t>
  </si>
  <si>
    <t>Poids %</t>
  </si>
  <si>
    <r>
      <t xml:space="preserve">4 </t>
    </r>
    <r>
      <rPr>
        <vertAlign val="superscript"/>
        <sz val="12"/>
        <color theme="0" tint="-0.34998626667073579"/>
        <rFont val="Calibri"/>
        <family val="2"/>
        <scheme val="minor"/>
      </rPr>
      <t>ème</t>
    </r>
    <r>
      <rPr>
        <sz val="12"/>
        <color theme="0" tint="-0.34998626667073579"/>
        <rFont val="Calibri"/>
        <family val="2"/>
        <scheme val="minor"/>
      </rPr>
      <t xml:space="preserve"> trim</t>
    </r>
  </si>
  <si>
    <t>Cumul au 31/12/2019</t>
  </si>
  <si>
    <t>Apports</t>
  </si>
  <si>
    <t xml:space="preserve">Nouveaux clients </t>
  </si>
  <si>
    <t>HTB</t>
  </si>
  <si>
    <t xml:space="preserve">Résiliation </t>
  </si>
  <si>
    <t>Résiliation des clients</t>
  </si>
  <si>
    <t xml:space="preserve">Accroissement </t>
  </si>
  <si>
    <t>Accroissement des clients</t>
  </si>
  <si>
    <t>Total client</t>
  </si>
  <si>
    <t>Accroi.</t>
  </si>
  <si>
    <t>Total Clts</t>
  </si>
  <si>
    <t>Résil.</t>
  </si>
  <si>
    <t>Réabonnement</t>
  </si>
  <si>
    <t xml:space="preserve">Clientèle GAZ </t>
  </si>
  <si>
    <t>Clientèle GAZ:</t>
  </si>
  <si>
    <t xml:space="preserve">Apport Nouveaux clients </t>
  </si>
  <si>
    <t>Cumul mois</t>
  </si>
  <si>
    <t>M-1</t>
  </si>
  <si>
    <t>M</t>
  </si>
  <si>
    <t>période</t>
  </si>
  <si>
    <t>etude</t>
  </si>
  <si>
    <t>délai d'etude</t>
  </si>
  <si>
    <t>Pertes GLB</t>
  </si>
  <si>
    <t>Taux Pert</t>
  </si>
  <si>
    <t>Pertes BT</t>
  </si>
  <si>
    <t>taux BT</t>
  </si>
  <si>
    <t>Valorisation</t>
  </si>
  <si>
    <t>AEH</t>
  </si>
  <si>
    <t>OUAGUENOUN</t>
  </si>
  <si>
    <t>AZEFFOUN</t>
  </si>
  <si>
    <t>MAATKAS</t>
  </si>
  <si>
    <t>IFERHOUNENE</t>
  </si>
  <si>
    <t>Djelfa Est - 451-</t>
  </si>
  <si>
    <t>Ain Oussera -452-</t>
  </si>
  <si>
    <t>Messaad -453-</t>
  </si>
  <si>
    <t>Hassi Bahbah -454-</t>
  </si>
  <si>
    <t>Djelfa Ouest -455-</t>
  </si>
  <si>
    <t>Elidrissia -456-</t>
  </si>
  <si>
    <t>Had Sahary -457-</t>
  </si>
  <si>
    <t>Ain Elibel -458-</t>
  </si>
  <si>
    <t>Djelfa Djadida -459-</t>
  </si>
  <si>
    <t>Sidi Laadjel -45B-</t>
  </si>
  <si>
    <t>Feid ElBotma -45C-</t>
  </si>
  <si>
    <t>S/OKBA</t>
  </si>
  <si>
    <t>EL OUTAYA</t>
  </si>
  <si>
    <t>Z/ELOUED</t>
  </si>
  <si>
    <t>EL ALIYA</t>
  </si>
  <si>
    <t xml:space="preserve">Evolution </t>
  </si>
  <si>
    <t xml:space="preserve"> Obj 20/Réal 20</t>
  </si>
  <si>
    <t>Déc.-19</t>
  </si>
  <si>
    <t>novembre.-19</t>
  </si>
  <si>
    <t>novembre.-20</t>
  </si>
  <si>
    <t>MT/MP privés sans les eaux</t>
  </si>
  <si>
    <t>MT/MP privés avec les eaux</t>
  </si>
  <si>
    <t>Créances FRM</t>
  </si>
  <si>
    <t>Créances FSM ADM</t>
  </si>
  <si>
    <t>Tvx ADM</t>
  </si>
  <si>
    <t>Obj 20/Réal 20</t>
  </si>
  <si>
    <t>Tvx ACI</t>
  </si>
  <si>
    <t>AO Agence</t>
  </si>
  <si>
    <t>Créances HTB/HP sans les eaux</t>
  </si>
  <si>
    <t>Créances HTB/HP</t>
  </si>
  <si>
    <t>Obj 2021</t>
  </si>
  <si>
    <t>Taux              H. Délai</t>
  </si>
  <si>
    <t>Objectif 2021</t>
  </si>
  <si>
    <t xml:space="preserve">Ecart (1) </t>
  </si>
  <si>
    <t xml:space="preserve">TABLEAU DE BORD </t>
  </si>
  <si>
    <t>pertes mois %</t>
  </si>
  <si>
    <t>pertes mois Gwh</t>
  </si>
  <si>
    <t>NB: Les écarts sont dus aux discordances entre le nombre de résiliations affiché sur les états CRMS ''apport client ELEC et gaz'' avec le nombre transmis par les agences commerciales (calculé à partir du CRMS ''évenement BT/BP'' ).</t>
  </si>
  <si>
    <t>NB: Les écarts sont dus aux discordances entre le nombre de résiliations affiché sur les états CRMS ''apport clients ELEC et gaz'' avec le nombre transmis par les agences commerciales (calculé à partir du CRMS ''évenement BT/BP'' ).</t>
  </si>
  <si>
    <t>Aout</t>
  </si>
  <si>
    <t>II-  Résiliation</t>
  </si>
  <si>
    <t>II-  Apport</t>
  </si>
  <si>
    <t>II-  Réabonnement</t>
  </si>
  <si>
    <t>Apport nouveau</t>
  </si>
  <si>
    <t>Nombre de client</t>
  </si>
  <si>
    <t>Résiliation</t>
  </si>
  <si>
    <t>II-  Apport nouveau</t>
  </si>
  <si>
    <t xml:space="preserve">II-  Accroissement </t>
  </si>
  <si>
    <t xml:space="preserve">II-  Apport </t>
  </si>
  <si>
    <t>II-  Accroissement</t>
  </si>
  <si>
    <t>II- Résiliation</t>
  </si>
  <si>
    <t>II- Apport</t>
  </si>
  <si>
    <t>Apport</t>
  </si>
  <si>
    <t>Oct.</t>
  </si>
  <si>
    <t>Nov.</t>
  </si>
  <si>
    <t>Déc.</t>
  </si>
  <si>
    <t>Sept</t>
  </si>
  <si>
    <t>Oct</t>
  </si>
  <si>
    <t>objetcif</t>
  </si>
  <si>
    <t xml:space="preserve">Novembre </t>
  </si>
  <si>
    <t>Solde  CréancesEnergie sans les eaux (MDA)</t>
  </si>
  <si>
    <t>Obj 2022</t>
  </si>
  <si>
    <t>Ain Defla</t>
  </si>
  <si>
    <t>Chlef</t>
  </si>
  <si>
    <t>Tissemssilt</t>
  </si>
  <si>
    <t>Tissimssilt</t>
  </si>
  <si>
    <t xml:space="preserve">A.   Traitement de la demande électricité </t>
  </si>
  <si>
    <t>A.   Traitement de la demande Gaz</t>
  </si>
  <si>
    <t>TP</t>
  </si>
  <si>
    <t>Pertes</t>
  </si>
  <si>
    <t>Tissimsilt</t>
  </si>
  <si>
    <t>Créances Gros Débiteurs  à janvier 2021 (MDA)</t>
  </si>
  <si>
    <t xml:space="preserve">Consommation moyenne spécifique par clients </t>
  </si>
  <si>
    <t>TISSEMSILT</t>
  </si>
  <si>
    <t>THENIET EL HAD</t>
  </si>
  <si>
    <t>BORDJ BOUNAAMA</t>
  </si>
  <si>
    <t>Hai Bensouna</t>
  </si>
  <si>
    <t>Ouled Mohamed</t>
  </si>
  <si>
    <t>Oued Fodda</t>
  </si>
  <si>
    <t>Oued sly</t>
  </si>
  <si>
    <t>Boukader</t>
  </si>
  <si>
    <t>Tenes EST</t>
  </si>
  <si>
    <t>Tenes Ouest</t>
  </si>
  <si>
    <t>Ouled Fares</t>
  </si>
  <si>
    <t>Chettia</t>
  </si>
  <si>
    <t>Ain Merane</t>
  </si>
  <si>
    <t>AIN DEFLA</t>
  </si>
  <si>
    <t>EL KHEMIS</t>
  </si>
  <si>
    <t>EL ATTAF</t>
  </si>
  <si>
    <t>DJELIDA</t>
  </si>
  <si>
    <t>MILIANA</t>
  </si>
  <si>
    <t>DJENDEL</t>
  </si>
  <si>
    <t xml:space="preserve">MP </t>
  </si>
  <si>
    <t xml:space="preserve">BT </t>
  </si>
  <si>
    <t xml:space="preserve">                    MT/MP ADM sans les eaux</t>
  </si>
  <si>
    <t xml:space="preserve">                   les eaux</t>
  </si>
  <si>
    <t>MT-MP ADM sans les eaux</t>
  </si>
  <si>
    <t>Les eaux MT-MP ADM</t>
  </si>
  <si>
    <t>2021/2022</t>
  </si>
  <si>
    <t>Réal 22/Déc 21</t>
  </si>
  <si>
    <t>Objectif</t>
  </si>
  <si>
    <t>2022/2021 (%)</t>
  </si>
  <si>
    <t>2022/Déc 2021 (%)</t>
  </si>
  <si>
    <t>Solde sans les eaux</t>
  </si>
  <si>
    <t>Privées</t>
  </si>
  <si>
    <t>Total Energie</t>
  </si>
  <si>
    <t xml:space="preserve">AO </t>
  </si>
  <si>
    <t>MT/MP Privées</t>
  </si>
  <si>
    <t>Total Privés</t>
  </si>
  <si>
    <t xml:space="preserve">MT/MP </t>
  </si>
  <si>
    <t>HTA privés</t>
  </si>
  <si>
    <t>HTA ADM</t>
  </si>
  <si>
    <t>RD Blida</t>
  </si>
  <si>
    <t>Solde avec les eaux</t>
  </si>
  <si>
    <t>Prise en charges sans les eaux</t>
  </si>
  <si>
    <t>Recettes</t>
  </si>
  <si>
    <t>DCC sans les eaux</t>
  </si>
  <si>
    <t>Ecart/période</t>
  </si>
  <si>
    <t>Ecart/objectif</t>
  </si>
  <si>
    <t>Créances énergies sans les eaux</t>
  </si>
  <si>
    <t>Créances Privés</t>
  </si>
  <si>
    <t>Créances privés sans les eaux</t>
  </si>
  <si>
    <t>Taux encais</t>
  </si>
  <si>
    <t>écart/ mois (n-1)</t>
  </si>
  <si>
    <t>Tx Evol/ mois (n-1)</t>
  </si>
  <si>
    <t>Déc.-2021</t>
  </si>
  <si>
    <t>mois 2021</t>
  </si>
  <si>
    <t>mois 2022</t>
  </si>
  <si>
    <t>Eaux HTA privés</t>
  </si>
  <si>
    <t>Eaux HTB privés</t>
  </si>
  <si>
    <t>Eaux ADM</t>
  </si>
  <si>
    <t>IV-  Achats gaz &amp; pertes d'énergie (M3/%)</t>
  </si>
  <si>
    <t>HAY BENSOUNA CHLEF 611</t>
  </si>
  <si>
    <t>OULED MOHAMED CHLEF 612</t>
  </si>
  <si>
    <t>OUED FODDA 613</t>
  </si>
  <si>
    <t>OUED SLY 614</t>
  </si>
  <si>
    <t>BOUKADIR 616</t>
  </si>
  <si>
    <t>TENES EST 617</t>
  </si>
  <si>
    <t>TENES OUEST 618</t>
  </si>
  <si>
    <t>OULED FARES 619</t>
  </si>
  <si>
    <t>CHETTIA 61A</t>
  </si>
  <si>
    <t>AIN MERANE 61B</t>
  </si>
  <si>
    <t>MT MP</t>
  </si>
  <si>
    <t>Etabli le://2022</t>
  </si>
  <si>
    <t xml:space="preserve"> BENIE DOUALA</t>
  </si>
  <si>
    <t xml:space="preserve"> DBK </t>
  </si>
  <si>
    <t xml:space="preserve"> AZAZGA</t>
  </si>
  <si>
    <t xml:space="preserve"> TIZI OUZOU</t>
  </si>
  <si>
    <t xml:space="preserve"> AZEFFOUN</t>
  </si>
  <si>
    <t>Ain defla</t>
  </si>
  <si>
    <t>El khemis</t>
  </si>
  <si>
    <t>El attaf</t>
  </si>
  <si>
    <t>Djelida</t>
  </si>
  <si>
    <t>Miliana</t>
  </si>
  <si>
    <t>Djendel</t>
  </si>
  <si>
    <t xml:space="preserve">Djelfa Est </t>
  </si>
  <si>
    <t xml:space="preserve">Ain Oussera </t>
  </si>
  <si>
    <t xml:space="preserve">Hassi Bahbah </t>
  </si>
  <si>
    <t xml:space="preserve">Djelfa Ouest </t>
  </si>
  <si>
    <t xml:space="preserve">Elidrissia </t>
  </si>
  <si>
    <t xml:space="preserve">Had Sahary </t>
  </si>
  <si>
    <t xml:space="preserve">Djelfa Djadida </t>
  </si>
  <si>
    <t xml:space="preserve">Sidi Laadjel </t>
  </si>
  <si>
    <t>Agence Tissemsilt</t>
  </si>
  <si>
    <t>Agence Theniet el Had</t>
  </si>
  <si>
    <t>Agence Bordj Bounaama</t>
  </si>
  <si>
    <t>,</t>
  </si>
  <si>
    <t>Les eaux ADM</t>
  </si>
  <si>
    <t>2022/2021</t>
  </si>
  <si>
    <t>Réal /Obj</t>
  </si>
  <si>
    <t>Corrigé</t>
  </si>
  <si>
    <t>RDBlida</t>
  </si>
  <si>
    <t>AO(41105+41108)</t>
  </si>
  <si>
    <t>Les eaux privée</t>
  </si>
  <si>
    <t>les eaux HT-HP</t>
  </si>
  <si>
    <t>Total Eaux</t>
  </si>
  <si>
    <t>Travaux Privé</t>
  </si>
  <si>
    <t>Créances irrécouvrable</t>
  </si>
  <si>
    <t>Client irrécouvrable, DSA et Zone d'ombre</t>
  </si>
  <si>
    <t>TOTAL Général sans les eaux sans créances irrécouvrable et sans DSA et Zone d'ombre</t>
  </si>
  <si>
    <t>Travaux</t>
  </si>
  <si>
    <t>Evolution solde /mois</t>
  </si>
  <si>
    <t>Evolution solde /fin d'année</t>
  </si>
  <si>
    <t>61A</t>
  </si>
  <si>
    <t>61B</t>
  </si>
  <si>
    <t>SNTF</t>
  </si>
  <si>
    <t>HAY BENSOUNA CHLEF</t>
  </si>
  <si>
    <t>OULED MOHAMED CHLEF</t>
  </si>
  <si>
    <t>OUED FODDA</t>
  </si>
  <si>
    <t>OUED SLY</t>
  </si>
  <si>
    <t>BOUKADIR</t>
  </si>
  <si>
    <t>TENES EST</t>
  </si>
  <si>
    <t>TENES OUEST</t>
  </si>
  <si>
    <t>OULED FARES</t>
  </si>
  <si>
    <t>CHETTIA</t>
  </si>
  <si>
    <t>AIN MERANE</t>
  </si>
  <si>
    <t>TONIC INDUSTRIE BOUISMAIL</t>
  </si>
  <si>
    <t>Client</t>
  </si>
  <si>
    <t xml:space="preserve"> HT/HP </t>
  </si>
  <si>
    <t>Client P privé</t>
  </si>
  <si>
    <t xml:space="preserve">Les eaux HTB-HP </t>
  </si>
  <si>
    <t>DBK</t>
  </si>
  <si>
    <t>BENI-DOUALA</t>
  </si>
  <si>
    <t>Ventes MTH</t>
  </si>
  <si>
    <t>créances AO ont été corrigé par telephone</t>
  </si>
  <si>
    <t xml:space="preserve">Solde sans les eaux </t>
  </si>
  <si>
    <t>Taux de pétration gaz</t>
  </si>
  <si>
    <t>Taux d'encaissement avec les eaux</t>
  </si>
  <si>
    <t>Taux d'encaissement sans les eaux</t>
  </si>
  <si>
    <t xml:space="preserve">Blida-Est </t>
  </si>
  <si>
    <t>Blida-Ouest BE</t>
  </si>
  <si>
    <t>au 31/12/2022</t>
  </si>
  <si>
    <t xml:space="preserve">Obj </t>
  </si>
  <si>
    <t>Portefeuille         au 31/12/22     (1)</t>
  </si>
  <si>
    <t>Portefeuille     au 31/12/2023 (1)+(2)-(3)-(4)</t>
  </si>
  <si>
    <t xml:space="preserve">Créances à </t>
  </si>
  <si>
    <t>Crédit client 2023</t>
  </si>
  <si>
    <t>Solde 2023</t>
  </si>
  <si>
    <t>corr MP janv en fev</t>
  </si>
  <si>
    <t xml:space="preserve"> Créances Globale (MDA)</t>
  </si>
  <si>
    <t>Sans ADE</t>
  </si>
  <si>
    <t>Sans ADE APC SNTF</t>
  </si>
  <si>
    <t xml:space="preserve"> Créances ADE (MDA)</t>
  </si>
  <si>
    <t xml:space="preserve"> Créances ADE + APC + SNTF (MDA)</t>
  </si>
  <si>
    <t xml:space="preserve"> Créances sans ADE (MDA)</t>
  </si>
  <si>
    <t xml:space="preserve"> Créances sans ADE + APC + SNTF (MDA)</t>
  </si>
  <si>
    <t xml:space="preserve">III-  Ventes gaz (M3) </t>
  </si>
  <si>
    <t>2023 cumul</t>
  </si>
  <si>
    <t>2023 mois</t>
  </si>
  <si>
    <t>BENI DOUALA</t>
  </si>
  <si>
    <t>Sans STNF</t>
  </si>
  <si>
    <t xml:space="preserve"> Créances SNTF (MDA)</t>
  </si>
  <si>
    <t>Sans APC</t>
  </si>
  <si>
    <t xml:space="preserve"> Créances  APC (MDA)</t>
  </si>
  <si>
    <t>Sans eaux</t>
  </si>
  <si>
    <t xml:space="preserve"> Créances eaux (MDA)</t>
  </si>
  <si>
    <t>Sans eaux  APC  &amp; SNTF</t>
  </si>
  <si>
    <t>eaux 2023</t>
  </si>
  <si>
    <t>total</t>
  </si>
  <si>
    <t>correction HTA p abondon</t>
  </si>
  <si>
    <t>correction HTB TB</t>
  </si>
  <si>
    <t>correction HTA p abondon/HTA ADM TB</t>
  </si>
  <si>
    <t>correction HTA p abondon on n a pas inclus la BT</t>
  </si>
  <si>
    <t>correction HTA p abondon 22 23</t>
  </si>
  <si>
    <t>correction HTA P TB23</t>
  </si>
  <si>
    <t>correction HTA A TB et abondon 22 24</t>
  </si>
  <si>
    <t>Nombre de factures</t>
  </si>
  <si>
    <t xml:space="preserve">Montant de la facture Définitive  (DA ) </t>
  </si>
  <si>
    <t>Tissemsilt</t>
  </si>
  <si>
    <t>Sans eaux  APC SNTF &amp; DSA</t>
  </si>
  <si>
    <t xml:space="preserve"> Créances Sans eaux  APC DSA  &amp; SNTF(MDA)</t>
  </si>
  <si>
    <t>ER</t>
  </si>
  <si>
    <t>RCN</t>
  </si>
  <si>
    <t>NDP</t>
  </si>
  <si>
    <t>Ecart/chiffres TB</t>
  </si>
  <si>
    <t>DCC MT/MP privés sans les eaux (j) juillet 2023 (1)</t>
  </si>
  <si>
    <t>DCC MT/MP privés sans les eaux (j) juillet  2022 (2)</t>
  </si>
  <si>
    <t>RD</t>
  </si>
  <si>
    <t>Int Bmr</t>
  </si>
  <si>
    <t>MTH</t>
  </si>
  <si>
    <t xml:space="preserve">Résil 1 Tipaza Modern </t>
  </si>
  <si>
    <t>Taux de rendement  gaz</t>
  </si>
  <si>
    <t>Objectif 2024</t>
  </si>
  <si>
    <t>Réalisation 2024</t>
  </si>
  <si>
    <t>Objectif
 2024</t>
  </si>
  <si>
    <t>Réalisations cumulées 2024</t>
  </si>
  <si>
    <r>
      <t>2024-</t>
    </r>
    <r>
      <rPr>
        <b/>
        <sz val="8"/>
        <rFont val="Calibri"/>
        <family val="2"/>
        <scheme val="minor"/>
      </rPr>
      <t>Objectif</t>
    </r>
  </si>
  <si>
    <t>2024 cumul</t>
  </si>
  <si>
    <t>2024 mois</t>
  </si>
  <si>
    <t xml:space="preserve"> Solde au 31/12/ 2023</t>
  </si>
  <si>
    <t>DCC au 31/12/ 2023</t>
  </si>
  <si>
    <t>Chiffre d'affaire cumulé 2024 (MDA)</t>
  </si>
  <si>
    <t>Objectif 2024 en MDA</t>
  </si>
  <si>
    <t>Solde 2024</t>
  </si>
  <si>
    <t>Crédit client 2024</t>
  </si>
  <si>
    <t>Solde mois 2023</t>
  </si>
  <si>
    <t>au mois 2023</t>
  </si>
  <si>
    <t>Obj 2024</t>
  </si>
  <si>
    <t>Portefeuille         au 31/12/2023      (1)</t>
  </si>
  <si>
    <t>Portefeuille     au 31/12/24   (1)+(2)-(3)-(4)</t>
  </si>
  <si>
    <t>Eaux FSM</t>
  </si>
  <si>
    <t>FSM sans les eaux</t>
  </si>
  <si>
    <t>Eaux FRM</t>
  </si>
  <si>
    <t>FRM sans les eaux</t>
  </si>
  <si>
    <t>FRM Sans les eaux</t>
  </si>
  <si>
    <t>FSM Sans les eaux</t>
  </si>
  <si>
    <t>Branchements 7J</t>
  </si>
  <si>
    <t xml:space="preserve"> Créances ADE  APC  &amp; SNTF(MDA)</t>
  </si>
  <si>
    <t xml:space="preserve"> Créances Sans DSA </t>
  </si>
  <si>
    <t>CHLEF</t>
  </si>
  <si>
    <t xml:space="preserve">Nombre d'affaires </t>
  </si>
  <si>
    <t>Désignation (En MDA)</t>
  </si>
  <si>
    <t>Au</t>
  </si>
  <si>
    <t>Solde cumulé 2023</t>
  </si>
  <si>
    <t>Solde cumulé 2024</t>
  </si>
  <si>
    <t>TE</t>
  </si>
  <si>
    <t xml:space="preserve">OBJ </t>
  </si>
  <si>
    <t>Ecart /Objectif</t>
  </si>
  <si>
    <t>TR (%)</t>
  </si>
  <si>
    <t>objectif juin 2022</t>
  </si>
  <si>
    <t>DCC (Jrs)</t>
  </si>
  <si>
    <t>23 /22</t>
  </si>
  <si>
    <t>23 /Dec.22</t>
  </si>
  <si>
    <t>Abonnés Ordinaires</t>
  </si>
  <si>
    <t>Abonnés FRM</t>
  </si>
  <si>
    <t>eaux FRM</t>
  </si>
  <si>
    <t>Abonnés HTA / MP Privés</t>
  </si>
  <si>
    <t>eaux HTA/MP privés</t>
  </si>
  <si>
    <t>HTA/MP Privés Sans les eaux</t>
  </si>
  <si>
    <t>S/Total Clients Privés Sans HTB HP</t>
  </si>
  <si>
    <t xml:space="preserve"> HTB / HP</t>
  </si>
  <si>
    <t>eaux HT/HP</t>
  </si>
  <si>
    <t>client particuliers</t>
  </si>
  <si>
    <t>HT/HP Sans les eaux &amp; clients particuliers</t>
  </si>
  <si>
    <t>Total Clients Privés avec HT HP</t>
  </si>
  <si>
    <t>Total Clients Privés sans les eaux et client particuliers</t>
  </si>
  <si>
    <t>Abonnés FSM</t>
  </si>
  <si>
    <t>eaux FSM ADM</t>
  </si>
  <si>
    <t>FSM ADM Sans les eaux</t>
  </si>
  <si>
    <t>Abonnés MT/MP ADM</t>
  </si>
  <si>
    <t>eaux MT/MP ADM</t>
  </si>
  <si>
    <t>MT/MP ADM Sans les eaux</t>
  </si>
  <si>
    <t>Total Clients Administratifs</t>
  </si>
  <si>
    <t>C</t>
  </si>
  <si>
    <t>Total Energie sans les Ressources en Eaux</t>
  </si>
  <si>
    <t>Abonnés Administratifs</t>
  </si>
  <si>
    <t>Total Travaux</t>
  </si>
  <si>
    <t xml:space="preserve">Total Général </t>
  </si>
  <si>
    <t>les Ressources en Eaux</t>
  </si>
  <si>
    <t>Total Général  sans les eaux</t>
  </si>
  <si>
    <t>DSA &amp; zones d'ombre exigible</t>
  </si>
  <si>
    <t>TOTAL Général sans DSA &amp; zones d'ombre exigible</t>
  </si>
  <si>
    <t>Créance ADE</t>
  </si>
  <si>
    <t>Créances sans ADE</t>
  </si>
  <si>
    <t>Créances SNTF</t>
  </si>
  <si>
    <t>Créances sans  SNTF</t>
  </si>
  <si>
    <t>Créances APC</t>
  </si>
  <si>
    <t>Créances sans  APC</t>
  </si>
  <si>
    <t>Créances ADE, SNTF &amp; APC</t>
  </si>
  <si>
    <t>Créances globales sans  APC/ADE &amp; SNTF</t>
  </si>
  <si>
    <t>Créances globales sans  les Eaux /DSA/SNTF &amp; APC</t>
  </si>
  <si>
    <t>Cumul 2023</t>
  </si>
  <si>
    <t>Cumul à 2024</t>
  </si>
  <si>
    <t>Branchements 10J</t>
  </si>
  <si>
    <t>extensions BT (≤150 m)</t>
  </si>
  <si>
    <t>extensions HTA (≤100 m)</t>
  </si>
  <si>
    <t>extensions BP (≤100 m)</t>
  </si>
  <si>
    <t>évol° 24/23 (%)</t>
  </si>
  <si>
    <t>évol° 24/23-mois (%)</t>
  </si>
  <si>
    <t>eaux 2024</t>
  </si>
  <si>
    <t>Sans DSA</t>
  </si>
  <si>
    <t>correction CA Janv en fév</t>
  </si>
  <si>
    <t>correction V et CA MT Mpet CA BP janv en fev</t>
  </si>
  <si>
    <t>MÉDÉA</t>
  </si>
  <si>
    <t>BOUMERDES</t>
  </si>
  <si>
    <t>TIPAZA</t>
  </si>
  <si>
    <t>TIZI-OUZOU</t>
  </si>
  <si>
    <t>2023/2024</t>
  </si>
  <si>
    <t>Réal 24/Déc 23</t>
  </si>
  <si>
    <t>Réal 24/Obj 23</t>
  </si>
  <si>
    <r>
      <t xml:space="preserve">  </t>
    </r>
    <r>
      <rPr>
        <b/>
        <sz val="9"/>
        <rFont val="Calibri"/>
        <family val="2"/>
        <scheme val="minor"/>
      </rPr>
      <t>FSM</t>
    </r>
  </si>
  <si>
    <t>TCC TERRE CUITE CORSO</t>
  </si>
  <si>
    <t>Céramique</t>
  </si>
  <si>
    <t xml:space="preserve">Résil </t>
  </si>
  <si>
    <t>Résil</t>
  </si>
  <si>
    <t>Evolution : Obj 24/Réal 24</t>
  </si>
  <si>
    <t>Chiffre d'affaire cumulé  2024 (MDA)</t>
  </si>
  <si>
    <t>TG</t>
  </si>
  <si>
    <t>HPTh</t>
  </si>
  <si>
    <t>HPM3</t>
  </si>
  <si>
    <t>demande de client</t>
  </si>
  <si>
    <t>FSM ADM</t>
  </si>
  <si>
    <t>correction V Elec mars en avril</t>
  </si>
  <si>
    <t>correction V MT fév en avril+CA MT fév et CA MP janv en avril</t>
  </si>
  <si>
    <t>correction CA fév en avril</t>
  </si>
  <si>
    <t>correction V FSM elec janv en avril</t>
  </si>
  <si>
    <t>Région</t>
  </si>
  <si>
    <t>correct V AO G mars en mai</t>
  </si>
  <si>
    <t xml:space="preserve"> correction V avril mars en mai+CA MP mars en mai</t>
  </si>
  <si>
    <t>KADIRIA</t>
  </si>
  <si>
    <t xml:space="preserve"> Créances sans DSA (MDA)</t>
  </si>
  <si>
    <t>Ménage</t>
  </si>
  <si>
    <t>Non ménage</t>
  </si>
  <si>
    <t>Solde total</t>
  </si>
  <si>
    <t>Solde (N-1)</t>
  </si>
  <si>
    <t>Solde (N)</t>
  </si>
  <si>
    <t>Ecart 2023</t>
  </si>
  <si>
    <t>Ecart 2024</t>
  </si>
  <si>
    <t>correction en Bouira et TO en mai</t>
  </si>
  <si>
    <t>Bouinan</t>
  </si>
  <si>
    <t>Bougara</t>
  </si>
  <si>
    <t>SARL NTI</t>
  </si>
  <si>
    <t>correct V et CA BT BP juin en juillet</t>
  </si>
  <si>
    <t>Tiziouzou</t>
  </si>
  <si>
    <t>DSA  RD De Blida à fin juillet 2024</t>
  </si>
  <si>
    <t>Total  Global</t>
  </si>
  <si>
    <t>Solde des EAUX</t>
  </si>
  <si>
    <t>Solde SNTF</t>
  </si>
  <si>
    <t>Solde APC</t>
  </si>
  <si>
    <t>Solde DSA &amp; zones d'ombre</t>
  </si>
  <si>
    <t>privé avec les eaux</t>
  </si>
  <si>
    <t>privé sans les eaux</t>
  </si>
  <si>
    <t>Tableau de bord mois de aout 2024</t>
  </si>
  <si>
    <t>Mois aout 2024</t>
  </si>
  <si>
    <t>Evolution du solde global à Aout 2024</t>
  </si>
  <si>
    <t>solde trav n-1</t>
  </si>
  <si>
    <t>DSA n-1</t>
  </si>
  <si>
    <t>corr V juilet en aout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</si>
</sst>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48">
    <numFmt numFmtId="44" formatCode="_-* #,##0.00\ &quot;€&quot;_-;\-* #,##0.00\ &quot;€&quot;_-;_-* &quot;-&quot;??\ &quot;€&quot;_-;_-@_-"/>
    <numFmt numFmtId="43" formatCode="_-* #,##0.00_-;\-* #,##0.00_-;_-* &quot;-&quot;??_-;_-@_-"/>
    <numFmt numFmtId="164" formatCode="_-* #,##0.00\ _€_-;\-* #,##0.00\ _€_-;_-* &quot;-&quot;??\ _€_-;_-@_-"/>
    <numFmt numFmtId="165" formatCode="_-* #,##0.00\ _F_-;\-* #,##0.00\ _F_-;_-* &quot;-&quot;??\ _F_-;_-@_-"/>
    <numFmt numFmtId="166" formatCode="0.0"/>
    <numFmt numFmtId="167" formatCode="#,##0.0"/>
    <numFmt numFmtId="168" formatCode="_-* #,##0\ _F_-;\-* #,##0\ _F_-;_-* &quot;-&quot;??\ _F_-;_-@_-"/>
    <numFmt numFmtId="169" formatCode="[$-40C]mmm\-yy;@"/>
    <numFmt numFmtId="170" formatCode="_-* #,##0.0\ _€_-;\-* #,##0.0\ _€_-;_-* &quot;-&quot;??\ _€_-;_-@_-"/>
    <numFmt numFmtId="171" formatCode="_-* #,##0\ _€_-;\-* #,##0\ _€_-;_-* &quot;-&quot;??\ _€_-;_-@_-"/>
    <numFmt numFmtId="172" formatCode="0.000"/>
    <numFmt numFmtId="173" formatCode="0.000000"/>
    <numFmt numFmtId="174" formatCode="0.00000000"/>
    <numFmt numFmtId="175" formatCode="#,##0.000"/>
    <numFmt numFmtId="176" formatCode="#,##0.000000"/>
    <numFmt numFmtId="177" formatCode="#,##0.0000"/>
    <numFmt numFmtId="178" formatCode="0.0000"/>
    <numFmt numFmtId="179" formatCode="0.00000"/>
    <numFmt numFmtId="180" formatCode="#,##0.00000"/>
    <numFmt numFmtId="181" formatCode="#,##0_ ;\-#,##0\ "/>
    <numFmt numFmtId="182" formatCode="_-* #,##0.000\ _F_-;\-* #,##0.000\ _F_-;_-* &quot;-&quot;??\ _F_-;_-@_-"/>
    <numFmt numFmtId="183" formatCode="#,##0.00_ ;\-#,##0.00\ "/>
    <numFmt numFmtId="184" formatCode="0.0000000"/>
    <numFmt numFmtId="185" formatCode="#,##0.00000000"/>
    <numFmt numFmtId="186" formatCode="_-* #,##0_-;_-* #,##0\-;_-* &quot;-&quot;_-;_-@_-"/>
    <numFmt numFmtId="187" formatCode="_-* #,##0.00000000\ _€_-;\-* #,##0.00000000\ _€_-;_-* &quot;-&quot;??\ _€_-;_-@_-"/>
    <numFmt numFmtId="188" formatCode="_-* #,##0.000000\ _F_-;\-* #,##0.000000\ _F_-;_-* &quot;-&quot;??\ _F_-;_-@_-"/>
    <numFmt numFmtId="189" formatCode="_-* #,##0.00\ &quot;F&quot;_-;\-* #,##0.00\ &quot;F&quot;_-;_-* &quot;-&quot;??\ &quot;F&quot;_-;_-@_-"/>
    <numFmt numFmtId="190" formatCode="_-* #,##0.000\ _€_-;\-* #,##0.000\ _€_-;_-* &quot;-&quot;??\ _€_-;_-@_-"/>
    <numFmt numFmtId="191" formatCode="_(* #,##0.0000_);_(* \(#,##0.0000\);_(* &quot;-&quot;??_);_(@_)"/>
    <numFmt numFmtId="192" formatCode="_([$€]* #,##0.00_);_([$€]* \(#,##0.00\);_([$€]* &quot;-&quot;??_);_(@_)"/>
    <numFmt numFmtId="193" formatCode="#,##0\ &quot;F&quot;;\-#,##0\ &quot;F&quot;"/>
    <numFmt numFmtId="194" formatCode="[$-40C]d\-mmm\-yy;@"/>
    <numFmt numFmtId="195" formatCode="#,##0.0000000"/>
    <numFmt numFmtId="196" formatCode="0.0%"/>
    <numFmt numFmtId="197" formatCode="_-* #,##0.000000\ _€_-;\-* #,##0.000000\ _€_-;_-* &quot;-&quot;??\ _€_-;_-@_-"/>
    <numFmt numFmtId="198" formatCode="_-* #,##0.00\ [$€]_-;\-* #,##0.00\ [$€]_-;_-* &quot;-&quot;??\ [$€]_-;_-@_-"/>
    <numFmt numFmtId="199" formatCode="_-* #,##0.0\ _F_-;\-* #,##0.0\ _F_-;_-* &quot;-&quot;??\ _F_-;_-@_-"/>
    <numFmt numFmtId="200" formatCode="mmmm\-yy"/>
    <numFmt numFmtId="201" formatCode="0.00000%"/>
    <numFmt numFmtId="202" formatCode="[$-40C]mmmm\-yy;@"/>
    <numFmt numFmtId="203" formatCode="_-* #,##0.0000\ _€_-;\-* #,##0.0000\ _€_-;_-* &quot;-&quot;??\ _€_-;_-@_-"/>
    <numFmt numFmtId="204" formatCode="_-* #,##0.00000\ _€_-;\-* #,##0.00000\ _€_-;_-* &quot;-&quot;??\ _€_-;_-@_-"/>
    <numFmt numFmtId="205" formatCode="_-* #,##0.0\ _€_-;\-* #,##0.0\ _€_-;_-* &quot;-&quot;?\ _€_-;_-@_-"/>
    <numFmt numFmtId="206" formatCode="_-* #,##0.00000\ _€_-;\-* #,##0.00000\ _€_-;_-* &quot;-&quot;?????\ _€_-;_-@_-"/>
    <numFmt numFmtId="207" formatCode="0.00000000E+00"/>
    <numFmt numFmtId="208" formatCode="#,##0.000000000"/>
    <numFmt numFmtId="209" formatCode="_-* #,##0.0_-;\-* #,##0.0_-;_-* &quot;-&quot;??_-;_-@_-"/>
  </numFmts>
  <fonts count="292">
    <font>
      <sz val="10"/>
      <name val="Arial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indexed="8"/>
      <name val="Calibri"/>
      <family val="2"/>
    </font>
    <font>
      <sz val="10"/>
      <name val="Arial"/>
      <family val="2"/>
    </font>
    <font>
      <b/>
      <sz val="10"/>
      <name val="Times New Roman"/>
      <family val="1"/>
    </font>
    <font>
      <u/>
      <sz val="10"/>
      <color indexed="12"/>
      <name val="Arial"/>
      <family val="2"/>
    </font>
    <font>
      <sz val="12"/>
      <name val="Times New Roman"/>
      <family val="1"/>
    </font>
    <font>
      <sz val="8"/>
      <name val="Times New Roman"/>
      <family val="1"/>
    </font>
    <font>
      <b/>
      <sz val="10"/>
      <color indexed="9"/>
      <name val="Times New Roman"/>
      <family val="1"/>
    </font>
    <font>
      <sz val="10"/>
      <name val="Times New Roman"/>
      <family val="1"/>
    </font>
    <font>
      <sz val="8"/>
      <name val="Arial"/>
      <family val="2"/>
    </font>
    <font>
      <sz val="10"/>
      <name val="Arial"/>
      <family val="2"/>
    </font>
    <font>
      <b/>
      <sz val="10"/>
      <color indexed="12"/>
      <name val="Times New Roman"/>
      <family val="1"/>
    </font>
    <font>
      <b/>
      <sz val="14"/>
      <name val="Times New Roman"/>
      <family val="1"/>
    </font>
    <font>
      <b/>
      <sz val="14"/>
      <color indexed="10"/>
      <name val="Times New Roman"/>
      <family val="1"/>
    </font>
    <font>
      <sz val="10"/>
      <name val="Arial"/>
      <family val="2"/>
    </font>
    <font>
      <sz val="10"/>
      <name val="Calibri"/>
      <family val="2"/>
    </font>
    <font>
      <b/>
      <sz val="10"/>
      <name val="Calibri"/>
      <family val="2"/>
    </font>
    <font>
      <sz val="10"/>
      <name val="Arial"/>
      <family val="2"/>
    </font>
    <font>
      <sz val="10"/>
      <color indexed="18"/>
      <name val="Calibri"/>
      <family val="2"/>
    </font>
    <font>
      <sz val="8"/>
      <name val="Arial"/>
      <family val="2"/>
    </font>
    <font>
      <b/>
      <sz val="16"/>
      <name val="Calibri"/>
      <family val="2"/>
    </font>
    <font>
      <b/>
      <sz val="14"/>
      <color indexed="12"/>
      <name val="Calibri"/>
      <family val="2"/>
    </font>
    <font>
      <sz val="11"/>
      <color indexed="8"/>
      <name val="Calibri"/>
      <family val="2"/>
    </font>
    <font>
      <sz val="8"/>
      <name val="Arial"/>
      <family val="2"/>
    </font>
    <font>
      <sz val="10"/>
      <name val="Arial"/>
      <family val="2"/>
    </font>
    <font>
      <b/>
      <sz val="11"/>
      <color indexed="8"/>
      <name val="Calibri"/>
      <family val="2"/>
    </font>
    <font>
      <sz val="11"/>
      <color indexed="9"/>
      <name val="Calibri"/>
      <family val="2"/>
    </font>
    <font>
      <sz val="11"/>
      <color indexed="10"/>
      <name val="Calibri"/>
      <family val="2"/>
    </font>
    <font>
      <b/>
      <sz val="11"/>
      <color indexed="52"/>
      <name val="Calibri"/>
      <family val="2"/>
    </font>
    <font>
      <sz val="11"/>
      <color indexed="52"/>
      <name val="Calibri"/>
      <family val="2"/>
    </font>
    <font>
      <sz val="11"/>
      <color indexed="62"/>
      <name val="Calibri"/>
      <family val="2"/>
    </font>
    <font>
      <sz val="11"/>
      <color indexed="20"/>
      <name val="Calibri"/>
      <family val="2"/>
    </font>
    <font>
      <sz val="11"/>
      <color indexed="60"/>
      <name val="Calibri"/>
      <family val="2"/>
    </font>
    <font>
      <sz val="11"/>
      <color indexed="17"/>
      <name val="Calibri"/>
      <family val="2"/>
    </font>
    <font>
      <b/>
      <sz val="11"/>
      <color indexed="63"/>
      <name val="Calibri"/>
      <family val="2"/>
    </font>
    <font>
      <i/>
      <sz val="11"/>
      <color indexed="23"/>
      <name val="Calibri"/>
      <family val="2"/>
    </font>
    <font>
      <b/>
      <sz val="18"/>
      <color indexed="56"/>
      <name val="Cambria"/>
      <family val="2"/>
    </font>
    <font>
      <b/>
      <sz val="15"/>
      <color indexed="56"/>
      <name val="Calibri"/>
      <family val="2"/>
    </font>
    <font>
      <b/>
      <sz val="13"/>
      <color indexed="56"/>
      <name val="Calibri"/>
      <family val="2"/>
    </font>
    <font>
      <b/>
      <sz val="11"/>
      <color indexed="56"/>
      <name val="Calibri"/>
      <family val="2"/>
    </font>
    <font>
      <b/>
      <sz val="11"/>
      <color indexed="9"/>
      <name val="Calibri"/>
      <family val="2"/>
    </font>
    <font>
      <sz val="11"/>
      <color theme="1"/>
      <name val="Calibri"/>
      <family val="2"/>
    </font>
    <font>
      <b/>
      <sz val="11"/>
      <color theme="3"/>
      <name val="Calibri"/>
      <family val="2"/>
    </font>
    <font>
      <b/>
      <sz val="11"/>
      <color theme="3"/>
      <name val="Calibri"/>
      <family val="2"/>
      <scheme val="minor"/>
    </font>
    <font>
      <b/>
      <sz val="11"/>
      <color theme="1"/>
      <name val="Calibri"/>
      <family val="2"/>
    </font>
    <font>
      <sz val="10"/>
      <color rgb="FFFF0000"/>
      <name val="Calibri"/>
      <family val="2"/>
    </font>
    <font>
      <sz val="10"/>
      <color theme="0"/>
      <name val="Calibri"/>
      <family val="2"/>
    </font>
    <font>
      <sz val="10"/>
      <name val="Calibri"/>
      <family val="2"/>
      <scheme val="minor"/>
    </font>
    <font>
      <b/>
      <sz val="10"/>
      <color indexed="12"/>
      <name val="Calibri"/>
      <family val="2"/>
      <scheme val="minor"/>
    </font>
    <font>
      <sz val="10"/>
      <color theme="0"/>
      <name val="Calibri"/>
      <family val="2"/>
      <scheme val="minor"/>
    </font>
    <font>
      <b/>
      <sz val="10"/>
      <color theme="0"/>
      <name val="Calibri"/>
      <family val="2"/>
      <scheme val="minor"/>
    </font>
    <font>
      <b/>
      <sz val="10"/>
      <color indexed="9"/>
      <name val="Calibri"/>
      <family val="2"/>
      <scheme val="minor"/>
    </font>
    <font>
      <b/>
      <sz val="16"/>
      <color rgb="FF002060"/>
      <name val="Calibri"/>
      <family val="2"/>
      <scheme val="minor"/>
    </font>
    <font>
      <b/>
      <sz val="10"/>
      <name val="Calibri"/>
      <family val="2"/>
      <scheme val="minor"/>
    </font>
    <font>
      <sz val="18"/>
      <color rgb="FFFF0000"/>
      <name val="Calibri"/>
      <family val="2"/>
      <scheme val="minor"/>
    </font>
    <font>
      <sz val="10"/>
      <color theme="1"/>
      <name val="Calibri"/>
      <family val="2"/>
      <scheme val="minor"/>
    </font>
    <font>
      <sz val="10"/>
      <color rgb="FFFF0000"/>
      <name val="Calibri"/>
      <family val="2"/>
      <scheme val="minor"/>
    </font>
    <font>
      <b/>
      <sz val="10"/>
      <color theme="1"/>
      <name val="Calibri"/>
      <family val="2"/>
      <scheme val="minor"/>
    </font>
    <font>
      <b/>
      <sz val="10"/>
      <color rgb="FFFF0000"/>
      <name val="Calibri"/>
      <family val="2"/>
      <scheme val="minor"/>
    </font>
    <font>
      <b/>
      <sz val="14"/>
      <color indexed="8"/>
      <name val="Calibri"/>
      <family val="2"/>
      <scheme val="minor"/>
    </font>
    <font>
      <sz val="10"/>
      <color indexed="8"/>
      <name val="Calibri"/>
      <family val="2"/>
      <scheme val="minor"/>
    </font>
    <font>
      <b/>
      <sz val="20"/>
      <name val="Calibri"/>
      <family val="2"/>
      <scheme val="minor"/>
    </font>
    <font>
      <b/>
      <sz val="18"/>
      <name val="Calibri"/>
      <family val="2"/>
      <scheme val="minor"/>
    </font>
    <font>
      <b/>
      <sz val="18"/>
      <color indexed="8"/>
      <name val="Calibri"/>
      <family val="2"/>
      <scheme val="minor"/>
    </font>
    <font>
      <b/>
      <sz val="12"/>
      <name val="Calibri"/>
      <family val="2"/>
      <scheme val="minor"/>
    </font>
    <font>
      <sz val="12"/>
      <color indexed="21"/>
      <name val="Calibri"/>
      <family val="2"/>
      <scheme val="minor"/>
    </font>
    <font>
      <sz val="11"/>
      <color indexed="21"/>
      <name val="Calibri"/>
      <family val="2"/>
      <scheme val="minor"/>
    </font>
    <font>
      <sz val="10"/>
      <color indexed="12"/>
      <name val="Calibri"/>
      <family val="2"/>
      <scheme val="minor"/>
    </font>
    <font>
      <b/>
      <sz val="12"/>
      <color indexed="8"/>
      <name val="Calibri"/>
      <family val="2"/>
      <scheme val="minor"/>
    </font>
    <font>
      <sz val="12"/>
      <color indexed="8"/>
      <name val="Calibri"/>
      <family val="2"/>
      <scheme val="minor"/>
    </font>
    <font>
      <b/>
      <sz val="16"/>
      <name val="Calibri"/>
      <family val="2"/>
      <scheme val="minor"/>
    </font>
    <font>
      <b/>
      <sz val="12"/>
      <color indexed="9"/>
      <name val="Calibri"/>
      <family val="2"/>
      <scheme val="minor"/>
    </font>
    <font>
      <sz val="10"/>
      <color indexed="9"/>
      <name val="Calibri"/>
      <family val="2"/>
      <scheme val="minor"/>
    </font>
    <font>
      <sz val="10"/>
      <color indexed="10"/>
      <name val="Calibri"/>
      <family val="2"/>
      <scheme val="minor"/>
    </font>
    <font>
      <b/>
      <sz val="10"/>
      <color indexed="8"/>
      <name val="Calibri"/>
      <family val="2"/>
      <scheme val="minor"/>
    </font>
    <font>
      <b/>
      <sz val="10"/>
      <color indexed="10"/>
      <name val="Calibri"/>
      <family val="2"/>
      <scheme val="minor"/>
    </font>
    <font>
      <b/>
      <u/>
      <sz val="18"/>
      <color indexed="12"/>
      <name val="Calibri"/>
      <family val="2"/>
      <scheme val="minor"/>
    </font>
    <font>
      <sz val="12"/>
      <name val="Calibri"/>
      <family val="2"/>
      <scheme val="minor"/>
    </font>
    <font>
      <b/>
      <sz val="8"/>
      <name val="Calibri"/>
      <family val="2"/>
      <scheme val="minor"/>
    </font>
    <font>
      <sz val="12"/>
      <color indexed="9"/>
      <name val="Calibri"/>
      <family val="2"/>
      <scheme val="minor"/>
    </font>
    <font>
      <b/>
      <u/>
      <sz val="12"/>
      <name val="Calibri"/>
      <family val="2"/>
      <scheme val="minor"/>
    </font>
    <font>
      <sz val="9"/>
      <name val="Calibri"/>
      <family val="2"/>
      <scheme val="minor"/>
    </font>
    <font>
      <sz val="9"/>
      <color indexed="8"/>
      <name val="Calibri"/>
      <family val="2"/>
      <scheme val="minor"/>
    </font>
    <font>
      <b/>
      <sz val="9"/>
      <color indexed="8"/>
      <name val="Calibri"/>
      <family val="2"/>
      <scheme val="minor"/>
    </font>
    <font>
      <sz val="10"/>
      <color indexed="16"/>
      <name val="Calibri"/>
      <family val="2"/>
      <scheme val="minor"/>
    </font>
    <font>
      <sz val="12"/>
      <color indexed="12"/>
      <name val="Calibri"/>
      <family val="2"/>
      <scheme val="minor"/>
    </font>
    <font>
      <b/>
      <sz val="14"/>
      <name val="Calibri"/>
      <family val="2"/>
      <scheme val="minor"/>
    </font>
    <font>
      <b/>
      <sz val="11"/>
      <name val="Calibri"/>
      <family val="2"/>
      <scheme val="minor"/>
    </font>
    <font>
      <b/>
      <sz val="11"/>
      <color indexed="10"/>
      <name val="Calibri"/>
      <family val="2"/>
      <scheme val="minor"/>
    </font>
    <font>
      <sz val="11"/>
      <name val="Calibri"/>
      <family val="2"/>
      <scheme val="minor"/>
    </font>
    <font>
      <sz val="11"/>
      <color indexed="8"/>
      <name val="Calibri"/>
      <family val="2"/>
      <scheme val="minor"/>
    </font>
    <font>
      <b/>
      <sz val="11"/>
      <color indexed="8"/>
      <name val="Calibri"/>
      <family val="2"/>
      <scheme val="minor"/>
    </font>
    <font>
      <sz val="10"/>
      <color indexed="53"/>
      <name val="Calibri"/>
      <family val="2"/>
      <scheme val="minor"/>
    </font>
    <font>
      <sz val="12"/>
      <color indexed="10"/>
      <name val="Calibri"/>
      <family val="2"/>
      <scheme val="minor"/>
    </font>
    <font>
      <b/>
      <sz val="14"/>
      <color indexed="10"/>
      <name val="Calibri"/>
      <family val="2"/>
      <scheme val="minor"/>
    </font>
    <font>
      <b/>
      <sz val="10"/>
      <color indexed="48"/>
      <name val="Calibri"/>
      <family val="2"/>
      <scheme val="minor"/>
    </font>
    <font>
      <b/>
      <i/>
      <sz val="12"/>
      <name val="Calibri"/>
      <family val="2"/>
      <scheme val="minor"/>
    </font>
    <font>
      <sz val="9.5"/>
      <color indexed="8"/>
      <name val="Calibri"/>
      <family val="2"/>
      <scheme val="minor"/>
    </font>
    <font>
      <b/>
      <sz val="9.5"/>
      <color indexed="8"/>
      <name val="Calibri"/>
      <family val="2"/>
      <scheme val="minor"/>
    </font>
    <font>
      <sz val="10"/>
      <color indexed="62"/>
      <name val="Calibri"/>
      <family val="2"/>
      <scheme val="minor"/>
    </font>
    <font>
      <b/>
      <sz val="14"/>
      <color indexed="62"/>
      <name val="Calibri"/>
      <family val="2"/>
      <scheme val="minor"/>
    </font>
    <font>
      <sz val="8"/>
      <color indexed="8"/>
      <name val="Calibri"/>
      <family val="2"/>
      <scheme val="minor"/>
    </font>
    <font>
      <sz val="8"/>
      <name val="Calibri"/>
      <family val="2"/>
      <scheme val="minor"/>
    </font>
    <font>
      <b/>
      <u/>
      <sz val="10"/>
      <name val="Calibri"/>
      <family val="2"/>
      <scheme val="minor"/>
    </font>
    <font>
      <b/>
      <sz val="10"/>
      <color indexed="18"/>
      <name val="Calibri"/>
      <family val="2"/>
      <scheme val="minor"/>
    </font>
    <font>
      <sz val="10"/>
      <color indexed="18"/>
      <name val="Calibri"/>
      <family val="2"/>
      <scheme val="minor"/>
    </font>
    <font>
      <b/>
      <sz val="9"/>
      <color indexed="10"/>
      <name val="Calibri"/>
      <family val="2"/>
      <scheme val="minor"/>
    </font>
    <font>
      <sz val="10"/>
      <color rgb="FF0070C0"/>
      <name val="Calibri"/>
      <family val="2"/>
      <scheme val="minor"/>
    </font>
    <font>
      <sz val="18"/>
      <name val="Calibri"/>
      <family val="2"/>
      <scheme val="minor"/>
    </font>
    <font>
      <b/>
      <sz val="24"/>
      <color rgb="FFFF0000"/>
      <name val="Calibri"/>
      <family val="2"/>
      <scheme val="minor"/>
    </font>
    <font>
      <b/>
      <sz val="8"/>
      <color indexed="56"/>
      <name val="Calibri"/>
      <family val="2"/>
      <scheme val="minor"/>
    </font>
    <font>
      <b/>
      <sz val="8"/>
      <color indexed="10"/>
      <name val="Calibri"/>
      <family val="2"/>
      <scheme val="minor"/>
    </font>
    <font>
      <sz val="8"/>
      <color indexed="10"/>
      <name val="Calibri"/>
      <family val="2"/>
      <scheme val="minor"/>
    </font>
    <font>
      <b/>
      <sz val="8"/>
      <color indexed="12"/>
      <name val="Calibri"/>
      <family val="2"/>
      <scheme val="minor"/>
    </font>
    <font>
      <b/>
      <sz val="12"/>
      <color indexed="56"/>
      <name val="Calibri"/>
      <family val="2"/>
      <scheme val="minor"/>
    </font>
    <font>
      <b/>
      <sz val="8"/>
      <color indexed="8"/>
      <name val="Calibri"/>
      <family val="2"/>
      <scheme val="minor"/>
    </font>
    <font>
      <b/>
      <u/>
      <sz val="8"/>
      <color indexed="12"/>
      <name val="Calibri"/>
      <family val="2"/>
      <scheme val="minor"/>
    </font>
    <font>
      <sz val="12"/>
      <name val="Calibri"/>
      <family val="2"/>
    </font>
    <font>
      <b/>
      <sz val="12"/>
      <name val="Calibri"/>
      <family val="2"/>
    </font>
    <font>
      <b/>
      <sz val="14"/>
      <name val="Calibri"/>
      <family val="2"/>
    </font>
    <font>
      <b/>
      <sz val="12"/>
      <color rgb="FFFF0000"/>
      <name val="Calibri"/>
      <family val="2"/>
    </font>
    <font>
      <b/>
      <u/>
      <sz val="12"/>
      <name val="Calibri"/>
      <family val="2"/>
    </font>
    <font>
      <sz val="10"/>
      <name val="Verdana"/>
      <family val="2"/>
    </font>
    <font>
      <b/>
      <sz val="10"/>
      <color indexed="56"/>
      <name val="Calibri"/>
      <family val="2"/>
      <scheme val="minor"/>
    </font>
    <font>
      <sz val="10"/>
      <color rgb="FF000000"/>
      <name val="Calibri"/>
      <family val="2"/>
      <scheme val="minor"/>
    </font>
    <font>
      <sz val="10"/>
      <color rgb="FF800000"/>
      <name val="Calibri"/>
      <family val="2"/>
      <scheme val="minor"/>
    </font>
    <font>
      <b/>
      <sz val="10"/>
      <color rgb="FF0000FF"/>
      <name val="Calibri"/>
      <family val="2"/>
      <scheme val="minor"/>
    </font>
    <font>
      <b/>
      <sz val="10"/>
      <color rgb="FF000000"/>
      <name val="Calibri"/>
      <family val="2"/>
      <scheme val="minor"/>
    </font>
    <font>
      <sz val="10"/>
      <color rgb="FF0000FF"/>
      <name val="Calibri"/>
      <family val="2"/>
      <scheme val="minor"/>
    </font>
    <font>
      <b/>
      <sz val="10"/>
      <color theme="3"/>
      <name val="Calibri"/>
      <family val="2"/>
      <scheme val="minor"/>
    </font>
    <font>
      <b/>
      <u val="singleAccounting"/>
      <sz val="10"/>
      <color indexed="56"/>
      <name val="Calibri"/>
      <family val="2"/>
      <scheme val="minor"/>
    </font>
    <font>
      <sz val="10"/>
      <color indexed="56"/>
      <name val="Calibri"/>
      <family val="2"/>
      <scheme val="minor"/>
    </font>
    <font>
      <b/>
      <u/>
      <sz val="10"/>
      <color indexed="8"/>
      <name val="Calibri"/>
      <family val="2"/>
      <scheme val="minor"/>
    </font>
    <font>
      <b/>
      <sz val="10"/>
      <color rgb="FF000000"/>
      <name val="Calibri"/>
      <family val="2"/>
    </font>
    <font>
      <sz val="10"/>
      <name val="Arial"/>
      <family val="2"/>
    </font>
    <font>
      <sz val="10"/>
      <color indexed="8"/>
      <name val="MS Sans Serif"/>
      <family val="2"/>
    </font>
    <font>
      <b/>
      <sz val="11"/>
      <color theme="0"/>
      <name val="Calibri"/>
      <family val="2"/>
      <scheme val="minor"/>
    </font>
    <font>
      <sz val="11"/>
      <color theme="0"/>
      <name val="Calibri"/>
      <family val="2"/>
      <scheme val="minor"/>
    </font>
    <font>
      <b/>
      <sz val="11"/>
      <color theme="1"/>
      <name val="Calibri"/>
      <family val="2"/>
      <scheme val="minor"/>
    </font>
    <font>
      <b/>
      <sz val="10"/>
      <color rgb="FF0070C0"/>
      <name val="Calibri"/>
      <family val="2"/>
      <scheme val="minor"/>
    </font>
    <font>
      <sz val="14"/>
      <name val="Calibri"/>
      <family val="2"/>
      <scheme val="minor"/>
    </font>
    <font>
      <sz val="16"/>
      <color theme="1"/>
      <name val="Calibri"/>
      <family val="2"/>
      <scheme val="minor"/>
    </font>
    <font>
      <sz val="12"/>
      <color theme="1"/>
      <name val="Calibri"/>
      <family val="2"/>
      <scheme val="minor"/>
    </font>
    <font>
      <sz val="11"/>
      <name val="Times New Roman"/>
      <family val="1"/>
    </font>
    <font>
      <b/>
      <sz val="12"/>
      <name val="Arial"/>
      <family val="2"/>
    </font>
    <font>
      <sz val="10"/>
      <name val="Arial"/>
      <family val="2"/>
    </font>
    <font>
      <b/>
      <sz val="11"/>
      <color rgb="FF000000"/>
      <name val="Calibri"/>
      <family val="2"/>
    </font>
    <font>
      <b/>
      <sz val="11"/>
      <color rgb="FF0070C0"/>
      <name val="Calibri"/>
      <family val="2"/>
      <scheme val="minor"/>
    </font>
    <font>
      <b/>
      <sz val="10"/>
      <color theme="5"/>
      <name val="Calibri"/>
      <family val="2"/>
    </font>
    <font>
      <b/>
      <u/>
      <sz val="12"/>
      <color rgb="FF0070C0"/>
      <name val="Calibri"/>
      <family val="2"/>
    </font>
    <font>
      <sz val="10"/>
      <color rgb="FF0070C0"/>
      <name val="Verdana"/>
      <family val="2"/>
    </font>
    <font>
      <b/>
      <sz val="10"/>
      <color rgb="FF0070C0"/>
      <name val="Calibri"/>
      <family val="2"/>
    </font>
    <font>
      <sz val="10"/>
      <color rgb="FF0070C0"/>
      <name val="Calibri"/>
      <family val="2"/>
    </font>
    <font>
      <b/>
      <sz val="10"/>
      <color rgb="FF0070C0"/>
      <name val="Verdana"/>
      <family val="2"/>
    </font>
    <font>
      <b/>
      <sz val="14"/>
      <color rgb="FF000000"/>
      <name val="Calibri"/>
      <family val="2"/>
    </font>
    <font>
      <sz val="18"/>
      <name val="Arial"/>
      <family val="2"/>
    </font>
    <font>
      <b/>
      <sz val="12"/>
      <color rgb="FF000000"/>
      <name val="Calibri"/>
      <family val="2"/>
    </font>
    <font>
      <sz val="12"/>
      <color rgb="FF000000"/>
      <name val="Calibri"/>
      <family val="2"/>
    </font>
    <font>
      <sz val="12"/>
      <color rgb="FFFF0000"/>
      <name val="Calibri"/>
      <family val="2"/>
      <scheme val="minor"/>
    </font>
    <font>
      <b/>
      <sz val="10"/>
      <color rgb="FF00B050"/>
      <name val="Calibri"/>
      <family val="2"/>
      <scheme val="minor"/>
    </font>
    <font>
      <sz val="10.5"/>
      <color rgb="FF000000"/>
      <name val="Calibri"/>
      <family val="2"/>
    </font>
    <font>
      <sz val="10"/>
      <color rgb="FF000000"/>
      <name val="Calibri"/>
      <family val="2"/>
    </font>
    <font>
      <b/>
      <sz val="14"/>
      <color rgb="FF0070C0"/>
      <name val="Calibri"/>
      <family val="2"/>
      <scheme val="minor"/>
    </font>
    <font>
      <b/>
      <sz val="20"/>
      <color rgb="FF0070C0"/>
      <name val="Calibri"/>
      <family val="2"/>
      <scheme val="minor"/>
    </font>
    <font>
      <b/>
      <sz val="12"/>
      <color theme="1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3"/>
      <color theme="1"/>
      <name val="Calibri"/>
      <family val="2"/>
      <scheme val="minor"/>
    </font>
    <font>
      <sz val="10"/>
      <color rgb="FF000000"/>
      <name val="Arial"/>
      <family val="2"/>
    </font>
    <font>
      <sz val="12"/>
      <color rgb="FFFFFFFF"/>
      <name val="Calibri"/>
      <family val="2"/>
    </font>
    <font>
      <sz val="12"/>
      <color rgb="FF333399"/>
      <name val="Calibri"/>
      <family val="2"/>
    </font>
    <font>
      <b/>
      <sz val="11"/>
      <color theme="4" tint="-0.249977111117893"/>
      <name val="Calibri"/>
      <family val="2"/>
      <scheme val="minor"/>
    </font>
    <font>
      <b/>
      <sz val="11"/>
      <color rgb="FFFF0000"/>
      <name val="Calibri"/>
      <family val="2"/>
      <scheme val="minor"/>
    </font>
    <font>
      <b/>
      <sz val="12"/>
      <color rgb="FF000000"/>
      <name val="Calibri"/>
      <family val="2"/>
      <scheme val="minor"/>
    </font>
    <font>
      <sz val="12"/>
      <color rgb="FF000000"/>
      <name val="Calibri"/>
      <family val="2"/>
      <scheme val="minor"/>
    </font>
    <font>
      <b/>
      <u/>
      <sz val="12"/>
      <color rgb="FF0070C0"/>
      <name val="Calibri"/>
      <family val="2"/>
      <scheme val="minor"/>
    </font>
    <font>
      <sz val="11"/>
      <color theme="0" tint="-0.34998626667073579"/>
      <name val="Calibri"/>
      <family val="2"/>
      <scheme val="minor"/>
    </font>
    <font>
      <b/>
      <sz val="12"/>
      <color theme="0" tint="-0.34998626667073579"/>
      <name val="Calibri"/>
      <family val="2"/>
      <scheme val="minor"/>
    </font>
    <font>
      <sz val="12"/>
      <color theme="0" tint="-0.34998626667073579"/>
      <name val="Calibri"/>
      <family val="2"/>
      <scheme val="minor"/>
    </font>
    <font>
      <vertAlign val="superscript"/>
      <sz val="12"/>
      <color theme="0" tint="-0.34998626667073579"/>
      <name val="Calibri"/>
      <family val="2"/>
      <scheme val="minor"/>
    </font>
    <font>
      <b/>
      <sz val="12"/>
      <color rgb="FF002060"/>
      <name val="Calibri"/>
      <family val="2"/>
      <scheme val="minor"/>
    </font>
    <font>
      <sz val="12"/>
      <color rgb="FF002060"/>
      <name val="Calibri"/>
      <family val="2"/>
      <scheme val="minor"/>
    </font>
    <font>
      <b/>
      <sz val="11"/>
      <color rgb="FF002060"/>
      <name val="Calibri"/>
      <family val="2"/>
      <scheme val="minor"/>
    </font>
    <font>
      <b/>
      <sz val="8"/>
      <color theme="1"/>
      <name val="Calibri"/>
      <family val="2"/>
      <scheme val="min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65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sz val="11"/>
      <color rgb="FFFF0000"/>
      <name val="Calibri"/>
      <family val="2"/>
      <scheme val="minor"/>
    </font>
    <font>
      <b/>
      <sz val="18"/>
      <color theme="3"/>
      <name val="Cambria"/>
      <family val="2"/>
      <scheme val="major"/>
    </font>
    <font>
      <sz val="11"/>
      <color indexed="8"/>
      <name val="Calibri"/>
      <family val="2"/>
      <charset val="178"/>
    </font>
    <font>
      <sz val="11"/>
      <color indexed="9"/>
      <name val="Calibri"/>
      <family val="2"/>
      <charset val="178"/>
    </font>
    <font>
      <sz val="11"/>
      <color indexed="10"/>
      <name val="Calibri"/>
      <family val="2"/>
      <charset val="178"/>
    </font>
    <font>
      <b/>
      <sz val="11"/>
      <color indexed="52"/>
      <name val="Calibri"/>
      <family val="2"/>
      <charset val="178"/>
    </font>
    <font>
      <sz val="11"/>
      <color indexed="52"/>
      <name val="Calibri"/>
      <family val="2"/>
      <charset val="178"/>
    </font>
    <font>
      <sz val="11"/>
      <color indexed="62"/>
      <name val="Calibri"/>
      <family val="2"/>
      <charset val="178"/>
    </font>
    <font>
      <sz val="11"/>
      <color indexed="20"/>
      <name val="Calibri"/>
      <family val="2"/>
      <charset val="178"/>
    </font>
    <font>
      <u/>
      <sz val="10"/>
      <color indexed="12"/>
      <name val="Courier"/>
      <family val="3"/>
    </font>
    <font>
      <sz val="11"/>
      <color indexed="60"/>
      <name val="Calibri"/>
      <family val="2"/>
      <charset val="178"/>
    </font>
    <font>
      <sz val="11"/>
      <color indexed="17"/>
      <name val="Calibri"/>
      <family val="2"/>
      <charset val="178"/>
    </font>
    <font>
      <b/>
      <sz val="11"/>
      <color indexed="63"/>
      <name val="Calibri"/>
      <family val="2"/>
      <charset val="178"/>
    </font>
    <font>
      <i/>
      <sz val="11"/>
      <color indexed="23"/>
      <name val="Calibri"/>
      <family val="2"/>
      <charset val="178"/>
    </font>
    <font>
      <b/>
      <sz val="18"/>
      <color indexed="56"/>
      <name val="Cambria"/>
      <family val="2"/>
      <charset val="178"/>
    </font>
    <font>
      <b/>
      <sz val="15"/>
      <color indexed="56"/>
      <name val="Calibri"/>
      <family val="2"/>
      <charset val="178"/>
    </font>
    <font>
      <b/>
      <sz val="13"/>
      <color indexed="56"/>
      <name val="Calibri"/>
      <family val="2"/>
      <charset val="178"/>
    </font>
    <font>
      <b/>
      <sz val="11"/>
      <color indexed="56"/>
      <name val="Calibri"/>
      <family val="2"/>
      <charset val="178"/>
    </font>
    <font>
      <b/>
      <sz val="11"/>
      <color indexed="8"/>
      <name val="Calibri"/>
      <family val="2"/>
      <charset val="178"/>
    </font>
    <font>
      <b/>
      <sz val="11"/>
      <color indexed="9"/>
      <name val="Calibri"/>
      <family val="2"/>
      <charset val="178"/>
    </font>
    <font>
      <b/>
      <sz val="9"/>
      <color indexed="81"/>
      <name val="Tahoma"/>
      <family val="2"/>
    </font>
    <font>
      <b/>
      <sz val="8"/>
      <color rgb="FFFF0000"/>
      <name val="Calibri"/>
      <family val="2"/>
      <scheme val="minor"/>
    </font>
    <font>
      <b/>
      <sz val="16"/>
      <color rgb="FF0070C0"/>
      <name val="Calibri"/>
      <family val="2"/>
      <scheme val="minor"/>
    </font>
    <font>
      <sz val="11"/>
      <color rgb="FF000000"/>
      <name val="Calibri"/>
      <family val="2"/>
      <scheme val="minor"/>
    </font>
    <font>
      <b/>
      <sz val="12"/>
      <color indexed="12"/>
      <name val="Calibri"/>
      <family val="2"/>
      <scheme val="minor"/>
    </font>
    <font>
      <sz val="10"/>
      <color theme="7" tint="-0.249977111117893"/>
      <name val="Calibri"/>
      <family val="2"/>
      <scheme val="minor"/>
    </font>
    <font>
      <sz val="8"/>
      <color theme="7" tint="-0.249977111117893"/>
      <name val="Calibri"/>
      <family val="2"/>
      <scheme val="minor"/>
    </font>
    <font>
      <b/>
      <sz val="10"/>
      <color theme="7" tint="-0.249977111117893"/>
      <name val="Calibri"/>
      <family val="2"/>
      <scheme val="minor"/>
    </font>
    <font>
      <b/>
      <sz val="12"/>
      <color theme="3"/>
      <name val="Calibri"/>
      <family val="2"/>
      <scheme val="minor"/>
    </font>
    <font>
      <b/>
      <sz val="10"/>
      <color theme="5"/>
      <name val="Calibri"/>
      <family val="2"/>
      <scheme val="minor"/>
    </font>
    <font>
      <b/>
      <sz val="14"/>
      <color theme="5"/>
      <name val="Calibri"/>
      <family val="2"/>
      <scheme val="minor"/>
    </font>
    <font>
      <b/>
      <sz val="11"/>
      <color theme="5"/>
      <name val="Calibri"/>
      <family val="2"/>
      <scheme val="minor"/>
    </font>
    <font>
      <b/>
      <sz val="12"/>
      <color theme="5"/>
      <name val="Calibri"/>
      <family val="2"/>
      <scheme val="minor"/>
    </font>
    <font>
      <sz val="12"/>
      <color theme="5"/>
      <name val="Calibri"/>
      <family val="2"/>
      <scheme val="minor"/>
    </font>
    <font>
      <b/>
      <sz val="10"/>
      <color theme="1"/>
      <name val="Calibri"/>
      <family val="2"/>
    </font>
    <font>
      <b/>
      <sz val="10"/>
      <name val="Arial"/>
      <family val="2"/>
    </font>
    <font>
      <b/>
      <sz val="18"/>
      <color rgb="FF000000"/>
      <name val="Calibri"/>
      <family val="2"/>
    </font>
    <font>
      <b/>
      <sz val="11"/>
      <color indexed="9"/>
      <name val="Calibri"/>
      <family val="2"/>
      <scheme val="minor"/>
    </font>
    <font>
      <sz val="26"/>
      <color theme="3" tint="-0.249977111117893"/>
      <name val="Calibri"/>
      <family val="2"/>
      <scheme val="minor"/>
    </font>
    <font>
      <sz val="10"/>
      <color rgb="FF000000"/>
      <name val="Arial Narrow"/>
      <family val="2"/>
    </font>
    <font>
      <sz val="10"/>
      <color rgb="FF00B050"/>
      <name val="Calibri"/>
      <family val="2"/>
      <scheme val="minor"/>
    </font>
    <font>
      <sz val="22"/>
      <color theme="1"/>
      <name val="Calibri"/>
      <family val="2"/>
      <scheme val="minor"/>
    </font>
    <font>
      <b/>
      <sz val="18"/>
      <color rgb="FFFF0000"/>
      <name val="Calibri"/>
      <family val="2"/>
      <scheme val="minor"/>
    </font>
    <font>
      <sz val="26"/>
      <name val="Calibri"/>
      <family val="2"/>
      <scheme val="minor"/>
    </font>
    <font>
      <b/>
      <sz val="22"/>
      <color rgb="FF0070C0"/>
      <name val="Calibri"/>
      <family val="2"/>
      <scheme val="minor"/>
    </font>
    <font>
      <sz val="28"/>
      <color theme="1"/>
      <name val="Calibri"/>
      <family val="2"/>
      <scheme val="minor"/>
    </font>
    <font>
      <sz val="18"/>
      <color theme="1"/>
      <name val="Calibri"/>
      <family val="2"/>
      <scheme val="minor"/>
    </font>
    <font>
      <b/>
      <sz val="9"/>
      <color theme="1"/>
      <name val="Calibri"/>
      <family val="2"/>
      <scheme val="minor"/>
    </font>
    <font>
      <sz val="14"/>
      <color theme="3" tint="-0.249977111117893"/>
      <name val="Calibri"/>
      <family val="2"/>
      <scheme val="minor"/>
    </font>
    <font>
      <b/>
      <sz val="14"/>
      <color theme="3" tint="-0.249977111117893"/>
      <name val="Calibri"/>
      <family val="2"/>
      <scheme val="minor"/>
    </font>
    <font>
      <b/>
      <sz val="16"/>
      <color theme="3" tint="-0.249977111117893"/>
      <name val="Calibri"/>
      <family val="2"/>
      <scheme val="minor"/>
    </font>
    <font>
      <b/>
      <sz val="16"/>
      <color theme="0"/>
      <name val="Calibri"/>
      <family val="2"/>
      <scheme val="minor"/>
    </font>
    <font>
      <sz val="12"/>
      <color indexed="8"/>
      <name val="Calibri"/>
      <family val="2"/>
      <charset val="1"/>
    </font>
    <font>
      <sz val="12"/>
      <color rgb="FF000000"/>
      <name val="SansSerif"/>
      <family val="2"/>
    </font>
    <font>
      <sz val="16"/>
      <name val="Calibri"/>
      <family val="2"/>
      <scheme val="minor"/>
    </font>
    <font>
      <b/>
      <sz val="16"/>
      <color indexed="9"/>
      <name val="Calibri"/>
      <family val="2"/>
      <scheme val="minor"/>
    </font>
    <font>
      <sz val="16"/>
      <color indexed="8"/>
      <name val="Calibri"/>
      <family val="2"/>
      <scheme val="minor"/>
    </font>
    <font>
      <b/>
      <sz val="16"/>
      <color indexed="10"/>
      <name val="Calibri"/>
      <family val="2"/>
      <scheme val="minor"/>
    </font>
    <font>
      <b/>
      <sz val="12"/>
      <color theme="0"/>
      <name val="Calibri"/>
      <family val="2"/>
      <scheme val="minor"/>
    </font>
    <font>
      <b/>
      <sz val="10"/>
      <color rgb="FFFF0000"/>
      <name val="Calibri"/>
      <family val="2"/>
    </font>
    <font>
      <b/>
      <sz val="14"/>
      <color rgb="FFFFF2CC"/>
      <name val="Calibri"/>
      <family val="2"/>
    </font>
    <font>
      <b/>
      <sz val="12"/>
      <color theme="1"/>
      <name val="Calibri"/>
      <family val="2"/>
    </font>
    <font>
      <b/>
      <sz val="9"/>
      <name val="Calibri"/>
      <family val="2"/>
      <scheme val="minor"/>
    </font>
    <font>
      <sz val="9"/>
      <color theme="1"/>
      <name val="Calibri"/>
      <family val="2"/>
      <scheme val="minor"/>
    </font>
    <font>
      <b/>
      <sz val="9"/>
      <color indexed="9"/>
      <name val="Calibri"/>
      <family val="2"/>
      <scheme val="minor"/>
    </font>
    <font>
      <b/>
      <sz val="9"/>
      <color rgb="FFFF0000"/>
      <name val="Calibri"/>
      <family val="2"/>
      <scheme val="minor"/>
    </font>
    <font>
      <b/>
      <sz val="9"/>
      <color indexed="18"/>
      <name val="Calibri"/>
      <family val="2"/>
      <scheme val="minor"/>
    </font>
    <font>
      <b/>
      <sz val="9"/>
      <color rgb="FF000000"/>
      <name val="Calibri"/>
      <family val="2"/>
    </font>
    <font>
      <b/>
      <sz val="9"/>
      <color rgb="FF0070C0"/>
      <name val="Calibri"/>
      <family val="2"/>
      <scheme val="minor"/>
    </font>
    <font>
      <sz val="9"/>
      <name val="Arial"/>
      <family val="2"/>
    </font>
    <font>
      <sz val="9"/>
      <color rgb="FF000000"/>
      <name val="Calibri"/>
      <family val="2"/>
    </font>
    <font>
      <b/>
      <sz val="9"/>
      <color rgb="FFFF0000"/>
      <name val="Calibri"/>
      <family val="2"/>
    </font>
    <font>
      <b/>
      <sz val="9"/>
      <color rgb="FF00B050"/>
      <name val="Calibri"/>
      <family val="2"/>
    </font>
    <font>
      <b/>
      <sz val="9"/>
      <color rgb="FF000000"/>
      <name val="Calibri"/>
      <family val="2"/>
      <scheme val="minor"/>
    </font>
    <font>
      <sz val="9"/>
      <color rgb="FF000000"/>
      <name val="Calibri"/>
      <family val="2"/>
      <scheme val="minor"/>
    </font>
    <font>
      <sz val="9"/>
      <color theme="1"/>
      <name val="Calibri"/>
      <family val="2"/>
    </font>
    <font>
      <sz val="9"/>
      <color rgb="FFFF0000"/>
      <name val="Calibri"/>
      <family val="2"/>
    </font>
    <font>
      <sz val="14"/>
      <color rgb="FF000000"/>
      <name val="Calibri"/>
      <family val="2"/>
    </font>
    <font>
      <b/>
      <sz val="10"/>
      <color theme="4" tint="-0.249977111117893"/>
      <name val="Calibri"/>
      <family val="2"/>
      <scheme val="minor"/>
    </font>
    <font>
      <b/>
      <sz val="16"/>
      <color theme="4" tint="-0.249977111117893"/>
      <name val="Calibri"/>
      <family val="2"/>
      <scheme val="minor"/>
    </font>
    <font>
      <b/>
      <sz val="14"/>
      <color theme="4" tint="-0.249977111117893"/>
      <name val="Calibri"/>
      <family val="2"/>
      <scheme val="minor"/>
    </font>
  </fonts>
  <fills count="111">
    <fill>
      <patternFill patternType="none"/>
    </fill>
    <fill>
      <patternFill patternType="gray125"/>
    </fill>
    <fill>
      <patternFill patternType="solid">
        <fgColor indexed="31"/>
      </patternFill>
    </fill>
    <fill>
      <patternFill patternType="solid">
        <fgColor indexed="45"/>
      </patternFill>
    </fill>
    <fill>
      <patternFill patternType="solid">
        <fgColor indexed="42"/>
      </patternFill>
    </fill>
    <fill>
      <patternFill patternType="solid">
        <fgColor indexed="46"/>
      </patternFill>
    </fill>
    <fill>
      <patternFill patternType="solid">
        <fgColor indexed="27"/>
      </patternFill>
    </fill>
    <fill>
      <patternFill patternType="solid">
        <fgColor indexed="47"/>
      </patternFill>
    </fill>
    <fill>
      <patternFill patternType="solid">
        <fgColor indexed="44"/>
      </patternFill>
    </fill>
    <fill>
      <patternFill patternType="solid">
        <fgColor indexed="29"/>
      </patternFill>
    </fill>
    <fill>
      <patternFill patternType="solid">
        <fgColor indexed="11"/>
      </patternFill>
    </fill>
    <fill>
      <patternFill patternType="solid">
        <fgColor indexed="51"/>
      </patternFill>
    </fill>
    <fill>
      <patternFill patternType="solid">
        <fgColor indexed="30"/>
      </patternFill>
    </fill>
    <fill>
      <patternFill patternType="solid">
        <fgColor indexed="36"/>
      </patternFill>
    </fill>
    <fill>
      <patternFill patternType="solid">
        <fgColor indexed="49"/>
      </patternFill>
    </fill>
    <fill>
      <patternFill patternType="solid">
        <fgColor indexed="52"/>
      </patternFill>
    </fill>
    <fill>
      <patternFill patternType="solid">
        <fgColor indexed="62"/>
      </patternFill>
    </fill>
    <fill>
      <patternFill patternType="solid">
        <fgColor indexed="10"/>
      </patternFill>
    </fill>
    <fill>
      <patternFill patternType="solid">
        <fgColor indexed="57"/>
      </patternFill>
    </fill>
    <fill>
      <patternFill patternType="solid">
        <fgColor indexed="53"/>
      </patternFill>
    </fill>
    <fill>
      <patternFill patternType="solid">
        <fgColor indexed="22"/>
      </patternFill>
    </fill>
    <fill>
      <patternFill patternType="solid">
        <fgColor indexed="26"/>
      </patternFill>
    </fill>
    <fill>
      <patternFill patternType="solid">
        <fgColor indexed="43"/>
      </patternFill>
    </fill>
    <fill>
      <patternFill patternType="solid">
        <fgColor indexed="55"/>
      </patternFill>
    </fill>
    <fill>
      <patternFill patternType="solid">
        <fgColor indexed="9"/>
        <bgColor indexed="64"/>
      </patternFill>
    </fill>
    <fill>
      <patternFill patternType="solid">
        <fgColor indexed="31"/>
        <bgColor indexed="64"/>
      </patternFill>
    </fill>
    <fill>
      <patternFill patternType="solid">
        <fgColor indexed="36"/>
        <bgColor indexed="64"/>
      </patternFill>
    </fill>
    <fill>
      <patternFill patternType="solid">
        <fgColor indexed="26"/>
        <bgColor indexed="64"/>
      </patternFill>
    </fill>
    <fill>
      <patternFill patternType="solid">
        <fgColor indexed="42"/>
        <bgColor indexed="64"/>
      </patternFill>
    </fill>
    <fill>
      <patternFill patternType="solid">
        <fgColor indexed="15"/>
        <bgColor indexed="64"/>
      </patternFill>
    </fill>
    <fill>
      <patternFill patternType="solid">
        <fgColor indexed="43"/>
        <bgColor indexed="64"/>
      </patternFill>
    </fill>
    <fill>
      <patternFill patternType="solid">
        <fgColor indexed="10"/>
        <bgColor indexed="64"/>
      </patternFill>
    </fill>
    <fill>
      <patternFill patternType="solid">
        <fgColor indexed="14"/>
        <bgColor indexed="64"/>
      </patternFill>
    </fill>
    <fill>
      <patternFill patternType="solid">
        <fgColor indexed="41"/>
        <bgColor indexed="64"/>
      </patternFill>
    </fill>
    <fill>
      <patternFill patternType="solid">
        <fgColor indexed="13"/>
        <bgColor indexed="64"/>
      </patternFill>
    </fill>
    <fill>
      <patternFill patternType="solid">
        <fgColor indexed="47"/>
        <bgColor indexed="64"/>
      </patternFill>
    </fill>
    <fill>
      <patternFill patternType="solid">
        <fgColor indexed="45"/>
        <bgColor indexed="64"/>
      </patternFill>
    </fill>
    <fill>
      <patternFill patternType="solid">
        <fgColor indexed="22"/>
        <bgColor indexed="64"/>
      </patternFill>
    </fill>
    <fill>
      <patternFill patternType="solid">
        <fgColor indexed="32"/>
        <bgColor indexed="64"/>
      </patternFill>
    </fill>
    <fill>
      <patternFill patternType="solid">
        <fgColor indexed="53"/>
        <bgColor indexed="64"/>
      </patternFill>
    </fill>
    <fill>
      <patternFill patternType="solid">
        <fgColor indexed="21"/>
        <bgColor indexed="64"/>
      </patternFill>
    </fill>
    <fill>
      <patternFill patternType="solid">
        <fgColor indexed="18"/>
        <bgColor indexed="64"/>
      </patternFill>
    </fill>
    <fill>
      <patternFill patternType="solid">
        <fgColor indexed="49"/>
        <bgColor indexed="64"/>
      </patternFill>
    </fill>
    <fill>
      <patternFill patternType="solid">
        <fgColor theme="5" tint="0.59999389629810485"/>
        <bgColor indexed="65"/>
      </patternFill>
    </fill>
    <fill>
      <patternFill patternType="solid">
        <fgColor rgb="FFFFFF00"/>
        <bgColor indexed="64"/>
      </patternFill>
    </fill>
    <fill>
      <patternFill patternType="solid">
        <fgColor theme="0"/>
        <bgColor indexed="64"/>
      </patternFill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3" tint="0.79998168889431442"/>
        <bgColor indexed="64"/>
      </patternFill>
    </fill>
    <fill>
      <patternFill patternType="solid">
        <fgColor rgb="FF002060"/>
        <bgColor indexed="64"/>
      </patternFill>
    </fill>
    <fill>
      <patternFill patternType="solid">
        <fgColor rgb="FF00FFFF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rgb="FFCCCCFF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0" tint="-4.9989318521683403E-2"/>
        <bgColor indexed="64"/>
      </patternFill>
    </fill>
    <fill>
      <patternFill patternType="solid">
        <fgColor rgb="FFFF0000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0" tint="-0.34998626667073579"/>
        <bgColor indexed="64"/>
      </patternFill>
    </fill>
    <fill>
      <patternFill patternType="solid">
        <fgColor theme="0" tint="-0.249977111117893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rgb="FFC6D9F1"/>
        <bgColor indexed="64"/>
      </patternFill>
    </fill>
    <fill>
      <patternFill patternType="solid">
        <fgColor rgb="FFDAEEF3"/>
        <bgColor indexed="64"/>
      </patternFill>
    </fill>
    <fill>
      <patternFill patternType="solid">
        <fgColor rgb="FFFFF2CC"/>
        <bgColor indexed="64"/>
      </patternFill>
    </fill>
    <fill>
      <patternFill patternType="solid">
        <fgColor rgb="FFFFFFFF"/>
        <bgColor rgb="FFF2F2F2"/>
      </patternFill>
    </fill>
    <fill>
      <patternFill patternType="solid">
        <fgColor rgb="FFFFFFFF"/>
        <bgColor indexed="64"/>
      </patternFill>
    </fill>
    <fill>
      <patternFill patternType="solid">
        <fgColor rgb="FF008080"/>
        <bgColor indexed="64"/>
      </patternFill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6" tint="0.79998168889431442"/>
        <bgColor indexed="65"/>
      </patternFill>
    </fill>
    <fill>
      <patternFill patternType="solid">
        <fgColor rgb="FFDEEBF7"/>
        <bgColor indexed="64"/>
      </patternFill>
    </fill>
    <fill>
      <patternFill patternType="solid">
        <fgColor rgb="FFE1F1F3"/>
        <bgColor indexed="64"/>
      </patternFill>
    </fill>
    <fill>
      <patternFill patternType="solid">
        <fgColor theme="9" tint="-0.249977111117893"/>
        <bgColor indexed="64"/>
      </patternFill>
    </fill>
    <fill>
      <patternFill patternType="solid">
        <fgColor theme="3" tint="-0.249977111117893"/>
        <bgColor indexed="64"/>
      </patternFill>
    </fill>
    <fill>
      <patternFill patternType="solid">
        <fgColor rgb="FFFFFFFF"/>
      </patternFill>
    </fill>
    <fill>
      <patternFill patternType="solid">
        <fgColor rgb="FF305496"/>
        <bgColor indexed="64"/>
      </patternFill>
    </fill>
    <fill>
      <patternFill patternType="solid">
        <fgColor rgb="FFF9D57B"/>
        <bgColor indexed="64"/>
      </patternFill>
    </fill>
    <fill>
      <patternFill patternType="solid">
        <fgColor theme="6" tint="0.39997558519241921"/>
        <bgColor indexed="64"/>
      </patternFill>
    </fill>
  </fills>
  <borders count="586">
    <border>
      <left/>
      <right/>
      <top/>
      <bottom/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/>
      <right/>
      <top/>
      <bottom style="double">
        <color indexed="52"/>
      </bottom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/>
      <right/>
      <top/>
      <bottom style="thick">
        <color indexed="62"/>
      </bottom>
      <diagonal/>
    </border>
    <border>
      <left/>
      <right/>
      <top/>
      <bottom style="thick">
        <color indexed="22"/>
      </bottom>
      <diagonal/>
    </border>
    <border>
      <left/>
      <right/>
      <top/>
      <bottom style="medium">
        <color indexed="30"/>
      </bottom>
      <diagonal/>
    </border>
    <border>
      <left/>
      <right/>
      <top style="thin">
        <color indexed="62"/>
      </top>
      <bottom style="double">
        <color indexed="62"/>
      </bottom>
      <diagonal/>
    </border>
    <border>
      <left style="double">
        <color indexed="63"/>
      </left>
      <right style="double">
        <color indexed="63"/>
      </right>
      <top style="double">
        <color indexed="63"/>
      </top>
      <bottom style="double">
        <color indexed="63"/>
      </bottom>
      <diagonal/>
    </border>
    <border>
      <left style="thin">
        <color indexed="10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10"/>
      </right>
      <top style="thin">
        <color indexed="64"/>
      </top>
      <bottom style="thin">
        <color indexed="64"/>
      </bottom>
      <diagonal/>
    </border>
    <border>
      <left style="thin">
        <color indexed="10"/>
      </left>
      <right/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 style="medium">
        <color indexed="23"/>
      </left>
      <right style="medium">
        <color indexed="23"/>
      </right>
      <top style="medium">
        <color indexed="23"/>
      </top>
      <bottom style="medium">
        <color indexed="23"/>
      </bottom>
      <diagonal/>
    </border>
    <border>
      <left style="thin">
        <color indexed="46"/>
      </left>
      <right style="thin">
        <color indexed="46"/>
      </right>
      <top style="thin">
        <color indexed="46"/>
      </top>
      <bottom style="thin">
        <color indexed="46"/>
      </bottom>
      <diagonal/>
    </border>
    <border>
      <left style="thin">
        <color indexed="10"/>
      </left>
      <right style="thin">
        <color indexed="64"/>
      </right>
      <top style="thin">
        <color indexed="64"/>
      </top>
      <bottom style="thin">
        <color indexed="10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10"/>
      </bottom>
      <diagonal/>
    </border>
    <border>
      <left style="thin">
        <color indexed="64"/>
      </left>
      <right style="thin">
        <color indexed="10"/>
      </right>
      <top style="thin">
        <color indexed="64"/>
      </top>
      <bottom style="thin">
        <color indexed="10"/>
      </bottom>
      <diagonal/>
    </border>
    <border>
      <left style="thin">
        <color indexed="23"/>
      </left>
      <right style="thin">
        <color indexed="46"/>
      </right>
      <top style="thin">
        <color indexed="46"/>
      </top>
      <bottom style="thin">
        <color indexed="46"/>
      </bottom>
      <diagonal/>
    </border>
    <border>
      <left style="thin">
        <color indexed="23"/>
      </left>
      <right/>
      <top style="thin">
        <color indexed="23"/>
      </top>
      <bottom style="thin">
        <color indexed="23"/>
      </bottom>
      <diagonal/>
    </border>
    <border>
      <left style="medium">
        <color indexed="10"/>
      </left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 style="medium">
        <color indexed="10"/>
      </right>
      <top style="thin">
        <color indexed="64"/>
      </top>
      <bottom/>
      <diagonal/>
    </border>
    <border>
      <left style="thin">
        <color indexed="64"/>
      </left>
      <right style="medium">
        <color indexed="64"/>
      </right>
      <top style="thin">
        <color indexed="64"/>
      </top>
      <bottom/>
      <diagonal/>
    </border>
    <border>
      <left style="medium">
        <color indexed="10"/>
      </left>
      <right style="thin">
        <color indexed="37"/>
      </right>
      <top style="thin">
        <color indexed="37"/>
      </top>
      <bottom style="thin">
        <color indexed="37"/>
      </bottom>
      <diagonal/>
    </border>
    <border>
      <left style="thin">
        <color indexed="37"/>
      </left>
      <right style="thin">
        <color indexed="37"/>
      </right>
      <top style="thin">
        <color indexed="37"/>
      </top>
      <bottom style="thin">
        <color indexed="37"/>
      </bottom>
      <diagonal/>
    </border>
    <border>
      <left style="thin">
        <color indexed="37"/>
      </left>
      <right style="medium">
        <color indexed="10"/>
      </right>
      <top style="thin">
        <color indexed="37"/>
      </top>
      <bottom style="thin">
        <color indexed="37"/>
      </bottom>
      <diagonal/>
    </border>
    <border>
      <left style="medium">
        <color indexed="23"/>
      </left>
      <right/>
      <top style="medium">
        <color indexed="23"/>
      </top>
      <bottom style="medium">
        <color indexed="23"/>
      </bottom>
      <diagonal/>
    </border>
    <border>
      <left style="medium">
        <color indexed="10"/>
      </left>
      <right style="medium">
        <color indexed="23"/>
      </right>
      <top style="medium">
        <color indexed="23"/>
      </top>
      <bottom style="medium">
        <color indexed="10"/>
      </bottom>
      <diagonal/>
    </border>
    <border>
      <left style="medium">
        <color indexed="23"/>
      </left>
      <right style="medium">
        <color indexed="23"/>
      </right>
      <top style="medium">
        <color indexed="23"/>
      </top>
      <bottom style="medium">
        <color indexed="10"/>
      </bottom>
      <diagonal/>
    </border>
    <border>
      <left style="medium">
        <color indexed="23"/>
      </left>
      <right style="medium">
        <color indexed="10"/>
      </right>
      <top style="medium">
        <color indexed="23"/>
      </top>
      <bottom style="medium">
        <color indexed="10"/>
      </bottom>
      <diagonal/>
    </border>
    <border>
      <left style="medium">
        <color indexed="64"/>
      </left>
      <right/>
      <top style="thin">
        <color indexed="64"/>
      </top>
      <bottom style="thin">
        <color indexed="64"/>
      </bottom>
      <diagonal/>
    </border>
    <border>
      <left style="medium">
        <color indexed="55"/>
      </left>
      <right style="hair">
        <color indexed="61"/>
      </right>
      <top style="medium">
        <color indexed="55"/>
      </top>
      <bottom style="hair">
        <color indexed="61"/>
      </bottom>
      <diagonal/>
    </border>
    <border>
      <left style="hair">
        <color indexed="61"/>
      </left>
      <right style="hair">
        <color indexed="61"/>
      </right>
      <top style="medium">
        <color indexed="55"/>
      </top>
      <bottom style="hair">
        <color indexed="61"/>
      </bottom>
      <diagonal/>
    </border>
    <border>
      <left style="hair">
        <color indexed="61"/>
      </left>
      <right style="medium">
        <color indexed="55"/>
      </right>
      <top style="medium">
        <color indexed="55"/>
      </top>
      <bottom style="hair">
        <color indexed="61"/>
      </bottom>
      <diagonal/>
    </border>
    <border>
      <left style="medium">
        <color indexed="55"/>
      </left>
      <right style="hair">
        <color indexed="61"/>
      </right>
      <top style="hair">
        <color indexed="61"/>
      </top>
      <bottom style="hair">
        <color indexed="61"/>
      </bottom>
      <diagonal/>
    </border>
    <border>
      <left style="hair">
        <color indexed="61"/>
      </left>
      <right style="hair">
        <color indexed="61"/>
      </right>
      <top style="hair">
        <color indexed="61"/>
      </top>
      <bottom style="hair">
        <color indexed="61"/>
      </bottom>
      <diagonal/>
    </border>
    <border>
      <left style="hair">
        <color indexed="61"/>
      </left>
      <right style="medium">
        <color indexed="55"/>
      </right>
      <top style="hair">
        <color indexed="61"/>
      </top>
      <bottom style="hair">
        <color indexed="61"/>
      </bottom>
      <diagonal/>
    </border>
    <border>
      <left style="medium">
        <color indexed="10"/>
      </left>
      <right style="hair">
        <color indexed="61"/>
      </right>
      <top style="hair">
        <color indexed="61"/>
      </top>
      <bottom style="hair">
        <color indexed="61"/>
      </bottom>
      <diagonal/>
    </border>
    <border>
      <left style="medium">
        <color indexed="10"/>
      </left>
      <right style="hair">
        <color indexed="61"/>
      </right>
      <top style="medium">
        <color indexed="23"/>
      </top>
      <bottom style="hair">
        <color indexed="61"/>
      </bottom>
      <diagonal/>
    </border>
    <border>
      <left style="hair">
        <color indexed="61"/>
      </left>
      <right style="hair">
        <color indexed="61"/>
      </right>
      <top style="medium">
        <color indexed="23"/>
      </top>
      <bottom style="hair">
        <color indexed="61"/>
      </bottom>
      <diagonal/>
    </border>
    <border>
      <left style="hair">
        <color indexed="61"/>
      </left>
      <right style="medium">
        <color indexed="23"/>
      </right>
      <top style="medium">
        <color indexed="23"/>
      </top>
      <bottom style="hair">
        <color indexed="61"/>
      </bottom>
      <diagonal/>
    </border>
    <border>
      <left style="hair">
        <color indexed="61"/>
      </left>
      <right style="medium">
        <color indexed="23"/>
      </right>
      <top style="hair">
        <color indexed="61"/>
      </top>
      <bottom style="hair">
        <color indexed="61"/>
      </bottom>
      <diagonal/>
    </border>
    <border>
      <left style="medium">
        <color indexed="10"/>
      </left>
      <right style="medium">
        <color indexed="23"/>
      </right>
      <top style="medium">
        <color indexed="23"/>
      </top>
      <bottom style="medium">
        <color indexed="23"/>
      </bottom>
      <diagonal/>
    </border>
    <border>
      <left style="medium">
        <color indexed="64"/>
      </left>
      <right/>
      <top/>
      <bottom/>
      <diagonal/>
    </border>
    <border>
      <left style="thin">
        <color indexed="64"/>
      </left>
      <right/>
      <top style="thin">
        <color indexed="64"/>
      </top>
      <bottom/>
      <diagonal/>
    </border>
    <border>
      <left style="hair">
        <color indexed="61"/>
      </left>
      <right/>
      <top style="medium">
        <color indexed="55"/>
      </top>
      <bottom style="hair">
        <color indexed="61"/>
      </bottom>
      <diagonal/>
    </border>
    <border>
      <left style="hair">
        <color indexed="61"/>
      </left>
      <right/>
      <top style="hair">
        <color indexed="61"/>
      </top>
      <bottom style="hair">
        <color indexed="61"/>
      </bottom>
      <diagonal/>
    </border>
    <border>
      <left style="medium">
        <color indexed="10"/>
      </left>
      <right style="hair">
        <color indexed="61"/>
      </right>
      <top style="medium">
        <color indexed="55"/>
      </top>
      <bottom style="hair">
        <color indexed="61"/>
      </bottom>
      <diagonal/>
    </border>
    <border>
      <left style="hair">
        <color indexed="61"/>
      </left>
      <right style="medium">
        <color indexed="10"/>
      </right>
      <top style="medium">
        <color indexed="55"/>
      </top>
      <bottom style="hair">
        <color indexed="61"/>
      </bottom>
      <diagonal/>
    </border>
    <border>
      <left style="hair">
        <color indexed="61"/>
      </left>
      <right style="medium">
        <color indexed="10"/>
      </right>
      <top style="hair">
        <color indexed="61"/>
      </top>
      <bottom style="hair">
        <color indexed="61"/>
      </bottom>
      <diagonal/>
    </border>
    <border>
      <left style="medium">
        <color indexed="23"/>
      </left>
      <right style="medium">
        <color indexed="10"/>
      </right>
      <top style="medium">
        <color indexed="23"/>
      </top>
      <bottom style="hair">
        <color indexed="61"/>
      </bottom>
      <diagonal/>
    </border>
    <border>
      <left style="medium">
        <color indexed="23"/>
      </left>
      <right style="medium">
        <color indexed="10"/>
      </right>
      <top style="hair">
        <color indexed="61"/>
      </top>
      <bottom style="hair">
        <color indexed="61"/>
      </bottom>
      <diagonal/>
    </border>
    <border>
      <left style="medium">
        <color indexed="23"/>
      </left>
      <right style="medium">
        <color indexed="10"/>
      </right>
      <top style="medium">
        <color indexed="23"/>
      </top>
      <bottom style="medium">
        <color indexed="23"/>
      </bottom>
      <diagonal/>
    </border>
    <border>
      <left/>
      <right/>
      <top style="medium">
        <color indexed="64"/>
      </top>
      <bottom/>
      <diagonal/>
    </border>
    <border>
      <left style="thin">
        <color indexed="23"/>
      </left>
      <right style="thin">
        <color indexed="29"/>
      </right>
      <top style="thin">
        <color indexed="23"/>
      </top>
      <bottom style="thin">
        <color indexed="23"/>
      </bottom>
      <diagonal/>
    </border>
    <border>
      <left style="medium">
        <color indexed="64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23"/>
      </left>
      <right style="medium">
        <color indexed="64"/>
      </right>
      <top style="thin">
        <color indexed="23"/>
      </top>
      <bottom style="thin">
        <color indexed="23"/>
      </bottom>
      <diagonal/>
    </border>
    <border>
      <left style="medium">
        <color indexed="64"/>
      </left>
      <right style="thin">
        <color indexed="22"/>
      </right>
      <top style="thin">
        <color indexed="22"/>
      </top>
      <bottom style="thin">
        <color indexed="22"/>
      </bottom>
      <diagonal/>
    </border>
    <border>
      <left style="thin">
        <color indexed="22"/>
      </left>
      <right style="medium">
        <color indexed="64"/>
      </right>
      <top style="thin">
        <color indexed="22"/>
      </top>
      <bottom style="thin">
        <color indexed="22"/>
      </bottom>
      <diagonal/>
    </border>
    <border>
      <left style="medium">
        <color indexed="64"/>
      </left>
      <right/>
      <top style="medium">
        <color indexed="64"/>
      </top>
      <bottom style="medium">
        <color indexed="64"/>
      </bottom>
      <diagonal/>
    </border>
    <border>
      <left style="medium">
        <color indexed="64"/>
      </left>
      <right style="thin">
        <color indexed="23"/>
      </right>
      <top style="medium">
        <color indexed="64"/>
      </top>
      <bottom style="medium">
        <color indexed="64"/>
      </bottom>
      <diagonal/>
    </border>
    <border>
      <left style="thin">
        <color indexed="23"/>
      </left>
      <right style="thin">
        <color indexed="23"/>
      </right>
      <top style="medium">
        <color indexed="64"/>
      </top>
      <bottom style="medium">
        <color indexed="64"/>
      </bottom>
      <diagonal/>
    </border>
    <border>
      <left style="thin">
        <color indexed="23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medium">
        <color indexed="64"/>
      </left>
      <right style="thin">
        <color indexed="22"/>
      </right>
      <top style="medium">
        <color indexed="64"/>
      </top>
      <bottom style="medium">
        <color indexed="64"/>
      </bottom>
      <diagonal/>
    </border>
    <border>
      <left style="thin">
        <color indexed="22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medium">
        <color indexed="64"/>
      </left>
      <right style="thin">
        <color indexed="23"/>
      </right>
      <top style="thin">
        <color indexed="23"/>
      </top>
      <bottom style="medium">
        <color indexed="64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medium">
        <color indexed="64"/>
      </bottom>
      <diagonal/>
    </border>
    <border>
      <left style="thin">
        <color indexed="23"/>
      </left>
      <right style="medium">
        <color indexed="64"/>
      </right>
      <top style="thin">
        <color indexed="23"/>
      </top>
      <bottom style="medium">
        <color indexed="64"/>
      </bottom>
      <diagonal/>
    </border>
    <border>
      <left style="medium">
        <color indexed="64"/>
      </left>
      <right style="thin">
        <color indexed="46"/>
      </right>
      <top style="thin">
        <color indexed="46"/>
      </top>
      <bottom style="thin">
        <color indexed="46"/>
      </bottom>
      <diagonal/>
    </border>
    <border>
      <left style="thin">
        <color indexed="55"/>
      </left>
      <right/>
      <top style="thin">
        <color indexed="55"/>
      </top>
      <bottom style="thin">
        <color indexed="55"/>
      </bottom>
      <diagonal/>
    </border>
    <border>
      <left style="medium">
        <color indexed="64"/>
      </left>
      <right style="medium">
        <color indexed="23"/>
      </right>
      <top style="medium">
        <color indexed="23"/>
      </top>
      <bottom style="medium">
        <color indexed="23"/>
      </bottom>
      <diagonal/>
    </border>
    <border>
      <left style="medium">
        <color indexed="23"/>
      </left>
      <right style="medium">
        <color indexed="64"/>
      </right>
      <top style="medium">
        <color indexed="23"/>
      </top>
      <bottom style="medium">
        <color indexed="23"/>
      </bottom>
      <diagonal/>
    </border>
    <border>
      <left style="thin">
        <color indexed="46"/>
      </left>
      <right style="medium">
        <color indexed="64"/>
      </right>
      <top style="thin">
        <color indexed="46"/>
      </top>
      <bottom style="thin">
        <color indexed="46"/>
      </bottom>
      <diagonal/>
    </border>
    <border>
      <left style="medium">
        <color indexed="64"/>
      </left>
      <right style="thin">
        <color indexed="46"/>
      </right>
      <top style="medium">
        <color indexed="23"/>
      </top>
      <bottom style="medium">
        <color indexed="64"/>
      </bottom>
      <diagonal/>
    </border>
    <border>
      <left style="thin">
        <color indexed="46"/>
      </left>
      <right style="thin">
        <color indexed="46"/>
      </right>
      <top style="medium">
        <color indexed="23"/>
      </top>
      <bottom style="medium">
        <color indexed="64"/>
      </bottom>
      <diagonal/>
    </border>
    <border>
      <left style="thin">
        <color indexed="46"/>
      </left>
      <right style="medium">
        <color indexed="64"/>
      </right>
      <top style="medium">
        <color indexed="23"/>
      </top>
      <bottom style="medium">
        <color indexed="64"/>
      </bottom>
      <diagonal/>
    </border>
    <border>
      <left style="medium">
        <color indexed="64"/>
      </left>
      <right style="thin">
        <color indexed="46"/>
      </right>
      <top style="medium">
        <color indexed="64"/>
      </top>
      <bottom style="medium">
        <color indexed="64"/>
      </bottom>
      <diagonal/>
    </border>
    <border>
      <left style="thin">
        <color indexed="46"/>
      </left>
      <right style="thin">
        <color indexed="46"/>
      </right>
      <top style="medium">
        <color indexed="64"/>
      </top>
      <bottom style="medium">
        <color indexed="64"/>
      </bottom>
      <diagonal/>
    </border>
    <border>
      <left style="thin">
        <color indexed="46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indexed="22"/>
      </left>
      <right/>
      <top style="thin">
        <color indexed="22"/>
      </top>
      <bottom style="thin">
        <color indexed="22"/>
      </bottom>
      <diagonal/>
    </border>
    <border>
      <left style="medium">
        <color indexed="64"/>
      </left>
      <right style="medium">
        <color indexed="64"/>
      </right>
      <top style="thin">
        <color indexed="22"/>
      </top>
      <bottom style="thin">
        <color indexed="22"/>
      </bottom>
      <diagonal/>
    </border>
    <border>
      <left style="thin">
        <color indexed="22"/>
      </left>
      <right style="medium">
        <color indexed="64"/>
      </right>
      <top/>
      <bottom style="thin">
        <color indexed="22"/>
      </bottom>
      <diagonal/>
    </border>
    <border>
      <left style="thin">
        <color indexed="22"/>
      </left>
      <right style="thin">
        <color indexed="22"/>
      </right>
      <top style="medium">
        <color indexed="64"/>
      </top>
      <bottom style="medium">
        <color indexed="64"/>
      </bottom>
      <diagonal/>
    </border>
    <border>
      <left style="medium">
        <color indexed="64"/>
      </left>
      <right style="thin">
        <color indexed="22"/>
      </right>
      <top style="thin">
        <color indexed="22"/>
      </top>
      <bottom style="medium">
        <color indexed="64"/>
      </bottom>
      <diagonal/>
    </border>
    <border>
      <left style="thin">
        <color indexed="22"/>
      </left>
      <right style="thin">
        <color indexed="22"/>
      </right>
      <top style="thin">
        <color indexed="22"/>
      </top>
      <bottom style="medium">
        <color indexed="64"/>
      </bottom>
      <diagonal/>
    </border>
    <border>
      <left style="thin">
        <color indexed="22"/>
      </left>
      <right style="medium">
        <color indexed="64"/>
      </right>
      <top style="thin">
        <color indexed="22"/>
      </top>
      <bottom style="medium">
        <color indexed="64"/>
      </bottom>
      <diagonal/>
    </border>
    <border>
      <left/>
      <right/>
      <top style="thin">
        <color indexed="22"/>
      </top>
      <bottom style="thin">
        <color indexed="22"/>
      </bottom>
      <diagonal/>
    </border>
    <border>
      <left style="medium">
        <color indexed="64"/>
      </left>
      <right style="thin">
        <color indexed="22"/>
      </right>
      <top/>
      <bottom style="thin">
        <color indexed="22"/>
      </bottom>
      <diagonal/>
    </border>
    <border>
      <left style="thin">
        <color indexed="22"/>
      </left>
      <right style="thin">
        <color indexed="22"/>
      </right>
      <top/>
      <bottom style="thin">
        <color indexed="22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indexed="22"/>
      </left>
      <right style="thin">
        <color indexed="22"/>
      </right>
      <top style="thin">
        <color indexed="22"/>
      </top>
      <bottom/>
      <diagonal/>
    </border>
    <border>
      <left/>
      <right/>
      <top style="medium">
        <color indexed="64"/>
      </top>
      <bottom style="medium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/>
      <right/>
      <top/>
      <bottom style="thin">
        <color indexed="22"/>
      </bottom>
      <diagonal/>
    </border>
    <border>
      <left style="medium">
        <color indexed="64"/>
      </left>
      <right style="medium">
        <color indexed="64"/>
      </right>
      <top/>
      <bottom style="thin">
        <color indexed="22"/>
      </bottom>
      <diagonal/>
    </border>
    <border>
      <left/>
      <right style="thin">
        <color indexed="23"/>
      </right>
      <top style="medium">
        <color indexed="64"/>
      </top>
      <bottom style="medium">
        <color indexed="64"/>
      </bottom>
      <diagonal/>
    </border>
    <border>
      <left style="medium">
        <color indexed="10"/>
      </left>
      <right/>
      <top style="medium">
        <color indexed="10"/>
      </top>
      <bottom style="thin">
        <color indexed="64"/>
      </bottom>
      <diagonal/>
    </border>
    <border>
      <left/>
      <right/>
      <top style="medium">
        <color indexed="10"/>
      </top>
      <bottom style="thin">
        <color indexed="64"/>
      </bottom>
      <diagonal/>
    </border>
    <border>
      <left/>
      <right style="medium">
        <color indexed="10"/>
      </right>
      <top style="medium">
        <color indexed="10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/>
      <top style="medium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medium">
        <color indexed="64"/>
      </bottom>
      <diagonal/>
    </border>
    <border>
      <left style="medium">
        <color indexed="64"/>
      </left>
      <right style="thin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thick">
        <color indexed="64"/>
      </left>
      <right style="medium">
        <color indexed="64"/>
      </right>
      <top style="medium">
        <color indexed="64"/>
      </top>
      <bottom/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medium">
        <color indexed="64"/>
      </bottom>
      <diagonal/>
    </border>
    <border>
      <left/>
      <right style="thin">
        <color indexed="64"/>
      </right>
      <top style="medium">
        <color indexed="64"/>
      </top>
      <bottom style="thin">
        <color indexed="64"/>
      </bottom>
      <diagonal/>
    </border>
    <border>
      <left/>
      <right style="thin">
        <color indexed="64"/>
      </right>
      <top style="medium">
        <color indexed="64"/>
      </top>
      <bottom style="medium">
        <color indexed="64"/>
      </bottom>
      <diagonal/>
    </border>
    <border>
      <left/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medium">
        <color indexed="64"/>
      </left>
      <right style="medium">
        <color indexed="64"/>
      </right>
      <top style="thin">
        <color indexed="64"/>
      </top>
      <bottom style="medium">
        <color indexed="64"/>
      </bottom>
      <diagonal/>
    </border>
    <border>
      <left/>
      <right/>
      <top style="thin">
        <color indexed="23"/>
      </top>
      <bottom style="thin">
        <color indexed="23"/>
      </bottom>
      <diagonal/>
    </border>
    <border>
      <left/>
      <right/>
      <top style="thin">
        <color indexed="23"/>
      </top>
      <bottom style="medium">
        <color indexed="64"/>
      </bottom>
      <diagonal/>
    </border>
    <border>
      <left style="medium">
        <color indexed="64"/>
      </left>
      <right/>
      <top style="thin">
        <color indexed="23"/>
      </top>
      <bottom style="thin">
        <color indexed="23"/>
      </bottom>
      <diagonal/>
    </border>
    <border>
      <left/>
      <right style="medium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medium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22"/>
      </left>
      <right/>
      <top style="medium">
        <color indexed="64"/>
      </top>
      <bottom style="medium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thin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/>
      <diagonal/>
    </border>
    <border>
      <left style="thin">
        <color indexed="64"/>
      </left>
      <right/>
      <top style="thin">
        <color indexed="64"/>
      </top>
      <bottom style="medium">
        <color indexed="64"/>
      </bottom>
      <diagonal/>
    </border>
    <border>
      <left style="medium">
        <color indexed="64"/>
      </left>
      <right style="medium">
        <color indexed="64"/>
      </right>
      <top/>
      <bottom style="medium">
        <color indexed="64"/>
      </bottom>
      <diagonal/>
    </border>
    <border>
      <left style="medium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medium">
        <color indexed="64"/>
      </top>
      <bottom style="thin">
        <color indexed="64"/>
      </bottom>
      <diagonal/>
    </border>
    <border>
      <left/>
      <right style="thin">
        <color indexed="22"/>
      </right>
      <top style="thin">
        <color indexed="22"/>
      </top>
      <bottom style="thin">
        <color indexed="22"/>
      </bottom>
      <diagonal/>
    </border>
    <border>
      <left style="medium">
        <color indexed="64"/>
      </left>
      <right/>
      <top style="thin">
        <color indexed="64"/>
      </top>
      <bottom style="medium">
        <color indexed="64"/>
      </bottom>
      <diagonal/>
    </border>
    <border>
      <left/>
      <right style="medium">
        <color indexed="64"/>
      </right>
      <top style="thin">
        <color indexed="64"/>
      </top>
      <bottom style="medium">
        <color indexed="64"/>
      </bottom>
      <diagonal/>
    </border>
    <border>
      <left style="medium">
        <color indexed="64"/>
      </left>
      <right style="thin">
        <color indexed="23"/>
      </right>
      <top/>
      <bottom style="thin">
        <color indexed="23"/>
      </bottom>
      <diagonal/>
    </border>
    <border>
      <left style="thin">
        <color indexed="22"/>
      </left>
      <right style="medium">
        <color indexed="64"/>
      </right>
      <top style="thin">
        <color indexed="22"/>
      </top>
      <bottom/>
      <diagonal/>
    </border>
    <border>
      <left style="thin">
        <color indexed="22"/>
      </left>
      <right style="medium">
        <color indexed="64"/>
      </right>
      <top/>
      <bottom/>
      <diagonal/>
    </border>
    <border>
      <left style="medium">
        <color indexed="64"/>
      </left>
      <right style="thin">
        <color indexed="22"/>
      </right>
      <top style="medium">
        <color indexed="64"/>
      </top>
      <bottom style="thin">
        <color indexed="22"/>
      </bottom>
      <diagonal/>
    </border>
    <border>
      <left style="thin">
        <color indexed="22"/>
      </left>
      <right style="thin">
        <color indexed="22"/>
      </right>
      <top style="medium">
        <color indexed="64"/>
      </top>
      <bottom style="thin">
        <color indexed="22"/>
      </bottom>
      <diagonal/>
    </border>
    <border>
      <left/>
      <right style="medium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23"/>
      </left>
      <right style="medium">
        <color indexed="64"/>
      </right>
      <top style="thin">
        <color indexed="23"/>
      </top>
      <bottom/>
      <diagonal/>
    </border>
    <border>
      <left style="medium">
        <color indexed="64"/>
      </left>
      <right/>
      <top style="thin">
        <color indexed="23"/>
      </top>
      <bottom style="medium">
        <color indexed="64"/>
      </bottom>
      <diagonal/>
    </border>
    <border>
      <left style="hair">
        <color indexed="22"/>
      </left>
      <right style="hair">
        <color indexed="22"/>
      </right>
      <top style="hair">
        <color indexed="22"/>
      </top>
      <bottom style="hair">
        <color indexed="22"/>
      </bottom>
      <diagonal/>
    </border>
    <border>
      <left style="thin">
        <color indexed="64"/>
      </left>
      <right style="thin">
        <color indexed="64"/>
      </right>
      <top style="medium">
        <color indexed="64"/>
      </top>
      <bottom style="medium">
        <color indexed="64"/>
      </bottom>
      <diagonal/>
    </border>
    <border>
      <left style="medium">
        <color indexed="9"/>
      </left>
      <right style="medium">
        <color indexed="9"/>
      </right>
      <top style="medium">
        <color indexed="9"/>
      </top>
      <bottom style="medium">
        <color indexed="9"/>
      </bottom>
      <diagonal/>
    </border>
    <border>
      <left style="thin">
        <color indexed="64"/>
      </left>
      <right/>
      <top style="medium">
        <color indexed="64"/>
      </top>
      <bottom style="medium">
        <color indexed="64"/>
      </bottom>
      <diagonal/>
    </border>
    <border>
      <left style="medium">
        <color indexed="64"/>
      </left>
      <right/>
      <top style="medium">
        <color indexed="64"/>
      </top>
      <bottom/>
      <diagonal/>
    </border>
    <border>
      <left style="hair">
        <color indexed="22"/>
      </left>
      <right/>
      <top style="hair">
        <color indexed="22"/>
      </top>
      <bottom style="hair">
        <color indexed="22"/>
      </bottom>
      <diagonal/>
    </border>
    <border>
      <left/>
      <right style="thin">
        <color indexed="23"/>
      </right>
      <top style="thin">
        <color indexed="23"/>
      </top>
      <bottom style="thin">
        <color indexed="23"/>
      </bottom>
      <diagonal/>
    </border>
    <border>
      <left/>
      <right/>
      <top style="thin">
        <color indexed="22"/>
      </top>
      <bottom/>
      <diagonal/>
    </border>
    <border>
      <left/>
      <right/>
      <top style="medium">
        <color indexed="64"/>
      </top>
      <bottom style="thin">
        <color indexed="22"/>
      </bottom>
      <diagonal/>
    </border>
    <border>
      <left style="thin">
        <color indexed="22"/>
      </left>
      <right style="medium">
        <color indexed="64"/>
      </right>
      <top style="medium">
        <color indexed="64"/>
      </top>
      <bottom style="thin">
        <color indexed="22"/>
      </bottom>
      <diagonal/>
    </border>
    <border>
      <left style="thin">
        <color indexed="23"/>
      </left>
      <right style="medium">
        <color indexed="64"/>
      </right>
      <top/>
      <bottom style="thin">
        <color indexed="23"/>
      </bottom>
      <diagonal/>
    </border>
    <border>
      <left style="thin">
        <color indexed="23"/>
      </left>
      <right style="thin">
        <color indexed="46"/>
      </right>
      <top style="medium">
        <color indexed="64"/>
      </top>
      <bottom style="medium">
        <color indexed="64"/>
      </bottom>
      <diagonal/>
    </border>
    <border>
      <left style="thin">
        <color indexed="31"/>
      </left>
      <right style="thin">
        <color indexed="31"/>
      </right>
      <top style="thin">
        <color indexed="31"/>
      </top>
      <bottom style="thin">
        <color indexed="31"/>
      </bottom>
      <diagonal/>
    </border>
    <border>
      <left style="thin">
        <color indexed="64"/>
      </left>
      <right style="thin">
        <color indexed="64"/>
      </right>
      <top/>
      <bottom/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/>
      <bottom style="thin">
        <color indexed="64"/>
      </bottom>
      <diagonal/>
    </border>
    <border>
      <left/>
      <right/>
      <top/>
      <bottom style="thin">
        <color indexed="64"/>
      </bottom>
      <diagonal/>
    </border>
    <border>
      <left style="medium">
        <color indexed="64"/>
      </left>
      <right/>
      <top/>
      <bottom style="medium">
        <color indexed="64"/>
      </bottom>
      <diagonal/>
    </border>
    <border>
      <left/>
      <right/>
      <top/>
      <bottom style="medium">
        <color indexed="64"/>
      </bottom>
      <diagonal/>
    </border>
    <border>
      <left/>
      <right style="medium">
        <color indexed="64"/>
      </right>
      <top/>
      <bottom style="medium">
        <color indexed="64"/>
      </bottom>
      <diagonal/>
    </border>
    <border>
      <left/>
      <right style="thin">
        <color indexed="22"/>
      </right>
      <top style="thin">
        <color indexed="22"/>
      </top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hair">
        <color indexed="61"/>
      </bottom>
      <diagonal/>
    </border>
    <border>
      <left style="medium">
        <color indexed="64"/>
      </left>
      <right style="hair">
        <color indexed="22"/>
      </right>
      <top style="hair">
        <color indexed="22"/>
      </top>
      <bottom style="hair">
        <color indexed="22"/>
      </bottom>
      <diagonal/>
    </border>
    <border>
      <left style="hair">
        <color indexed="22"/>
      </left>
      <right style="medium">
        <color indexed="64"/>
      </right>
      <top style="hair">
        <color indexed="22"/>
      </top>
      <bottom style="hair">
        <color indexed="22"/>
      </bottom>
      <diagonal/>
    </border>
    <border>
      <left/>
      <right style="medium">
        <color indexed="64"/>
      </right>
      <top/>
      <bottom/>
      <diagonal/>
    </border>
    <border>
      <left/>
      <right style="hair">
        <color indexed="22"/>
      </right>
      <top style="hair">
        <color indexed="22"/>
      </top>
      <bottom style="hair">
        <color indexed="22"/>
      </bottom>
      <diagonal/>
    </border>
    <border>
      <left style="medium">
        <color indexed="64"/>
      </left>
      <right style="hair">
        <color indexed="22"/>
      </right>
      <top style="medium">
        <color indexed="64"/>
      </top>
      <bottom style="hair">
        <color indexed="22"/>
      </bottom>
      <diagonal/>
    </border>
    <border>
      <left style="hair">
        <color indexed="22"/>
      </left>
      <right style="hair">
        <color indexed="22"/>
      </right>
      <top style="medium">
        <color indexed="64"/>
      </top>
      <bottom style="hair">
        <color indexed="22"/>
      </bottom>
      <diagonal/>
    </border>
    <border>
      <left style="hair">
        <color indexed="22"/>
      </left>
      <right style="medium">
        <color indexed="64"/>
      </right>
      <top style="medium">
        <color indexed="64"/>
      </top>
      <bottom style="hair">
        <color indexed="22"/>
      </bottom>
      <diagonal/>
    </border>
    <border>
      <left style="medium">
        <color indexed="10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10"/>
      </right>
      <top style="thin">
        <color indexed="64"/>
      </top>
      <bottom style="thin">
        <color indexed="64"/>
      </bottom>
      <diagonal/>
    </border>
    <border>
      <left style="medium">
        <color indexed="10"/>
      </left>
      <right/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 style="medium">
        <color indexed="64"/>
      </right>
      <top/>
      <bottom style="thin">
        <color indexed="64"/>
      </bottom>
      <diagonal/>
    </border>
    <border>
      <left style="medium">
        <color indexed="64"/>
      </left>
      <right style="thin">
        <color indexed="22"/>
      </right>
      <top style="medium">
        <color indexed="64"/>
      </top>
      <bottom/>
      <diagonal/>
    </border>
    <border>
      <left style="thin">
        <color indexed="22"/>
      </left>
      <right style="thin">
        <color indexed="22"/>
      </right>
      <top style="medium">
        <color indexed="64"/>
      </top>
      <bottom/>
      <diagonal/>
    </border>
    <border>
      <left style="thin">
        <color indexed="22"/>
      </left>
      <right style="medium">
        <color indexed="64"/>
      </right>
      <top style="medium">
        <color indexed="64"/>
      </top>
      <bottom/>
      <diagonal/>
    </border>
    <border>
      <left/>
      <right/>
      <top style="thin">
        <color indexed="62"/>
      </top>
      <bottom/>
      <diagonal/>
    </border>
    <border>
      <left style="thin">
        <color indexed="64"/>
      </left>
      <right/>
      <top style="thin">
        <color indexed="23"/>
      </top>
      <bottom style="thin">
        <color indexed="23"/>
      </bottom>
      <diagonal/>
    </border>
    <border>
      <left style="medium">
        <color indexed="64"/>
      </left>
      <right style="medium">
        <color indexed="64"/>
      </right>
      <top style="thin">
        <color indexed="23"/>
      </top>
      <bottom style="thin">
        <color indexed="23"/>
      </bottom>
      <diagonal/>
    </border>
    <border>
      <left/>
      <right/>
      <top/>
      <bottom style="thin">
        <color indexed="23"/>
      </bottom>
      <diagonal/>
    </border>
    <border>
      <left style="thin">
        <color indexed="64"/>
      </left>
      <right/>
      <top/>
      <bottom style="thin">
        <color indexed="23"/>
      </bottom>
      <diagonal/>
    </border>
    <border>
      <left style="medium">
        <color indexed="64"/>
      </left>
      <right style="medium">
        <color indexed="64"/>
      </right>
      <top/>
      <bottom style="thin">
        <color indexed="23"/>
      </bottom>
      <diagonal/>
    </border>
    <border>
      <left style="medium">
        <color indexed="64"/>
      </left>
      <right style="thin">
        <color indexed="64"/>
      </right>
      <top style="medium">
        <color indexed="64"/>
      </top>
      <bottom style="thin">
        <color indexed="23"/>
      </bottom>
      <diagonal/>
    </border>
    <border>
      <left/>
      <right/>
      <top style="medium">
        <color indexed="64"/>
      </top>
      <bottom style="thin">
        <color indexed="23"/>
      </bottom>
      <diagonal/>
    </border>
    <border>
      <left style="thin">
        <color indexed="64"/>
      </left>
      <right/>
      <top style="medium">
        <color indexed="64"/>
      </top>
      <bottom style="thin">
        <color indexed="23"/>
      </bottom>
      <diagonal/>
    </border>
    <border>
      <left style="thin">
        <color indexed="23"/>
      </left>
      <right style="medium">
        <color indexed="64"/>
      </right>
      <top style="medium">
        <color indexed="64"/>
      </top>
      <bottom style="thin">
        <color indexed="23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thin">
        <color indexed="23"/>
      </bottom>
      <diagonal/>
    </border>
    <border>
      <left/>
      <right/>
      <top style="thin">
        <color indexed="23"/>
      </top>
      <bottom style="thin">
        <color indexed="46"/>
      </bottom>
      <diagonal/>
    </border>
    <border>
      <left style="medium">
        <color indexed="64"/>
      </left>
      <right style="medium">
        <color indexed="64"/>
      </right>
      <top style="thin">
        <color indexed="23"/>
      </top>
      <bottom style="thin">
        <color indexed="46"/>
      </bottom>
      <diagonal/>
    </border>
    <border>
      <left style="medium">
        <color indexed="64"/>
      </left>
      <right style="thin">
        <color indexed="64"/>
      </right>
      <top style="thin">
        <color indexed="23"/>
      </top>
      <bottom style="thin">
        <color indexed="46"/>
      </bottom>
      <diagonal/>
    </border>
    <border>
      <left/>
      <right/>
      <top style="thin">
        <color indexed="46"/>
      </top>
      <bottom style="thin">
        <color indexed="46"/>
      </bottom>
      <diagonal/>
    </border>
    <border>
      <left style="thin">
        <color indexed="64"/>
      </left>
      <right/>
      <top style="thin">
        <color indexed="46"/>
      </top>
      <bottom style="thin">
        <color indexed="46"/>
      </bottom>
      <diagonal/>
    </border>
    <border>
      <left style="thin">
        <color indexed="64"/>
      </left>
      <right/>
      <top style="thin">
        <color indexed="23"/>
      </top>
      <bottom style="medium">
        <color indexed="64"/>
      </bottom>
      <diagonal/>
    </border>
    <border>
      <left style="medium">
        <color indexed="64"/>
      </left>
      <right style="medium">
        <color indexed="64"/>
      </right>
      <top style="thin">
        <color indexed="23"/>
      </top>
      <bottom style="medium">
        <color indexed="64"/>
      </bottom>
      <diagonal/>
    </border>
    <border>
      <left/>
      <right style="medium">
        <color indexed="64"/>
      </right>
      <top style="thin">
        <color indexed="22"/>
      </top>
      <bottom style="thin">
        <color indexed="22"/>
      </bottom>
      <diagonal/>
    </border>
    <border>
      <left/>
      <right style="thin">
        <color indexed="22"/>
      </right>
      <top style="thin">
        <color indexed="22"/>
      </top>
      <bottom style="medium">
        <color indexed="64"/>
      </bottom>
      <diagonal/>
    </border>
    <border>
      <left/>
      <right style="medium">
        <color indexed="64"/>
      </right>
      <top style="thin">
        <color indexed="22"/>
      </top>
      <bottom style="medium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/>
      <diagonal/>
    </border>
    <border>
      <left/>
      <right/>
      <top style="medium">
        <color indexed="64"/>
      </top>
      <bottom style="thin">
        <color indexed="64"/>
      </bottom>
      <diagonal/>
    </border>
    <border>
      <left style="medium">
        <color indexed="64"/>
      </left>
      <right/>
      <top style="thin">
        <color indexed="22"/>
      </top>
      <bottom style="thin">
        <color indexed="22"/>
      </bottom>
      <diagonal/>
    </border>
    <border>
      <left style="medium">
        <color indexed="64"/>
      </left>
      <right/>
      <top style="medium">
        <color indexed="64"/>
      </top>
      <bottom style="thin">
        <color indexed="22"/>
      </bottom>
      <diagonal/>
    </border>
    <border>
      <left/>
      <right style="medium">
        <color indexed="64"/>
      </right>
      <top style="medium">
        <color indexed="64"/>
      </top>
      <bottom style="thin">
        <color indexed="22"/>
      </bottom>
      <diagonal/>
    </border>
    <border>
      <left style="medium">
        <color indexed="64"/>
      </left>
      <right/>
      <top style="medium">
        <color indexed="64"/>
      </top>
      <bottom style="thin">
        <color indexed="23"/>
      </bottom>
      <diagonal/>
    </border>
    <border>
      <left/>
      <right style="medium">
        <color indexed="64"/>
      </right>
      <top style="medium">
        <color indexed="64"/>
      </top>
      <bottom style="thin">
        <color indexed="23"/>
      </bottom>
      <diagonal/>
    </border>
    <border>
      <left/>
      <right style="medium">
        <color indexed="64"/>
      </right>
      <top style="medium">
        <color indexed="64"/>
      </top>
      <bottom/>
      <diagonal/>
    </border>
    <border>
      <left style="medium">
        <color indexed="64"/>
      </left>
      <right/>
      <top style="medium">
        <color indexed="64"/>
      </top>
      <bottom style="medium">
        <color indexed="23"/>
      </bottom>
      <diagonal/>
    </border>
    <border>
      <left/>
      <right/>
      <top style="medium">
        <color indexed="64"/>
      </top>
      <bottom style="medium">
        <color indexed="23"/>
      </bottom>
      <diagonal/>
    </border>
    <border>
      <left/>
      <right style="medium">
        <color indexed="64"/>
      </right>
      <top style="medium">
        <color indexed="64"/>
      </top>
      <bottom style="medium">
        <color indexed="23"/>
      </bottom>
      <diagonal/>
    </border>
    <border>
      <left style="medium">
        <color indexed="64"/>
      </left>
      <right style="thin">
        <color indexed="23"/>
      </right>
      <top style="medium">
        <color indexed="64"/>
      </top>
      <bottom style="thin">
        <color indexed="23"/>
      </bottom>
      <diagonal/>
    </border>
    <border>
      <left style="thin">
        <color indexed="23"/>
      </left>
      <right style="thin">
        <color indexed="23"/>
      </right>
      <top style="medium">
        <color indexed="64"/>
      </top>
      <bottom style="thin">
        <color indexed="23"/>
      </bottom>
      <diagonal/>
    </border>
    <border>
      <left style="medium">
        <color indexed="64"/>
      </left>
      <right style="medium">
        <color indexed="23"/>
      </right>
      <top style="medium">
        <color indexed="64"/>
      </top>
      <bottom style="medium">
        <color indexed="23"/>
      </bottom>
      <diagonal/>
    </border>
    <border>
      <left style="medium">
        <color indexed="23"/>
      </left>
      <right style="medium">
        <color indexed="23"/>
      </right>
      <top style="medium">
        <color indexed="64"/>
      </top>
      <bottom style="medium">
        <color indexed="23"/>
      </bottom>
      <diagonal/>
    </border>
    <border>
      <left style="medium">
        <color indexed="23"/>
      </left>
      <right style="medium">
        <color indexed="64"/>
      </right>
      <top style="medium">
        <color indexed="64"/>
      </top>
      <bottom style="medium">
        <color indexed="23"/>
      </bottom>
      <diagonal/>
    </border>
    <border>
      <left style="thin">
        <color indexed="10"/>
      </left>
      <right/>
      <top style="thin">
        <color indexed="10"/>
      </top>
      <bottom style="thin">
        <color indexed="64"/>
      </bottom>
      <diagonal/>
    </border>
    <border>
      <left/>
      <right/>
      <top style="thin">
        <color indexed="10"/>
      </top>
      <bottom style="thin">
        <color indexed="64"/>
      </bottom>
      <diagonal/>
    </border>
    <border>
      <left/>
      <right style="thin">
        <color indexed="10"/>
      </right>
      <top style="thin">
        <color indexed="10"/>
      </top>
      <bottom style="thin">
        <color indexed="64"/>
      </bottom>
      <diagonal/>
    </border>
    <border>
      <left style="thin">
        <color indexed="64"/>
      </left>
      <right/>
      <top/>
      <bottom/>
      <diagonal/>
    </border>
    <border>
      <left style="medium">
        <color indexed="10"/>
      </left>
      <right style="thin">
        <color indexed="64"/>
      </right>
      <top style="medium">
        <color indexed="10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medium">
        <color indexed="10"/>
      </top>
      <bottom style="thin">
        <color indexed="64"/>
      </bottom>
      <diagonal/>
    </border>
    <border>
      <left style="thin">
        <color indexed="64"/>
      </left>
      <right style="medium">
        <color indexed="10"/>
      </right>
      <top style="medium">
        <color indexed="10"/>
      </top>
      <bottom style="thin">
        <color indexed="64"/>
      </bottom>
      <diagonal/>
    </border>
    <border>
      <left style="medium">
        <color indexed="10"/>
      </left>
      <right/>
      <top style="medium">
        <color indexed="64"/>
      </top>
      <bottom style="thin">
        <color indexed="64"/>
      </bottom>
      <diagonal/>
    </border>
    <border>
      <left style="thin">
        <color indexed="64"/>
      </left>
      <right/>
      <top style="medium">
        <color indexed="10"/>
      </top>
      <bottom style="thin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thin">
        <color indexed="22"/>
      </bottom>
      <diagonal/>
    </border>
    <border>
      <left/>
      <right style="medium">
        <color indexed="64"/>
      </right>
      <top/>
      <bottom style="thin">
        <color indexed="22"/>
      </bottom>
      <diagonal/>
    </border>
    <border>
      <left style="thin">
        <color indexed="22"/>
      </left>
      <right/>
      <top style="thin">
        <color indexed="22"/>
      </top>
      <bottom/>
      <diagonal/>
    </border>
    <border>
      <left/>
      <right/>
      <top/>
      <bottom style="medium">
        <color theme="4" tint="0.3999755851924192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0" tint="-0.499984740745262"/>
      </left>
      <right style="thin">
        <color theme="0" tint="-0.499984740745262"/>
      </right>
      <top style="thin">
        <color theme="0" tint="-0.499984740745262"/>
      </top>
      <bottom style="thin">
        <color theme="0" tint="-0.499984740745262"/>
      </bottom>
      <diagonal/>
    </border>
    <border>
      <left style="thin">
        <color theme="0" tint="-0.499984740745262"/>
      </left>
      <right style="thin">
        <color theme="0" tint="-0.499984740745262"/>
      </right>
      <top style="thin">
        <color theme="0" tint="-0.499984740745262"/>
      </top>
      <bottom style="medium">
        <color theme="0" tint="-0.499984740745262"/>
      </bottom>
      <diagonal/>
    </border>
    <border>
      <left style="thin">
        <color rgb="FFC0C0C0"/>
      </left>
      <right style="thin">
        <color rgb="FFC0C0C0"/>
      </right>
      <top style="thin">
        <color rgb="FFC0C0C0"/>
      </top>
      <bottom style="thin">
        <color rgb="FFC0C0C0"/>
      </bottom>
      <diagonal/>
    </border>
    <border>
      <left style="thin">
        <color rgb="FFC0C0C0"/>
      </left>
      <right style="thin">
        <color rgb="FFC0C0C0"/>
      </right>
      <top/>
      <bottom/>
      <diagonal/>
    </border>
    <border>
      <left style="medium">
        <color rgb="FF000000"/>
      </left>
      <right style="thin">
        <color rgb="FFC0C0C0"/>
      </right>
      <top style="medium">
        <color rgb="FF000000"/>
      </top>
      <bottom style="medium">
        <color rgb="FF000000"/>
      </bottom>
      <diagonal/>
    </border>
    <border>
      <left style="thin">
        <color rgb="FFC0C0C0"/>
      </left>
      <right style="thin">
        <color rgb="FFC0C0C0"/>
      </right>
      <top style="medium">
        <color rgb="FF000000"/>
      </top>
      <bottom style="medium">
        <color rgb="FF000000"/>
      </bottom>
      <diagonal/>
    </border>
    <border>
      <left style="medium">
        <color rgb="FF000000"/>
      </left>
      <right style="medium">
        <color rgb="FF000000"/>
      </right>
      <top/>
      <bottom/>
      <diagonal/>
    </border>
    <border>
      <left style="thin">
        <color rgb="FFC0C0C0"/>
      </left>
      <right style="medium">
        <color rgb="FF000000"/>
      </right>
      <top style="medium">
        <color rgb="FF000000"/>
      </top>
      <bottom style="medium">
        <color rgb="FF000000"/>
      </bottom>
      <diagonal/>
    </border>
    <border>
      <left style="thin">
        <color rgb="FFC0C0C0"/>
      </left>
      <right/>
      <top style="medium">
        <color rgb="FF000000"/>
      </top>
      <bottom style="medium">
        <color rgb="FF000000"/>
      </bottom>
      <diagonal/>
    </border>
    <border>
      <left/>
      <right/>
      <top/>
      <bottom style="thin">
        <color rgb="FFC0C0C0"/>
      </bottom>
      <diagonal/>
    </border>
    <border>
      <left style="dashed">
        <color theme="7" tint="-0.499984740745262"/>
      </left>
      <right style="dashed">
        <color theme="7" tint="-0.499984740745262"/>
      </right>
      <top style="dashed">
        <color theme="7" tint="-0.499984740745262"/>
      </top>
      <bottom style="dashed">
        <color theme="7" tint="-0.499984740745262"/>
      </bottom>
      <diagonal/>
    </border>
    <border>
      <left style="dashed">
        <color theme="8" tint="-0.499984740745262"/>
      </left>
      <right style="dashed">
        <color theme="8" tint="-0.499984740745262"/>
      </right>
      <top style="dashed">
        <color theme="8" tint="-0.499984740745262"/>
      </top>
      <bottom style="dashed">
        <color theme="8" tint="-0.499984740745262"/>
      </bottom>
      <diagonal/>
    </border>
    <border>
      <left style="dashed">
        <color theme="7" tint="-0.499984740745262"/>
      </left>
      <right/>
      <top style="dashed">
        <color theme="7" tint="-0.499984740745262"/>
      </top>
      <bottom style="dashed">
        <color theme="7" tint="-0.499984740745262"/>
      </bottom>
      <diagonal/>
    </border>
    <border>
      <left style="medium">
        <color indexed="55"/>
      </left>
      <right style="hair">
        <color indexed="61"/>
      </right>
      <top/>
      <bottom style="hair">
        <color indexed="61"/>
      </bottom>
      <diagonal/>
    </border>
    <border>
      <left style="hair">
        <color indexed="61"/>
      </left>
      <right style="hair">
        <color indexed="61"/>
      </right>
      <top/>
      <bottom style="hair">
        <color indexed="61"/>
      </bottom>
      <diagonal/>
    </border>
    <border>
      <left style="thin">
        <color indexed="64"/>
      </left>
      <right style="medium">
        <color indexed="64"/>
      </right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/>
      <right/>
      <top style="hair">
        <color indexed="22"/>
      </top>
      <bottom style="hair">
        <color indexed="22"/>
      </bottom>
      <diagonal/>
    </border>
    <border>
      <left style="thin">
        <color theme="0" tint="-0.34998626667073579"/>
      </left>
      <right style="thin">
        <color theme="0" tint="-0.34998626667073579"/>
      </right>
      <top style="thin">
        <color theme="0" tint="-0.34998626667073579"/>
      </top>
      <bottom style="thin">
        <color theme="0" tint="-0.34998626667073579"/>
      </bottom>
      <diagonal/>
    </border>
    <border>
      <left style="thin">
        <color theme="0" tint="-0.34998626667073579"/>
      </left>
      <right/>
      <top style="thin">
        <color theme="0" tint="-0.34998626667073579"/>
      </top>
      <bottom style="thin">
        <color theme="0" tint="-0.34998626667073579"/>
      </bottom>
      <diagonal/>
    </border>
    <border>
      <left style="medium">
        <color rgb="FFFF0000"/>
      </left>
      <right/>
      <top style="medium">
        <color rgb="FFFF0000"/>
      </top>
      <bottom style="thin">
        <color theme="0" tint="-0.34998626667073579"/>
      </bottom>
      <diagonal/>
    </border>
    <border>
      <left/>
      <right/>
      <top style="medium">
        <color rgb="FFFF0000"/>
      </top>
      <bottom style="thin">
        <color theme="0" tint="-0.34998626667073579"/>
      </bottom>
      <diagonal/>
    </border>
    <border>
      <left/>
      <right style="medium">
        <color rgb="FFFF0000"/>
      </right>
      <top style="medium">
        <color rgb="FFFF0000"/>
      </top>
      <bottom style="thin">
        <color theme="0" tint="-0.34998626667073579"/>
      </bottom>
      <diagonal/>
    </border>
    <border>
      <left/>
      <right style="thin">
        <color theme="0" tint="-0.34998626667073579"/>
      </right>
      <top style="medium">
        <color rgb="FFFF0000"/>
      </top>
      <bottom style="thin">
        <color theme="0" tint="-0.34998626667073579"/>
      </bottom>
      <diagonal/>
    </border>
    <border>
      <left style="thin">
        <color theme="0" tint="-0.34998626667073579"/>
      </left>
      <right style="medium">
        <color rgb="FFFF0000"/>
      </right>
      <top style="medium">
        <color rgb="FFFF0000"/>
      </top>
      <bottom style="thin">
        <color theme="0" tint="-0.34998626667073579"/>
      </bottom>
      <diagonal/>
    </border>
    <border>
      <left style="medium">
        <color rgb="FFFF0000"/>
      </left>
      <right style="medium">
        <color rgb="FFFF0000"/>
      </right>
      <top style="medium">
        <color rgb="FFFF0000"/>
      </top>
      <bottom style="thin">
        <color theme="0" tint="-0.34998626667073579"/>
      </bottom>
      <diagonal/>
    </border>
    <border>
      <left style="medium">
        <color rgb="FFFF0000"/>
      </left>
      <right style="thin">
        <color theme="0" tint="-0.34998626667073579"/>
      </right>
      <top style="thin">
        <color theme="0" tint="-0.34998626667073579"/>
      </top>
      <bottom style="thin">
        <color theme="0" tint="-0.34998626667073579"/>
      </bottom>
      <diagonal/>
    </border>
    <border>
      <left style="thin">
        <color theme="0" tint="-0.34998626667073579"/>
      </left>
      <right style="medium">
        <color rgb="FFFF0000"/>
      </right>
      <top style="thin">
        <color theme="0" tint="-0.34998626667073579"/>
      </top>
      <bottom style="thin">
        <color theme="0" tint="-0.34998626667073579"/>
      </bottom>
      <diagonal/>
    </border>
    <border>
      <left style="medium">
        <color rgb="FFFF0000"/>
      </left>
      <right/>
      <top style="thin">
        <color theme="0" tint="-0.34998626667073579"/>
      </top>
      <bottom style="thin">
        <color theme="0" tint="-0.34998626667073579"/>
      </bottom>
      <diagonal/>
    </border>
    <border>
      <left/>
      <right/>
      <top style="thin">
        <color theme="0" tint="-0.34998626667073579"/>
      </top>
      <bottom style="thin">
        <color theme="0" tint="-0.34998626667073579"/>
      </bottom>
      <diagonal/>
    </border>
    <border>
      <left/>
      <right style="medium">
        <color rgb="FFFF0000"/>
      </right>
      <top style="thin">
        <color theme="0" tint="-0.34998626667073579"/>
      </top>
      <bottom style="thin">
        <color theme="0" tint="-0.34998626667073579"/>
      </bottom>
      <diagonal/>
    </border>
    <border>
      <left/>
      <right style="thin">
        <color theme="0" tint="-0.34998626667073579"/>
      </right>
      <top style="thin">
        <color theme="0" tint="-0.34998626667073579"/>
      </top>
      <bottom style="thin">
        <color theme="0" tint="-0.34998626667073579"/>
      </bottom>
      <diagonal/>
    </border>
    <border>
      <left style="medium">
        <color rgb="FFFF0000"/>
      </left>
      <right style="medium">
        <color rgb="FFFF0000"/>
      </right>
      <top style="thin">
        <color theme="0" tint="-0.34998626667073579"/>
      </top>
      <bottom style="thin">
        <color theme="0" tint="-0.34998626667073579"/>
      </bottom>
      <diagonal/>
    </border>
    <border>
      <left style="thin">
        <color theme="0" tint="-0.34998626667073579"/>
      </left>
      <right style="thin">
        <color theme="0" tint="-0.34998626667073579"/>
      </right>
      <top style="thin">
        <color theme="0" tint="-0.34998626667073579"/>
      </top>
      <bottom/>
      <diagonal/>
    </border>
    <border>
      <left style="thin">
        <color theme="0" tint="-0.34998626667073579"/>
      </left>
      <right style="thin">
        <color theme="0" tint="-0.34998626667073579"/>
      </right>
      <top/>
      <bottom/>
      <diagonal/>
    </border>
    <border>
      <left style="thin">
        <color theme="0" tint="-0.34998626667073579"/>
      </left>
      <right style="thin">
        <color theme="0" tint="-0.34998626667073579"/>
      </right>
      <top/>
      <bottom style="thin">
        <color theme="0" tint="-0.34998626667073579"/>
      </bottom>
      <diagonal/>
    </border>
    <border>
      <left style="medium">
        <color rgb="FFFF0000"/>
      </left>
      <right style="thin">
        <color theme="0" tint="-0.34998626667073579"/>
      </right>
      <top style="thin">
        <color theme="0" tint="-0.34998626667073579"/>
      </top>
      <bottom style="medium">
        <color rgb="FFFF0000"/>
      </bottom>
      <diagonal/>
    </border>
    <border>
      <left style="thin">
        <color theme="0" tint="-0.34998626667073579"/>
      </left>
      <right style="thin">
        <color theme="0" tint="-0.34998626667073579"/>
      </right>
      <top style="thin">
        <color theme="0" tint="-0.34998626667073579"/>
      </top>
      <bottom style="medium">
        <color rgb="FFFF0000"/>
      </bottom>
      <diagonal/>
    </border>
    <border>
      <left style="thin">
        <color theme="0" tint="-0.34998626667073579"/>
      </left>
      <right style="medium">
        <color rgb="FFFF0000"/>
      </right>
      <top style="thin">
        <color theme="0" tint="-0.34998626667073579"/>
      </top>
      <bottom style="medium">
        <color rgb="FFFF0000"/>
      </bottom>
      <diagonal/>
    </border>
    <border>
      <left/>
      <right style="medium">
        <color rgb="FFFF0000"/>
      </right>
      <top style="thin">
        <color theme="0" tint="-0.34998626667073579"/>
      </top>
      <bottom style="medium">
        <color rgb="FFFF0000"/>
      </bottom>
      <diagonal/>
    </border>
    <border>
      <left style="medium">
        <color rgb="FFFF0000"/>
      </left>
      <right/>
      <top/>
      <bottom/>
      <diagonal/>
    </border>
    <border>
      <left/>
      <right style="medium">
        <color rgb="FFFF0000"/>
      </right>
      <top/>
      <bottom/>
      <diagonal/>
    </border>
    <border>
      <left style="medium">
        <color rgb="FFFF0000"/>
      </left>
      <right style="thin">
        <color theme="0" tint="-0.34998626667073579"/>
      </right>
      <top style="medium">
        <color rgb="FFFF0000"/>
      </top>
      <bottom style="medium">
        <color rgb="FFFF0000"/>
      </bottom>
      <diagonal/>
    </border>
    <border>
      <left style="thin">
        <color theme="0" tint="-0.34998626667073579"/>
      </left>
      <right style="thin">
        <color theme="0" tint="-0.34998626667073579"/>
      </right>
      <top style="medium">
        <color rgb="FFFF0000"/>
      </top>
      <bottom style="medium">
        <color rgb="FFFF0000"/>
      </bottom>
      <diagonal/>
    </border>
    <border>
      <left style="thin">
        <color theme="0" tint="-0.34998626667073579"/>
      </left>
      <right style="medium">
        <color rgb="FFFF0000"/>
      </right>
      <top style="medium">
        <color rgb="FFFF0000"/>
      </top>
      <bottom style="medium">
        <color rgb="FFFF0000"/>
      </bottom>
      <diagonal/>
    </border>
    <border>
      <left style="medium">
        <color rgb="FFFF0000"/>
      </left>
      <right/>
      <top style="medium">
        <color rgb="FFFF0000"/>
      </top>
      <bottom style="medium">
        <color rgb="FFFF0000"/>
      </bottom>
      <diagonal/>
    </border>
    <border>
      <left/>
      <right/>
      <top style="medium">
        <color rgb="FFFF0000"/>
      </top>
      <bottom style="medium">
        <color rgb="FFFF0000"/>
      </bottom>
      <diagonal/>
    </border>
    <border>
      <left/>
      <right style="medium">
        <color rgb="FFFF0000"/>
      </right>
      <top style="medium">
        <color rgb="FFFF0000"/>
      </top>
      <bottom style="medium">
        <color rgb="FFFF0000"/>
      </bottom>
      <diagonal/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thin">
        <color rgb="FF000000"/>
      </left>
      <right style="thin">
        <color rgb="FF000000"/>
      </right>
      <top style="thin">
        <color rgb="FF000000"/>
      </top>
      <bottom/>
      <diagonal/>
    </border>
    <border>
      <left style="thin">
        <color rgb="FF000000"/>
      </left>
      <right style="thin">
        <color rgb="FF000000"/>
      </right>
      <top/>
      <bottom style="thin">
        <color rgb="FF000000"/>
      </bottom>
      <diagonal/>
    </border>
    <border>
      <left style="thin">
        <color rgb="FF000000"/>
      </left>
      <right style="thin">
        <color rgb="FF000000"/>
      </right>
      <top/>
      <bottom/>
      <diagonal/>
    </border>
    <border>
      <left style="thin">
        <color rgb="FF000000"/>
      </left>
      <right/>
      <top/>
      <bottom/>
      <diagonal/>
    </border>
    <border>
      <left/>
      <right style="thin">
        <color rgb="FF000000"/>
      </right>
      <top/>
      <bottom/>
      <diagonal/>
    </border>
    <border>
      <left style="thin">
        <color indexed="46"/>
      </left>
      <right/>
      <top style="thin">
        <color indexed="46"/>
      </top>
      <bottom style="thin">
        <color indexed="46"/>
      </bottom>
      <diagonal/>
    </border>
    <border>
      <left style="thin">
        <color indexed="23"/>
      </left>
      <right/>
      <top style="medium">
        <color indexed="64"/>
      </top>
      <bottom style="medium">
        <color indexed="64"/>
      </bottom>
      <diagonal/>
    </border>
    <border>
      <left style="thin">
        <color indexed="46"/>
      </left>
      <right/>
      <top/>
      <bottom style="thin">
        <color indexed="46"/>
      </bottom>
      <diagonal/>
    </border>
    <border>
      <left style="thin">
        <color indexed="46"/>
      </left>
      <right style="medium">
        <color indexed="64"/>
      </right>
      <top/>
      <bottom style="thin">
        <color indexed="46"/>
      </bottom>
      <diagonal/>
    </border>
    <border>
      <left style="medium">
        <color indexed="64"/>
      </left>
      <right/>
      <top/>
      <bottom style="thin">
        <color indexed="46"/>
      </bottom>
      <diagonal/>
    </border>
    <border>
      <left style="medium">
        <color indexed="64"/>
      </left>
      <right/>
      <top style="thin">
        <color indexed="46"/>
      </top>
      <bottom style="thin">
        <color indexed="46"/>
      </bottom>
      <diagonal/>
    </border>
    <border>
      <left style="thin">
        <color theme="0" tint="-0.499984740745262"/>
      </left>
      <right/>
      <top style="thin">
        <color theme="0" tint="-0.499984740745262"/>
      </top>
      <bottom style="thin">
        <color theme="0" tint="-0.499984740745262"/>
      </bottom>
      <diagonal/>
    </border>
    <border>
      <left/>
      <right/>
      <top style="thin">
        <color theme="0" tint="-0.499984740745262"/>
      </top>
      <bottom style="thin">
        <color theme="0" tint="-0.499984740745262"/>
      </bottom>
      <diagonal/>
    </border>
    <border>
      <left/>
      <right style="thin">
        <color theme="0" tint="-0.499984740745262"/>
      </right>
      <top style="thin">
        <color theme="0" tint="-0.499984740745262"/>
      </top>
      <bottom style="thin">
        <color theme="0" tint="-0.499984740745262"/>
      </bottom>
      <diagonal/>
    </border>
    <border>
      <left style="thin">
        <color theme="0" tint="-0.499984740745262"/>
      </left>
      <right style="thin">
        <color theme="0" tint="-0.499984740745262"/>
      </right>
      <top style="thin">
        <color theme="0" tint="-0.499984740745262"/>
      </top>
      <bottom/>
      <diagonal/>
    </border>
    <border>
      <left style="thin">
        <color theme="0" tint="-0.499984740745262"/>
      </left>
      <right style="thin">
        <color theme="0" tint="-0.499984740745262"/>
      </right>
      <top/>
      <bottom style="thin">
        <color theme="0" tint="-0.499984740745262"/>
      </bottom>
      <diagonal/>
    </border>
    <border>
      <left style="thin">
        <color theme="0" tint="-0.499984740745262"/>
      </left>
      <right style="thin">
        <color theme="0" tint="-0.499984740745262"/>
      </right>
      <top/>
      <bottom/>
      <diagonal/>
    </border>
    <border>
      <left/>
      <right style="thin">
        <color indexed="46"/>
      </right>
      <top style="thin">
        <color indexed="46"/>
      </top>
      <bottom style="thin">
        <color indexed="46"/>
      </bottom>
      <diagonal/>
    </border>
    <border>
      <left/>
      <right/>
      <top style="medium">
        <color indexed="10"/>
      </top>
      <bottom/>
      <diagonal/>
    </border>
    <border>
      <left style="thin">
        <color rgb="FF000000"/>
      </left>
      <right/>
      <top style="thin">
        <color rgb="FF000000"/>
      </top>
      <bottom style="thin">
        <color rgb="FF000000"/>
      </bottom>
      <diagonal/>
    </border>
    <border>
      <left/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thin">
        <color indexed="64"/>
      </left>
      <right/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medium">
        <color indexed="64"/>
      </top>
      <bottom/>
      <diagonal/>
    </border>
    <border>
      <left style="thin">
        <color indexed="64"/>
      </left>
      <right style="medium">
        <color indexed="64"/>
      </right>
      <top style="medium">
        <color indexed="64"/>
      </top>
      <bottom/>
      <diagonal/>
    </border>
    <border>
      <left style="medium">
        <color indexed="64"/>
      </left>
      <right style="thin">
        <color indexed="64"/>
      </right>
      <top style="medium">
        <color indexed="64"/>
      </top>
      <bottom/>
      <diagonal/>
    </border>
    <border>
      <left style="medium">
        <color indexed="64"/>
      </left>
      <right style="thin">
        <color indexed="64"/>
      </right>
      <top/>
      <bottom/>
      <diagonal/>
    </border>
    <border>
      <left style="medium">
        <color indexed="64"/>
      </left>
      <right style="thin">
        <color indexed="64"/>
      </right>
      <top/>
      <bottom style="medium">
        <color indexed="64"/>
      </bottom>
      <diagonal/>
    </border>
    <border>
      <left style="thin">
        <color indexed="64"/>
      </left>
      <right style="medium">
        <color indexed="64"/>
      </right>
      <top/>
      <bottom style="medium">
        <color indexed="64"/>
      </bottom>
      <diagonal/>
    </border>
    <border>
      <left style="thin">
        <color indexed="64"/>
      </left>
      <right style="thin">
        <color indexed="64"/>
      </right>
      <top/>
      <bottom style="medium">
        <color indexed="64"/>
      </bottom>
      <diagonal/>
    </border>
    <border>
      <left/>
      <right/>
      <top/>
      <bottom style="thin">
        <color rgb="FF808080"/>
      </bottom>
      <diagonal/>
    </border>
    <border>
      <left/>
      <right style="medium">
        <color rgb="FF000000"/>
      </right>
      <top/>
      <bottom/>
      <diagonal/>
    </border>
    <border>
      <left style="medium">
        <color rgb="FF000000"/>
      </left>
      <right/>
      <top style="thin">
        <color rgb="FF808080"/>
      </top>
      <bottom style="thin">
        <color rgb="FF808080"/>
      </bottom>
      <diagonal/>
    </border>
    <border>
      <left/>
      <right/>
      <top style="thin">
        <color rgb="FF808080"/>
      </top>
      <bottom style="thin">
        <color rgb="FF808080"/>
      </bottom>
      <diagonal/>
    </border>
    <border>
      <left/>
      <right style="medium">
        <color rgb="FF000000"/>
      </right>
      <top style="thin">
        <color rgb="FF808080"/>
      </top>
      <bottom style="thin">
        <color rgb="FF808080"/>
      </bottom>
      <diagonal/>
    </border>
    <border>
      <left style="medium">
        <color rgb="FF000000"/>
      </left>
      <right style="thin">
        <color rgb="FF808080"/>
      </right>
      <top style="thin">
        <color rgb="FF808080"/>
      </top>
      <bottom style="thin">
        <color rgb="FF808080"/>
      </bottom>
      <diagonal/>
    </border>
    <border>
      <left/>
      <right style="thin">
        <color rgb="FF808080"/>
      </right>
      <top style="thin">
        <color rgb="FF808080"/>
      </top>
      <bottom style="thin">
        <color rgb="FF808080"/>
      </bottom>
      <diagonal/>
    </border>
    <border>
      <left/>
      <right style="medium">
        <color rgb="FF000000"/>
      </right>
      <top/>
      <bottom style="thin">
        <color rgb="FF808080"/>
      </bottom>
      <diagonal/>
    </border>
    <border>
      <left style="thin">
        <color rgb="FF808080"/>
      </left>
      <right style="thin">
        <color rgb="FF808080"/>
      </right>
      <top style="thin">
        <color rgb="FF808080"/>
      </top>
      <bottom style="thin">
        <color rgb="FF808080"/>
      </bottom>
      <diagonal/>
    </border>
    <border>
      <left style="thin">
        <color rgb="FF808080"/>
      </left>
      <right style="medium">
        <color rgb="FF000000"/>
      </right>
      <top style="thin">
        <color rgb="FF808080"/>
      </top>
      <bottom style="thin">
        <color rgb="FF808080"/>
      </bottom>
      <diagonal/>
    </border>
    <border>
      <left style="medium">
        <color rgb="FF000000"/>
      </left>
      <right style="thin">
        <color rgb="FF808080"/>
      </right>
      <top style="medium">
        <color rgb="FF000000"/>
      </top>
      <bottom style="medium">
        <color rgb="FF000000"/>
      </bottom>
      <diagonal/>
    </border>
    <border>
      <left style="thin">
        <color rgb="FF808080"/>
      </left>
      <right style="thin">
        <color rgb="FF808080"/>
      </right>
      <top style="medium">
        <color rgb="FF000000"/>
      </top>
      <bottom style="medium">
        <color rgb="FF000000"/>
      </bottom>
      <diagonal/>
    </border>
    <border>
      <left style="medium">
        <color rgb="FFFF0000"/>
      </left>
      <right style="thin">
        <color theme="0" tint="-0.34998626667073579"/>
      </right>
      <top style="thin">
        <color theme="0" tint="-0.34998626667073579"/>
      </top>
      <bottom/>
      <diagonal/>
    </border>
    <border>
      <left style="medium">
        <color rgb="FFFF0000"/>
      </left>
      <right style="thin">
        <color theme="0" tint="-0.34998626667073579"/>
      </right>
      <top/>
      <bottom/>
      <diagonal/>
    </border>
    <border>
      <left style="medium">
        <color rgb="FFFF0000"/>
      </left>
      <right style="thin">
        <color theme="0" tint="-0.34998626667073579"/>
      </right>
      <top/>
      <bottom style="thin">
        <color theme="0" tint="-0.34998626667073579"/>
      </bottom>
      <diagonal/>
    </border>
    <border>
      <left style="thin">
        <color theme="0" tint="-0.34998626667073579"/>
      </left>
      <right style="medium">
        <color rgb="FFFF0000"/>
      </right>
      <top style="thin">
        <color theme="0" tint="-0.34998626667073579"/>
      </top>
      <bottom/>
      <diagonal/>
    </border>
    <border>
      <left style="thin">
        <color theme="0" tint="-0.34998626667073579"/>
      </left>
      <right style="medium">
        <color rgb="FFFF0000"/>
      </right>
      <top/>
      <bottom/>
      <diagonal/>
    </border>
    <border>
      <left style="thin">
        <color theme="0" tint="-0.34998626667073579"/>
      </left>
      <right style="medium">
        <color rgb="FFFF0000"/>
      </right>
      <top/>
      <bottom style="thin">
        <color theme="0" tint="-0.34998626667073579"/>
      </bottom>
      <diagonal/>
    </border>
    <border>
      <left/>
      <right/>
      <top/>
      <bottom style="thin">
        <color rgb="FF000000"/>
      </bottom>
      <diagonal/>
    </border>
    <border>
      <left style="thin">
        <color rgb="FF000000"/>
      </left>
      <right/>
      <top style="thin">
        <color rgb="FF000000"/>
      </top>
      <bottom/>
      <diagonal/>
    </border>
    <border>
      <left/>
      <right style="thin">
        <color rgb="FF000000"/>
      </right>
      <top style="thin">
        <color rgb="FF000000"/>
      </top>
      <bottom/>
      <diagonal/>
    </border>
    <border>
      <left/>
      <right/>
      <top style="thin">
        <color rgb="FF000000"/>
      </top>
      <bottom/>
      <diagonal/>
    </border>
    <border>
      <left style="thin">
        <color rgb="FF000000"/>
      </left>
      <right/>
      <top/>
      <bottom style="thin">
        <color rgb="FF000000"/>
      </bottom>
      <diagonal/>
    </border>
    <border>
      <left/>
      <right style="thin">
        <color rgb="FF000000"/>
      </right>
      <top/>
      <bottom style="thin">
        <color rgb="FF000000"/>
      </bottom>
      <diagonal/>
    </border>
    <border>
      <left style="thin">
        <color theme="4" tint="0.39997558519241921"/>
      </left>
      <right style="thin">
        <color theme="4" tint="0.39997558519241921"/>
      </right>
      <top style="thin">
        <color theme="4" tint="0.39997558519241921"/>
      </top>
      <bottom style="thin">
        <color theme="4" tint="0.39997558519241921"/>
      </bottom>
      <diagonal/>
    </border>
    <border>
      <left/>
      <right style="thin">
        <color indexed="64"/>
      </right>
      <top style="thin">
        <color indexed="64"/>
      </top>
      <bottom/>
      <diagonal/>
    </border>
    <border>
      <left style="medium">
        <color rgb="FF0070C0"/>
      </left>
      <right/>
      <top style="thin">
        <color auto="1"/>
      </top>
      <bottom style="thin">
        <color auto="1"/>
      </bottom>
      <diagonal/>
    </border>
    <border>
      <left style="thin">
        <color auto="1"/>
      </left>
      <right/>
      <top style="thin">
        <color auto="1"/>
      </top>
      <bottom style="thin">
        <color auto="1"/>
      </bottom>
      <diagonal/>
    </border>
    <border>
      <left style="thin">
        <color auto="1"/>
      </left>
      <right style="medium">
        <color rgb="FF0070C0"/>
      </right>
      <top style="thin">
        <color auto="1"/>
      </top>
      <bottom/>
      <diagonal/>
    </border>
    <border>
      <left style="medium">
        <color rgb="FF0070C0"/>
      </left>
      <right style="thin">
        <color auto="1"/>
      </right>
      <top style="thin">
        <color auto="1"/>
      </top>
      <bottom/>
      <diagonal/>
    </border>
    <border>
      <left style="thin">
        <color auto="1"/>
      </left>
      <right style="medium">
        <color rgb="FF0070C0"/>
      </right>
      <top/>
      <bottom style="thin">
        <color auto="1"/>
      </bottom>
      <diagonal/>
    </border>
    <border>
      <left style="medium">
        <color rgb="FF0070C0"/>
      </left>
      <right style="thin">
        <color theme="4" tint="-0.249977111117893"/>
      </right>
      <top style="thin">
        <color theme="4" tint="-0.249977111117893"/>
      </top>
      <bottom/>
      <diagonal/>
    </border>
    <border>
      <left style="thin">
        <color theme="4" tint="-0.249977111117893"/>
      </left>
      <right style="thin">
        <color theme="4" tint="-0.249977111117893"/>
      </right>
      <top style="thin">
        <color theme="4" tint="-0.249977111117893"/>
      </top>
      <bottom/>
      <diagonal/>
    </border>
    <border>
      <left style="thin">
        <color theme="4" tint="-0.249977111117893"/>
      </left>
      <right style="medium">
        <color rgb="FF0070C0"/>
      </right>
      <top style="thin">
        <color theme="4" tint="-0.249977111117893"/>
      </top>
      <bottom/>
      <diagonal/>
    </border>
    <border>
      <left style="medium">
        <color rgb="FF0070C0"/>
      </left>
      <right style="thin">
        <color theme="4" tint="-0.249977111117893"/>
      </right>
      <top/>
      <bottom/>
      <diagonal/>
    </border>
    <border>
      <left style="thin">
        <color theme="4" tint="-0.249977111117893"/>
      </left>
      <right style="thin">
        <color theme="4" tint="-0.249977111117893"/>
      </right>
      <top/>
      <bottom/>
      <diagonal/>
    </border>
    <border>
      <left style="thin">
        <color theme="4" tint="-0.249977111117893"/>
      </left>
      <right style="medium">
        <color rgb="FF0070C0"/>
      </right>
      <top/>
      <bottom/>
      <diagonal/>
    </border>
    <border>
      <left style="medium">
        <color rgb="FF0070C0"/>
      </left>
      <right style="thin">
        <color theme="4" tint="-0.249977111117893"/>
      </right>
      <top style="thin">
        <color theme="4" tint="-0.249977111117893"/>
      </top>
      <bottom style="thin">
        <color theme="4" tint="-0.249977111117893"/>
      </bottom>
      <diagonal/>
    </border>
    <border>
      <left style="thin">
        <color theme="4" tint="-0.249977111117893"/>
      </left>
      <right style="thin">
        <color theme="4" tint="-0.249977111117893"/>
      </right>
      <top style="thin">
        <color theme="4" tint="-0.249977111117893"/>
      </top>
      <bottom style="thin">
        <color theme="4" tint="-0.249977111117893"/>
      </bottom>
      <diagonal/>
    </border>
    <border>
      <left style="thin">
        <color theme="4" tint="-0.249977111117893"/>
      </left>
      <right style="medium">
        <color rgb="FF0070C0"/>
      </right>
      <top style="thin">
        <color theme="4" tint="-0.249977111117893"/>
      </top>
      <bottom style="thin">
        <color theme="4" tint="-0.249977111117893"/>
      </bottom>
      <diagonal/>
    </border>
    <border>
      <left style="thin">
        <color indexed="64"/>
      </left>
      <right style="medium">
        <color rgb="FF0070C0"/>
      </right>
      <top/>
      <bottom/>
      <diagonal/>
    </border>
    <border>
      <left style="medium">
        <color rgb="FF0070C0"/>
      </left>
      <right style="medium">
        <color rgb="FF0070C0"/>
      </right>
      <top style="thin">
        <color auto="1"/>
      </top>
      <bottom/>
      <diagonal/>
    </border>
    <border>
      <left style="medium">
        <color rgb="FF0070C0"/>
      </left>
      <right style="medium">
        <color rgb="FF0070C0"/>
      </right>
      <top/>
      <bottom style="thin">
        <color auto="1"/>
      </bottom>
      <diagonal/>
    </border>
    <border>
      <left style="medium">
        <color rgb="FF0070C0"/>
      </left>
      <right/>
      <top/>
      <bottom style="thin">
        <color auto="1"/>
      </bottom>
      <diagonal/>
    </border>
    <border>
      <left/>
      <right/>
      <top/>
      <bottom style="thin">
        <color auto="1"/>
      </bottom>
      <diagonal/>
    </border>
    <border>
      <left style="thin">
        <color indexed="64"/>
      </left>
      <right/>
      <top style="thin">
        <color indexed="64"/>
      </top>
      <bottom/>
      <diagonal/>
    </border>
    <border>
      <left/>
      <right/>
      <top style="thin">
        <color indexed="64"/>
      </top>
      <bottom/>
      <diagonal/>
    </border>
    <border>
      <left/>
      <right style="thin">
        <color indexed="64"/>
      </right>
      <top style="thin">
        <color indexed="64"/>
      </top>
      <bottom/>
      <diagonal/>
    </border>
    <border>
      <left/>
      <right style="thin">
        <color indexed="64"/>
      </right>
      <top/>
      <bottom style="thin">
        <color indexed="64"/>
      </bottom>
      <diagonal/>
    </border>
    <border>
      <left style="medium">
        <color indexed="64"/>
      </left>
      <right style="thin">
        <color indexed="22"/>
      </right>
      <top style="thin">
        <color indexed="22"/>
      </top>
      <bottom style="thin">
        <color indexed="22"/>
      </bottom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  <border>
      <left style="medium">
        <color indexed="64"/>
      </left>
      <right style="thin">
        <color indexed="22"/>
      </right>
      <top style="thin">
        <color indexed="22"/>
      </top>
      <bottom style="medium">
        <color indexed="64"/>
      </bottom>
      <diagonal/>
    </border>
    <border>
      <left style="thin">
        <color indexed="22"/>
      </left>
      <right style="thin">
        <color indexed="22"/>
      </right>
      <top style="thin">
        <color indexed="22"/>
      </top>
      <bottom style="medium">
        <color indexed="64"/>
      </bottom>
      <diagonal/>
    </border>
    <border>
      <left/>
      <right/>
      <top style="medium">
        <color rgb="FF555555"/>
      </top>
      <bottom style="medium">
        <color rgb="FFAAAAAA"/>
      </bottom>
      <diagonal/>
    </border>
    <border>
      <left/>
      <right/>
      <top/>
      <bottom style="medium">
        <color rgb="FFAAAAAA"/>
      </bottom>
      <diagonal/>
    </border>
    <border>
      <left/>
      <right/>
      <top/>
      <bottom style="medium">
        <color rgb="FF555555"/>
      </bottom>
      <diagonal/>
    </border>
    <border>
      <left/>
      <right/>
      <top style="medium">
        <color rgb="FF555555"/>
      </top>
      <bottom style="medium">
        <color rgb="FF555555"/>
      </bottom>
      <diagonal/>
    </border>
    <border>
      <left/>
      <right/>
      <top style="medium">
        <color rgb="FFAAAAAA"/>
      </top>
      <bottom/>
      <diagonal/>
    </border>
    <border>
      <left style="medium">
        <color rgb="FF000000"/>
      </left>
      <right/>
      <top style="medium">
        <color rgb="FF000000"/>
      </top>
      <bottom style="medium">
        <color rgb="FF000000"/>
      </bottom>
      <diagonal/>
    </border>
    <border>
      <left/>
      <right/>
      <top style="medium">
        <color rgb="FF000000"/>
      </top>
      <bottom style="medium">
        <color rgb="FF000000"/>
      </bottom>
      <diagonal/>
    </border>
    <border>
      <left/>
      <right style="medium">
        <color rgb="FF000000"/>
      </right>
      <top style="medium">
        <color rgb="FF000000"/>
      </top>
      <bottom style="medium">
        <color rgb="FF000000"/>
      </bottom>
      <diagonal/>
    </border>
    <border>
      <left/>
      <right style="medium">
        <color rgb="FF000000"/>
      </right>
      <top/>
      <bottom style="thin">
        <color rgb="FFC0C0C0"/>
      </bottom>
      <diagonal/>
    </border>
    <border>
      <left style="medium">
        <color rgb="FF000000"/>
      </left>
      <right/>
      <top style="medium">
        <color rgb="FF000000"/>
      </top>
      <bottom style="thin">
        <color rgb="FFCCCCFF"/>
      </bottom>
      <diagonal/>
    </border>
    <border>
      <left/>
      <right/>
      <top style="medium">
        <color rgb="FF000000"/>
      </top>
      <bottom style="thin">
        <color rgb="FFCCCCFF"/>
      </bottom>
      <diagonal/>
    </border>
    <border>
      <left/>
      <right style="medium">
        <color rgb="FF000000"/>
      </right>
      <top style="medium">
        <color rgb="FF000000"/>
      </top>
      <bottom style="thin">
        <color rgb="FFCCCCFF"/>
      </bottom>
      <diagonal/>
    </border>
    <border>
      <left style="thin">
        <color rgb="FFC0C0C0"/>
      </left>
      <right style="medium">
        <color rgb="FF000000"/>
      </right>
      <top style="thin">
        <color rgb="FFC0C0C0"/>
      </top>
      <bottom style="thin">
        <color rgb="FFC0C0C0"/>
      </bottom>
      <diagonal/>
    </border>
    <border>
      <left style="medium">
        <color rgb="FF000000"/>
      </left>
      <right style="thin">
        <color rgb="FFCCCCFF"/>
      </right>
      <top style="thin">
        <color rgb="FFCCCCFF"/>
      </top>
      <bottom style="thin">
        <color rgb="FFCCCCFF"/>
      </bottom>
      <diagonal/>
    </border>
    <border>
      <left style="thin">
        <color rgb="FFCCCCFF"/>
      </left>
      <right style="thin">
        <color rgb="FFCCCCFF"/>
      </right>
      <top style="thin">
        <color rgb="FFCCCCFF"/>
      </top>
      <bottom style="thin">
        <color rgb="FFCCCCFF"/>
      </bottom>
      <diagonal/>
    </border>
    <border>
      <left style="thin">
        <color rgb="FFCCCCFF"/>
      </left>
      <right style="medium">
        <color rgb="FF000000"/>
      </right>
      <top style="thin">
        <color rgb="FFCCCCFF"/>
      </top>
      <bottom style="thin">
        <color rgb="FFCCCCFF"/>
      </bottom>
      <diagonal/>
    </border>
    <border>
      <left style="medium">
        <color rgb="FF000000"/>
      </left>
      <right style="thin">
        <color rgb="FFCCCCFF"/>
      </right>
      <top style="thin">
        <color rgb="FFCCCCFF"/>
      </top>
      <bottom style="medium">
        <color rgb="FF000000"/>
      </bottom>
      <diagonal/>
    </border>
    <border>
      <left style="thin">
        <color rgb="FFCCCCFF"/>
      </left>
      <right style="thin">
        <color rgb="FFCCCCFF"/>
      </right>
      <top style="thin">
        <color rgb="FFCCCCFF"/>
      </top>
      <bottom style="medium">
        <color rgb="FF000000"/>
      </bottom>
      <diagonal/>
    </border>
    <border>
      <left style="thin">
        <color rgb="FFCCCCFF"/>
      </left>
      <right style="medium">
        <color rgb="FF000000"/>
      </right>
      <top style="thin">
        <color rgb="FFCCCCFF"/>
      </top>
      <bottom style="medium">
        <color rgb="FF000000"/>
      </bottom>
      <diagonal/>
    </border>
    <border>
      <left/>
      <right/>
      <top/>
      <bottom style="thin">
        <color theme="0" tint="-0.499984740745262"/>
      </bottom>
      <diagonal/>
    </border>
    <border>
      <left style="thin">
        <color theme="0" tint="-0.249977111117893"/>
      </left>
      <right style="thin">
        <color theme="0" tint="-0.249977111117893"/>
      </right>
      <top style="thin">
        <color theme="0" tint="-0.249977111117893"/>
      </top>
      <bottom style="thin">
        <color theme="0" tint="-0.249977111117893"/>
      </bottom>
      <diagonal/>
    </border>
    <border>
      <left/>
      <right style="thin">
        <color indexed="46"/>
      </right>
      <top/>
      <bottom style="thin">
        <color indexed="46"/>
      </bottom>
      <diagonal/>
    </border>
    <border>
      <left style="medium">
        <color theme="0" tint="-0.24997711111789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23"/>
      </left>
      <right style="medium">
        <color theme="0" tint="-0.249977111117893"/>
      </right>
      <top style="thin">
        <color indexed="23"/>
      </top>
      <bottom style="thin">
        <color indexed="23"/>
      </bottom>
      <diagonal/>
    </border>
    <border>
      <left style="medium">
        <color theme="0" tint="-0.249977111117893"/>
      </left>
      <right style="thin">
        <color indexed="46"/>
      </right>
      <top style="thin">
        <color indexed="46"/>
      </top>
      <bottom style="thin">
        <color indexed="46"/>
      </bottom>
      <diagonal/>
    </border>
    <border>
      <left style="thin">
        <color indexed="23"/>
      </left>
      <right style="medium">
        <color theme="0" tint="-0.249977111117893"/>
      </right>
      <top style="thin">
        <color indexed="46"/>
      </top>
      <bottom style="thin">
        <color indexed="46"/>
      </bottom>
      <diagonal/>
    </border>
    <border>
      <left/>
      <right style="thin">
        <color theme="0" tint="-0.499984740745262"/>
      </right>
      <top/>
      <bottom/>
      <diagonal/>
    </border>
    <border diagonalUp="1">
      <left style="thin">
        <color theme="0" tint="-0.499984740745262"/>
      </left>
      <right style="thin">
        <color theme="0" tint="-0.499984740745262"/>
      </right>
      <top style="thin">
        <color theme="0" tint="-0.499984740745262"/>
      </top>
      <bottom/>
      <diagonal style="thin">
        <color theme="0" tint="-0.499984740745262"/>
      </diagonal>
    </border>
    <border diagonalUp="1">
      <left style="thin">
        <color theme="0" tint="-0.499984740745262"/>
      </left>
      <right style="thin">
        <color theme="0" tint="-0.499984740745262"/>
      </right>
      <top/>
      <bottom/>
      <diagonal style="thin">
        <color theme="0" tint="-0.499984740745262"/>
      </diagonal>
    </border>
    <border diagonalUp="1">
      <left style="thin">
        <color theme="0" tint="-0.499984740745262"/>
      </left>
      <right style="thin">
        <color theme="0" tint="-0.499984740745262"/>
      </right>
      <top/>
      <bottom style="thin">
        <color theme="0" tint="-0.499984740745262"/>
      </bottom>
      <diagonal style="thin">
        <color theme="0" tint="-0.499984740745262"/>
      </diagonal>
    </border>
    <border>
      <left/>
      <right/>
      <top style="thin">
        <color theme="0" tint="-0.499984740745262"/>
      </top>
      <bottom/>
      <diagonal/>
    </border>
    <border>
      <left/>
      <right style="thin">
        <color indexed="64"/>
      </right>
      <top style="medium">
        <color indexed="64"/>
      </top>
      <bottom style="thin">
        <color indexed="23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/>
      <right/>
      <top style="thin">
        <color indexed="62"/>
      </top>
      <bottom style="double">
        <color indexed="62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 style="medium">
        <color indexed="64"/>
      </right>
      <top style="thin">
        <color indexed="64"/>
      </top>
      <bottom/>
      <diagonal/>
    </border>
    <border>
      <left style="medium">
        <color rgb="FFFF0000"/>
      </left>
      <right/>
      <top style="thin">
        <color theme="0" tint="-0.34998626667073579"/>
      </top>
      <bottom/>
      <diagonal/>
    </border>
    <border>
      <left style="medium">
        <color rgb="FFFF0000"/>
      </left>
      <right/>
      <top/>
      <bottom style="thin">
        <color theme="0" tint="-0.34998626667073579"/>
      </bottom>
      <diagonal/>
    </border>
    <border>
      <left/>
      <right/>
      <top style="thin">
        <color theme="0" tint="-0.34998626667073579"/>
      </top>
      <bottom/>
      <diagonal/>
    </border>
    <border>
      <left/>
      <right/>
      <top/>
      <bottom style="thin">
        <color theme="0" tint="-0.34998626667073579"/>
      </bottom>
      <diagonal/>
    </border>
    <border>
      <left/>
      <right style="medium">
        <color rgb="FFFF0000"/>
      </right>
      <top style="thin">
        <color theme="0" tint="-0.34998626667073579"/>
      </top>
      <bottom/>
      <diagonal/>
    </border>
    <border>
      <left/>
      <right style="medium">
        <color rgb="FFFF0000"/>
      </right>
      <top/>
      <bottom style="thin">
        <color theme="0" tint="-0.34998626667073579"/>
      </bottom>
      <diagonal/>
    </border>
    <border>
      <left style="medium">
        <color rgb="FFFF0000"/>
      </left>
      <right style="medium">
        <color rgb="FFFF0000"/>
      </right>
      <top style="thin">
        <color theme="0" tint="-0.34998626667073579"/>
      </top>
      <bottom/>
      <diagonal/>
    </border>
    <border>
      <left style="medium">
        <color rgb="FFFF0000"/>
      </left>
      <right/>
      <top style="medium">
        <color rgb="FFFF0000"/>
      </top>
      <bottom style="thin">
        <color indexed="64"/>
      </bottom>
      <diagonal/>
    </border>
    <border>
      <left/>
      <right/>
      <top style="medium">
        <color rgb="FFFF0000"/>
      </top>
      <bottom style="thin">
        <color indexed="64"/>
      </bottom>
      <diagonal/>
    </border>
    <border>
      <left/>
      <right style="medium">
        <color rgb="FFFF0000"/>
      </right>
      <top style="medium">
        <color rgb="FFFF0000"/>
      </top>
      <bottom style="thin">
        <color indexed="64"/>
      </bottom>
      <diagonal/>
    </border>
    <border>
      <left style="medium">
        <color rgb="FFFF0000"/>
      </left>
      <right/>
      <top style="thin">
        <color indexed="64"/>
      </top>
      <bottom style="thin">
        <color indexed="64"/>
      </bottom>
      <diagonal/>
    </border>
    <border>
      <left/>
      <right style="medium">
        <color rgb="FFFF0000"/>
      </right>
      <top style="thin">
        <color indexed="64"/>
      </top>
      <bottom style="thin">
        <color indexed="64"/>
      </bottom>
      <diagonal/>
    </border>
    <border>
      <left style="medium">
        <color rgb="FFFF0000"/>
      </left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 style="medium">
        <color rgb="FFFF0000"/>
      </right>
      <top style="thin">
        <color indexed="64"/>
      </top>
      <bottom/>
      <diagonal/>
    </border>
    <border>
      <left style="medium">
        <color rgb="FFFF0000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medium">
        <color rgb="FFFF0000"/>
      </right>
      <top style="thin">
        <color indexed="64"/>
      </top>
      <bottom style="thin">
        <color indexed="64"/>
      </bottom>
      <diagonal/>
    </border>
    <border>
      <left style="thin">
        <color rgb="FF98C7DE"/>
      </left>
      <right style="thin">
        <color rgb="FF98C7DE"/>
      </right>
      <top style="thin">
        <color rgb="FF98C7DE"/>
      </top>
      <bottom style="thin">
        <color rgb="FF98C7DE"/>
      </bottom>
      <diagonal/>
    </border>
    <border>
      <left style="thin">
        <color rgb="FF98C7DE"/>
      </left>
      <right style="thin">
        <color rgb="FF98C7DE"/>
      </right>
      <top style="thin">
        <color rgb="FF98C7DE"/>
      </top>
      <bottom/>
      <diagonal/>
    </border>
    <border>
      <left style="thin">
        <color rgb="FF98C7DE"/>
      </left>
      <right style="thin">
        <color rgb="FF98C7DE"/>
      </right>
      <top/>
      <bottom/>
      <diagonal/>
    </border>
    <border>
      <left style="thin">
        <color rgb="FF98C7DE"/>
      </left>
      <right style="thin">
        <color rgb="FF98C7DE"/>
      </right>
      <top/>
      <bottom style="thin">
        <color rgb="FF98C7DE"/>
      </bottom>
      <diagonal/>
    </border>
    <border>
      <left style="thin">
        <color rgb="FF98C7DE"/>
      </left>
      <right/>
      <top style="thin">
        <color rgb="FF98C7DE"/>
      </top>
      <bottom/>
      <diagonal/>
    </border>
    <border>
      <left/>
      <right/>
      <top style="thin">
        <color rgb="FF98C7DE"/>
      </top>
      <bottom/>
      <diagonal/>
    </border>
    <border>
      <left/>
      <right style="thin">
        <color rgb="FF98C7DE"/>
      </right>
      <top style="thin">
        <color rgb="FF98C7DE"/>
      </top>
      <bottom/>
      <diagonal/>
    </border>
    <border>
      <left style="thin">
        <color rgb="FF98C7DE"/>
      </left>
      <right/>
      <top/>
      <bottom style="thin">
        <color rgb="FF98C7DE"/>
      </bottom>
      <diagonal/>
    </border>
    <border>
      <left/>
      <right/>
      <top/>
      <bottom style="thin">
        <color rgb="FF98C7DE"/>
      </bottom>
      <diagonal/>
    </border>
    <border>
      <left/>
      <right style="thin">
        <color rgb="FF98C7DE"/>
      </right>
      <top/>
      <bottom style="thin">
        <color rgb="FF98C7DE"/>
      </bottom>
      <diagonal/>
    </border>
    <border>
      <left style="thin">
        <color rgb="FF98C7DE"/>
      </left>
      <right/>
      <top style="thin">
        <color rgb="FF98C7DE"/>
      </top>
      <bottom style="thin">
        <color rgb="FF98C7DE"/>
      </bottom>
      <diagonal/>
    </border>
    <border>
      <left/>
      <right/>
      <top style="thin">
        <color rgb="FF98C7DE"/>
      </top>
      <bottom style="thin">
        <color rgb="FF98C7DE"/>
      </bottom>
      <diagonal/>
    </border>
    <border>
      <left/>
      <right style="thin">
        <color rgb="FF98C7DE"/>
      </right>
      <top style="thin">
        <color rgb="FF98C7DE"/>
      </top>
      <bottom style="thin">
        <color rgb="FF98C7DE"/>
      </bottom>
      <diagonal/>
    </border>
    <border>
      <left style="thin">
        <color rgb="FF98C7DE"/>
      </left>
      <right style="thin">
        <color rgb="FF98C7DE"/>
      </right>
      <top/>
      <bottom style="thin">
        <color indexed="64"/>
      </bottom>
      <diagonal/>
    </border>
    <border>
      <left style="thin">
        <color indexed="64"/>
      </left>
      <right style="thin">
        <color theme="0" tint="-0.499984740745262"/>
      </right>
      <top style="thin">
        <color indexed="64"/>
      </top>
      <bottom/>
      <diagonal/>
    </border>
    <border>
      <left style="thin">
        <color indexed="64"/>
      </left>
      <right style="thin">
        <color theme="0" tint="-0.499984740745262"/>
      </right>
      <top/>
      <bottom style="thin">
        <color indexed="64"/>
      </bottom>
      <diagonal/>
    </border>
    <border>
      <left style="thin">
        <color theme="0" tint="-0.499984740745262"/>
      </left>
      <right/>
      <top style="thin">
        <color theme="0" tint="-0.499984740745262"/>
      </top>
      <bottom/>
      <diagonal/>
    </border>
    <border>
      <left/>
      <right style="thin">
        <color theme="0" tint="-0.499984740745262"/>
      </right>
      <top style="thin">
        <color theme="0" tint="-0.499984740745262"/>
      </top>
      <bottom/>
      <diagonal/>
    </border>
    <border>
      <left/>
      <right style="thin">
        <color indexed="64"/>
      </right>
      <top style="thin">
        <color theme="0" tint="-0.499984740745262"/>
      </top>
      <bottom style="thin">
        <color theme="0" tint="-0.499984740745262"/>
      </bottom>
      <diagonal/>
    </border>
    <border>
      <left style="thin">
        <color rgb="FFCCCCFF"/>
      </left>
      <right/>
      <top style="thin">
        <color rgb="FFCCCCFF"/>
      </top>
      <bottom style="thin">
        <color rgb="FFCCCCFF"/>
      </bottom>
      <diagonal/>
    </border>
    <border>
      <left style="thin">
        <color rgb="FFCCCCFF"/>
      </left>
      <right/>
      <top style="thin">
        <color rgb="FFCCCCFF"/>
      </top>
      <bottom style="medium">
        <color rgb="FF000000"/>
      </bottom>
      <diagonal/>
    </border>
    <border>
      <left style="medium">
        <color indexed="64"/>
      </left>
      <right style="medium">
        <color indexed="64"/>
      </right>
      <top style="thin">
        <color rgb="FFCCCCFF"/>
      </top>
      <bottom style="thin">
        <color rgb="FFCCCCFF"/>
      </bottom>
      <diagonal/>
    </border>
    <border>
      <left style="medium">
        <color indexed="64"/>
      </left>
      <right style="medium">
        <color indexed="64"/>
      </right>
      <top style="thin">
        <color rgb="FFCCCCFF"/>
      </top>
      <bottom style="medium">
        <color indexed="64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theme="0" tint="-0.34998626667073579"/>
      </left>
      <right/>
      <top style="thin">
        <color theme="0" tint="-0.34998626667073579"/>
      </top>
      <bottom/>
      <diagonal/>
    </border>
    <border>
      <left style="thin">
        <color theme="0" tint="-0.34998626667073579"/>
      </left>
      <right/>
      <top/>
      <bottom/>
      <diagonal/>
    </border>
    <border>
      <left style="thin">
        <color theme="0" tint="-0.34998626667073579"/>
      </left>
      <right/>
      <top/>
      <bottom style="thin">
        <color theme="0" tint="-0.34998626667073579"/>
      </bottom>
      <diagonal/>
    </border>
    <border>
      <left style="medium">
        <color indexed="64"/>
      </left>
      <right style="medium">
        <color indexed="10"/>
      </right>
      <top style="medium">
        <color indexed="64"/>
      </top>
      <bottom/>
      <diagonal/>
    </border>
    <border>
      <left style="medium">
        <color indexed="64"/>
      </left>
      <right style="medium">
        <color indexed="10"/>
      </right>
      <top/>
      <bottom style="thin">
        <color indexed="64"/>
      </bottom>
      <diagonal/>
    </border>
    <border>
      <left style="thin">
        <color indexed="22"/>
      </left>
      <right/>
      <top style="thin">
        <color indexed="22"/>
      </top>
      <bottom/>
      <diagonal/>
    </border>
    <border>
      <left/>
      <right/>
      <top style="thin">
        <color indexed="22"/>
      </top>
      <bottom/>
      <diagonal/>
    </border>
    <border>
      <left/>
      <right style="thin">
        <color indexed="22"/>
      </right>
      <top style="thin">
        <color indexed="22"/>
      </top>
      <bottom/>
      <diagonal/>
    </border>
    <border>
      <left style="medium">
        <color rgb="FF0070C0"/>
      </left>
      <right/>
      <top style="thin">
        <color auto="1"/>
      </top>
      <bottom style="thin">
        <color auto="1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23"/>
      </left>
      <right/>
      <top style="thin">
        <color indexed="23"/>
      </top>
      <bottom style="thin">
        <color indexed="23"/>
      </bottom>
      <diagonal/>
    </border>
    <border>
      <left/>
      <right/>
      <top style="thin">
        <color indexed="23"/>
      </top>
      <bottom style="thin">
        <color indexed="23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medium">
        <color rgb="FF000000"/>
      </left>
      <right style="medium">
        <color rgb="FF000000"/>
      </right>
      <top style="medium">
        <color rgb="FF000000"/>
      </top>
      <bottom/>
      <diagonal/>
    </border>
    <border>
      <left style="medium">
        <color rgb="FF000000"/>
      </left>
      <right style="medium">
        <color rgb="FF000000"/>
      </right>
      <top/>
      <bottom style="thin">
        <color rgb="FFCCCCFF"/>
      </bottom>
      <diagonal/>
    </border>
    <border>
      <left/>
      <right/>
      <top style="thin">
        <color rgb="FFCCCCFF"/>
      </top>
      <bottom style="thin">
        <color rgb="FFCCCCFF"/>
      </bottom>
      <diagonal/>
    </border>
    <border>
      <left style="thin">
        <color theme="4" tint="0.39997558519241921"/>
      </left>
      <right style="thin">
        <color theme="4" tint="0.39997558519241921"/>
      </right>
      <top style="thin">
        <color theme="4" tint="0.39997558519241921"/>
      </top>
      <bottom/>
      <diagonal/>
    </border>
    <border>
      <left style="thin">
        <color theme="4" tint="0.39997558519241921"/>
      </left>
      <right style="thin">
        <color theme="4" tint="0.39997558519241921"/>
      </right>
      <top/>
      <bottom style="thin">
        <color theme="4" tint="0.39997558519241921"/>
      </bottom>
      <diagonal/>
    </border>
    <border>
      <left style="thin">
        <color theme="4" tint="0.39997558519241921"/>
      </left>
      <right/>
      <top style="thin">
        <color theme="4" tint="0.39997558519241921"/>
      </top>
      <bottom style="thin">
        <color theme="4" tint="0.39997558519241921"/>
      </bottom>
      <diagonal/>
    </border>
    <border>
      <left/>
      <right style="thin">
        <color theme="4" tint="0.39997558519241921"/>
      </right>
      <top style="thin">
        <color theme="4" tint="0.39997558519241921"/>
      </top>
      <bottom style="thin">
        <color theme="4" tint="0.39997558519241921"/>
      </bottom>
      <diagonal/>
    </border>
    <border>
      <left style="medium">
        <color indexed="10"/>
      </left>
      <right style="thin">
        <color indexed="37"/>
      </right>
      <top style="thin">
        <color indexed="37"/>
      </top>
      <bottom style="thin">
        <color indexed="37"/>
      </bottom>
      <diagonal/>
    </border>
    <border>
      <left style="thin">
        <color indexed="37"/>
      </left>
      <right style="thin">
        <color indexed="37"/>
      </right>
      <top style="thin">
        <color indexed="37"/>
      </top>
      <bottom style="thin">
        <color indexed="37"/>
      </bottom>
      <diagonal/>
    </border>
    <border>
      <left style="medium">
        <color indexed="64"/>
      </left>
      <right style="medium">
        <color indexed="64"/>
      </right>
      <top style="thin">
        <color indexed="64"/>
      </top>
      <bottom style="thin">
        <color indexed="64"/>
      </bottom>
      <diagonal/>
    </border>
    <border>
      <left/>
      <right style="medium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/>
      <right/>
      <top style="thin">
        <color theme="4" tint="0.39997558519241921"/>
      </top>
      <bottom style="thin">
        <color theme="4" tint="0.39997558519241921"/>
      </bottom>
      <diagonal/>
    </border>
    <border>
      <left style="medium">
        <color rgb="FF0070C0"/>
      </left>
      <right/>
      <top/>
      <bottom style="thin">
        <color auto="1"/>
      </bottom>
      <diagonal/>
    </border>
    <border>
      <left style="medium">
        <color rgb="FF0070C0"/>
      </left>
      <right/>
      <top style="thin">
        <color auto="1"/>
      </top>
      <bottom style="thin">
        <color indexed="64"/>
      </bottom>
      <diagonal/>
    </border>
    <border>
      <left/>
      <right/>
      <top style="thin">
        <color auto="1"/>
      </top>
      <bottom style="thin">
        <color indexed="64"/>
      </bottom>
      <diagonal/>
    </border>
    <border>
      <left/>
      <right style="thin">
        <color indexed="64"/>
      </right>
      <top style="thin">
        <color auto="1"/>
      </top>
      <bottom style="thin">
        <color indexed="64"/>
      </bottom>
      <diagonal/>
    </border>
    <border>
      <left style="thin">
        <color auto="1"/>
      </left>
      <right/>
      <top style="thin">
        <color auto="1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/>
      <right style="medium">
        <color rgb="FF0070C0"/>
      </right>
      <top/>
      <bottom style="thin">
        <color auto="1"/>
      </bottom>
      <diagonal/>
    </border>
    <border>
      <left style="thin">
        <color auto="1"/>
      </left>
      <right style="medium">
        <color rgb="FF0070C0"/>
      </right>
      <top style="thin">
        <color auto="1"/>
      </top>
      <bottom/>
      <diagonal/>
    </border>
    <border>
      <left style="thin">
        <color auto="1"/>
      </left>
      <right style="medium">
        <color rgb="FF0070C0"/>
      </right>
      <top/>
      <bottom style="thin">
        <color auto="1"/>
      </bottom>
      <diagonal/>
    </border>
    <border>
      <left style="thin">
        <color indexed="64"/>
      </left>
      <right/>
      <top style="thin">
        <color indexed="64"/>
      </top>
      <bottom/>
      <diagonal/>
    </border>
    <border>
      <left style="medium">
        <color rgb="FF0070C0"/>
      </left>
      <right style="thin">
        <color theme="4" tint="-0.249977111117893"/>
      </right>
      <top style="thin">
        <color indexed="64"/>
      </top>
      <bottom/>
      <diagonal/>
    </border>
    <border>
      <left style="thin">
        <color theme="4" tint="-0.249977111117893"/>
      </left>
      <right style="thin">
        <color theme="4" tint="-0.249977111117893"/>
      </right>
      <top style="thin">
        <color indexed="64"/>
      </top>
      <bottom/>
      <diagonal/>
    </border>
    <border>
      <left style="thin">
        <color theme="4" tint="-0.249977111117893"/>
      </left>
      <right style="medium">
        <color rgb="FF0070C0"/>
      </right>
      <top style="thin">
        <color indexed="64"/>
      </top>
      <bottom/>
      <diagonal/>
    </border>
    <border>
      <left style="thin">
        <color theme="4" tint="-0.249977111117893"/>
      </left>
      <right style="thin">
        <color indexed="64"/>
      </right>
      <top style="thin">
        <color indexed="64"/>
      </top>
      <bottom/>
      <diagonal/>
    </border>
    <border>
      <left style="medium">
        <color rgb="FF0070C0"/>
      </left>
      <right style="thin">
        <color theme="4" tint="-0.249977111117893"/>
      </right>
      <top/>
      <bottom style="thin">
        <color indexed="64"/>
      </bottom>
      <diagonal/>
    </border>
    <border>
      <left style="thin">
        <color theme="4" tint="-0.249977111117893"/>
      </left>
      <right style="thin">
        <color theme="4" tint="-0.249977111117893"/>
      </right>
      <top/>
      <bottom style="thin">
        <color indexed="64"/>
      </bottom>
      <diagonal/>
    </border>
    <border>
      <left style="thin">
        <color theme="4" tint="-0.249977111117893"/>
      </left>
      <right style="thin">
        <color theme="4" tint="-0.249977111117893"/>
      </right>
      <top style="thin">
        <color theme="4" tint="-0.249977111117893"/>
      </top>
      <bottom style="thin">
        <color indexed="64"/>
      </bottom>
      <diagonal/>
    </border>
    <border>
      <left style="thin">
        <color theme="4" tint="-0.249977111117893"/>
      </left>
      <right style="medium">
        <color rgb="FF0070C0"/>
      </right>
      <top/>
      <bottom style="thin">
        <color indexed="64"/>
      </bottom>
      <diagonal/>
    </border>
    <border>
      <left style="thin">
        <color theme="4" tint="-0.249977111117893"/>
      </left>
      <right style="thin">
        <color indexed="64"/>
      </right>
      <top/>
      <bottom style="thin">
        <color indexed="64"/>
      </bottom>
      <diagonal/>
    </border>
    <border>
      <left style="medium">
        <color rgb="FF0070C0"/>
      </left>
      <right style="thin">
        <color theme="4" tint="-0.249977111117893"/>
      </right>
      <top/>
      <bottom style="thin">
        <color theme="4" tint="-0.249977111117893"/>
      </bottom>
      <diagonal/>
    </border>
    <border>
      <left style="thin">
        <color theme="4" tint="-0.249977111117893"/>
      </left>
      <right style="thin">
        <color theme="4" tint="-0.249977111117893"/>
      </right>
      <top/>
      <bottom style="thin">
        <color theme="4" tint="-0.249977111117893"/>
      </bottom>
      <diagonal/>
    </border>
    <border>
      <left style="medium">
        <color rgb="FF0070C0"/>
      </left>
      <right style="medium">
        <color rgb="FF0070C0"/>
      </right>
      <top style="thin">
        <color auto="1"/>
      </top>
      <bottom/>
      <diagonal/>
    </border>
    <border>
      <left style="medium">
        <color rgb="FF0070C0"/>
      </left>
      <right style="medium">
        <color rgb="FF0070C0"/>
      </right>
      <top/>
      <bottom/>
      <diagonal/>
    </border>
    <border>
      <left style="medium">
        <color rgb="FF0070C0"/>
      </left>
      <right style="medium">
        <color rgb="FF0070C0"/>
      </right>
      <top/>
      <bottom style="thin">
        <color indexed="64"/>
      </bottom>
      <diagonal/>
    </border>
    <border>
      <left style="medium">
        <color indexed="64"/>
      </left>
      <right style="thin">
        <color indexed="23"/>
      </right>
      <top style="thin">
        <color indexed="23"/>
      </top>
      <bottom/>
      <diagonal/>
    </border>
    <border>
      <left style="medium">
        <color indexed="64"/>
      </left>
      <right style="thin">
        <color indexed="23"/>
      </right>
      <top/>
      <bottom style="thin">
        <color indexed="23"/>
      </bottom>
      <diagonal/>
    </border>
    <border>
      <left/>
      <right/>
      <top style="dashed">
        <color theme="7" tint="-0.499984740745262"/>
      </top>
      <bottom style="dashed">
        <color theme="7" tint="-0.499984740745262"/>
      </bottom>
      <diagonal/>
    </border>
    <border>
      <left/>
      <right style="dashed">
        <color theme="8" tint="-0.499984740745262"/>
      </right>
      <top style="dashed">
        <color theme="7" tint="-0.499984740745262"/>
      </top>
      <bottom style="dashed">
        <color theme="7" tint="-0.499984740745262"/>
      </bottom>
      <diagonal/>
    </border>
    <border>
      <left/>
      <right style="dashed">
        <color theme="7" tint="-0.499984740745262"/>
      </right>
      <top style="dashed">
        <color theme="7" tint="-0.499984740745262"/>
      </top>
      <bottom style="dashed">
        <color theme="7" tint="-0.499984740745262"/>
      </bottom>
      <diagonal/>
    </border>
    <border>
      <left style="dashed">
        <color theme="8" tint="-0.499984740745262"/>
      </left>
      <right/>
      <top style="dashed">
        <color theme="8" tint="-0.499984740745262"/>
      </top>
      <bottom style="dashed">
        <color theme="8" tint="-0.499984740745262"/>
      </bottom>
      <diagonal/>
    </border>
    <border>
      <left/>
      <right/>
      <top style="dashed">
        <color theme="8" tint="-0.499984740745262"/>
      </top>
      <bottom style="dashed">
        <color theme="8" tint="-0.499984740745262"/>
      </bottom>
      <diagonal/>
    </border>
    <border>
      <left/>
      <right style="dashed">
        <color theme="8" tint="-0.499984740745262"/>
      </right>
      <top style="dashed">
        <color theme="8" tint="-0.499984740745262"/>
      </top>
      <bottom style="dashed">
        <color theme="8" tint="-0.499984740745262"/>
      </bottom>
      <diagonal/>
    </border>
    <border>
      <left style="dashed">
        <color theme="8" tint="-0.499984740745262"/>
      </left>
      <right/>
      <top/>
      <bottom style="dashed">
        <color theme="8" tint="-0.499984740745262"/>
      </bottom>
      <diagonal/>
    </border>
    <border>
      <left/>
      <right/>
      <top/>
      <bottom style="dashed">
        <color theme="8" tint="-0.499984740745262"/>
      </bottom>
      <diagonal/>
    </border>
    <border>
      <left/>
      <right style="dashed">
        <color theme="7" tint="-0.499984740745262"/>
      </right>
      <top/>
      <bottom style="dashed">
        <color theme="8" tint="-0.499984740745262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theme="4" tint="0.39997558519241921"/>
      </left>
      <right style="thin">
        <color theme="4" tint="0.39997558519241921"/>
      </right>
      <top/>
      <bottom/>
      <diagonal/>
    </border>
    <border>
      <left style="thin">
        <color theme="4" tint="0.39994506668294322"/>
      </left>
      <right style="thin">
        <color theme="4" tint="0.39994506668294322"/>
      </right>
      <top style="thin">
        <color theme="4" tint="0.39994506668294322"/>
      </top>
      <bottom style="thin">
        <color theme="4" tint="0.39994506668294322"/>
      </bottom>
      <diagonal/>
    </border>
    <border>
      <left style="thin">
        <color theme="4" tint="0.39994506668294322"/>
      </left>
      <right/>
      <top style="thin">
        <color theme="4" tint="0.39994506668294322"/>
      </top>
      <bottom style="thin">
        <color theme="4" tint="0.39994506668294322"/>
      </bottom>
      <diagonal/>
    </border>
    <border>
      <left/>
      <right/>
      <top style="thin">
        <color theme="4" tint="0.39994506668294322"/>
      </top>
      <bottom style="thin">
        <color theme="4" tint="0.39994506668294322"/>
      </bottom>
      <diagonal/>
    </border>
    <border>
      <left/>
      <right style="thin">
        <color theme="4" tint="0.39994506668294322"/>
      </right>
      <top style="thin">
        <color theme="4" tint="0.39994506668294322"/>
      </top>
      <bottom style="thin">
        <color theme="4" tint="0.39994506668294322"/>
      </bottom>
      <diagonal/>
    </border>
    <border>
      <left style="thin">
        <color theme="4" tint="0.39994506668294322"/>
      </left>
      <right style="thin">
        <color theme="4" tint="0.39994506668294322"/>
      </right>
      <top style="thin">
        <color theme="4" tint="0.39994506668294322"/>
      </top>
      <bottom/>
      <diagonal/>
    </border>
    <border>
      <left style="thin">
        <color theme="4" tint="0.39994506668294322"/>
      </left>
      <right style="thin">
        <color theme="4" tint="0.39994506668294322"/>
      </right>
      <top/>
      <bottom/>
      <diagonal/>
    </border>
    <border>
      <left style="thin">
        <color theme="4" tint="0.39994506668294322"/>
      </left>
      <right style="thin">
        <color theme="4" tint="0.39994506668294322"/>
      </right>
      <top/>
      <bottom style="thin">
        <color theme="4" tint="0.39994506668294322"/>
      </bottom>
      <diagonal/>
    </border>
    <border>
      <left style="thin">
        <color theme="4" tint="0.39994506668294322"/>
      </left>
      <right/>
      <top/>
      <bottom style="thin">
        <color theme="4" tint="0.39994506668294322"/>
      </bottom>
      <diagonal/>
    </border>
    <border>
      <left/>
      <right style="thin">
        <color theme="4" tint="0.39994506668294322"/>
      </right>
      <top/>
      <bottom style="thin">
        <color theme="4" tint="0.39994506668294322"/>
      </bottom>
      <diagonal/>
    </border>
    <border>
      <left style="thin">
        <color theme="4" tint="0.39994506668294322"/>
      </left>
      <right/>
      <top style="thin">
        <color theme="4" tint="0.39994506668294322"/>
      </top>
      <bottom/>
      <diagonal/>
    </border>
    <border>
      <left style="thin">
        <color theme="4" tint="0.39994506668294322"/>
      </left>
      <right/>
      <top/>
      <bottom/>
      <diagonal/>
    </border>
    <border>
      <left/>
      <right/>
      <top/>
      <bottom style="thin">
        <color theme="4" tint="0.39994506668294322"/>
      </bottom>
      <diagonal/>
    </border>
    <border>
      <left style="thin">
        <color theme="4" tint="0.39991454817346722"/>
      </left>
      <right/>
      <top style="thin">
        <color theme="4" tint="0.39991454817346722"/>
      </top>
      <bottom style="thin">
        <color theme="4" tint="0.39991454817346722"/>
      </bottom>
      <diagonal/>
    </border>
    <border>
      <left/>
      <right/>
      <top style="thin">
        <color theme="4" tint="0.39991454817346722"/>
      </top>
      <bottom style="thin">
        <color theme="4" tint="0.39991454817346722"/>
      </bottom>
      <diagonal/>
    </border>
    <border>
      <left/>
      <right style="thin">
        <color theme="4" tint="0.39991454817346722"/>
      </right>
      <top style="thin">
        <color theme="4" tint="0.39991454817346722"/>
      </top>
      <bottom style="thin">
        <color theme="4" tint="0.39991454817346722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22"/>
      </left>
      <right/>
      <top style="thin">
        <color indexed="22"/>
      </top>
      <bottom style="thin">
        <color indexed="22"/>
      </bottom>
      <diagonal/>
    </border>
    <border>
      <left style="thin">
        <color indexed="31"/>
      </left>
      <right style="thin">
        <color indexed="31"/>
      </right>
      <top style="thin">
        <color indexed="31"/>
      </top>
      <bottom style="thin">
        <color indexed="31"/>
      </bottom>
      <diagonal/>
    </border>
    <border>
      <left/>
      <right style="thin">
        <color theme="0" tint="-0.249977111117893"/>
      </right>
      <top style="thin">
        <color theme="0" tint="-0.249977111117893"/>
      </top>
      <bottom style="thin">
        <color theme="0" tint="-0.249977111117893"/>
      </bottom>
      <diagonal/>
    </border>
    <border>
      <left style="thin">
        <color theme="0" tint="-0.249977111117893"/>
      </left>
      <right style="thin">
        <color theme="0" tint="-0.249977111117893"/>
      </right>
      <top/>
      <bottom style="thin">
        <color theme="0" tint="-0.249977111117893"/>
      </bottom>
      <diagonal/>
    </border>
    <border>
      <left/>
      <right/>
      <top/>
      <bottom style="thin">
        <color theme="4" tint="0.39997558519241921"/>
      </bottom>
      <diagonal/>
    </border>
    <border>
      <left style="thin">
        <color theme="4" tint="0.39997558519241921"/>
      </left>
      <right/>
      <top/>
      <bottom style="thin">
        <color theme="4" tint="0.39997558519241921"/>
      </bottom>
      <diagonal/>
    </border>
    <border>
      <left/>
      <right/>
      <top style="thin">
        <color indexed="23"/>
      </top>
      <bottom style="thin">
        <color indexed="23"/>
      </bottom>
      <diagonal/>
    </border>
    <border>
      <left/>
      <right/>
      <top style="thin">
        <color indexed="23"/>
      </top>
      <bottom style="medium">
        <color indexed="64"/>
      </bottom>
      <diagonal/>
    </border>
    <border>
      <left style="medium">
        <color rgb="FF000000"/>
      </left>
      <right style="medium">
        <color rgb="FF000000"/>
      </right>
      <top style="medium">
        <color rgb="FF000000"/>
      </top>
      <bottom style="thin">
        <color rgb="FF000000"/>
      </bottom>
      <diagonal/>
    </border>
    <border>
      <left style="medium">
        <color rgb="FF000000"/>
      </left>
      <right style="medium">
        <color rgb="FF000000"/>
      </right>
      <top style="thin">
        <color rgb="FF000000"/>
      </top>
      <bottom style="thin">
        <color rgb="FF000000"/>
      </bottom>
      <diagonal/>
    </border>
    <border>
      <left style="medium">
        <color indexed="64"/>
      </left>
      <right style="thin">
        <color rgb="FF002060"/>
      </right>
      <top style="medium">
        <color indexed="64"/>
      </top>
      <bottom/>
      <diagonal/>
    </border>
    <border>
      <left style="thin">
        <color rgb="FF002060"/>
      </left>
      <right style="thin">
        <color rgb="FF002060"/>
      </right>
      <top style="medium">
        <color indexed="64"/>
      </top>
      <bottom/>
      <diagonal/>
    </border>
    <border>
      <left style="thin">
        <color rgb="FF002060"/>
      </left>
      <right style="medium">
        <color indexed="64"/>
      </right>
      <top style="medium">
        <color indexed="64"/>
      </top>
      <bottom/>
      <diagonal/>
    </border>
    <border>
      <left style="medium">
        <color indexed="64"/>
      </left>
      <right style="thin">
        <color rgb="FF002060"/>
      </right>
      <top style="medium">
        <color rgb="FF002060"/>
      </top>
      <bottom/>
      <diagonal/>
    </border>
    <border>
      <left style="thin">
        <color rgb="FF002060"/>
      </left>
      <right style="thin">
        <color rgb="FF002060"/>
      </right>
      <top style="medium">
        <color rgb="FF002060"/>
      </top>
      <bottom/>
      <diagonal/>
    </border>
    <border>
      <left style="thin">
        <color rgb="FF002060"/>
      </left>
      <right style="medium">
        <color rgb="FF002060"/>
      </right>
      <top style="medium">
        <color rgb="FF002060"/>
      </top>
      <bottom/>
      <diagonal/>
    </border>
    <border>
      <left style="medium">
        <color indexed="64"/>
      </left>
      <right style="thin">
        <color rgb="FF002060"/>
      </right>
      <top/>
      <bottom style="thin">
        <color rgb="FF002060"/>
      </bottom>
      <diagonal/>
    </border>
    <border>
      <left style="thin">
        <color rgb="FF002060"/>
      </left>
      <right style="thin">
        <color rgb="FF002060"/>
      </right>
      <top/>
      <bottom style="thin">
        <color rgb="FF002060"/>
      </bottom>
      <diagonal/>
    </border>
    <border>
      <left style="thin">
        <color rgb="FF002060"/>
      </left>
      <right style="medium">
        <color indexed="64"/>
      </right>
      <top/>
      <bottom style="thin">
        <color rgb="FF002060"/>
      </bottom>
      <diagonal/>
    </border>
    <border>
      <left style="thin">
        <color rgb="FF002060"/>
      </left>
      <right style="medium">
        <color rgb="FF002060"/>
      </right>
      <top/>
      <bottom style="thin">
        <color rgb="FF002060"/>
      </bottom>
      <diagonal/>
    </border>
    <border>
      <left style="medium">
        <color indexed="64"/>
      </left>
      <right style="thin">
        <color rgb="FF002060"/>
      </right>
      <top style="thin">
        <color rgb="FF002060"/>
      </top>
      <bottom style="thin">
        <color rgb="FF002060"/>
      </bottom>
      <diagonal/>
    </border>
    <border>
      <left style="thin">
        <color rgb="FF002060"/>
      </left>
      <right style="thin">
        <color rgb="FF002060"/>
      </right>
      <top style="thin">
        <color rgb="FF002060"/>
      </top>
      <bottom style="thin">
        <color rgb="FF002060"/>
      </bottom>
      <diagonal/>
    </border>
    <border>
      <left style="thin">
        <color rgb="FF002060"/>
      </left>
      <right style="medium">
        <color indexed="64"/>
      </right>
      <top style="thin">
        <color rgb="FF002060"/>
      </top>
      <bottom style="thin">
        <color rgb="FF002060"/>
      </bottom>
      <diagonal/>
    </border>
    <border>
      <left/>
      <right style="thin">
        <color rgb="FF002060"/>
      </right>
      <top style="thin">
        <color rgb="FF002060"/>
      </top>
      <bottom style="thin">
        <color rgb="FF002060"/>
      </bottom>
      <diagonal/>
    </border>
    <border>
      <left style="thin">
        <color rgb="FF002060"/>
      </left>
      <right style="medium">
        <color rgb="FF002060"/>
      </right>
      <top style="thin">
        <color rgb="FF002060"/>
      </top>
      <bottom style="thin">
        <color rgb="FF002060"/>
      </bottom>
      <diagonal/>
    </border>
    <border>
      <left style="thin">
        <color rgb="FF002060"/>
      </left>
      <right style="thin">
        <color rgb="FF002060"/>
      </right>
      <top style="thin">
        <color rgb="FF002060"/>
      </top>
      <bottom/>
      <diagonal/>
    </border>
    <border>
      <left style="thin">
        <color rgb="FF002060"/>
      </left>
      <right style="medium">
        <color indexed="64"/>
      </right>
      <top style="thin">
        <color rgb="FF002060"/>
      </top>
      <bottom/>
      <diagonal/>
    </border>
    <border>
      <left/>
      <right style="thin">
        <color rgb="FF002060"/>
      </right>
      <top style="thin">
        <color rgb="FF002060"/>
      </top>
      <bottom/>
      <diagonal/>
    </border>
    <border>
      <left style="thin">
        <color rgb="FF002060"/>
      </left>
      <right style="medium">
        <color rgb="FF002060"/>
      </right>
      <top style="thin">
        <color rgb="FF002060"/>
      </top>
      <bottom/>
      <diagonal/>
    </border>
    <border>
      <left style="medium">
        <color indexed="64"/>
      </left>
      <right style="thin">
        <color rgb="FF002060"/>
      </right>
      <top style="thin">
        <color rgb="FF002060"/>
      </top>
      <bottom/>
      <diagonal/>
    </border>
    <border>
      <left style="medium">
        <color indexed="64"/>
      </left>
      <right style="thin">
        <color rgb="FF002060"/>
      </right>
      <top style="medium">
        <color rgb="FF002060"/>
      </top>
      <bottom style="medium">
        <color rgb="FF002060"/>
      </bottom>
      <diagonal/>
    </border>
    <border>
      <left style="thin">
        <color rgb="FF002060"/>
      </left>
      <right style="thin">
        <color rgb="FF002060"/>
      </right>
      <top style="medium">
        <color rgb="FF002060"/>
      </top>
      <bottom style="medium">
        <color rgb="FF002060"/>
      </bottom>
      <diagonal/>
    </border>
    <border>
      <left style="thin">
        <color rgb="FF002060"/>
      </left>
      <right style="medium">
        <color indexed="64"/>
      </right>
      <top style="medium">
        <color rgb="FF002060"/>
      </top>
      <bottom style="medium">
        <color rgb="FF002060"/>
      </bottom>
      <diagonal/>
    </border>
    <border>
      <left/>
      <right style="thin">
        <color rgb="FF002060"/>
      </right>
      <top style="medium">
        <color rgb="FF002060"/>
      </top>
      <bottom style="medium">
        <color rgb="FF002060"/>
      </bottom>
      <diagonal/>
    </border>
    <border>
      <left style="thin">
        <color rgb="FF002060"/>
      </left>
      <right style="medium">
        <color rgb="FF002060"/>
      </right>
      <top style="medium">
        <color rgb="FF002060"/>
      </top>
      <bottom style="medium">
        <color rgb="FF002060"/>
      </bottom>
      <diagonal/>
    </border>
    <border>
      <left/>
      <right style="thin">
        <color rgb="FF002060"/>
      </right>
      <top/>
      <bottom style="thin">
        <color rgb="FF002060"/>
      </bottom>
      <diagonal/>
    </border>
    <border>
      <left/>
      <right style="thin">
        <color rgb="FF002060"/>
      </right>
      <top/>
      <bottom/>
      <diagonal/>
    </border>
    <border>
      <left style="medium">
        <color indexed="64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23"/>
      </left>
      <right style="medium">
        <color indexed="64"/>
      </right>
      <top style="thin">
        <color indexed="23"/>
      </top>
      <bottom style="thin">
        <color indexed="23"/>
      </bottom>
      <diagonal/>
    </border>
    <border>
      <left/>
      <right style="medium">
        <color indexed="64"/>
      </right>
      <top style="thin">
        <color indexed="23"/>
      </top>
      <bottom style="thin">
        <color indexed="23"/>
      </bottom>
      <diagonal/>
    </border>
    <border>
      <left style="medium">
        <color indexed="64"/>
      </left>
      <right style="thin">
        <color indexed="46"/>
      </right>
      <top style="thin">
        <color indexed="46"/>
      </top>
      <bottom style="thin">
        <color indexed="46"/>
      </bottom>
      <diagonal/>
    </border>
    <border>
      <left/>
      <right/>
      <top style="thin">
        <color indexed="46"/>
      </top>
      <bottom style="thin">
        <color indexed="46"/>
      </bottom>
      <diagonal/>
    </border>
    <border>
      <left style="thin">
        <color indexed="46"/>
      </left>
      <right style="medium">
        <color indexed="64"/>
      </right>
      <top style="thin">
        <color indexed="46"/>
      </top>
      <bottom style="thin">
        <color indexed="46"/>
      </bottom>
      <diagonal/>
    </border>
    <border>
      <left/>
      <right style="medium">
        <color indexed="64"/>
      </right>
      <top style="thin">
        <color indexed="23"/>
      </top>
      <bottom style="thin">
        <color indexed="46"/>
      </bottom>
      <diagonal/>
    </border>
    <border>
      <left style="medium">
        <color indexed="64"/>
      </left>
      <right style="thin">
        <color indexed="23"/>
      </right>
      <top style="thin">
        <color indexed="23"/>
      </top>
      <bottom style="medium">
        <color indexed="64"/>
      </bottom>
      <diagonal/>
    </border>
    <border>
      <left style="thin">
        <color indexed="23"/>
      </left>
      <right style="medium">
        <color indexed="64"/>
      </right>
      <top style="thin">
        <color indexed="23"/>
      </top>
      <bottom style="medium">
        <color indexed="64"/>
      </bottom>
      <diagonal/>
    </border>
    <border>
      <left/>
      <right style="medium">
        <color indexed="64"/>
      </right>
      <top style="thin">
        <color indexed="23"/>
      </top>
      <bottom style="medium">
        <color indexed="64"/>
      </bottom>
      <diagonal/>
    </border>
    <border>
      <left/>
      <right style="medium">
        <color indexed="64"/>
      </right>
      <top style="thin">
        <color indexed="46"/>
      </top>
      <bottom style="thin">
        <color indexed="46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medium">
        <color indexed="64"/>
      </left>
      <right/>
      <top/>
      <bottom style="thin">
        <color indexed="64"/>
      </bottom>
      <diagonal/>
    </border>
    <border>
      <left style="medium">
        <color indexed="64"/>
      </left>
      <right/>
      <top style="thin">
        <color indexed="64"/>
      </top>
      <bottom style="thin">
        <color indexed="64"/>
      </bottom>
      <diagonal/>
    </border>
    <border>
      <left style="medium">
        <color indexed="64"/>
      </left>
      <right/>
      <top style="thin">
        <color indexed="64"/>
      </top>
      <bottom/>
      <diagonal/>
    </border>
    <border>
      <left/>
      <right style="medium">
        <color indexed="64"/>
      </right>
      <top/>
      <bottom style="thin">
        <color indexed="64"/>
      </bottom>
      <diagonal/>
    </border>
    <border>
      <left/>
      <right style="medium">
        <color indexed="64"/>
      </right>
      <top style="thin">
        <color indexed="64"/>
      </top>
      <bottom style="thin">
        <color indexed="64"/>
      </bottom>
      <diagonal/>
    </border>
    <border>
      <left/>
      <right style="medium">
        <color indexed="64"/>
      </right>
      <top style="thin">
        <color indexed="64"/>
      </top>
      <bottom/>
      <diagonal/>
    </border>
    <border>
      <left style="thin">
        <color indexed="23"/>
      </left>
      <right style="medium">
        <color theme="1"/>
      </right>
      <top style="thin">
        <color indexed="23"/>
      </top>
      <bottom style="thin">
        <color indexed="46"/>
      </bottom>
      <diagonal/>
    </border>
    <border>
      <left style="thin">
        <color indexed="23"/>
      </left>
      <right style="medium">
        <color theme="1"/>
      </right>
      <top style="thin">
        <color indexed="46"/>
      </top>
      <bottom style="thin">
        <color indexed="46"/>
      </bottom>
      <diagonal/>
    </border>
    <border>
      <left style="thin">
        <color indexed="23"/>
      </left>
      <right style="medium">
        <color theme="1"/>
      </right>
      <top style="medium">
        <color indexed="64"/>
      </top>
      <bottom style="medium">
        <color indexed="64"/>
      </bottom>
      <diagonal/>
    </border>
  </borders>
  <cellStyleXfs count="6847">
    <xf numFmtId="0" fontId="0" fillId="0" borderId="0"/>
    <xf numFmtId="0" fontId="60" fillId="2" borderId="0" applyNumberFormat="0" applyBorder="0" applyAlignment="0" applyProtection="0"/>
    <xf numFmtId="0" fontId="20" fillId="2" borderId="0" applyNumberFormat="0" applyBorder="0" applyAlignment="0" applyProtection="0"/>
    <xf numFmtId="0" fontId="60" fillId="3" borderId="0" applyNumberFormat="0" applyBorder="0" applyAlignment="0" applyProtection="0"/>
    <xf numFmtId="0" fontId="20" fillId="3" borderId="0" applyNumberFormat="0" applyBorder="0" applyAlignment="0" applyProtection="0"/>
    <xf numFmtId="0" fontId="60" fillId="4" borderId="0" applyNumberFormat="0" applyBorder="0" applyAlignment="0" applyProtection="0"/>
    <xf numFmtId="0" fontId="20" fillId="4" borderId="0" applyNumberFormat="0" applyBorder="0" applyAlignment="0" applyProtection="0"/>
    <xf numFmtId="0" fontId="20" fillId="5" borderId="0" applyNumberFormat="0" applyBorder="0" applyAlignment="0" applyProtection="0"/>
    <xf numFmtId="0" fontId="20" fillId="6" borderId="0" applyNumberFormat="0" applyBorder="0" applyAlignment="0" applyProtection="0"/>
    <xf numFmtId="0" fontId="20" fillId="7" borderId="0" applyNumberFormat="0" applyBorder="0" applyAlignment="0" applyProtection="0"/>
    <xf numFmtId="0" fontId="20" fillId="8" borderId="0" applyNumberFormat="0" applyBorder="0" applyAlignment="0" applyProtection="0"/>
    <xf numFmtId="0" fontId="60" fillId="43" borderId="0" applyNumberFormat="0" applyBorder="0" applyAlignment="0" applyProtection="0"/>
    <xf numFmtId="0" fontId="20" fillId="9" borderId="0" applyNumberFormat="0" applyBorder="0" applyAlignment="0" applyProtection="0"/>
    <xf numFmtId="0" fontId="20" fillId="10" borderId="0" applyNumberFormat="0" applyBorder="0" applyAlignment="0" applyProtection="0"/>
    <xf numFmtId="0" fontId="20" fillId="5" borderId="0" applyNumberFormat="0" applyBorder="0" applyAlignment="0" applyProtection="0"/>
    <xf numFmtId="0" fontId="20" fillId="8" borderId="0" applyNumberFormat="0" applyBorder="0" applyAlignment="0" applyProtection="0"/>
    <xf numFmtId="0" fontId="20" fillId="11" borderId="0" applyNumberFormat="0" applyBorder="0" applyAlignment="0" applyProtection="0"/>
    <xf numFmtId="0" fontId="45" fillId="12" borderId="0" applyNumberFormat="0" applyBorder="0" applyAlignment="0" applyProtection="0"/>
    <xf numFmtId="0" fontId="45" fillId="9" borderId="0" applyNumberFormat="0" applyBorder="0" applyAlignment="0" applyProtection="0"/>
    <xf numFmtId="0" fontId="45" fillId="10" borderId="0" applyNumberFormat="0" applyBorder="0" applyAlignment="0" applyProtection="0"/>
    <xf numFmtId="0" fontId="45" fillId="13" borderId="0" applyNumberFormat="0" applyBorder="0" applyAlignment="0" applyProtection="0"/>
    <xf numFmtId="0" fontId="45" fillId="14" borderId="0" applyNumberFormat="0" applyBorder="0" applyAlignment="0" applyProtection="0"/>
    <xf numFmtId="0" fontId="45" fillId="15" borderId="0" applyNumberFormat="0" applyBorder="0" applyAlignment="0" applyProtection="0"/>
    <xf numFmtId="0" fontId="45" fillId="16" borderId="0" applyNumberFormat="0" applyBorder="0" applyAlignment="0" applyProtection="0"/>
    <xf numFmtId="0" fontId="45" fillId="17" borderId="0" applyNumberFormat="0" applyBorder="0" applyAlignment="0" applyProtection="0"/>
    <xf numFmtId="0" fontId="45" fillId="18" borderId="0" applyNumberFormat="0" applyBorder="0" applyAlignment="0" applyProtection="0"/>
    <xf numFmtId="0" fontId="45" fillId="13" borderId="0" applyNumberFormat="0" applyBorder="0" applyAlignment="0" applyProtection="0"/>
    <xf numFmtId="0" fontId="45" fillId="14" borderId="0" applyNumberFormat="0" applyBorder="0" applyAlignment="0" applyProtection="0"/>
    <xf numFmtId="0" fontId="45" fillId="19" borderId="0" applyNumberFormat="0" applyBorder="0" applyAlignment="0" applyProtection="0"/>
    <xf numFmtId="0" fontId="46" fillId="0" borderId="0" applyNumberFormat="0" applyFill="0" applyBorder="0" applyAlignment="0" applyProtection="0"/>
    <xf numFmtId="0" fontId="47" fillId="20" borderId="1" applyNumberFormat="0" applyAlignment="0" applyProtection="0"/>
    <xf numFmtId="0" fontId="48" fillId="0" borderId="2" applyNumberFormat="0" applyFill="0" applyAlignment="0" applyProtection="0"/>
    <xf numFmtId="0" fontId="21" fillId="21" borderId="3" applyNumberFormat="0" applyFont="0" applyAlignment="0" applyProtection="0"/>
    <xf numFmtId="0" fontId="49" fillId="7" borderId="1" applyNumberFormat="0" applyAlignment="0" applyProtection="0"/>
    <xf numFmtId="44" fontId="21" fillId="0" borderId="0" applyFont="0" applyFill="0" applyBorder="0" applyAlignment="0" applyProtection="0"/>
    <xf numFmtId="44" fontId="21" fillId="0" borderId="0" applyFont="0" applyFill="0" applyBorder="0" applyAlignment="0" applyProtection="0"/>
    <xf numFmtId="0" fontId="50" fillId="3" borderId="0" applyNumberFormat="0" applyBorder="0" applyAlignment="0" applyProtection="0"/>
    <xf numFmtId="0" fontId="23" fillId="0" borderId="0" applyNumberFormat="0" applyFill="0" applyBorder="0" applyAlignment="0" applyProtection="0">
      <alignment vertical="top"/>
      <protection locked="0"/>
    </xf>
    <xf numFmtId="164" fontId="21" fillId="0" borderId="0" applyFont="0" applyFill="0" applyBorder="0" applyAlignment="0" applyProtection="0"/>
    <xf numFmtId="164" fontId="33" fillId="0" borderId="0" applyFont="0" applyFill="0" applyBorder="0" applyAlignment="0" applyProtection="0"/>
    <xf numFmtId="164" fontId="36" fillId="0" borderId="0" applyFont="0" applyFill="0" applyBorder="0" applyAlignment="0" applyProtection="0"/>
    <xf numFmtId="164" fontId="41" fillId="0" borderId="0" applyFont="0" applyFill="0" applyBorder="0" applyAlignment="0" applyProtection="0"/>
    <xf numFmtId="164" fontId="21" fillId="0" borderId="0" applyFont="0" applyFill="0" applyBorder="0" applyAlignment="0" applyProtection="0"/>
    <xf numFmtId="165" fontId="21" fillId="0" borderId="0" applyFont="0" applyFill="0" applyBorder="0" applyAlignment="0" applyProtection="0"/>
    <xf numFmtId="0" fontId="51" fillId="22" borderId="0" applyNumberFormat="0" applyBorder="0" applyAlignment="0" applyProtection="0"/>
    <xf numFmtId="0" fontId="29" fillId="0" borderId="0"/>
    <xf numFmtId="0" fontId="29" fillId="0" borderId="0"/>
    <xf numFmtId="0" fontId="21" fillId="0" borderId="0"/>
    <xf numFmtId="0" fontId="21" fillId="0" borderId="0"/>
    <xf numFmtId="0" fontId="21" fillId="0" borderId="0"/>
    <xf numFmtId="0" fontId="60" fillId="0" borderId="0"/>
    <xf numFmtId="0" fontId="20" fillId="0" borderId="0"/>
    <xf numFmtId="0" fontId="24" fillId="0" borderId="0"/>
    <xf numFmtId="9" fontId="21" fillId="0" borderId="0" applyFont="0" applyFill="0" applyBorder="0" applyAlignment="0" applyProtection="0"/>
    <xf numFmtId="9" fontId="33" fillId="0" borderId="0" applyFont="0" applyFill="0" applyBorder="0" applyAlignment="0" applyProtection="0"/>
    <xf numFmtId="9" fontId="36" fillId="0" borderId="0" applyFont="0" applyFill="0" applyBorder="0" applyAlignment="0" applyProtection="0"/>
    <xf numFmtId="9" fontId="43" fillId="0" borderId="0" applyFont="0" applyFill="0" applyBorder="0" applyAlignment="0" applyProtection="0"/>
    <xf numFmtId="0" fontId="52" fillId="4" borderId="0" applyNumberFormat="0" applyBorder="0" applyAlignment="0" applyProtection="0"/>
    <xf numFmtId="0" fontId="53" fillId="20" borderId="4" applyNumberFormat="0" applyAlignment="0" applyProtection="0"/>
    <xf numFmtId="0" fontId="54" fillId="0" borderId="0" applyNumberFormat="0" applyFill="0" applyBorder="0" applyAlignment="0" applyProtection="0"/>
    <xf numFmtId="0" fontId="55" fillId="0" borderId="0" applyNumberFormat="0" applyFill="0" applyBorder="0" applyAlignment="0" applyProtection="0"/>
    <xf numFmtId="0" fontId="56" fillId="0" borderId="5" applyNumberFormat="0" applyFill="0" applyAlignment="0" applyProtection="0"/>
    <xf numFmtId="0" fontId="57" fillId="0" borderId="6" applyNumberFormat="0" applyFill="0" applyAlignment="0" applyProtection="0"/>
    <xf numFmtId="0" fontId="61" fillId="0" borderId="226" applyNumberFormat="0" applyFill="0" applyAlignment="0" applyProtection="0"/>
    <xf numFmtId="0" fontId="58" fillId="0" borderId="7" applyNumberFormat="0" applyFill="0" applyAlignment="0" applyProtection="0"/>
    <xf numFmtId="0" fontId="58" fillId="0" borderId="0" applyNumberFormat="0" applyFill="0" applyBorder="0" applyAlignment="0" applyProtection="0"/>
    <xf numFmtId="0" fontId="63" fillId="0" borderId="227" applyNumberFormat="0" applyFill="0" applyAlignment="0" applyProtection="0"/>
    <xf numFmtId="0" fontId="44" fillId="0" borderId="8" applyNumberFormat="0" applyFill="0" applyAlignment="0" applyProtection="0"/>
    <xf numFmtId="0" fontId="59" fillId="23" borderId="9" applyNumberFormat="0" applyAlignment="0" applyProtection="0"/>
    <xf numFmtId="165" fontId="21" fillId="0" borderId="0" applyFont="0" applyFill="0" applyBorder="0" applyAlignment="0" applyProtection="0"/>
    <xf numFmtId="0" fontId="21" fillId="0" borderId="0" applyFont="0" applyFill="0" applyBorder="0" applyAlignment="0" applyProtection="0"/>
    <xf numFmtId="168" fontId="21" fillId="0" borderId="0" applyFont="0" applyFill="0" applyBorder="0" applyAlignment="0" applyProtection="0"/>
    <xf numFmtId="164" fontId="21" fillId="0" borderId="0" applyFont="0" applyFill="0" applyBorder="0" applyAlignment="0" applyProtection="0"/>
    <xf numFmtId="164" fontId="21" fillId="0" borderId="0" applyFont="0" applyFill="0" applyBorder="0" applyAlignment="0" applyProtection="0"/>
    <xf numFmtId="0" fontId="21" fillId="0" borderId="0"/>
    <xf numFmtId="164" fontId="21" fillId="0" borderId="0" applyFont="0" applyFill="0" applyBorder="0" applyAlignment="0" applyProtection="0"/>
    <xf numFmtId="0" fontId="153" fillId="21" borderId="3" applyNumberFormat="0" applyFont="0" applyAlignment="0" applyProtection="0"/>
    <xf numFmtId="0" fontId="21" fillId="21" borderId="3" applyNumberFormat="0" applyFont="0" applyAlignment="0" applyProtection="0"/>
    <xf numFmtId="0" fontId="21" fillId="21" borderId="3" applyNumberFormat="0" applyFont="0" applyAlignment="0" applyProtection="0"/>
    <xf numFmtId="44" fontId="153" fillId="0" borderId="0" applyFont="0" applyFill="0" applyBorder="0" applyAlignment="0" applyProtection="0"/>
    <xf numFmtId="44" fontId="21" fillId="0" borderId="0" applyFont="0" applyFill="0" applyBorder="0" applyAlignment="0" applyProtection="0"/>
    <xf numFmtId="44" fontId="21" fillId="0" borderId="0" applyFont="0" applyFill="0" applyBorder="0" applyAlignment="0" applyProtection="0"/>
    <xf numFmtId="44" fontId="21" fillId="0" borderId="0" applyFont="0" applyFill="0" applyBorder="0" applyAlignment="0" applyProtection="0"/>
    <xf numFmtId="164" fontId="153" fillId="0" borderId="0" applyFont="0" applyFill="0" applyBorder="0" applyAlignment="0" applyProtection="0"/>
    <xf numFmtId="0" fontId="21" fillId="0" borderId="0" applyFont="0" applyFill="0" applyBorder="0" applyAlignment="0" applyProtection="0"/>
    <xf numFmtId="0" fontId="21" fillId="0" borderId="0" applyFont="0" applyFill="0" applyBorder="0" applyAlignment="0" applyProtection="0"/>
    <xf numFmtId="0" fontId="21" fillId="0" borderId="0" applyFont="0" applyFill="0" applyBorder="0" applyAlignment="0" applyProtection="0"/>
    <xf numFmtId="0" fontId="21" fillId="0" borderId="0" applyFont="0" applyFill="0" applyBorder="0" applyAlignment="0" applyProtection="0"/>
    <xf numFmtId="0" fontId="21" fillId="0" borderId="0" applyFont="0" applyFill="0" applyBorder="0" applyAlignment="0" applyProtection="0"/>
    <xf numFmtId="186" fontId="21" fillId="0" borderId="0" applyFont="0" applyFill="0" applyBorder="0" applyAlignment="0" applyProtection="0"/>
    <xf numFmtId="186" fontId="21" fillId="0" borderId="0" applyFont="0" applyFill="0" applyBorder="0" applyAlignment="0" applyProtection="0"/>
    <xf numFmtId="186" fontId="21" fillId="0" borderId="0" applyFont="0" applyFill="0" applyBorder="0" applyAlignment="0" applyProtection="0"/>
    <xf numFmtId="186" fontId="21" fillId="0" borderId="0" applyFont="0" applyFill="0" applyBorder="0" applyAlignment="0" applyProtection="0"/>
    <xf numFmtId="186" fontId="21" fillId="0" borderId="0" applyFont="0" applyFill="0" applyBorder="0" applyAlignment="0" applyProtection="0"/>
    <xf numFmtId="164" fontId="21" fillId="0" borderId="0" applyFont="0" applyFill="0" applyBorder="0" applyAlignment="0" applyProtection="0"/>
    <xf numFmtId="164" fontId="21" fillId="0" borderId="0" applyFont="0" applyFill="0" applyBorder="0" applyAlignment="0" applyProtection="0"/>
    <xf numFmtId="186" fontId="21" fillId="0" borderId="0" applyFont="0" applyFill="0" applyBorder="0" applyAlignment="0" applyProtection="0"/>
    <xf numFmtId="186" fontId="21" fillId="0" borderId="0" applyFont="0" applyFill="0" applyBorder="0" applyAlignment="0" applyProtection="0"/>
    <xf numFmtId="164" fontId="20" fillId="0" borderId="0" applyFont="0" applyFill="0" applyBorder="0" applyAlignment="0" applyProtection="0"/>
    <xf numFmtId="164" fontId="20" fillId="0" borderId="0" applyFont="0" applyFill="0" applyBorder="0" applyAlignment="0" applyProtection="0"/>
    <xf numFmtId="186" fontId="21" fillId="0" borderId="0" applyFont="0" applyFill="0" applyBorder="0" applyAlignment="0" applyProtection="0"/>
    <xf numFmtId="186" fontId="21" fillId="0" borderId="0" applyFont="0" applyFill="0" applyBorder="0" applyAlignment="0" applyProtection="0"/>
    <xf numFmtId="186" fontId="21" fillId="0" borderId="0" applyFont="0" applyFill="0" applyBorder="0" applyAlignment="0" applyProtection="0"/>
    <xf numFmtId="186" fontId="21" fillId="0" borderId="0" applyFont="0" applyFill="0" applyBorder="0" applyAlignment="0" applyProtection="0"/>
    <xf numFmtId="186" fontId="21" fillId="0" borderId="0" applyFont="0" applyFill="0" applyBorder="0" applyAlignment="0" applyProtection="0"/>
    <xf numFmtId="186" fontId="21" fillId="0" borderId="0" applyFont="0" applyFill="0" applyBorder="0" applyAlignment="0" applyProtection="0"/>
    <xf numFmtId="186" fontId="21" fillId="0" borderId="0" applyFont="0" applyFill="0" applyBorder="0" applyAlignment="0" applyProtection="0"/>
    <xf numFmtId="186" fontId="21" fillId="0" borderId="0" applyFont="0" applyFill="0" applyBorder="0" applyAlignment="0" applyProtection="0"/>
    <xf numFmtId="0" fontId="21" fillId="0" borderId="0" applyFont="0" applyFill="0" applyBorder="0" applyAlignment="0" applyProtection="0"/>
    <xf numFmtId="0" fontId="21" fillId="0" borderId="0" applyFont="0" applyFill="0" applyBorder="0" applyAlignment="0" applyProtection="0"/>
    <xf numFmtId="0" fontId="21" fillId="0" borderId="0" applyFont="0" applyFill="0" applyBorder="0" applyAlignment="0" applyProtection="0"/>
    <xf numFmtId="0" fontId="21" fillId="0" borderId="0" applyFont="0" applyFill="0" applyBorder="0" applyAlignment="0" applyProtection="0"/>
    <xf numFmtId="0" fontId="21" fillId="0" borderId="0" applyFont="0" applyFill="0" applyBorder="0" applyAlignment="0" applyProtection="0"/>
    <xf numFmtId="0" fontId="21" fillId="0" borderId="0" applyFont="0" applyFill="0" applyBorder="0" applyAlignment="0" applyProtection="0"/>
    <xf numFmtId="187" fontId="21" fillId="0" borderId="0" applyFont="0" applyFill="0" applyBorder="0" applyAlignment="0" applyProtection="0"/>
    <xf numFmtId="187" fontId="21" fillId="0" borderId="0" applyFont="0" applyFill="0" applyBorder="0" applyAlignment="0" applyProtection="0"/>
    <xf numFmtId="187" fontId="21" fillId="0" borderId="0" applyFont="0" applyFill="0" applyBorder="0" applyAlignment="0" applyProtection="0"/>
    <xf numFmtId="188" fontId="21" fillId="0" borderId="0" applyFont="0" applyFill="0" applyBorder="0" applyAlignment="0" applyProtection="0"/>
    <xf numFmtId="188" fontId="21" fillId="0" borderId="0" applyFont="0" applyFill="0" applyBorder="0" applyAlignment="0" applyProtection="0"/>
    <xf numFmtId="188" fontId="21" fillId="0" borderId="0" applyFont="0" applyFill="0" applyBorder="0" applyAlignment="0" applyProtection="0"/>
    <xf numFmtId="164" fontId="21" fillId="0" borderId="0" applyFont="0" applyFill="0" applyBorder="0" applyAlignment="0" applyProtection="0"/>
    <xf numFmtId="164" fontId="21" fillId="0" borderId="0" applyFont="0" applyFill="0" applyBorder="0" applyAlignment="0" applyProtection="0"/>
    <xf numFmtId="189" fontId="21" fillId="0" borderId="0" applyFont="0" applyFill="0" applyBorder="0" applyAlignment="0" applyProtection="0"/>
    <xf numFmtId="189" fontId="21" fillId="0" borderId="0" applyFont="0" applyFill="0" applyBorder="0" applyAlignment="0" applyProtection="0"/>
    <xf numFmtId="189" fontId="21" fillId="0" borderId="0" applyFont="0" applyFill="0" applyBorder="0" applyAlignment="0" applyProtection="0"/>
    <xf numFmtId="189" fontId="21" fillId="0" borderId="0" applyFont="0" applyFill="0" applyBorder="0" applyAlignment="0" applyProtection="0"/>
    <xf numFmtId="189" fontId="21" fillId="0" borderId="0" applyFont="0" applyFill="0" applyBorder="0" applyAlignment="0" applyProtection="0"/>
    <xf numFmtId="189" fontId="21" fillId="0" borderId="0" applyFont="0" applyFill="0" applyBorder="0" applyAlignment="0" applyProtection="0"/>
    <xf numFmtId="189" fontId="21" fillId="0" borderId="0" applyFont="0" applyFill="0" applyBorder="0" applyAlignment="0" applyProtection="0"/>
    <xf numFmtId="186" fontId="21" fillId="0" borderId="0" applyFont="0" applyFill="0" applyBorder="0" applyAlignment="0" applyProtection="0"/>
    <xf numFmtId="189" fontId="21" fillId="0" borderId="0" applyFont="0" applyFill="0" applyBorder="0" applyAlignment="0" applyProtection="0"/>
    <xf numFmtId="189" fontId="21" fillId="0" borderId="0" applyFont="0" applyFill="0" applyBorder="0" applyAlignment="0" applyProtection="0"/>
    <xf numFmtId="189" fontId="21" fillId="0" borderId="0" applyFont="0" applyFill="0" applyBorder="0" applyAlignment="0" applyProtection="0"/>
    <xf numFmtId="189" fontId="21" fillId="0" borderId="0" applyFont="0" applyFill="0" applyBorder="0" applyAlignment="0" applyProtection="0"/>
    <xf numFmtId="189" fontId="21" fillId="0" borderId="0" applyFont="0" applyFill="0" applyBorder="0" applyAlignment="0" applyProtection="0"/>
    <xf numFmtId="189" fontId="21" fillId="0" borderId="0" applyFont="0" applyFill="0" applyBorder="0" applyAlignment="0" applyProtection="0"/>
    <xf numFmtId="189" fontId="21" fillId="0" borderId="0" applyFont="0" applyFill="0" applyBorder="0" applyAlignment="0" applyProtection="0"/>
    <xf numFmtId="189" fontId="21" fillId="0" borderId="0" applyFont="0" applyFill="0" applyBorder="0" applyAlignment="0" applyProtection="0"/>
    <xf numFmtId="164" fontId="21" fillId="0" borderId="0" applyFont="0" applyFill="0" applyBorder="0" applyAlignment="0" applyProtection="0"/>
    <xf numFmtId="189" fontId="153" fillId="0" borderId="0" applyFont="0" applyFill="0" applyBorder="0" applyAlignment="0" applyProtection="0"/>
    <xf numFmtId="189" fontId="153" fillId="0" borderId="0" applyFont="0" applyFill="0" applyBorder="0" applyAlignment="0" applyProtection="0"/>
    <xf numFmtId="189" fontId="153" fillId="0" borderId="0" applyFont="0" applyFill="0" applyBorder="0" applyAlignment="0" applyProtection="0"/>
    <xf numFmtId="186" fontId="21" fillId="0" borderId="0" applyFont="0" applyFill="0" applyBorder="0" applyAlignment="0" applyProtection="0"/>
    <xf numFmtId="186" fontId="21" fillId="0" borderId="0" applyFont="0" applyFill="0" applyBorder="0" applyAlignment="0" applyProtection="0"/>
    <xf numFmtId="186" fontId="21" fillId="0" borderId="0" applyFont="0" applyFill="0" applyBorder="0" applyAlignment="0" applyProtection="0"/>
    <xf numFmtId="0" fontId="21" fillId="0" borderId="0" applyFont="0" applyFill="0" applyBorder="0" applyAlignment="0" applyProtection="0"/>
    <xf numFmtId="186" fontId="21" fillId="0" borderId="0" applyFont="0" applyFill="0" applyBorder="0" applyAlignment="0" applyProtection="0"/>
    <xf numFmtId="186" fontId="21" fillId="0" borderId="0" applyFont="0" applyFill="0" applyBorder="0" applyAlignment="0" applyProtection="0"/>
    <xf numFmtId="189" fontId="21" fillId="0" borderId="0" applyFont="0" applyFill="0" applyBorder="0" applyAlignment="0" applyProtection="0"/>
    <xf numFmtId="189" fontId="21" fillId="0" borderId="0" applyFont="0" applyFill="0" applyBorder="0" applyAlignment="0" applyProtection="0"/>
    <xf numFmtId="189" fontId="21" fillId="0" borderId="0" applyFont="0" applyFill="0" applyBorder="0" applyAlignment="0" applyProtection="0"/>
    <xf numFmtId="186" fontId="21" fillId="0" borderId="0" applyFont="0" applyFill="0" applyBorder="0" applyAlignment="0" applyProtection="0"/>
    <xf numFmtId="0" fontId="154" fillId="0" borderId="0"/>
    <xf numFmtId="0" fontId="154" fillId="0" borderId="0"/>
    <xf numFmtId="0" fontId="21" fillId="0" borderId="0"/>
    <xf numFmtId="0" fontId="19" fillId="0" borderId="0"/>
    <xf numFmtId="0" fontId="21" fillId="0" borderId="0"/>
    <xf numFmtId="0" fontId="19" fillId="0" borderId="0"/>
    <xf numFmtId="0" fontId="19" fillId="0" borderId="0"/>
    <xf numFmtId="0" fontId="20" fillId="0" borderId="0"/>
    <xf numFmtId="0" fontId="19" fillId="0" borderId="0"/>
    <xf numFmtId="0" fontId="154" fillId="0" borderId="0"/>
    <xf numFmtId="0" fontId="154" fillId="0" borderId="0"/>
    <xf numFmtId="9" fontId="153" fillId="0" borderId="0" applyFont="0" applyFill="0" applyBorder="0" applyAlignment="0" applyProtection="0"/>
    <xf numFmtId="9" fontId="21" fillId="0" borderId="0" applyFont="0" applyFill="0" applyBorder="0" applyAlignment="0" applyProtection="0"/>
    <xf numFmtId="0" fontId="18" fillId="0" borderId="0"/>
    <xf numFmtId="0" fontId="62" fillId="0" borderId="226" applyNumberFormat="0" applyFill="0" applyAlignment="0" applyProtection="0"/>
    <xf numFmtId="0" fontId="17" fillId="0" borderId="0"/>
    <xf numFmtId="0" fontId="20" fillId="2" borderId="0" applyNumberFormat="0" applyBorder="0" applyAlignment="0" applyProtection="0"/>
    <xf numFmtId="0" fontId="20" fillId="2" borderId="0" applyNumberFormat="0" applyBorder="0" applyAlignment="0" applyProtection="0"/>
    <xf numFmtId="0" fontId="20" fillId="2" borderId="0" applyNumberFormat="0" applyBorder="0" applyAlignment="0" applyProtection="0"/>
    <xf numFmtId="0" fontId="20" fillId="2" borderId="0" applyNumberFormat="0" applyBorder="0" applyAlignment="0" applyProtection="0"/>
    <xf numFmtId="0" fontId="20" fillId="2" borderId="0" applyNumberFormat="0" applyBorder="0" applyAlignment="0" applyProtection="0"/>
    <xf numFmtId="0" fontId="20" fillId="2" borderId="0" applyNumberFormat="0" applyBorder="0" applyAlignment="0" applyProtection="0"/>
    <xf numFmtId="0" fontId="20" fillId="3" borderId="0" applyNumberFormat="0" applyBorder="0" applyAlignment="0" applyProtection="0"/>
    <xf numFmtId="0" fontId="20" fillId="3" borderId="0" applyNumberFormat="0" applyBorder="0" applyAlignment="0" applyProtection="0"/>
    <xf numFmtId="0" fontId="20" fillId="3" borderId="0" applyNumberFormat="0" applyBorder="0" applyAlignment="0" applyProtection="0"/>
    <xf numFmtId="0" fontId="20" fillId="3" borderId="0" applyNumberFormat="0" applyBorder="0" applyAlignment="0" applyProtection="0"/>
    <xf numFmtId="0" fontId="20" fillId="3" borderId="0" applyNumberFormat="0" applyBorder="0" applyAlignment="0" applyProtection="0"/>
    <xf numFmtId="0" fontId="20" fillId="3" borderId="0" applyNumberFormat="0" applyBorder="0" applyAlignment="0" applyProtection="0"/>
    <xf numFmtId="0" fontId="20" fillId="4" borderId="0" applyNumberFormat="0" applyBorder="0" applyAlignment="0" applyProtection="0"/>
    <xf numFmtId="0" fontId="20" fillId="4" borderId="0" applyNumberFormat="0" applyBorder="0" applyAlignment="0" applyProtection="0"/>
    <xf numFmtId="0" fontId="20" fillId="4" borderId="0" applyNumberFormat="0" applyBorder="0" applyAlignment="0" applyProtection="0"/>
    <xf numFmtId="0" fontId="20" fillId="4" borderId="0" applyNumberFormat="0" applyBorder="0" applyAlignment="0" applyProtection="0"/>
    <xf numFmtId="0" fontId="20" fillId="4" borderId="0" applyNumberFormat="0" applyBorder="0" applyAlignment="0" applyProtection="0"/>
    <xf numFmtId="0" fontId="20" fillId="4" borderId="0" applyNumberFormat="0" applyBorder="0" applyAlignment="0" applyProtection="0"/>
    <xf numFmtId="0" fontId="20" fillId="5" borderId="0" applyNumberFormat="0" applyBorder="0" applyAlignment="0" applyProtection="0"/>
    <xf numFmtId="0" fontId="20" fillId="5" borderId="0" applyNumberFormat="0" applyBorder="0" applyAlignment="0" applyProtection="0"/>
    <xf numFmtId="0" fontId="20" fillId="5" borderId="0" applyNumberFormat="0" applyBorder="0" applyAlignment="0" applyProtection="0"/>
    <xf numFmtId="0" fontId="20" fillId="5" borderId="0" applyNumberFormat="0" applyBorder="0" applyAlignment="0" applyProtection="0"/>
    <xf numFmtId="0" fontId="20" fillId="5" borderId="0" applyNumberFormat="0" applyBorder="0" applyAlignment="0" applyProtection="0"/>
    <xf numFmtId="0" fontId="20" fillId="5" borderId="0" applyNumberFormat="0" applyBorder="0" applyAlignment="0" applyProtection="0"/>
    <xf numFmtId="0" fontId="20" fillId="6" borderId="0" applyNumberFormat="0" applyBorder="0" applyAlignment="0" applyProtection="0"/>
    <xf numFmtId="0" fontId="20" fillId="6" borderId="0" applyNumberFormat="0" applyBorder="0" applyAlignment="0" applyProtection="0"/>
    <xf numFmtId="0" fontId="20" fillId="6" borderId="0" applyNumberFormat="0" applyBorder="0" applyAlignment="0" applyProtection="0"/>
    <xf numFmtId="0" fontId="20" fillId="6" borderId="0" applyNumberFormat="0" applyBorder="0" applyAlignment="0" applyProtection="0"/>
    <xf numFmtId="0" fontId="20" fillId="6" borderId="0" applyNumberFormat="0" applyBorder="0" applyAlignment="0" applyProtection="0"/>
    <xf numFmtId="0" fontId="20" fillId="6" borderId="0" applyNumberFormat="0" applyBorder="0" applyAlignment="0" applyProtection="0"/>
    <xf numFmtId="0" fontId="20" fillId="7" borderId="0" applyNumberFormat="0" applyBorder="0" applyAlignment="0" applyProtection="0"/>
    <xf numFmtId="0" fontId="20" fillId="7" borderId="0" applyNumberFormat="0" applyBorder="0" applyAlignment="0" applyProtection="0"/>
    <xf numFmtId="0" fontId="20" fillId="7" borderId="0" applyNumberFormat="0" applyBorder="0" applyAlignment="0" applyProtection="0"/>
    <xf numFmtId="0" fontId="20" fillId="7" borderId="0" applyNumberFormat="0" applyBorder="0" applyAlignment="0" applyProtection="0"/>
    <xf numFmtId="0" fontId="20" fillId="7" borderId="0" applyNumberFormat="0" applyBorder="0" applyAlignment="0" applyProtection="0"/>
    <xf numFmtId="0" fontId="20" fillId="7" borderId="0" applyNumberFormat="0" applyBorder="0" applyAlignment="0" applyProtection="0"/>
    <xf numFmtId="0" fontId="20" fillId="8" borderId="0" applyNumberFormat="0" applyBorder="0" applyAlignment="0" applyProtection="0"/>
    <xf numFmtId="0" fontId="20" fillId="8" borderId="0" applyNumberFormat="0" applyBorder="0" applyAlignment="0" applyProtection="0"/>
    <xf numFmtId="0" fontId="20" fillId="8" borderId="0" applyNumberFormat="0" applyBorder="0" applyAlignment="0" applyProtection="0"/>
    <xf numFmtId="0" fontId="20" fillId="8" borderId="0" applyNumberFormat="0" applyBorder="0" applyAlignment="0" applyProtection="0"/>
    <xf numFmtId="0" fontId="20" fillId="8" borderId="0" applyNumberFormat="0" applyBorder="0" applyAlignment="0" applyProtection="0"/>
    <xf numFmtId="0" fontId="20" fillId="8" borderId="0" applyNumberFormat="0" applyBorder="0" applyAlignment="0" applyProtection="0"/>
    <xf numFmtId="0" fontId="20" fillId="9" borderId="0" applyNumberFormat="0" applyBorder="0" applyAlignment="0" applyProtection="0"/>
    <xf numFmtId="0" fontId="20" fillId="9" borderId="0" applyNumberFormat="0" applyBorder="0" applyAlignment="0" applyProtection="0"/>
    <xf numFmtId="0" fontId="20" fillId="9" borderId="0" applyNumberFormat="0" applyBorder="0" applyAlignment="0" applyProtection="0"/>
    <xf numFmtId="0" fontId="20" fillId="9" borderId="0" applyNumberFormat="0" applyBorder="0" applyAlignment="0" applyProtection="0"/>
    <xf numFmtId="0" fontId="20" fillId="9" borderId="0" applyNumberFormat="0" applyBorder="0" applyAlignment="0" applyProtection="0"/>
    <xf numFmtId="0" fontId="20" fillId="9" borderId="0" applyNumberFormat="0" applyBorder="0" applyAlignment="0" applyProtection="0"/>
    <xf numFmtId="0" fontId="20" fillId="10" borderId="0" applyNumberFormat="0" applyBorder="0" applyAlignment="0" applyProtection="0"/>
    <xf numFmtId="0" fontId="20" fillId="10" borderId="0" applyNumberFormat="0" applyBorder="0" applyAlignment="0" applyProtection="0"/>
    <xf numFmtId="0" fontId="20" fillId="10" borderId="0" applyNumberFormat="0" applyBorder="0" applyAlignment="0" applyProtection="0"/>
    <xf numFmtId="0" fontId="20" fillId="10" borderId="0" applyNumberFormat="0" applyBorder="0" applyAlignment="0" applyProtection="0"/>
    <xf numFmtId="0" fontId="20" fillId="10" borderId="0" applyNumberFormat="0" applyBorder="0" applyAlignment="0" applyProtection="0"/>
    <xf numFmtId="0" fontId="20" fillId="10" borderId="0" applyNumberFormat="0" applyBorder="0" applyAlignment="0" applyProtection="0"/>
    <xf numFmtId="0" fontId="20" fillId="5" borderId="0" applyNumberFormat="0" applyBorder="0" applyAlignment="0" applyProtection="0"/>
    <xf numFmtId="0" fontId="20" fillId="5" borderId="0" applyNumberFormat="0" applyBorder="0" applyAlignment="0" applyProtection="0"/>
    <xf numFmtId="0" fontId="20" fillId="5" borderId="0" applyNumberFormat="0" applyBorder="0" applyAlignment="0" applyProtection="0"/>
    <xf numFmtId="0" fontId="20" fillId="5" borderId="0" applyNumberFormat="0" applyBorder="0" applyAlignment="0" applyProtection="0"/>
    <xf numFmtId="0" fontId="20" fillId="5" borderId="0" applyNumberFormat="0" applyBorder="0" applyAlignment="0" applyProtection="0"/>
    <xf numFmtId="0" fontId="20" fillId="5" borderId="0" applyNumberFormat="0" applyBorder="0" applyAlignment="0" applyProtection="0"/>
    <xf numFmtId="0" fontId="20" fillId="8" borderId="0" applyNumberFormat="0" applyBorder="0" applyAlignment="0" applyProtection="0"/>
    <xf numFmtId="0" fontId="20" fillId="8" borderId="0" applyNumberFormat="0" applyBorder="0" applyAlignment="0" applyProtection="0"/>
    <xf numFmtId="0" fontId="20" fillId="8" borderId="0" applyNumberFormat="0" applyBorder="0" applyAlignment="0" applyProtection="0"/>
    <xf numFmtId="0" fontId="20" fillId="8" borderId="0" applyNumberFormat="0" applyBorder="0" applyAlignment="0" applyProtection="0"/>
    <xf numFmtId="0" fontId="20" fillId="8" borderId="0" applyNumberFormat="0" applyBorder="0" applyAlignment="0" applyProtection="0"/>
    <xf numFmtId="0" fontId="20" fillId="8" borderId="0" applyNumberFormat="0" applyBorder="0" applyAlignment="0" applyProtection="0"/>
    <xf numFmtId="0" fontId="20" fillId="11" borderId="0" applyNumberFormat="0" applyBorder="0" applyAlignment="0" applyProtection="0"/>
    <xf numFmtId="0" fontId="20" fillId="11" borderId="0" applyNumberFormat="0" applyBorder="0" applyAlignment="0" applyProtection="0"/>
    <xf numFmtId="0" fontId="20" fillId="11" borderId="0" applyNumberFormat="0" applyBorder="0" applyAlignment="0" applyProtection="0"/>
    <xf numFmtId="0" fontId="20" fillId="11" borderId="0" applyNumberFormat="0" applyBorder="0" applyAlignment="0" applyProtection="0"/>
    <xf numFmtId="0" fontId="20" fillId="11" borderId="0" applyNumberFormat="0" applyBorder="0" applyAlignment="0" applyProtection="0"/>
    <xf numFmtId="0" fontId="20" fillId="11" borderId="0" applyNumberFormat="0" applyBorder="0" applyAlignment="0" applyProtection="0"/>
    <xf numFmtId="0" fontId="45" fillId="12" borderId="0" applyNumberFormat="0" applyBorder="0" applyAlignment="0" applyProtection="0"/>
    <xf numFmtId="0" fontId="45" fillId="12" borderId="0" applyNumberFormat="0" applyBorder="0" applyAlignment="0" applyProtection="0"/>
    <xf numFmtId="0" fontId="45" fillId="12" borderId="0" applyNumberFormat="0" applyBorder="0" applyAlignment="0" applyProtection="0"/>
    <xf numFmtId="0" fontId="45" fillId="12" borderId="0" applyNumberFormat="0" applyBorder="0" applyAlignment="0" applyProtection="0"/>
    <xf numFmtId="0" fontId="45" fillId="12" borderId="0" applyNumberFormat="0" applyBorder="0" applyAlignment="0" applyProtection="0"/>
    <xf numFmtId="0" fontId="45" fillId="12" borderId="0" applyNumberFormat="0" applyBorder="0" applyAlignment="0" applyProtection="0"/>
    <xf numFmtId="0" fontId="45" fillId="9" borderId="0" applyNumberFormat="0" applyBorder="0" applyAlignment="0" applyProtection="0"/>
    <xf numFmtId="0" fontId="45" fillId="9" borderId="0" applyNumberFormat="0" applyBorder="0" applyAlignment="0" applyProtection="0"/>
    <xf numFmtId="0" fontId="45" fillId="9" borderId="0" applyNumberFormat="0" applyBorder="0" applyAlignment="0" applyProtection="0"/>
    <xf numFmtId="0" fontId="45" fillId="9" borderId="0" applyNumberFormat="0" applyBorder="0" applyAlignment="0" applyProtection="0"/>
    <xf numFmtId="0" fontId="45" fillId="9" borderId="0" applyNumberFormat="0" applyBorder="0" applyAlignment="0" applyProtection="0"/>
    <xf numFmtId="0" fontId="45" fillId="9" borderId="0" applyNumberFormat="0" applyBorder="0" applyAlignment="0" applyProtection="0"/>
    <xf numFmtId="0" fontId="45" fillId="10" borderId="0" applyNumberFormat="0" applyBorder="0" applyAlignment="0" applyProtection="0"/>
    <xf numFmtId="0" fontId="45" fillId="10" borderId="0" applyNumberFormat="0" applyBorder="0" applyAlignment="0" applyProtection="0"/>
    <xf numFmtId="0" fontId="45" fillId="10" borderId="0" applyNumberFormat="0" applyBorder="0" applyAlignment="0" applyProtection="0"/>
    <xf numFmtId="0" fontId="45" fillId="10" borderId="0" applyNumberFormat="0" applyBorder="0" applyAlignment="0" applyProtection="0"/>
    <xf numFmtId="0" fontId="45" fillId="10" borderId="0" applyNumberFormat="0" applyBorder="0" applyAlignment="0" applyProtection="0"/>
    <xf numFmtId="0" fontId="45" fillId="10" borderId="0" applyNumberFormat="0" applyBorder="0" applyAlignment="0" applyProtection="0"/>
    <xf numFmtId="0" fontId="45" fillId="13" borderId="0" applyNumberFormat="0" applyBorder="0" applyAlignment="0" applyProtection="0"/>
    <xf numFmtId="0" fontId="45" fillId="13" borderId="0" applyNumberFormat="0" applyBorder="0" applyAlignment="0" applyProtection="0"/>
    <xf numFmtId="0" fontId="45" fillId="13" borderId="0" applyNumberFormat="0" applyBorder="0" applyAlignment="0" applyProtection="0"/>
    <xf numFmtId="0" fontId="45" fillId="13" borderId="0" applyNumberFormat="0" applyBorder="0" applyAlignment="0" applyProtection="0"/>
    <xf numFmtId="0" fontId="45" fillId="13" borderId="0" applyNumberFormat="0" applyBorder="0" applyAlignment="0" applyProtection="0"/>
    <xf numFmtId="0" fontId="45" fillId="13" borderId="0" applyNumberFormat="0" applyBorder="0" applyAlignment="0" applyProtection="0"/>
    <xf numFmtId="0" fontId="45" fillId="14" borderId="0" applyNumberFormat="0" applyBorder="0" applyAlignment="0" applyProtection="0"/>
    <xf numFmtId="0" fontId="45" fillId="14" borderId="0" applyNumberFormat="0" applyBorder="0" applyAlignment="0" applyProtection="0"/>
    <xf numFmtId="0" fontId="45" fillId="14" borderId="0" applyNumberFormat="0" applyBorder="0" applyAlignment="0" applyProtection="0"/>
    <xf numFmtId="0" fontId="45" fillId="14" borderId="0" applyNumberFormat="0" applyBorder="0" applyAlignment="0" applyProtection="0"/>
    <xf numFmtId="0" fontId="45" fillId="14" borderId="0" applyNumberFormat="0" applyBorder="0" applyAlignment="0" applyProtection="0"/>
    <xf numFmtId="0" fontId="45" fillId="14" borderId="0" applyNumberFormat="0" applyBorder="0" applyAlignment="0" applyProtection="0"/>
    <xf numFmtId="0" fontId="45" fillId="15" borderId="0" applyNumberFormat="0" applyBorder="0" applyAlignment="0" applyProtection="0"/>
    <xf numFmtId="0" fontId="45" fillId="15" borderId="0" applyNumberFormat="0" applyBorder="0" applyAlignment="0" applyProtection="0"/>
    <xf numFmtId="0" fontId="45" fillId="15" borderId="0" applyNumberFormat="0" applyBorder="0" applyAlignment="0" applyProtection="0"/>
    <xf numFmtId="0" fontId="45" fillId="15" borderId="0" applyNumberFormat="0" applyBorder="0" applyAlignment="0" applyProtection="0"/>
    <xf numFmtId="0" fontId="45" fillId="15" borderId="0" applyNumberFormat="0" applyBorder="0" applyAlignment="0" applyProtection="0"/>
    <xf numFmtId="0" fontId="45" fillId="15" borderId="0" applyNumberFormat="0" applyBorder="0" applyAlignment="0" applyProtection="0"/>
    <xf numFmtId="0" fontId="45" fillId="16" borderId="0" applyNumberFormat="0" applyBorder="0" applyAlignment="0" applyProtection="0"/>
    <xf numFmtId="0" fontId="45" fillId="16" borderId="0" applyNumberFormat="0" applyBorder="0" applyAlignment="0" applyProtection="0"/>
    <xf numFmtId="0" fontId="45" fillId="16" borderId="0" applyNumberFormat="0" applyBorder="0" applyAlignment="0" applyProtection="0"/>
    <xf numFmtId="0" fontId="45" fillId="16" borderId="0" applyNumberFormat="0" applyBorder="0" applyAlignment="0" applyProtection="0"/>
    <xf numFmtId="0" fontId="45" fillId="16" borderId="0" applyNumberFormat="0" applyBorder="0" applyAlignment="0" applyProtection="0"/>
    <xf numFmtId="0" fontId="45" fillId="16" borderId="0" applyNumberFormat="0" applyBorder="0" applyAlignment="0" applyProtection="0"/>
    <xf numFmtId="0" fontId="45" fillId="17" borderId="0" applyNumberFormat="0" applyBorder="0" applyAlignment="0" applyProtection="0"/>
    <xf numFmtId="0" fontId="45" fillId="17" borderId="0" applyNumberFormat="0" applyBorder="0" applyAlignment="0" applyProtection="0"/>
    <xf numFmtId="0" fontId="45" fillId="17" borderId="0" applyNumberFormat="0" applyBorder="0" applyAlignment="0" applyProtection="0"/>
    <xf numFmtId="0" fontId="45" fillId="17" borderId="0" applyNumberFormat="0" applyBorder="0" applyAlignment="0" applyProtection="0"/>
    <xf numFmtId="0" fontId="45" fillId="17" borderId="0" applyNumberFormat="0" applyBorder="0" applyAlignment="0" applyProtection="0"/>
    <xf numFmtId="0" fontId="45" fillId="17" borderId="0" applyNumberFormat="0" applyBorder="0" applyAlignment="0" applyProtection="0"/>
    <xf numFmtId="0" fontId="45" fillId="18" borderId="0" applyNumberFormat="0" applyBorder="0" applyAlignment="0" applyProtection="0"/>
    <xf numFmtId="0" fontId="45" fillId="18" borderId="0" applyNumberFormat="0" applyBorder="0" applyAlignment="0" applyProtection="0"/>
    <xf numFmtId="0" fontId="45" fillId="18" borderId="0" applyNumberFormat="0" applyBorder="0" applyAlignment="0" applyProtection="0"/>
    <xf numFmtId="0" fontId="45" fillId="18" borderId="0" applyNumberFormat="0" applyBorder="0" applyAlignment="0" applyProtection="0"/>
    <xf numFmtId="0" fontId="45" fillId="18" borderId="0" applyNumberFormat="0" applyBorder="0" applyAlignment="0" applyProtection="0"/>
    <xf numFmtId="0" fontId="45" fillId="18" borderId="0" applyNumberFormat="0" applyBorder="0" applyAlignment="0" applyProtection="0"/>
    <xf numFmtId="0" fontId="45" fillId="13" borderId="0" applyNumberFormat="0" applyBorder="0" applyAlignment="0" applyProtection="0"/>
    <xf numFmtId="0" fontId="45" fillId="13" borderId="0" applyNumberFormat="0" applyBorder="0" applyAlignment="0" applyProtection="0"/>
    <xf numFmtId="0" fontId="45" fillId="13" borderId="0" applyNumberFormat="0" applyBorder="0" applyAlignment="0" applyProtection="0"/>
    <xf numFmtId="0" fontId="45" fillId="13" borderId="0" applyNumberFormat="0" applyBorder="0" applyAlignment="0" applyProtection="0"/>
    <xf numFmtId="0" fontId="45" fillId="13" borderId="0" applyNumberFormat="0" applyBorder="0" applyAlignment="0" applyProtection="0"/>
    <xf numFmtId="0" fontId="45" fillId="13" borderId="0" applyNumberFormat="0" applyBorder="0" applyAlignment="0" applyProtection="0"/>
    <xf numFmtId="0" fontId="45" fillId="14" borderId="0" applyNumberFormat="0" applyBorder="0" applyAlignment="0" applyProtection="0"/>
    <xf numFmtId="0" fontId="45" fillId="14" borderId="0" applyNumberFormat="0" applyBorder="0" applyAlignment="0" applyProtection="0"/>
    <xf numFmtId="0" fontId="45" fillId="14" borderId="0" applyNumberFormat="0" applyBorder="0" applyAlignment="0" applyProtection="0"/>
    <xf numFmtId="0" fontId="45" fillId="14" borderId="0" applyNumberFormat="0" applyBorder="0" applyAlignment="0" applyProtection="0"/>
    <xf numFmtId="0" fontId="45" fillId="14" borderId="0" applyNumberFormat="0" applyBorder="0" applyAlignment="0" applyProtection="0"/>
    <xf numFmtId="0" fontId="45" fillId="14" borderId="0" applyNumberFormat="0" applyBorder="0" applyAlignment="0" applyProtection="0"/>
    <xf numFmtId="0" fontId="45" fillId="19" borderId="0" applyNumberFormat="0" applyBorder="0" applyAlignment="0" applyProtection="0"/>
    <xf numFmtId="0" fontId="45" fillId="19" borderId="0" applyNumberFormat="0" applyBorder="0" applyAlignment="0" applyProtection="0"/>
    <xf numFmtId="0" fontId="45" fillId="19" borderId="0" applyNumberFormat="0" applyBorder="0" applyAlignment="0" applyProtection="0"/>
    <xf numFmtId="0" fontId="45" fillId="19" borderId="0" applyNumberFormat="0" applyBorder="0" applyAlignment="0" applyProtection="0"/>
    <xf numFmtId="0" fontId="45" fillId="19" borderId="0" applyNumberFormat="0" applyBorder="0" applyAlignment="0" applyProtection="0"/>
    <xf numFmtId="0" fontId="45" fillId="19" borderId="0" applyNumberFormat="0" applyBorder="0" applyAlignment="0" applyProtection="0"/>
    <xf numFmtId="0" fontId="46" fillId="0" borderId="0" applyNumberFormat="0" applyFill="0" applyBorder="0" applyAlignment="0" applyProtection="0"/>
    <xf numFmtId="0" fontId="46" fillId="0" borderId="0" applyNumberFormat="0" applyFill="0" applyBorder="0" applyAlignment="0" applyProtection="0"/>
    <xf numFmtId="0" fontId="46" fillId="0" borderId="0" applyNumberFormat="0" applyFill="0" applyBorder="0" applyAlignment="0" applyProtection="0"/>
    <xf numFmtId="0" fontId="46" fillId="0" borderId="0" applyNumberFormat="0" applyFill="0" applyBorder="0" applyAlignment="0" applyProtection="0"/>
    <xf numFmtId="0" fontId="46" fillId="0" borderId="0" applyNumberFormat="0" applyFill="0" applyBorder="0" applyAlignment="0" applyProtection="0"/>
    <xf numFmtId="0" fontId="46" fillId="0" borderId="0" applyNumberFormat="0" applyFill="0" applyBorder="0" applyAlignment="0" applyProtection="0"/>
    <xf numFmtId="0" fontId="47" fillId="20" borderId="1" applyNumberFormat="0" applyAlignment="0" applyProtection="0"/>
    <xf numFmtId="0" fontId="47" fillId="20" borderId="1" applyNumberFormat="0" applyAlignment="0" applyProtection="0"/>
    <xf numFmtId="0" fontId="47" fillId="20" borderId="1" applyNumberFormat="0" applyAlignment="0" applyProtection="0"/>
    <xf numFmtId="0" fontId="47" fillId="20" borderId="1" applyNumberFormat="0" applyAlignment="0" applyProtection="0"/>
    <xf numFmtId="0" fontId="47" fillId="20" borderId="1" applyNumberFormat="0" applyAlignment="0" applyProtection="0"/>
    <xf numFmtId="0" fontId="47" fillId="20" borderId="1" applyNumberFormat="0" applyAlignment="0" applyProtection="0"/>
    <xf numFmtId="0" fontId="48" fillId="0" borderId="2" applyNumberFormat="0" applyFill="0" applyAlignment="0" applyProtection="0"/>
    <xf numFmtId="0" fontId="48" fillId="0" borderId="2" applyNumberFormat="0" applyFill="0" applyAlignment="0" applyProtection="0"/>
    <xf numFmtId="0" fontId="48" fillId="0" borderId="2" applyNumberFormat="0" applyFill="0" applyAlignment="0" applyProtection="0"/>
    <xf numFmtId="0" fontId="48" fillId="0" borderId="2" applyNumberFormat="0" applyFill="0" applyAlignment="0" applyProtection="0"/>
    <xf numFmtId="0" fontId="48" fillId="0" borderId="2" applyNumberFormat="0" applyFill="0" applyAlignment="0" applyProtection="0"/>
    <xf numFmtId="0" fontId="48" fillId="0" borderId="2" applyNumberFormat="0" applyFill="0" applyAlignment="0" applyProtection="0"/>
    <xf numFmtId="0" fontId="164" fillId="21" borderId="3" applyNumberFormat="0" applyFont="0" applyAlignment="0" applyProtection="0"/>
    <xf numFmtId="0" fontId="20" fillId="21" borderId="3" applyNumberFormat="0" applyFont="0" applyAlignment="0" applyProtection="0"/>
    <xf numFmtId="0" fontId="20" fillId="21" borderId="3" applyNumberFormat="0" applyFont="0" applyAlignment="0" applyProtection="0"/>
    <xf numFmtId="0" fontId="20" fillId="21" borderId="3" applyNumberFormat="0" applyFont="0" applyAlignment="0" applyProtection="0"/>
    <xf numFmtId="0" fontId="20" fillId="21" borderId="3" applyNumberFormat="0" applyFont="0" applyAlignment="0" applyProtection="0"/>
    <xf numFmtId="0" fontId="20" fillId="21" borderId="3" applyNumberFormat="0" applyFont="0" applyAlignment="0" applyProtection="0"/>
    <xf numFmtId="0" fontId="20" fillId="21" borderId="3" applyNumberFormat="0" applyFont="0" applyAlignment="0" applyProtection="0"/>
    <xf numFmtId="0" fontId="20" fillId="21" borderId="3" applyNumberFormat="0" applyFont="0" applyAlignment="0" applyProtection="0"/>
    <xf numFmtId="0" fontId="49" fillId="7" borderId="1" applyNumberFormat="0" applyAlignment="0" applyProtection="0"/>
    <xf numFmtId="0" fontId="49" fillId="7" borderId="1" applyNumberFormat="0" applyAlignment="0" applyProtection="0"/>
    <xf numFmtId="0" fontId="49" fillId="7" borderId="1" applyNumberFormat="0" applyAlignment="0" applyProtection="0"/>
    <xf numFmtId="0" fontId="49" fillId="7" borderId="1" applyNumberFormat="0" applyAlignment="0" applyProtection="0"/>
    <xf numFmtId="0" fontId="49" fillId="7" borderId="1" applyNumberFormat="0" applyAlignment="0" applyProtection="0"/>
    <xf numFmtId="0" fontId="49" fillId="7" borderId="1" applyNumberFormat="0" applyAlignment="0" applyProtection="0"/>
    <xf numFmtId="44" fontId="164" fillId="0" borderId="0" applyFont="0" applyFill="0" applyBorder="0" applyAlignment="0" applyProtection="0"/>
    <xf numFmtId="192" fontId="21" fillId="0" borderId="0" applyFont="0" applyFill="0" applyBorder="0" applyAlignment="0" applyProtection="0"/>
    <xf numFmtId="0" fontId="50" fillId="3" borderId="0" applyNumberFormat="0" applyBorder="0" applyAlignment="0" applyProtection="0"/>
    <xf numFmtId="0" fontId="50" fillId="3" borderId="0" applyNumberFormat="0" applyBorder="0" applyAlignment="0" applyProtection="0"/>
    <xf numFmtId="0" fontId="50" fillId="3" borderId="0" applyNumberFormat="0" applyBorder="0" applyAlignment="0" applyProtection="0"/>
    <xf numFmtId="0" fontId="50" fillId="3" borderId="0" applyNumberFormat="0" applyBorder="0" applyAlignment="0" applyProtection="0"/>
    <xf numFmtId="0" fontId="50" fillId="3" borderId="0" applyNumberFormat="0" applyBorder="0" applyAlignment="0" applyProtection="0"/>
    <xf numFmtId="0" fontId="50" fillId="3" borderId="0" applyNumberFormat="0" applyBorder="0" applyAlignment="0" applyProtection="0"/>
    <xf numFmtId="164" fontId="164" fillId="0" borderId="0" applyFont="0" applyFill="0" applyBorder="0" applyAlignment="0" applyProtection="0"/>
    <xf numFmtId="191" fontId="21" fillId="0" borderId="0" applyFont="0" applyFill="0" applyBorder="0" applyAlignment="0" applyProtection="0"/>
    <xf numFmtId="164" fontId="21" fillId="0" borderId="0" applyFont="0" applyFill="0" applyBorder="0" applyAlignment="0" applyProtection="0"/>
    <xf numFmtId="164" fontId="21" fillId="0" borderId="0" applyFont="0" applyFill="0" applyBorder="0" applyAlignment="0" applyProtection="0"/>
    <xf numFmtId="164" fontId="21" fillId="0" borderId="0" applyFont="0" applyFill="0" applyBorder="0" applyAlignment="0" applyProtection="0"/>
    <xf numFmtId="164" fontId="21" fillId="0" borderId="0" applyFont="0" applyFill="0" applyBorder="0" applyAlignment="0" applyProtection="0"/>
    <xf numFmtId="164" fontId="21" fillId="0" borderId="0" applyFont="0" applyFill="0" applyBorder="0" applyAlignment="0" applyProtection="0"/>
    <xf numFmtId="164" fontId="21" fillId="0" borderId="0" applyFont="0" applyFill="0" applyBorder="0" applyAlignment="0" applyProtection="0"/>
    <xf numFmtId="193" fontId="21" fillId="0" borderId="0" applyFont="0" applyFill="0" applyBorder="0" applyAlignment="0" applyProtection="0"/>
    <xf numFmtId="192" fontId="21" fillId="0" borderId="0" applyFont="0" applyFill="0" applyBorder="0" applyAlignment="0" applyProtection="0"/>
    <xf numFmtId="192" fontId="21" fillId="0" borderId="0" applyFont="0" applyFill="0" applyBorder="0" applyAlignment="0" applyProtection="0"/>
    <xf numFmtId="192" fontId="21" fillId="0" borderId="0" applyFont="0" applyFill="0" applyBorder="0" applyAlignment="0" applyProtection="0"/>
    <xf numFmtId="192" fontId="21" fillId="0" borderId="0" applyFont="0" applyFill="0" applyBorder="0" applyAlignment="0" applyProtection="0"/>
    <xf numFmtId="192" fontId="21" fillId="0" borderId="0" applyFont="0" applyFill="0" applyBorder="0" applyAlignment="0" applyProtection="0"/>
    <xf numFmtId="192" fontId="21" fillId="0" borderId="0" applyFont="0" applyFill="0" applyBorder="0" applyAlignment="0" applyProtection="0"/>
    <xf numFmtId="192" fontId="21" fillId="0" borderId="0" applyFont="0" applyFill="0" applyBorder="0" applyAlignment="0" applyProtection="0"/>
    <xf numFmtId="164" fontId="21" fillId="0" borderId="0" applyFont="0" applyFill="0" applyBorder="0" applyAlignment="0" applyProtection="0"/>
    <xf numFmtId="164" fontId="21" fillId="0" borderId="0" applyFont="0" applyFill="0" applyBorder="0" applyAlignment="0" applyProtection="0"/>
    <xf numFmtId="164" fontId="21" fillId="0" borderId="0" applyFont="0" applyFill="0" applyBorder="0" applyAlignment="0" applyProtection="0"/>
    <xf numFmtId="0" fontId="51" fillId="22" borderId="0" applyNumberFormat="0" applyBorder="0" applyAlignment="0" applyProtection="0"/>
    <xf numFmtId="0" fontId="51" fillId="22" borderId="0" applyNumberFormat="0" applyBorder="0" applyAlignment="0" applyProtection="0"/>
    <xf numFmtId="0" fontId="51" fillId="22" borderId="0" applyNumberFormat="0" applyBorder="0" applyAlignment="0" applyProtection="0"/>
    <xf numFmtId="0" fontId="51" fillId="22" borderId="0" applyNumberFormat="0" applyBorder="0" applyAlignment="0" applyProtection="0"/>
    <xf numFmtId="0" fontId="51" fillId="22" borderId="0" applyNumberFormat="0" applyBorder="0" applyAlignment="0" applyProtection="0"/>
    <xf numFmtId="0" fontId="51" fillId="22" borderId="0" applyNumberFormat="0" applyBorder="0" applyAlignment="0" applyProtection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9" fontId="164" fillId="0" borderId="0" applyFont="0" applyFill="0" applyBorder="0" applyAlignment="0" applyProtection="0"/>
    <xf numFmtId="0" fontId="52" fillId="4" borderId="0" applyNumberFormat="0" applyBorder="0" applyAlignment="0" applyProtection="0"/>
    <xf numFmtId="0" fontId="52" fillId="4" borderId="0" applyNumberFormat="0" applyBorder="0" applyAlignment="0" applyProtection="0"/>
    <xf numFmtId="0" fontId="52" fillId="4" borderId="0" applyNumberFormat="0" applyBorder="0" applyAlignment="0" applyProtection="0"/>
    <xf numFmtId="0" fontId="52" fillId="4" borderId="0" applyNumberFormat="0" applyBorder="0" applyAlignment="0" applyProtection="0"/>
    <xf numFmtId="0" fontId="52" fillId="4" borderId="0" applyNumberFormat="0" applyBorder="0" applyAlignment="0" applyProtection="0"/>
    <xf numFmtId="0" fontId="52" fillId="4" borderId="0" applyNumberFormat="0" applyBorder="0" applyAlignment="0" applyProtection="0"/>
    <xf numFmtId="0" fontId="53" fillId="20" borderId="4" applyNumberFormat="0" applyAlignment="0" applyProtection="0"/>
    <xf numFmtId="0" fontId="53" fillId="20" borderId="4" applyNumberFormat="0" applyAlignment="0" applyProtection="0"/>
    <xf numFmtId="0" fontId="53" fillId="20" borderId="4" applyNumberFormat="0" applyAlignment="0" applyProtection="0"/>
    <xf numFmtId="0" fontId="53" fillId="20" borderId="4" applyNumberFormat="0" applyAlignment="0" applyProtection="0"/>
    <xf numFmtId="0" fontId="53" fillId="20" borderId="4" applyNumberFormat="0" applyAlignment="0" applyProtection="0"/>
    <xf numFmtId="0" fontId="53" fillId="20" borderId="4" applyNumberFormat="0" applyAlignment="0" applyProtection="0"/>
    <xf numFmtId="0" fontId="16" fillId="0" borderId="0"/>
    <xf numFmtId="0" fontId="54" fillId="0" borderId="0" applyNumberFormat="0" applyFill="0" applyBorder="0" applyAlignment="0" applyProtection="0"/>
    <xf numFmtId="0" fontId="54" fillId="0" borderId="0" applyNumberFormat="0" applyFill="0" applyBorder="0" applyAlignment="0" applyProtection="0"/>
    <xf numFmtId="0" fontId="54" fillId="0" borderId="0" applyNumberFormat="0" applyFill="0" applyBorder="0" applyAlignment="0" applyProtection="0"/>
    <xf numFmtId="0" fontId="54" fillId="0" borderId="0" applyNumberFormat="0" applyFill="0" applyBorder="0" applyAlignment="0" applyProtection="0"/>
    <xf numFmtId="0" fontId="54" fillId="0" borderId="0" applyNumberFormat="0" applyFill="0" applyBorder="0" applyAlignment="0" applyProtection="0"/>
    <xf numFmtId="0" fontId="54" fillId="0" borderId="0" applyNumberFormat="0" applyFill="0" applyBorder="0" applyAlignment="0" applyProtection="0"/>
    <xf numFmtId="0" fontId="55" fillId="0" borderId="0" applyNumberFormat="0" applyFill="0" applyBorder="0" applyAlignment="0" applyProtection="0"/>
    <xf numFmtId="0" fontId="55" fillId="0" borderId="0" applyNumberFormat="0" applyFill="0" applyBorder="0" applyAlignment="0" applyProtection="0"/>
    <xf numFmtId="0" fontId="55" fillId="0" borderId="0" applyNumberFormat="0" applyFill="0" applyBorder="0" applyAlignment="0" applyProtection="0"/>
    <xf numFmtId="0" fontId="55" fillId="0" borderId="0" applyNumberFormat="0" applyFill="0" applyBorder="0" applyAlignment="0" applyProtection="0"/>
    <xf numFmtId="0" fontId="55" fillId="0" borderId="0" applyNumberFormat="0" applyFill="0" applyBorder="0" applyAlignment="0" applyProtection="0"/>
    <xf numFmtId="0" fontId="55" fillId="0" borderId="0" applyNumberFormat="0" applyFill="0" applyBorder="0" applyAlignment="0" applyProtection="0"/>
    <xf numFmtId="164" fontId="16" fillId="0" borderId="0" applyFont="0" applyFill="0" applyBorder="0" applyAlignment="0" applyProtection="0"/>
    <xf numFmtId="0" fontId="56" fillId="0" borderId="5" applyNumberFormat="0" applyFill="0" applyAlignment="0" applyProtection="0"/>
    <xf numFmtId="0" fontId="56" fillId="0" borderId="5" applyNumberFormat="0" applyFill="0" applyAlignment="0" applyProtection="0"/>
    <xf numFmtId="0" fontId="56" fillId="0" borderId="5" applyNumberFormat="0" applyFill="0" applyAlignment="0" applyProtection="0"/>
    <xf numFmtId="0" fontId="56" fillId="0" borderId="5" applyNumberFormat="0" applyFill="0" applyAlignment="0" applyProtection="0"/>
    <xf numFmtId="0" fontId="56" fillId="0" borderId="5" applyNumberFormat="0" applyFill="0" applyAlignment="0" applyProtection="0"/>
    <xf numFmtId="0" fontId="56" fillId="0" borderId="5" applyNumberFormat="0" applyFill="0" applyAlignment="0" applyProtection="0"/>
    <xf numFmtId="0" fontId="16" fillId="0" borderId="0"/>
    <xf numFmtId="0" fontId="57" fillId="0" borderId="6" applyNumberFormat="0" applyFill="0" applyAlignment="0" applyProtection="0"/>
    <xf numFmtId="0" fontId="57" fillId="0" borderId="6" applyNumberFormat="0" applyFill="0" applyAlignment="0" applyProtection="0"/>
    <xf numFmtId="0" fontId="57" fillId="0" borderId="6" applyNumberFormat="0" applyFill="0" applyAlignment="0" applyProtection="0"/>
    <xf numFmtId="0" fontId="57" fillId="0" borderId="6" applyNumberFormat="0" applyFill="0" applyAlignment="0" applyProtection="0"/>
    <xf numFmtId="0" fontId="57" fillId="0" borderId="6" applyNumberFormat="0" applyFill="0" applyAlignment="0" applyProtection="0"/>
    <xf numFmtId="0" fontId="57" fillId="0" borderId="6" applyNumberFormat="0" applyFill="0" applyAlignment="0" applyProtection="0"/>
    <xf numFmtId="0" fontId="58" fillId="0" borderId="7" applyNumberFormat="0" applyFill="0" applyAlignment="0" applyProtection="0"/>
    <xf numFmtId="0" fontId="58" fillId="0" borderId="7" applyNumberFormat="0" applyFill="0" applyAlignment="0" applyProtection="0"/>
    <xf numFmtId="0" fontId="58" fillId="0" borderId="7" applyNumberFormat="0" applyFill="0" applyAlignment="0" applyProtection="0"/>
    <xf numFmtId="0" fontId="58" fillId="0" borderId="7" applyNumberFormat="0" applyFill="0" applyAlignment="0" applyProtection="0"/>
    <xf numFmtId="0" fontId="58" fillId="0" borderId="7" applyNumberFormat="0" applyFill="0" applyAlignment="0" applyProtection="0"/>
    <xf numFmtId="0" fontId="58" fillId="0" borderId="7" applyNumberFormat="0" applyFill="0" applyAlignment="0" applyProtection="0"/>
    <xf numFmtId="0" fontId="58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0" fontId="23" fillId="0" borderId="0" applyNumberFormat="0" applyFill="0" applyBorder="0" applyAlignment="0" applyProtection="0">
      <alignment vertical="top"/>
      <protection locked="0"/>
    </xf>
    <xf numFmtId="0" fontId="44" fillId="0" borderId="8" applyNumberFormat="0" applyFill="0" applyAlignment="0" applyProtection="0"/>
    <xf numFmtId="0" fontId="44" fillId="0" borderId="8" applyNumberFormat="0" applyFill="0" applyAlignment="0" applyProtection="0"/>
    <xf numFmtId="0" fontId="44" fillId="0" borderId="8" applyNumberFormat="0" applyFill="0" applyAlignment="0" applyProtection="0"/>
    <xf numFmtId="0" fontId="44" fillId="0" borderId="8" applyNumberFormat="0" applyFill="0" applyAlignment="0" applyProtection="0"/>
    <xf numFmtId="0" fontId="44" fillId="0" borderId="8" applyNumberFormat="0" applyFill="0" applyAlignment="0" applyProtection="0"/>
    <xf numFmtId="0" fontId="44" fillId="0" borderId="8" applyNumberFormat="0" applyFill="0" applyAlignment="0" applyProtection="0"/>
    <xf numFmtId="0" fontId="16" fillId="0" borderId="0"/>
    <xf numFmtId="0" fontId="59" fillId="23" borderId="9" applyNumberFormat="0" applyAlignment="0" applyProtection="0"/>
    <xf numFmtId="0" fontId="59" fillId="23" borderId="9" applyNumberFormat="0" applyAlignment="0" applyProtection="0"/>
    <xf numFmtId="0" fontId="59" fillId="23" borderId="9" applyNumberFormat="0" applyAlignment="0" applyProtection="0"/>
    <xf numFmtId="0" fontId="59" fillId="23" borderId="9" applyNumberFormat="0" applyAlignment="0" applyProtection="0"/>
    <xf numFmtId="0" fontId="59" fillId="23" borderId="9" applyNumberFormat="0" applyAlignment="0" applyProtection="0"/>
    <xf numFmtId="0" fontId="59" fillId="23" borderId="9" applyNumberFormat="0" applyAlignment="0" applyProtection="0"/>
    <xf numFmtId="0" fontId="14" fillId="0" borderId="0"/>
    <xf numFmtId="0" fontId="14" fillId="0" borderId="0"/>
    <xf numFmtId="164" fontId="21" fillId="0" borderId="0" applyFont="0" applyFill="0" applyBorder="0" applyAlignment="0" applyProtection="0"/>
    <xf numFmtId="44" fontId="21" fillId="0" borderId="0" applyFont="0" applyFill="0" applyBorder="0" applyAlignment="0" applyProtection="0"/>
    <xf numFmtId="164" fontId="21" fillId="0" borderId="0" applyFont="0" applyFill="0" applyBorder="0" applyAlignment="0" applyProtection="0"/>
    <xf numFmtId="164" fontId="21" fillId="0" borderId="0" applyFont="0" applyFill="0" applyBorder="0" applyAlignment="0" applyProtection="0"/>
    <xf numFmtId="0" fontId="13" fillId="0" borderId="0"/>
    <xf numFmtId="9" fontId="13" fillId="0" borderId="0" applyFont="0" applyFill="0" applyBorder="0" applyAlignment="0" applyProtection="0"/>
    <xf numFmtId="0" fontId="184" fillId="0" borderId="0" applyNumberFormat="0" applyFill="0" applyBorder="0" applyAlignment="0" applyProtection="0"/>
    <xf numFmtId="0" fontId="21" fillId="0" borderId="0"/>
    <xf numFmtId="0" fontId="12" fillId="0" borderId="0"/>
    <xf numFmtId="0" fontId="11" fillId="0" borderId="0"/>
    <xf numFmtId="164" fontId="21" fillId="0" borderId="0" applyFont="0" applyFill="0" applyBorder="0" applyAlignment="0" applyProtection="0"/>
    <xf numFmtId="0" fontId="11" fillId="100" borderId="0" applyNumberFormat="0" applyBorder="0" applyAlignment="0" applyProtection="0"/>
    <xf numFmtId="0" fontId="11" fillId="0" borderId="0"/>
    <xf numFmtId="0" fontId="11" fillId="100" borderId="0" applyNumberFormat="0" applyBorder="0" applyAlignment="0" applyProtection="0"/>
    <xf numFmtId="0" fontId="11" fillId="100" borderId="0" applyNumberFormat="0" applyBorder="0" applyAlignment="0" applyProtection="0"/>
    <xf numFmtId="164" fontId="21" fillId="0" borderId="0" applyFont="0" applyFill="0" applyBorder="0" applyAlignment="0" applyProtection="0"/>
    <xf numFmtId="0" fontId="21" fillId="0" borderId="0"/>
    <xf numFmtId="164" fontId="21" fillId="0" borderId="0" applyFont="0" applyFill="0" applyBorder="0" applyAlignment="0" applyProtection="0"/>
    <xf numFmtId="0" fontId="21" fillId="0" borderId="0"/>
    <xf numFmtId="164" fontId="21" fillId="0" borderId="0" applyFont="0" applyFill="0" applyBorder="0" applyAlignment="0" applyProtection="0"/>
    <xf numFmtId="0" fontId="21" fillId="0" borderId="0"/>
    <xf numFmtId="164" fontId="21" fillId="0" borderId="0" applyFont="0" applyFill="0" applyBorder="0" applyAlignment="0" applyProtection="0"/>
    <xf numFmtId="0" fontId="11" fillId="100" borderId="0" applyNumberFormat="0" applyBorder="0" applyAlignment="0" applyProtection="0"/>
    <xf numFmtId="164" fontId="21" fillId="0" borderId="0" applyFont="0" applyFill="0" applyBorder="0" applyAlignment="0" applyProtection="0"/>
    <xf numFmtId="0" fontId="21" fillId="0" borderId="0"/>
    <xf numFmtId="164" fontId="21" fillId="0" borderId="0" applyFont="0" applyFill="0" applyBorder="0" applyAlignment="0" applyProtection="0"/>
    <xf numFmtId="0" fontId="11" fillId="100" borderId="0" applyNumberFormat="0" applyBorder="0" applyAlignment="0" applyProtection="0"/>
    <xf numFmtId="44" fontId="21" fillId="0" borderId="0" applyFont="0" applyFill="0" applyBorder="0" applyAlignment="0" applyProtection="0"/>
    <xf numFmtId="164" fontId="21" fillId="0" borderId="0" applyFont="0" applyFill="0" applyBorder="0" applyAlignment="0" applyProtection="0"/>
    <xf numFmtId="164" fontId="21" fillId="0" borderId="0" applyFont="0" applyFill="0" applyBorder="0" applyAlignment="0" applyProtection="0"/>
    <xf numFmtId="164" fontId="21" fillId="0" borderId="0" applyFont="0" applyFill="0" applyBorder="0" applyAlignment="0" applyProtection="0"/>
    <xf numFmtId="164" fontId="21" fillId="0" borderId="0" applyFont="0" applyFill="0" applyBorder="0" applyAlignment="0" applyProtection="0"/>
    <xf numFmtId="164" fontId="21" fillId="0" borderId="0" applyFont="0" applyFill="0" applyBorder="0" applyAlignment="0" applyProtection="0"/>
    <xf numFmtId="164" fontId="21" fillId="0" borderId="0" applyFont="0" applyFill="0" applyBorder="0" applyAlignment="0" applyProtection="0"/>
    <xf numFmtId="164" fontId="21" fillId="0" borderId="0" applyFont="0" applyFill="0" applyBorder="0" applyAlignment="0" applyProtection="0"/>
    <xf numFmtId="164" fontId="21" fillId="0" borderId="0" applyFont="0" applyFill="0" applyBorder="0" applyAlignment="0" applyProtection="0"/>
    <xf numFmtId="164" fontId="21" fillId="0" borderId="0" applyFont="0" applyFill="0" applyBorder="0" applyAlignment="0" applyProtection="0"/>
    <xf numFmtId="164" fontId="21" fillId="0" borderId="0" applyFont="0" applyFill="0" applyBorder="0" applyAlignment="0" applyProtection="0"/>
    <xf numFmtId="164" fontId="21" fillId="0" borderId="0" applyFont="0" applyFill="0" applyBorder="0" applyAlignment="0" applyProtection="0"/>
    <xf numFmtId="164" fontId="21" fillId="0" borderId="0" applyFont="0" applyFill="0" applyBorder="0" applyAlignment="0" applyProtection="0"/>
    <xf numFmtId="164" fontId="21" fillId="0" borderId="0" applyFont="0" applyFill="0" applyBorder="0" applyAlignment="0" applyProtection="0"/>
    <xf numFmtId="164" fontId="21" fillId="0" borderId="0" applyFont="0" applyFill="0" applyBorder="0" applyAlignment="0" applyProtection="0"/>
    <xf numFmtId="164" fontId="21" fillId="0" borderId="0" applyFont="0" applyFill="0" applyBorder="0" applyAlignment="0" applyProtection="0"/>
    <xf numFmtId="164" fontId="21" fillId="0" borderId="0" applyFont="0" applyFill="0" applyBorder="0" applyAlignment="0" applyProtection="0"/>
    <xf numFmtId="164" fontId="21" fillId="0" borderId="0" applyFont="0" applyFill="0" applyBorder="0" applyAlignment="0" applyProtection="0"/>
    <xf numFmtId="164" fontId="21" fillId="0" borderId="0" applyFont="0" applyFill="0" applyBorder="0" applyAlignment="0" applyProtection="0"/>
    <xf numFmtId="164" fontId="21" fillId="0" borderId="0" applyFont="0" applyFill="0" applyBorder="0" applyAlignment="0" applyProtection="0"/>
    <xf numFmtId="164" fontId="21" fillId="0" borderId="0" applyFont="0" applyFill="0" applyBorder="0" applyAlignment="0" applyProtection="0"/>
    <xf numFmtId="164" fontId="21" fillId="0" borderId="0" applyFont="0" applyFill="0" applyBorder="0" applyAlignment="0" applyProtection="0"/>
    <xf numFmtId="164" fontId="21" fillId="0" borderId="0" applyFont="0" applyFill="0" applyBorder="0" applyAlignment="0" applyProtection="0"/>
    <xf numFmtId="164" fontId="21" fillId="0" borderId="0" applyFont="0" applyFill="0" applyBorder="0" applyAlignment="0" applyProtection="0"/>
    <xf numFmtId="164" fontId="21" fillId="0" borderId="0" applyFont="0" applyFill="0" applyBorder="0" applyAlignment="0" applyProtection="0"/>
    <xf numFmtId="164" fontId="154" fillId="0" borderId="0" applyFont="0" applyFill="0" applyBorder="0" applyAlignment="0" applyProtection="0"/>
    <xf numFmtId="164" fontId="21" fillId="0" borderId="0" applyFont="0" applyFill="0" applyBorder="0" applyAlignment="0" applyProtection="0"/>
    <xf numFmtId="164" fontId="21" fillId="0" borderId="0" applyFont="0" applyFill="0" applyBorder="0" applyAlignment="0" applyProtection="0"/>
    <xf numFmtId="164" fontId="21" fillId="0" borderId="0" applyFont="0" applyFill="0" applyBorder="0" applyAlignment="0" applyProtection="0"/>
    <xf numFmtId="164" fontId="21" fillId="0" borderId="0" applyFont="0" applyFill="0" applyBorder="0" applyAlignment="0" applyProtection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11" fillId="100" borderId="0" applyNumberFormat="0" applyBorder="0" applyAlignment="0" applyProtection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11" fillId="0" borderId="0"/>
    <xf numFmtId="0" fontId="11" fillId="0" borderId="0"/>
    <xf numFmtId="0" fontId="11" fillId="100" borderId="0" applyNumberFormat="0" applyBorder="0" applyAlignment="0" applyProtection="0"/>
    <xf numFmtId="164" fontId="11" fillId="0" borderId="0" applyFont="0" applyFill="0" applyBorder="0" applyAlignment="0" applyProtection="0"/>
    <xf numFmtId="9" fontId="154" fillId="0" borderId="0" applyFont="0" applyFill="0" applyBorder="0" applyAlignment="0" applyProtection="0"/>
    <xf numFmtId="0" fontId="163" fillId="45" borderId="0" applyFont="0" applyAlignment="0">
      <alignment horizontal="center" vertical="center"/>
    </xf>
    <xf numFmtId="198" fontId="11" fillId="100" borderId="0" applyNumberFormat="0" applyBorder="0" applyAlignment="0" applyProtection="0"/>
    <xf numFmtId="198" fontId="11" fillId="100" borderId="0" applyNumberFormat="0" applyBorder="0" applyAlignment="0" applyProtection="0"/>
    <xf numFmtId="198" fontId="11" fillId="100" borderId="0" applyNumberFormat="0" applyBorder="0" applyAlignment="0" applyProtection="0"/>
    <xf numFmtId="198" fontId="11" fillId="100" borderId="0" applyNumberFormat="0" applyBorder="0" applyAlignment="0" applyProtection="0"/>
    <xf numFmtId="198" fontId="11" fillId="100" borderId="0" applyNumberFormat="0" applyBorder="0" applyAlignment="0" applyProtection="0"/>
    <xf numFmtId="198" fontId="11" fillId="100" borderId="0" applyNumberFormat="0" applyBorder="0" applyAlignment="0" applyProtection="0"/>
    <xf numFmtId="198" fontId="11" fillId="100" borderId="0" applyNumberFormat="0" applyBorder="0" applyAlignment="0" applyProtection="0"/>
    <xf numFmtId="198" fontId="11" fillId="100" borderId="0" applyNumberFormat="0" applyBorder="0" applyAlignment="0" applyProtection="0"/>
    <xf numFmtId="198" fontId="11" fillId="100" borderId="0" applyNumberFormat="0" applyBorder="0" applyAlignment="0" applyProtection="0"/>
    <xf numFmtId="198" fontId="11" fillId="100" borderId="0" applyNumberFormat="0" applyBorder="0" applyAlignment="0" applyProtection="0"/>
    <xf numFmtId="198" fontId="213" fillId="2" borderId="0" applyNumberFormat="0" applyBorder="0" applyAlignment="0" applyProtection="0"/>
    <xf numFmtId="198" fontId="11" fillId="100" borderId="0" applyNumberFormat="0" applyBorder="0" applyAlignment="0" applyProtection="0"/>
    <xf numFmtId="198" fontId="11" fillId="100" borderId="0" applyNumberFormat="0" applyBorder="0" applyAlignment="0" applyProtection="0"/>
    <xf numFmtId="198" fontId="11" fillId="100" borderId="0" applyNumberFormat="0" applyBorder="0" applyAlignment="0" applyProtection="0"/>
    <xf numFmtId="198" fontId="11" fillId="100" borderId="0" applyNumberFormat="0" applyBorder="0" applyAlignment="0" applyProtection="0"/>
    <xf numFmtId="198" fontId="11" fillId="100" borderId="0" applyNumberFormat="0" applyBorder="0" applyAlignment="0" applyProtection="0"/>
    <xf numFmtId="198" fontId="11" fillId="100" borderId="0" applyNumberFormat="0" applyBorder="0" applyAlignment="0" applyProtection="0"/>
    <xf numFmtId="198" fontId="11" fillId="100" borderId="0" applyNumberFormat="0" applyBorder="0" applyAlignment="0" applyProtection="0"/>
    <xf numFmtId="198" fontId="11" fillId="100" borderId="0" applyNumberFormat="0" applyBorder="0" applyAlignment="0" applyProtection="0"/>
    <xf numFmtId="198" fontId="11" fillId="100" borderId="0" applyNumberFormat="0" applyBorder="0" applyAlignment="0" applyProtection="0"/>
    <xf numFmtId="198" fontId="11" fillId="100" borderId="0" applyNumberFormat="0" applyBorder="0" applyAlignment="0" applyProtection="0"/>
    <xf numFmtId="198" fontId="11" fillId="100" borderId="0" applyNumberFormat="0" applyBorder="0" applyAlignment="0" applyProtection="0"/>
    <xf numFmtId="198" fontId="11" fillId="100" borderId="0" applyNumberFormat="0" applyBorder="0" applyAlignment="0" applyProtection="0"/>
    <xf numFmtId="198" fontId="11" fillId="100" borderId="0" applyNumberFormat="0" applyBorder="0" applyAlignment="0" applyProtection="0"/>
    <xf numFmtId="198" fontId="11" fillId="100" borderId="0" applyNumberFormat="0" applyBorder="0" applyAlignment="0" applyProtection="0"/>
    <xf numFmtId="198" fontId="11" fillId="100" borderId="0" applyNumberFormat="0" applyBorder="0" applyAlignment="0" applyProtection="0"/>
    <xf numFmtId="198" fontId="11" fillId="100" borderId="0" applyNumberFormat="0" applyBorder="0" applyAlignment="0" applyProtection="0"/>
    <xf numFmtId="198" fontId="11" fillId="100" borderId="0" applyNumberFormat="0" applyBorder="0" applyAlignment="0" applyProtection="0"/>
    <xf numFmtId="198" fontId="11" fillId="100" borderId="0" applyNumberFormat="0" applyBorder="0" applyAlignment="0" applyProtection="0"/>
    <xf numFmtId="198" fontId="11" fillId="100" borderId="0" applyNumberFormat="0" applyBorder="0" applyAlignment="0" applyProtection="0"/>
    <xf numFmtId="198" fontId="11" fillId="100" borderId="0" applyNumberFormat="0" applyBorder="0" applyAlignment="0" applyProtection="0"/>
    <xf numFmtId="198" fontId="11" fillId="100" borderId="0" applyNumberFormat="0" applyBorder="0" applyAlignment="0" applyProtection="0"/>
    <xf numFmtId="198" fontId="11" fillId="100" borderId="0" applyNumberFormat="0" applyBorder="0" applyAlignment="0" applyProtection="0"/>
    <xf numFmtId="198" fontId="11" fillId="100" borderId="0" applyNumberFormat="0" applyBorder="0" applyAlignment="0" applyProtection="0"/>
    <xf numFmtId="198" fontId="11" fillId="100" borderId="0" applyNumberFormat="0" applyBorder="0" applyAlignment="0" applyProtection="0"/>
    <xf numFmtId="198" fontId="11" fillId="100" borderId="0" applyNumberFormat="0" applyBorder="0" applyAlignment="0" applyProtection="0"/>
    <xf numFmtId="198" fontId="11" fillId="100" borderId="0" applyNumberFormat="0" applyBorder="0" applyAlignment="0" applyProtection="0"/>
    <xf numFmtId="198" fontId="11" fillId="100" borderId="0" applyNumberFormat="0" applyBorder="0" applyAlignment="0" applyProtection="0"/>
    <xf numFmtId="198" fontId="11" fillId="100" borderId="0" applyNumberFormat="0" applyBorder="0" applyAlignment="0" applyProtection="0"/>
    <xf numFmtId="198" fontId="11" fillId="100" borderId="0" applyNumberFormat="0" applyBorder="0" applyAlignment="0" applyProtection="0"/>
    <xf numFmtId="198" fontId="11" fillId="100" borderId="0" applyNumberFormat="0" applyBorder="0" applyAlignment="0" applyProtection="0"/>
    <xf numFmtId="198" fontId="11" fillId="100" borderId="0" applyNumberFormat="0" applyBorder="0" applyAlignment="0" applyProtection="0"/>
    <xf numFmtId="198" fontId="11" fillId="100" borderId="0" applyNumberFormat="0" applyBorder="0" applyAlignment="0" applyProtection="0"/>
    <xf numFmtId="198" fontId="11" fillId="100" borderId="0" applyNumberFormat="0" applyBorder="0" applyAlignment="0" applyProtection="0"/>
    <xf numFmtId="198" fontId="11" fillId="100" borderId="0" applyNumberFormat="0" applyBorder="0" applyAlignment="0" applyProtection="0"/>
    <xf numFmtId="198" fontId="11" fillId="100" borderId="0" applyNumberFormat="0" applyBorder="0" applyAlignment="0" applyProtection="0"/>
    <xf numFmtId="198" fontId="11" fillId="100" borderId="0" applyNumberFormat="0" applyBorder="0" applyAlignment="0" applyProtection="0"/>
    <xf numFmtId="198" fontId="11" fillId="100" borderId="0" applyNumberFormat="0" applyBorder="0" applyAlignment="0" applyProtection="0"/>
    <xf numFmtId="198" fontId="11" fillId="100" borderId="0" applyNumberFormat="0" applyBorder="0" applyAlignment="0" applyProtection="0"/>
    <xf numFmtId="198" fontId="11" fillId="100" borderId="0" applyNumberFormat="0" applyBorder="0" applyAlignment="0" applyProtection="0"/>
    <xf numFmtId="198" fontId="11" fillId="100" borderId="0" applyNumberFormat="0" applyBorder="0" applyAlignment="0" applyProtection="0"/>
    <xf numFmtId="198" fontId="11" fillId="100" borderId="0" applyNumberFormat="0" applyBorder="0" applyAlignment="0" applyProtection="0"/>
    <xf numFmtId="198" fontId="11" fillId="100" borderId="0" applyNumberFormat="0" applyBorder="0" applyAlignment="0" applyProtection="0"/>
    <xf numFmtId="198" fontId="11" fillId="100" borderId="0" applyNumberFormat="0" applyBorder="0" applyAlignment="0" applyProtection="0"/>
    <xf numFmtId="198" fontId="11" fillId="100" borderId="0" applyNumberFormat="0" applyBorder="0" applyAlignment="0" applyProtection="0"/>
    <xf numFmtId="198" fontId="11" fillId="100" borderId="0" applyNumberFormat="0" applyBorder="0" applyAlignment="0" applyProtection="0"/>
    <xf numFmtId="198" fontId="11" fillId="100" borderId="0" applyNumberFormat="0" applyBorder="0" applyAlignment="0" applyProtection="0"/>
    <xf numFmtId="198" fontId="11" fillId="100" borderId="0" applyNumberFormat="0" applyBorder="0" applyAlignment="0" applyProtection="0"/>
    <xf numFmtId="198" fontId="11" fillId="101" borderId="0" applyNumberFormat="0" applyBorder="0" applyAlignment="0" applyProtection="0"/>
    <xf numFmtId="198" fontId="11" fillId="101" borderId="0" applyNumberFormat="0" applyBorder="0" applyAlignment="0" applyProtection="0"/>
    <xf numFmtId="198" fontId="11" fillId="101" borderId="0" applyNumberFormat="0" applyBorder="0" applyAlignment="0" applyProtection="0"/>
    <xf numFmtId="198" fontId="11" fillId="101" borderId="0" applyNumberFormat="0" applyBorder="0" applyAlignment="0" applyProtection="0"/>
    <xf numFmtId="198" fontId="11" fillId="101" borderId="0" applyNumberFormat="0" applyBorder="0" applyAlignment="0" applyProtection="0"/>
    <xf numFmtId="198" fontId="11" fillId="101" borderId="0" applyNumberFormat="0" applyBorder="0" applyAlignment="0" applyProtection="0"/>
    <xf numFmtId="198" fontId="11" fillId="101" borderId="0" applyNumberFormat="0" applyBorder="0" applyAlignment="0" applyProtection="0"/>
    <xf numFmtId="198" fontId="11" fillId="101" borderId="0" applyNumberFormat="0" applyBorder="0" applyAlignment="0" applyProtection="0"/>
    <xf numFmtId="198" fontId="11" fillId="101" borderId="0" applyNumberFormat="0" applyBorder="0" applyAlignment="0" applyProtection="0"/>
    <xf numFmtId="198" fontId="11" fillId="101" borderId="0" applyNumberFormat="0" applyBorder="0" applyAlignment="0" applyProtection="0"/>
    <xf numFmtId="198" fontId="213" fillId="3" borderId="0" applyNumberFormat="0" applyBorder="0" applyAlignment="0" applyProtection="0"/>
    <xf numFmtId="198" fontId="11" fillId="101" borderId="0" applyNumberFormat="0" applyBorder="0" applyAlignment="0" applyProtection="0"/>
    <xf numFmtId="198" fontId="11" fillId="101" borderId="0" applyNumberFormat="0" applyBorder="0" applyAlignment="0" applyProtection="0"/>
    <xf numFmtId="198" fontId="11" fillId="101" borderId="0" applyNumberFormat="0" applyBorder="0" applyAlignment="0" applyProtection="0"/>
    <xf numFmtId="198" fontId="11" fillId="101" borderId="0" applyNumberFormat="0" applyBorder="0" applyAlignment="0" applyProtection="0"/>
    <xf numFmtId="198" fontId="11" fillId="101" borderId="0" applyNumberFormat="0" applyBorder="0" applyAlignment="0" applyProtection="0"/>
    <xf numFmtId="198" fontId="11" fillId="101" borderId="0" applyNumberFormat="0" applyBorder="0" applyAlignment="0" applyProtection="0"/>
    <xf numFmtId="198" fontId="11" fillId="101" borderId="0" applyNumberFormat="0" applyBorder="0" applyAlignment="0" applyProtection="0"/>
    <xf numFmtId="198" fontId="11" fillId="101" borderId="0" applyNumberFormat="0" applyBorder="0" applyAlignment="0" applyProtection="0"/>
    <xf numFmtId="198" fontId="11" fillId="101" borderId="0" applyNumberFormat="0" applyBorder="0" applyAlignment="0" applyProtection="0"/>
    <xf numFmtId="198" fontId="11" fillId="101" borderId="0" applyNumberFormat="0" applyBorder="0" applyAlignment="0" applyProtection="0"/>
    <xf numFmtId="198" fontId="11" fillId="101" borderId="0" applyNumberFormat="0" applyBorder="0" applyAlignment="0" applyProtection="0"/>
    <xf numFmtId="198" fontId="11" fillId="101" borderId="0" applyNumberFormat="0" applyBorder="0" applyAlignment="0" applyProtection="0"/>
    <xf numFmtId="198" fontId="11" fillId="101" borderId="0" applyNumberFormat="0" applyBorder="0" applyAlignment="0" applyProtection="0"/>
    <xf numFmtId="198" fontId="11" fillId="101" borderId="0" applyNumberFormat="0" applyBorder="0" applyAlignment="0" applyProtection="0"/>
    <xf numFmtId="198" fontId="11" fillId="101" borderId="0" applyNumberFormat="0" applyBorder="0" applyAlignment="0" applyProtection="0"/>
    <xf numFmtId="198" fontId="11" fillId="101" borderId="0" applyNumberFormat="0" applyBorder="0" applyAlignment="0" applyProtection="0"/>
    <xf numFmtId="198" fontId="11" fillId="101" borderId="0" applyNumberFormat="0" applyBorder="0" applyAlignment="0" applyProtection="0"/>
    <xf numFmtId="198" fontId="11" fillId="101" borderId="0" applyNumberFormat="0" applyBorder="0" applyAlignment="0" applyProtection="0"/>
    <xf numFmtId="198" fontId="11" fillId="101" borderId="0" applyNumberFormat="0" applyBorder="0" applyAlignment="0" applyProtection="0"/>
    <xf numFmtId="198" fontId="11" fillId="101" borderId="0" applyNumberFormat="0" applyBorder="0" applyAlignment="0" applyProtection="0"/>
    <xf numFmtId="198" fontId="11" fillId="101" borderId="0" applyNumberFormat="0" applyBorder="0" applyAlignment="0" applyProtection="0"/>
    <xf numFmtId="198" fontId="11" fillId="101" borderId="0" applyNumberFormat="0" applyBorder="0" applyAlignment="0" applyProtection="0"/>
    <xf numFmtId="198" fontId="11" fillId="101" borderId="0" applyNumberFormat="0" applyBorder="0" applyAlignment="0" applyProtection="0"/>
    <xf numFmtId="198" fontId="11" fillId="101" borderId="0" applyNumberFormat="0" applyBorder="0" applyAlignment="0" applyProtection="0"/>
    <xf numFmtId="198" fontId="11" fillId="101" borderId="0" applyNumberFormat="0" applyBorder="0" applyAlignment="0" applyProtection="0"/>
    <xf numFmtId="198" fontId="11" fillId="101" borderId="0" applyNumberFormat="0" applyBorder="0" applyAlignment="0" applyProtection="0"/>
    <xf numFmtId="198" fontId="11" fillId="101" borderId="0" applyNumberFormat="0" applyBorder="0" applyAlignment="0" applyProtection="0"/>
    <xf numFmtId="198" fontId="11" fillId="101" borderId="0" applyNumberFormat="0" applyBorder="0" applyAlignment="0" applyProtection="0"/>
    <xf numFmtId="198" fontId="11" fillId="101" borderId="0" applyNumberFormat="0" applyBorder="0" applyAlignment="0" applyProtection="0"/>
    <xf numFmtId="198" fontId="11" fillId="101" borderId="0" applyNumberFormat="0" applyBorder="0" applyAlignment="0" applyProtection="0"/>
    <xf numFmtId="198" fontId="11" fillId="101" borderId="0" applyNumberFormat="0" applyBorder="0" applyAlignment="0" applyProtection="0"/>
    <xf numFmtId="198" fontId="11" fillId="101" borderId="0" applyNumberFormat="0" applyBorder="0" applyAlignment="0" applyProtection="0"/>
    <xf numFmtId="198" fontId="11" fillId="101" borderId="0" applyNumberFormat="0" applyBorder="0" applyAlignment="0" applyProtection="0"/>
    <xf numFmtId="198" fontId="11" fillId="101" borderId="0" applyNumberFormat="0" applyBorder="0" applyAlignment="0" applyProtection="0"/>
    <xf numFmtId="198" fontId="11" fillId="101" borderId="0" applyNumberFormat="0" applyBorder="0" applyAlignment="0" applyProtection="0"/>
    <xf numFmtId="198" fontId="11" fillId="101" borderId="0" applyNumberFormat="0" applyBorder="0" applyAlignment="0" applyProtection="0"/>
    <xf numFmtId="198" fontId="11" fillId="101" borderId="0" applyNumberFormat="0" applyBorder="0" applyAlignment="0" applyProtection="0"/>
    <xf numFmtId="198" fontId="11" fillId="101" borderId="0" applyNumberFormat="0" applyBorder="0" applyAlignment="0" applyProtection="0"/>
    <xf numFmtId="198" fontId="11" fillId="101" borderId="0" applyNumberFormat="0" applyBorder="0" applyAlignment="0" applyProtection="0"/>
    <xf numFmtId="198" fontId="11" fillId="101" borderId="0" applyNumberFormat="0" applyBorder="0" applyAlignment="0" applyProtection="0"/>
    <xf numFmtId="198" fontId="11" fillId="101" borderId="0" applyNumberFormat="0" applyBorder="0" applyAlignment="0" applyProtection="0"/>
    <xf numFmtId="198" fontId="11" fillId="101" borderId="0" applyNumberFormat="0" applyBorder="0" applyAlignment="0" applyProtection="0"/>
    <xf numFmtId="198" fontId="11" fillId="101" borderId="0" applyNumberFormat="0" applyBorder="0" applyAlignment="0" applyProtection="0"/>
    <xf numFmtId="198" fontId="11" fillId="101" borderId="0" applyNumberFormat="0" applyBorder="0" applyAlignment="0" applyProtection="0"/>
    <xf numFmtId="198" fontId="11" fillId="101" borderId="0" applyNumberFormat="0" applyBorder="0" applyAlignment="0" applyProtection="0"/>
    <xf numFmtId="198" fontId="11" fillId="101" borderId="0" applyNumberFormat="0" applyBorder="0" applyAlignment="0" applyProtection="0"/>
    <xf numFmtId="198" fontId="11" fillId="101" borderId="0" applyNumberFormat="0" applyBorder="0" applyAlignment="0" applyProtection="0"/>
    <xf numFmtId="198" fontId="11" fillId="102" borderId="0" applyNumberFormat="0" applyBorder="0" applyAlignment="0" applyProtection="0"/>
    <xf numFmtId="198" fontId="11" fillId="102" borderId="0" applyNumberFormat="0" applyBorder="0" applyAlignment="0" applyProtection="0"/>
    <xf numFmtId="198" fontId="11" fillId="102" borderId="0" applyNumberFormat="0" applyBorder="0" applyAlignment="0" applyProtection="0"/>
    <xf numFmtId="198" fontId="11" fillId="102" borderId="0" applyNumberFormat="0" applyBorder="0" applyAlignment="0" applyProtection="0"/>
    <xf numFmtId="198" fontId="11" fillId="102" borderId="0" applyNumberFormat="0" applyBorder="0" applyAlignment="0" applyProtection="0"/>
    <xf numFmtId="198" fontId="11" fillId="102" borderId="0" applyNumberFormat="0" applyBorder="0" applyAlignment="0" applyProtection="0"/>
    <xf numFmtId="198" fontId="11" fillId="102" borderId="0" applyNumberFormat="0" applyBorder="0" applyAlignment="0" applyProtection="0"/>
    <xf numFmtId="198" fontId="11" fillId="102" borderId="0" applyNumberFormat="0" applyBorder="0" applyAlignment="0" applyProtection="0"/>
    <xf numFmtId="198" fontId="11" fillId="102" borderId="0" applyNumberFormat="0" applyBorder="0" applyAlignment="0" applyProtection="0"/>
    <xf numFmtId="198" fontId="11" fillId="102" borderId="0" applyNumberFormat="0" applyBorder="0" applyAlignment="0" applyProtection="0"/>
    <xf numFmtId="198" fontId="213" fillId="4" borderId="0" applyNumberFormat="0" applyBorder="0" applyAlignment="0" applyProtection="0"/>
    <xf numFmtId="198" fontId="11" fillId="102" borderId="0" applyNumberFormat="0" applyBorder="0" applyAlignment="0" applyProtection="0"/>
    <xf numFmtId="198" fontId="11" fillId="102" borderId="0" applyNumberFormat="0" applyBorder="0" applyAlignment="0" applyProtection="0"/>
    <xf numFmtId="198" fontId="11" fillId="102" borderId="0" applyNumberFormat="0" applyBorder="0" applyAlignment="0" applyProtection="0"/>
    <xf numFmtId="198" fontId="11" fillId="102" borderId="0" applyNumberFormat="0" applyBorder="0" applyAlignment="0" applyProtection="0"/>
    <xf numFmtId="198" fontId="11" fillId="102" borderId="0" applyNumberFormat="0" applyBorder="0" applyAlignment="0" applyProtection="0"/>
    <xf numFmtId="198" fontId="11" fillId="102" borderId="0" applyNumberFormat="0" applyBorder="0" applyAlignment="0" applyProtection="0"/>
    <xf numFmtId="198" fontId="11" fillId="102" borderId="0" applyNumberFormat="0" applyBorder="0" applyAlignment="0" applyProtection="0"/>
    <xf numFmtId="198" fontId="11" fillId="102" borderId="0" applyNumberFormat="0" applyBorder="0" applyAlignment="0" applyProtection="0"/>
    <xf numFmtId="198" fontId="11" fillId="102" borderId="0" applyNumberFormat="0" applyBorder="0" applyAlignment="0" applyProtection="0"/>
    <xf numFmtId="198" fontId="11" fillId="102" borderId="0" applyNumberFormat="0" applyBorder="0" applyAlignment="0" applyProtection="0"/>
    <xf numFmtId="198" fontId="11" fillId="102" borderId="0" applyNumberFormat="0" applyBorder="0" applyAlignment="0" applyProtection="0"/>
    <xf numFmtId="198" fontId="11" fillId="102" borderId="0" applyNumberFormat="0" applyBorder="0" applyAlignment="0" applyProtection="0"/>
    <xf numFmtId="198" fontId="11" fillId="102" borderId="0" applyNumberFormat="0" applyBorder="0" applyAlignment="0" applyProtection="0"/>
    <xf numFmtId="198" fontId="11" fillId="102" borderId="0" applyNumberFormat="0" applyBorder="0" applyAlignment="0" applyProtection="0"/>
    <xf numFmtId="198" fontId="11" fillId="102" borderId="0" applyNumberFormat="0" applyBorder="0" applyAlignment="0" applyProtection="0"/>
    <xf numFmtId="198" fontId="11" fillId="102" borderId="0" applyNumberFormat="0" applyBorder="0" applyAlignment="0" applyProtection="0"/>
    <xf numFmtId="198" fontId="11" fillId="102" borderId="0" applyNumberFormat="0" applyBorder="0" applyAlignment="0" applyProtection="0"/>
    <xf numFmtId="198" fontId="11" fillId="102" borderId="0" applyNumberFormat="0" applyBorder="0" applyAlignment="0" applyProtection="0"/>
    <xf numFmtId="198" fontId="11" fillId="102" borderId="0" applyNumberFormat="0" applyBorder="0" applyAlignment="0" applyProtection="0"/>
    <xf numFmtId="198" fontId="11" fillId="102" borderId="0" applyNumberFormat="0" applyBorder="0" applyAlignment="0" applyProtection="0"/>
    <xf numFmtId="198" fontId="11" fillId="102" borderId="0" applyNumberFormat="0" applyBorder="0" applyAlignment="0" applyProtection="0"/>
    <xf numFmtId="198" fontId="11" fillId="102" borderId="0" applyNumberFormat="0" applyBorder="0" applyAlignment="0" applyProtection="0"/>
    <xf numFmtId="198" fontId="11" fillId="102" borderId="0" applyNumberFormat="0" applyBorder="0" applyAlignment="0" applyProtection="0"/>
    <xf numFmtId="198" fontId="11" fillId="102" borderId="0" applyNumberFormat="0" applyBorder="0" applyAlignment="0" applyProtection="0"/>
    <xf numFmtId="198" fontId="11" fillId="102" borderId="0" applyNumberFormat="0" applyBorder="0" applyAlignment="0" applyProtection="0"/>
    <xf numFmtId="198" fontId="11" fillId="102" borderId="0" applyNumberFormat="0" applyBorder="0" applyAlignment="0" applyProtection="0"/>
    <xf numFmtId="198" fontId="11" fillId="102" borderId="0" applyNumberFormat="0" applyBorder="0" applyAlignment="0" applyProtection="0"/>
    <xf numFmtId="198" fontId="11" fillId="102" borderId="0" applyNumberFormat="0" applyBorder="0" applyAlignment="0" applyProtection="0"/>
    <xf numFmtId="198" fontId="11" fillId="102" borderId="0" applyNumberFormat="0" applyBorder="0" applyAlignment="0" applyProtection="0"/>
    <xf numFmtId="198" fontId="11" fillId="102" borderId="0" applyNumberFormat="0" applyBorder="0" applyAlignment="0" applyProtection="0"/>
    <xf numFmtId="198" fontId="11" fillId="102" borderId="0" applyNumberFormat="0" applyBorder="0" applyAlignment="0" applyProtection="0"/>
    <xf numFmtId="198" fontId="11" fillId="102" borderId="0" applyNumberFormat="0" applyBorder="0" applyAlignment="0" applyProtection="0"/>
    <xf numFmtId="198" fontId="11" fillId="102" borderId="0" applyNumberFormat="0" applyBorder="0" applyAlignment="0" applyProtection="0"/>
    <xf numFmtId="198" fontId="11" fillId="102" borderId="0" applyNumberFormat="0" applyBorder="0" applyAlignment="0" applyProtection="0"/>
    <xf numFmtId="198" fontId="11" fillId="102" borderId="0" applyNumberFormat="0" applyBorder="0" applyAlignment="0" applyProtection="0"/>
    <xf numFmtId="198" fontId="11" fillId="102" borderId="0" applyNumberFormat="0" applyBorder="0" applyAlignment="0" applyProtection="0"/>
    <xf numFmtId="198" fontId="11" fillId="102" borderId="0" applyNumberFormat="0" applyBorder="0" applyAlignment="0" applyProtection="0"/>
    <xf numFmtId="198" fontId="11" fillId="102" borderId="0" applyNumberFormat="0" applyBorder="0" applyAlignment="0" applyProtection="0"/>
    <xf numFmtId="198" fontId="11" fillId="102" borderId="0" applyNumberFormat="0" applyBorder="0" applyAlignment="0" applyProtection="0"/>
    <xf numFmtId="198" fontId="11" fillId="102" borderId="0" applyNumberFormat="0" applyBorder="0" applyAlignment="0" applyProtection="0"/>
    <xf numFmtId="198" fontId="11" fillId="102" borderId="0" applyNumberFormat="0" applyBorder="0" applyAlignment="0" applyProtection="0"/>
    <xf numFmtId="198" fontId="11" fillId="102" borderId="0" applyNumberFormat="0" applyBorder="0" applyAlignment="0" applyProtection="0"/>
    <xf numFmtId="198" fontId="11" fillId="102" borderId="0" applyNumberFormat="0" applyBorder="0" applyAlignment="0" applyProtection="0"/>
    <xf numFmtId="198" fontId="11" fillId="102" borderId="0" applyNumberFormat="0" applyBorder="0" applyAlignment="0" applyProtection="0"/>
    <xf numFmtId="198" fontId="11" fillId="102" borderId="0" applyNumberFormat="0" applyBorder="0" applyAlignment="0" applyProtection="0"/>
    <xf numFmtId="198" fontId="11" fillId="102" borderId="0" applyNumberFormat="0" applyBorder="0" applyAlignment="0" applyProtection="0"/>
    <xf numFmtId="198" fontId="11" fillId="102" borderId="0" applyNumberFormat="0" applyBorder="0" applyAlignment="0" applyProtection="0"/>
    <xf numFmtId="198" fontId="11" fillId="89" borderId="0" applyNumberFormat="0" applyBorder="0" applyAlignment="0" applyProtection="0"/>
    <xf numFmtId="198" fontId="11" fillId="89" borderId="0" applyNumberFormat="0" applyBorder="0" applyAlignment="0" applyProtection="0"/>
    <xf numFmtId="198" fontId="11" fillId="89" borderId="0" applyNumberFormat="0" applyBorder="0" applyAlignment="0" applyProtection="0"/>
    <xf numFmtId="198" fontId="11" fillId="89" borderId="0" applyNumberFormat="0" applyBorder="0" applyAlignment="0" applyProtection="0"/>
    <xf numFmtId="198" fontId="11" fillId="89" borderId="0" applyNumberFormat="0" applyBorder="0" applyAlignment="0" applyProtection="0"/>
    <xf numFmtId="198" fontId="11" fillId="89" borderId="0" applyNumberFormat="0" applyBorder="0" applyAlignment="0" applyProtection="0"/>
    <xf numFmtId="198" fontId="11" fillId="89" borderId="0" applyNumberFormat="0" applyBorder="0" applyAlignment="0" applyProtection="0"/>
    <xf numFmtId="198" fontId="11" fillId="89" borderId="0" applyNumberFormat="0" applyBorder="0" applyAlignment="0" applyProtection="0"/>
    <xf numFmtId="198" fontId="11" fillId="89" borderId="0" applyNumberFormat="0" applyBorder="0" applyAlignment="0" applyProtection="0"/>
    <xf numFmtId="198" fontId="11" fillId="89" borderId="0" applyNumberFormat="0" applyBorder="0" applyAlignment="0" applyProtection="0"/>
    <xf numFmtId="198" fontId="213" fillId="5" borderId="0" applyNumberFormat="0" applyBorder="0" applyAlignment="0" applyProtection="0"/>
    <xf numFmtId="198" fontId="11" fillId="89" borderId="0" applyNumberFormat="0" applyBorder="0" applyAlignment="0" applyProtection="0"/>
    <xf numFmtId="198" fontId="11" fillId="89" borderId="0" applyNumberFormat="0" applyBorder="0" applyAlignment="0" applyProtection="0"/>
    <xf numFmtId="198" fontId="11" fillId="89" borderId="0" applyNumberFormat="0" applyBorder="0" applyAlignment="0" applyProtection="0"/>
    <xf numFmtId="198" fontId="11" fillId="89" borderId="0" applyNumberFormat="0" applyBorder="0" applyAlignment="0" applyProtection="0"/>
    <xf numFmtId="198" fontId="11" fillId="89" borderId="0" applyNumberFormat="0" applyBorder="0" applyAlignment="0" applyProtection="0"/>
    <xf numFmtId="198" fontId="11" fillId="89" borderId="0" applyNumberFormat="0" applyBorder="0" applyAlignment="0" applyProtection="0"/>
    <xf numFmtId="198" fontId="11" fillId="89" borderId="0" applyNumberFormat="0" applyBorder="0" applyAlignment="0" applyProtection="0"/>
    <xf numFmtId="198" fontId="11" fillId="89" borderId="0" applyNumberFormat="0" applyBorder="0" applyAlignment="0" applyProtection="0"/>
    <xf numFmtId="198" fontId="11" fillId="89" borderId="0" applyNumberFormat="0" applyBorder="0" applyAlignment="0" applyProtection="0"/>
    <xf numFmtId="198" fontId="11" fillId="89" borderId="0" applyNumberFormat="0" applyBorder="0" applyAlignment="0" applyProtection="0"/>
    <xf numFmtId="198" fontId="11" fillId="89" borderId="0" applyNumberFormat="0" applyBorder="0" applyAlignment="0" applyProtection="0"/>
    <xf numFmtId="198" fontId="11" fillId="89" borderId="0" applyNumberFormat="0" applyBorder="0" applyAlignment="0" applyProtection="0"/>
    <xf numFmtId="198" fontId="11" fillId="89" borderId="0" applyNumberFormat="0" applyBorder="0" applyAlignment="0" applyProtection="0"/>
    <xf numFmtId="198" fontId="11" fillId="89" borderId="0" applyNumberFormat="0" applyBorder="0" applyAlignment="0" applyProtection="0"/>
    <xf numFmtId="198" fontId="11" fillId="89" borderId="0" applyNumberFormat="0" applyBorder="0" applyAlignment="0" applyProtection="0"/>
    <xf numFmtId="198" fontId="11" fillId="89" borderId="0" applyNumberFormat="0" applyBorder="0" applyAlignment="0" applyProtection="0"/>
    <xf numFmtId="198" fontId="11" fillId="89" borderId="0" applyNumberFormat="0" applyBorder="0" applyAlignment="0" applyProtection="0"/>
    <xf numFmtId="198" fontId="11" fillId="89" borderId="0" applyNumberFormat="0" applyBorder="0" applyAlignment="0" applyProtection="0"/>
    <xf numFmtId="198" fontId="11" fillId="89" borderId="0" applyNumberFormat="0" applyBorder="0" applyAlignment="0" applyProtection="0"/>
    <xf numFmtId="198" fontId="11" fillId="89" borderId="0" applyNumberFormat="0" applyBorder="0" applyAlignment="0" applyProtection="0"/>
    <xf numFmtId="198" fontId="11" fillId="89" borderId="0" applyNumberFormat="0" applyBorder="0" applyAlignment="0" applyProtection="0"/>
    <xf numFmtId="198" fontId="11" fillId="89" borderId="0" applyNumberFormat="0" applyBorder="0" applyAlignment="0" applyProtection="0"/>
    <xf numFmtId="198" fontId="11" fillId="89" borderId="0" applyNumberFormat="0" applyBorder="0" applyAlignment="0" applyProtection="0"/>
    <xf numFmtId="198" fontId="11" fillId="89" borderId="0" applyNumberFormat="0" applyBorder="0" applyAlignment="0" applyProtection="0"/>
    <xf numFmtId="198" fontId="11" fillId="89" borderId="0" applyNumberFormat="0" applyBorder="0" applyAlignment="0" applyProtection="0"/>
    <xf numFmtId="198" fontId="11" fillId="89" borderId="0" applyNumberFormat="0" applyBorder="0" applyAlignment="0" applyProtection="0"/>
    <xf numFmtId="198" fontId="11" fillId="89" borderId="0" applyNumberFormat="0" applyBorder="0" applyAlignment="0" applyProtection="0"/>
    <xf numFmtId="198" fontId="11" fillId="89" borderId="0" applyNumberFormat="0" applyBorder="0" applyAlignment="0" applyProtection="0"/>
    <xf numFmtId="198" fontId="11" fillId="89" borderId="0" applyNumberFormat="0" applyBorder="0" applyAlignment="0" applyProtection="0"/>
    <xf numFmtId="198" fontId="11" fillId="89" borderId="0" applyNumberFormat="0" applyBorder="0" applyAlignment="0" applyProtection="0"/>
    <xf numFmtId="198" fontId="11" fillId="89" borderId="0" applyNumberFormat="0" applyBorder="0" applyAlignment="0" applyProtection="0"/>
    <xf numFmtId="198" fontId="11" fillId="89" borderId="0" applyNumberFormat="0" applyBorder="0" applyAlignment="0" applyProtection="0"/>
    <xf numFmtId="198" fontId="11" fillId="89" borderId="0" applyNumberFormat="0" applyBorder="0" applyAlignment="0" applyProtection="0"/>
    <xf numFmtId="198" fontId="11" fillId="89" borderId="0" applyNumberFormat="0" applyBorder="0" applyAlignment="0" applyProtection="0"/>
    <xf numFmtId="198" fontId="11" fillId="89" borderId="0" applyNumberFormat="0" applyBorder="0" applyAlignment="0" applyProtection="0"/>
    <xf numFmtId="198" fontId="11" fillId="89" borderId="0" applyNumberFormat="0" applyBorder="0" applyAlignment="0" applyProtection="0"/>
    <xf numFmtId="198" fontId="11" fillId="89" borderId="0" applyNumberFormat="0" applyBorder="0" applyAlignment="0" applyProtection="0"/>
    <xf numFmtId="198" fontId="11" fillId="89" borderId="0" applyNumberFormat="0" applyBorder="0" applyAlignment="0" applyProtection="0"/>
    <xf numFmtId="198" fontId="11" fillId="89" borderId="0" applyNumberFormat="0" applyBorder="0" applyAlignment="0" applyProtection="0"/>
    <xf numFmtId="198" fontId="11" fillId="89" borderId="0" applyNumberFormat="0" applyBorder="0" applyAlignment="0" applyProtection="0"/>
    <xf numFmtId="198" fontId="11" fillId="89" borderId="0" applyNumberFormat="0" applyBorder="0" applyAlignment="0" applyProtection="0"/>
    <xf numFmtId="198" fontId="11" fillId="89" borderId="0" applyNumberFormat="0" applyBorder="0" applyAlignment="0" applyProtection="0"/>
    <xf numFmtId="198" fontId="11" fillId="89" borderId="0" applyNumberFormat="0" applyBorder="0" applyAlignment="0" applyProtection="0"/>
    <xf numFmtId="198" fontId="11" fillId="89" borderId="0" applyNumberFormat="0" applyBorder="0" applyAlignment="0" applyProtection="0"/>
    <xf numFmtId="198" fontId="11" fillId="89" borderId="0" applyNumberFormat="0" applyBorder="0" applyAlignment="0" applyProtection="0"/>
    <xf numFmtId="198" fontId="11" fillId="89" borderId="0" applyNumberFormat="0" applyBorder="0" applyAlignment="0" applyProtection="0"/>
    <xf numFmtId="198" fontId="11" fillId="89" borderId="0" applyNumberFormat="0" applyBorder="0" applyAlignment="0" applyProtection="0"/>
    <xf numFmtId="198" fontId="11" fillId="93" borderId="0" applyNumberFormat="0" applyBorder="0" applyAlignment="0" applyProtection="0"/>
    <xf numFmtId="198" fontId="11" fillId="93" borderId="0" applyNumberFormat="0" applyBorder="0" applyAlignment="0" applyProtection="0"/>
    <xf numFmtId="198" fontId="11" fillId="93" borderId="0" applyNumberFormat="0" applyBorder="0" applyAlignment="0" applyProtection="0"/>
    <xf numFmtId="198" fontId="11" fillId="93" borderId="0" applyNumberFormat="0" applyBorder="0" applyAlignment="0" applyProtection="0"/>
    <xf numFmtId="198" fontId="11" fillId="93" borderId="0" applyNumberFormat="0" applyBorder="0" applyAlignment="0" applyProtection="0"/>
    <xf numFmtId="198" fontId="11" fillId="93" borderId="0" applyNumberFormat="0" applyBorder="0" applyAlignment="0" applyProtection="0"/>
    <xf numFmtId="198" fontId="11" fillId="93" borderId="0" applyNumberFormat="0" applyBorder="0" applyAlignment="0" applyProtection="0"/>
    <xf numFmtId="198" fontId="11" fillId="93" borderId="0" applyNumberFormat="0" applyBorder="0" applyAlignment="0" applyProtection="0"/>
    <xf numFmtId="198" fontId="11" fillId="93" borderId="0" applyNumberFormat="0" applyBorder="0" applyAlignment="0" applyProtection="0"/>
    <xf numFmtId="198" fontId="11" fillId="93" borderId="0" applyNumberFormat="0" applyBorder="0" applyAlignment="0" applyProtection="0"/>
    <xf numFmtId="198" fontId="213" fillId="6" borderId="0" applyNumberFormat="0" applyBorder="0" applyAlignment="0" applyProtection="0"/>
    <xf numFmtId="198" fontId="11" fillId="93" borderId="0" applyNumberFormat="0" applyBorder="0" applyAlignment="0" applyProtection="0"/>
    <xf numFmtId="198" fontId="11" fillId="93" borderId="0" applyNumberFormat="0" applyBorder="0" applyAlignment="0" applyProtection="0"/>
    <xf numFmtId="198" fontId="11" fillId="93" borderId="0" applyNumberFormat="0" applyBorder="0" applyAlignment="0" applyProtection="0"/>
    <xf numFmtId="198" fontId="11" fillId="93" borderId="0" applyNumberFormat="0" applyBorder="0" applyAlignment="0" applyProtection="0"/>
    <xf numFmtId="198" fontId="11" fillId="93" borderId="0" applyNumberFormat="0" applyBorder="0" applyAlignment="0" applyProtection="0"/>
    <xf numFmtId="198" fontId="11" fillId="93" borderId="0" applyNumberFormat="0" applyBorder="0" applyAlignment="0" applyProtection="0"/>
    <xf numFmtId="198" fontId="11" fillId="93" borderId="0" applyNumberFormat="0" applyBorder="0" applyAlignment="0" applyProtection="0"/>
    <xf numFmtId="198" fontId="11" fillId="93" borderId="0" applyNumberFormat="0" applyBorder="0" applyAlignment="0" applyProtection="0"/>
    <xf numFmtId="198" fontId="11" fillId="93" borderId="0" applyNumberFormat="0" applyBorder="0" applyAlignment="0" applyProtection="0"/>
    <xf numFmtId="198" fontId="11" fillId="93" borderId="0" applyNumberFormat="0" applyBorder="0" applyAlignment="0" applyProtection="0"/>
    <xf numFmtId="198" fontId="11" fillId="93" borderId="0" applyNumberFormat="0" applyBorder="0" applyAlignment="0" applyProtection="0"/>
    <xf numFmtId="198" fontId="11" fillId="93" borderId="0" applyNumberFormat="0" applyBorder="0" applyAlignment="0" applyProtection="0"/>
    <xf numFmtId="198" fontId="11" fillId="93" borderId="0" applyNumberFormat="0" applyBorder="0" applyAlignment="0" applyProtection="0"/>
    <xf numFmtId="198" fontId="11" fillId="93" borderId="0" applyNumberFormat="0" applyBorder="0" applyAlignment="0" applyProtection="0"/>
    <xf numFmtId="198" fontId="11" fillId="93" borderId="0" applyNumberFormat="0" applyBorder="0" applyAlignment="0" applyProtection="0"/>
    <xf numFmtId="198" fontId="11" fillId="93" borderId="0" applyNumberFormat="0" applyBorder="0" applyAlignment="0" applyProtection="0"/>
    <xf numFmtId="198" fontId="11" fillId="93" borderId="0" applyNumberFormat="0" applyBorder="0" applyAlignment="0" applyProtection="0"/>
    <xf numFmtId="198" fontId="11" fillId="93" borderId="0" applyNumberFormat="0" applyBorder="0" applyAlignment="0" applyProtection="0"/>
    <xf numFmtId="198" fontId="11" fillId="93" borderId="0" applyNumberFormat="0" applyBorder="0" applyAlignment="0" applyProtection="0"/>
    <xf numFmtId="198" fontId="11" fillId="93" borderId="0" applyNumberFormat="0" applyBorder="0" applyAlignment="0" applyProtection="0"/>
    <xf numFmtId="198" fontId="11" fillId="93" borderId="0" applyNumberFormat="0" applyBorder="0" applyAlignment="0" applyProtection="0"/>
    <xf numFmtId="198" fontId="11" fillId="93" borderId="0" applyNumberFormat="0" applyBorder="0" applyAlignment="0" applyProtection="0"/>
    <xf numFmtId="198" fontId="11" fillId="93" borderId="0" applyNumberFormat="0" applyBorder="0" applyAlignment="0" applyProtection="0"/>
    <xf numFmtId="198" fontId="11" fillId="93" borderId="0" applyNumberFormat="0" applyBorder="0" applyAlignment="0" applyProtection="0"/>
    <xf numFmtId="198" fontId="11" fillId="93" borderId="0" applyNumberFormat="0" applyBorder="0" applyAlignment="0" applyProtection="0"/>
    <xf numFmtId="198" fontId="11" fillId="93" borderId="0" applyNumberFormat="0" applyBorder="0" applyAlignment="0" applyProtection="0"/>
    <xf numFmtId="198" fontId="11" fillId="93" borderId="0" applyNumberFormat="0" applyBorder="0" applyAlignment="0" applyProtection="0"/>
    <xf numFmtId="198" fontId="11" fillId="93" borderId="0" applyNumberFormat="0" applyBorder="0" applyAlignment="0" applyProtection="0"/>
    <xf numFmtId="198" fontId="11" fillId="93" borderId="0" applyNumberFormat="0" applyBorder="0" applyAlignment="0" applyProtection="0"/>
    <xf numFmtId="198" fontId="11" fillId="93" borderId="0" applyNumberFormat="0" applyBorder="0" applyAlignment="0" applyProtection="0"/>
    <xf numFmtId="198" fontId="11" fillId="93" borderId="0" applyNumberFormat="0" applyBorder="0" applyAlignment="0" applyProtection="0"/>
    <xf numFmtId="198" fontId="11" fillId="93" borderId="0" applyNumberFormat="0" applyBorder="0" applyAlignment="0" applyProtection="0"/>
    <xf numFmtId="198" fontId="11" fillId="93" borderId="0" applyNumberFormat="0" applyBorder="0" applyAlignment="0" applyProtection="0"/>
    <xf numFmtId="198" fontId="11" fillId="93" borderId="0" applyNumberFormat="0" applyBorder="0" applyAlignment="0" applyProtection="0"/>
    <xf numFmtId="198" fontId="11" fillId="93" borderId="0" applyNumberFormat="0" applyBorder="0" applyAlignment="0" applyProtection="0"/>
    <xf numFmtId="198" fontId="11" fillId="93" borderId="0" applyNumberFormat="0" applyBorder="0" applyAlignment="0" applyProtection="0"/>
    <xf numFmtId="198" fontId="11" fillId="93" borderId="0" applyNumberFormat="0" applyBorder="0" applyAlignment="0" applyProtection="0"/>
    <xf numFmtId="198" fontId="11" fillId="93" borderId="0" applyNumberFormat="0" applyBorder="0" applyAlignment="0" applyProtection="0"/>
    <xf numFmtId="198" fontId="11" fillId="93" borderId="0" applyNumberFormat="0" applyBorder="0" applyAlignment="0" applyProtection="0"/>
    <xf numFmtId="198" fontId="11" fillId="93" borderId="0" applyNumberFormat="0" applyBorder="0" applyAlignment="0" applyProtection="0"/>
    <xf numFmtId="198" fontId="11" fillId="93" borderId="0" applyNumberFormat="0" applyBorder="0" applyAlignment="0" applyProtection="0"/>
    <xf numFmtId="198" fontId="11" fillId="93" borderId="0" applyNumberFormat="0" applyBorder="0" applyAlignment="0" applyProtection="0"/>
    <xf numFmtId="198" fontId="11" fillId="93" borderId="0" applyNumberFormat="0" applyBorder="0" applyAlignment="0" applyProtection="0"/>
    <xf numFmtId="198" fontId="11" fillId="93" borderId="0" applyNumberFormat="0" applyBorder="0" applyAlignment="0" applyProtection="0"/>
    <xf numFmtId="198" fontId="11" fillId="93" borderId="0" applyNumberFormat="0" applyBorder="0" applyAlignment="0" applyProtection="0"/>
    <xf numFmtId="198" fontId="11" fillId="93" borderId="0" applyNumberFormat="0" applyBorder="0" applyAlignment="0" applyProtection="0"/>
    <xf numFmtId="198" fontId="11" fillId="93" borderId="0" applyNumberFormat="0" applyBorder="0" applyAlignment="0" applyProtection="0"/>
    <xf numFmtId="198" fontId="11" fillId="97" borderId="0" applyNumberFormat="0" applyBorder="0" applyAlignment="0" applyProtection="0"/>
    <xf numFmtId="198" fontId="11" fillId="97" borderId="0" applyNumberFormat="0" applyBorder="0" applyAlignment="0" applyProtection="0"/>
    <xf numFmtId="198" fontId="11" fillId="97" borderId="0" applyNumberFormat="0" applyBorder="0" applyAlignment="0" applyProtection="0"/>
    <xf numFmtId="198" fontId="11" fillId="97" borderId="0" applyNumberFormat="0" applyBorder="0" applyAlignment="0" applyProtection="0"/>
    <xf numFmtId="198" fontId="11" fillId="97" borderId="0" applyNumberFormat="0" applyBorder="0" applyAlignment="0" applyProtection="0"/>
    <xf numFmtId="198" fontId="11" fillId="97" borderId="0" applyNumberFormat="0" applyBorder="0" applyAlignment="0" applyProtection="0"/>
    <xf numFmtId="198" fontId="11" fillId="97" borderId="0" applyNumberFormat="0" applyBorder="0" applyAlignment="0" applyProtection="0"/>
    <xf numFmtId="198" fontId="11" fillId="97" borderId="0" applyNumberFormat="0" applyBorder="0" applyAlignment="0" applyProtection="0"/>
    <xf numFmtId="198" fontId="11" fillId="97" borderId="0" applyNumberFormat="0" applyBorder="0" applyAlignment="0" applyProtection="0"/>
    <xf numFmtId="198" fontId="11" fillId="97" borderId="0" applyNumberFormat="0" applyBorder="0" applyAlignment="0" applyProtection="0"/>
    <xf numFmtId="198" fontId="213" fillId="7" borderId="0" applyNumberFormat="0" applyBorder="0" applyAlignment="0" applyProtection="0"/>
    <xf numFmtId="198" fontId="11" fillId="97" borderId="0" applyNumberFormat="0" applyBorder="0" applyAlignment="0" applyProtection="0"/>
    <xf numFmtId="198" fontId="11" fillId="97" borderId="0" applyNumberFormat="0" applyBorder="0" applyAlignment="0" applyProtection="0"/>
    <xf numFmtId="198" fontId="11" fillId="97" borderId="0" applyNumberFormat="0" applyBorder="0" applyAlignment="0" applyProtection="0"/>
    <xf numFmtId="198" fontId="11" fillId="97" borderId="0" applyNumberFormat="0" applyBorder="0" applyAlignment="0" applyProtection="0"/>
    <xf numFmtId="198" fontId="11" fillId="97" borderId="0" applyNumberFormat="0" applyBorder="0" applyAlignment="0" applyProtection="0"/>
    <xf numFmtId="198" fontId="11" fillId="97" borderId="0" applyNumberFormat="0" applyBorder="0" applyAlignment="0" applyProtection="0"/>
    <xf numFmtId="198" fontId="11" fillId="97" borderId="0" applyNumberFormat="0" applyBorder="0" applyAlignment="0" applyProtection="0"/>
    <xf numFmtId="198" fontId="11" fillId="97" borderId="0" applyNumberFormat="0" applyBorder="0" applyAlignment="0" applyProtection="0"/>
    <xf numFmtId="198" fontId="11" fillId="97" borderId="0" applyNumberFormat="0" applyBorder="0" applyAlignment="0" applyProtection="0"/>
    <xf numFmtId="198" fontId="11" fillId="97" borderId="0" applyNumberFormat="0" applyBorder="0" applyAlignment="0" applyProtection="0"/>
    <xf numFmtId="198" fontId="11" fillId="97" borderId="0" applyNumberFormat="0" applyBorder="0" applyAlignment="0" applyProtection="0"/>
    <xf numFmtId="198" fontId="11" fillId="97" borderId="0" applyNumberFormat="0" applyBorder="0" applyAlignment="0" applyProtection="0"/>
    <xf numFmtId="198" fontId="11" fillId="97" borderId="0" applyNumberFormat="0" applyBorder="0" applyAlignment="0" applyProtection="0"/>
    <xf numFmtId="198" fontId="11" fillId="97" borderId="0" applyNumberFormat="0" applyBorder="0" applyAlignment="0" applyProtection="0"/>
    <xf numFmtId="198" fontId="11" fillId="97" borderId="0" applyNumberFormat="0" applyBorder="0" applyAlignment="0" applyProtection="0"/>
    <xf numFmtId="198" fontId="11" fillId="97" borderId="0" applyNumberFormat="0" applyBorder="0" applyAlignment="0" applyProtection="0"/>
    <xf numFmtId="198" fontId="11" fillId="97" borderId="0" applyNumberFormat="0" applyBorder="0" applyAlignment="0" applyProtection="0"/>
    <xf numFmtId="198" fontId="11" fillId="97" borderId="0" applyNumberFormat="0" applyBorder="0" applyAlignment="0" applyProtection="0"/>
    <xf numFmtId="198" fontId="11" fillId="97" borderId="0" applyNumberFormat="0" applyBorder="0" applyAlignment="0" applyProtection="0"/>
    <xf numFmtId="198" fontId="11" fillId="97" borderId="0" applyNumberFormat="0" applyBorder="0" applyAlignment="0" applyProtection="0"/>
    <xf numFmtId="198" fontId="11" fillId="97" borderId="0" applyNumberFormat="0" applyBorder="0" applyAlignment="0" applyProtection="0"/>
    <xf numFmtId="198" fontId="11" fillId="97" borderId="0" applyNumberFormat="0" applyBorder="0" applyAlignment="0" applyProtection="0"/>
    <xf numFmtId="198" fontId="11" fillId="97" borderId="0" applyNumberFormat="0" applyBorder="0" applyAlignment="0" applyProtection="0"/>
    <xf numFmtId="198" fontId="11" fillId="97" borderId="0" applyNumberFormat="0" applyBorder="0" applyAlignment="0" applyProtection="0"/>
    <xf numFmtId="198" fontId="11" fillId="97" borderId="0" applyNumberFormat="0" applyBorder="0" applyAlignment="0" applyProtection="0"/>
    <xf numFmtId="198" fontId="11" fillId="97" borderId="0" applyNumberFormat="0" applyBorder="0" applyAlignment="0" applyProtection="0"/>
    <xf numFmtId="198" fontId="11" fillId="97" borderId="0" applyNumberFormat="0" applyBorder="0" applyAlignment="0" applyProtection="0"/>
    <xf numFmtId="198" fontId="11" fillId="97" borderId="0" applyNumberFormat="0" applyBorder="0" applyAlignment="0" applyProtection="0"/>
    <xf numFmtId="198" fontId="11" fillId="97" borderId="0" applyNumberFormat="0" applyBorder="0" applyAlignment="0" applyProtection="0"/>
    <xf numFmtId="198" fontId="11" fillId="97" borderId="0" applyNumberFormat="0" applyBorder="0" applyAlignment="0" applyProtection="0"/>
    <xf numFmtId="198" fontId="11" fillId="97" borderId="0" applyNumberFormat="0" applyBorder="0" applyAlignment="0" applyProtection="0"/>
    <xf numFmtId="198" fontId="11" fillId="97" borderId="0" applyNumberFormat="0" applyBorder="0" applyAlignment="0" applyProtection="0"/>
    <xf numFmtId="198" fontId="11" fillId="97" borderId="0" applyNumberFormat="0" applyBorder="0" applyAlignment="0" applyProtection="0"/>
    <xf numFmtId="198" fontId="11" fillId="97" borderId="0" applyNumberFormat="0" applyBorder="0" applyAlignment="0" applyProtection="0"/>
    <xf numFmtId="198" fontId="11" fillId="97" borderId="0" applyNumberFormat="0" applyBorder="0" applyAlignment="0" applyProtection="0"/>
    <xf numFmtId="198" fontId="11" fillId="97" borderId="0" applyNumberFormat="0" applyBorder="0" applyAlignment="0" applyProtection="0"/>
    <xf numFmtId="198" fontId="11" fillId="97" borderId="0" applyNumberFormat="0" applyBorder="0" applyAlignment="0" applyProtection="0"/>
    <xf numFmtId="198" fontId="11" fillId="97" borderId="0" applyNumberFormat="0" applyBorder="0" applyAlignment="0" applyProtection="0"/>
    <xf numFmtId="198" fontId="11" fillId="97" borderId="0" applyNumberFormat="0" applyBorder="0" applyAlignment="0" applyProtection="0"/>
    <xf numFmtId="198" fontId="11" fillId="97" borderId="0" applyNumberFormat="0" applyBorder="0" applyAlignment="0" applyProtection="0"/>
    <xf numFmtId="198" fontId="11" fillId="97" borderId="0" applyNumberFormat="0" applyBorder="0" applyAlignment="0" applyProtection="0"/>
    <xf numFmtId="198" fontId="11" fillId="97" borderId="0" applyNumberFormat="0" applyBorder="0" applyAlignment="0" applyProtection="0"/>
    <xf numFmtId="198" fontId="11" fillId="97" borderId="0" applyNumberFormat="0" applyBorder="0" applyAlignment="0" applyProtection="0"/>
    <xf numFmtId="198" fontId="11" fillId="97" borderId="0" applyNumberFormat="0" applyBorder="0" applyAlignment="0" applyProtection="0"/>
    <xf numFmtId="198" fontId="11" fillId="97" borderId="0" applyNumberFormat="0" applyBorder="0" applyAlignment="0" applyProtection="0"/>
    <xf numFmtId="198" fontId="11" fillId="97" borderId="0" applyNumberFormat="0" applyBorder="0" applyAlignment="0" applyProtection="0"/>
    <xf numFmtId="198" fontId="11" fillId="97" borderId="0" applyNumberFormat="0" applyBorder="0" applyAlignment="0" applyProtection="0"/>
    <xf numFmtId="198" fontId="11" fillId="81" borderId="0" applyNumberFormat="0" applyBorder="0" applyAlignment="0" applyProtection="0"/>
    <xf numFmtId="198" fontId="11" fillId="81" borderId="0" applyNumberFormat="0" applyBorder="0" applyAlignment="0" applyProtection="0"/>
    <xf numFmtId="198" fontId="11" fillId="81" borderId="0" applyNumberFormat="0" applyBorder="0" applyAlignment="0" applyProtection="0"/>
    <xf numFmtId="198" fontId="11" fillId="81" borderId="0" applyNumberFormat="0" applyBorder="0" applyAlignment="0" applyProtection="0"/>
    <xf numFmtId="198" fontId="11" fillId="81" borderId="0" applyNumberFormat="0" applyBorder="0" applyAlignment="0" applyProtection="0"/>
    <xf numFmtId="198" fontId="11" fillId="81" borderId="0" applyNumberFormat="0" applyBorder="0" applyAlignment="0" applyProtection="0"/>
    <xf numFmtId="198" fontId="11" fillId="81" borderId="0" applyNumberFormat="0" applyBorder="0" applyAlignment="0" applyProtection="0"/>
    <xf numFmtId="198" fontId="11" fillId="81" borderId="0" applyNumberFormat="0" applyBorder="0" applyAlignment="0" applyProtection="0"/>
    <xf numFmtId="198" fontId="11" fillId="81" borderId="0" applyNumberFormat="0" applyBorder="0" applyAlignment="0" applyProtection="0"/>
    <xf numFmtId="198" fontId="11" fillId="81" borderId="0" applyNumberFormat="0" applyBorder="0" applyAlignment="0" applyProtection="0"/>
    <xf numFmtId="198" fontId="213" fillId="8" borderId="0" applyNumberFormat="0" applyBorder="0" applyAlignment="0" applyProtection="0"/>
    <xf numFmtId="198" fontId="11" fillId="81" borderId="0" applyNumberFormat="0" applyBorder="0" applyAlignment="0" applyProtection="0"/>
    <xf numFmtId="198" fontId="11" fillId="81" borderId="0" applyNumberFormat="0" applyBorder="0" applyAlignment="0" applyProtection="0"/>
    <xf numFmtId="198" fontId="11" fillId="81" borderId="0" applyNumberFormat="0" applyBorder="0" applyAlignment="0" applyProtection="0"/>
    <xf numFmtId="198" fontId="11" fillId="81" borderId="0" applyNumberFormat="0" applyBorder="0" applyAlignment="0" applyProtection="0"/>
    <xf numFmtId="198" fontId="11" fillId="81" borderId="0" applyNumberFormat="0" applyBorder="0" applyAlignment="0" applyProtection="0"/>
    <xf numFmtId="198" fontId="11" fillId="81" borderId="0" applyNumberFormat="0" applyBorder="0" applyAlignment="0" applyProtection="0"/>
    <xf numFmtId="198" fontId="11" fillId="81" borderId="0" applyNumberFormat="0" applyBorder="0" applyAlignment="0" applyProtection="0"/>
    <xf numFmtId="198" fontId="11" fillId="81" borderId="0" applyNumberFormat="0" applyBorder="0" applyAlignment="0" applyProtection="0"/>
    <xf numFmtId="198" fontId="11" fillId="81" borderId="0" applyNumberFormat="0" applyBorder="0" applyAlignment="0" applyProtection="0"/>
    <xf numFmtId="198" fontId="11" fillId="81" borderId="0" applyNumberFormat="0" applyBorder="0" applyAlignment="0" applyProtection="0"/>
    <xf numFmtId="198" fontId="11" fillId="81" borderId="0" applyNumberFormat="0" applyBorder="0" applyAlignment="0" applyProtection="0"/>
    <xf numFmtId="198" fontId="11" fillId="81" borderId="0" applyNumberFormat="0" applyBorder="0" applyAlignment="0" applyProtection="0"/>
    <xf numFmtId="198" fontId="11" fillId="81" borderId="0" applyNumberFormat="0" applyBorder="0" applyAlignment="0" applyProtection="0"/>
    <xf numFmtId="198" fontId="11" fillId="81" borderId="0" applyNumberFormat="0" applyBorder="0" applyAlignment="0" applyProtection="0"/>
    <xf numFmtId="198" fontId="11" fillId="81" borderId="0" applyNumberFormat="0" applyBorder="0" applyAlignment="0" applyProtection="0"/>
    <xf numFmtId="198" fontId="11" fillId="81" borderId="0" applyNumberFormat="0" applyBorder="0" applyAlignment="0" applyProtection="0"/>
    <xf numFmtId="198" fontId="11" fillId="81" borderId="0" applyNumberFormat="0" applyBorder="0" applyAlignment="0" applyProtection="0"/>
    <xf numFmtId="198" fontId="11" fillId="81" borderId="0" applyNumberFormat="0" applyBorder="0" applyAlignment="0" applyProtection="0"/>
    <xf numFmtId="198" fontId="11" fillId="81" borderId="0" applyNumberFormat="0" applyBorder="0" applyAlignment="0" applyProtection="0"/>
    <xf numFmtId="198" fontId="11" fillId="81" borderId="0" applyNumberFormat="0" applyBorder="0" applyAlignment="0" applyProtection="0"/>
    <xf numFmtId="198" fontId="11" fillId="81" borderId="0" applyNumberFormat="0" applyBorder="0" applyAlignment="0" applyProtection="0"/>
    <xf numFmtId="198" fontId="11" fillId="81" borderId="0" applyNumberFormat="0" applyBorder="0" applyAlignment="0" applyProtection="0"/>
    <xf numFmtId="198" fontId="11" fillId="81" borderId="0" applyNumberFormat="0" applyBorder="0" applyAlignment="0" applyProtection="0"/>
    <xf numFmtId="198" fontId="11" fillId="81" borderId="0" applyNumberFormat="0" applyBorder="0" applyAlignment="0" applyProtection="0"/>
    <xf numFmtId="198" fontId="11" fillId="81" borderId="0" applyNumberFormat="0" applyBorder="0" applyAlignment="0" applyProtection="0"/>
    <xf numFmtId="198" fontId="11" fillId="81" borderId="0" applyNumberFormat="0" applyBorder="0" applyAlignment="0" applyProtection="0"/>
    <xf numFmtId="198" fontId="11" fillId="81" borderId="0" applyNumberFormat="0" applyBorder="0" applyAlignment="0" applyProtection="0"/>
    <xf numFmtId="198" fontId="11" fillId="81" borderId="0" applyNumberFormat="0" applyBorder="0" applyAlignment="0" applyProtection="0"/>
    <xf numFmtId="198" fontId="11" fillId="81" borderId="0" applyNumberFormat="0" applyBorder="0" applyAlignment="0" applyProtection="0"/>
    <xf numFmtId="198" fontId="11" fillId="81" borderId="0" applyNumberFormat="0" applyBorder="0" applyAlignment="0" applyProtection="0"/>
    <xf numFmtId="198" fontId="11" fillId="81" borderId="0" applyNumberFormat="0" applyBorder="0" applyAlignment="0" applyProtection="0"/>
    <xf numFmtId="198" fontId="11" fillId="81" borderId="0" applyNumberFormat="0" applyBorder="0" applyAlignment="0" applyProtection="0"/>
    <xf numFmtId="198" fontId="11" fillId="81" borderId="0" applyNumberFormat="0" applyBorder="0" applyAlignment="0" applyProtection="0"/>
    <xf numFmtId="198" fontId="11" fillId="81" borderId="0" applyNumberFormat="0" applyBorder="0" applyAlignment="0" applyProtection="0"/>
    <xf numFmtId="198" fontId="11" fillId="81" borderId="0" applyNumberFormat="0" applyBorder="0" applyAlignment="0" applyProtection="0"/>
    <xf numFmtId="198" fontId="11" fillId="81" borderId="0" applyNumberFormat="0" applyBorder="0" applyAlignment="0" applyProtection="0"/>
    <xf numFmtId="198" fontId="11" fillId="81" borderId="0" applyNumberFormat="0" applyBorder="0" applyAlignment="0" applyProtection="0"/>
    <xf numFmtId="198" fontId="11" fillId="81" borderId="0" applyNumberFormat="0" applyBorder="0" applyAlignment="0" applyProtection="0"/>
    <xf numFmtId="198" fontId="11" fillId="81" borderId="0" applyNumberFormat="0" applyBorder="0" applyAlignment="0" applyProtection="0"/>
    <xf numFmtId="198" fontId="11" fillId="81" borderId="0" applyNumberFormat="0" applyBorder="0" applyAlignment="0" applyProtection="0"/>
    <xf numFmtId="198" fontId="11" fillId="81" borderId="0" applyNumberFormat="0" applyBorder="0" applyAlignment="0" applyProtection="0"/>
    <xf numFmtId="198" fontId="11" fillId="81" borderId="0" applyNumberFormat="0" applyBorder="0" applyAlignment="0" applyProtection="0"/>
    <xf numFmtId="198" fontId="11" fillId="81" borderId="0" applyNumberFormat="0" applyBorder="0" applyAlignment="0" applyProtection="0"/>
    <xf numFmtId="198" fontId="11" fillId="81" borderId="0" applyNumberFormat="0" applyBorder="0" applyAlignment="0" applyProtection="0"/>
    <xf numFmtId="198" fontId="11" fillId="81" borderId="0" applyNumberFormat="0" applyBorder="0" applyAlignment="0" applyProtection="0"/>
    <xf numFmtId="198" fontId="11" fillId="81" borderId="0" applyNumberFormat="0" applyBorder="0" applyAlignment="0" applyProtection="0"/>
    <xf numFmtId="198" fontId="11" fillId="81" borderId="0" applyNumberFormat="0" applyBorder="0" applyAlignment="0" applyProtection="0"/>
    <xf numFmtId="198" fontId="11" fillId="43" borderId="0" applyNumberFormat="0" applyBorder="0" applyAlignment="0" applyProtection="0"/>
    <xf numFmtId="198" fontId="11" fillId="43" borderId="0" applyNumberFormat="0" applyBorder="0" applyAlignment="0" applyProtection="0"/>
    <xf numFmtId="198" fontId="11" fillId="43" borderId="0" applyNumberFormat="0" applyBorder="0" applyAlignment="0" applyProtection="0"/>
    <xf numFmtId="198" fontId="11" fillId="43" borderId="0" applyNumberFormat="0" applyBorder="0" applyAlignment="0" applyProtection="0"/>
    <xf numFmtId="198" fontId="11" fillId="43" borderId="0" applyNumberFormat="0" applyBorder="0" applyAlignment="0" applyProtection="0"/>
    <xf numFmtId="198" fontId="11" fillId="43" borderId="0" applyNumberFormat="0" applyBorder="0" applyAlignment="0" applyProtection="0"/>
    <xf numFmtId="198" fontId="11" fillId="43" borderId="0" applyNumberFormat="0" applyBorder="0" applyAlignment="0" applyProtection="0"/>
    <xf numFmtId="198" fontId="11" fillId="43" borderId="0" applyNumberFormat="0" applyBorder="0" applyAlignment="0" applyProtection="0"/>
    <xf numFmtId="198" fontId="11" fillId="43" borderId="0" applyNumberFormat="0" applyBorder="0" applyAlignment="0" applyProtection="0"/>
    <xf numFmtId="198" fontId="11" fillId="43" borderId="0" applyNumberFormat="0" applyBorder="0" applyAlignment="0" applyProtection="0"/>
    <xf numFmtId="198" fontId="213" fillId="9" borderId="0" applyNumberFormat="0" applyBorder="0" applyAlignment="0" applyProtection="0"/>
    <xf numFmtId="198" fontId="11" fillId="43" borderId="0" applyNumberFormat="0" applyBorder="0" applyAlignment="0" applyProtection="0"/>
    <xf numFmtId="198" fontId="11" fillId="43" borderId="0" applyNumberFormat="0" applyBorder="0" applyAlignment="0" applyProtection="0"/>
    <xf numFmtId="198" fontId="11" fillId="43" borderId="0" applyNumberFormat="0" applyBorder="0" applyAlignment="0" applyProtection="0"/>
    <xf numFmtId="198" fontId="11" fillId="43" borderId="0" applyNumberFormat="0" applyBorder="0" applyAlignment="0" applyProtection="0"/>
    <xf numFmtId="198" fontId="11" fillId="43" borderId="0" applyNumberFormat="0" applyBorder="0" applyAlignment="0" applyProtection="0"/>
    <xf numFmtId="198" fontId="11" fillId="43" borderId="0" applyNumberFormat="0" applyBorder="0" applyAlignment="0" applyProtection="0"/>
    <xf numFmtId="198" fontId="11" fillId="43" borderId="0" applyNumberFormat="0" applyBorder="0" applyAlignment="0" applyProtection="0"/>
    <xf numFmtId="198" fontId="11" fillId="43" borderId="0" applyNumberFormat="0" applyBorder="0" applyAlignment="0" applyProtection="0"/>
    <xf numFmtId="198" fontId="11" fillId="43" borderId="0" applyNumberFormat="0" applyBorder="0" applyAlignment="0" applyProtection="0"/>
    <xf numFmtId="198" fontId="11" fillId="43" borderId="0" applyNumberFormat="0" applyBorder="0" applyAlignment="0" applyProtection="0"/>
    <xf numFmtId="198" fontId="11" fillId="43" borderId="0" applyNumberFormat="0" applyBorder="0" applyAlignment="0" applyProtection="0"/>
    <xf numFmtId="198" fontId="11" fillId="43" borderId="0" applyNumberFormat="0" applyBorder="0" applyAlignment="0" applyProtection="0"/>
    <xf numFmtId="198" fontId="11" fillId="43" borderId="0" applyNumberFormat="0" applyBorder="0" applyAlignment="0" applyProtection="0"/>
    <xf numFmtId="198" fontId="11" fillId="43" borderId="0" applyNumberFormat="0" applyBorder="0" applyAlignment="0" applyProtection="0"/>
    <xf numFmtId="198" fontId="11" fillId="43" borderId="0" applyNumberFormat="0" applyBorder="0" applyAlignment="0" applyProtection="0"/>
    <xf numFmtId="198" fontId="11" fillId="43" borderId="0" applyNumberFormat="0" applyBorder="0" applyAlignment="0" applyProtection="0"/>
    <xf numFmtId="198" fontId="11" fillId="43" borderId="0" applyNumberFormat="0" applyBorder="0" applyAlignment="0" applyProtection="0"/>
    <xf numFmtId="198" fontId="11" fillId="43" borderId="0" applyNumberFormat="0" applyBorder="0" applyAlignment="0" applyProtection="0"/>
    <xf numFmtId="198" fontId="11" fillId="43" borderId="0" applyNumberFormat="0" applyBorder="0" applyAlignment="0" applyProtection="0"/>
    <xf numFmtId="198" fontId="11" fillId="43" borderId="0" applyNumberFormat="0" applyBorder="0" applyAlignment="0" applyProtection="0"/>
    <xf numFmtId="198" fontId="11" fillId="43" borderId="0" applyNumberFormat="0" applyBorder="0" applyAlignment="0" applyProtection="0"/>
    <xf numFmtId="198" fontId="11" fillId="43" borderId="0" applyNumberFormat="0" applyBorder="0" applyAlignment="0" applyProtection="0"/>
    <xf numFmtId="198" fontId="11" fillId="43" borderId="0" applyNumberFormat="0" applyBorder="0" applyAlignment="0" applyProtection="0"/>
    <xf numFmtId="198" fontId="11" fillId="43" borderId="0" applyNumberFormat="0" applyBorder="0" applyAlignment="0" applyProtection="0"/>
    <xf numFmtId="198" fontId="11" fillId="43" borderId="0" applyNumberFormat="0" applyBorder="0" applyAlignment="0" applyProtection="0"/>
    <xf numFmtId="198" fontId="11" fillId="43" borderId="0" applyNumberFormat="0" applyBorder="0" applyAlignment="0" applyProtection="0"/>
    <xf numFmtId="198" fontId="11" fillId="43" borderId="0" applyNumberFormat="0" applyBorder="0" applyAlignment="0" applyProtection="0"/>
    <xf numFmtId="198" fontId="11" fillId="43" borderId="0" applyNumberFormat="0" applyBorder="0" applyAlignment="0" applyProtection="0"/>
    <xf numFmtId="198" fontId="11" fillId="43" borderId="0" applyNumberFormat="0" applyBorder="0" applyAlignment="0" applyProtection="0"/>
    <xf numFmtId="198" fontId="11" fillId="43" borderId="0" applyNumberFormat="0" applyBorder="0" applyAlignment="0" applyProtection="0"/>
    <xf numFmtId="198" fontId="11" fillId="43" borderId="0" applyNumberFormat="0" applyBorder="0" applyAlignment="0" applyProtection="0"/>
    <xf numFmtId="198" fontId="11" fillId="43" borderId="0" applyNumberFormat="0" applyBorder="0" applyAlignment="0" applyProtection="0"/>
    <xf numFmtId="198" fontId="11" fillId="43" borderId="0" applyNumberFormat="0" applyBorder="0" applyAlignment="0" applyProtection="0"/>
    <xf numFmtId="198" fontId="11" fillId="43" borderId="0" applyNumberFormat="0" applyBorder="0" applyAlignment="0" applyProtection="0"/>
    <xf numFmtId="198" fontId="11" fillId="43" borderId="0" applyNumberFormat="0" applyBorder="0" applyAlignment="0" applyProtection="0"/>
    <xf numFmtId="198" fontId="11" fillId="43" borderId="0" applyNumberFormat="0" applyBorder="0" applyAlignment="0" applyProtection="0"/>
    <xf numFmtId="198" fontId="11" fillId="43" borderId="0" applyNumberFormat="0" applyBorder="0" applyAlignment="0" applyProtection="0"/>
    <xf numFmtId="198" fontId="11" fillId="43" borderId="0" applyNumberFormat="0" applyBorder="0" applyAlignment="0" applyProtection="0"/>
    <xf numFmtId="198" fontId="11" fillId="43" borderId="0" applyNumberFormat="0" applyBorder="0" applyAlignment="0" applyProtection="0"/>
    <xf numFmtId="198" fontId="11" fillId="43" borderId="0" applyNumberFormat="0" applyBorder="0" applyAlignment="0" applyProtection="0"/>
    <xf numFmtId="198" fontId="11" fillId="43" borderId="0" applyNumberFormat="0" applyBorder="0" applyAlignment="0" applyProtection="0"/>
    <xf numFmtId="198" fontId="11" fillId="43" borderId="0" applyNumberFormat="0" applyBorder="0" applyAlignment="0" applyProtection="0"/>
    <xf numFmtId="198" fontId="11" fillId="43" borderId="0" applyNumberFormat="0" applyBorder="0" applyAlignment="0" applyProtection="0"/>
    <xf numFmtId="198" fontId="11" fillId="43" borderId="0" applyNumberFormat="0" applyBorder="0" applyAlignment="0" applyProtection="0"/>
    <xf numFmtId="198" fontId="11" fillId="43" borderId="0" applyNumberFormat="0" applyBorder="0" applyAlignment="0" applyProtection="0"/>
    <xf numFmtId="198" fontId="11" fillId="43" borderId="0" applyNumberFormat="0" applyBorder="0" applyAlignment="0" applyProtection="0"/>
    <xf numFmtId="198" fontId="11" fillId="43" borderId="0" applyNumberFormat="0" applyBorder="0" applyAlignment="0" applyProtection="0"/>
    <xf numFmtId="198" fontId="11" fillId="86" borderId="0" applyNumberFormat="0" applyBorder="0" applyAlignment="0" applyProtection="0"/>
    <xf numFmtId="198" fontId="11" fillId="86" borderId="0" applyNumberFormat="0" applyBorder="0" applyAlignment="0" applyProtection="0"/>
    <xf numFmtId="198" fontId="11" fillId="86" borderId="0" applyNumberFormat="0" applyBorder="0" applyAlignment="0" applyProtection="0"/>
    <xf numFmtId="198" fontId="11" fillId="86" borderId="0" applyNumberFormat="0" applyBorder="0" applyAlignment="0" applyProtection="0"/>
    <xf numFmtId="198" fontId="11" fillId="86" borderId="0" applyNumberFormat="0" applyBorder="0" applyAlignment="0" applyProtection="0"/>
    <xf numFmtId="198" fontId="11" fillId="86" borderId="0" applyNumberFormat="0" applyBorder="0" applyAlignment="0" applyProtection="0"/>
    <xf numFmtId="198" fontId="11" fillId="86" borderId="0" applyNumberFormat="0" applyBorder="0" applyAlignment="0" applyProtection="0"/>
    <xf numFmtId="198" fontId="11" fillId="86" borderId="0" applyNumberFormat="0" applyBorder="0" applyAlignment="0" applyProtection="0"/>
    <xf numFmtId="198" fontId="11" fillId="86" borderId="0" applyNumberFormat="0" applyBorder="0" applyAlignment="0" applyProtection="0"/>
    <xf numFmtId="198" fontId="11" fillId="86" borderId="0" applyNumberFormat="0" applyBorder="0" applyAlignment="0" applyProtection="0"/>
    <xf numFmtId="198" fontId="213" fillId="10" borderId="0" applyNumberFormat="0" applyBorder="0" applyAlignment="0" applyProtection="0"/>
    <xf numFmtId="198" fontId="11" fillId="86" borderId="0" applyNumberFormat="0" applyBorder="0" applyAlignment="0" applyProtection="0"/>
    <xf numFmtId="198" fontId="11" fillId="86" borderId="0" applyNumberFormat="0" applyBorder="0" applyAlignment="0" applyProtection="0"/>
    <xf numFmtId="198" fontId="11" fillId="86" borderId="0" applyNumberFormat="0" applyBorder="0" applyAlignment="0" applyProtection="0"/>
    <xf numFmtId="198" fontId="11" fillId="86" borderId="0" applyNumberFormat="0" applyBorder="0" applyAlignment="0" applyProtection="0"/>
    <xf numFmtId="198" fontId="11" fillId="86" borderId="0" applyNumberFormat="0" applyBorder="0" applyAlignment="0" applyProtection="0"/>
    <xf numFmtId="198" fontId="11" fillId="86" borderId="0" applyNumberFormat="0" applyBorder="0" applyAlignment="0" applyProtection="0"/>
    <xf numFmtId="198" fontId="11" fillId="86" borderId="0" applyNumberFormat="0" applyBorder="0" applyAlignment="0" applyProtection="0"/>
    <xf numFmtId="198" fontId="11" fillId="86" borderId="0" applyNumberFormat="0" applyBorder="0" applyAlignment="0" applyProtection="0"/>
    <xf numFmtId="198" fontId="11" fillId="86" borderId="0" applyNumberFormat="0" applyBorder="0" applyAlignment="0" applyProtection="0"/>
    <xf numFmtId="198" fontId="11" fillId="86" borderId="0" applyNumberFormat="0" applyBorder="0" applyAlignment="0" applyProtection="0"/>
    <xf numFmtId="198" fontId="11" fillId="86" borderId="0" applyNumberFormat="0" applyBorder="0" applyAlignment="0" applyProtection="0"/>
    <xf numFmtId="198" fontId="11" fillId="86" borderId="0" applyNumberFormat="0" applyBorder="0" applyAlignment="0" applyProtection="0"/>
    <xf numFmtId="198" fontId="11" fillId="86" borderId="0" applyNumberFormat="0" applyBorder="0" applyAlignment="0" applyProtection="0"/>
    <xf numFmtId="198" fontId="11" fillId="86" borderId="0" applyNumberFormat="0" applyBorder="0" applyAlignment="0" applyProtection="0"/>
    <xf numFmtId="198" fontId="11" fillId="86" borderId="0" applyNumberFormat="0" applyBorder="0" applyAlignment="0" applyProtection="0"/>
    <xf numFmtId="198" fontId="11" fillId="86" borderId="0" applyNumberFormat="0" applyBorder="0" applyAlignment="0" applyProtection="0"/>
    <xf numFmtId="198" fontId="11" fillId="86" borderId="0" applyNumberFormat="0" applyBorder="0" applyAlignment="0" applyProtection="0"/>
    <xf numFmtId="198" fontId="11" fillId="86" borderId="0" applyNumberFormat="0" applyBorder="0" applyAlignment="0" applyProtection="0"/>
    <xf numFmtId="198" fontId="11" fillId="86" borderId="0" applyNumberFormat="0" applyBorder="0" applyAlignment="0" applyProtection="0"/>
    <xf numFmtId="198" fontId="11" fillId="86" borderId="0" applyNumberFormat="0" applyBorder="0" applyAlignment="0" applyProtection="0"/>
    <xf numFmtId="198" fontId="11" fillId="86" borderId="0" applyNumberFormat="0" applyBorder="0" applyAlignment="0" applyProtection="0"/>
    <xf numFmtId="198" fontId="11" fillId="86" borderId="0" applyNumberFormat="0" applyBorder="0" applyAlignment="0" applyProtection="0"/>
    <xf numFmtId="198" fontId="11" fillId="86" borderId="0" applyNumberFormat="0" applyBorder="0" applyAlignment="0" applyProtection="0"/>
    <xf numFmtId="198" fontId="11" fillId="86" borderId="0" applyNumberFormat="0" applyBorder="0" applyAlignment="0" applyProtection="0"/>
    <xf numFmtId="198" fontId="11" fillId="86" borderId="0" applyNumberFormat="0" applyBorder="0" applyAlignment="0" applyProtection="0"/>
    <xf numFmtId="198" fontId="11" fillId="86" borderId="0" applyNumberFormat="0" applyBorder="0" applyAlignment="0" applyProtection="0"/>
    <xf numFmtId="198" fontId="11" fillId="86" borderId="0" applyNumberFormat="0" applyBorder="0" applyAlignment="0" applyProtection="0"/>
    <xf numFmtId="198" fontId="11" fillId="86" borderId="0" applyNumberFormat="0" applyBorder="0" applyAlignment="0" applyProtection="0"/>
    <xf numFmtId="198" fontId="11" fillId="86" borderId="0" applyNumberFormat="0" applyBorder="0" applyAlignment="0" applyProtection="0"/>
    <xf numFmtId="198" fontId="11" fillId="86" borderId="0" applyNumberFormat="0" applyBorder="0" applyAlignment="0" applyProtection="0"/>
    <xf numFmtId="198" fontId="11" fillId="86" borderId="0" applyNumberFormat="0" applyBorder="0" applyAlignment="0" applyProtection="0"/>
    <xf numFmtId="198" fontId="11" fillId="86" borderId="0" applyNumberFormat="0" applyBorder="0" applyAlignment="0" applyProtection="0"/>
    <xf numFmtId="198" fontId="11" fillId="86" borderId="0" applyNumberFormat="0" applyBorder="0" applyAlignment="0" applyProtection="0"/>
    <xf numFmtId="198" fontId="11" fillId="86" borderId="0" applyNumberFormat="0" applyBorder="0" applyAlignment="0" applyProtection="0"/>
    <xf numFmtId="198" fontId="11" fillId="86" borderId="0" applyNumberFormat="0" applyBorder="0" applyAlignment="0" applyProtection="0"/>
    <xf numFmtId="198" fontId="11" fillId="86" borderId="0" applyNumberFormat="0" applyBorder="0" applyAlignment="0" applyProtection="0"/>
    <xf numFmtId="198" fontId="11" fillId="86" borderId="0" applyNumberFormat="0" applyBorder="0" applyAlignment="0" applyProtection="0"/>
    <xf numFmtId="198" fontId="11" fillId="86" borderId="0" applyNumberFormat="0" applyBorder="0" applyAlignment="0" applyProtection="0"/>
    <xf numFmtId="198" fontId="11" fillId="86" borderId="0" applyNumberFormat="0" applyBorder="0" applyAlignment="0" applyProtection="0"/>
    <xf numFmtId="198" fontId="11" fillId="86" borderId="0" applyNumberFormat="0" applyBorder="0" applyAlignment="0" applyProtection="0"/>
    <xf numFmtId="198" fontId="11" fillId="86" borderId="0" applyNumberFormat="0" applyBorder="0" applyAlignment="0" applyProtection="0"/>
    <xf numFmtId="198" fontId="11" fillId="86" borderId="0" applyNumberFormat="0" applyBorder="0" applyAlignment="0" applyProtection="0"/>
    <xf numFmtId="198" fontId="11" fillId="86" borderId="0" applyNumberFormat="0" applyBorder="0" applyAlignment="0" applyProtection="0"/>
    <xf numFmtId="198" fontId="11" fillId="86" borderId="0" applyNumberFormat="0" applyBorder="0" applyAlignment="0" applyProtection="0"/>
    <xf numFmtId="198" fontId="11" fillId="86" borderId="0" applyNumberFormat="0" applyBorder="0" applyAlignment="0" applyProtection="0"/>
    <xf numFmtId="198" fontId="11" fillId="86" borderId="0" applyNumberFormat="0" applyBorder="0" applyAlignment="0" applyProtection="0"/>
    <xf numFmtId="198" fontId="11" fillId="86" borderId="0" applyNumberFormat="0" applyBorder="0" applyAlignment="0" applyProtection="0"/>
    <xf numFmtId="198" fontId="11" fillId="90" borderId="0" applyNumberFormat="0" applyBorder="0" applyAlignment="0" applyProtection="0"/>
    <xf numFmtId="198" fontId="11" fillId="90" borderId="0" applyNumberFormat="0" applyBorder="0" applyAlignment="0" applyProtection="0"/>
    <xf numFmtId="198" fontId="11" fillId="90" borderId="0" applyNumberFormat="0" applyBorder="0" applyAlignment="0" applyProtection="0"/>
    <xf numFmtId="198" fontId="11" fillId="90" borderId="0" applyNumberFormat="0" applyBorder="0" applyAlignment="0" applyProtection="0"/>
    <xf numFmtId="198" fontId="11" fillId="90" borderId="0" applyNumberFormat="0" applyBorder="0" applyAlignment="0" applyProtection="0"/>
    <xf numFmtId="198" fontId="11" fillId="90" borderId="0" applyNumberFormat="0" applyBorder="0" applyAlignment="0" applyProtection="0"/>
    <xf numFmtId="198" fontId="11" fillId="90" borderId="0" applyNumberFormat="0" applyBorder="0" applyAlignment="0" applyProtection="0"/>
    <xf numFmtId="198" fontId="11" fillId="90" borderId="0" applyNumberFormat="0" applyBorder="0" applyAlignment="0" applyProtection="0"/>
    <xf numFmtId="198" fontId="11" fillId="90" borderId="0" applyNumberFormat="0" applyBorder="0" applyAlignment="0" applyProtection="0"/>
    <xf numFmtId="198" fontId="11" fillId="90" borderId="0" applyNumberFormat="0" applyBorder="0" applyAlignment="0" applyProtection="0"/>
    <xf numFmtId="198" fontId="213" fillId="5" borderId="0" applyNumberFormat="0" applyBorder="0" applyAlignment="0" applyProtection="0"/>
    <xf numFmtId="198" fontId="11" fillId="90" borderId="0" applyNumberFormat="0" applyBorder="0" applyAlignment="0" applyProtection="0"/>
    <xf numFmtId="198" fontId="11" fillId="90" borderId="0" applyNumberFormat="0" applyBorder="0" applyAlignment="0" applyProtection="0"/>
    <xf numFmtId="198" fontId="11" fillId="90" borderId="0" applyNumberFormat="0" applyBorder="0" applyAlignment="0" applyProtection="0"/>
    <xf numFmtId="198" fontId="11" fillId="90" borderId="0" applyNumberFormat="0" applyBorder="0" applyAlignment="0" applyProtection="0"/>
    <xf numFmtId="198" fontId="11" fillId="90" borderId="0" applyNumberFormat="0" applyBorder="0" applyAlignment="0" applyProtection="0"/>
    <xf numFmtId="198" fontId="11" fillId="90" borderId="0" applyNumberFormat="0" applyBorder="0" applyAlignment="0" applyProtection="0"/>
    <xf numFmtId="198" fontId="11" fillId="90" borderId="0" applyNumberFormat="0" applyBorder="0" applyAlignment="0" applyProtection="0"/>
    <xf numFmtId="198" fontId="11" fillId="90" borderId="0" applyNumberFormat="0" applyBorder="0" applyAlignment="0" applyProtection="0"/>
    <xf numFmtId="198" fontId="11" fillId="90" borderId="0" applyNumberFormat="0" applyBorder="0" applyAlignment="0" applyProtection="0"/>
    <xf numFmtId="198" fontId="11" fillId="90" borderId="0" applyNumberFormat="0" applyBorder="0" applyAlignment="0" applyProtection="0"/>
    <xf numFmtId="198" fontId="11" fillId="90" borderId="0" applyNumberFormat="0" applyBorder="0" applyAlignment="0" applyProtection="0"/>
    <xf numFmtId="198" fontId="11" fillId="90" borderId="0" applyNumberFormat="0" applyBorder="0" applyAlignment="0" applyProtection="0"/>
    <xf numFmtId="198" fontId="11" fillId="90" borderId="0" applyNumberFormat="0" applyBorder="0" applyAlignment="0" applyProtection="0"/>
    <xf numFmtId="198" fontId="11" fillId="90" borderId="0" applyNumberFormat="0" applyBorder="0" applyAlignment="0" applyProtection="0"/>
    <xf numFmtId="198" fontId="11" fillId="90" borderId="0" applyNumberFormat="0" applyBorder="0" applyAlignment="0" applyProtection="0"/>
    <xf numFmtId="198" fontId="11" fillId="90" borderId="0" applyNumberFormat="0" applyBorder="0" applyAlignment="0" applyProtection="0"/>
    <xf numFmtId="198" fontId="11" fillId="90" borderId="0" applyNumberFormat="0" applyBorder="0" applyAlignment="0" applyProtection="0"/>
    <xf numFmtId="198" fontId="11" fillId="90" borderId="0" applyNumberFormat="0" applyBorder="0" applyAlignment="0" applyProtection="0"/>
    <xf numFmtId="198" fontId="11" fillId="90" borderId="0" applyNumberFormat="0" applyBorder="0" applyAlignment="0" applyProtection="0"/>
    <xf numFmtId="198" fontId="11" fillId="90" borderId="0" applyNumberFormat="0" applyBorder="0" applyAlignment="0" applyProtection="0"/>
    <xf numFmtId="198" fontId="11" fillId="90" borderId="0" applyNumberFormat="0" applyBorder="0" applyAlignment="0" applyProtection="0"/>
    <xf numFmtId="198" fontId="11" fillId="90" borderId="0" applyNumberFormat="0" applyBorder="0" applyAlignment="0" applyProtection="0"/>
    <xf numFmtId="198" fontId="11" fillId="90" borderId="0" applyNumberFormat="0" applyBorder="0" applyAlignment="0" applyProtection="0"/>
    <xf numFmtId="198" fontId="11" fillId="90" borderId="0" applyNumberFormat="0" applyBorder="0" applyAlignment="0" applyProtection="0"/>
    <xf numFmtId="198" fontId="11" fillId="90" borderId="0" applyNumberFormat="0" applyBorder="0" applyAlignment="0" applyProtection="0"/>
    <xf numFmtId="198" fontId="11" fillId="90" borderId="0" applyNumberFormat="0" applyBorder="0" applyAlignment="0" applyProtection="0"/>
    <xf numFmtId="198" fontId="11" fillId="90" borderId="0" applyNumberFormat="0" applyBorder="0" applyAlignment="0" applyProtection="0"/>
    <xf numFmtId="198" fontId="11" fillId="90" borderId="0" applyNumberFormat="0" applyBorder="0" applyAlignment="0" applyProtection="0"/>
    <xf numFmtId="198" fontId="11" fillId="90" borderId="0" applyNumberFormat="0" applyBorder="0" applyAlignment="0" applyProtection="0"/>
    <xf numFmtId="198" fontId="11" fillId="90" borderId="0" applyNumberFormat="0" applyBorder="0" applyAlignment="0" applyProtection="0"/>
    <xf numFmtId="198" fontId="11" fillId="90" borderId="0" applyNumberFormat="0" applyBorder="0" applyAlignment="0" applyProtection="0"/>
    <xf numFmtId="198" fontId="11" fillId="90" borderId="0" applyNumberFormat="0" applyBorder="0" applyAlignment="0" applyProtection="0"/>
    <xf numFmtId="198" fontId="11" fillId="90" borderId="0" applyNumberFormat="0" applyBorder="0" applyAlignment="0" applyProtection="0"/>
    <xf numFmtId="198" fontId="11" fillId="90" borderId="0" applyNumberFormat="0" applyBorder="0" applyAlignment="0" applyProtection="0"/>
    <xf numFmtId="198" fontId="11" fillId="90" borderId="0" applyNumberFormat="0" applyBorder="0" applyAlignment="0" applyProtection="0"/>
    <xf numFmtId="198" fontId="11" fillId="90" borderId="0" applyNumberFormat="0" applyBorder="0" applyAlignment="0" applyProtection="0"/>
    <xf numFmtId="198" fontId="11" fillId="90" borderId="0" applyNumberFormat="0" applyBorder="0" applyAlignment="0" applyProtection="0"/>
    <xf numFmtId="198" fontId="11" fillId="90" borderId="0" applyNumberFormat="0" applyBorder="0" applyAlignment="0" applyProtection="0"/>
    <xf numFmtId="198" fontId="11" fillId="90" borderId="0" applyNumberFormat="0" applyBorder="0" applyAlignment="0" applyProtection="0"/>
    <xf numFmtId="198" fontId="11" fillId="90" borderId="0" applyNumberFormat="0" applyBorder="0" applyAlignment="0" applyProtection="0"/>
    <xf numFmtId="198" fontId="11" fillId="90" borderId="0" applyNumberFormat="0" applyBorder="0" applyAlignment="0" applyProtection="0"/>
    <xf numFmtId="198" fontId="11" fillId="90" borderId="0" applyNumberFormat="0" applyBorder="0" applyAlignment="0" applyProtection="0"/>
    <xf numFmtId="198" fontId="11" fillId="90" borderId="0" applyNumberFormat="0" applyBorder="0" applyAlignment="0" applyProtection="0"/>
    <xf numFmtId="198" fontId="11" fillId="90" borderId="0" applyNumberFormat="0" applyBorder="0" applyAlignment="0" applyProtection="0"/>
    <xf numFmtId="198" fontId="11" fillId="90" borderId="0" applyNumberFormat="0" applyBorder="0" applyAlignment="0" applyProtection="0"/>
    <xf numFmtId="198" fontId="11" fillId="90" borderId="0" applyNumberFormat="0" applyBorder="0" applyAlignment="0" applyProtection="0"/>
    <xf numFmtId="198" fontId="11" fillId="90" borderId="0" applyNumberFormat="0" applyBorder="0" applyAlignment="0" applyProtection="0"/>
    <xf numFmtId="198" fontId="11" fillId="94" borderId="0" applyNumberFormat="0" applyBorder="0" applyAlignment="0" applyProtection="0"/>
    <xf numFmtId="198" fontId="11" fillId="94" borderId="0" applyNumberFormat="0" applyBorder="0" applyAlignment="0" applyProtection="0"/>
    <xf numFmtId="198" fontId="11" fillId="94" borderId="0" applyNumberFormat="0" applyBorder="0" applyAlignment="0" applyProtection="0"/>
    <xf numFmtId="198" fontId="11" fillId="94" borderId="0" applyNumberFormat="0" applyBorder="0" applyAlignment="0" applyProtection="0"/>
    <xf numFmtId="198" fontId="11" fillId="94" borderId="0" applyNumberFormat="0" applyBorder="0" applyAlignment="0" applyProtection="0"/>
    <xf numFmtId="198" fontId="11" fillId="94" borderId="0" applyNumberFormat="0" applyBorder="0" applyAlignment="0" applyProtection="0"/>
    <xf numFmtId="198" fontId="11" fillId="94" borderId="0" applyNumberFormat="0" applyBorder="0" applyAlignment="0" applyProtection="0"/>
    <xf numFmtId="198" fontId="11" fillId="94" borderId="0" applyNumberFormat="0" applyBorder="0" applyAlignment="0" applyProtection="0"/>
    <xf numFmtId="198" fontId="11" fillId="94" borderId="0" applyNumberFormat="0" applyBorder="0" applyAlignment="0" applyProtection="0"/>
    <xf numFmtId="198" fontId="11" fillId="94" borderId="0" applyNumberFormat="0" applyBorder="0" applyAlignment="0" applyProtection="0"/>
    <xf numFmtId="198" fontId="213" fillId="8" borderId="0" applyNumberFormat="0" applyBorder="0" applyAlignment="0" applyProtection="0"/>
    <xf numFmtId="198" fontId="11" fillId="94" borderId="0" applyNumberFormat="0" applyBorder="0" applyAlignment="0" applyProtection="0"/>
    <xf numFmtId="198" fontId="11" fillId="94" borderId="0" applyNumberFormat="0" applyBorder="0" applyAlignment="0" applyProtection="0"/>
    <xf numFmtId="198" fontId="11" fillId="94" borderId="0" applyNumberFormat="0" applyBorder="0" applyAlignment="0" applyProtection="0"/>
    <xf numFmtId="198" fontId="11" fillId="94" borderId="0" applyNumberFormat="0" applyBorder="0" applyAlignment="0" applyProtection="0"/>
    <xf numFmtId="198" fontId="11" fillId="94" borderId="0" applyNumberFormat="0" applyBorder="0" applyAlignment="0" applyProtection="0"/>
    <xf numFmtId="198" fontId="11" fillId="94" borderId="0" applyNumberFormat="0" applyBorder="0" applyAlignment="0" applyProtection="0"/>
    <xf numFmtId="198" fontId="11" fillId="94" borderId="0" applyNumberFormat="0" applyBorder="0" applyAlignment="0" applyProtection="0"/>
    <xf numFmtId="198" fontId="11" fillId="94" borderId="0" applyNumberFormat="0" applyBorder="0" applyAlignment="0" applyProtection="0"/>
    <xf numFmtId="198" fontId="11" fillId="94" borderId="0" applyNumberFormat="0" applyBorder="0" applyAlignment="0" applyProtection="0"/>
    <xf numFmtId="198" fontId="11" fillId="94" borderId="0" applyNumberFormat="0" applyBorder="0" applyAlignment="0" applyProtection="0"/>
    <xf numFmtId="198" fontId="11" fillId="94" borderId="0" applyNumberFormat="0" applyBorder="0" applyAlignment="0" applyProtection="0"/>
    <xf numFmtId="198" fontId="11" fillId="94" borderId="0" applyNumberFormat="0" applyBorder="0" applyAlignment="0" applyProtection="0"/>
    <xf numFmtId="198" fontId="11" fillId="94" borderId="0" applyNumberFormat="0" applyBorder="0" applyAlignment="0" applyProtection="0"/>
    <xf numFmtId="198" fontId="11" fillId="94" borderId="0" applyNumberFormat="0" applyBorder="0" applyAlignment="0" applyProtection="0"/>
    <xf numFmtId="198" fontId="11" fillId="94" borderId="0" applyNumberFormat="0" applyBorder="0" applyAlignment="0" applyProtection="0"/>
    <xf numFmtId="198" fontId="11" fillId="94" borderId="0" applyNumberFormat="0" applyBorder="0" applyAlignment="0" applyProtection="0"/>
    <xf numFmtId="198" fontId="11" fillId="94" borderId="0" applyNumberFormat="0" applyBorder="0" applyAlignment="0" applyProtection="0"/>
    <xf numFmtId="198" fontId="11" fillId="94" borderId="0" applyNumberFormat="0" applyBorder="0" applyAlignment="0" applyProtection="0"/>
    <xf numFmtId="198" fontId="11" fillId="94" borderId="0" applyNumberFormat="0" applyBorder="0" applyAlignment="0" applyProtection="0"/>
    <xf numFmtId="198" fontId="11" fillId="94" borderId="0" applyNumberFormat="0" applyBorder="0" applyAlignment="0" applyProtection="0"/>
    <xf numFmtId="198" fontId="11" fillId="94" borderId="0" applyNumberFormat="0" applyBorder="0" applyAlignment="0" applyProtection="0"/>
    <xf numFmtId="198" fontId="11" fillId="94" borderId="0" applyNumberFormat="0" applyBorder="0" applyAlignment="0" applyProtection="0"/>
    <xf numFmtId="198" fontId="11" fillId="94" borderId="0" applyNumberFormat="0" applyBorder="0" applyAlignment="0" applyProtection="0"/>
    <xf numFmtId="198" fontId="11" fillId="94" borderId="0" applyNumberFormat="0" applyBorder="0" applyAlignment="0" applyProtection="0"/>
    <xf numFmtId="198" fontId="11" fillId="94" borderId="0" applyNumberFormat="0" applyBorder="0" applyAlignment="0" applyProtection="0"/>
    <xf numFmtId="198" fontId="11" fillId="94" borderId="0" applyNumberFormat="0" applyBorder="0" applyAlignment="0" applyProtection="0"/>
    <xf numFmtId="198" fontId="11" fillId="94" borderId="0" applyNumberFormat="0" applyBorder="0" applyAlignment="0" applyProtection="0"/>
    <xf numFmtId="198" fontId="11" fillId="94" borderId="0" applyNumberFormat="0" applyBorder="0" applyAlignment="0" applyProtection="0"/>
    <xf numFmtId="198" fontId="11" fillId="94" borderId="0" applyNumberFormat="0" applyBorder="0" applyAlignment="0" applyProtection="0"/>
    <xf numFmtId="198" fontId="11" fillId="94" borderId="0" applyNumberFormat="0" applyBorder="0" applyAlignment="0" applyProtection="0"/>
    <xf numFmtId="198" fontId="11" fillId="94" borderId="0" applyNumberFormat="0" applyBorder="0" applyAlignment="0" applyProtection="0"/>
    <xf numFmtId="198" fontId="11" fillId="94" borderId="0" applyNumberFormat="0" applyBorder="0" applyAlignment="0" applyProtection="0"/>
    <xf numFmtId="198" fontId="11" fillId="94" borderId="0" applyNumberFormat="0" applyBorder="0" applyAlignment="0" applyProtection="0"/>
    <xf numFmtId="198" fontId="11" fillId="94" borderId="0" applyNumberFormat="0" applyBorder="0" applyAlignment="0" applyProtection="0"/>
    <xf numFmtId="198" fontId="11" fillId="94" borderId="0" applyNumberFormat="0" applyBorder="0" applyAlignment="0" applyProtection="0"/>
    <xf numFmtId="198" fontId="11" fillId="94" borderId="0" applyNumberFormat="0" applyBorder="0" applyAlignment="0" applyProtection="0"/>
    <xf numFmtId="198" fontId="11" fillId="94" borderId="0" applyNumberFormat="0" applyBorder="0" applyAlignment="0" applyProtection="0"/>
    <xf numFmtId="198" fontId="11" fillId="94" borderId="0" applyNumberFormat="0" applyBorder="0" applyAlignment="0" applyProtection="0"/>
    <xf numFmtId="198" fontId="11" fillId="94" borderId="0" applyNumberFormat="0" applyBorder="0" applyAlignment="0" applyProtection="0"/>
    <xf numFmtId="198" fontId="11" fillId="94" borderId="0" applyNumberFormat="0" applyBorder="0" applyAlignment="0" applyProtection="0"/>
    <xf numFmtId="198" fontId="11" fillId="94" borderId="0" applyNumberFormat="0" applyBorder="0" applyAlignment="0" applyProtection="0"/>
    <xf numFmtId="198" fontId="11" fillId="94" borderId="0" applyNumberFormat="0" applyBorder="0" applyAlignment="0" applyProtection="0"/>
    <xf numFmtId="198" fontId="11" fillId="94" borderId="0" applyNumberFormat="0" applyBorder="0" applyAlignment="0" applyProtection="0"/>
    <xf numFmtId="198" fontId="11" fillId="94" borderId="0" applyNumberFormat="0" applyBorder="0" applyAlignment="0" applyProtection="0"/>
    <xf numFmtId="198" fontId="11" fillId="94" borderId="0" applyNumberFormat="0" applyBorder="0" applyAlignment="0" applyProtection="0"/>
    <xf numFmtId="198" fontId="11" fillId="94" borderId="0" applyNumberFormat="0" applyBorder="0" applyAlignment="0" applyProtection="0"/>
    <xf numFmtId="198" fontId="11" fillId="94" borderId="0" applyNumberFormat="0" applyBorder="0" applyAlignment="0" applyProtection="0"/>
    <xf numFmtId="198" fontId="11" fillId="98" borderId="0" applyNumberFormat="0" applyBorder="0" applyAlignment="0" applyProtection="0"/>
    <xf numFmtId="198" fontId="11" fillId="98" borderId="0" applyNumberFormat="0" applyBorder="0" applyAlignment="0" applyProtection="0"/>
    <xf numFmtId="198" fontId="11" fillId="98" borderId="0" applyNumberFormat="0" applyBorder="0" applyAlignment="0" applyProtection="0"/>
    <xf numFmtId="198" fontId="11" fillId="98" borderId="0" applyNumberFormat="0" applyBorder="0" applyAlignment="0" applyProtection="0"/>
    <xf numFmtId="198" fontId="11" fillId="98" borderId="0" applyNumberFormat="0" applyBorder="0" applyAlignment="0" applyProtection="0"/>
    <xf numFmtId="198" fontId="11" fillId="98" borderId="0" applyNumberFormat="0" applyBorder="0" applyAlignment="0" applyProtection="0"/>
    <xf numFmtId="198" fontId="11" fillId="98" borderId="0" applyNumberFormat="0" applyBorder="0" applyAlignment="0" applyProtection="0"/>
    <xf numFmtId="198" fontId="11" fillId="98" borderId="0" applyNumberFormat="0" applyBorder="0" applyAlignment="0" applyProtection="0"/>
    <xf numFmtId="198" fontId="11" fillId="98" borderId="0" applyNumberFormat="0" applyBorder="0" applyAlignment="0" applyProtection="0"/>
    <xf numFmtId="198" fontId="11" fillId="98" borderId="0" applyNumberFormat="0" applyBorder="0" applyAlignment="0" applyProtection="0"/>
    <xf numFmtId="198" fontId="213" fillId="11" borderId="0" applyNumberFormat="0" applyBorder="0" applyAlignment="0" applyProtection="0"/>
    <xf numFmtId="198" fontId="11" fillId="98" borderId="0" applyNumberFormat="0" applyBorder="0" applyAlignment="0" applyProtection="0"/>
    <xf numFmtId="198" fontId="11" fillId="98" borderId="0" applyNumberFormat="0" applyBorder="0" applyAlignment="0" applyProtection="0"/>
    <xf numFmtId="198" fontId="11" fillId="98" borderId="0" applyNumberFormat="0" applyBorder="0" applyAlignment="0" applyProtection="0"/>
    <xf numFmtId="198" fontId="11" fillId="98" borderId="0" applyNumberFormat="0" applyBorder="0" applyAlignment="0" applyProtection="0"/>
    <xf numFmtId="198" fontId="11" fillId="98" borderId="0" applyNumberFormat="0" applyBorder="0" applyAlignment="0" applyProtection="0"/>
    <xf numFmtId="198" fontId="11" fillId="98" borderId="0" applyNumberFormat="0" applyBorder="0" applyAlignment="0" applyProtection="0"/>
    <xf numFmtId="198" fontId="11" fillId="98" borderId="0" applyNumberFormat="0" applyBorder="0" applyAlignment="0" applyProtection="0"/>
    <xf numFmtId="198" fontId="11" fillId="98" borderId="0" applyNumberFormat="0" applyBorder="0" applyAlignment="0" applyProtection="0"/>
    <xf numFmtId="198" fontId="11" fillId="98" borderId="0" applyNumberFormat="0" applyBorder="0" applyAlignment="0" applyProtection="0"/>
    <xf numFmtId="198" fontId="11" fillId="98" borderId="0" applyNumberFormat="0" applyBorder="0" applyAlignment="0" applyProtection="0"/>
    <xf numFmtId="198" fontId="11" fillId="98" borderId="0" applyNumberFormat="0" applyBorder="0" applyAlignment="0" applyProtection="0"/>
    <xf numFmtId="198" fontId="11" fillId="98" borderId="0" applyNumberFormat="0" applyBorder="0" applyAlignment="0" applyProtection="0"/>
    <xf numFmtId="198" fontId="11" fillId="98" borderId="0" applyNumberFormat="0" applyBorder="0" applyAlignment="0" applyProtection="0"/>
    <xf numFmtId="198" fontId="11" fillId="98" borderId="0" applyNumberFormat="0" applyBorder="0" applyAlignment="0" applyProtection="0"/>
    <xf numFmtId="198" fontId="11" fillId="98" borderId="0" applyNumberFormat="0" applyBorder="0" applyAlignment="0" applyProtection="0"/>
    <xf numFmtId="198" fontId="11" fillId="98" borderId="0" applyNumberFormat="0" applyBorder="0" applyAlignment="0" applyProtection="0"/>
    <xf numFmtId="198" fontId="11" fillId="98" borderId="0" applyNumberFormat="0" applyBorder="0" applyAlignment="0" applyProtection="0"/>
    <xf numFmtId="198" fontId="11" fillId="98" borderId="0" applyNumberFormat="0" applyBorder="0" applyAlignment="0" applyProtection="0"/>
    <xf numFmtId="198" fontId="11" fillId="98" borderId="0" applyNumberFormat="0" applyBorder="0" applyAlignment="0" applyProtection="0"/>
    <xf numFmtId="198" fontId="11" fillId="98" borderId="0" applyNumberFormat="0" applyBorder="0" applyAlignment="0" applyProtection="0"/>
    <xf numFmtId="198" fontId="11" fillId="98" borderId="0" applyNumberFormat="0" applyBorder="0" applyAlignment="0" applyProtection="0"/>
    <xf numFmtId="198" fontId="11" fillId="98" borderId="0" applyNumberFormat="0" applyBorder="0" applyAlignment="0" applyProtection="0"/>
    <xf numFmtId="198" fontId="11" fillId="98" borderId="0" applyNumberFormat="0" applyBorder="0" applyAlignment="0" applyProtection="0"/>
    <xf numFmtId="198" fontId="11" fillId="98" borderId="0" applyNumberFormat="0" applyBorder="0" applyAlignment="0" applyProtection="0"/>
    <xf numFmtId="198" fontId="11" fillId="98" borderId="0" applyNumberFormat="0" applyBorder="0" applyAlignment="0" applyProtection="0"/>
    <xf numFmtId="198" fontId="11" fillId="98" borderId="0" applyNumberFormat="0" applyBorder="0" applyAlignment="0" applyProtection="0"/>
    <xf numFmtId="198" fontId="11" fillId="98" borderId="0" applyNumberFormat="0" applyBorder="0" applyAlignment="0" applyProtection="0"/>
    <xf numFmtId="198" fontId="11" fillId="98" borderId="0" applyNumberFormat="0" applyBorder="0" applyAlignment="0" applyProtection="0"/>
    <xf numFmtId="198" fontId="11" fillId="98" borderId="0" applyNumberFormat="0" applyBorder="0" applyAlignment="0" applyProtection="0"/>
    <xf numFmtId="198" fontId="11" fillId="98" borderId="0" applyNumberFormat="0" applyBorder="0" applyAlignment="0" applyProtection="0"/>
    <xf numFmtId="198" fontId="11" fillId="98" borderId="0" applyNumberFormat="0" applyBorder="0" applyAlignment="0" applyProtection="0"/>
    <xf numFmtId="198" fontId="11" fillId="98" borderId="0" applyNumberFormat="0" applyBorder="0" applyAlignment="0" applyProtection="0"/>
    <xf numFmtId="198" fontId="11" fillId="98" borderId="0" applyNumberFormat="0" applyBorder="0" applyAlignment="0" applyProtection="0"/>
    <xf numFmtId="198" fontId="11" fillId="98" borderId="0" applyNumberFormat="0" applyBorder="0" applyAlignment="0" applyProtection="0"/>
    <xf numFmtId="198" fontId="11" fillId="98" borderId="0" applyNumberFormat="0" applyBorder="0" applyAlignment="0" applyProtection="0"/>
    <xf numFmtId="198" fontId="11" fillId="98" borderId="0" applyNumberFormat="0" applyBorder="0" applyAlignment="0" applyProtection="0"/>
    <xf numFmtId="198" fontId="11" fillId="98" borderId="0" applyNumberFormat="0" applyBorder="0" applyAlignment="0" applyProtection="0"/>
    <xf numFmtId="198" fontId="11" fillId="98" borderId="0" applyNumberFormat="0" applyBorder="0" applyAlignment="0" applyProtection="0"/>
    <xf numFmtId="198" fontId="11" fillId="98" borderId="0" applyNumberFormat="0" applyBorder="0" applyAlignment="0" applyProtection="0"/>
    <xf numFmtId="198" fontId="11" fillId="98" borderId="0" applyNumberFormat="0" applyBorder="0" applyAlignment="0" applyProtection="0"/>
    <xf numFmtId="198" fontId="11" fillId="98" borderId="0" applyNumberFormat="0" applyBorder="0" applyAlignment="0" applyProtection="0"/>
    <xf numFmtId="198" fontId="11" fillId="98" borderId="0" applyNumberFormat="0" applyBorder="0" applyAlignment="0" applyProtection="0"/>
    <xf numFmtId="198" fontId="11" fillId="98" borderId="0" applyNumberFormat="0" applyBorder="0" applyAlignment="0" applyProtection="0"/>
    <xf numFmtId="198" fontId="11" fillId="98" borderId="0" applyNumberFormat="0" applyBorder="0" applyAlignment="0" applyProtection="0"/>
    <xf numFmtId="198" fontId="11" fillId="98" borderId="0" applyNumberFormat="0" applyBorder="0" applyAlignment="0" applyProtection="0"/>
    <xf numFmtId="198" fontId="11" fillId="98" borderId="0" applyNumberFormat="0" applyBorder="0" applyAlignment="0" applyProtection="0"/>
    <xf numFmtId="198" fontId="11" fillId="98" borderId="0" applyNumberFormat="0" applyBorder="0" applyAlignment="0" applyProtection="0"/>
    <xf numFmtId="198" fontId="156" fillId="82" borderId="0" applyNumberFormat="0" applyBorder="0" applyAlignment="0" applyProtection="0"/>
    <xf numFmtId="198" fontId="156" fillId="82" borderId="0" applyNumberFormat="0" applyBorder="0" applyAlignment="0" applyProtection="0"/>
    <xf numFmtId="198" fontId="156" fillId="82" borderId="0" applyNumberFormat="0" applyBorder="0" applyAlignment="0" applyProtection="0"/>
    <xf numFmtId="198" fontId="156" fillId="82" borderId="0" applyNumberFormat="0" applyBorder="0" applyAlignment="0" applyProtection="0"/>
    <xf numFmtId="198" fontId="156" fillId="82" borderId="0" applyNumberFormat="0" applyBorder="0" applyAlignment="0" applyProtection="0"/>
    <xf numFmtId="198" fontId="156" fillId="82" borderId="0" applyNumberFormat="0" applyBorder="0" applyAlignment="0" applyProtection="0"/>
    <xf numFmtId="198" fontId="156" fillId="82" borderId="0" applyNumberFormat="0" applyBorder="0" applyAlignment="0" applyProtection="0"/>
    <xf numFmtId="198" fontId="156" fillId="82" borderId="0" applyNumberFormat="0" applyBorder="0" applyAlignment="0" applyProtection="0"/>
    <xf numFmtId="198" fontId="156" fillId="82" borderId="0" applyNumberFormat="0" applyBorder="0" applyAlignment="0" applyProtection="0"/>
    <xf numFmtId="198" fontId="156" fillId="82" borderId="0" applyNumberFormat="0" applyBorder="0" applyAlignment="0" applyProtection="0"/>
    <xf numFmtId="198" fontId="214" fillId="12" borderId="0" applyNumberFormat="0" applyBorder="0" applyAlignment="0" applyProtection="0"/>
    <xf numFmtId="198" fontId="156" fillId="82" borderId="0" applyNumberFormat="0" applyBorder="0" applyAlignment="0" applyProtection="0"/>
    <xf numFmtId="198" fontId="156" fillId="82" borderId="0" applyNumberFormat="0" applyBorder="0" applyAlignment="0" applyProtection="0"/>
    <xf numFmtId="198" fontId="156" fillId="82" borderId="0" applyNumberFormat="0" applyBorder="0" applyAlignment="0" applyProtection="0"/>
    <xf numFmtId="198" fontId="156" fillId="82" borderId="0" applyNumberFormat="0" applyBorder="0" applyAlignment="0" applyProtection="0"/>
    <xf numFmtId="198" fontId="156" fillId="82" borderId="0" applyNumberFormat="0" applyBorder="0" applyAlignment="0" applyProtection="0"/>
    <xf numFmtId="198" fontId="156" fillId="82" borderId="0" applyNumberFormat="0" applyBorder="0" applyAlignment="0" applyProtection="0"/>
    <xf numFmtId="198" fontId="156" fillId="82" borderId="0" applyNumberFormat="0" applyBorder="0" applyAlignment="0" applyProtection="0"/>
    <xf numFmtId="198" fontId="156" fillId="82" borderId="0" applyNumberFormat="0" applyBorder="0" applyAlignment="0" applyProtection="0"/>
    <xf numFmtId="198" fontId="156" fillId="82" borderId="0" applyNumberFormat="0" applyBorder="0" applyAlignment="0" applyProtection="0"/>
    <xf numFmtId="198" fontId="156" fillId="82" borderId="0" applyNumberFormat="0" applyBorder="0" applyAlignment="0" applyProtection="0"/>
    <xf numFmtId="198" fontId="156" fillId="82" borderId="0" applyNumberFormat="0" applyBorder="0" applyAlignment="0" applyProtection="0"/>
    <xf numFmtId="198" fontId="156" fillId="82" borderId="0" applyNumberFormat="0" applyBorder="0" applyAlignment="0" applyProtection="0"/>
    <xf numFmtId="198" fontId="156" fillId="82" borderId="0" applyNumberFormat="0" applyBorder="0" applyAlignment="0" applyProtection="0"/>
    <xf numFmtId="198" fontId="156" fillId="82" borderId="0" applyNumberFormat="0" applyBorder="0" applyAlignment="0" applyProtection="0"/>
    <xf numFmtId="198" fontId="156" fillId="82" borderId="0" applyNumberFormat="0" applyBorder="0" applyAlignment="0" applyProtection="0"/>
    <xf numFmtId="198" fontId="156" fillId="82" borderId="0" applyNumberFormat="0" applyBorder="0" applyAlignment="0" applyProtection="0"/>
    <xf numFmtId="198" fontId="156" fillId="82" borderId="0" applyNumberFormat="0" applyBorder="0" applyAlignment="0" applyProtection="0"/>
    <xf numFmtId="198" fontId="156" fillId="82" borderId="0" applyNumberFormat="0" applyBorder="0" applyAlignment="0" applyProtection="0"/>
    <xf numFmtId="198" fontId="156" fillId="82" borderId="0" applyNumberFormat="0" applyBorder="0" applyAlignment="0" applyProtection="0"/>
    <xf numFmtId="198" fontId="156" fillId="82" borderId="0" applyNumberFormat="0" applyBorder="0" applyAlignment="0" applyProtection="0"/>
    <xf numFmtId="198" fontId="156" fillId="82" borderId="0" applyNumberFormat="0" applyBorder="0" applyAlignment="0" applyProtection="0"/>
    <xf numFmtId="198" fontId="156" fillId="82" borderId="0" applyNumberFormat="0" applyBorder="0" applyAlignment="0" applyProtection="0"/>
    <xf numFmtId="198" fontId="156" fillId="82" borderId="0" applyNumberFormat="0" applyBorder="0" applyAlignment="0" applyProtection="0"/>
    <xf numFmtId="198" fontId="156" fillId="82" borderId="0" applyNumberFormat="0" applyBorder="0" applyAlignment="0" applyProtection="0"/>
    <xf numFmtId="198" fontId="156" fillId="82" borderId="0" applyNumberFormat="0" applyBorder="0" applyAlignment="0" applyProtection="0"/>
    <xf numFmtId="198" fontId="156" fillId="82" borderId="0" applyNumberFormat="0" applyBorder="0" applyAlignment="0" applyProtection="0"/>
    <xf numFmtId="198" fontId="156" fillId="82" borderId="0" applyNumberFormat="0" applyBorder="0" applyAlignment="0" applyProtection="0"/>
    <xf numFmtId="198" fontId="156" fillId="82" borderId="0" applyNumberFormat="0" applyBorder="0" applyAlignment="0" applyProtection="0"/>
    <xf numFmtId="198" fontId="156" fillId="82" borderId="0" applyNumberFormat="0" applyBorder="0" applyAlignment="0" applyProtection="0"/>
    <xf numFmtId="198" fontId="156" fillId="82" borderId="0" applyNumberFormat="0" applyBorder="0" applyAlignment="0" applyProtection="0"/>
    <xf numFmtId="198" fontId="156" fillId="82" borderId="0" applyNumberFormat="0" applyBorder="0" applyAlignment="0" applyProtection="0"/>
    <xf numFmtId="198" fontId="156" fillId="82" borderId="0" applyNumberFormat="0" applyBorder="0" applyAlignment="0" applyProtection="0"/>
    <xf numFmtId="198" fontId="156" fillId="82" borderId="0" applyNumberFormat="0" applyBorder="0" applyAlignment="0" applyProtection="0"/>
    <xf numFmtId="198" fontId="156" fillId="82" borderId="0" applyNumberFormat="0" applyBorder="0" applyAlignment="0" applyProtection="0"/>
    <xf numFmtId="198" fontId="156" fillId="82" borderId="0" applyNumberFormat="0" applyBorder="0" applyAlignment="0" applyProtection="0"/>
    <xf numFmtId="198" fontId="156" fillId="82" borderId="0" applyNumberFormat="0" applyBorder="0" applyAlignment="0" applyProtection="0"/>
    <xf numFmtId="198" fontId="156" fillId="82" borderId="0" applyNumberFormat="0" applyBorder="0" applyAlignment="0" applyProtection="0"/>
    <xf numFmtId="198" fontId="156" fillId="82" borderId="0" applyNumberFormat="0" applyBorder="0" applyAlignment="0" applyProtection="0"/>
    <xf numFmtId="198" fontId="156" fillId="82" borderId="0" applyNumberFormat="0" applyBorder="0" applyAlignment="0" applyProtection="0"/>
    <xf numFmtId="198" fontId="156" fillId="82" borderId="0" applyNumberFormat="0" applyBorder="0" applyAlignment="0" applyProtection="0"/>
    <xf numFmtId="198" fontId="156" fillId="82" borderId="0" applyNumberFormat="0" applyBorder="0" applyAlignment="0" applyProtection="0"/>
    <xf numFmtId="198" fontId="156" fillId="82" borderId="0" applyNumberFormat="0" applyBorder="0" applyAlignment="0" applyProtection="0"/>
    <xf numFmtId="198" fontId="156" fillId="82" borderId="0" applyNumberFormat="0" applyBorder="0" applyAlignment="0" applyProtection="0"/>
    <xf numFmtId="198" fontId="156" fillId="82" borderId="0" applyNumberFormat="0" applyBorder="0" applyAlignment="0" applyProtection="0"/>
    <xf numFmtId="198" fontId="156" fillId="82" borderId="0" applyNumberFormat="0" applyBorder="0" applyAlignment="0" applyProtection="0"/>
    <xf numFmtId="198" fontId="156" fillId="82" borderId="0" applyNumberFormat="0" applyBorder="0" applyAlignment="0" applyProtection="0"/>
    <xf numFmtId="198" fontId="156" fillId="82" borderId="0" applyNumberFormat="0" applyBorder="0" applyAlignment="0" applyProtection="0"/>
    <xf numFmtId="198" fontId="156" fillId="84" borderId="0" applyNumberFormat="0" applyBorder="0" applyAlignment="0" applyProtection="0"/>
    <xf numFmtId="198" fontId="156" fillId="84" borderId="0" applyNumberFormat="0" applyBorder="0" applyAlignment="0" applyProtection="0"/>
    <xf numFmtId="198" fontId="156" fillId="84" borderId="0" applyNumberFormat="0" applyBorder="0" applyAlignment="0" applyProtection="0"/>
    <xf numFmtId="198" fontId="156" fillId="84" borderId="0" applyNumberFormat="0" applyBorder="0" applyAlignment="0" applyProtection="0"/>
    <xf numFmtId="198" fontId="156" fillId="84" borderId="0" applyNumberFormat="0" applyBorder="0" applyAlignment="0" applyProtection="0"/>
    <xf numFmtId="198" fontId="156" fillId="84" borderId="0" applyNumberFormat="0" applyBorder="0" applyAlignment="0" applyProtection="0"/>
    <xf numFmtId="198" fontId="156" fillId="84" borderId="0" applyNumberFormat="0" applyBorder="0" applyAlignment="0" applyProtection="0"/>
    <xf numFmtId="198" fontId="156" fillId="84" borderId="0" applyNumberFormat="0" applyBorder="0" applyAlignment="0" applyProtection="0"/>
    <xf numFmtId="198" fontId="156" fillId="84" borderId="0" applyNumberFormat="0" applyBorder="0" applyAlignment="0" applyProtection="0"/>
    <xf numFmtId="198" fontId="156" fillId="84" borderId="0" applyNumberFormat="0" applyBorder="0" applyAlignment="0" applyProtection="0"/>
    <xf numFmtId="198" fontId="214" fillId="9" borderId="0" applyNumberFormat="0" applyBorder="0" applyAlignment="0" applyProtection="0"/>
    <xf numFmtId="198" fontId="156" fillId="84" borderId="0" applyNumberFormat="0" applyBorder="0" applyAlignment="0" applyProtection="0"/>
    <xf numFmtId="198" fontId="156" fillId="84" borderId="0" applyNumberFormat="0" applyBorder="0" applyAlignment="0" applyProtection="0"/>
    <xf numFmtId="198" fontId="156" fillId="84" borderId="0" applyNumberFormat="0" applyBorder="0" applyAlignment="0" applyProtection="0"/>
    <xf numFmtId="198" fontId="156" fillId="84" borderId="0" applyNumberFormat="0" applyBorder="0" applyAlignment="0" applyProtection="0"/>
    <xf numFmtId="198" fontId="156" fillId="84" borderId="0" applyNumberFormat="0" applyBorder="0" applyAlignment="0" applyProtection="0"/>
    <xf numFmtId="198" fontId="156" fillId="84" borderId="0" applyNumberFormat="0" applyBorder="0" applyAlignment="0" applyProtection="0"/>
    <xf numFmtId="198" fontId="156" fillId="84" borderId="0" applyNumberFormat="0" applyBorder="0" applyAlignment="0" applyProtection="0"/>
    <xf numFmtId="198" fontId="156" fillId="84" borderId="0" applyNumberFormat="0" applyBorder="0" applyAlignment="0" applyProtection="0"/>
    <xf numFmtId="198" fontId="156" fillId="84" borderId="0" applyNumberFormat="0" applyBorder="0" applyAlignment="0" applyProtection="0"/>
    <xf numFmtId="198" fontId="156" fillId="84" borderId="0" applyNumberFormat="0" applyBorder="0" applyAlignment="0" applyProtection="0"/>
    <xf numFmtId="198" fontId="156" fillId="84" borderId="0" applyNumberFormat="0" applyBorder="0" applyAlignment="0" applyProtection="0"/>
    <xf numFmtId="198" fontId="156" fillId="84" borderId="0" applyNumberFormat="0" applyBorder="0" applyAlignment="0" applyProtection="0"/>
    <xf numFmtId="198" fontId="156" fillId="84" borderId="0" applyNumberFormat="0" applyBorder="0" applyAlignment="0" applyProtection="0"/>
    <xf numFmtId="198" fontId="156" fillId="84" borderId="0" applyNumberFormat="0" applyBorder="0" applyAlignment="0" applyProtection="0"/>
    <xf numFmtId="198" fontId="156" fillId="84" borderId="0" applyNumberFormat="0" applyBorder="0" applyAlignment="0" applyProtection="0"/>
    <xf numFmtId="198" fontId="156" fillId="84" borderId="0" applyNumberFormat="0" applyBorder="0" applyAlignment="0" applyProtection="0"/>
    <xf numFmtId="198" fontId="156" fillId="84" borderId="0" applyNumberFormat="0" applyBorder="0" applyAlignment="0" applyProtection="0"/>
    <xf numFmtId="198" fontId="156" fillId="84" borderId="0" applyNumberFormat="0" applyBorder="0" applyAlignment="0" applyProtection="0"/>
    <xf numFmtId="198" fontId="156" fillId="84" borderId="0" applyNumberFormat="0" applyBorder="0" applyAlignment="0" applyProtection="0"/>
    <xf numFmtId="198" fontId="156" fillId="84" borderId="0" applyNumberFormat="0" applyBorder="0" applyAlignment="0" applyProtection="0"/>
    <xf numFmtId="198" fontId="156" fillId="84" borderId="0" applyNumberFormat="0" applyBorder="0" applyAlignment="0" applyProtection="0"/>
    <xf numFmtId="198" fontId="156" fillId="84" borderId="0" applyNumberFormat="0" applyBorder="0" applyAlignment="0" applyProtection="0"/>
    <xf numFmtId="198" fontId="156" fillId="84" borderId="0" applyNumberFormat="0" applyBorder="0" applyAlignment="0" applyProtection="0"/>
    <xf numFmtId="198" fontId="156" fillId="84" borderId="0" applyNumberFormat="0" applyBorder="0" applyAlignment="0" applyProtection="0"/>
    <xf numFmtId="198" fontId="156" fillId="84" borderId="0" applyNumberFormat="0" applyBorder="0" applyAlignment="0" applyProtection="0"/>
    <xf numFmtId="198" fontId="156" fillId="84" borderId="0" applyNumberFormat="0" applyBorder="0" applyAlignment="0" applyProtection="0"/>
    <xf numFmtId="198" fontId="156" fillId="84" borderId="0" applyNumberFormat="0" applyBorder="0" applyAlignment="0" applyProtection="0"/>
    <xf numFmtId="198" fontId="156" fillId="84" borderId="0" applyNumberFormat="0" applyBorder="0" applyAlignment="0" applyProtection="0"/>
    <xf numFmtId="198" fontId="156" fillId="84" borderId="0" applyNumberFormat="0" applyBorder="0" applyAlignment="0" applyProtection="0"/>
    <xf numFmtId="198" fontId="156" fillId="84" borderId="0" applyNumberFormat="0" applyBorder="0" applyAlignment="0" applyProtection="0"/>
    <xf numFmtId="198" fontId="156" fillId="84" borderId="0" applyNumberFormat="0" applyBorder="0" applyAlignment="0" applyProtection="0"/>
    <xf numFmtId="198" fontId="156" fillId="84" borderId="0" applyNumberFormat="0" applyBorder="0" applyAlignment="0" applyProtection="0"/>
    <xf numFmtId="198" fontId="156" fillId="84" borderId="0" applyNumberFormat="0" applyBorder="0" applyAlignment="0" applyProtection="0"/>
    <xf numFmtId="198" fontId="156" fillId="84" borderId="0" applyNumberFormat="0" applyBorder="0" applyAlignment="0" applyProtection="0"/>
    <xf numFmtId="198" fontId="156" fillId="84" borderId="0" applyNumberFormat="0" applyBorder="0" applyAlignment="0" applyProtection="0"/>
    <xf numFmtId="198" fontId="156" fillId="84" borderId="0" applyNumberFormat="0" applyBorder="0" applyAlignment="0" applyProtection="0"/>
    <xf numFmtId="198" fontId="156" fillId="84" borderId="0" applyNumberFormat="0" applyBorder="0" applyAlignment="0" applyProtection="0"/>
    <xf numFmtId="198" fontId="156" fillId="84" borderId="0" applyNumberFormat="0" applyBorder="0" applyAlignment="0" applyProtection="0"/>
    <xf numFmtId="198" fontId="156" fillId="84" borderId="0" applyNumberFormat="0" applyBorder="0" applyAlignment="0" applyProtection="0"/>
    <xf numFmtId="198" fontId="156" fillId="84" borderId="0" applyNumberFormat="0" applyBorder="0" applyAlignment="0" applyProtection="0"/>
    <xf numFmtId="198" fontId="156" fillId="84" borderId="0" applyNumberFormat="0" applyBorder="0" applyAlignment="0" applyProtection="0"/>
    <xf numFmtId="198" fontId="156" fillId="84" borderId="0" applyNumberFormat="0" applyBorder="0" applyAlignment="0" applyProtection="0"/>
    <xf numFmtId="198" fontId="156" fillId="84" borderId="0" applyNumberFormat="0" applyBorder="0" applyAlignment="0" applyProtection="0"/>
    <xf numFmtId="198" fontId="156" fillId="84" borderId="0" applyNumberFormat="0" applyBorder="0" applyAlignment="0" applyProtection="0"/>
    <xf numFmtId="198" fontId="156" fillId="84" borderId="0" applyNumberFormat="0" applyBorder="0" applyAlignment="0" applyProtection="0"/>
    <xf numFmtId="198" fontId="156" fillId="84" borderId="0" applyNumberFormat="0" applyBorder="0" applyAlignment="0" applyProtection="0"/>
    <xf numFmtId="198" fontId="156" fillId="84" borderId="0" applyNumberFormat="0" applyBorder="0" applyAlignment="0" applyProtection="0"/>
    <xf numFmtId="198" fontId="156" fillId="87" borderId="0" applyNumberFormat="0" applyBorder="0" applyAlignment="0" applyProtection="0"/>
    <xf numFmtId="198" fontId="156" fillId="87" borderId="0" applyNumberFormat="0" applyBorder="0" applyAlignment="0" applyProtection="0"/>
    <xf numFmtId="198" fontId="156" fillId="87" borderId="0" applyNumberFormat="0" applyBorder="0" applyAlignment="0" applyProtection="0"/>
    <xf numFmtId="198" fontId="156" fillId="87" borderId="0" applyNumberFormat="0" applyBorder="0" applyAlignment="0" applyProtection="0"/>
    <xf numFmtId="198" fontId="156" fillId="87" borderId="0" applyNumberFormat="0" applyBorder="0" applyAlignment="0" applyProtection="0"/>
    <xf numFmtId="198" fontId="156" fillId="87" borderId="0" applyNumberFormat="0" applyBorder="0" applyAlignment="0" applyProtection="0"/>
    <xf numFmtId="198" fontId="156" fillId="87" borderId="0" applyNumberFormat="0" applyBorder="0" applyAlignment="0" applyProtection="0"/>
    <xf numFmtId="198" fontId="156" fillId="87" borderId="0" applyNumberFormat="0" applyBorder="0" applyAlignment="0" applyProtection="0"/>
    <xf numFmtId="198" fontId="156" fillId="87" borderId="0" applyNumberFormat="0" applyBorder="0" applyAlignment="0" applyProtection="0"/>
    <xf numFmtId="198" fontId="156" fillId="87" borderId="0" applyNumberFormat="0" applyBorder="0" applyAlignment="0" applyProtection="0"/>
    <xf numFmtId="198" fontId="214" fillId="10" borderId="0" applyNumberFormat="0" applyBorder="0" applyAlignment="0" applyProtection="0"/>
    <xf numFmtId="198" fontId="156" fillId="87" borderId="0" applyNumberFormat="0" applyBorder="0" applyAlignment="0" applyProtection="0"/>
    <xf numFmtId="198" fontId="156" fillId="87" borderId="0" applyNumberFormat="0" applyBorder="0" applyAlignment="0" applyProtection="0"/>
    <xf numFmtId="198" fontId="156" fillId="87" borderId="0" applyNumberFormat="0" applyBorder="0" applyAlignment="0" applyProtection="0"/>
    <xf numFmtId="198" fontId="156" fillId="87" borderId="0" applyNumberFormat="0" applyBorder="0" applyAlignment="0" applyProtection="0"/>
    <xf numFmtId="198" fontId="156" fillId="87" borderId="0" applyNumberFormat="0" applyBorder="0" applyAlignment="0" applyProtection="0"/>
    <xf numFmtId="198" fontId="156" fillId="87" borderId="0" applyNumberFormat="0" applyBorder="0" applyAlignment="0" applyProtection="0"/>
    <xf numFmtId="198" fontId="156" fillId="87" borderId="0" applyNumberFormat="0" applyBorder="0" applyAlignment="0" applyProtection="0"/>
    <xf numFmtId="198" fontId="156" fillId="87" borderId="0" applyNumberFormat="0" applyBorder="0" applyAlignment="0" applyProtection="0"/>
    <xf numFmtId="198" fontId="156" fillId="87" borderId="0" applyNumberFormat="0" applyBorder="0" applyAlignment="0" applyProtection="0"/>
    <xf numFmtId="198" fontId="156" fillId="87" borderId="0" applyNumberFormat="0" applyBorder="0" applyAlignment="0" applyProtection="0"/>
    <xf numFmtId="198" fontId="156" fillId="87" borderId="0" applyNumberFormat="0" applyBorder="0" applyAlignment="0" applyProtection="0"/>
    <xf numFmtId="198" fontId="156" fillId="87" borderId="0" applyNumberFormat="0" applyBorder="0" applyAlignment="0" applyProtection="0"/>
    <xf numFmtId="198" fontId="156" fillId="87" borderId="0" applyNumberFormat="0" applyBorder="0" applyAlignment="0" applyProtection="0"/>
    <xf numFmtId="198" fontId="156" fillId="87" borderId="0" applyNumberFormat="0" applyBorder="0" applyAlignment="0" applyProtection="0"/>
    <xf numFmtId="198" fontId="156" fillId="87" borderId="0" applyNumberFormat="0" applyBorder="0" applyAlignment="0" applyProtection="0"/>
    <xf numFmtId="198" fontId="156" fillId="87" borderId="0" applyNumberFormat="0" applyBorder="0" applyAlignment="0" applyProtection="0"/>
    <xf numFmtId="198" fontId="156" fillId="87" borderId="0" applyNumberFormat="0" applyBorder="0" applyAlignment="0" applyProtection="0"/>
    <xf numFmtId="198" fontId="156" fillId="87" borderId="0" applyNumberFormat="0" applyBorder="0" applyAlignment="0" applyProtection="0"/>
    <xf numFmtId="198" fontId="156" fillId="87" borderId="0" applyNumberFormat="0" applyBorder="0" applyAlignment="0" applyProtection="0"/>
    <xf numFmtId="198" fontId="156" fillId="87" borderId="0" applyNumberFormat="0" applyBorder="0" applyAlignment="0" applyProtection="0"/>
    <xf numFmtId="198" fontId="156" fillId="87" borderId="0" applyNumberFormat="0" applyBorder="0" applyAlignment="0" applyProtection="0"/>
    <xf numFmtId="198" fontId="156" fillId="87" borderId="0" applyNumberFormat="0" applyBorder="0" applyAlignment="0" applyProtection="0"/>
    <xf numFmtId="198" fontId="156" fillId="87" borderId="0" applyNumberFormat="0" applyBorder="0" applyAlignment="0" applyProtection="0"/>
    <xf numFmtId="198" fontId="156" fillId="87" borderId="0" applyNumberFormat="0" applyBorder="0" applyAlignment="0" applyProtection="0"/>
    <xf numFmtId="198" fontId="156" fillId="87" borderId="0" applyNumberFormat="0" applyBorder="0" applyAlignment="0" applyProtection="0"/>
    <xf numFmtId="198" fontId="156" fillId="87" borderId="0" applyNumberFormat="0" applyBorder="0" applyAlignment="0" applyProtection="0"/>
    <xf numFmtId="198" fontId="156" fillId="87" borderId="0" applyNumberFormat="0" applyBorder="0" applyAlignment="0" applyProtection="0"/>
    <xf numFmtId="198" fontId="156" fillId="87" borderId="0" applyNumberFormat="0" applyBorder="0" applyAlignment="0" applyProtection="0"/>
    <xf numFmtId="198" fontId="156" fillId="87" borderId="0" applyNumberFormat="0" applyBorder="0" applyAlignment="0" applyProtection="0"/>
    <xf numFmtId="198" fontId="156" fillId="87" borderId="0" applyNumberFormat="0" applyBorder="0" applyAlignment="0" applyProtection="0"/>
    <xf numFmtId="198" fontId="156" fillId="87" borderId="0" applyNumberFormat="0" applyBorder="0" applyAlignment="0" applyProtection="0"/>
    <xf numFmtId="198" fontId="156" fillId="87" borderId="0" applyNumberFormat="0" applyBorder="0" applyAlignment="0" applyProtection="0"/>
    <xf numFmtId="198" fontId="156" fillId="87" borderId="0" applyNumberFormat="0" applyBorder="0" applyAlignment="0" applyProtection="0"/>
    <xf numFmtId="198" fontId="156" fillId="87" borderId="0" applyNumberFormat="0" applyBorder="0" applyAlignment="0" applyProtection="0"/>
    <xf numFmtId="198" fontId="156" fillId="87" borderId="0" applyNumberFormat="0" applyBorder="0" applyAlignment="0" applyProtection="0"/>
    <xf numFmtId="198" fontId="156" fillId="87" borderId="0" applyNumberFormat="0" applyBorder="0" applyAlignment="0" applyProtection="0"/>
    <xf numFmtId="198" fontId="156" fillId="87" borderId="0" applyNumberFormat="0" applyBorder="0" applyAlignment="0" applyProtection="0"/>
    <xf numFmtId="198" fontId="156" fillId="87" borderId="0" applyNumberFormat="0" applyBorder="0" applyAlignment="0" applyProtection="0"/>
    <xf numFmtId="198" fontId="156" fillId="87" borderId="0" applyNumberFormat="0" applyBorder="0" applyAlignment="0" applyProtection="0"/>
    <xf numFmtId="198" fontId="156" fillId="87" borderId="0" applyNumberFormat="0" applyBorder="0" applyAlignment="0" applyProtection="0"/>
    <xf numFmtId="198" fontId="156" fillId="87" borderId="0" applyNumberFormat="0" applyBorder="0" applyAlignment="0" applyProtection="0"/>
    <xf numFmtId="198" fontId="156" fillId="87" borderId="0" applyNumberFormat="0" applyBorder="0" applyAlignment="0" applyProtection="0"/>
    <xf numFmtId="198" fontId="156" fillId="87" borderId="0" applyNumberFormat="0" applyBorder="0" applyAlignment="0" applyProtection="0"/>
    <xf numFmtId="198" fontId="156" fillId="87" borderId="0" applyNumberFormat="0" applyBorder="0" applyAlignment="0" applyProtection="0"/>
    <xf numFmtId="198" fontId="156" fillId="87" borderId="0" applyNumberFormat="0" applyBorder="0" applyAlignment="0" applyProtection="0"/>
    <xf numFmtId="198" fontId="156" fillId="87" borderId="0" applyNumberFormat="0" applyBorder="0" applyAlignment="0" applyProtection="0"/>
    <xf numFmtId="198" fontId="156" fillId="87" borderId="0" applyNumberFormat="0" applyBorder="0" applyAlignment="0" applyProtection="0"/>
    <xf numFmtId="198" fontId="156" fillId="91" borderId="0" applyNumberFormat="0" applyBorder="0" applyAlignment="0" applyProtection="0"/>
    <xf numFmtId="198" fontId="156" fillId="91" borderId="0" applyNumberFormat="0" applyBorder="0" applyAlignment="0" applyProtection="0"/>
    <xf numFmtId="198" fontId="156" fillId="91" borderId="0" applyNumberFormat="0" applyBorder="0" applyAlignment="0" applyProtection="0"/>
    <xf numFmtId="198" fontId="156" fillId="91" borderId="0" applyNumberFormat="0" applyBorder="0" applyAlignment="0" applyProtection="0"/>
    <xf numFmtId="198" fontId="156" fillId="91" borderId="0" applyNumberFormat="0" applyBorder="0" applyAlignment="0" applyProtection="0"/>
    <xf numFmtId="198" fontId="156" fillId="91" borderId="0" applyNumberFormat="0" applyBorder="0" applyAlignment="0" applyProtection="0"/>
    <xf numFmtId="198" fontId="156" fillId="91" borderId="0" applyNumberFormat="0" applyBorder="0" applyAlignment="0" applyProtection="0"/>
    <xf numFmtId="198" fontId="156" fillId="91" borderId="0" applyNumberFormat="0" applyBorder="0" applyAlignment="0" applyProtection="0"/>
    <xf numFmtId="198" fontId="156" fillId="91" borderId="0" applyNumberFormat="0" applyBorder="0" applyAlignment="0" applyProtection="0"/>
    <xf numFmtId="198" fontId="156" fillId="91" borderId="0" applyNumberFormat="0" applyBorder="0" applyAlignment="0" applyProtection="0"/>
    <xf numFmtId="198" fontId="214" fillId="13" borderId="0" applyNumberFormat="0" applyBorder="0" applyAlignment="0" applyProtection="0"/>
    <xf numFmtId="198" fontId="156" fillId="91" borderId="0" applyNumberFormat="0" applyBorder="0" applyAlignment="0" applyProtection="0"/>
    <xf numFmtId="198" fontId="156" fillId="91" borderId="0" applyNumberFormat="0" applyBorder="0" applyAlignment="0" applyProtection="0"/>
    <xf numFmtId="198" fontId="156" fillId="91" borderId="0" applyNumberFormat="0" applyBorder="0" applyAlignment="0" applyProtection="0"/>
    <xf numFmtId="198" fontId="156" fillId="91" borderId="0" applyNumberFormat="0" applyBorder="0" applyAlignment="0" applyProtection="0"/>
    <xf numFmtId="198" fontId="156" fillId="91" borderId="0" applyNumberFormat="0" applyBorder="0" applyAlignment="0" applyProtection="0"/>
    <xf numFmtId="198" fontId="156" fillId="91" borderId="0" applyNumberFormat="0" applyBorder="0" applyAlignment="0" applyProtection="0"/>
    <xf numFmtId="198" fontId="156" fillId="91" borderId="0" applyNumberFormat="0" applyBorder="0" applyAlignment="0" applyProtection="0"/>
    <xf numFmtId="198" fontId="156" fillId="91" borderId="0" applyNumberFormat="0" applyBorder="0" applyAlignment="0" applyProtection="0"/>
    <xf numFmtId="198" fontId="156" fillId="91" borderId="0" applyNumberFormat="0" applyBorder="0" applyAlignment="0" applyProtection="0"/>
    <xf numFmtId="198" fontId="156" fillId="91" borderId="0" applyNumberFormat="0" applyBorder="0" applyAlignment="0" applyProtection="0"/>
    <xf numFmtId="198" fontId="156" fillId="91" borderId="0" applyNumberFormat="0" applyBorder="0" applyAlignment="0" applyProtection="0"/>
    <xf numFmtId="198" fontId="156" fillId="91" borderId="0" applyNumberFormat="0" applyBorder="0" applyAlignment="0" applyProtection="0"/>
    <xf numFmtId="198" fontId="156" fillId="91" borderId="0" applyNumberFormat="0" applyBorder="0" applyAlignment="0" applyProtection="0"/>
    <xf numFmtId="198" fontId="156" fillId="91" borderId="0" applyNumberFormat="0" applyBorder="0" applyAlignment="0" applyProtection="0"/>
    <xf numFmtId="198" fontId="156" fillId="91" borderId="0" applyNumberFormat="0" applyBorder="0" applyAlignment="0" applyProtection="0"/>
    <xf numFmtId="198" fontId="156" fillId="91" borderId="0" applyNumberFormat="0" applyBorder="0" applyAlignment="0" applyProtection="0"/>
    <xf numFmtId="198" fontId="156" fillId="91" borderId="0" applyNumberFormat="0" applyBorder="0" applyAlignment="0" applyProtection="0"/>
    <xf numFmtId="198" fontId="156" fillId="91" borderId="0" applyNumberFormat="0" applyBorder="0" applyAlignment="0" applyProtection="0"/>
    <xf numFmtId="198" fontId="156" fillId="91" borderId="0" applyNumberFormat="0" applyBorder="0" applyAlignment="0" applyProtection="0"/>
    <xf numFmtId="198" fontId="156" fillId="91" borderId="0" applyNumberFormat="0" applyBorder="0" applyAlignment="0" applyProtection="0"/>
    <xf numFmtId="198" fontId="156" fillId="91" borderId="0" applyNumberFormat="0" applyBorder="0" applyAlignment="0" applyProtection="0"/>
    <xf numFmtId="198" fontId="156" fillId="91" borderId="0" applyNumberFormat="0" applyBorder="0" applyAlignment="0" applyProtection="0"/>
    <xf numFmtId="198" fontId="156" fillId="91" borderId="0" applyNumberFormat="0" applyBorder="0" applyAlignment="0" applyProtection="0"/>
    <xf numFmtId="198" fontId="156" fillId="91" borderId="0" applyNumberFormat="0" applyBorder="0" applyAlignment="0" applyProtection="0"/>
    <xf numFmtId="198" fontId="156" fillId="91" borderId="0" applyNumberFormat="0" applyBorder="0" applyAlignment="0" applyProtection="0"/>
    <xf numFmtId="198" fontId="156" fillId="91" borderId="0" applyNumberFormat="0" applyBorder="0" applyAlignment="0" applyProtection="0"/>
    <xf numFmtId="198" fontId="156" fillId="91" borderId="0" applyNumberFormat="0" applyBorder="0" applyAlignment="0" applyProtection="0"/>
    <xf numFmtId="198" fontId="156" fillId="91" borderId="0" applyNumberFormat="0" applyBorder="0" applyAlignment="0" applyProtection="0"/>
    <xf numFmtId="198" fontId="156" fillId="91" borderId="0" applyNumberFormat="0" applyBorder="0" applyAlignment="0" applyProtection="0"/>
    <xf numFmtId="198" fontId="156" fillId="91" borderId="0" applyNumberFormat="0" applyBorder="0" applyAlignment="0" applyProtection="0"/>
    <xf numFmtId="198" fontId="156" fillId="91" borderId="0" applyNumberFormat="0" applyBorder="0" applyAlignment="0" applyProtection="0"/>
    <xf numFmtId="198" fontId="156" fillId="91" borderId="0" applyNumberFormat="0" applyBorder="0" applyAlignment="0" applyProtection="0"/>
    <xf numFmtId="198" fontId="156" fillId="91" borderId="0" applyNumberFormat="0" applyBorder="0" applyAlignment="0" applyProtection="0"/>
    <xf numFmtId="198" fontId="156" fillId="91" borderId="0" applyNumberFormat="0" applyBorder="0" applyAlignment="0" applyProtection="0"/>
    <xf numFmtId="198" fontId="156" fillId="91" borderId="0" applyNumberFormat="0" applyBorder="0" applyAlignment="0" applyProtection="0"/>
    <xf numFmtId="198" fontId="156" fillId="91" borderId="0" applyNumberFormat="0" applyBorder="0" applyAlignment="0" applyProtection="0"/>
    <xf numFmtId="198" fontId="156" fillId="91" borderId="0" applyNumberFormat="0" applyBorder="0" applyAlignment="0" applyProtection="0"/>
    <xf numFmtId="198" fontId="156" fillId="91" borderId="0" applyNumberFormat="0" applyBorder="0" applyAlignment="0" applyProtection="0"/>
    <xf numFmtId="198" fontId="156" fillId="91" borderId="0" applyNumberFormat="0" applyBorder="0" applyAlignment="0" applyProtection="0"/>
    <xf numFmtId="198" fontId="156" fillId="91" borderId="0" applyNumberFormat="0" applyBorder="0" applyAlignment="0" applyProtection="0"/>
    <xf numFmtId="198" fontId="156" fillId="91" borderId="0" applyNumberFormat="0" applyBorder="0" applyAlignment="0" applyProtection="0"/>
    <xf numFmtId="198" fontId="156" fillId="91" borderId="0" applyNumberFormat="0" applyBorder="0" applyAlignment="0" applyProtection="0"/>
    <xf numFmtId="198" fontId="156" fillId="91" borderId="0" applyNumberFormat="0" applyBorder="0" applyAlignment="0" applyProtection="0"/>
    <xf numFmtId="198" fontId="156" fillId="91" borderId="0" applyNumberFormat="0" applyBorder="0" applyAlignment="0" applyProtection="0"/>
    <xf numFmtId="198" fontId="156" fillId="91" borderId="0" applyNumberFormat="0" applyBorder="0" applyAlignment="0" applyProtection="0"/>
    <xf numFmtId="198" fontId="156" fillId="91" borderId="0" applyNumberFormat="0" applyBorder="0" applyAlignment="0" applyProtection="0"/>
    <xf numFmtId="198" fontId="156" fillId="91" borderId="0" applyNumberFormat="0" applyBorder="0" applyAlignment="0" applyProtection="0"/>
    <xf numFmtId="198" fontId="156" fillId="95" borderId="0" applyNumberFormat="0" applyBorder="0" applyAlignment="0" applyProtection="0"/>
    <xf numFmtId="198" fontId="156" fillId="95" borderId="0" applyNumberFormat="0" applyBorder="0" applyAlignment="0" applyProtection="0"/>
    <xf numFmtId="198" fontId="156" fillId="95" borderId="0" applyNumberFormat="0" applyBorder="0" applyAlignment="0" applyProtection="0"/>
    <xf numFmtId="198" fontId="156" fillId="95" borderId="0" applyNumberFormat="0" applyBorder="0" applyAlignment="0" applyProtection="0"/>
    <xf numFmtId="198" fontId="156" fillId="95" borderId="0" applyNumberFormat="0" applyBorder="0" applyAlignment="0" applyProtection="0"/>
    <xf numFmtId="198" fontId="156" fillId="95" borderId="0" applyNumberFormat="0" applyBorder="0" applyAlignment="0" applyProtection="0"/>
    <xf numFmtId="198" fontId="156" fillId="95" borderId="0" applyNumberFormat="0" applyBorder="0" applyAlignment="0" applyProtection="0"/>
    <xf numFmtId="198" fontId="156" fillId="95" borderId="0" applyNumberFormat="0" applyBorder="0" applyAlignment="0" applyProtection="0"/>
    <xf numFmtId="198" fontId="156" fillId="95" borderId="0" applyNumberFormat="0" applyBorder="0" applyAlignment="0" applyProtection="0"/>
    <xf numFmtId="198" fontId="156" fillId="95" borderId="0" applyNumberFormat="0" applyBorder="0" applyAlignment="0" applyProtection="0"/>
    <xf numFmtId="198" fontId="214" fillId="14" borderId="0" applyNumberFormat="0" applyBorder="0" applyAlignment="0" applyProtection="0"/>
    <xf numFmtId="198" fontId="156" fillId="95" borderId="0" applyNumberFormat="0" applyBorder="0" applyAlignment="0" applyProtection="0"/>
    <xf numFmtId="198" fontId="156" fillId="95" borderId="0" applyNumberFormat="0" applyBorder="0" applyAlignment="0" applyProtection="0"/>
    <xf numFmtId="198" fontId="156" fillId="95" borderId="0" applyNumberFormat="0" applyBorder="0" applyAlignment="0" applyProtection="0"/>
    <xf numFmtId="198" fontId="156" fillId="95" borderId="0" applyNumberFormat="0" applyBorder="0" applyAlignment="0" applyProtection="0"/>
    <xf numFmtId="198" fontId="156" fillId="95" borderId="0" applyNumberFormat="0" applyBorder="0" applyAlignment="0" applyProtection="0"/>
    <xf numFmtId="198" fontId="156" fillId="95" borderId="0" applyNumberFormat="0" applyBorder="0" applyAlignment="0" applyProtection="0"/>
    <xf numFmtId="198" fontId="156" fillId="95" borderId="0" applyNumberFormat="0" applyBorder="0" applyAlignment="0" applyProtection="0"/>
    <xf numFmtId="198" fontId="156" fillId="95" borderId="0" applyNumberFormat="0" applyBorder="0" applyAlignment="0" applyProtection="0"/>
    <xf numFmtId="198" fontId="156" fillId="95" borderId="0" applyNumberFormat="0" applyBorder="0" applyAlignment="0" applyProtection="0"/>
    <xf numFmtId="198" fontId="156" fillId="95" borderId="0" applyNumberFormat="0" applyBorder="0" applyAlignment="0" applyProtection="0"/>
    <xf numFmtId="198" fontId="156" fillId="95" borderId="0" applyNumberFormat="0" applyBorder="0" applyAlignment="0" applyProtection="0"/>
    <xf numFmtId="198" fontId="156" fillId="95" borderId="0" applyNumberFormat="0" applyBorder="0" applyAlignment="0" applyProtection="0"/>
    <xf numFmtId="198" fontId="156" fillId="95" borderId="0" applyNumberFormat="0" applyBorder="0" applyAlignment="0" applyProtection="0"/>
    <xf numFmtId="198" fontId="156" fillId="95" borderId="0" applyNumberFormat="0" applyBorder="0" applyAlignment="0" applyProtection="0"/>
    <xf numFmtId="198" fontId="156" fillId="95" borderId="0" applyNumberFormat="0" applyBorder="0" applyAlignment="0" applyProtection="0"/>
    <xf numFmtId="198" fontId="156" fillId="95" borderId="0" applyNumberFormat="0" applyBorder="0" applyAlignment="0" applyProtection="0"/>
    <xf numFmtId="198" fontId="156" fillId="95" borderId="0" applyNumberFormat="0" applyBorder="0" applyAlignment="0" applyProtection="0"/>
    <xf numFmtId="198" fontId="156" fillId="95" borderId="0" applyNumberFormat="0" applyBorder="0" applyAlignment="0" applyProtection="0"/>
    <xf numFmtId="198" fontId="156" fillId="95" borderId="0" applyNumberFormat="0" applyBorder="0" applyAlignment="0" applyProtection="0"/>
    <xf numFmtId="198" fontId="156" fillId="95" borderId="0" applyNumberFormat="0" applyBorder="0" applyAlignment="0" applyProtection="0"/>
    <xf numFmtId="198" fontId="156" fillId="95" borderId="0" applyNumberFormat="0" applyBorder="0" applyAlignment="0" applyProtection="0"/>
    <xf numFmtId="198" fontId="156" fillId="95" borderId="0" applyNumberFormat="0" applyBorder="0" applyAlignment="0" applyProtection="0"/>
    <xf numFmtId="198" fontId="156" fillId="95" borderId="0" applyNumberFormat="0" applyBorder="0" applyAlignment="0" applyProtection="0"/>
    <xf numFmtId="198" fontId="156" fillId="95" borderId="0" applyNumberFormat="0" applyBorder="0" applyAlignment="0" applyProtection="0"/>
    <xf numFmtId="198" fontId="156" fillId="95" borderId="0" applyNumberFormat="0" applyBorder="0" applyAlignment="0" applyProtection="0"/>
    <xf numFmtId="198" fontId="156" fillId="95" borderId="0" applyNumberFormat="0" applyBorder="0" applyAlignment="0" applyProtection="0"/>
    <xf numFmtId="198" fontId="156" fillId="95" borderId="0" applyNumberFormat="0" applyBorder="0" applyAlignment="0" applyProtection="0"/>
    <xf numFmtId="198" fontId="156" fillId="95" borderId="0" applyNumberFormat="0" applyBorder="0" applyAlignment="0" applyProtection="0"/>
    <xf numFmtId="198" fontId="156" fillId="95" borderId="0" applyNumberFormat="0" applyBorder="0" applyAlignment="0" applyProtection="0"/>
    <xf numFmtId="198" fontId="156" fillId="95" borderId="0" applyNumberFormat="0" applyBorder="0" applyAlignment="0" applyProtection="0"/>
    <xf numFmtId="198" fontId="156" fillId="95" borderId="0" applyNumberFormat="0" applyBorder="0" applyAlignment="0" applyProtection="0"/>
    <xf numFmtId="198" fontId="156" fillId="95" borderId="0" applyNumberFormat="0" applyBorder="0" applyAlignment="0" applyProtection="0"/>
    <xf numFmtId="198" fontId="156" fillId="95" borderId="0" applyNumberFormat="0" applyBorder="0" applyAlignment="0" applyProtection="0"/>
    <xf numFmtId="198" fontId="156" fillId="95" borderId="0" applyNumberFormat="0" applyBorder="0" applyAlignment="0" applyProtection="0"/>
    <xf numFmtId="198" fontId="156" fillId="95" borderId="0" applyNumberFormat="0" applyBorder="0" applyAlignment="0" applyProtection="0"/>
    <xf numFmtId="198" fontId="156" fillId="95" borderId="0" applyNumberFormat="0" applyBorder="0" applyAlignment="0" applyProtection="0"/>
    <xf numFmtId="198" fontId="156" fillId="95" borderId="0" applyNumberFormat="0" applyBorder="0" applyAlignment="0" applyProtection="0"/>
    <xf numFmtId="198" fontId="156" fillId="95" borderId="0" applyNumberFormat="0" applyBorder="0" applyAlignment="0" applyProtection="0"/>
    <xf numFmtId="198" fontId="156" fillId="95" borderId="0" applyNumberFormat="0" applyBorder="0" applyAlignment="0" applyProtection="0"/>
    <xf numFmtId="198" fontId="156" fillId="95" borderId="0" applyNumberFormat="0" applyBorder="0" applyAlignment="0" applyProtection="0"/>
    <xf numFmtId="198" fontId="156" fillId="95" borderId="0" applyNumberFormat="0" applyBorder="0" applyAlignment="0" applyProtection="0"/>
    <xf numFmtId="198" fontId="156" fillId="95" borderId="0" applyNumberFormat="0" applyBorder="0" applyAlignment="0" applyProtection="0"/>
    <xf numFmtId="198" fontId="156" fillId="95" borderId="0" applyNumberFormat="0" applyBorder="0" applyAlignment="0" applyProtection="0"/>
    <xf numFmtId="198" fontId="156" fillId="95" borderId="0" applyNumberFormat="0" applyBorder="0" applyAlignment="0" applyProtection="0"/>
    <xf numFmtId="198" fontId="156" fillId="95" borderId="0" applyNumberFormat="0" applyBorder="0" applyAlignment="0" applyProtection="0"/>
    <xf numFmtId="198" fontId="156" fillId="95" borderId="0" applyNumberFormat="0" applyBorder="0" applyAlignment="0" applyProtection="0"/>
    <xf numFmtId="198" fontId="156" fillId="95" borderId="0" applyNumberFormat="0" applyBorder="0" applyAlignment="0" applyProtection="0"/>
    <xf numFmtId="198" fontId="156" fillId="99" borderId="0" applyNumberFormat="0" applyBorder="0" applyAlignment="0" applyProtection="0"/>
    <xf numFmtId="198" fontId="156" fillId="99" borderId="0" applyNumberFormat="0" applyBorder="0" applyAlignment="0" applyProtection="0"/>
    <xf numFmtId="198" fontId="156" fillId="99" borderId="0" applyNumberFormat="0" applyBorder="0" applyAlignment="0" applyProtection="0"/>
    <xf numFmtId="198" fontId="156" fillId="99" borderId="0" applyNumberFormat="0" applyBorder="0" applyAlignment="0" applyProtection="0"/>
    <xf numFmtId="198" fontId="156" fillId="99" borderId="0" applyNumberFormat="0" applyBorder="0" applyAlignment="0" applyProtection="0"/>
    <xf numFmtId="198" fontId="156" fillId="99" borderId="0" applyNumberFormat="0" applyBorder="0" applyAlignment="0" applyProtection="0"/>
    <xf numFmtId="198" fontId="156" fillId="99" borderId="0" applyNumberFormat="0" applyBorder="0" applyAlignment="0" applyProtection="0"/>
    <xf numFmtId="198" fontId="156" fillId="99" borderId="0" applyNumberFormat="0" applyBorder="0" applyAlignment="0" applyProtection="0"/>
    <xf numFmtId="198" fontId="156" fillId="99" borderId="0" applyNumberFormat="0" applyBorder="0" applyAlignment="0" applyProtection="0"/>
    <xf numFmtId="198" fontId="156" fillId="99" borderId="0" applyNumberFormat="0" applyBorder="0" applyAlignment="0" applyProtection="0"/>
    <xf numFmtId="198" fontId="214" fillId="15" borderId="0" applyNumberFormat="0" applyBorder="0" applyAlignment="0" applyProtection="0"/>
    <xf numFmtId="198" fontId="156" fillId="99" borderId="0" applyNumberFormat="0" applyBorder="0" applyAlignment="0" applyProtection="0"/>
    <xf numFmtId="198" fontId="156" fillId="99" borderId="0" applyNumberFormat="0" applyBorder="0" applyAlignment="0" applyProtection="0"/>
    <xf numFmtId="198" fontId="156" fillId="99" borderId="0" applyNumberFormat="0" applyBorder="0" applyAlignment="0" applyProtection="0"/>
    <xf numFmtId="198" fontId="156" fillId="99" borderId="0" applyNumberFormat="0" applyBorder="0" applyAlignment="0" applyProtection="0"/>
    <xf numFmtId="198" fontId="156" fillId="99" borderId="0" applyNumberFormat="0" applyBorder="0" applyAlignment="0" applyProtection="0"/>
    <xf numFmtId="198" fontId="156" fillId="99" borderId="0" applyNumberFormat="0" applyBorder="0" applyAlignment="0" applyProtection="0"/>
    <xf numFmtId="198" fontId="156" fillId="99" borderId="0" applyNumberFormat="0" applyBorder="0" applyAlignment="0" applyProtection="0"/>
    <xf numFmtId="198" fontId="156" fillId="99" borderId="0" applyNumberFormat="0" applyBorder="0" applyAlignment="0" applyProtection="0"/>
    <xf numFmtId="198" fontId="156" fillId="99" borderId="0" applyNumberFormat="0" applyBorder="0" applyAlignment="0" applyProtection="0"/>
    <xf numFmtId="198" fontId="156" fillId="99" borderId="0" applyNumberFormat="0" applyBorder="0" applyAlignment="0" applyProtection="0"/>
    <xf numFmtId="198" fontId="156" fillId="99" borderId="0" applyNumberFormat="0" applyBorder="0" applyAlignment="0" applyProtection="0"/>
    <xf numFmtId="198" fontId="156" fillId="99" borderId="0" applyNumberFormat="0" applyBorder="0" applyAlignment="0" applyProtection="0"/>
    <xf numFmtId="198" fontId="156" fillId="99" borderId="0" applyNumberFormat="0" applyBorder="0" applyAlignment="0" applyProtection="0"/>
    <xf numFmtId="198" fontId="156" fillId="99" borderId="0" applyNumberFormat="0" applyBorder="0" applyAlignment="0" applyProtection="0"/>
    <xf numFmtId="198" fontId="156" fillId="99" borderId="0" applyNumberFormat="0" applyBorder="0" applyAlignment="0" applyProtection="0"/>
    <xf numFmtId="198" fontId="156" fillId="99" borderId="0" applyNumberFormat="0" applyBorder="0" applyAlignment="0" applyProtection="0"/>
    <xf numFmtId="198" fontId="156" fillId="99" borderId="0" applyNumberFormat="0" applyBorder="0" applyAlignment="0" applyProtection="0"/>
    <xf numFmtId="198" fontId="156" fillId="99" borderId="0" applyNumberFormat="0" applyBorder="0" applyAlignment="0" applyProtection="0"/>
    <xf numFmtId="198" fontId="156" fillId="99" borderId="0" applyNumberFormat="0" applyBorder="0" applyAlignment="0" applyProtection="0"/>
    <xf numFmtId="198" fontId="156" fillId="99" borderId="0" applyNumberFormat="0" applyBorder="0" applyAlignment="0" applyProtection="0"/>
    <xf numFmtId="198" fontId="156" fillId="99" borderId="0" applyNumberFormat="0" applyBorder="0" applyAlignment="0" applyProtection="0"/>
    <xf numFmtId="198" fontId="156" fillId="99" borderId="0" applyNumberFormat="0" applyBorder="0" applyAlignment="0" applyProtection="0"/>
    <xf numFmtId="198" fontId="156" fillId="99" borderId="0" applyNumberFormat="0" applyBorder="0" applyAlignment="0" applyProtection="0"/>
    <xf numFmtId="198" fontId="156" fillId="99" borderId="0" applyNumberFormat="0" applyBorder="0" applyAlignment="0" applyProtection="0"/>
    <xf numFmtId="198" fontId="156" fillId="99" borderId="0" applyNumberFormat="0" applyBorder="0" applyAlignment="0" applyProtection="0"/>
    <xf numFmtId="198" fontId="156" fillId="99" borderId="0" applyNumberFormat="0" applyBorder="0" applyAlignment="0" applyProtection="0"/>
    <xf numFmtId="198" fontId="156" fillId="99" borderId="0" applyNumberFormat="0" applyBorder="0" applyAlignment="0" applyProtection="0"/>
    <xf numFmtId="198" fontId="156" fillId="99" borderId="0" applyNumberFormat="0" applyBorder="0" applyAlignment="0" applyProtection="0"/>
    <xf numFmtId="198" fontId="156" fillId="99" borderId="0" applyNumberFormat="0" applyBorder="0" applyAlignment="0" applyProtection="0"/>
    <xf numFmtId="198" fontId="156" fillId="99" borderId="0" applyNumberFormat="0" applyBorder="0" applyAlignment="0" applyProtection="0"/>
    <xf numFmtId="198" fontId="156" fillId="99" borderId="0" applyNumberFormat="0" applyBorder="0" applyAlignment="0" applyProtection="0"/>
    <xf numFmtId="198" fontId="156" fillId="99" borderId="0" applyNumberFormat="0" applyBorder="0" applyAlignment="0" applyProtection="0"/>
    <xf numFmtId="198" fontId="156" fillId="99" borderId="0" applyNumberFormat="0" applyBorder="0" applyAlignment="0" applyProtection="0"/>
    <xf numFmtId="198" fontId="156" fillId="99" borderId="0" applyNumberFormat="0" applyBorder="0" applyAlignment="0" applyProtection="0"/>
    <xf numFmtId="198" fontId="156" fillId="99" borderId="0" applyNumberFormat="0" applyBorder="0" applyAlignment="0" applyProtection="0"/>
    <xf numFmtId="198" fontId="156" fillId="99" borderId="0" applyNumberFormat="0" applyBorder="0" applyAlignment="0" applyProtection="0"/>
    <xf numFmtId="198" fontId="156" fillId="99" borderId="0" applyNumberFormat="0" applyBorder="0" applyAlignment="0" applyProtection="0"/>
    <xf numFmtId="198" fontId="156" fillId="99" borderId="0" applyNumberFormat="0" applyBorder="0" applyAlignment="0" applyProtection="0"/>
    <xf numFmtId="198" fontId="156" fillId="99" borderId="0" applyNumberFormat="0" applyBorder="0" applyAlignment="0" applyProtection="0"/>
    <xf numFmtId="198" fontId="156" fillId="99" borderId="0" applyNumberFormat="0" applyBorder="0" applyAlignment="0" applyProtection="0"/>
    <xf numFmtId="198" fontId="156" fillId="99" borderId="0" applyNumberFormat="0" applyBorder="0" applyAlignment="0" applyProtection="0"/>
    <xf numFmtId="198" fontId="156" fillId="99" borderId="0" applyNumberFormat="0" applyBorder="0" applyAlignment="0" applyProtection="0"/>
    <xf numFmtId="198" fontId="156" fillId="99" borderId="0" applyNumberFormat="0" applyBorder="0" applyAlignment="0" applyProtection="0"/>
    <xf numFmtId="198" fontId="156" fillId="99" borderId="0" applyNumberFormat="0" applyBorder="0" applyAlignment="0" applyProtection="0"/>
    <xf numFmtId="198" fontId="156" fillId="99" borderId="0" applyNumberFormat="0" applyBorder="0" applyAlignment="0" applyProtection="0"/>
    <xf numFmtId="198" fontId="156" fillId="99" borderId="0" applyNumberFormat="0" applyBorder="0" applyAlignment="0" applyProtection="0"/>
    <xf numFmtId="198" fontId="156" fillId="99" borderId="0" applyNumberFormat="0" applyBorder="0" applyAlignment="0" applyProtection="0"/>
    <xf numFmtId="198" fontId="156" fillId="80" borderId="0" applyNumberFormat="0" applyBorder="0" applyAlignment="0" applyProtection="0"/>
    <xf numFmtId="198" fontId="156" fillId="80" borderId="0" applyNumberFormat="0" applyBorder="0" applyAlignment="0" applyProtection="0"/>
    <xf numFmtId="198" fontId="156" fillId="80" borderId="0" applyNumberFormat="0" applyBorder="0" applyAlignment="0" applyProtection="0"/>
    <xf numFmtId="198" fontId="156" fillId="80" borderId="0" applyNumberFormat="0" applyBorder="0" applyAlignment="0" applyProtection="0"/>
    <xf numFmtId="198" fontId="156" fillId="80" borderId="0" applyNumberFormat="0" applyBorder="0" applyAlignment="0" applyProtection="0"/>
    <xf numFmtId="198" fontId="156" fillId="80" borderId="0" applyNumberFormat="0" applyBorder="0" applyAlignment="0" applyProtection="0"/>
    <xf numFmtId="198" fontId="156" fillId="80" borderId="0" applyNumberFormat="0" applyBorder="0" applyAlignment="0" applyProtection="0"/>
    <xf numFmtId="198" fontId="156" fillId="80" borderId="0" applyNumberFormat="0" applyBorder="0" applyAlignment="0" applyProtection="0"/>
    <xf numFmtId="198" fontId="156" fillId="80" borderId="0" applyNumberFormat="0" applyBorder="0" applyAlignment="0" applyProtection="0"/>
    <xf numFmtId="198" fontId="156" fillId="80" borderId="0" applyNumberFormat="0" applyBorder="0" applyAlignment="0" applyProtection="0"/>
    <xf numFmtId="198" fontId="214" fillId="16" borderId="0" applyNumberFormat="0" applyBorder="0" applyAlignment="0" applyProtection="0"/>
    <xf numFmtId="198" fontId="156" fillId="80" borderId="0" applyNumberFormat="0" applyBorder="0" applyAlignment="0" applyProtection="0"/>
    <xf numFmtId="198" fontId="156" fillId="80" borderId="0" applyNumberFormat="0" applyBorder="0" applyAlignment="0" applyProtection="0"/>
    <xf numFmtId="198" fontId="156" fillId="80" borderId="0" applyNumberFormat="0" applyBorder="0" applyAlignment="0" applyProtection="0"/>
    <xf numFmtId="198" fontId="156" fillId="80" borderId="0" applyNumberFormat="0" applyBorder="0" applyAlignment="0" applyProtection="0"/>
    <xf numFmtId="198" fontId="156" fillId="80" borderId="0" applyNumberFormat="0" applyBorder="0" applyAlignment="0" applyProtection="0"/>
    <xf numFmtId="198" fontId="156" fillId="80" borderId="0" applyNumberFormat="0" applyBorder="0" applyAlignment="0" applyProtection="0"/>
    <xf numFmtId="198" fontId="156" fillId="80" borderId="0" applyNumberFormat="0" applyBorder="0" applyAlignment="0" applyProtection="0"/>
    <xf numFmtId="198" fontId="156" fillId="80" borderId="0" applyNumberFormat="0" applyBorder="0" applyAlignment="0" applyProtection="0"/>
    <xf numFmtId="198" fontId="156" fillId="80" borderId="0" applyNumberFormat="0" applyBorder="0" applyAlignment="0" applyProtection="0"/>
    <xf numFmtId="198" fontId="156" fillId="80" borderId="0" applyNumberFormat="0" applyBorder="0" applyAlignment="0" applyProtection="0"/>
    <xf numFmtId="198" fontId="156" fillId="80" borderId="0" applyNumberFormat="0" applyBorder="0" applyAlignment="0" applyProtection="0"/>
    <xf numFmtId="198" fontId="156" fillId="80" borderId="0" applyNumberFormat="0" applyBorder="0" applyAlignment="0" applyProtection="0"/>
    <xf numFmtId="198" fontId="156" fillId="80" borderId="0" applyNumberFormat="0" applyBorder="0" applyAlignment="0" applyProtection="0"/>
    <xf numFmtId="198" fontId="156" fillId="80" borderId="0" applyNumberFormat="0" applyBorder="0" applyAlignment="0" applyProtection="0"/>
    <xf numFmtId="198" fontId="156" fillId="80" borderId="0" applyNumberFormat="0" applyBorder="0" applyAlignment="0" applyProtection="0"/>
    <xf numFmtId="198" fontId="156" fillId="80" borderId="0" applyNumberFormat="0" applyBorder="0" applyAlignment="0" applyProtection="0"/>
    <xf numFmtId="198" fontId="156" fillId="80" borderId="0" applyNumberFormat="0" applyBorder="0" applyAlignment="0" applyProtection="0"/>
    <xf numFmtId="198" fontId="156" fillId="80" borderId="0" applyNumberFormat="0" applyBorder="0" applyAlignment="0" applyProtection="0"/>
    <xf numFmtId="198" fontId="156" fillId="80" borderId="0" applyNumberFormat="0" applyBorder="0" applyAlignment="0" applyProtection="0"/>
    <xf numFmtId="198" fontId="156" fillId="80" borderId="0" applyNumberFormat="0" applyBorder="0" applyAlignment="0" applyProtection="0"/>
    <xf numFmtId="198" fontId="156" fillId="80" borderId="0" applyNumberFormat="0" applyBorder="0" applyAlignment="0" applyProtection="0"/>
    <xf numFmtId="198" fontId="156" fillId="80" borderId="0" applyNumberFormat="0" applyBorder="0" applyAlignment="0" applyProtection="0"/>
    <xf numFmtId="198" fontId="156" fillId="80" borderId="0" applyNumberFormat="0" applyBorder="0" applyAlignment="0" applyProtection="0"/>
    <xf numFmtId="198" fontId="156" fillId="80" borderId="0" applyNumberFormat="0" applyBorder="0" applyAlignment="0" applyProtection="0"/>
    <xf numFmtId="198" fontId="156" fillId="80" borderId="0" applyNumberFormat="0" applyBorder="0" applyAlignment="0" applyProtection="0"/>
    <xf numFmtId="198" fontId="156" fillId="80" borderId="0" applyNumberFormat="0" applyBorder="0" applyAlignment="0" applyProtection="0"/>
    <xf numFmtId="198" fontId="156" fillId="80" borderId="0" applyNumberFormat="0" applyBorder="0" applyAlignment="0" applyProtection="0"/>
    <xf numFmtId="198" fontId="156" fillId="80" borderId="0" applyNumberFormat="0" applyBorder="0" applyAlignment="0" applyProtection="0"/>
    <xf numFmtId="198" fontId="156" fillId="80" borderId="0" applyNumberFormat="0" applyBorder="0" applyAlignment="0" applyProtection="0"/>
    <xf numFmtId="198" fontId="156" fillId="80" borderId="0" applyNumberFormat="0" applyBorder="0" applyAlignment="0" applyProtection="0"/>
    <xf numFmtId="198" fontId="156" fillId="80" borderId="0" applyNumberFormat="0" applyBorder="0" applyAlignment="0" applyProtection="0"/>
    <xf numFmtId="198" fontId="156" fillId="80" borderId="0" applyNumberFormat="0" applyBorder="0" applyAlignment="0" applyProtection="0"/>
    <xf numFmtId="198" fontId="156" fillId="80" borderId="0" applyNumberFormat="0" applyBorder="0" applyAlignment="0" applyProtection="0"/>
    <xf numFmtId="198" fontId="156" fillId="80" borderId="0" applyNumberFormat="0" applyBorder="0" applyAlignment="0" applyProtection="0"/>
    <xf numFmtId="198" fontId="156" fillId="80" borderId="0" applyNumberFormat="0" applyBorder="0" applyAlignment="0" applyProtection="0"/>
    <xf numFmtId="198" fontId="156" fillId="80" borderId="0" applyNumberFormat="0" applyBorder="0" applyAlignment="0" applyProtection="0"/>
    <xf numFmtId="198" fontId="156" fillId="80" borderId="0" applyNumberFormat="0" applyBorder="0" applyAlignment="0" applyProtection="0"/>
    <xf numFmtId="198" fontId="156" fillId="80" borderId="0" applyNumberFormat="0" applyBorder="0" applyAlignment="0" applyProtection="0"/>
    <xf numFmtId="198" fontId="156" fillId="80" borderId="0" applyNumberFormat="0" applyBorder="0" applyAlignment="0" applyProtection="0"/>
    <xf numFmtId="198" fontId="156" fillId="80" borderId="0" applyNumberFormat="0" applyBorder="0" applyAlignment="0" applyProtection="0"/>
    <xf numFmtId="198" fontId="156" fillId="80" borderId="0" applyNumberFormat="0" applyBorder="0" applyAlignment="0" applyProtection="0"/>
    <xf numFmtId="198" fontId="156" fillId="80" borderId="0" applyNumberFormat="0" applyBorder="0" applyAlignment="0" applyProtection="0"/>
    <xf numFmtId="198" fontId="156" fillId="80" borderId="0" applyNumberFormat="0" applyBorder="0" applyAlignment="0" applyProtection="0"/>
    <xf numFmtId="198" fontId="156" fillId="80" borderId="0" applyNumberFormat="0" applyBorder="0" applyAlignment="0" applyProtection="0"/>
    <xf numFmtId="198" fontId="156" fillId="80" borderId="0" applyNumberFormat="0" applyBorder="0" applyAlignment="0" applyProtection="0"/>
    <xf numFmtId="198" fontId="156" fillId="80" borderId="0" applyNumberFormat="0" applyBorder="0" applyAlignment="0" applyProtection="0"/>
    <xf numFmtId="198" fontId="156" fillId="80" borderId="0" applyNumberFormat="0" applyBorder="0" applyAlignment="0" applyProtection="0"/>
    <xf numFmtId="198" fontId="156" fillId="83" borderId="0" applyNumberFormat="0" applyBorder="0" applyAlignment="0" applyProtection="0"/>
    <xf numFmtId="198" fontId="156" fillId="83" borderId="0" applyNumberFormat="0" applyBorder="0" applyAlignment="0" applyProtection="0"/>
    <xf numFmtId="198" fontId="156" fillId="83" borderId="0" applyNumberFormat="0" applyBorder="0" applyAlignment="0" applyProtection="0"/>
    <xf numFmtId="198" fontId="156" fillId="83" borderId="0" applyNumberFormat="0" applyBorder="0" applyAlignment="0" applyProtection="0"/>
    <xf numFmtId="198" fontId="156" fillId="83" borderId="0" applyNumberFormat="0" applyBorder="0" applyAlignment="0" applyProtection="0"/>
    <xf numFmtId="198" fontId="156" fillId="83" borderId="0" applyNumberFormat="0" applyBorder="0" applyAlignment="0" applyProtection="0"/>
    <xf numFmtId="198" fontId="156" fillId="83" borderId="0" applyNumberFormat="0" applyBorder="0" applyAlignment="0" applyProtection="0"/>
    <xf numFmtId="198" fontId="156" fillId="83" borderId="0" applyNumberFormat="0" applyBorder="0" applyAlignment="0" applyProtection="0"/>
    <xf numFmtId="198" fontId="156" fillId="83" borderId="0" applyNumberFormat="0" applyBorder="0" applyAlignment="0" applyProtection="0"/>
    <xf numFmtId="198" fontId="156" fillId="83" borderId="0" applyNumberFormat="0" applyBorder="0" applyAlignment="0" applyProtection="0"/>
    <xf numFmtId="198" fontId="214" fillId="17" borderId="0" applyNumberFormat="0" applyBorder="0" applyAlignment="0" applyProtection="0"/>
    <xf numFmtId="198" fontId="156" fillId="83" borderId="0" applyNumberFormat="0" applyBorder="0" applyAlignment="0" applyProtection="0"/>
    <xf numFmtId="198" fontId="156" fillId="83" borderId="0" applyNumberFormat="0" applyBorder="0" applyAlignment="0" applyProtection="0"/>
    <xf numFmtId="198" fontId="156" fillId="83" borderId="0" applyNumberFormat="0" applyBorder="0" applyAlignment="0" applyProtection="0"/>
    <xf numFmtId="198" fontId="156" fillId="83" borderId="0" applyNumberFormat="0" applyBorder="0" applyAlignment="0" applyProtection="0"/>
    <xf numFmtId="198" fontId="156" fillId="83" borderId="0" applyNumberFormat="0" applyBorder="0" applyAlignment="0" applyProtection="0"/>
    <xf numFmtId="198" fontId="156" fillId="83" borderId="0" applyNumberFormat="0" applyBorder="0" applyAlignment="0" applyProtection="0"/>
    <xf numFmtId="198" fontId="156" fillId="83" borderId="0" applyNumberFormat="0" applyBorder="0" applyAlignment="0" applyProtection="0"/>
    <xf numFmtId="198" fontId="156" fillId="83" borderId="0" applyNumberFormat="0" applyBorder="0" applyAlignment="0" applyProtection="0"/>
    <xf numFmtId="198" fontId="156" fillId="83" borderId="0" applyNumberFormat="0" applyBorder="0" applyAlignment="0" applyProtection="0"/>
    <xf numFmtId="198" fontId="156" fillId="83" borderId="0" applyNumberFormat="0" applyBorder="0" applyAlignment="0" applyProtection="0"/>
    <xf numFmtId="198" fontId="156" fillId="83" borderId="0" applyNumberFormat="0" applyBorder="0" applyAlignment="0" applyProtection="0"/>
    <xf numFmtId="198" fontId="156" fillId="83" borderId="0" applyNumberFormat="0" applyBorder="0" applyAlignment="0" applyProtection="0"/>
    <xf numFmtId="198" fontId="156" fillId="83" borderId="0" applyNumberFormat="0" applyBorder="0" applyAlignment="0" applyProtection="0"/>
    <xf numFmtId="198" fontId="156" fillId="83" borderId="0" applyNumberFormat="0" applyBorder="0" applyAlignment="0" applyProtection="0"/>
    <xf numFmtId="198" fontId="156" fillId="83" borderId="0" applyNumberFormat="0" applyBorder="0" applyAlignment="0" applyProtection="0"/>
    <xf numFmtId="198" fontId="156" fillId="83" borderId="0" applyNumberFormat="0" applyBorder="0" applyAlignment="0" applyProtection="0"/>
    <xf numFmtId="198" fontId="156" fillId="83" borderId="0" applyNumberFormat="0" applyBorder="0" applyAlignment="0" applyProtection="0"/>
    <xf numFmtId="198" fontId="156" fillId="83" borderId="0" applyNumberFormat="0" applyBorder="0" applyAlignment="0" applyProtection="0"/>
    <xf numFmtId="198" fontId="156" fillId="83" borderId="0" applyNumberFormat="0" applyBorder="0" applyAlignment="0" applyProtection="0"/>
    <xf numFmtId="198" fontId="156" fillId="83" borderId="0" applyNumberFormat="0" applyBorder="0" applyAlignment="0" applyProtection="0"/>
    <xf numFmtId="198" fontId="156" fillId="83" borderId="0" applyNumberFormat="0" applyBorder="0" applyAlignment="0" applyProtection="0"/>
    <xf numFmtId="198" fontId="156" fillId="83" borderId="0" applyNumberFormat="0" applyBorder="0" applyAlignment="0" applyProtection="0"/>
    <xf numFmtId="198" fontId="156" fillId="83" borderId="0" applyNumberFormat="0" applyBorder="0" applyAlignment="0" applyProtection="0"/>
    <xf numFmtId="198" fontId="156" fillId="83" borderId="0" applyNumberFormat="0" applyBorder="0" applyAlignment="0" applyProtection="0"/>
    <xf numFmtId="198" fontId="156" fillId="83" borderId="0" applyNumberFormat="0" applyBorder="0" applyAlignment="0" applyProtection="0"/>
    <xf numFmtId="198" fontId="156" fillId="83" borderId="0" applyNumberFormat="0" applyBorder="0" applyAlignment="0" applyProtection="0"/>
    <xf numFmtId="198" fontId="156" fillId="83" borderId="0" applyNumberFormat="0" applyBorder="0" applyAlignment="0" applyProtection="0"/>
    <xf numFmtId="198" fontId="156" fillId="83" borderId="0" applyNumberFormat="0" applyBorder="0" applyAlignment="0" applyProtection="0"/>
    <xf numFmtId="198" fontId="156" fillId="83" borderId="0" applyNumberFormat="0" applyBorder="0" applyAlignment="0" applyProtection="0"/>
    <xf numFmtId="198" fontId="156" fillId="83" borderId="0" applyNumberFormat="0" applyBorder="0" applyAlignment="0" applyProtection="0"/>
    <xf numFmtId="198" fontId="156" fillId="83" borderId="0" applyNumberFormat="0" applyBorder="0" applyAlignment="0" applyProtection="0"/>
    <xf numFmtId="198" fontId="156" fillId="83" borderId="0" applyNumberFormat="0" applyBorder="0" applyAlignment="0" applyProtection="0"/>
    <xf numFmtId="198" fontId="156" fillId="83" borderId="0" applyNumberFormat="0" applyBorder="0" applyAlignment="0" applyProtection="0"/>
    <xf numFmtId="198" fontId="156" fillId="83" borderId="0" applyNumberFormat="0" applyBorder="0" applyAlignment="0" applyProtection="0"/>
    <xf numFmtId="198" fontId="156" fillId="83" borderId="0" applyNumberFormat="0" applyBorder="0" applyAlignment="0" applyProtection="0"/>
    <xf numFmtId="198" fontId="156" fillId="83" borderId="0" applyNumberFormat="0" applyBorder="0" applyAlignment="0" applyProtection="0"/>
    <xf numFmtId="198" fontId="156" fillId="83" borderId="0" applyNumberFormat="0" applyBorder="0" applyAlignment="0" applyProtection="0"/>
    <xf numFmtId="198" fontId="156" fillId="83" borderId="0" applyNumberFormat="0" applyBorder="0" applyAlignment="0" applyProtection="0"/>
    <xf numFmtId="198" fontId="156" fillId="83" borderId="0" applyNumberFormat="0" applyBorder="0" applyAlignment="0" applyProtection="0"/>
    <xf numFmtId="198" fontId="156" fillId="83" borderId="0" applyNumberFormat="0" applyBorder="0" applyAlignment="0" applyProtection="0"/>
    <xf numFmtId="198" fontId="156" fillId="83" borderId="0" applyNumberFormat="0" applyBorder="0" applyAlignment="0" applyProtection="0"/>
    <xf numFmtId="198" fontId="156" fillId="83" borderId="0" applyNumberFormat="0" applyBorder="0" applyAlignment="0" applyProtection="0"/>
    <xf numFmtId="198" fontId="156" fillId="83" borderId="0" applyNumberFormat="0" applyBorder="0" applyAlignment="0" applyProtection="0"/>
    <xf numFmtId="198" fontId="156" fillId="83" borderId="0" applyNumberFormat="0" applyBorder="0" applyAlignment="0" applyProtection="0"/>
    <xf numFmtId="198" fontId="156" fillId="83" borderId="0" applyNumberFormat="0" applyBorder="0" applyAlignment="0" applyProtection="0"/>
    <xf numFmtId="198" fontId="156" fillId="83" borderId="0" applyNumberFormat="0" applyBorder="0" applyAlignment="0" applyProtection="0"/>
    <xf numFmtId="198" fontId="156" fillId="83" borderId="0" applyNumberFormat="0" applyBorder="0" applyAlignment="0" applyProtection="0"/>
    <xf numFmtId="198" fontId="156" fillId="85" borderId="0" applyNumberFormat="0" applyBorder="0" applyAlignment="0" applyProtection="0"/>
    <xf numFmtId="198" fontId="156" fillId="85" borderId="0" applyNumberFormat="0" applyBorder="0" applyAlignment="0" applyProtection="0"/>
    <xf numFmtId="198" fontId="156" fillId="85" borderId="0" applyNumberFormat="0" applyBorder="0" applyAlignment="0" applyProtection="0"/>
    <xf numFmtId="198" fontId="156" fillId="85" borderId="0" applyNumberFormat="0" applyBorder="0" applyAlignment="0" applyProtection="0"/>
    <xf numFmtId="198" fontId="156" fillId="85" borderId="0" applyNumberFormat="0" applyBorder="0" applyAlignment="0" applyProtection="0"/>
    <xf numFmtId="198" fontId="156" fillId="85" borderId="0" applyNumberFormat="0" applyBorder="0" applyAlignment="0" applyProtection="0"/>
    <xf numFmtId="198" fontId="156" fillId="85" borderId="0" applyNumberFormat="0" applyBorder="0" applyAlignment="0" applyProtection="0"/>
    <xf numFmtId="198" fontId="156" fillId="85" borderId="0" applyNumberFormat="0" applyBorder="0" applyAlignment="0" applyProtection="0"/>
    <xf numFmtId="198" fontId="156" fillId="85" borderId="0" applyNumberFormat="0" applyBorder="0" applyAlignment="0" applyProtection="0"/>
    <xf numFmtId="198" fontId="156" fillId="85" borderId="0" applyNumberFormat="0" applyBorder="0" applyAlignment="0" applyProtection="0"/>
    <xf numFmtId="198" fontId="214" fillId="18" borderId="0" applyNumberFormat="0" applyBorder="0" applyAlignment="0" applyProtection="0"/>
    <xf numFmtId="198" fontId="156" fillId="85" borderId="0" applyNumberFormat="0" applyBorder="0" applyAlignment="0" applyProtection="0"/>
    <xf numFmtId="198" fontId="156" fillId="85" borderId="0" applyNumberFormat="0" applyBorder="0" applyAlignment="0" applyProtection="0"/>
    <xf numFmtId="198" fontId="156" fillId="85" borderId="0" applyNumberFormat="0" applyBorder="0" applyAlignment="0" applyProtection="0"/>
    <xf numFmtId="198" fontId="156" fillId="85" borderId="0" applyNumberFormat="0" applyBorder="0" applyAlignment="0" applyProtection="0"/>
    <xf numFmtId="198" fontId="156" fillId="85" borderId="0" applyNumberFormat="0" applyBorder="0" applyAlignment="0" applyProtection="0"/>
    <xf numFmtId="198" fontId="156" fillId="85" borderId="0" applyNumberFormat="0" applyBorder="0" applyAlignment="0" applyProtection="0"/>
    <xf numFmtId="198" fontId="156" fillId="85" borderId="0" applyNumberFormat="0" applyBorder="0" applyAlignment="0" applyProtection="0"/>
    <xf numFmtId="198" fontId="156" fillId="85" borderId="0" applyNumberFormat="0" applyBorder="0" applyAlignment="0" applyProtection="0"/>
    <xf numFmtId="198" fontId="156" fillId="85" borderId="0" applyNumberFormat="0" applyBorder="0" applyAlignment="0" applyProtection="0"/>
    <xf numFmtId="198" fontId="156" fillId="85" borderId="0" applyNumberFormat="0" applyBorder="0" applyAlignment="0" applyProtection="0"/>
    <xf numFmtId="198" fontId="156" fillId="85" borderId="0" applyNumberFormat="0" applyBorder="0" applyAlignment="0" applyProtection="0"/>
    <xf numFmtId="198" fontId="156" fillId="85" borderId="0" applyNumberFormat="0" applyBorder="0" applyAlignment="0" applyProtection="0"/>
    <xf numFmtId="198" fontId="156" fillId="85" borderId="0" applyNumberFormat="0" applyBorder="0" applyAlignment="0" applyProtection="0"/>
    <xf numFmtId="198" fontId="156" fillId="85" borderId="0" applyNumberFormat="0" applyBorder="0" applyAlignment="0" applyProtection="0"/>
    <xf numFmtId="198" fontId="156" fillId="85" borderId="0" applyNumberFormat="0" applyBorder="0" applyAlignment="0" applyProtection="0"/>
    <xf numFmtId="198" fontId="156" fillId="85" borderId="0" applyNumberFormat="0" applyBorder="0" applyAlignment="0" applyProtection="0"/>
    <xf numFmtId="198" fontId="156" fillId="85" borderId="0" applyNumberFormat="0" applyBorder="0" applyAlignment="0" applyProtection="0"/>
    <xf numFmtId="198" fontId="156" fillId="85" borderId="0" applyNumberFormat="0" applyBorder="0" applyAlignment="0" applyProtection="0"/>
    <xf numFmtId="198" fontId="156" fillId="85" borderId="0" applyNumberFormat="0" applyBorder="0" applyAlignment="0" applyProtection="0"/>
    <xf numFmtId="198" fontId="156" fillId="85" borderId="0" applyNumberFormat="0" applyBorder="0" applyAlignment="0" applyProtection="0"/>
    <xf numFmtId="198" fontId="156" fillId="85" borderId="0" applyNumberFormat="0" applyBorder="0" applyAlignment="0" applyProtection="0"/>
    <xf numFmtId="198" fontId="156" fillId="85" borderId="0" applyNumberFormat="0" applyBorder="0" applyAlignment="0" applyProtection="0"/>
    <xf numFmtId="198" fontId="156" fillId="85" borderId="0" applyNumberFormat="0" applyBorder="0" applyAlignment="0" applyProtection="0"/>
    <xf numFmtId="198" fontId="156" fillId="85" borderId="0" applyNumberFormat="0" applyBorder="0" applyAlignment="0" applyProtection="0"/>
    <xf numFmtId="198" fontId="156" fillId="85" borderId="0" applyNumberFormat="0" applyBorder="0" applyAlignment="0" applyProtection="0"/>
    <xf numFmtId="198" fontId="156" fillId="85" borderId="0" applyNumberFormat="0" applyBorder="0" applyAlignment="0" applyProtection="0"/>
    <xf numFmtId="198" fontId="156" fillId="85" borderId="0" applyNumberFormat="0" applyBorder="0" applyAlignment="0" applyProtection="0"/>
    <xf numFmtId="198" fontId="156" fillId="85" borderId="0" applyNumberFormat="0" applyBorder="0" applyAlignment="0" applyProtection="0"/>
    <xf numFmtId="198" fontId="156" fillId="85" borderId="0" applyNumberFormat="0" applyBorder="0" applyAlignment="0" applyProtection="0"/>
    <xf numFmtId="198" fontId="156" fillId="85" borderId="0" applyNumberFormat="0" applyBorder="0" applyAlignment="0" applyProtection="0"/>
    <xf numFmtId="198" fontId="156" fillId="85" borderId="0" applyNumberFormat="0" applyBorder="0" applyAlignment="0" applyProtection="0"/>
    <xf numFmtId="198" fontId="156" fillId="85" borderId="0" applyNumberFormat="0" applyBorder="0" applyAlignment="0" applyProtection="0"/>
    <xf numFmtId="198" fontId="156" fillId="85" borderId="0" applyNumberFormat="0" applyBorder="0" applyAlignment="0" applyProtection="0"/>
    <xf numFmtId="198" fontId="156" fillId="85" borderId="0" applyNumberFormat="0" applyBorder="0" applyAlignment="0" applyProtection="0"/>
    <xf numFmtId="198" fontId="156" fillId="85" borderId="0" applyNumberFormat="0" applyBorder="0" applyAlignment="0" applyProtection="0"/>
    <xf numFmtId="198" fontId="156" fillId="85" borderId="0" applyNumberFormat="0" applyBorder="0" applyAlignment="0" applyProtection="0"/>
    <xf numFmtId="198" fontId="156" fillId="85" borderId="0" applyNumberFormat="0" applyBorder="0" applyAlignment="0" applyProtection="0"/>
    <xf numFmtId="198" fontId="156" fillId="85" borderId="0" applyNumberFormat="0" applyBorder="0" applyAlignment="0" applyProtection="0"/>
    <xf numFmtId="198" fontId="156" fillId="85" borderId="0" applyNumberFormat="0" applyBorder="0" applyAlignment="0" applyProtection="0"/>
    <xf numFmtId="198" fontId="156" fillId="85" borderId="0" applyNumberFormat="0" applyBorder="0" applyAlignment="0" applyProtection="0"/>
    <xf numFmtId="198" fontId="156" fillId="85" borderId="0" applyNumberFormat="0" applyBorder="0" applyAlignment="0" applyProtection="0"/>
    <xf numFmtId="198" fontId="156" fillId="85" borderId="0" applyNumberFormat="0" applyBorder="0" applyAlignment="0" applyProtection="0"/>
    <xf numFmtId="198" fontId="156" fillId="85" borderId="0" applyNumberFormat="0" applyBorder="0" applyAlignment="0" applyProtection="0"/>
    <xf numFmtId="198" fontId="156" fillId="85" borderId="0" applyNumberFormat="0" applyBorder="0" applyAlignment="0" applyProtection="0"/>
    <xf numFmtId="198" fontId="156" fillId="85" borderId="0" applyNumberFormat="0" applyBorder="0" applyAlignment="0" applyProtection="0"/>
    <xf numFmtId="198" fontId="156" fillId="85" borderId="0" applyNumberFormat="0" applyBorder="0" applyAlignment="0" applyProtection="0"/>
    <xf numFmtId="198" fontId="156" fillId="85" borderId="0" applyNumberFormat="0" applyBorder="0" applyAlignment="0" applyProtection="0"/>
    <xf numFmtId="198" fontId="156" fillId="88" borderId="0" applyNumberFormat="0" applyBorder="0" applyAlignment="0" applyProtection="0"/>
    <xf numFmtId="198" fontId="156" fillId="88" borderId="0" applyNumberFormat="0" applyBorder="0" applyAlignment="0" applyProtection="0"/>
    <xf numFmtId="198" fontId="156" fillId="88" borderId="0" applyNumberFormat="0" applyBorder="0" applyAlignment="0" applyProtection="0"/>
    <xf numFmtId="198" fontId="156" fillId="88" borderId="0" applyNumberFormat="0" applyBorder="0" applyAlignment="0" applyProtection="0"/>
    <xf numFmtId="198" fontId="156" fillId="88" borderId="0" applyNumberFormat="0" applyBorder="0" applyAlignment="0" applyProtection="0"/>
    <xf numFmtId="198" fontId="156" fillId="88" borderId="0" applyNumberFormat="0" applyBorder="0" applyAlignment="0" applyProtection="0"/>
    <xf numFmtId="198" fontId="156" fillId="88" borderId="0" applyNumberFormat="0" applyBorder="0" applyAlignment="0" applyProtection="0"/>
    <xf numFmtId="198" fontId="156" fillId="88" borderId="0" applyNumberFormat="0" applyBorder="0" applyAlignment="0" applyProtection="0"/>
    <xf numFmtId="198" fontId="156" fillId="88" borderId="0" applyNumberFormat="0" applyBorder="0" applyAlignment="0" applyProtection="0"/>
    <xf numFmtId="198" fontId="156" fillId="88" borderId="0" applyNumberFormat="0" applyBorder="0" applyAlignment="0" applyProtection="0"/>
    <xf numFmtId="198" fontId="214" fillId="13" borderId="0" applyNumberFormat="0" applyBorder="0" applyAlignment="0" applyProtection="0"/>
    <xf numFmtId="198" fontId="156" fillId="88" borderId="0" applyNumberFormat="0" applyBorder="0" applyAlignment="0" applyProtection="0"/>
    <xf numFmtId="198" fontId="156" fillId="88" borderId="0" applyNumberFormat="0" applyBorder="0" applyAlignment="0" applyProtection="0"/>
    <xf numFmtId="198" fontId="156" fillId="88" borderId="0" applyNumberFormat="0" applyBorder="0" applyAlignment="0" applyProtection="0"/>
    <xf numFmtId="198" fontId="156" fillId="88" borderId="0" applyNumberFormat="0" applyBorder="0" applyAlignment="0" applyProtection="0"/>
    <xf numFmtId="198" fontId="156" fillId="88" borderId="0" applyNumberFormat="0" applyBorder="0" applyAlignment="0" applyProtection="0"/>
    <xf numFmtId="198" fontId="156" fillId="88" borderId="0" applyNumberFormat="0" applyBorder="0" applyAlignment="0" applyProtection="0"/>
    <xf numFmtId="198" fontId="156" fillId="88" borderId="0" applyNumberFormat="0" applyBorder="0" applyAlignment="0" applyProtection="0"/>
    <xf numFmtId="198" fontId="156" fillId="88" borderId="0" applyNumberFormat="0" applyBorder="0" applyAlignment="0" applyProtection="0"/>
    <xf numFmtId="198" fontId="156" fillId="88" borderId="0" applyNumberFormat="0" applyBorder="0" applyAlignment="0" applyProtection="0"/>
    <xf numFmtId="198" fontId="156" fillId="88" borderId="0" applyNumberFormat="0" applyBorder="0" applyAlignment="0" applyProtection="0"/>
    <xf numFmtId="198" fontId="156" fillId="88" borderId="0" applyNumberFormat="0" applyBorder="0" applyAlignment="0" applyProtection="0"/>
    <xf numFmtId="198" fontId="156" fillId="88" borderId="0" applyNumberFormat="0" applyBorder="0" applyAlignment="0" applyProtection="0"/>
    <xf numFmtId="198" fontId="156" fillId="88" borderId="0" applyNumberFormat="0" applyBorder="0" applyAlignment="0" applyProtection="0"/>
    <xf numFmtId="198" fontId="156" fillId="88" borderId="0" applyNumberFormat="0" applyBorder="0" applyAlignment="0" applyProtection="0"/>
    <xf numFmtId="198" fontId="156" fillId="88" borderId="0" applyNumberFormat="0" applyBorder="0" applyAlignment="0" applyProtection="0"/>
    <xf numFmtId="198" fontId="156" fillId="88" borderId="0" applyNumberFormat="0" applyBorder="0" applyAlignment="0" applyProtection="0"/>
    <xf numFmtId="198" fontId="156" fillId="88" borderId="0" applyNumberFormat="0" applyBorder="0" applyAlignment="0" applyProtection="0"/>
    <xf numFmtId="198" fontId="156" fillId="88" borderId="0" applyNumberFormat="0" applyBorder="0" applyAlignment="0" applyProtection="0"/>
    <xf numFmtId="198" fontId="156" fillId="88" borderId="0" applyNumberFormat="0" applyBorder="0" applyAlignment="0" applyProtection="0"/>
    <xf numFmtId="198" fontId="156" fillId="88" borderId="0" applyNumberFormat="0" applyBorder="0" applyAlignment="0" applyProtection="0"/>
    <xf numFmtId="198" fontId="156" fillId="88" borderId="0" applyNumberFormat="0" applyBorder="0" applyAlignment="0" applyProtection="0"/>
    <xf numFmtId="198" fontId="156" fillId="88" borderId="0" applyNumberFormat="0" applyBorder="0" applyAlignment="0" applyProtection="0"/>
    <xf numFmtId="198" fontId="156" fillId="88" borderId="0" applyNumberFormat="0" applyBorder="0" applyAlignment="0" applyProtection="0"/>
    <xf numFmtId="198" fontId="156" fillId="88" borderId="0" applyNumberFormat="0" applyBorder="0" applyAlignment="0" applyProtection="0"/>
    <xf numFmtId="198" fontId="156" fillId="88" borderId="0" applyNumberFormat="0" applyBorder="0" applyAlignment="0" applyProtection="0"/>
    <xf numFmtId="198" fontId="156" fillId="88" borderId="0" applyNumberFormat="0" applyBorder="0" applyAlignment="0" applyProtection="0"/>
    <xf numFmtId="198" fontId="156" fillId="88" borderId="0" applyNumberFormat="0" applyBorder="0" applyAlignment="0" applyProtection="0"/>
    <xf numFmtId="198" fontId="156" fillId="88" borderId="0" applyNumberFormat="0" applyBorder="0" applyAlignment="0" applyProtection="0"/>
    <xf numFmtId="198" fontId="156" fillId="88" borderId="0" applyNumberFormat="0" applyBorder="0" applyAlignment="0" applyProtection="0"/>
    <xf numFmtId="198" fontId="156" fillId="88" borderId="0" applyNumberFormat="0" applyBorder="0" applyAlignment="0" applyProtection="0"/>
    <xf numFmtId="198" fontId="156" fillId="88" borderId="0" applyNumberFormat="0" applyBorder="0" applyAlignment="0" applyProtection="0"/>
    <xf numFmtId="198" fontId="156" fillId="88" borderId="0" applyNumberFormat="0" applyBorder="0" applyAlignment="0" applyProtection="0"/>
    <xf numFmtId="198" fontId="156" fillId="88" borderId="0" applyNumberFormat="0" applyBorder="0" applyAlignment="0" applyProtection="0"/>
    <xf numFmtId="198" fontId="156" fillId="88" borderId="0" applyNumberFormat="0" applyBorder="0" applyAlignment="0" applyProtection="0"/>
    <xf numFmtId="198" fontId="156" fillId="88" borderId="0" applyNumberFormat="0" applyBorder="0" applyAlignment="0" applyProtection="0"/>
    <xf numFmtId="198" fontId="156" fillId="88" borderId="0" applyNumberFormat="0" applyBorder="0" applyAlignment="0" applyProtection="0"/>
    <xf numFmtId="198" fontId="156" fillId="88" borderId="0" applyNumberFormat="0" applyBorder="0" applyAlignment="0" applyProtection="0"/>
    <xf numFmtId="198" fontId="156" fillId="88" borderId="0" applyNumberFormat="0" applyBorder="0" applyAlignment="0" applyProtection="0"/>
    <xf numFmtId="198" fontId="156" fillId="88" borderId="0" applyNumberFormat="0" applyBorder="0" applyAlignment="0" applyProtection="0"/>
    <xf numFmtId="198" fontId="156" fillId="88" borderId="0" applyNumberFormat="0" applyBorder="0" applyAlignment="0" applyProtection="0"/>
    <xf numFmtId="198" fontId="156" fillId="88" borderId="0" applyNumberFormat="0" applyBorder="0" applyAlignment="0" applyProtection="0"/>
    <xf numFmtId="198" fontId="156" fillId="88" borderId="0" applyNumberFormat="0" applyBorder="0" applyAlignment="0" applyProtection="0"/>
    <xf numFmtId="198" fontId="156" fillId="88" borderId="0" applyNumberFormat="0" applyBorder="0" applyAlignment="0" applyProtection="0"/>
    <xf numFmtId="198" fontId="156" fillId="88" borderId="0" applyNumberFormat="0" applyBorder="0" applyAlignment="0" applyProtection="0"/>
    <xf numFmtId="198" fontId="156" fillId="88" borderId="0" applyNumberFormat="0" applyBorder="0" applyAlignment="0" applyProtection="0"/>
    <xf numFmtId="198" fontId="156" fillId="88" borderId="0" applyNumberFormat="0" applyBorder="0" applyAlignment="0" applyProtection="0"/>
    <xf numFmtId="198" fontId="156" fillId="88" borderId="0" applyNumberFormat="0" applyBorder="0" applyAlignment="0" applyProtection="0"/>
    <xf numFmtId="198" fontId="156" fillId="92" borderId="0" applyNumberFormat="0" applyBorder="0" applyAlignment="0" applyProtection="0"/>
    <xf numFmtId="198" fontId="156" fillId="92" borderId="0" applyNumberFormat="0" applyBorder="0" applyAlignment="0" applyProtection="0"/>
    <xf numFmtId="198" fontId="156" fillId="92" borderId="0" applyNumberFormat="0" applyBorder="0" applyAlignment="0" applyProtection="0"/>
    <xf numFmtId="198" fontId="156" fillId="92" borderId="0" applyNumberFormat="0" applyBorder="0" applyAlignment="0" applyProtection="0"/>
    <xf numFmtId="198" fontId="156" fillId="92" borderId="0" applyNumberFormat="0" applyBorder="0" applyAlignment="0" applyProtection="0"/>
    <xf numFmtId="198" fontId="156" fillId="92" borderId="0" applyNumberFormat="0" applyBorder="0" applyAlignment="0" applyProtection="0"/>
    <xf numFmtId="198" fontId="156" fillId="92" borderId="0" applyNumberFormat="0" applyBorder="0" applyAlignment="0" applyProtection="0"/>
    <xf numFmtId="198" fontId="156" fillId="92" borderId="0" applyNumberFormat="0" applyBorder="0" applyAlignment="0" applyProtection="0"/>
    <xf numFmtId="198" fontId="156" fillId="92" borderId="0" applyNumberFormat="0" applyBorder="0" applyAlignment="0" applyProtection="0"/>
    <xf numFmtId="198" fontId="156" fillId="92" borderId="0" applyNumberFormat="0" applyBorder="0" applyAlignment="0" applyProtection="0"/>
    <xf numFmtId="198" fontId="214" fillId="14" borderId="0" applyNumberFormat="0" applyBorder="0" applyAlignment="0" applyProtection="0"/>
    <xf numFmtId="198" fontId="156" fillId="92" borderId="0" applyNumberFormat="0" applyBorder="0" applyAlignment="0" applyProtection="0"/>
    <xf numFmtId="198" fontId="156" fillId="92" borderId="0" applyNumberFormat="0" applyBorder="0" applyAlignment="0" applyProtection="0"/>
    <xf numFmtId="198" fontId="156" fillId="92" borderId="0" applyNumberFormat="0" applyBorder="0" applyAlignment="0" applyProtection="0"/>
    <xf numFmtId="198" fontId="156" fillId="92" borderId="0" applyNumberFormat="0" applyBorder="0" applyAlignment="0" applyProtection="0"/>
    <xf numFmtId="198" fontId="156" fillId="92" borderId="0" applyNumberFormat="0" applyBorder="0" applyAlignment="0" applyProtection="0"/>
    <xf numFmtId="198" fontId="156" fillId="92" borderId="0" applyNumberFormat="0" applyBorder="0" applyAlignment="0" applyProtection="0"/>
    <xf numFmtId="198" fontId="156" fillId="92" borderId="0" applyNumberFormat="0" applyBorder="0" applyAlignment="0" applyProtection="0"/>
    <xf numFmtId="198" fontId="156" fillId="92" borderId="0" applyNumberFormat="0" applyBorder="0" applyAlignment="0" applyProtection="0"/>
    <xf numFmtId="198" fontId="156" fillId="92" borderId="0" applyNumberFormat="0" applyBorder="0" applyAlignment="0" applyProtection="0"/>
    <xf numFmtId="198" fontId="156" fillId="92" borderId="0" applyNumberFormat="0" applyBorder="0" applyAlignment="0" applyProtection="0"/>
    <xf numFmtId="198" fontId="156" fillId="92" borderId="0" applyNumberFormat="0" applyBorder="0" applyAlignment="0" applyProtection="0"/>
    <xf numFmtId="198" fontId="156" fillId="92" borderId="0" applyNumberFormat="0" applyBorder="0" applyAlignment="0" applyProtection="0"/>
    <xf numFmtId="198" fontId="156" fillId="92" borderId="0" applyNumberFormat="0" applyBorder="0" applyAlignment="0" applyProtection="0"/>
    <xf numFmtId="198" fontId="156" fillId="92" borderId="0" applyNumberFormat="0" applyBorder="0" applyAlignment="0" applyProtection="0"/>
    <xf numFmtId="198" fontId="156" fillId="92" borderId="0" applyNumberFormat="0" applyBorder="0" applyAlignment="0" applyProtection="0"/>
    <xf numFmtId="198" fontId="156" fillId="92" borderId="0" applyNumberFormat="0" applyBorder="0" applyAlignment="0" applyProtection="0"/>
    <xf numFmtId="198" fontId="156" fillId="92" borderId="0" applyNumberFormat="0" applyBorder="0" applyAlignment="0" applyProtection="0"/>
    <xf numFmtId="198" fontId="156" fillId="92" borderId="0" applyNumberFormat="0" applyBorder="0" applyAlignment="0" applyProtection="0"/>
    <xf numFmtId="198" fontId="156" fillId="92" borderId="0" applyNumberFormat="0" applyBorder="0" applyAlignment="0" applyProtection="0"/>
    <xf numFmtId="198" fontId="156" fillId="92" borderId="0" applyNumberFormat="0" applyBorder="0" applyAlignment="0" applyProtection="0"/>
    <xf numFmtId="198" fontId="156" fillId="92" borderId="0" applyNumberFormat="0" applyBorder="0" applyAlignment="0" applyProtection="0"/>
    <xf numFmtId="198" fontId="156" fillId="92" borderId="0" applyNumberFormat="0" applyBorder="0" applyAlignment="0" applyProtection="0"/>
    <xf numFmtId="198" fontId="156" fillId="92" borderId="0" applyNumberFormat="0" applyBorder="0" applyAlignment="0" applyProtection="0"/>
    <xf numFmtId="198" fontId="156" fillId="92" borderId="0" applyNumberFormat="0" applyBorder="0" applyAlignment="0" applyProtection="0"/>
    <xf numFmtId="198" fontId="156" fillId="92" borderId="0" applyNumberFormat="0" applyBorder="0" applyAlignment="0" applyProtection="0"/>
    <xf numFmtId="198" fontId="156" fillId="92" borderId="0" applyNumberFormat="0" applyBorder="0" applyAlignment="0" applyProtection="0"/>
    <xf numFmtId="198" fontId="156" fillId="92" borderId="0" applyNumberFormat="0" applyBorder="0" applyAlignment="0" applyProtection="0"/>
    <xf numFmtId="198" fontId="156" fillId="92" borderId="0" applyNumberFormat="0" applyBorder="0" applyAlignment="0" applyProtection="0"/>
    <xf numFmtId="198" fontId="156" fillId="92" borderId="0" applyNumberFormat="0" applyBorder="0" applyAlignment="0" applyProtection="0"/>
    <xf numFmtId="198" fontId="156" fillId="92" borderId="0" applyNumberFormat="0" applyBorder="0" applyAlignment="0" applyProtection="0"/>
    <xf numFmtId="198" fontId="156" fillId="92" borderId="0" applyNumberFormat="0" applyBorder="0" applyAlignment="0" applyProtection="0"/>
    <xf numFmtId="198" fontId="156" fillId="92" borderId="0" applyNumberFormat="0" applyBorder="0" applyAlignment="0" applyProtection="0"/>
    <xf numFmtId="198" fontId="156" fillId="92" borderId="0" applyNumberFormat="0" applyBorder="0" applyAlignment="0" applyProtection="0"/>
    <xf numFmtId="198" fontId="156" fillId="92" borderId="0" applyNumberFormat="0" applyBorder="0" applyAlignment="0" applyProtection="0"/>
    <xf numFmtId="198" fontId="156" fillId="92" borderId="0" applyNumberFormat="0" applyBorder="0" applyAlignment="0" applyProtection="0"/>
    <xf numFmtId="198" fontId="156" fillId="92" borderId="0" applyNumberFormat="0" applyBorder="0" applyAlignment="0" applyProtection="0"/>
    <xf numFmtId="198" fontId="156" fillId="92" borderId="0" applyNumberFormat="0" applyBorder="0" applyAlignment="0" applyProtection="0"/>
    <xf numFmtId="198" fontId="156" fillId="92" borderId="0" applyNumberFormat="0" applyBorder="0" applyAlignment="0" applyProtection="0"/>
    <xf numFmtId="198" fontId="156" fillId="92" borderId="0" applyNumberFormat="0" applyBorder="0" applyAlignment="0" applyProtection="0"/>
    <xf numFmtId="198" fontId="156" fillId="92" borderId="0" applyNumberFormat="0" applyBorder="0" applyAlignment="0" applyProtection="0"/>
    <xf numFmtId="198" fontId="156" fillId="92" borderId="0" applyNumberFormat="0" applyBorder="0" applyAlignment="0" applyProtection="0"/>
    <xf numFmtId="198" fontId="156" fillId="92" borderId="0" applyNumberFormat="0" applyBorder="0" applyAlignment="0" applyProtection="0"/>
    <xf numFmtId="198" fontId="156" fillId="92" borderId="0" applyNumberFormat="0" applyBorder="0" applyAlignment="0" applyProtection="0"/>
    <xf numFmtId="198" fontId="156" fillId="92" borderId="0" applyNumberFormat="0" applyBorder="0" applyAlignment="0" applyProtection="0"/>
    <xf numFmtId="198" fontId="156" fillId="92" borderId="0" applyNumberFormat="0" applyBorder="0" applyAlignment="0" applyProtection="0"/>
    <xf numFmtId="198" fontId="156" fillId="92" borderId="0" applyNumberFormat="0" applyBorder="0" applyAlignment="0" applyProtection="0"/>
    <xf numFmtId="198" fontId="156" fillId="92" borderId="0" applyNumberFormat="0" applyBorder="0" applyAlignment="0" applyProtection="0"/>
    <xf numFmtId="198" fontId="156" fillId="96" borderId="0" applyNumberFormat="0" applyBorder="0" applyAlignment="0" applyProtection="0"/>
    <xf numFmtId="198" fontId="156" fillId="96" borderId="0" applyNumberFormat="0" applyBorder="0" applyAlignment="0" applyProtection="0"/>
    <xf numFmtId="198" fontId="156" fillId="96" borderId="0" applyNumberFormat="0" applyBorder="0" applyAlignment="0" applyProtection="0"/>
    <xf numFmtId="198" fontId="156" fillId="96" borderId="0" applyNumberFormat="0" applyBorder="0" applyAlignment="0" applyProtection="0"/>
    <xf numFmtId="198" fontId="156" fillId="96" borderId="0" applyNumberFormat="0" applyBorder="0" applyAlignment="0" applyProtection="0"/>
    <xf numFmtId="198" fontId="156" fillId="96" borderId="0" applyNumberFormat="0" applyBorder="0" applyAlignment="0" applyProtection="0"/>
    <xf numFmtId="198" fontId="156" fillId="96" borderId="0" applyNumberFormat="0" applyBorder="0" applyAlignment="0" applyProtection="0"/>
    <xf numFmtId="198" fontId="156" fillId="96" borderId="0" applyNumberFormat="0" applyBorder="0" applyAlignment="0" applyProtection="0"/>
    <xf numFmtId="198" fontId="156" fillId="96" borderId="0" applyNumberFormat="0" applyBorder="0" applyAlignment="0" applyProtection="0"/>
    <xf numFmtId="198" fontId="156" fillId="96" borderId="0" applyNumberFormat="0" applyBorder="0" applyAlignment="0" applyProtection="0"/>
    <xf numFmtId="198" fontId="214" fillId="19" borderId="0" applyNumberFormat="0" applyBorder="0" applyAlignment="0" applyProtection="0"/>
    <xf numFmtId="198" fontId="156" fillId="96" borderId="0" applyNumberFormat="0" applyBorder="0" applyAlignment="0" applyProtection="0"/>
    <xf numFmtId="198" fontId="156" fillId="96" borderId="0" applyNumberFormat="0" applyBorder="0" applyAlignment="0" applyProtection="0"/>
    <xf numFmtId="198" fontId="156" fillId="96" borderId="0" applyNumberFormat="0" applyBorder="0" applyAlignment="0" applyProtection="0"/>
    <xf numFmtId="198" fontId="156" fillId="96" borderId="0" applyNumberFormat="0" applyBorder="0" applyAlignment="0" applyProtection="0"/>
    <xf numFmtId="198" fontId="156" fillId="96" borderId="0" applyNumberFormat="0" applyBorder="0" applyAlignment="0" applyProtection="0"/>
    <xf numFmtId="198" fontId="156" fillId="96" borderId="0" applyNumberFormat="0" applyBorder="0" applyAlignment="0" applyProtection="0"/>
    <xf numFmtId="198" fontId="156" fillId="96" borderId="0" applyNumberFormat="0" applyBorder="0" applyAlignment="0" applyProtection="0"/>
    <xf numFmtId="198" fontId="156" fillId="96" borderId="0" applyNumberFormat="0" applyBorder="0" applyAlignment="0" applyProtection="0"/>
    <xf numFmtId="198" fontId="156" fillId="96" borderId="0" applyNumberFormat="0" applyBorder="0" applyAlignment="0" applyProtection="0"/>
    <xf numFmtId="198" fontId="156" fillId="96" borderId="0" applyNumberFormat="0" applyBorder="0" applyAlignment="0" applyProtection="0"/>
    <xf numFmtId="198" fontId="156" fillId="96" borderId="0" applyNumberFormat="0" applyBorder="0" applyAlignment="0" applyProtection="0"/>
    <xf numFmtId="198" fontId="156" fillId="96" borderId="0" applyNumberFormat="0" applyBorder="0" applyAlignment="0" applyProtection="0"/>
    <xf numFmtId="198" fontId="156" fillId="96" borderId="0" applyNumberFormat="0" applyBorder="0" applyAlignment="0" applyProtection="0"/>
    <xf numFmtId="198" fontId="156" fillId="96" borderId="0" applyNumberFormat="0" applyBorder="0" applyAlignment="0" applyProtection="0"/>
    <xf numFmtId="198" fontId="156" fillId="96" borderId="0" applyNumberFormat="0" applyBorder="0" applyAlignment="0" applyProtection="0"/>
    <xf numFmtId="198" fontId="156" fillId="96" borderId="0" applyNumberFormat="0" applyBorder="0" applyAlignment="0" applyProtection="0"/>
    <xf numFmtId="198" fontId="156" fillId="96" borderId="0" applyNumberFormat="0" applyBorder="0" applyAlignment="0" applyProtection="0"/>
    <xf numFmtId="198" fontId="156" fillId="96" borderId="0" applyNumberFormat="0" applyBorder="0" applyAlignment="0" applyProtection="0"/>
    <xf numFmtId="198" fontId="156" fillId="96" borderId="0" applyNumberFormat="0" applyBorder="0" applyAlignment="0" applyProtection="0"/>
    <xf numFmtId="198" fontId="156" fillId="96" borderId="0" applyNumberFormat="0" applyBorder="0" applyAlignment="0" applyProtection="0"/>
    <xf numFmtId="198" fontId="156" fillId="96" borderId="0" applyNumberFormat="0" applyBorder="0" applyAlignment="0" applyProtection="0"/>
    <xf numFmtId="198" fontId="156" fillId="96" borderId="0" applyNumberFormat="0" applyBorder="0" applyAlignment="0" applyProtection="0"/>
    <xf numFmtId="198" fontId="156" fillId="96" borderId="0" applyNumberFormat="0" applyBorder="0" applyAlignment="0" applyProtection="0"/>
    <xf numFmtId="198" fontId="156" fillId="96" borderId="0" applyNumberFormat="0" applyBorder="0" applyAlignment="0" applyProtection="0"/>
    <xf numFmtId="198" fontId="156" fillId="96" borderId="0" applyNumberFormat="0" applyBorder="0" applyAlignment="0" applyProtection="0"/>
    <xf numFmtId="198" fontId="156" fillId="96" borderId="0" applyNumberFormat="0" applyBorder="0" applyAlignment="0" applyProtection="0"/>
    <xf numFmtId="198" fontId="156" fillId="96" borderId="0" applyNumberFormat="0" applyBorder="0" applyAlignment="0" applyProtection="0"/>
    <xf numFmtId="198" fontId="156" fillId="96" borderId="0" applyNumberFormat="0" applyBorder="0" applyAlignment="0" applyProtection="0"/>
    <xf numFmtId="198" fontId="156" fillId="96" borderId="0" applyNumberFormat="0" applyBorder="0" applyAlignment="0" applyProtection="0"/>
    <xf numFmtId="198" fontId="156" fillId="96" borderId="0" applyNumberFormat="0" applyBorder="0" applyAlignment="0" applyProtection="0"/>
    <xf numFmtId="198" fontId="156" fillId="96" borderId="0" applyNumberFormat="0" applyBorder="0" applyAlignment="0" applyProtection="0"/>
    <xf numFmtId="198" fontId="156" fillId="96" borderId="0" applyNumberFormat="0" applyBorder="0" applyAlignment="0" applyProtection="0"/>
    <xf numFmtId="198" fontId="156" fillId="96" borderId="0" applyNumberFormat="0" applyBorder="0" applyAlignment="0" applyProtection="0"/>
    <xf numFmtId="198" fontId="156" fillId="96" borderId="0" applyNumberFormat="0" applyBorder="0" applyAlignment="0" applyProtection="0"/>
    <xf numFmtId="198" fontId="156" fillId="96" borderId="0" applyNumberFormat="0" applyBorder="0" applyAlignment="0" applyProtection="0"/>
    <xf numFmtId="198" fontId="156" fillId="96" borderId="0" applyNumberFormat="0" applyBorder="0" applyAlignment="0" applyProtection="0"/>
    <xf numFmtId="198" fontId="156" fillId="96" borderId="0" applyNumberFormat="0" applyBorder="0" applyAlignment="0" applyProtection="0"/>
    <xf numFmtId="198" fontId="156" fillId="96" borderId="0" applyNumberFormat="0" applyBorder="0" applyAlignment="0" applyProtection="0"/>
    <xf numFmtId="198" fontId="156" fillId="96" borderId="0" applyNumberFormat="0" applyBorder="0" applyAlignment="0" applyProtection="0"/>
    <xf numFmtId="198" fontId="156" fillId="96" borderId="0" applyNumberFormat="0" applyBorder="0" applyAlignment="0" applyProtection="0"/>
    <xf numFmtId="198" fontId="156" fillId="96" borderId="0" applyNumberFormat="0" applyBorder="0" applyAlignment="0" applyProtection="0"/>
    <xf numFmtId="198" fontId="156" fillId="96" borderId="0" applyNumberFormat="0" applyBorder="0" applyAlignment="0" applyProtection="0"/>
    <xf numFmtId="198" fontId="156" fillId="96" borderId="0" applyNumberFormat="0" applyBorder="0" applyAlignment="0" applyProtection="0"/>
    <xf numFmtId="198" fontId="156" fillId="96" borderId="0" applyNumberFormat="0" applyBorder="0" applyAlignment="0" applyProtection="0"/>
    <xf numFmtId="198" fontId="156" fillId="96" borderId="0" applyNumberFormat="0" applyBorder="0" applyAlignment="0" applyProtection="0"/>
    <xf numFmtId="198" fontId="156" fillId="96" borderId="0" applyNumberFormat="0" applyBorder="0" applyAlignment="0" applyProtection="0"/>
    <xf numFmtId="198" fontId="156" fillId="96" borderId="0" applyNumberFormat="0" applyBorder="0" applyAlignment="0" applyProtection="0"/>
    <xf numFmtId="198" fontId="211" fillId="0" borderId="0" applyNumberFormat="0" applyFill="0" applyBorder="0" applyAlignment="0" applyProtection="0"/>
    <xf numFmtId="198" fontId="211" fillId="0" borderId="0" applyNumberFormat="0" applyFill="0" applyBorder="0" applyAlignment="0" applyProtection="0"/>
    <xf numFmtId="198" fontId="211" fillId="0" borderId="0" applyNumberFormat="0" applyFill="0" applyBorder="0" applyAlignment="0" applyProtection="0"/>
    <xf numFmtId="198" fontId="211" fillId="0" borderId="0" applyNumberFormat="0" applyFill="0" applyBorder="0" applyAlignment="0" applyProtection="0"/>
    <xf numFmtId="198" fontId="211" fillId="0" borderId="0" applyNumberFormat="0" applyFill="0" applyBorder="0" applyAlignment="0" applyProtection="0"/>
    <xf numFmtId="198" fontId="211" fillId="0" borderId="0" applyNumberFormat="0" applyFill="0" applyBorder="0" applyAlignment="0" applyProtection="0"/>
    <xf numFmtId="198" fontId="211" fillId="0" borderId="0" applyNumberFormat="0" applyFill="0" applyBorder="0" applyAlignment="0" applyProtection="0"/>
    <xf numFmtId="198" fontId="211" fillId="0" borderId="0" applyNumberFormat="0" applyFill="0" applyBorder="0" applyAlignment="0" applyProtection="0"/>
    <xf numFmtId="198" fontId="211" fillId="0" borderId="0" applyNumberFormat="0" applyFill="0" applyBorder="0" applyAlignment="0" applyProtection="0"/>
    <xf numFmtId="198" fontId="211" fillId="0" borderId="0" applyNumberFormat="0" applyFill="0" applyBorder="0" applyAlignment="0" applyProtection="0"/>
    <xf numFmtId="198" fontId="215" fillId="0" borderId="0" applyNumberFormat="0" applyFill="0" applyBorder="0" applyAlignment="0" applyProtection="0"/>
    <xf numFmtId="198" fontId="211" fillId="0" borderId="0" applyNumberFormat="0" applyFill="0" applyBorder="0" applyAlignment="0" applyProtection="0"/>
    <xf numFmtId="198" fontId="211" fillId="0" borderId="0" applyNumberFormat="0" applyFill="0" applyBorder="0" applyAlignment="0" applyProtection="0"/>
    <xf numFmtId="198" fontId="211" fillId="0" borderId="0" applyNumberFormat="0" applyFill="0" applyBorder="0" applyAlignment="0" applyProtection="0"/>
    <xf numFmtId="198" fontId="211" fillId="0" borderId="0" applyNumberFormat="0" applyFill="0" applyBorder="0" applyAlignment="0" applyProtection="0"/>
    <xf numFmtId="198" fontId="211" fillId="0" borderId="0" applyNumberFormat="0" applyFill="0" applyBorder="0" applyAlignment="0" applyProtection="0"/>
    <xf numFmtId="198" fontId="211" fillId="0" borderId="0" applyNumberFormat="0" applyFill="0" applyBorder="0" applyAlignment="0" applyProtection="0"/>
    <xf numFmtId="198" fontId="211" fillId="0" borderId="0" applyNumberFormat="0" applyFill="0" applyBorder="0" applyAlignment="0" applyProtection="0"/>
    <xf numFmtId="198" fontId="211" fillId="0" borderId="0" applyNumberFormat="0" applyFill="0" applyBorder="0" applyAlignment="0" applyProtection="0"/>
    <xf numFmtId="198" fontId="211" fillId="0" borderId="0" applyNumberFormat="0" applyFill="0" applyBorder="0" applyAlignment="0" applyProtection="0"/>
    <xf numFmtId="198" fontId="211" fillId="0" borderId="0" applyNumberFormat="0" applyFill="0" applyBorder="0" applyAlignment="0" applyProtection="0"/>
    <xf numFmtId="198" fontId="211" fillId="0" borderId="0" applyNumberFormat="0" applyFill="0" applyBorder="0" applyAlignment="0" applyProtection="0"/>
    <xf numFmtId="198" fontId="211" fillId="0" borderId="0" applyNumberFormat="0" applyFill="0" applyBorder="0" applyAlignment="0" applyProtection="0"/>
    <xf numFmtId="198" fontId="211" fillId="0" borderId="0" applyNumberFormat="0" applyFill="0" applyBorder="0" applyAlignment="0" applyProtection="0"/>
    <xf numFmtId="198" fontId="211" fillId="0" borderId="0" applyNumberFormat="0" applyFill="0" applyBorder="0" applyAlignment="0" applyProtection="0"/>
    <xf numFmtId="198" fontId="211" fillId="0" borderId="0" applyNumberFormat="0" applyFill="0" applyBorder="0" applyAlignment="0" applyProtection="0"/>
    <xf numFmtId="198" fontId="211" fillId="0" borderId="0" applyNumberFormat="0" applyFill="0" applyBorder="0" applyAlignment="0" applyProtection="0"/>
    <xf numFmtId="198" fontId="211" fillId="0" borderId="0" applyNumberFormat="0" applyFill="0" applyBorder="0" applyAlignment="0" applyProtection="0"/>
    <xf numFmtId="198" fontId="211" fillId="0" borderId="0" applyNumberFormat="0" applyFill="0" applyBorder="0" applyAlignment="0" applyProtection="0"/>
    <xf numFmtId="198" fontId="211" fillId="0" borderId="0" applyNumberFormat="0" applyFill="0" applyBorder="0" applyAlignment="0" applyProtection="0"/>
    <xf numFmtId="198" fontId="211" fillId="0" borderId="0" applyNumberFormat="0" applyFill="0" applyBorder="0" applyAlignment="0" applyProtection="0"/>
    <xf numFmtId="198" fontId="211" fillId="0" borderId="0" applyNumberFormat="0" applyFill="0" applyBorder="0" applyAlignment="0" applyProtection="0"/>
    <xf numFmtId="198" fontId="211" fillId="0" borderId="0" applyNumberFormat="0" applyFill="0" applyBorder="0" applyAlignment="0" applyProtection="0"/>
    <xf numFmtId="198" fontId="211" fillId="0" borderId="0" applyNumberFormat="0" applyFill="0" applyBorder="0" applyAlignment="0" applyProtection="0"/>
    <xf numFmtId="198" fontId="211" fillId="0" borderId="0" applyNumberFormat="0" applyFill="0" applyBorder="0" applyAlignment="0" applyProtection="0"/>
    <xf numFmtId="198" fontId="211" fillId="0" borderId="0" applyNumberFormat="0" applyFill="0" applyBorder="0" applyAlignment="0" applyProtection="0"/>
    <xf numFmtId="198" fontId="211" fillId="0" borderId="0" applyNumberFormat="0" applyFill="0" applyBorder="0" applyAlignment="0" applyProtection="0"/>
    <xf numFmtId="198" fontId="211" fillId="0" borderId="0" applyNumberFormat="0" applyFill="0" applyBorder="0" applyAlignment="0" applyProtection="0"/>
    <xf numFmtId="198" fontId="211" fillId="0" borderId="0" applyNumberFormat="0" applyFill="0" applyBorder="0" applyAlignment="0" applyProtection="0"/>
    <xf numFmtId="198" fontId="211" fillId="0" borderId="0" applyNumberFormat="0" applyFill="0" applyBorder="0" applyAlignment="0" applyProtection="0"/>
    <xf numFmtId="198" fontId="211" fillId="0" borderId="0" applyNumberFormat="0" applyFill="0" applyBorder="0" applyAlignment="0" applyProtection="0"/>
    <xf numFmtId="198" fontId="211" fillId="0" borderId="0" applyNumberFormat="0" applyFill="0" applyBorder="0" applyAlignment="0" applyProtection="0"/>
    <xf numFmtId="198" fontId="211" fillId="0" borderId="0" applyNumberFormat="0" applyFill="0" applyBorder="0" applyAlignment="0" applyProtection="0"/>
    <xf numFmtId="198" fontId="211" fillId="0" borderId="0" applyNumberFormat="0" applyFill="0" applyBorder="0" applyAlignment="0" applyProtection="0"/>
    <xf numFmtId="198" fontId="211" fillId="0" borderId="0" applyNumberFormat="0" applyFill="0" applyBorder="0" applyAlignment="0" applyProtection="0"/>
    <xf numFmtId="198" fontId="211" fillId="0" borderId="0" applyNumberFormat="0" applyFill="0" applyBorder="0" applyAlignment="0" applyProtection="0"/>
    <xf numFmtId="198" fontId="211" fillId="0" borderId="0" applyNumberFormat="0" applyFill="0" applyBorder="0" applyAlignment="0" applyProtection="0"/>
    <xf numFmtId="198" fontId="211" fillId="0" borderId="0" applyNumberFormat="0" applyFill="0" applyBorder="0" applyAlignment="0" applyProtection="0"/>
    <xf numFmtId="198" fontId="211" fillId="0" borderId="0" applyNumberFormat="0" applyFill="0" applyBorder="0" applyAlignment="0" applyProtection="0"/>
    <xf numFmtId="198" fontId="211" fillId="0" borderId="0" applyNumberFormat="0" applyFill="0" applyBorder="0" applyAlignment="0" applyProtection="0"/>
    <xf numFmtId="198" fontId="211" fillId="0" borderId="0" applyNumberFormat="0" applyFill="0" applyBorder="0" applyAlignment="0" applyProtection="0"/>
    <xf numFmtId="198" fontId="211" fillId="0" borderId="0" applyNumberFormat="0" applyFill="0" applyBorder="0" applyAlignment="0" applyProtection="0"/>
    <xf numFmtId="198" fontId="211" fillId="0" borderId="0" applyNumberFormat="0" applyFill="0" applyBorder="0" applyAlignment="0" applyProtection="0"/>
    <xf numFmtId="198" fontId="211" fillId="0" borderId="0" applyNumberFormat="0" applyFill="0" applyBorder="0" applyAlignment="0" applyProtection="0"/>
    <xf numFmtId="198" fontId="211" fillId="0" borderId="0" applyNumberFormat="0" applyFill="0" applyBorder="0" applyAlignment="0" applyProtection="0"/>
    <xf numFmtId="198" fontId="211" fillId="0" borderId="0" applyNumberFormat="0" applyFill="0" applyBorder="0" applyAlignment="0" applyProtection="0"/>
    <xf numFmtId="198" fontId="211" fillId="0" borderId="0" applyNumberFormat="0" applyFill="0" applyBorder="0" applyAlignment="0" applyProtection="0"/>
    <xf numFmtId="198" fontId="211" fillId="0" borderId="0" applyNumberFormat="0" applyFill="0" applyBorder="0" applyAlignment="0" applyProtection="0"/>
    <xf numFmtId="198" fontId="209" fillId="77" borderId="393" applyNumberFormat="0" applyAlignment="0" applyProtection="0"/>
    <xf numFmtId="198" fontId="209" fillId="77" borderId="393" applyNumberFormat="0" applyAlignment="0" applyProtection="0"/>
    <xf numFmtId="198" fontId="209" fillId="77" borderId="393" applyNumberFormat="0" applyAlignment="0" applyProtection="0"/>
    <xf numFmtId="198" fontId="209" fillId="77" borderId="393" applyNumberFormat="0" applyAlignment="0" applyProtection="0"/>
    <xf numFmtId="198" fontId="209" fillId="77" borderId="393" applyNumberFormat="0" applyAlignment="0" applyProtection="0"/>
    <xf numFmtId="198" fontId="209" fillId="77" borderId="393" applyNumberFormat="0" applyAlignment="0" applyProtection="0"/>
    <xf numFmtId="198" fontId="209" fillId="77" borderId="393" applyNumberFormat="0" applyAlignment="0" applyProtection="0"/>
    <xf numFmtId="198" fontId="209" fillId="77" borderId="393" applyNumberFormat="0" applyAlignment="0" applyProtection="0"/>
    <xf numFmtId="198" fontId="209" fillId="77" borderId="393" applyNumberFormat="0" applyAlignment="0" applyProtection="0"/>
    <xf numFmtId="198" fontId="209" fillId="77" borderId="393" applyNumberFormat="0" applyAlignment="0" applyProtection="0"/>
    <xf numFmtId="198" fontId="216" fillId="20" borderId="398" applyNumberFormat="0" applyAlignment="0" applyProtection="0"/>
    <xf numFmtId="198" fontId="209" fillId="77" borderId="393" applyNumberFormat="0" applyAlignment="0" applyProtection="0"/>
    <xf numFmtId="198" fontId="209" fillId="77" borderId="393" applyNumberFormat="0" applyAlignment="0" applyProtection="0"/>
    <xf numFmtId="198" fontId="209" fillId="77" borderId="393" applyNumberFormat="0" applyAlignment="0" applyProtection="0"/>
    <xf numFmtId="198" fontId="209" fillId="77" borderId="393" applyNumberFormat="0" applyAlignment="0" applyProtection="0"/>
    <xf numFmtId="198" fontId="209" fillId="77" borderId="393" applyNumberFormat="0" applyAlignment="0" applyProtection="0"/>
    <xf numFmtId="198" fontId="209" fillId="77" borderId="393" applyNumberFormat="0" applyAlignment="0" applyProtection="0"/>
    <xf numFmtId="198" fontId="209" fillId="77" borderId="393" applyNumberFormat="0" applyAlignment="0" applyProtection="0"/>
    <xf numFmtId="198" fontId="209" fillId="77" borderId="393" applyNumberFormat="0" applyAlignment="0" applyProtection="0"/>
    <xf numFmtId="198" fontId="209" fillId="77" borderId="393" applyNumberFormat="0" applyAlignment="0" applyProtection="0"/>
    <xf numFmtId="198" fontId="209" fillId="77" borderId="393" applyNumberFormat="0" applyAlignment="0" applyProtection="0"/>
    <xf numFmtId="198" fontId="209" fillId="77" borderId="393" applyNumberFormat="0" applyAlignment="0" applyProtection="0"/>
    <xf numFmtId="198" fontId="209" fillId="77" borderId="393" applyNumberFormat="0" applyAlignment="0" applyProtection="0"/>
    <xf numFmtId="198" fontId="209" fillId="77" borderId="393" applyNumberFormat="0" applyAlignment="0" applyProtection="0"/>
    <xf numFmtId="198" fontId="209" fillId="77" borderId="393" applyNumberFormat="0" applyAlignment="0" applyProtection="0"/>
    <xf numFmtId="198" fontId="209" fillId="77" borderId="393" applyNumberFormat="0" applyAlignment="0" applyProtection="0"/>
    <xf numFmtId="198" fontId="209" fillId="77" borderId="393" applyNumberFormat="0" applyAlignment="0" applyProtection="0"/>
    <xf numFmtId="198" fontId="209" fillId="77" borderId="393" applyNumberFormat="0" applyAlignment="0" applyProtection="0"/>
    <xf numFmtId="198" fontId="209" fillId="77" borderId="393" applyNumberFormat="0" applyAlignment="0" applyProtection="0"/>
    <xf numFmtId="198" fontId="209" fillId="77" borderId="393" applyNumberFormat="0" applyAlignment="0" applyProtection="0"/>
    <xf numFmtId="198" fontId="209" fillId="77" borderId="393" applyNumberFormat="0" applyAlignment="0" applyProtection="0"/>
    <xf numFmtId="198" fontId="209" fillId="77" borderId="393" applyNumberFormat="0" applyAlignment="0" applyProtection="0"/>
    <xf numFmtId="198" fontId="209" fillId="77" borderId="393" applyNumberFormat="0" applyAlignment="0" applyProtection="0"/>
    <xf numFmtId="198" fontId="209" fillId="77" borderId="393" applyNumberFormat="0" applyAlignment="0" applyProtection="0"/>
    <xf numFmtId="198" fontId="209" fillId="77" borderId="393" applyNumberFormat="0" applyAlignment="0" applyProtection="0"/>
    <xf numFmtId="198" fontId="209" fillId="77" borderId="393" applyNumberFormat="0" applyAlignment="0" applyProtection="0"/>
    <xf numFmtId="198" fontId="209" fillId="77" borderId="393" applyNumberFormat="0" applyAlignment="0" applyProtection="0"/>
    <xf numFmtId="198" fontId="209" fillId="77" borderId="393" applyNumberFormat="0" applyAlignment="0" applyProtection="0"/>
    <xf numFmtId="198" fontId="209" fillId="77" borderId="393" applyNumberFormat="0" applyAlignment="0" applyProtection="0"/>
    <xf numFmtId="198" fontId="209" fillId="77" borderId="393" applyNumberFormat="0" applyAlignment="0" applyProtection="0"/>
    <xf numFmtId="198" fontId="209" fillId="77" borderId="393" applyNumberFormat="0" applyAlignment="0" applyProtection="0"/>
    <xf numFmtId="198" fontId="209" fillId="77" borderId="393" applyNumberFormat="0" applyAlignment="0" applyProtection="0"/>
    <xf numFmtId="198" fontId="209" fillId="77" borderId="393" applyNumberFormat="0" applyAlignment="0" applyProtection="0"/>
    <xf numFmtId="198" fontId="209" fillId="77" borderId="393" applyNumberFormat="0" applyAlignment="0" applyProtection="0"/>
    <xf numFmtId="198" fontId="209" fillId="77" borderId="393" applyNumberFormat="0" applyAlignment="0" applyProtection="0"/>
    <xf numFmtId="198" fontId="209" fillId="77" borderId="393" applyNumberFormat="0" applyAlignment="0" applyProtection="0"/>
    <xf numFmtId="198" fontId="209" fillId="77" borderId="393" applyNumberFormat="0" applyAlignment="0" applyProtection="0"/>
    <xf numFmtId="198" fontId="209" fillId="77" borderId="393" applyNumberFormat="0" applyAlignment="0" applyProtection="0"/>
    <xf numFmtId="198" fontId="209" fillId="77" borderId="393" applyNumberFormat="0" applyAlignment="0" applyProtection="0"/>
    <xf numFmtId="198" fontId="209" fillId="77" borderId="393" applyNumberFormat="0" applyAlignment="0" applyProtection="0"/>
    <xf numFmtId="198" fontId="209" fillId="77" borderId="393" applyNumberFormat="0" applyAlignment="0" applyProtection="0"/>
    <xf numFmtId="198" fontId="209" fillId="77" borderId="393" applyNumberFormat="0" applyAlignment="0" applyProtection="0"/>
    <xf numFmtId="198" fontId="209" fillId="77" borderId="393" applyNumberFormat="0" applyAlignment="0" applyProtection="0"/>
    <xf numFmtId="198" fontId="209" fillId="77" borderId="393" applyNumberFormat="0" applyAlignment="0" applyProtection="0"/>
    <xf numFmtId="198" fontId="209" fillId="77" borderId="393" applyNumberFormat="0" applyAlignment="0" applyProtection="0"/>
    <xf numFmtId="198" fontId="209" fillId="77" borderId="393" applyNumberFormat="0" applyAlignment="0" applyProtection="0"/>
    <xf numFmtId="198" fontId="209" fillId="77" borderId="393" applyNumberFormat="0" applyAlignment="0" applyProtection="0"/>
    <xf numFmtId="198" fontId="209" fillId="77" borderId="393" applyNumberFormat="0" applyAlignment="0" applyProtection="0"/>
    <xf numFmtId="198" fontId="210" fillId="0" borderId="395" applyNumberFormat="0" applyFill="0" applyAlignment="0" applyProtection="0"/>
    <xf numFmtId="198" fontId="210" fillId="0" borderId="395" applyNumberFormat="0" applyFill="0" applyAlignment="0" applyProtection="0"/>
    <xf numFmtId="198" fontId="210" fillId="0" borderId="395" applyNumberFormat="0" applyFill="0" applyAlignment="0" applyProtection="0"/>
    <xf numFmtId="198" fontId="210" fillId="0" borderId="395" applyNumberFormat="0" applyFill="0" applyAlignment="0" applyProtection="0"/>
    <xf numFmtId="198" fontId="210" fillId="0" borderId="395" applyNumberFormat="0" applyFill="0" applyAlignment="0" applyProtection="0"/>
    <xf numFmtId="198" fontId="210" fillId="0" borderId="395" applyNumberFormat="0" applyFill="0" applyAlignment="0" applyProtection="0"/>
    <xf numFmtId="198" fontId="210" fillId="0" borderId="395" applyNumberFormat="0" applyFill="0" applyAlignment="0" applyProtection="0"/>
    <xf numFmtId="198" fontId="210" fillId="0" borderId="395" applyNumberFormat="0" applyFill="0" applyAlignment="0" applyProtection="0"/>
    <xf numFmtId="198" fontId="210" fillId="0" borderId="395" applyNumberFormat="0" applyFill="0" applyAlignment="0" applyProtection="0"/>
    <xf numFmtId="198" fontId="210" fillId="0" borderId="395" applyNumberFormat="0" applyFill="0" applyAlignment="0" applyProtection="0"/>
    <xf numFmtId="198" fontId="217" fillId="0" borderId="2" applyNumberFormat="0" applyFill="0" applyAlignment="0" applyProtection="0"/>
    <xf numFmtId="198" fontId="210" fillId="0" borderId="395" applyNumberFormat="0" applyFill="0" applyAlignment="0" applyProtection="0"/>
    <xf numFmtId="198" fontId="210" fillId="0" borderId="395" applyNumberFormat="0" applyFill="0" applyAlignment="0" applyProtection="0"/>
    <xf numFmtId="198" fontId="210" fillId="0" borderId="395" applyNumberFormat="0" applyFill="0" applyAlignment="0" applyProtection="0"/>
    <xf numFmtId="198" fontId="210" fillId="0" borderId="395" applyNumberFormat="0" applyFill="0" applyAlignment="0" applyProtection="0"/>
    <xf numFmtId="198" fontId="210" fillId="0" borderId="395" applyNumberFormat="0" applyFill="0" applyAlignment="0" applyProtection="0"/>
    <xf numFmtId="198" fontId="210" fillId="0" borderId="395" applyNumberFormat="0" applyFill="0" applyAlignment="0" applyProtection="0"/>
    <xf numFmtId="198" fontId="210" fillId="0" borderId="395" applyNumberFormat="0" applyFill="0" applyAlignment="0" applyProtection="0"/>
    <xf numFmtId="198" fontId="210" fillId="0" borderId="395" applyNumberFormat="0" applyFill="0" applyAlignment="0" applyProtection="0"/>
    <xf numFmtId="198" fontId="210" fillId="0" borderId="395" applyNumberFormat="0" applyFill="0" applyAlignment="0" applyProtection="0"/>
    <xf numFmtId="198" fontId="210" fillId="0" borderId="395" applyNumberFormat="0" applyFill="0" applyAlignment="0" applyProtection="0"/>
    <xf numFmtId="198" fontId="210" fillId="0" borderId="395" applyNumberFormat="0" applyFill="0" applyAlignment="0" applyProtection="0"/>
    <xf numFmtId="198" fontId="210" fillId="0" borderId="395" applyNumberFormat="0" applyFill="0" applyAlignment="0" applyProtection="0"/>
    <xf numFmtId="198" fontId="210" fillId="0" borderId="395" applyNumberFormat="0" applyFill="0" applyAlignment="0" applyProtection="0"/>
    <xf numFmtId="198" fontId="210" fillId="0" borderId="395" applyNumberFormat="0" applyFill="0" applyAlignment="0" applyProtection="0"/>
    <xf numFmtId="198" fontId="210" fillId="0" borderId="395" applyNumberFormat="0" applyFill="0" applyAlignment="0" applyProtection="0"/>
    <xf numFmtId="198" fontId="210" fillId="0" borderId="395" applyNumberFormat="0" applyFill="0" applyAlignment="0" applyProtection="0"/>
    <xf numFmtId="198" fontId="210" fillId="0" borderId="395" applyNumberFormat="0" applyFill="0" applyAlignment="0" applyProtection="0"/>
    <xf numFmtId="198" fontId="210" fillId="0" borderId="395" applyNumberFormat="0" applyFill="0" applyAlignment="0" applyProtection="0"/>
    <xf numFmtId="198" fontId="210" fillId="0" borderId="395" applyNumberFormat="0" applyFill="0" applyAlignment="0" applyProtection="0"/>
    <xf numFmtId="198" fontId="210" fillId="0" borderId="395" applyNumberFormat="0" applyFill="0" applyAlignment="0" applyProtection="0"/>
    <xf numFmtId="198" fontId="210" fillId="0" borderId="395" applyNumberFormat="0" applyFill="0" applyAlignment="0" applyProtection="0"/>
    <xf numFmtId="198" fontId="210" fillId="0" borderId="395" applyNumberFormat="0" applyFill="0" applyAlignment="0" applyProtection="0"/>
    <xf numFmtId="198" fontId="210" fillId="0" borderId="395" applyNumberFormat="0" applyFill="0" applyAlignment="0" applyProtection="0"/>
    <xf numFmtId="198" fontId="210" fillId="0" borderId="395" applyNumberFormat="0" applyFill="0" applyAlignment="0" applyProtection="0"/>
    <xf numFmtId="198" fontId="210" fillId="0" borderId="395" applyNumberFormat="0" applyFill="0" applyAlignment="0" applyProtection="0"/>
    <xf numFmtId="198" fontId="210" fillId="0" borderId="395" applyNumberFormat="0" applyFill="0" applyAlignment="0" applyProtection="0"/>
    <xf numFmtId="198" fontId="210" fillId="0" borderId="395" applyNumberFormat="0" applyFill="0" applyAlignment="0" applyProtection="0"/>
    <xf numFmtId="198" fontId="210" fillId="0" borderId="395" applyNumberFormat="0" applyFill="0" applyAlignment="0" applyProtection="0"/>
    <xf numFmtId="198" fontId="210" fillId="0" borderId="395" applyNumberFormat="0" applyFill="0" applyAlignment="0" applyProtection="0"/>
    <xf numFmtId="198" fontId="210" fillId="0" borderId="395" applyNumberFormat="0" applyFill="0" applyAlignment="0" applyProtection="0"/>
    <xf numFmtId="198" fontId="210" fillId="0" borderId="395" applyNumberFormat="0" applyFill="0" applyAlignment="0" applyProtection="0"/>
    <xf numFmtId="198" fontId="210" fillId="0" borderId="395" applyNumberFormat="0" applyFill="0" applyAlignment="0" applyProtection="0"/>
    <xf numFmtId="198" fontId="210" fillId="0" borderId="395" applyNumberFormat="0" applyFill="0" applyAlignment="0" applyProtection="0"/>
    <xf numFmtId="198" fontId="210" fillId="0" borderId="395" applyNumberFormat="0" applyFill="0" applyAlignment="0" applyProtection="0"/>
    <xf numFmtId="198" fontId="210" fillId="0" borderId="395" applyNumberFormat="0" applyFill="0" applyAlignment="0" applyProtection="0"/>
    <xf numFmtId="198" fontId="210" fillId="0" borderId="395" applyNumberFormat="0" applyFill="0" applyAlignment="0" applyProtection="0"/>
    <xf numFmtId="198" fontId="210" fillId="0" borderId="395" applyNumberFormat="0" applyFill="0" applyAlignment="0" applyProtection="0"/>
    <xf numFmtId="198" fontId="210" fillId="0" borderId="395" applyNumberFormat="0" applyFill="0" applyAlignment="0" applyProtection="0"/>
    <xf numFmtId="198" fontId="210" fillId="0" borderId="395" applyNumberFormat="0" applyFill="0" applyAlignment="0" applyProtection="0"/>
    <xf numFmtId="198" fontId="210" fillId="0" borderId="395" applyNumberFormat="0" applyFill="0" applyAlignment="0" applyProtection="0"/>
    <xf numFmtId="198" fontId="210" fillId="0" borderId="395" applyNumberFormat="0" applyFill="0" applyAlignment="0" applyProtection="0"/>
    <xf numFmtId="198" fontId="210" fillId="0" borderId="395" applyNumberFormat="0" applyFill="0" applyAlignment="0" applyProtection="0"/>
    <xf numFmtId="198" fontId="210" fillId="0" borderId="395" applyNumberFormat="0" applyFill="0" applyAlignment="0" applyProtection="0"/>
    <xf numFmtId="198" fontId="210" fillId="0" borderId="395" applyNumberFormat="0" applyFill="0" applyAlignment="0" applyProtection="0"/>
    <xf numFmtId="198" fontId="210" fillId="0" borderId="395" applyNumberFormat="0" applyFill="0" applyAlignment="0" applyProtection="0"/>
    <xf numFmtId="198" fontId="210" fillId="0" borderId="395" applyNumberFormat="0" applyFill="0" applyAlignment="0" applyProtection="0"/>
    <xf numFmtId="198" fontId="210" fillId="0" borderId="395" applyNumberFormat="0" applyFill="0" applyAlignment="0" applyProtection="0"/>
    <xf numFmtId="198" fontId="20" fillId="79" borderId="397" applyNumberFormat="0" applyFont="0" applyAlignment="0" applyProtection="0"/>
    <xf numFmtId="198" fontId="20" fillId="79" borderId="397" applyNumberFormat="0" applyFont="0" applyAlignment="0" applyProtection="0"/>
    <xf numFmtId="198" fontId="20" fillId="79" borderId="397" applyNumberFormat="0" applyFont="0" applyAlignment="0" applyProtection="0"/>
    <xf numFmtId="198" fontId="20" fillId="79" borderId="397" applyNumberFormat="0" applyFont="0" applyAlignment="0" applyProtection="0"/>
    <xf numFmtId="198" fontId="20" fillId="79" borderId="397" applyNumberFormat="0" applyFont="0" applyAlignment="0" applyProtection="0"/>
    <xf numFmtId="198" fontId="20" fillId="79" borderId="397" applyNumberFormat="0" applyFont="0" applyAlignment="0" applyProtection="0"/>
    <xf numFmtId="198" fontId="20" fillId="79" borderId="397" applyNumberFormat="0" applyFont="0" applyAlignment="0" applyProtection="0"/>
    <xf numFmtId="198" fontId="20" fillId="79" borderId="397" applyNumberFormat="0" applyFont="0" applyAlignment="0" applyProtection="0"/>
    <xf numFmtId="198" fontId="20" fillId="79" borderId="397" applyNumberFormat="0" applyFont="0" applyAlignment="0" applyProtection="0"/>
    <xf numFmtId="198" fontId="20" fillId="79" borderId="397" applyNumberFormat="0" applyFont="0" applyAlignment="0" applyProtection="0"/>
    <xf numFmtId="198" fontId="21" fillId="21" borderId="356" applyNumberFormat="0" applyFont="0" applyAlignment="0" applyProtection="0"/>
    <xf numFmtId="198" fontId="20" fillId="79" borderId="397" applyNumberFormat="0" applyFont="0" applyAlignment="0" applyProtection="0"/>
    <xf numFmtId="198" fontId="20" fillId="79" borderId="397" applyNumberFormat="0" applyFont="0" applyAlignment="0" applyProtection="0"/>
    <xf numFmtId="198" fontId="20" fillId="79" borderId="397" applyNumberFormat="0" applyFont="0" applyAlignment="0" applyProtection="0"/>
    <xf numFmtId="198" fontId="20" fillId="79" borderId="397" applyNumberFormat="0" applyFont="0" applyAlignment="0" applyProtection="0"/>
    <xf numFmtId="198" fontId="20" fillId="79" borderId="397" applyNumberFormat="0" applyFont="0" applyAlignment="0" applyProtection="0"/>
    <xf numFmtId="198" fontId="20" fillId="79" borderId="397" applyNumberFormat="0" applyFont="0" applyAlignment="0" applyProtection="0"/>
    <xf numFmtId="198" fontId="20" fillId="79" borderId="397" applyNumberFormat="0" applyFont="0" applyAlignment="0" applyProtection="0"/>
    <xf numFmtId="198" fontId="20" fillId="79" borderId="397" applyNumberFormat="0" applyFont="0" applyAlignment="0" applyProtection="0"/>
    <xf numFmtId="198" fontId="20" fillId="79" borderId="397" applyNumberFormat="0" applyFont="0" applyAlignment="0" applyProtection="0"/>
    <xf numFmtId="198" fontId="20" fillId="79" borderId="397" applyNumberFormat="0" applyFont="0" applyAlignment="0" applyProtection="0"/>
    <xf numFmtId="198" fontId="21" fillId="21" borderId="356" applyNumberFormat="0" applyFont="0" applyAlignment="0" applyProtection="0"/>
    <xf numFmtId="198" fontId="20" fillId="79" borderId="397" applyNumberFormat="0" applyFont="0" applyAlignment="0" applyProtection="0"/>
    <xf numFmtId="198" fontId="20" fillId="79" borderId="397" applyNumberFormat="0" applyFont="0" applyAlignment="0" applyProtection="0"/>
    <xf numFmtId="198" fontId="20" fillId="79" borderId="397" applyNumberFormat="0" applyFont="0" applyAlignment="0" applyProtection="0"/>
    <xf numFmtId="198" fontId="20" fillId="79" borderId="397" applyNumberFormat="0" applyFont="0" applyAlignment="0" applyProtection="0"/>
    <xf numFmtId="198" fontId="20" fillId="79" borderId="397" applyNumberFormat="0" applyFont="0" applyAlignment="0" applyProtection="0"/>
    <xf numFmtId="198" fontId="20" fillId="79" borderId="397" applyNumberFormat="0" applyFont="0" applyAlignment="0" applyProtection="0"/>
    <xf numFmtId="198" fontId="20" fillId="79" borderId="397" applyNumberFormat="0" applyFont="0" applyAlignment="0" applyProtection="0"/>
    <xf numFmtId="198" fontId="20" fillId="79" borderId="397" applyNumberFormat="0" applyFont="0" applyAlignment="0" applyProtection="0"/>
    <xf numFmtId="198" fontId="20" fillId="79" borderId="397" applyNumberFormat="0" applyFont="0" applyAlignment="0" applyProtection="0"/>
    <xf numFmtId="198" fontId="20" fillId="79" borderId="397" applyNumberFormat="0" applyFont="0" applyAlignment="0" applyProtection="0"/>
    <xf numFmtId="198" fontId="20" fillId="79" borderId="397" applyNumberFormat="0" applyFont="0" applyAlignment="0" applyProtection="0"/>
    <xf numFmtId="198" fontId="20" fillId="79" borderId="397" applyNumberFormat="0" applyFont="0" applyAlignment="0" applyProtection="0"/>
    <xf numFmtId="198" fontId="20" fillId="79" borderId="397" applyNumberFormat="0" applyFont="0" applyAlignment="0" applyProtection="0"/>
    <xf numFmtId="198" fontId="20" fillId="79" borderId="397" applyNumberFormat="0" applyFont="0" applyAlignment="0" applyProtection="0"/>
    <xf numFmtId="198" fontId="11" fillId="79" borderId="397" applyNumberFormat="0" applyFont="0" applyAlignment="0" applyProtection="0"/>
    <xf numFmtId="198" fontId="11" fillId="79" borderId="397" applyNumberFormat="0" applyFont="0" applyAlignment="0" applyProtection="0"/>
    <xf numFmtId="198" fontId="11" fillId="79" borderId="397" applyNumberFormat="0" applyFont="0" applyAlignment="0" applyProtection="0"/>
    <xf numFmtId="198" fontId="11" fillId="79" borderId="397" applyNumberFormat="0" applyFont="0" applyAlignment="0" applyProtection="0"/>
    <xf numFmtId="198" fontId="11" fillId="79" borderId="397" applyNumberFormat="0" applyFont="0" applyAlignment="0" applyProtection="0"/>
    <xf numFmtId="198" fontId="11" fillId="79" borderId="397" applyNumberFormat="0" applyFont="0" applyAlignment="0" applyProtection="0"/>
    <xf numFmtId="198" fontId="11" fillId="79" borderId="397" applyNumberFormat="0" applyFont="0" applyAlignment="0" applyProtection="0"/>
    <xf numFmtId="198" fontId="20" fillId="79" borderId="397" applyNumberFormat="0" applyFont="0" applyAlignment="0" applyProtection="0"/>
    <xf numFmtId="198" fontId="11" fillId="79" borderId="397" applyNumberFormat="0" applyFont="0" applyAlignment="0" applyProtection="0"/>
    <xf numFmtId="198" fontId="11" fillId="79" borderId="397" applyNumberFormat="0" applyFont="0" applyAlignment="0" applyProtection="0"/>
    <xf numFmtId="198" fontId="11" fillId="79" borderId="397" applyNumberFormat="0" applyFont="0" applyAlignment="0" applyProtection="0"/>
    <xf numFmtId="198" fontId="11" fillId="79" borderId="397" applyNumberFormat="0" applyFont="0" applyAlignment="0" applyProtection="0"/>
    <xf numFmtId="198" fontId="11" fillId="79" borderId="397" applyNumberFormat="0" applyFont="0" applyAlignment="0" applyProtection="0"/>
    <xf numFmtId="198" fontId="11" fillId="79" borderId="397" applyNumberFormat="0" applyFont="0" applyAlignment="0" applyProtection="0"/>
    <xf numFmtId="198" fontId="11" fillId="79" borderId="397" applyNumberFormat="0" applyFont="0" applyAlignment="0" applyProtection="0"/>
    <xf numFmtId="198" fontId="11" fillId="79" borderId="397" applyNumberFormat="0" applyFont="0" applyAlignment="0" applyProtection="0"/>
    <xf numFmtId="198" fontId="11" fillId="79" borderId="397" applyNumberFormat="0" applyFont="0" applyAlignment="0" applyProtection="0"/>
    <xf numFmtId="198" fontId="11" fillId="79" borderId="397" applyNumberFormat="0" applyFont="0" applyAlignment="0" applyProtection="0"/>
    <xf numFmtId="198" fontId="20" fillId="79" borderId="397" applyNumberFormat="0" applyFont="0" applyAlignment="0" applyProtection="0"/>
    <xf numFmtId="198" fontId="11" fillId="79" borderId="397" applyNumberFormat="0" applyFont="0" applyAlignment="0" applyProtection="0"/>
    <xf numFmtId="198" fontId="20" fillId="79" borderId="397" applyNumberFormat="0" applyFont="0" applyAlignment="0" applyProtection="0"/>
    <xf numFmtId="198" fontId="20" fillId="79" borderId="397" applyNumberFormat="0" applyFont="0" applyAlignment="0" applyProtection="0"/>
    <xf numFmtId="198" fontId="20" fillId="79" borderId="397" applyNumberFormat="0" applyFont="0" applyAlignment="0" applyProtection="0"/>
    <xf numFmtId="198" fontId="207" fillId="76" borderId="393" applyNumberFormat="0" applyAlignment="0" applyProtection="0"/>
    <xf numFmtId="198" fontId="207" fillId="76" borderId="393" applyNumberFormat="0" applyAlignment="0" applyProtection="0"/>
    <xf numFmtId="198" fontId="207" fillId="76" borderId="393" applyNumberFormat="0" applyAlignment="0" applyProtection="0"/>
    <xf numFmtId="198" fontId="207" fillId="76" borderId="393" applyNumberFormat="0" applyAlignment="0" applyProtection="0"/>
    <xf numFmtId="198" fontId="207" fillId="76" borderId="393" applyNumberFormat="0" applyAlignment="0" applyProtection="0"/>
    <xf numFmtId="198" fontId="207" fillId="76" borderId="393" applyNumberFormat="0" applyAlignment="0" applyProtection="0"/>
    <xf numFmtId="198" fontId="207" fillId="76" borderId="393" applyNumberFormat="0" applyAlignment="0" applyProtection="0"/>
    <xf numFmtId="198" fontId="207" fillId="76" borderId="393" applyNumberFormat="0" applyAlignment="0" applyProtection="0"/>
    <xf numFmtId="198" fontId="207" fillId="76" borderId="393" applyNumberFormat="0" applyAlignment="0" applyProtection="0"/>
    <xf numFmtId="198" fontId="207" fillId="76" borderId="393" applyNumberFormat="0" applyAlignment="0" applyProtection="0"/>
    <xf numFmtId="198" fontId="218" fillId="7" borderId="398" applyNumberFormat="0" applyAlignment="0" applyProtection="0"/>
    <xf numFmtId="198" fontId="207" fillId="76" borderId="393" applyNumberFormat="0" applyAlignment="0" applyProtection="0"/>
    <xf numFmtId="198" fontId="207" fillId="76" borderId="393" applyNumberFormat="0" applyAlignment="0" applyProtection="0"/>
    <xf numFmtId="198" fontId="207" fillId="76" borderId="393" applyNumberFormat="0" applyAlignment="0" applyProtection="0"/>
    <xf numFmtId="198" fontId="207" fillId="76" borderId="393" applyNumberFormat="0" applyAlignment="0" applyProtection="0"/>
    <xf numFmtId="198" fontId="207" fillId="76" borderId="393" applyNumberFormat="0" applyAlignment="0" applyProtection="0"/>
    <xf numFmtId="198" fontId="207" fillId="76" borderId="393" applyNumberFormat="0" applyAlignment="0" applyProtection="0"/>
    <xf numFmtId="198" fontId="207" fillId="76" borderId="393" applyNumberFormat="0" applyAlignment="0" applyProtection="0"/>
    <xf numFmtId="198" fontId="207" fillId="76" borderId="393" applyNumberFormat="0" applyAlignment="0" applyProtection="0"/>
    <xf numFmtId="198" fontId="207" fillId="76" borderId="393" applyNumberFormat="0" applyAlignment="0" applyProtection="0"/>
    <xf numFmtId="198" fontId="207" fillId="76" borderId="393" applyNumberFormat="0" applyAlignment="0" applyProtection="0"/>
    <xf numFmtId="198" fontId="207" fillId="76" borderId="393" applyNumberFormat="0" applyAlignment="0" applyProtection="0"/>
    <xf numFmtId="198" fontId="207" fillId="76" borderId="393" applyNumberFormat="0" applyAlignment="0" applyProtection="0"/>
    <xf numFmtId="198" fontId="207" fillId="76" borderId="393" applyNumberFormat="0" applyAlignment="0" applyProtection="0"/>
    <xf numFmtId="198" fontId="207" fillId="76" borderId="393" applyNumberFormat="0" applyAlignment="0" applyProtection="0"/>
    <xf numFmtId="198" fontId="207" fillId="76" borderId="393" applyNumberFormat="0" applyAlignment="0" applyProtection="0"/>
    <xf numFmtId="198" fontId="207" fillId="76" borderId="393" applyNumberFormat="0" applyAlignment="0" applyProtection="0"/>
    <xf numFmtId="198" fontId="207" fillId="76" borderId="393" applyNumberFormat="0" applyAlignment="0" applyProtection="0"/>
    <xf numFmtId="198" fontId="207" fillId="76" borderId="393" applyNumberFormat="0" applyAlignment="0" applyProtection="0"/>
    <xf numFmtId="198" fontId="207" fillId="76" borderId="393" applyNumberFormat="0" applyAlignment="0" applyProtection="0"/>
    <xf numFmtId="198" fontId="207" fillId="76" borderId="393" applyNumberFormat="0" applyAlignment="0" applyProtection="0"/>
    <xf numFmtId="198" fontId="207" fillId="76" borderId="393" applyNumberFormat="0" applyAlignment="0" applyProtection="0"/>
    <xf numFmtId="198" fontId="207" fillId="76" borderId="393" applyNumberFormat="0" applyAlignment="0" applyProtection="0"/>
    <xf numFmtId="198" fontId="207" fillId="76" borderId="393" applyNumberFormat="0" applyAlignment="0" applyProtection="0"/>
    <xf numFmtId="198" fontId="207" fillId="76" borderId="393" applyNumberFormat="0" applyAlignment="0" applyProtection="0"/>
    <xf numFmtId="198" fontId="207" fillId="76" borderId="393" applyNumberFormat="0" applyAlignment="0" applyProtection="0"/>
    <xf numFmtId="198" fontId="207" fillId="76" borderId="393" applyNumberFormat="0" applyAlignment="0" applyProtection="0"/>
    <xf numFmtId="198" fontId="207" fillId="76" borderId="393" applyNumberFormat="0" applyAlignment="0" applyProtection="0"/>
    <xf numFmtId="198" fontId="207" fillId="76" borderId="393" applyNumberFormat="0" applyAlignment="0" applyProtection="0"/>
    <xf numFmtId="198" fontId="207" fillId="76" borderId="393" applyNumberFormat="0" applyAlignment="0" applyProtection="0"/>
    <xf numFmtId="198" fontId="207" fillId="76" borderId="393" applyNumberFormat="0" applyAlignment="0" applyProtection="0"/>
    <xf numFmtId="198" fontId="207" fillId="76" borderId="393" applyNumberFormat="0" applyAlignment="0" applyProtection="0"/>
    <xf numFmtId="198" fontId="207" fillId="76" borderId="393" applyNumberFormat="0" applyAlignment="0" applyProtection="0"/>
    <xf numFmtId="198" fontId="207" fillId="76" borderId="393" applyNumberFormat="0" applyAlignment="0" applyProtection="0"/>
    <xf numFmtId="198" fontId="207" fillId="76" borderId="393" applyNumberFormat="0" applyAlignment="0" applyProtection="0"/>
    <xf numFmtId="198" fontId="207" fillId="76" borderId="393" applyNumberFormat="0" applyAlignment="0" applyProtection="0"/>
    <xf numFmtId="198" fontId="207" fillId="76" borderId="393" applyNumberFormat="0" applyAlignment="0" applyProtection="0"/>
    <xf numFmtId="198" fontId="207" fillId="76" borderId="393" applyNumberFormat="0" applyAlignment="0" applyProtection="0"/>
    <xf numFmtId="198" fontId="207" fillId="76" borderId="393" applyNumberFormat="0" applyAlignment="0" applyProtection="0"/>
    <xf numFmtId="198" fontId="207" fillId="76" borderId="393" applyNumberFormat="0" applyAlignment="0" applyProtection="0"/>
    <xf numFmtId="198" fontId="207" fillId="76" borderId="393" applyNumberFormat="0" applyAlignment="0" applyProtection="0"/>
    <xf numFmtId="198" fontId="207" fillId="76" borderId="393" applyNumberFormat="0" applyAlignment="0" applyProtection="0"/>
    <xf numFmtId="198" fontId="207" fillId="76" borderId="393" applyNumberFormat="0" applyAlignment="0" applyProtection="0"/>
    <xf numFmtId="198" fontId="207" fillId="76" borderId="393" applyNumberFormat="0" applyAlignment="0" applyProtection="0"/>
    <xf numFmtId="198" fontId="207" fillId="76" borderId="393" applyNumberFormat="0" applyAlignment="0" applyProtection="0"/>
    <xf numFmtId="198" fontId="207" fillId="76" borderId="393" applyNumberFormat="0" applyAlignment="0" applyProtection="0"/>
    <xf numFmtId="198" fontId="207" fillId="76" borderId="393" applyNumberFormat="0" applyAlignment="0" applyProtection="0"/>
    <xf numFmtId="198" fontId="207" fillId="76" borderId="393" applyNumberFormat="0" applyAlignment="0" applyProtection="0"/>
    <xf numFmtId="44" fontId="21" fillId="0" borderId="0" applyFont="0" applyFill="0" applyBorder="0" applyAlignment="0" applyProtection="0"/>
    <xf numFmtId="44" fontId="21" fillId="0" borderId="0" applyFont="0" applyFill="0" applyBorder="0" applyAlignment="0" applyProtection="0"/>
    <xf numFmtId="198" fontId="205" fillId="74" borderId="0" applyNumberFormat="0" applyBorder="0" applyAlignment="0" applyProtection="0"/>
    <xf numFmtId="198" fontId="205" fillId="74" borderId="0" applyNumberFormat="0" applyBorder="0" applyAlignment="0" applyProtection="0"/>
    <xf numFmtId="198" fontId="205" fillId="74" borderId="0" applyNumberFormat="0" applyBorder="0" applyAlignment="0" applyProtection="0"/>
    <xf numFmtId="198" fontId="205" fillId="74" borderId="0" applyNumberFormat="0" applyBorder="0" applyAlignment="0" applyProtection="0"/>
    <xf numFmtId="198" fontId="205" fillId="74" borderId="0" applyNumberFormat="0" applyBorder="0" applyAlignment="0" applyProtection="0"/>
    <xf numFmtId="198" fontId="205" fillId="74" borderId="0" applyNumberFormat="0" applyBorder="0" applyAlignment="0" applyProtection="0"/>
    <xf numFmtId="198" fontId="205" fillId="74" borderId="0" applyNumberFormat="0" applyBorder="0" applyAlignment="0" applyProtection="0"/>
    <xf numFmtId="198" fontId="205" fillId="74" borderId="0" applyNumberFormat="0" applyBorder="0" applyAlignment="0" applyProtection="0"/>
    <xf numFmtId="198" fontId="205" fillId="74" borderId="0" applyNumberFormat="0" applyBorder="0" applyAlignment="0" applyProtection="0"/>
    <xf numFmtId="198" fontId="205" fillId="74" borderId="0" applyNumberFormat="0" applyBorder="0" applyAlignment="0" applyProtection="0"/>
    <xf numFmtId="198" fontId="219" fillId="3" borderId="0" applyNumberFormat="0" applyBorder="0" applyAlignment="0" applyProtection="0"/>
    <xf numFmtId="198" fontId="205" fillId="74" borderId="0" applyNumberFormat="0" applyBorder="0" applyAlignment="0" applyProtection="0"/>
    <xf numFmtId="198" fontId="205" fillId="74" borderId="0" applyNumberFormat="0" applyBorder="0" applyAlignment="0" applyProtection="0"/>
    <xf numFmtId="198" fontId="205" fillId="74" borderId="0" applyNumberFormat="0" applyBorder="0" applyAlignment="0" applyProtection="0"/>
    <xf numFmtId="198" fontId="205" fillId="74" borderId="0" applyNumberFormat="0" applyBorder="0" applyAlignment="0" applyProtection="0"/>
    <xf numFmtId="198" fontId="205" fillId="74" borderId="0" applyNumberFormat="0" applyBorder="0" applyAlignment="0" applyProtection="0"/>
    <xf numFmtId="198" fontId="205" fillId="74" borderId="0" applyNumberFormat="0" applyBorder="0" applyAlignment="0" applyProtection="0"/>
    <xf numFmtId="198" fontId="205" fillId="74" borderId="0" applyNumberFormat="0" applyBorder="0" applyAlignment="0" applyProtection="0"/>
    <xf numFmtId="198" fontId="205" fillId="74" borderId="0" applyNumberFormat="0" applyBorder="0" applyAlignment="0" applyProtection="0"/>
    <xf numFmtId="198" fontId="205" fillId="74" borderId="0" applyNumberFormat="0" applyBorder="0" applyAlignment="0" applyProtection="0"/>
    <xf numFmtId="198" fontId="205" fillId="74" borderId="0" applyNumberFormat="0" applyBorder="0" applyAlignment="0" applyProtection="0"/>
    <xf numFmtId="198" fontId="205" fillId="74" borderId="0" applyNumberFormat="0" applyBorder="0" applyAlignment="0" applyProtection="0"/>
    <xf numFmtId="198" fontId="205" fillId="74" borderId="0" applyNumberFormat="0" applyBorder="0" applyAlignment="0" applyProtection="0"/>
    <xf numFmtId="198" fontId="205" fillId="74" borderId="0" applyNumberFormat="0" applyBorder="0" applyAlignment="0" applyProtection="0"/>
    <xf numFmtId="198" fontId="205" fillId="74" borderId="0" applyNumberFormat="0" applyBorder="0" applyAlignment="0" applyProtection="0"/>
    <xf numFmtId="198" fontId="205" fillId="74" borderId="0" applyNumberFormat="0" applyBorder="0" applyAlignment="0" applyProtection="0"/>
    <xf numFmtId="198" fontId="205" fillId="74" borderId="0" applyNumberFormat="0" applyBorder="0" applyAlignment="0" applyProtection="0"/>
    <xf numFmtId="198" fontId="205" fillId="74" borderId="0" applyNumberFormat="0" applyBorder="0" applyAlignment="0" applyProtection="0"/>
    <xf numFmtId="198" fontId="205" fillId="74" borderId="0" applyNumberFormat="0" applyBorder="0" applyAlignment="0" applyProtection="0"/>
    <xf numFmtId="198" fontId="205" fillId="74" borderId="0" applyNumberFormat="0" applyBorder="0" applyAlignment="0" applyProtection="0"/>
    <xf numFmtId="198" fontId="205" fillId="74" borderId="0" applyNumberFormat="0" applyBorder="0" applyAlignment="0" applyProtection="0"/>
    <xf numFmtId="198" fontId="205" fillId="74" borderId="0" applyNumberFormat="0" applyBorder="0" applyAlignment="0" applyProtection="0"/>
    <xf numFmtId="198" fontId="205" fillId="74" borderId="0" applyNumberFormat="0" applyBorder="0" applyAlignment="0" applyProtection="0"/>
    <xf numFmtId="198" fontId="205" fillId="74" borderId="0" applyNumberFormat="0" applyBorder="0" applyAlignment="0" applyProtection="0"/>
    <xf numFmtId="198" fontId="205" fillId="74" borderId="0" applyNumberFormat="0" applyBorder="0" applyAlignment="0" applyProtection="0"/>
    <xf numFmtId="198" fontId="205" fillId="74" borderId="0" applyNumberFormat="0" applyBorder="0" applyAlignment="0" applyProtection="0"/>
    <xf numFmtId="198" fontId="205" fillId="74" borderId="0" applyNumberFormat="0" applyBorder="0" applyAlignment="0" applyProtection="0"/>
    <xf numFmtId="198" fontId="205" fillId="74" borderId="0" applyNumberFormat="0" applyBorder="0" applyAlignment="0" applyProtection="0"/>
    <xf numFmtId="198" fontId="205" fillId="74" borderId="0" applyNumberFormat="0" applyBorder="0" applyAlignment="0" applyProtection="0"/>
    <xf numFmtId="198" fontId="205" fillId="74" borderId="0" applyNumberFormat="0" applyBorder="0" applyAlignment="0" applyProtection="0"/>
    <xf numFmtId="198" fontId="205" fillId="74" borderId="0" applyNumberFormat="0" applyBorder="0" applyAlignment="0" applyProtection="0"/>
    <xf numFmtId="198" fontId="205" fillId="74" borderId="0" applyNumberFormat="0" applyBorder="0" applyAlignment="0" applyProtection="0"/>
    <xf numFmtId="198" fontId="205" fillId="74" borderId="0" applyNumberFormat="0" applyBorder="0" applyAlignment="0" applyProtection="0"/>
    <xf numFmtId="198" fontId="205" fillId="74" borderId="0" applyNumberFormat="0" applyBorder="0" applyAlignment="0" applyProtection="0"/>
    <xf numFmtId="198" fontId="205" fillId="74" borderId="0" applyNumberFormat="0" applyBorder="0" applyAlignment="0" applyProtection="0"/>
    <xf numFmtId="198" fontId="205" fillId="74" borderId="0" applyNumberFormat="0" applyBorder="0" applyAlignment="0" applyProtection="0"/>
    <xf numFmtId="198" fontId="205" fillId="74" borderId="0" applyNumberFormat="0" applyBorder="0" applyAlignment="0" applyProtection="0"/>
    <xf numFmtId="198" fontId="205" fillId="74" borderId="0" applyNumberFormat="0" applyBorder="0" applyAlignment="0" applyProtection="0"/>
    <xf numFmtId="198" fontId="205" fillId="74" borderId="0" applyNumberFormat="0" applyBorder="0" applyAlignment="0" applyProtection="0"/>
    <xf numFmtId="198" fontId="205" fillId="74" borderId="0" applyNumberFormat="0" applyBorder="0" applyAlignment="0" applyProtection="0"/>
    <xf numFmtId="198" fontId="205" fillId="74" borderId="0" applyNumberFormat="0" applyBorder="0" applyAlignment="0" applyProtection="0"/>
    <xf numFmtId="198" fontId="205" fillId="74" borderId="0" applyNumberFormat="0" applyBorder="0" applyAlignment="0" applyProtection="0"/>
    <xf numFmtId="198" fontId="205" fillId="74" borderId="0" applyNumberFormat="0" applyBorder="0" applyAlignment="0" applyProtection="0"/>
    <xf numFmtId="198" fontId="205" fillId="74" borderId="0" applyNumberFormat="0" applyBorder="0" applyAlignment="0" applyProtection="0"/>
    <xf numFmtId="198" fontId="205" fillId="74" borderId="0" applyNumberFormat="0" applyBorder="0" applyAlignment="0" applyProtection="0"/>
    <xf numFmtId="198" fontId="205" fillId="74" borderId="0" applyNumberFormat="0" applyBorder="0" applyAlignment="0" applyProtection="0"/>
    <xf numFmtId="198" fontId="205" fillId="74" borderId="0" applyNumberFormat="0" applyBorder="0" applyAlignment="0" applyProtection="0"/>
    <xf numFmtId="198" fontId="205" fillId="74" borderId="0" applyNumberFormat="0" applyBorder="0" applyAlignment="0" applyProtection="0"/>
    <xf numFmtId="198" fontId="220" fillId="0" borderId="0" applyNumberFormat="0" applyFill="0" applyBorder="0" applyAlignment="0" applyProtection="0">
      <alignment vertical="top"/>
      <protection locked="0"/>
    </xf>
    <xf numFmtId="164" fontId="20" fillId="0" borderId="0" applyFont="0" applyFill="0" applyBorder="0" applyAlignment="0" applyProtection="0"/>
    <xf numFmtId="164" fontId="21" fillId="0" borderId="0" applyFont="0" applyFill="0" applyBorder="0" applyAlignment="0" applyProtection="0"/>
    <xf numFmtId="164" fontId="21" fillId="0" borderId="0" applyFont="0" applyFill="0" applyBorder="0" applyAlignment="0" applyProtection="0"/>
    <xf numFmtId="199" fontId="21" fillId="0" borderId="0" applyFont="0" applyFill="0" applyBorder="0" applyAlignment="0" applyProtection="0"/>
    <xf numFmtId="164" fontId="11" fillId="0" borderId="0" applyFont="0" applyFill="0" applyBorder="0" applyAlignment="0" applyProtection="0"/>
    <xf numFmtId="198" fontId="206" fillId="75" borderId="0" applyNumberFormat="0" applyBorder="0" applyAlignment="0" applyProtection="0"/>
    <xf numFmtId="198" fontId="206" fillId="75" borderId="0" applyNumberFormat="0" applyBorder="0" applyAlignment="0" applyProtection="0"/>
    <xf numFmtId="198" fontId="206" fillId="75" borderId="0" applyNumberFormat="0" applyBorder="0" applyAlignment="0" applyProtection="0"/>
    <xf numFmtId="198" fontId="206" fillId="75" borderId="0" applyNumberFormat="0" applyBorder="0" applyAlignment="0" applyProtection="0"/>
    <xf numFmtId="198" fontId="206" fillId="75" borderId="0" applyNumberFormat="0" applyBorder="0" applyAlignment="0" applyProtection="0"/>
    <xf numFmtId="198" fontId="206" fillId="75" borderId="0" applyNumberFormat="0" applyBorder="0" applyAlignment="0" applyProtection="0"/>
    <xf numFmtId="198" fontId="206" fillId="75" borderId="0" applyNumberFormat="0" applyBorder="0" applyAlignment="0" applyProtection="0"/>
    <xf numFmtId="198" fontId="206" fillId="75" borderId="0" applyNumberFormat="0" applyBorder="0" applyAlignment="0" applyProtection="0"/>
    <xf numFmtId="198" fontId="206" fillId="75" borderId="0" applyNumberFormat="0" applyBorder="0" applyAlignment="0" applyProtection="0"/>
    <xf numFmtId="198" fontId="206" fillId="75" borderId="0" applyNumberFormat="0" applyBorder="0" applyAlignment="0" applyProtection="0"/>
    <xf numFmtId="198" fontId="221" fillId="22" borderId="0" applyNumberFormat="0" applyBorder="0" applyAlignment="0" applyProtection="0"/>
    <xf numFmtId="198" fontId="206" fillId="75" borderId="0" applyNumberFormat="0" applyBorder="0" applyAlignment="0" applyProtection="0"/>
    <xf numFmtId="198" fontId="206" fillId="75" borderId="0" applyNumberFormat="0" applyBorder="0" applyAlignment="0" applyProtection="0"/>
    <xf numFmtId="198" fontId="206" fillId="75" borderId="0" applyNumberFormat="0" applyBorder="0" applyAlignment="0" applyProtection="0"/>
    <xf numFmtId="198" fontId="206" fillId="75" borderId="0" applyNumberFormat="0" applyBorder="0" applyAlignment="0" applyProtection="0"/>
    <xf numFmtId="198" fontId="206" fillId="75" borderId="0" applyNumberFormat="0" applyBorder="0" applyAlignment="0" applyProtection="0"/>
    <xf numFmtId="198" fontId="206" fillId="75" borderId="0" applyNumberFormat="0" applyBorder="0" applyAlignment="0" applyProtection="0"/>
    <xf numFmtId="198" fontId="206" fillId="75" borderId="0" applyNumberFormat="0" applyBorder="0" applyAlignment="0" applyProtection="0"/>
    <xf numFmtId="198" fontId="206" fillId="75" borderId="0" applyNumberFormat="0" applyBorder="0" applyAlignment="0" applyProtection="0"/>
    <xf numFmtId="198" fontId="206" fillId="75" borderId="0" applyNumberFormat="0" applyBorder="0" applyAlignment="0" applyProtection="0"/>
    <xf numFmtId="198" fontId="206" fillId="75" borderId="0" applyNumberFormat="0" applyBorder="0" applyAlignment="0" applyProtection="0"/>
    <xf numFmtId="198" fontId="206" fillId="75" borderId="0" applyNumberFormat="0" applyBorder="0" applyAlignment="0" applyProtection="0"/>
    <xf numFmtId="198" fontId="206" fillId="75" borderId="0" applyNumberFormat="0" applyBorder="0" applyAlignment="0" applyProtection="0"/>
    <xf numFmtId="198" fontId="206" fillId="75" borderId="0" applyNumberFormat="0" applyBorder="0" applyAlignment="0" applyProtection="0"/>
    <xf numFmtId="198" fontId="206" fillId="75" borderId="0" applyNumberFormat="0" applyBorder="0" applyAlignment="0" applyProtection="0"/>
    <xf numFmtId="198" fontId="206" fillId="75" borderId="0" applyNumberFormat="0" applyBorder="0" applyAlignment="0" applyProtection="0"/>
    <xf numFmtId="198" fontId="206" fillId="75" borderId="0" applyNumberFormat="0" applyBorder="0" applyAlignment="0" applyProtection="0"/>
    <xf numFmtId="198" fontId="206" fillId="75" borderId="0" applyNumberFormat="0" applyBorder="0" applyAlignment="0" applyProtection="0"/>
    <xf numFmtId="198" fontId="206" fillId="75" borderId="0" applyNumberFormat="0" applyBorder="0" applyAlignment="0" applyProtection="0"/>
    <xf numFmtId="198" fontId="206" fillId="75" borderId="0" applyNumberFormat="0" applyBorder="0" applyAlignment="0" applyProtection="0"/>
    <xf numFmtId="198" fontId="206" fillId="75" borderId="0" applyNumberFormat="0" applyBorder="0" applyAlignment="0" applyProtection="0"/>
    <xf numFmtId="198" fontId="206" fillId="75" borderId="0" applyNumberFormat="0" applyBorder="0" applyAlignment="0" applyProtection="0"/>
    <xf numFmtId="198" fontId="206" fillId="75" borderId="0" applyNumberFormat="0" applyBorder="0" applyAlignment="0" applyProtection="0"/>
    <xf numFmtId="198" fontId="206" fillId="75" borderId="0" applyNumberFormat="0" applyBorder="0" applyAlignment="0" applyProtection="0"/>
    <xf numFmtId="198" fontId="206" fillId="75" borderId="0" applyNumberFormat="0" applyBorder="0" applyAlignment="0" applyProtection="0"/>
    <xf numFmtId="198" fontId="206" fillId="75" borderId="0" applyNumberFormat="0" applyBorder="0" applyAlignment="0" applyProtection="0"/>
    <xf numFmtId="198" fontId="206" fillId="75" borderId="0" applyNumberFormat="0" applyBorder="0" applyAlignment="0" applyProtection="0"/>
    <xf numFmtId="198" fontId="206" fillId="75" borderId="0" applyNumberFormat="0" applyBorder="0" applyAlignment="0" applyProtection="0"/>
    <xf numFmtId="198" fontId="206" fillId="75" borderId="0" applyNumberFormat="0" applyBorder="0" applyAlignment="0" applyProtection="0"/>
    <xf numFmtId="198" fontId="206" fillId="75" borderId="0" applyNumberFormat="0" applyBorder="0" applyAlignment="0" applyProtection="0"/>
    <xf numFmtId="198" fontId="206" fillId="75" borderId="0" applyNumberFormat="0" applyBorder="0" applyAlignment="0" applyProtection="0"/>
    <xf numFmtId="198" fontId="206" fillId="75" borderId="0" applyNumberFormat="0" applyBorder="0" applyAlignment="0" applyProtection="0"/>
    <xf numFmtId="198" fontId="206" fillId="75" borderId="0" applyNumberFormat="0" applyBorder="0" applyAlignment="0" applyProtection="0"/>
    <xf numFmtId="198" fontId="206" fillId="75" borderId="0" applyNumberFormat="0" applyBorder="0" applyAlignment="0" applyProtection="0"/>
    <xf numFmtId="198" fontId="206" fillId="75" borderId="0" applyNumberFormat="0" applyBorder="0" applyAlignment="0" applyProtection="0"/>
    <xf numFmtId="198" fontId="206" fillId="75" borderId="0" applyNumberFormat="0" applyBorder="0" applyAlignment="0" applyProtection="0"/>
    <xf numFmtId="198" fontId="206" fillId="75" borderId="0" applyNumberFormat="0" applyBorder="0" applyAlignment="0" applyProtection="0"/>
    <xf numFmtId="198" fontId="206" fillId="75" borderId="0" applyNumberFormat="0" applyBorder="0" applyAlignment="0" applyProtection="0"/>
    <xf numFmtId="198" fontId="206" fillId="75" borderId="0" applyNumberFormat="0" applyBorder="0" applyAlignment="0" applyProtection="0"/>
    <xf numFmtId="198" fontId="206" fillId="75" borderId="0" applyNumberFormat="0" applyBorder="0" applyAlignment="0" applyProtection="0"/>
    <xf numFmtId="198" fontId="206" fillId="75" borderId="0" applyNumberFormat="0" applyBorder="0" applyAlignment="0" applyProtection="0"/>
    <xf numFmtId="198" fontId="206" fillId="75" borderId="0" applyNumberFormat="0" applyBorder="0" applyAlignment="0" applyProtection="0"/>
    <xf numFmtId="198" fontId="206" fillId="75" borderId="0" applyNumberFormat="0" applyBorder="0" applyAlignment="0" applyProtection="0"/>
    <xf numFmtId="198" fontId="206" fillId="75" borderId="0" applyNumberFormat="0" applyBorder="0" applyAlignment="0" applyProtection="0"/>
    <xf numFmtId="198" fontId="206" fillId="75" borderId="0" applyNumberFormat="0" applyBorder="0" applyAlignment="0" applyProtection="0"/>
    <xf numFmtId="198" fontId="206" fillId="75" borderId="0" applyNumberFormat="0" applyBorder="0" applyAlignment="0" applyProtection="0"/>
    <xf numFmtId="198" fontId="206" fillId="75" borderId="0" applyNumberFormat="0" applyBorder="0" applyAlignment="0" applyProtection="0"/>
    <xf numFmtId="198" fontId="206" fillId="75" borderId="0" applyNumberFormat="0" applyBorder="0" applyAlignment="0" applyProtection="0"/>
    <xf numFmtId="198" fontId="11" fillId="0" borderId="0"/>
    <xf numFmtId="198" fontId="11" fillId="0" borderId="0"/>
    <xf numFmtId="198" fontId="11" fillId="0" borderId="0"/>
    <xf numFmtId="198" fontId="11" fillId="0" borderId="0"/>
    <xf numFmtId="198" fontId="11" fillId="0" borderId="0"/>
    <xf numFmtId="198" fontId="21" fillId="0" borderId="0"/>
    <xf numFmtId="0" fontId="21" fillId="0" borderId="0"/>
    <xf numFmtId="0" fontId="21" fillId="0" borderId="0"/>
    <xf numFmtId="198" fontId="154" fillId="0" borderId="0"/>
    <xf numFmtId="198" fontId="11" fillId="0" borderId="0"/>
    <xf numFmtId="198" fontId="154" fillId="0" borderId="0"/>
    <xf numFmtId="0" fontId="21" fillId="0" borderId="0"/>
    <xf numFmtId="198" fontId="11" fillId="0" borderId="0"/>
    <xf numFmtId="198" fontId="11" fillId="0" borderId="0"/>
    <xf numFmtId="198" fontId="11" fillId="0" borderId="0"/>
    <xf numFmtId="198" fontId="11" fillId="0" borderId="0"/>
    <xf numFmtId="0" fontId="154" fillId="0" borderId="0"/>
    <xf numFmtId="0" fontId="21" fillId="0" borderId="0"/>
    <xf numFmtId="198" fontId="11" fillId="0" borderId="0"/>
    <xf numFmtId="0" fontId="11" fillId="0" borderId="0"/>
    <xf numFmtId="9" fontId="21" fillId="0" borderId="0" applyFont="0" applyFill="0" applyBorder="0" applyAlignment="0" applyProtection="0"/>
    <xf numFmtId="198" fontId="204" fillId="73" borderId="0" applyNumberFormat="0" applyBorder="0" applyAlignment="0" applyProtection="0"/>
    <xf numFmtId="198" fontId="204" fillId="73" borderId="0" applyNumberFormat="0" applyBorder="0" applyAlignment="0" applyProtection="0"/>
    <xf numFmtId="198" fontId="204" fillId="73" borderId="0" applyNumberFormat="0" applyBorder="0" applyAlignment="0" applyProtection="0"/>
    <xf numFmtId="198" fontId="204" fillId="73" borderId="0" applyNumberFormat="0" applyBorder="0" applyAlignment="0" applyProtection="0"/>
    <xf numFmtId="198" fontId="204" fillId="73" borderId="0" applyNumberFormat="0" applyBorder="0" applyAlignment="0" applyProtection="0"/>
    <xf numFmtId="198" fontId="204" fillId="73" borderId="0" applyNumberFormat="0" applyBorder="0" applyAlignment="0" applyProtection="0"/>
    <xf numFmtId="198" fontId="204" fillId="73" borderId="0" applyNumberFormat="0" applyBorder="0" applyAlignment="0" applyProtection="0"/>
    <xf numFmtId="198" fontId="204" fillId="73" borderId="0" applyNumberFormat="0" applyBorder="0" applyAlignment="0" applyProtection="0"/>
    <xf numFmtId="198" fontId="204" fillId="73" borderId="0" applyNumberFormat="0" applyBorder="0" applyAlignment="0" applyProtection="0"/>
    <xf numFmtId="198" fontId="204" fillId="73" borderId="0" applyNumberFormat="0" applyBorder="0" applyAlignment="0" applyProtection="0"/>
    <xf numFmtId="198" fontId="222" fillId="4" borderId="0" applyNumberFormat="0" applyBorder="0" applyAlignment="0" applyProtection="0"/>
    <xf numFmtId="198" fontId="204" fillId="73" borderId="0" applyNumberFormat="0" applyBorder="0" applyAlignment="0" applyProtection="0"/>
    <xf numFmtId="198" fontId="204" fillId="73" borderId="0" applyNumberFormat="0" applyBorder="0" applyAlignment="0" applyProtection="0"/>
    <xf numFmtId="198" fontId="204" fillId="73" borderId="0" applyNumberFormat="0" applyBorder="0" applyAlignment="0" applyProtection="0"/>
    <xf numFmtId="198" fontId="204" fillId="73" borderId="0" applyNumberFormat="0" applyBorder="0" applyAlignment="0" applyProtection="0"/>
    <xf numFmtId="198" fontId="204" fillId="73" borderId="0" applyNumberFormat="0" applyBorder="0" applyAlignment="0" applyProtection="0"/>
    <xf numFmtId="198" fontId="204" fillId="73" borderId="0" applyNumberFormat="0" applyBorder="0" applyAlignment="0" applyProtection="0"/>
    <xf numFmtId="198" fontId="204" fillId="73" borderId="0" applyNumberFormat="0" applyBorder="0" applyAlignment="0" applyProtection="0"/>
    <xf numFmtId="198" fontId="204" fillId="73" borderId="0" applyNumberFormat="0" applyBorder="0" applyAlignment="0" applyProtection="0"/>
    <xf numFmtId="198" fontId="204" fillId="73" borderId="0" applyNumberFormat="0" applyBorder="0" applyAlignment="0" applyProtection="0"/>
    <xf numFmtId="198" fontId="204" fillId="73" borderId="0" applyNumberFormat="0" applyBorder="0" applyAlignment="0" applyProtection="0"/>
    <xf numFmtId="198" fontId="204" fillId="73" borderId="0" applyNumberFormat="0" applyBorder="0" applyAlignment="0" applyProtection="0"/>
    <xf numFmtId="198" fontId="204" fillId="73" borderId="0" applyNumberFormat="0" applyBorder="0" applyAlignment="0" applyProtection="0"/>
    <xf numFmtId="198" fontId="204" fillId="73" borderId="0" applyNumberFormat="0" applyBorder="0" applyAlignment="0" applyProtection="0"/>
    <xf numFmtId="198" fontId="204" fillId="73" borderId="0" applyNumberFormat="0" applyBorder="0" applyAlignment="0" applyProtection="0"/>
    <xf numFmtId="198" fontId="204" fillId="73" borderId="0" applyNumberFormat="0" applyBorder="0" applyAlignment="0" applyProtection="0"/>
    <xf numFmtId="198" fontId="204" fillId="73" borderId="0" applyNumberFormat="0" applyBorder="0" applyAlignment="0" applyProtection="0"/>
    <xf numFmtId="198" fontId="204" fillId="73" borderId="0" applyNumberFormat="0" applyBorder="0" applyAlignment="0" applyProtection="0"/>
    <xf numFmtId="198" fontId="204" fillId="73" borderId="0" applyNumberFormat="0" applyBorder="0" applyAlignment="0" applyProtection="0"/>
    <xf numFmtId="198" fontId="204" fillId="73" borderId="0" applyNumberFormat="0" applyBorder="0" applyAlignment="0" applyProtection="0"/>
    <xf numFmtId="198" fontId="204" fillId="73" borderId="0" applyNumberFormat="0" applyBorder="0" applyAlignment="0" applyProtection="0"/>
    <xf numFmtId="198" fontId="204" fillId="73" borderId="0" applyNumberFormat="0" applyBorder="0" applyAlignment="0" applyProtection="0"/>
    <xf numFmtId="198" fontId="204" fillId="73" borderId="0" applyNumberFormat="0" applyBorder="0" applyAlignment="0" applyProtection="0"/>
    <xf numFmtId="198" fontId="204" fillId="73" borderId="0" applyNumberFormat="0" applyBorder="0" applyAlignment="0" applyProtection="0"/>
    <xf numFmtId="198" fontId="204" fillId="73" borderId="0" applyNumberFormat="0" applyBorder="0" applyAlignment="0" applyProtection="0"/>
    <xf numFmtId="198" fontId="204" fillId="73" borderId="0" applyNumberFormat="0" applyBorder="0" applyAlignment="0" applyProtection="0"/>
    <xf numFmtId="198" fontId="204" fillId="73" borderId="0" applyNumberFormat="0" applyBorder="0" applyAlignment="0" applyProtection="0"/>
    <xf numFmtId="198" fontId="204" fillId="73" borderId="0" applyNumberFormat="0" applyBorder="0" applyAlignment="0" applyProtection="0"/>
    <xf numFmtId="198" fontId="204" fillId="73" borderId="0" applyNumberFormat="0" applyBorder="0" applyAlignment="0" applyProtection="0"/>
    <xf numFmtId="198" fontId="204" fillId="73" borderId="0" applyNumberFormat="0" applyBorder="0" applyAlignment="0" applyProtection="0"/>
    <xf numFmtId="198" fontId="204" fillId="73" borderId="0" applyNumberFormat="0" applyBorder="0" applyAlignment="0" applyProtection="0"/>
    <xf numFmtId="198" fontId="204" fillId="73" borderId="0" applyNumberFormat="0" applyBorder="0" applyAlignment="0" applyProtection="0"/>
    <xf numFmtId="198" fontId="204" fillId="73" borderId="0" applyNumberFormat="0" applyBorder="0" applyAlignment="0" applyProtection="0"/>
    <xf numFmtId="198" fontId="204" fillId="73" borderId="0" applyNumberFormat="0" applyBorder="0" applyAlignment="0" applyProtection="0"/>
    <xf numFmtId="198" fontId="204" fillId="73" borderId="0" applyNumberFormat="0" applyBorder="0" applyAlignment="0" applyProtection="0"/>
    <xf numFmtId="198" fontId="204" fillId="73" borderId="0" applyNumberFormat="0" applyBorder="0" applyAlignment="0" applyProtection="0"/>
    <xf numFmtId="198" fontId="204" fillId="73" borderId="0" applyNumberFormat="0" applyBorder="0" applyAlignment="0" applyProtection="0"/>
    <xf numFmtId="198" fontId="204" fillId="73" borderId="0" applyNumberFormat="0" applyBorder="0" applyAlignment="0" applyProtection="0"/>
    <xf numFmtId="198" fontId="204" fillId="73" borderId="0" applyNumberFormat="0" applyBorder="0" applyAlignment="0" applyProtection="0"/>
    <xf numFmtId="198" fontId="204" fillId="73" borderId="0" applyNumberFormat="0" applyBorder="0" applyAlignment="0" applyProtection="0"/>
    <xf numFmtId="198" fontId="204" fillId="73" borderId="0" applyNumberFormat="0" applyBorder="0" applyAlignment="0" applyProtection="0"/>
    <xf numFmtId="198" fontId="204" fillId="73" borderId="0" applyNumberFormat="0" applyBorder="0" applyAlignment="0" applyProtection="0"/>
    <xf numFmtId="198" fontId="204" fillId="73" borderId="0" applyNumberFormat="0" applyBorder="0" applyAlignment="0" applyProtection="0"/>
    <xf numFmtId="198" fontId="204" fillId="73" borderId="0" applyNumberFormat="0" applyBorder="0" applyAlignment="0" applyProtection="0"/>
    <xf numFmtId="198" fontId="204" fillId="73" borderId="0" applyNumberFormat="0" applyBorder="0" applyAlignment="0" applyProtection="0"/>
    <xf numFmtId="198" fontId="204" fillId="73" borderId="0" applyNumberFormat="0" applyBorder="0" applyAlignment="0" applyProtection="0"/>
    <xf numFmtId="198" fontId="204" fillId="73" borderId="0" applyNumberFormat="0" applyBorder="0" applyAlignment="0" applyProtection="0"/>
    <xf numFmtId="198" fontId="204" fillId="73" borderId="0" applyNumberFormat="0" applyBorder="0" applyAlignment="0" applyProtection="0"/>
    <xf numFmtId="198" fontId="208" fillId="77" borderId="394" applyNumberFormat="0" applyAlignment="0" applyProtection="0"/>
    <xf numFmtId="198" fontId="208" fillId="77" borderId="394" applyNumberFormat="0" applyAlignment="0" applyProtection="0"/>
    <xf numFmtId="198" fontId="208" fillId="77" borderId="394" applyNumberFormat="0" applyAlignment="0" applyProtection="0"/>
    <xf numFmtId="198" fontId="208" fillId="77" borderId="394" applyNumberFormat="0" applyAlignment="0" applyProtection="0"/>
    <xf numFmtId="198" fontId="208" fillId="77" borderId="394" applyNumberFormat="0" applyAlignment="0" applyProtection="0"/>
    <xf numFmtId="198" fontId="208" fillId="77" borderId="394" applyNumberFormat="0" applyAlignment="0" applyProtection="0"/>
    <xf numFmtId="198" fontId="208" fillId="77" borderId="394" applyNumberFormat="0" applyAlignment="0" applyProtection="0"/>
    <xf numFmtId="198" fontId="208" fillId="77" borderId="394" applyNumberFormat="0" applyAlignment="0" applyProtection="0"/>
    <xf numFmtId="198" fontId="208" fillId="77" borderId="394" applyNumberFormat="0" applyAlignment="0" applyProtection="0"/>
    <xf numFmtId="198" fontId="208" fillId="77" borderId="394" applyNumberFormat="0" applyAlignment="0" applyProtection="0"/>
    <xf numFmtId="198" fontId="223" fillId="20" borderId="399" applyNumberFormat="0" applyAlignment="0" applyProtection="0"/>
    <xf numFmtId="198" fontId="208" fillId="77" borderId="394" applyNumberFormat="0" applyAlignment="0" applyProtection="0"/>
    <xf numFmtId="198" fontId="208" fillId="77" borderId="394" applyNumberFormat="0" applyAlignment="0" applyProtection="0"/>
    <xf numFmtId="198" fontId="208" fillId="77" borderId="394" applyNumberFormat="0" applyAlignment="0" applyProtection="0"/>
    <xf numFmtId="198" fontId="208" fillId="77" borderId="394" applyNumberFormat="0" applyAlignment="0" applyProtection="0"/>
    <xf numFmtId="198" fontId="208" fillId="77" borderId="394" applyNumberFormat="0" applyAlignment="0" applyProtection="0"/>
    <xf numFmtId="198" fontId="208" fillId="77" borderId="394" applyNumberFormat="0" applyAlignment="0" applyProtection="0"/>
    <xf numFmtId="198" fontId="208" fillId="77" borderId="394" applyNumberFormat="0" applyAlignment="0" applyProtection="0"/>
    <xf numFmtId="198" fontId="208" fillId="77" borderId="394" applyNumberFormat="0" applyAlignment="0" applyProtection="0"/>
    <xf numFmtId="198" fontId="208" fillId="77" borderId="394" applyNumberFormat="0" applyAlignment="0" applyProtection="0"/>
    <xf numFmtId="198" fontId="208" fillId="77" borderId="394" applyNumberFormat="0" applyAlignment="0" applyProtection="0"/>
    <xf numFmtId="198" fontId="208" fillId="77" borderId="394" applyNumberFormat="0" applyAlignment="0" applyProtection="0"/>
    <xf numFmtId="198" fontId="208" fillId="77" borderId="394" applyNumberFormat="0" applyAlignment="0" applyProtection="0"/>
    <xf numFmtId="198" fontId="208" fillId="77" borderId="394" applyNumberFormat="0" applyAlignment="0" applyProtection="0"/>
    <xf numFmtId="198" fontId="208" fillId="77" borderId="394" applyNumberFormat="0" applyAlignment="0" applyProtection="0"/>
    <xf numFmtId="198" fontId="208" fillId="77" borderId="394" applyNumberFormat="0" applyAlignment="0" applyProtection="0"/>
    <xf numFmtId="198" fontId="208" fillId="77" borderId="394" applyNumberFormat="0" applyAlignment="0" applyProtection="0"/>
    <xf numFmtId="198" fontId="208" fillId="77" borderId="394" applyNumberFormat="0" applyAlignment="0" applyProtection="0"/>
    <xf numFmtId="198" fontId="208" fillId="77" borderId="394" applyNumberFormat="0" applyAlignment="0" applyProtection="0"/>
    <xf numFmtId="198" fontId="208" fillId="77" borderId="394" applyNumberFormat="0" applyAlignment="0" applyProtection="0"/>
    <xf numFmtId="198" fontId="208" fillId="77" borderId="394" applyNumberFormat="0" applyAlignment="0" applyProtection="0"/>
    <xf numFmtId="198" fontId="208" fillId="77" borderId="394" applyNumberFormat="0" applyAlignment="0" applyProtection="0"/>
    <xf numFmtId="198" fontId="208" fillId="77" borderId="394" applyNumberFormat="0" applyAlignment="0" applyProtection="0"/>
    <xf numFmtId="198" fontId="208" fillId="77" borderId="394" applyNumberFormat="0" applyAlignment="0" applyProtection="0"/>
    <xf numFmtId="198" fontId="208" fillId="77" borderId="394" applyNumberFormat="0" applyAlignment="0" applyProtection="0"/>
    <xf numFmtId="198" fontId="208" fillId="77" borderId="394" applyNumberFormat="0" applyAlignment="0" applyProtection="0"/>
    <xf numFmtId="198" fontId="208" fillId="77" borderId="394" applyNumberFormat="0" applyAlignment="0" applyProtection="0"/>
    <xf numFmtId="198" fontId="208" fillId="77" borderId="394" applyNumberFormat="0" applyAlignment="0" applyProtection="0"/>
    <xf numFmtId="198" fontId="208" fillId="77" borderId="394" applyNumberFormat="0" applyAlignment="0" applyProtection="0"/>
    <xf numFmtId="198" fontId="208" fillId="77" borderId="394" applyNumberFormat="0" applyAlignment="0" applyProtection="0"/>
    <xf numFmtId="198" fontId="208" fillId="77" borderId="394" applyNumberFormat="0" applyAlignment="0" applyProtection="0"/>
    <xf numFmtId="198" fontId="208" fillId="77" borderId="394" applyNumberFormat="0" applyAlignment="0" applyProtection="0"/>
    <xf numFmtId="198" fontId="208" fillId="77" borderId="394" applyNumberFormat="0" applyAlignment="0" applyProtection="0"/>
    <xf numFmtId="198" fontId="208" fillId="77" borderId="394" applyNumberFormat="0" applyAlignment="0" applyProtection="0"/>
    <xf numFmtId="198" fontId="208" fillId="77" borderId="394" applyNumberFormat="0" applyAlignment="0" applyProtection="0"/>
    <xf numFmtId="198" fontId="208" fillId="77" borderId="394" applyNumberFormat="0" applyAlignment="0" applyProtection="0"/>
    <xf numFmtId="198" fontId="208" fillId="77" borderId="394" applyNumberFormat="0" applyAlignment="0" applyProtection="0"/>
    <xf numFmtId="198" fontId="208" fillId="77" borderId="394" applyNumberFormat="0" applyAlignment="0" applyProtection="0"/>
    <xf numFmtId="198" fontId="208" fillId="77" borderId="394" applyNumberFormat="0" applyAlignment="0" applyProtection="0"/>
    <xf numFmtId="198" fontId="208" fillId="77" borderId="394" applyNumberFormat="0" applyAlignment="0" applyProtection="0"/>
    <xf numFmtId="198" fontId="208" fillId="77" borderId="394" applyNumberFormat="0" applyAlignment="0" applyProtection="0"/>
    <xf numFmtId="198" fontId="208" fillId="77" borderId="394" applyNumberFormat="0" applyAlignment="0" applyProtection="0"/>
    <xf numFmtId="198" fontId="208" fillId="77" borderId="394" applyNumberFormat="0" applyAlignment="0" applyProtection="0"/>
    <xf numFmtId="198" fontId="208" fillId="77" borderId="394" applyNumberFormat="0" applyAlignment="0" applyProtection="0"/>
    <xf numFmtId="198" fontId="208" fillId="77" borderId="394" applyNumberFormat="0" applyAlignment="0" applyProtection="0"/>
    <xf numFmtId="198" fontId="208" fillId="77" borderId="394" applyNumberFormat="0" applyAlignment="0" applyProtection="0"/>
    <xf numFmtId="198" fontId="208" fillId="77" borderId="394" applyNumberFormat="0" applyAlignment="0" applyProtection="0"/>
    <xf numFmtId="198" fontId="208" fillId="77" borderId="394" applyNumberFormat="0" applyAlignment="0" applyProtection="0"/>
    <xf numFmtId="198" fontId="184" fillId="0" borderId="0" applyNumberFormat="0" applyFill="0" applyBorder="0" applyAlignment="0" applyProtection="0"/>
    <xf numFmtId="198" fontId="184" fillId="0" borderId="0" applyNumberFormat="0" applyFill="0" applyBorder="0" applyAlignment="0" applyProtection="0"/>
    <xf numFmtId="198" fontId="184" fillId="0" borderId="0" applyNumberFormat="0" applyFill="0" applyBorder="0" applyAlignment="0" applyProtection="0"/>
    <xf numFmtId="198" fontId="184" fillId="0" borderId="0" applyNumberFormat="0" applyFill="0" applyBorder="0" applyAlignment="0" applyProtection="0"/>
    <xf numFmtId="198" fontId="184" fillId="0" borderId="0" applyNumberFormat="0" applyFill="0" applyBorder="0" applyAlignment="0" applyProtection="0"/>
    <xf numFmtId="198" fontId="184" fillId="0" borderId="0" applyNumberFormat="0" applyFill="0" applyBorder="0" applyAlignment="0" applyProtection="0"/>
    <xf numFmtId="198" fontId="184" fillId="0" borderId="0" applyNumberFormat="0" applyFill="0" applyBorder="0" applyAlignment="0" applyProtection="0"/>
    <xf numFmtId="198" fontId="184" fillId="0" borderId="0" applyNumberFormat="0" applyFill="0" applyBorder="0" applyAlignment="0" applyProtection="0"/>
    <xf numFmtId="198" fontId="184" fillId="0" borderId="0" applyNumberFormat="0" applyFill="0" applyBorder="0" applyAlignment="0" applyProtection="0"/>
    <xf numFmtId="198" fontId="184" fillId="0" borderId="0" applyNumberFormat="0" applyFill="0" applyBorder="0" applyAlignment="0" applyProtection="0"/>
    <xf numFmtId="198" fontId="224" fillId="0" borderId="0" applyNumberFormat="0" applyFill="0" applyBorder="0" applyAlignment="0" applyProtection="0"/>
    <xf numFmtId="198" fontId="184" fillId="0" borderId="0" applyNumberFormat="0" applyFill="0" applyBorder="0" applyAlignment="0" applyProtection="0"/>
    <xf numFmtId="198" fontId="184" fillId="0" borderId="0" applyNumberFormat="0" applyFill="0" applyBorder="0" applyAlignment="0" applyProtection="0"/>
    <xf numFmtId="198" fontId="184" fillId="0" borderId="0" applyNumberFormat="0" applyFill="0" applyBorder="0" applyAlignment="0" applyProtection="0"/>
    <xf numFmtId="198" fontId="184" fillId="0" borderId="0" applyNumberFormat="0" applyFill="0" applyBorder="0" applyAlignment="0" applyProtection="0"/>
    <xf numFmtId="198" fontId="184" fillId="0" borderId="0" applyNumberFormat="0" applyFill="0" applyBorder="0" applyAlignment="0" applyProtection="0"/>
    <xf numFmtId="198" fontId="184" fillId="0" borderId="0" applyNumberFormat="0" applyFill="0" applyBorder="0" applyAlignment="0" applyProtection="0"/>
    <xf numFmtId="198" fontId="184" fillId="0" borderId="0" applyNumberFormat="0" applyFill="0" applyBorder="0" applyAlignment="0" applyProtection="0"/>
    <xf numFmtId="198" fontId="184" fillId="0" borderId="0" applyNumberFormat="0" applyFill="0" applyBorder="0" applyAlignment="0" applyProtection="0"/>
    <xf numFmtId="198" fontId="184" fillId="0" borderId="0" applyNumberFormat="0" applyFill="0" applyBorder="0" applyAlignment="0" applyProtection="0"/>
    <xf numFmtId="198" fontId="184" fillId="0" borderId="0" applyNumberFormat="0" applyFill="0" applyBorder="0" applyAlignment="0" applyProtection="0"/>
    <xf numFmtId="198" fontId="184" fillId="0" borderId="0" applyNumberFormat="0" applyFill="0" applyBorder="0" applyAlignment="0" applyProtection="0"/>
    <xf numFmtId="198" fontId="184" fillId="0" borderId="0" applyNumberFormat="0" applyFill="0" applyBorder="0" applyAlignment="0" applyProtection="0"/>
    <xf numFmtId="198" fontId="184" fillId="0" borderId="0" applyNumberFormat="0" applyFill="0" applyBorder="0" applyAlignment="0" applyProtection="0"/>
    <xf numFmtId="198" fontId="184" fillId="0" borderId="0" applyNumberFormat="0" applyFill="0" applyBorder="0" applyAlignment="0" applyProtection="0"/>
    <xf numFmtId="198" fontId="184" fillId="0" borderId="0" applyNumberFormat="0" applyFill="0" applyBorder="0" applyAlignment="0" applyProtection="0"/>
    <xf numFmtId="198" fontId="184" fillId="0" borderId="0" applyNumberFormat="0" applyFill="0" applyBorder="0" applyAlignment="0" applyProtection="0"/>
    <xf numFmtId="198" fontId="184" fillId="0" borderId="0" applyNumberFormat="0" applyFill="0" applyBorder="0" applyAlignment="0" applyProtection="0"/>
    <xf numFmtId="198" fontId="184" fillId="0" borderId="0" applyNumberFormat="0" applyFill="0" applyBorder="0" applyAlignment="0" applyProtection="0"/>
    <xf numFmtId="198" fontId="184" fillId="0" borderId="0" applyNumberFormat="0" applyFill="0" applyBorder="0" applyAlignment="0" applyProtection="0"/>
    <xf numFmtId="198" fontId="184" fillId="0" borderId="0" applyNumberFormat="0" applyFill="0" applyBorder="0" applyAlignment="0" applyProtection="0"/>
    <xf numFmtId="198" fontId="184" fillId="0" borderId="0" applyNumberFormat="0" applyFill="0" applyBorder="0" applyAlignment="0" applyProtection="0"/>
    <xf numFmtId="198" fontId="184" fillId="0" borderId="0" applyNumberFormat="0" applyFill="0" applyBorder="0" applyAlignment="0" applyProtection="0"/>
    <xf numFmtId="198" fontId="184" fillId="0" borderId="0" applyNumberFormat="0" applyFill="0" applyBorder="0" applyAlignment="0" applyProtection="0"/>
    <xf numFmtId="198" fontId="184" fillId="0" borderId="0" applyNumberFormat="0" applyFill="0" applyBorder="0" applyAlignment="0" applyProtection="0"/>
    <xf numFmtId="198" fontId="184" fillId="0" borderId="0" applyNumberFormat="0" applyFill="0" applyBorder="0" applyAlignment="0" applyProtection="0"/>
    <xf numFmtId="198" fontId="184" fillId="0" borderId="0" applyNumberFormat="0" applyFill="0" applyBorder="0" applyAlignment="0" applyProtection="0"/>
    <xf numFmtId="198" fontId="184" fillId="0" borderId="0" applyNumberFormat="0" applyFill="0" applyBorder="0" applyAlignment="0" applyProtection="0"/>
    <xf numFmtId="198" fontId="184" fillId="0" borderId="0" applyNumberFormat="0" applyFill="0" applyBorder="0" applyAlignment="0" applyProtection="0"/>
    <xf numFmtId="198" fontId="184" fillId="0" borderId="0" applyNumberFormat="0" applyFill="0" applyBorder="0" applyAlignment="0" applyProtection="0"/>
    <xf numFmtId="198" fontId="184" fillId="0" borderId="0" applyNumberFormat="0" applyFill="0" applyBorder="0" applyAlignment="0" applyProtection="0"/>
    <xf numFmtId="198" fontId="184" fillId="0" borderId="0" applyNumberFormat="0" applyFill="0" applyBorder="0" applyAlignment="0" applyProtection="0"/>
    <xf numFmtId="198" fontId="184" fillId="0" borderId="0" applyNumberFormat="0" applyFill="0" applyBorder="0" applyAlignment="0" applyProtection="0"/>
    <xf numFmtId="198" fontId="184" fillId="0" borderId="0" applyNumberFormat="0" applyFill="0" applyBorder="0" applyAlignment="0" applyProtection="0"/>
    <xf numFmtId="198" fontId="184" fillId="0" borderId="0" applyNumberFormat="0" applyFill="0" applyBorder="0" applyAlignment="0" applyProtection="0"/>
    <xf numFmtId="198" fontId="184" fillId="0" borderId="0" applyNumberFormat="0" applyFill="0" applyBorder="0" applyAlignment="0" applyProtection="0"/>
    <xf numFmtId="198" fontId="184" fillId="0" borderId="0" applyNumberFormat="0" applyFill="0" applyBorder="0" applyAlignment="0" applyProtection="0"/>
    <xf numFmtId="198" fontId="184" fillId="0" borderId="0" applyNumberFormat="0" applyFill="0" applyBorder="0" applyAlignment="0" applyProtection="0"/>
    <xf numFmtId="198" fontId="184" fillId="0" borderId="0" applyNumberFormat="0" applyFill="0" applyBorder="0" applyAlignment="0" applyProtection="0"/>
    <xf numFmtId="198" fontId="184" fillId="0" borderId="0" applyNumberFormat="0" applyFill="0" applyBorder="0" applyAlignment="0" applyProtection="0"/>
    <xf numFmtId="198" fontId="184" fillId="0" borderId="0" applyNumberFormat="0" applyFill="0" applyBorder="0" applyAlignment="0" applyProtection="0"/>
    <xf numFmtId="198" fontId="184" fillId="0" borderId="0" applyNumberFormat="0" applyFill="0" applyBorder="0" applyAlignment="0" applyProtection="0"/>
    <xf numFmtId="198" fontId="184" fillId="0" borderId="0" applyNumberFormat="0" applyFill="0" applyBorder="0" applyAlignment="0" applyProtection="0"/>
    <xf numFmtId="198" fontId="184" fillId="0" borderId="0" applyNumberFormat="0" applyFill="0" applyBorder="0" applyAlignment="0" applyProtection="0"/>
    <xf numFmtId="198" fontId="184" fillId="0" borderId="0" applyNumberFormat="0" applyFill="0" applyBorder="0" applyAlignment="0" applyProtection="0"/>
    <xf numFmtId="198" fontId="184" fillId="0" borderId="0" applyNumberFormat="0" applyFill="0" applyBorder="0" applyAlignment="0" applyProtection="0"/>
    <xf numFmtId="198" fontId="184" fillId="0" borderId="0" applyNumberFormat="0" applyFill="0" applyBorder="0" applyAlignment="0" applyProtection="0"/>
    <xf numFmtId="198" fontId="184" fillId="0" borderId="0" applyNumberFormat="0" applyFill="0" applyBorder="0" applyAlignment="0" applyProtection="0"/>
    <xf numFmtId="198" fontId="212" fillId="0" borderId="0" applyNumberFormat="0" applyFill="0" applyBorder="0" applyAlignment="0" applyProtection="0"/>
    <xf numFmtId="198" fontId="212" fillId="0" borderId="0" applyNumberFormat="0" applyFill="0" applyBorder="0" applyAlignment="0" applyProtection="0"/>
    <xf numFmtId="198" fontId="212" fillId="0" borderId="0" applyNumberFormat="0" applyFill="0" applyBorder="0" applyAlignment="0" applyProtection="0"/>
    <xf numFmtId="198" fontId="212" fillId="0" borderId="0" applyNumberFormat="0" applyFill="0" applyBorder="0" applyAlignment="0" applyProtection="0"/>
    <xf numFmtId="198" fontId="212" fillId="0" borderId="0" applyNumberFormat="0" applyFill="0" applyBorder="0" applyAlignment="0" applyProtection="0"/>
    <xf numFmtId="198" fontId="212" fillId="0" borderId="0" applyNumberFormat="0" applyFill="0" applyBorder="0" applyAlignment="0" applyProtection="0"/>
    <xf numFmtId="198" fontId="212" fillId="0" borderId="0" applyNumberFormat="0" applyFill="0" applyBorder="0" applyAlignment="0" applyProtection="0"/>
    <xf numFmtId="198" fontId="212" fillId="0" borderId="0" applyNumberFormat="0" applyFill="0" applyBorder="0" applyAlignment="0" applyProtection="0"/>
    <xf numFmtId="198" fontId="212" fillId="0" borderId="0" applyNumberFormat="0" applyFill="0" applyBorder="0" applyAlignment="0" applyProtection="0"/>
    <xf numFmtId="198" fontId="212" fillId="0" borderId="0" applyNumberFormat="0" applyFill="0" applyBorder="0" applyAlignment="0" applyProtection="0"/>
    <xf numFmtId="198" fontId="225" fillId="0" borderId="0" applyNumberFormat="0" applyFill="0" applyBorder="0" applyAlignment="0" applyProtection="0"/>
    <xf numFmtId="198" fontId="212" fillId="0" borderId="0" applyNumberFormat="0" applyFill="0" applyBorder="0" applyAlignment="0" applyProtection="0"/>
    <xf numFmtId="198" fontId="212" fillId="0" borderId="0" applyNumberFormat="0" applyFill="0" applyBorder="0" applyAlignment="0" applyProtection="0"/>
    <xf numFmtId="198" fontId="212" fillId="0" borderId="0" applyNumberFormat="0" applyFill="0" applyBorder="0" applyAlignment="0" applyProtection="0"/>
    <xf numFmtId="198" fontId="212" fillId="0" borderId="0" applyNumberFormat="0" applyFill="0" applyBorder="0" applyAlignment="0" applyProtection="0"/>
    <xf numFmtId="198" fontId="212" fillId="0" borderId="0" applyNumberFormat="0" applyFill="0" applyBorder="0" applyAlignment="0" applyProtection="0"/>
    <xf numFmtId="198" fontId="212" fillId="0" borderId="0" applyNumberFormat="0" applyFill="0" applyBorder="0" applyAlignment="0" applyProtection="0"/>
    <xf numFmtId="198" fontId="212" fillId="0" borderId="0" applyNumberFormat="0" applyFill="0" applyBorder="0" applyAlignment="0" applyProtection="0"/>
    <xf numFmtId="198" fontId="212" fillId="0" borderId="0" applyNumberFormat="0" applyFill="0" applyBorder="0" applyAlignment="0" applyProtection="0"/>
    <xf numFmtId="198" fontId="212" fillId="0" borderId="0" applyNumberFormat="0" applyFill="0" applyBorder="0" applyAlignment="0" applyProtection="0"/>
    <xf numFmtId="198" fontId="212" fillId="0" borderId="0" applyNumberFormat="0" applyFill="0" applyBorder="0" applyAlignment="0" applyProtection="0"/>
    <xf numFmtId="198" fontId="212" fillId="0" borderId="0" applyNumberFormat="0" applyFill="0" applyBorder="0" applyAlignment="0" applyProtection="0"/>
    <xf numFmtId="198" fontId="212" fillId="0" borderId="0" applyNumberFormat="0" applyFill="0" applyBorder="0" applyAlignment="0" applyProtection="0"/>
    <xf numFmtId="198" fontId="212" fillId="0" borderId="0" applyNumberFormat="0" applyFill="0" applyBorder="0" applyAlignment="0" applyProtection="0"/>
    <xf numFmtId="198" fontId="212" fillId="0" borderId="0" applyNumberFormat="0" applyFill="0" applyBorder="0" applyAlignment="0" applyProtection="0"/>
    <xf numFmtId="198" fontId="212" fillId="0" borderId="0" applyNumberFormat="0" applyFill="0" applyBorder="0" applyAlignment="0" applyProtection="0"/>
    <xf numFmtId="198" fontId="212" fillId="0" borderId="0" applyNumberFormat="0" applyFill="0" applyBorder="0" applyAlignment="0" applyProtection="0"/>
    <xf numFmtId="198" fontId="212" fillId="0" borderId="0" applyNumberFormat="0" applyFill="0" applyBorder="0" applyAlignment="0" applyProtection="0"/>
    <xf numFmtId="198" fontId="212" fillId="0" borderId="0" applyNumberFormat="0" applyFill="0" applyBorder="0" applyAlignment="0" applyProtection="0"/>
    <xf numFmtId="198" fontId="212" fillId="0" borderId="0" applyNumberFormat="0" applyFill="0" applyBorder="0" applyAlignment="0" applyProtection="0"/>
    <xf numFmtId="198" fontId="212" fillId="0" borderId="0" applyNumberFormat="0" applyFill="0" applyBorder="0" applyAlignment="0" applyProtection="0"/>
    <xf numFmtId="198" fontId="212" fillId="0" borderId="0" applyNumberFormat="0" applyFill="0" applyBorder="0" applyAlignment="0" applyProtection="0"/>
    <xf numFmtId="198" fontId="212" fillId="0" borderId="0" applyNumberFormat="0" applyFill="0" applyBorder="0" applyAlignment="0" applyProtection="0"/>
    <xf numFmtId="198" fontId="212" fillId="0" borderId="0" applyNumberFormat="0" applyFill="0" applyBorder="0" applyAlignment="0" applyProtection="0"/>
    <xf numFmtId="198" fontId="212" fillId="0" borderId="0" applyNumberFormat="0" applyFill="0" applyBorder="0" applyAlignment="0" applyProtection="0"/>
    <xf numFmtId="198" fontId="212" fillId="0" borderId="0" applyNumberFormat="0" applyFill="0" applyBorder="0" applyAlignment="0" applyProtection="0"/>
    <xf numFmtId="198" fontId="212" fillId="0" borderId="0" applyNumberFormat="0" applyFill="0" applyBorder="0" applyAlignment="0" applyProtection="0"/>
    <xf numFmtId="198" fontId="212" fillId="0" borderId="0" applyNumberFormat="0" applyFill="0" applyBorder="0" applyAlignment="0" applyProtection="0"/>
    <xf numFmtId="198" fontId="212" fillId="0" borderId="0" applyNumberFormat="0" applyFill="0" applyBorder="0" applyAlignment="0" applyProtection="0"/>
    <xf numFmtId="198" fontId="212" fillId="0" borderId="0" applyNumberFormat="0" applyFill="0" applyBorder="0" applyAlignment="0" applyProtection="0"/>
    <xf numFmtId="198" fontId="212" fillId="0" borderId="0" applyNumberFormat="0" applyFill="0" applyBorder="0" applyAlignment="0" applyProtection="0"/>
    <xf numFmtId="198" fontId="212" fillId="0" borderId="0" applyNumberFormat="0" applyFill="0" applyBorder="0" applyAlignment="0" applyProtection="0"/>
    <xf numFmtId="198" fontId="212" fillId="0" borderId="0" applyNumberFormat="0" applyFill="0" applyBorder="0" applyAlignment="0" applyProtection="0"/>
    <xf numFmtId="198" fontId="212" fillId="0" borderId="0" applyNumberFormat="0" applyFill="0" applyBorder="0" applyAlignment="0" applyProtection="0"/>
    <xf numFmtId="198" fontId="212" fillId="0" borderId="0" applyNumberFormat="0" applyFill="0" applyBorder="0" applyAlignment="0" applyProtection="0"/>
    <xf numFmtId="198" fontId="212" fillId="0" borderId="0" applyNumberFormat="0" applyFill="0" applyBorder="0" applyAlignment="0" applyProtection="0"/>
    <xf numFmtId="198" fontId="212" fillId="0" borderId="0" applyNumberFormat="0" applyFill="0" applyBorder="0" applyAlignment="0" applyProtection="0"/>
    <xf numFmtId="198" fontId="212" fillId="0" borderId="0" applyNumberFormat="0" applyFill="0" applyBorder="0" applyAlignment="0" applyProtection="0"/>
    <xf numFmtId="198" fontId="212" fillId="0" borderId="0" applyNumberFormat="0" applyFill="0" applyBorder="0" applyAlignment="0" applyProtection="0"/>
    <xf numFmtId="198" fontId="212" fillId="0" borderId="0" applyNumberFormat="0" applyFill="0" applyBorder="0" applyAlignment="0" applyProtection="0"/>
    <xf numFmtId="198" fontId="212" fillId="0" borderId="0" applyNumberFormat="0" applyFill="0" applyBorder="0" applyAlignment="0" applyProtection="0"/>
    <xf numFmtId="198" fontId="212" fillId="0" borderId="0" applyNumberFormat="0" applyFill="0" applyBorder="0" applyAlignment="0" applyProtection="0"/>
    <xf numFmtId="198" fontId="212" fillId="0" borderId="0" applyNumberFormat="0" applyFill="0" applyBorder="0" applyAlignment="0" applyProtection="0"/>
    <xf numFmtId="198" fontId="212" fillId="0" borderId="0" applyNumberFormat="0" applyFill="0" applyBorder="0" applyAlignment="0" applyProtection="0"/>
    <xf numFmtId="198" fontId="212" fillId="0" borderId="0" applyNumberFormat="0" applyFill="0" applyBorder="0" applyAlignment="0" applyProtection="0"/>
    <xf numFmtId="198" fontId="212" fillId="0" borderId="0" applyNumberFormat="0" applyFill="0" applyBorder="0" applyAlignment="0" applyProtection="0"/>
    <xf numFmtId="198" fontId="212" fillId="0" borderId="0" applyNumberFormat="0" applyFill="0" applyBorder="0" applyAlignment="0" applyProtection="0"/>
    <xf numFmtId="198" fontId="212" fillId="0" borderId="0" applyNumberFormat="0" applyFill="0" applyBorder="0" applyAlignment="0" applyProtection="0"/>
    <xf numFmtId="198" fontId="202" fillId="0" borderId="391" applyNumberFormat="0" applyFill="0" applyAlignment="0" applyProtection="0"/>
    <xf numFmtId="198" fontId="202" fillId="0" borderId="391" applyNumberFormat="0" applyFill="0" applyAlignment="0" applyProtection="0"/>
    <xf numFmtId="198" fontId="202" fillId="0" borderId="391" applyNumberFormat="0" applyFill="0" applyAlignment="0" applyProtection="0"/>
    <xf numFmtId="198" fontId="202" fillId="0" borderId="391" applyNumberFormat="0" applyFill="0" applyAlignment="0" applyProtection="0"/>
    <xf numFmtId="198" fontId="202" fillId="0" borderId="391" applyNumberFormat="0" applyFill="0" applyAlignment="0" applyProtection="0"/>
    <xf numFmtId="198" fontId="202" fillId="0" borderId="391" applyNumberFormat="0" applyFill="0" applyAlignment="0" applyProtection="0"/>
    <xf numFmtId="198" fontId="202" fillId="0" borderId="391" applyNumberFormat="0" applyFill="0" applyAlignment="0" applyProtection="0"/>
    <xf numFmtId="198" fontId="202" fillId="0" borderId="391" applyNumberFormat="0" applyFill="0" applyAlignment="0" applyProtection="0"/>
    <xf numFmtId="198" fontId="202" fillId="0" borderId="391" applyNumberFormat="0" applyFill="0" applyAlignment="0" applyProtection="0"/>
    <xf numFmtId="198" fontId="202" fillId="0" borderId="391" applyNumberFormat="0" applyFill="0" applyAlignment="0" applyProtection="0"/>
    <xf numFmtId="198" fontId="226" fillId="0" borderId="5" applyNumberFormat="0" applyFill="0" applyAlignment="0" applyProtection="0"/>
    <xf numFmtId="198" fontId="202" fillId="0" borderId="391" applyNumberFormat="0" applyFill="0" applyAlignment="0" applyProtection="0"/>
    <xf numFmtId="198" fontId="202" fillId="0" borderId="391" applyNumberFormat="0" applyFill="0" applyAlignment="0" applyProtection="0"/>
    <xf numFmtId="198" fontId="202" fillId="0" borderId="391" applyNumberFormat="0" applyFill="0" applyAlignment="0" applyProtection="0"/>
    <xf numFmtId="198" fontId="202" fillId="0" borderId="391" applyNumberFormat="0" applyFill="0" applyAlignment="0" applyProtection="0"/>
    <xf numFmtId="198" fontId="202" fillId="0" borderId="391" applyNumberFormat="0" applyFill="0" applyAlignment="0" applyProtection="0"/>
    <xf numFmtId="198" fontId="202" fillId="0" borderId="391" applyNumberFormat="0" applyFill="0" applyAlignment="0" applyProtection="0"/>
    <xf numFmtId="198" fontId="202" fillId="0" borderId="391" applyNumberFormat="0" applyFill="0" applyAlignment="0" applyProtection="0"/>
    <xf numFmtId="198" fontId="202" fillId="0" borderId="391" applyNumberFormat="0" applyFill="0" applyAlignment="0" applyProtection="0"/>
    <xf numFmtId="198" fontId="202" fillId="0" borderId="391" applyNumberFormat="0" applyFill="0" applyAlignment="0" applyProtection="0"/>
    <xf numFmtId="198" fontId="202" fillId="0" borderId="391" applyNumberFormat="0" applyFill="0" applyAlignment="0" applyProtection="0"/>
    <xf numFmtId="198" fontId="202" fillId="0" borderId="391" applyNumberFormat="0" applyFill="0" applyAlignment="0" applyProtection="0"/>
    <xf numFmtId="198" fontId="202" fillId="0" borderId="391" applyNumberFormat="0" applyFill="0" applyAlignment="0" applyProtection="0"/>
    <xf numFmtId="198" fontId="202" fillId="0" borderId="391" applyNumberFormat="0" applyFill="0" applyAlignment="0" applyProtection="0"/>
    <xf numFmtId="198" fontId="202" fillId="0" borderId="391" applyNumberFormat="0" applyFill="0" applyAlignment="0" applyProtection="0"/>
    <xf numFmtId="198" fontId="202" fillId="0" borderId="391" applyNumberFormat="0" applyFill="0" applyAlignment="0" applyProtection="0"/>
    <xf numFmtId="198" fontId="202" fillId="0" borderId="391" applyNumberFormat="0" applyFill="0" applyAlignment="0" applyProtection="0"/>
    <xf numFmtId="198" fontId="202" fillId="0" borderId="391" applyNumberFormat="0" applyFill="0" applyAlignment="0" applyProtection="0"/>
    <xf numFmtId="198" fontId="202" fillId="0" borderId="391" applyNumberFormat="0" applyFill="0" applyAlignment="0" applyProtection="0"/>
    <xf numFmtId="198" fontId="202" fillId="0" borderId="391" applyNumberFormat="0" applyFill="0" applyAlignment="0" applyProtection="0"/>
    <xf numFmtId="198" fontId="202" fillId="0" borderId="391" applyNumberFormat="0" applyFill="0" applyAlignment="0" applyProtection="0"/>
    <xf numFmtId="198" fontId="202" fillId="0" borderId="391" applyNumberFormat="0" applyFill="0" applyAlignment="0" applyProtection="0"/>
    <xf numFmtId="198" fontId="202" fillId="0" borderId="391" applyNumberFormat="0" applyFill="0" applyAlignment="0" applyProtection="0"/>
    <xf numFmtId="198" fontId="202" fillId="0" borderId="391" applyNumberFormat="0" applyFill="0" applyAlignment="0" applyProtection="0"/>
    <xf numFmtId="198" fontId="202" fillId="0" borderId="391" applyNumberFormat="0" applyFill="0" applyAlignment="0" applyProtection="0"/>
    <xf numFmtId="198" fontId="202" fillId="0" borderId="391" applyNumberFormat="0" applyFill="0" applyAlignment="0" applyProtection="0"/>
    <xf numFmtId="198" fontId="202" fillId="0" borderId="391" applyNumberFormat="0" applyFill="0" applyAlignment="0" applyProtection="0"/>
    <xf numFmtId="198" fontId="202" fillId="0" borderId="391" applyNumberFormat="0" applyFill="0" applyAlignment="0" applyProtection="0"/>
    <xf numFmtId="198" fontId="202" fillId="0" borderId="391" applyNumberFormat="0" applyFill="0" applyAlignment="0" applyProtection="0"/>
    <xf numFmtId="198" fontId="202" fillId="0" borderId="391" applyNumberFormat="0" applyFill="0" applyAlignment="0" applyProtection="0"/>
    <xf numFmtId="198" fontId="202" fillId="0" borderId="391" applyNumberFormat="0" applyFill="0" applyAlignment="0" applyProtection="0"/>
    <xf numFmtId="198" fontId="202" fillId="0" borderId="391" applyNumberFormat="0" applyFill="0" applyAlignment="0" applyProtection="0"/>
    <xf numFmtId="198" fontId="202" fillId="0" borderId="391" applyNumberFormat="0" applyFill="0" applyAlignment="0" applyProtection="0"/>
    <xf numFmtId="198" fontId="202" fillId="0" borderId="391" applyNumberFormat="0" applyFill="0" applyAlignment="0" applyProtection="0"/>
    <xf numFmtId="198" fontId="202" fillId="0" borderId="391" applyNumberFormat="0" applyFill="0" applyAlignment="0" applyProtection="0"/>
    <xf numFmtId="198" fontId="202" fillId="0" borderId="391" applyNumberFormat="0" applyFill="0" applyAlignment="0" applyProtection="0"/>
    <xf numFmtId="198" fontId="202" fillId="0" borderId="391" applyNumberFormat="0" applyFill="0" applyAlignment="0" applyProtection="0"/>
    <xf numFmtId="198" fontId="202" fillId="0" borderId="391" applyNumberFormat="0" applyFill="0" applyAlignment="0" applyProtection="0"/>
    <xf numFmtId="198" fontId="202" fillId="0" borderId="391" applyNumberFormat="0" applyFill="0" applyAlignment="0" applyProtection="0"/>
    <xf numFmtId="198" fontId="202" fillId="0" borderId="391" applyNumberFormat="0" applyFill="0" applyAlignment="0" applyProtection="0"/>
    <xf numFmtId="198" fontId="202" fillId="0" borderId="391" applyNumberFormat="0" applyFill="0" applyAlignment="0" applyProtection="0"/>
    <xf numFmtId="198" fontId="202" fillId="0" borderId="391" applyNumberFormat="0" applyFill="0" applyAlignment="0" applyProtection="0"/>
    <xf numFmtId="198" fontId="202" fillId="0" borderId="391" applyNumberFormat="0" applyFill="0" applyAlignment="0" applyProtection="0"/>
    <xf numFmtId="198" fontId="202" fillId="0" borderId="391" applyNumberFormat="0" applyFill="0" applyAlignment="0" applyProtection="0"/>
    <xf numFmtId="198" fontId="202" fillId="0" borderId="391" applyNumberFormat="0" applyFill="0" applyAlignment="0" applyProtection="0"/>
    <xf numFmtId="198" fontId="202" fillId="0" borderId="391" applyNumberFormat="0" applyFill="0" applyAlignment="0" applyProtection="0"/>
    <xf numFmtId="198" fontId="202" fillId="0" borderId="391" applyNumberFormat="0" applyFill="0" applyAlignment="0" applyProtection="0"/>
    <xf numFmtId="198" fontId="202" fillId="0" borderId="391" applyNumberFormat="0" applyFill="0" applyAlignment="0" applyProtection="0"/>
    <xf numFmtId="198" fontId="203" fillId="0" borderId="392" applyNumberFormat="0" applyFill="0" applyAlignment="0" applyProtection="0"/>
    <xf numFmtId="198" fontId="203" fillId="0" borderId="392" applyNumberFormat="0" applyFill="0" applyAlignment="0" applyProtection="0"/>
    <xf numFmtId="198" fontId="203" fillId="0" borderId="392" applyNumberFormat="0" applyFill="0" applyAlignment="0" applyProtection="0"/>
    <xf numFmtId="198" fontId="203" fillId="0" borderId="392" applyNumberFormat="0" applyFill="0" applyAlignment="0" applyProtection="0"/>
    <xf numFmtId="198" fontId="203" fillId="0" borderId="392" applyNumberFormat="0" applyFill="0" applyAlignment="0" applyProtection="0"/>
    <xf numFmtId="198" fontId="203" fillId="0" borderId="392" applyNumberFormat="0" applyFill="0" applyAlignment="0" applyProtection="0"/>
    <xf numFmtId="198" fontId="203" fillId="0" borderId="392" applyNumberFormat="0" applyFill="0" applyAlignment="0" applyProtection="0"/>
    <xf numFmtId="198" fontId="203" fillId="0" borderId="392" applyNumberFormat="0" applyFill="0" applyAlignment="0" applyProtection="0"/>
    <xf numFmtId="198" fontId="203" fillId="0" borderId="392" applyNumberFormat="0" applyFill="0" applyAlignment="0" applyProtection="0"/>
    <xf numFmtId="198" fontId="203" fillId="0" borderId="392" applyNumberFormat="0" applyFill="0" applyAlignment="0" applyProtection="0"/>
    <xf numFmtId="198" fontId="227" fillId="0" borderId="6" applyNumberFormat="0" applyFill="0" applyAlignment="0" applyProtection="0"/>
    <xf numFmtId="198" fontId="203" fillId="0" borderId="392" applyNumberFormat="0" applyFill="0" applyAlignment="0" applyProtection="0"/>
    <xf numFmtId="198" fontId="203" fillId="0" borderId="392" applyNumberFormat="0" applyFill="0" applyAlignment="0" applyProtection="0"/>
    <xf numFmtId="198" fontId="203" fillId="0" borderId="392" applyNumberFormat="0" applyFill="0" applyAlignment="0" applyProtection="0"/>
    <xf numFmtId="198" fontId="203" fillId="0" borderId="392" applyNumberFormat="0" applyFill="0" applyAlignment="0" applyProtection="0"/>
    <xf numFmtId="198" fontId="203" fillId="0" borderId="392" applyNumberFormat="0" applyFill="0" applyAlignment="0" applyProtection="0"/>
    <xf numFmtId="198" fontId="203" fillId="0" borderId="392" applyNumberFormat="0" applyFill="0" applyAlignment="0" applyProtection="0"/>
    <xf numFmtId="198" fontId="203" fillId="0" borderId="392" applyNumberFormat="0" applyFill="0" applyAlignment="0" applyProtection="0"/>
    <xf numFmtId="198" fontId="203" fillId="0" borderId="392" applyNumberFormat="0" applyFill="0" applyAlignment="0" applyProtection="0"/>
    <xf numFmtId="198" fontId="203" fillId="0" borderId="392" applyNumberFormat="0" applyFill="0" applyAlignment="0" applyProtection="0"/>
    <xf numFmtId="198" fontId="203" fillId="0" borderId="392" applyNumberFormat="0" applyFill="0" applyAlignment="0" applyProtection="0"/>
    <xf numFmtId="198" fontId="203" fillId="0" borderId="392" applyNumberFormat="0" applyFill="0" applyAlignment="0" applyProtection="0"/>
    <xf numFmtId="198" fontId="203" fillId="0" borderId="392" applyNumberFormat="0" applyFill="0" applyAlignment="0" applyProtection="0"/>
    <xf numFmtId="198" fontId="203" fillId="0" borderId="392" applyNumberFormat="0" applyFill="0" applyAlignment="0" applyProtection="0"/>
    <xf numFmtId="198" fontId="203" fillId="0" borderId="392" applyNumberFormat="0" applyFill="0" applyAlignment="0" applyProtection="0"/>
    <xf numFmtId="198" fontId="203" fillId="0" borderId="392" applyNumberFormat="0" applyFill="0" applyAlignment="0" applyProtection="0"/>
    <xf numFmtId="198" fontId="203" fillId="0" borderId="392" applyNumberFormat="0" applyFill="0" applyAlignment="0" applyProtection="0"/>
    <xf numFmtId="198" fontId="203" fillId="0" borderId="392" applyNumberFormat="0" applyFill="0" applyAlignment="0" applyProtection="0"/>
    <xf numFmtId="198" fontId="203" fillId="0" borderId="392" applyNumberFormat="0" applyFill="0" applyAlignment="0" applyProtection="0"/>
    <xf numFmtId="198" fontId="203" fillId="0" borderId="392" applyNumberFormat="0" applyFill="0" applyAlignment="0" applyProtection="0"/>
    <xf numFmtId="198" fontId="203" fillId="0" borderId="392" applyNumberFormat="0" applyFill="0" applyAlignment="0" applyProtection="0"/>
    <xf numFmtId="198" fontId="203" fillId="0" borderId="392" applyNumberFormat="0" applyFill="0" applyAlignment="0" applyProtection="0"/>
    <xf numFmtId="198" fontId="203" fillId="0" borderId="392" applyNumberFormat="0" applyFill="0" applyAlignment="0" applyProtection="0"/>
    <xf numFmtId="198" fontId="203" fillId="0" borderId="392" applyNumberFormat="0" applyFill="0" applyAlignment="0" applyProtection="0"/>
    <xf numFmtId="198" fontId="203" fillId="0" borderId="392" applyNumberFormat="0" applyFill="0" applyAlignment="0" applyProtection="0"/>
    <xf numFmtId="198" fontId="203" fillId="0" borderId="392" applyNumberFormat="0" applyFill="0" applyAlignment="0" applyProtection="0"/>
    <xf numFmtId="198" fontId="203" fillId="0" borderId="392" applyNumberFormat="0" applyFill="0" applyAlignment="0" applyProtection="0"/>
    <xf numFmtId="198" fontId="203" fillId="0" borderId="392" applyNumberFormat="0" applyFill="0" applyAlignment="0" applyProtection="0"/>
    <xf numFmtId="198" fontId="203" fillId="0" borderId="392" applyNumberFormat="0" applyFill="0" applyAlignment="0" applyProtection="0"/>
    <xf numFmtId="198" fontId="203" fillId="0" borderId="392" applyNumberFormat="0" applyFill="0" applyAlignment="0" applyProtection="0"/>
    <xf numFmtId="198" fontId="203" fillId="0" borderId="392" applyNumberFormat="0" applyFill="0" applyAlignment="0" applyProtection="0"/>
    <xf numFmtId="198" fontId="203" fillId="0" borderId="392" applyNumberFormat="0" applyFill="0" applyAlignment="0" applyProtection="0"/>
    <xf numFmtId="198" fontId="203" fillId="0" borderId="392" applyNumberFormat="0" applyFill="0" applyAlignment="0" applyProtection="0"/>
    <xf numFmtId="198" fontId="203" fillId="0" borderId="392" applyNumberFormat="0" applyFill="0" applyAlignment="0" applyProtection="0"/>
    <xf numFmtId="198" fontId="203" fillId="0" borderId="392" applyNumberFormat="0" applyFill="0" applyAlignment="0" applyProtection="0"/>
    <xf numFmtId="198" fontId="203" fillId="0" borderId="392" applyNumberFormat="0" applyFill="0" applyAlignment="0" applyProtection="0"/>
    <xf numFmtId="198" fontId="203" fillId="0" borderId="392" applyNumberFormat="0" applyFill="0" applyAlignment="0" applyProtection="0"/>
    <xf numFmtId="198" fontId="203" fillId="0" borderId="392" applyNumberFormat="0" applyFill="0" applyAlignment="0" applyProtection="0"/>
    <xf numFmtId="198" fontId="203" fillId="0" borderId="392" applyNumberFormat="0" applyFill="0" applyAlignment="0" applyProtection="0"/>
    <xf numFmtId="198" fontId="203" fillId="0" borderId="392" applyNumberFormat="0" applyFill="0" applyAlignment="0" applyProtection="0"/>
    <xf numFmtId="198" fontId="203" fillId="0" borderId="392" applyNumberFormat="0" applyFill="0" applyAlignment="0" applyProtection="0"/>
    <xf numFmtId="198" fontId="203" fillId="0" borderId="392" applyNumberFormat="0" applyFill="0" applyAlignment="0" applyProtection="0"/>
    <xf numFmtId="198" fontId="203" fillId="0" borderId="392" applyNumberFormat="0" applyFill="0" applyAlignment="0" applyProtection="0"/>
    <xf numFmtId="198" fontId="203" fillId="0" borderId="392" applyNumberFormat="0" applyFill="0" applyAlignment="0" applyProtection="0"/>
    <xf numFmtId="198" fontId="203" fillId="0" borderId="392" applyNumberFormat="0" applyFill="0" applyAlignment="0" applyProtection="0"/>
    <xf numFmtId="198" fontId="203" fillId="0" borderId="392" applyNumberFormat="0" applyFill="0" applyAlignment="0" applyProtection="0"/>
    <xf numFmtId="198" fontId="203" fillId="0" borderId="392" applyNumberFormat="0" applyFill="0" applyAlignment="0" applyProtection="0"/>
    <xf numFmtId="198" fontId="203" fillId="0" borderId="392" applyNumberFormat="0" applyFill="0" applyAlignment="0" applyProtection="0"/>
    <xf numFmtId="198" fontId="62" fillId="0" borderId="226" applyNumberFormat="0" applyFill="0" applyAlignment="0" applyProtection="0"/>
    <xf numFmtId="198" fontId="62" fillId="0" borderId="226" applyNumberFormat="0" applyFill="0" applyAlignment="0" applyProtection="0"/>
    <xf numFmtId="198" fontId="62" fillId="0" borderId="226" applyNumberFormat="0" applyFill="0" applyAlignment="0" applyProtection="0"/>
    <xf numFmtId="198" fontId="62" fillId="0" borderId="226" applyNumberFormat="0" applyFill="0" applyAlignment="0" applyProtection="0"/>
    <xf numFmtId="198" fontId="62" fillId="0" borderId="226" applyNumberFormat="0" applyFill="0" applyAlignment="0" applyProtection="0"/>
    <xf numFmtId="198" fontId="62" fillId="0" borderId="226" applyNumberFormat="0" applyFill="0" applyAlignment="0" applyProtection="0"/>
    <xf numFmtId="198" fontId="62" fillId="0" borderId="226" applyNumberFormat="0" applyFill="0" applyAlignment="0" applyProtection="0"/>
    <xf numFmtId="198" fontId="62" fillId="0" borderId="226" applyNumberFormat="0" applyFill="0" applyAlignment="0" applyProtection="0"/>
    <xf numFmtId="198" fontId="62" fillId="0" borderId="226" applyNumberFormat="0" applyFill="0" applyAlignment="0" applyProtection="0"/>
    <xf numFmtId="198" fontId="62" fillId="0" borderId="226" applyNumberFormat="0" applyFill="0" applyAlignment="0" applyProtection="0"/>
    <xf numFmtId="198" fontId="228" fillId="0" borderId="7" applyNumberFormat="0" applyFill="0" applyAlignment="0" applyProtection="0"/>
    <xf numFmtId="198" fontId="62" fillId="0" borderId="226" applyNumberFormat="0" applyFill="0" applyAlignment="0" applyProtection="0"/>
    <xf numFmtId="198" fontId="62" fillId="0" borderId="226" applyNumberFormat="0" applyFill="0" applyAlignment="0" applyProtection="0"/>
    <xf numFmtId="198" fontId="62" fillId="0" borderId="226" applyNumberFormat="0" applyFill="0" applyAlignment="0" applyProtection="0"/>
    <xf numFmtId="198" fontId="62" fillId="0" borderId="226" applyNumberFormat="0" applyFill="0" applyAlignment="0" applyProtection="0"/>
    <xf numFmtId="198" fontId="62" fillId="0" borderId="226" applyNumberFormat="0" applyFill="0" applyAlignment="0" applyProtection="0"/>
    <xf numFmtId="198" fontId="62" fillId="0" borderId="226" applyNumberFormat="0" applyFill="0" applyAlignment="0" applyProtection="0"/>
    <xf numFmtId="198" fontId="62" fillId="0" borderId="226" applyNumberFormat="0" applyFill="0" applyAlignment="0" applyProtection="0"/>
    <xf numFmtId="198" fontId="62" fillId="0" borderId="226" applyNumberFormat="0" applyFill="0" applyAlignment="0" applyProtection="0"/>
    <xf numFmtId="198" fontId="62" fillId="0" borderId="226" applyNumberFormat="0" applyFill="0" applyAlignment="0" applyProtection="0"/>
    <xf numFmtId="198" fontId="62" fillId="0" borderId="226" applyNumberFormat="0" applyFill="0" applyAlignment="0" applyProtection="0"/>
    <xf numFmtId="198" fontId="62" fillId="0" borderId="226" applyNumberFormat="0" applyFill="0" applyAlignment="0" applyProtection="0"/>
    <xf numFmtId="198" fontId="62" fillId="0" borderId="226" applyNumberFormat="0" applyFill="0" applyAlignment="0" applyProtection="0"/>
    <xf numFmtId="198" fontId="62" fillId="0" borderId="226" applyNumberFormat="0" applyFill="0" applyAlignment="0" applyProtection="0"/>
    <xf numFmtId="198" fontId="62" fillId="0" borderId="226" applyNumberFormat="0" applyFill="0" applyAlignment="0" applyProtection="0"/>
    <xf numFmtId="198" fontId="62" fillId="0" borderId="226" applyNumberFormat="0" applyFill="0" applyAlignment="0" applyProtection="0"/>
    <xf numFmtId="198" fontId="62" fillId="0" borderId="226" applyNumberFormat="0" applyFill="0" applyAlignment="0" applyProtection="0"/>
    <xf numFmtId="198" fontId="62" fillId="0" borderId="226" applyNumberFormat="0" applyFill="0" applyAlignment="0" applyProtection="0"/>
    <xf numFmtId="198" fontId="62" fillId="0" borderId="226" applyNumberFormat="0" applyFill="0" applyAlignment="0" applyProtection="0"/>
    <xf numFmtId="198" fontId="62" fillId="0" borderId="226" applyNumberFormat="0" applyFill="0" applyAlignment="0" applyProtection="0"/>
    <xf numFmtId="198" fontId="62" fillId="0" borderId="226" applyNumberFormat="0" applyFill="0" applyAlignment="0" applyProtection="0"/>
    <xf numFmtId="198" fontId="62" fillId="0" borderId="226" applyNumberFormat="0" applyFill="0" applyAlignment="0" applyProtection="0"/>
    <xf numFmtId="198" fontId="62" fillId="0" borderId="226" applyNumberFormat="0" applyFill="0" applyAlignment="0" applyProtection="0"/>
    <xf numFmtId="198" fontId="62" fillId="0" borderId="226" applyNumberFormat="0" applyFill="0" applyAlignment="0" applyProtection="0"/>
    <xf numFmtId="198" fontId="62" fillId="0" borderId="226" applyNumberFormat="0" applyFill="0" applyAlignment="0" applyProtection="0"/>
    <xf numFmtId="198" fontId="62" fillId="0" borderId="226" applyNumberFormat="0" applyFill="0" applyAlignment="0" applyProtection="0"/>
    <xf numFmtId="198" fontId="62" fillId="0" borderId="226" applyNumberFormat="0" applyFill="0" applyAlignment="0" applyProtection="0"/>
    <xf numFmtId="198" fontId="62" fillId="0" borderId="226" applyNumberFormat="0" applyFill="0" applyAlignment="0" applyProtection="0"/>
    <xf numFmtId="198" fontId="62" fillId="0" borderId="226" applyNumberFormat="0" applyFill="0" applyAlignment="0" applyProtection="0"/>
    <xf numFmtId="198" fontId="62" fillId="0" borderId="226" applyNumberFormat="0" applyFill="0" applyAlignment="0" applyProtection="0"/>
    <xf numFmtId="198" fontId="62" fillId="0" borderId="226" applyNumberFormat="0" applyFill="0" applyAlignment="0" applyProtection="0"/>
    <xf numFmtId="198" fontId="62" fillId="0" borderId="226" applyNumberFormat="0" applyFill="0" applyAlignment="0" applyProtection="0"/>
    <xf numFmtId="198" fontId="62" fillId="0" borderId="226" applyNumberFormat="0" applyFill="0" applyAlignment="0" applyProtection="0"/>
    <xf numFmtId="198" fontId="62" fillId="0" borderId="226" applyNumberFormat="0" applyFill="0" applyAlignment="0" applyProtection="0"/>
    <xf numFmtId="198" fontId="62" fillId="0" borderId="226" applyNumberFormat="0" applyFill="0" applyAlignment="0" applyProtection="0"/>
    <xf numFmtId="198" fontId="62" fillId="0" borderId="226" applyNumberFormat="0" applyFill="0" applyAlignment="0" applyProtection="0"/>
    <xf numFmtId="198" fontId="62" fillId="0" borderId="226" applyNumberFormat="0" applyFill="0" applyAlignment="0" applyProtection="0"/>
    <xf numFmtId="198" fontId="62" fillId="0" borderId="226" applyNumberFormat="0" applyFill="0" applyAlignment="0" applyProtection="0"/>
    <xf numFmtId="198" fontId="62" fillId="0" borderId="226" applyNumberFormat="0" applyFill="0" applyAlignment="0" applyProtection="0"/>
    <xf numFmtId="198" fontId="62" fillId="0" borderId="226" applyNumberFormat="0" applyFill="0" applyAlignment="0" applyProtection="0"/>
    <xf numFmtId="198" fontId="62" fillId="0" borderId="226" applyNumberFormat="0" applyFill="0" applyAlignment="0" applyProtection="0"/>
    <xf numFmtId="198" fontId="62" fillId="0" borderId="226" applyNumberFormat="0" applyFill="0" applyAlignment="0" applyProtection="0"/>
    <xf numFmtId="198" fontId="62" fillId="0" borderId="226" applyNumberFormat="0" applyFill="0" applyAlignment="0" applyProtection="0"/>
    <xf numFmtId="198" fontId="62" fillId="0" borderId="226" applyNumberFormat="0" applyFill="0" applyAlignment="0" applyProtection="0"/>
    <xf numFmtId="198" fontId="62" fillId="0" borderId="226" applyNumberFormat="0" applyFill="0" applyAlignment="0" applyProtection="0"/>
    <xf numFmtId="198" fontId="62" fillId="0" borderId="226" applyNumberFormat="0" applyFill="0" applyAlignment="0" applyProtection="0"/>
    <xf numFmtId="198" fontId="62" fillId="0" borderId="226" applyNumberFormat="0" applyFill="0" applyAlignment="0" applyProtection="0"/>
    <xf numFmtId="198" fontId="62" fillId="0" borderId="226" applyNumberFormat="0" applyFill="0" applyAlignment="0" applyProtection="0"/>
    <xf numFmtId="198" fontId="62" fillId="0" borderId="0" applyNumberFormat="0" applyFill="0" applyBorder="0" applyAlignment="0" applyProtection="0"/>
    <xf numFmtId="198" fontId="62" fillId="0" borderId="0" applyNumberFormat="0" applyFill="0" applyBorder="0" applyAlignment="0" applyProtection="0"/>
    <xf numFmtId="198" fontId="62" fillId="0" borderId="0" applyNumberFormat="0" applyFill="0" applyBorder="0" applyAlignment="0" applyProtection="0"/>
    <xf numFmtId="198" fontId="62" fillId="0" borderId="0" applyNumberFormat="0" applyFill="0" applyBorder="0" applyAlignment="0" applyProtection="0"/>
    <xf numFmtId="198" fontId="62" fillId="0" borderId="0" applyNumberFormat="0" applyFill="0" applyBorder="0" applyAlignment="0" applyProtection="0"/>
    <xf numFmtId="198" fontId="62" fillId="0" borderId="0" applyNumberFormat="0" applyFill="0" applyBorder="0" applyAlignment="0" applyProtection="0"/>
    <xf numFmtId="198" fontId="62" fillId="0" borderId="0" applyNumberFormat="0" applyFill="0" applyBorder="0" applyAlignment="0" applyProtection="0"/>
    <xf numFmtId="198" fontId="62" fillId="0" borderId="0" applyNumberFormat="0" applyFill="0" applyBorder="0" applyAlignment="0" applyProtection="0"/>
    <xf numFmtId="198" fontId="62" fillId="0" borderId="0" applyNumberFormat="0" applyFill="0" applyBorder="0" applyAlignment="0" applyProtection="0"/>
    <xf numFmtId="198" fontId="62" fillId="0" borderId="0" applyNumberFormat="0" applyFill="0" applyBorder="0" applyAlignment="0" applyProtection="0"/>
    <xf numFmtId="198" fontId="228" fillId="0" borderId="0" applyNumberFormat="0" applyFill="0" applyBorder="0" applyAlignment="0" applyProtection="0"/>
    <xf numFmtId="198" fontId="62" fillId="0" borderId="0" applyNumberFormat="0" applyFill="0" applyBorder="0" applyAlignment="0" applyProtection="0"/>
    <xf numFmtId="198" fontId="62" fillId="0" borderId="0" applyNumberFormat="0" applyFill="0" applyBorder="0" applyAlignment="0" applyProtection="0"/>
    <xf numFmtId="198" fontId="62" fillId="0" borderId="0" applyNumberFormat="0" applyFill="0" applyBorder="0" applyAlignment="0" applyProtection="0"/>
    <xf numFmtId="198" fontId="62" fillId="0" borderId="0" applyNumberFormat="0" applyFill="0" applyBorder="0" applyAlignment="0" applyProtection="0"/>
    <xf numFmtId="198" fontId="62" fillId="0" borderId="0" applyNumberFormat="0" applyFill="0" applyBorder="0" applyAlignment="0" applyProtection="0"/>
    <xf numFmtId="198" fontId="62" fillId="0" borderId="0" applyNumberFormat="0" applyFill="0" applyBorder="0" applyAlignment="0" applyProtection="0"/>
    <xf numFmtId="198" fontId="62" fillId="0" borderId="0" applyNumberFormat="0" applyFill="0" applyBorder="0" applyAlignment="0" applyProtection="0"/>
    <xf numFmtId="198" fontId="62" fillId="0" borderId="0" applyNumberFormat="0" applyFill="0" applyBorder="0" applyAlignment="0" applyProtection="0"/>
    <xf numFmtId="198" fontId="62" fillId="0" borderId="0" applyNumberFormat="0" applyFill="0" applyBorder="0" applyAlignment="0" applyProtection="0"/>
    <xf numFmtId="198" fontId="62" fillId="0" borderId="0" applyNumberFormat="0" applyFill="0" applyBorder="0" applyAlignment="0" applyProtection="0"/>
    <xf numFmtId="198" fontId="62" fillId="0" borderId="0" applyNumberFormat="0" applyFill="0" applyBorder="0" applyAlignment="0" applyProtection="0"/>
    <xf numFmtId="198" fontId="62" fillId="0" borderId="0" applyNumberFormat="0" applyFill="0" applyBorder="0" applyAlignment="0" applyProtection="0"/>
    <xf numFmtId="198" fontId="62" fillId="0" borderId="0" applyNumberFormat="0" applyFill="0" applyBorder="0" applyAlignment="0" applyProtection="0"/>
    <xf numFmtId="198" fontId="62" fillId="0" borderId="0" applyNumberFormat="0" applyFill="0" applyBorder="0" applyAlignment="0" applyProtection="0"/>
    <xf numFmtId="198" fontId="62" fillId="0" borderId="0" applyNumberFormat="0" applyFill="0" applyBorder="0" applyAlignment="0" applyProtection="0"/>
    <xf numFmtId="198" fontId="62" fillId="0" borderId="0" applyNumberFormat="0" applyFill="0" applyBorder="0" applyAlignment="0" applyProtection="0"/>
    <xf numFmtId="198" fontId="62" fillId="0" borderId="0" applyNumberFormat="0" applyFill="0" applyBorder="0" applyAlignment="0" applyProtection="0"/>
    <xf numFmtId="198" fontId="62" fillId="0" borderId="0" applyNumberFormat="0" applyFill="0" applyBorder="0" applyAlignment="0" applyProtection="0"/>
    <xf numFmtId="198" fontId="62" fillId="0" borderId="0" applyNumberFormat="0" applyFill="0" applyBorder="0" applyAlignment="0" applyProtection="0"/>
    <xf numFmtId="198" fontId="62" fillId="0" borderId="0" applyNumberFormat="0" applyFill="0" applyBorder="0" applyAlignment="0" applyProtection="0"/>
    <xf numFmtId="198" fontId="62" fillId="0" borderId="0" applyNumberFormat="0" applyFill="0" applyBorder="0" applyAlignment="0" applyProtection="0"/>
    <xf numFmtId="198" fontId="62" fillId="0" borderId="0" applyNumberFormat="0" applyFill="0" applyBorder="0" applyAlignment="0" applyProtection="0"/>
    <xf numFmtId="198" fontId="62" fillId="0" borderId="0" applyNumberFormat="0" applyFill="0" applyBorder="0" applyAlignment="0" applyProtection="0"/>
    <xf numFmtId="198" fontId="62" fillId="0" borderId="0" applyNumberFormat="0" applyFill="0" applyBorder="0" applyAlignment="0" applyProtection="0"/>
    <xf numFmtId="198" fontId="62" fillId="0" borderId="0" applyNumberFormat="0" applyFill="0" applyBorder="0" applyAlignment="0" applyProtection="0"/>
    <xf numFmtId="198" fontId="62" fillId="0" borderId="0" applyNumberFormat="0" applyFill="0" applyBorder="0" applyAlignment="0" applyProtection="0"/>
    <xf numFmtId="198" fontId="62" fillId="0" borderId="0" applyNumberFormat="0" applyFill="0" applyBorder="0" applyAlignment="0" applyProtection="0"/>
    <xf numFmtId="198" fontId="62" fillId="0" borderId="0" applyNumberFormat="0" applyFill="0" applyBorder="0" applyAlignment="0" applyProtection="0"/>
    <xf numFmtId="198" fontId="62" fillId="0" borderId="0" applyNumberFormat="0" applyFill="0" applyBorder="0" applyAlignment="0" applyProtection="0"/>
    <xf numFmtId="198" fontId="62" fillId="0" borderId="0" applyNumberFormat="0" applyFill="0" applyBorder="0" applyAlignment="0" applyProtection="0"/>
    <xf numFmtId="198" fontId="62" fillId="0" borderId="0" applyNumberFormat="0" applyFill="0" applyBorder="0" applyAlignment="0" applyProtection="0"/>
    <xf numFmtId="198" fontId="62" fillId="0" borderId="0" applyNumberFormat="0" applyFill="0" applyBorder="0" applyAlignment="0" applyProtection="0"/>
    <xf numFmtId="198" fontId="62" fillId="0" borderId="0" applyNumberFormat="0" applyFill="0" applyBorder="0" applyAlignment="0" applyProtection="0"/>
    <xf numFmtId="198" fontId="62" fillId="0" borderId="0" applyNumberFormat="0" applyFill="0" applyBorder="0" applyAlignment="0" applyProtection="0"/>
    <xf numFmtId="198" fontId="62" fillId="0" borderId="0" applyNumberFormat="0" applyFill="0" applyBorder="0" applyAlignment="0" applyProtection="0"/>
    <xf numFmtId="198" fontId="62" fillId="0" borderId="0" applyNumberFormat="0" applyFill="0" applyBorder="0" applyAlignment="0" applyProtection="0"/>
    <xf numFmtId="198" fontId="62" fillId="0" borderId="0" applyNumberFormat="0" applyFill="0" applyBorder="0" applyAlignment="0" applyProtection="0"/>
    <xf numFmtId="198" fontId="62" fillId="0" borderId="0" applyNumberFormat="0" applyFill="0" applyBorder="0" applyAlignment="0" applyProtection="0"/>
    <xf numFmtId="198" fontId="62" fillId="0" borderId="0" applyNumberFormat="0" applyFill="0" applyBorder="0" applyAlignment="0" applyProtection="0"/>
    <xf numFmtId="198" fontId="62" fillId="0" borderId="0" applyNumberFormat="0" applyFill="0" applyBorder="0" applyAlignment="0" applyProtection="0"/>
    <xf numFmtId="198" fontId="62" fillId="0" borderId="0" applyNumberFormat="0" applyFill="0" applyBorder="0" applyAlignment="0" applyProtection="0"/>
    <xf numFmtId="198" fontId="62" fillId="0" borderId="0" applyNumberFormat="0" applyFill="0" applyBorder="0" applyAlignment="0" applyProtection="0"/>
    <xf numFmtId="198" fontId="62" fillId="0" borderId="0" applyNumberFormat="0" applyFill="0" applyBorder="0" applyAlignment="0" applyProtection="0"/>
    <xf numFmtId="198" fontId="62" fillId="0" borderId="0" applyNumberFormat="0" applyFill="0" applyBorder="0" applyAlignment="0" applyProtection="0"/>
    <xf numFmtId="198" fontId="62" fillId="0" borderId="0" applyNumberFormat="0" applyFill="0" applyBorder="0" applyAlignment="0" applyProtection="0"/>
    <xf numFmtId="198" fontId="62" fillId="0" borderId="0" applyNumberFormat="0" applyFill="0" applyBorder="0" applyAlignment="0" applyProtection="0"/>
    <xf numFmtId="198" fontId="62" fillId="0" borderId="0" applyNumberFormat="0" applyFill="0" applyBorder="0" applyAlignment="0" applyProtection="0"/>
    <xf numFmtId="198" fontId="157" fillId="0" borderId="227" applyNumberFormat="0" applyFill="0" applyAlignment="0" applyProtection="0"/>
    <xf numFmtId="198" fontId="157" fillId="0" borderId="227" applyNumberFormat="0" applyFill="0" applyAlignment="0" applyProtection="0"/>
    <xf numFmtId="198" fontId="157" fillId="0" borderId="227" applyNumberFormat="0" applyFill="0" applyAlignment="0" applyProtection="0"/>
    <xf numFmtId="198" fontId="157" fillId="0" borderId="227" applyNumberFormat="0" applyFill="0" applyAlignment="0" applyProtection="0"/>
    <xf numFmtId="198" fontId="157" fillId="0" borderId="227" applyNumberFormat="0" applyFill="0" applyAlignment="0" applyProtection="0"/>
    <xf numFmtId="198" fontId="157" fillId="0" borderId="227" applyNumberFormat="0" applyFill="0" applyAlignment="0" applyProtection="0"/>
    <xf numFmtId="198" fontId="157" fillId="0" borderId="227" applyNumberFormat="0" applyFill="0" applyAlignment="0" applyProtection="0"/>
    <xf numFmtId="198" fontId="157" fillId="0" borderId="227" applyNumberFormat="0" applyFill="0" applyAlignment="0" applyProtection="0"/>
    <xf numFmtId="198" fontId="157" fillId="0" borderId="227" applyNumberFormat="0" applyFill="0" applyAlignment="0" applyProtection="0"/>
    <xf numFmtId="198" fontId="157" fillId="0" borderId="227" applyNumberFormat="0" applyFill="0" applyAlignment="0" applyProtection="0"/>
    <xf numFmtId="198" fontId="229" fillId="0" borderId="400" applyNumberFormat="0" applyFill="0" applyAlignment="0" applyProtection="0"/>
    <xf numFmtId="198" fontId="157" fillId="0" borderId="227" applyNumberFormat="0" applyFill="0" applyAlignment="0" applyProtection="0"/>
    <xf numFmtId="198" fontId="157" fillId="0" borderId="227" applyNumberFormat="0" applyFill="0" applyAlignment="0" applyProtection="0"/>
    <xf numFmtId="198" fontId="157" fillId="0" borderId="227" applyNumberFormat="0" applyFill="0" applyAlignment="0" applyProtection="0"/>
    <xf numFmtId="198" fontId="157" fillId="0" borderId="227" applyNumberFormat="0" applyFill="0" applyAlignment="0" applyProtection="0"/>
    <xf numFmtId="198" fontId="157" fillId="0" borderId="227" applyNumberFormat="0" applyFill="0" applyAlignment="0" applyProtection="0"/>
    <xf numFmtId="198" fontId="157" fillId="0" borderId="227" applyNumberFormat="0" applyFill="0" applyAlignment="0" applyProtection="0"/>
    <xf numFmtId="198" fontId="157" fillId="0" borderId="227" applyNumberFormat="0" applyFill="0" applyAlignment="0" applyProtection="0"/>
    <xf numFmtId="198" fontId="157" fillId="0" borderId="227" applyNumberFormat="0" applyFill="0" applyAlignment="0" applyProtection="0"/>
    <xf numFmtId="198" fontId="157" fillId="0" borderId="227" applyNumberFormat="0" applyFill="0" applyAlignment="0" applyProtection="0"/>
    <xf numFmtId="198" fontId="157" fillId="0" borderId="227" applyNumberFormat="0" applyFill="0" applyAlignment="0" applyProtection="0"/>
    <xf numFmtId="198" fontId="157" fillId="0" borderId="227" applyNumberFormat="0" applyFill="0" applyAlignment="0" applyProtection="0"/>
    <xf numFmtId="198" fontId="157" fillId="0" borderId="227" applyNumberFormat="0" applyFill="0" applyAlignment="0" applyProtection="0"/>
    <xf numFmtId="198" fontId="157" fillId="0" borderId="227" applyNumberFormat="0" applyFill="0" applyAlignment="0" applyProtection="0"/>
    <xf numFmtId="198" fontId="157" fillId="0" borderId="227" applyNumberFormat="0" applyFill="0" applyAlignment="0" applyProtection="0"/>
    <xf numFmtId="198" fontId="157" fillId="0" borderId="227" applyNumberFormat="0" applyFill="0" applyAlignment="0" applyProtection="0"/>
    <xf numFmtId="198" fontId="157" fillId="0" borderId="227" applyNumberFormat="0" applyFill="0" applyAlignment="0" applyProtection="0"/>
    <xf numFmtId="198" fontId="157" fillId="0" borderId="227" applyNumberFormat="0" applyFill="0" applyAlignment="0" applyProtection="0"/>
    <xf numFmtId="198" fontId="157" fillId="0" borderId="227" applyNumberFormat="0" applyFill="0" applyAlignment="0" applyProtection="0"/>
    <xf numFmtId="198" fontId="157" fillId="0" borderId="227" applyNumberFormat="0" applyFill="0" applyAlignment="0" applyProtection="0"/>
    <xf numFmtId="198" fontId="157" fillId="0" borderId="227" applyNumberFormat="0" applyFill="0" applyAlignment="0" applyProtection="0"/>
    <xf numFmtId="198" fontId="157" fillId="0" borderId="227" applyNumberFormat="0" applyFill="0" applyAlignment="0" applyProtection="0"/>
    <xf numFmtId="198" fontId="157" fillId="0" borderId="227" applyNumberFormat="0" applyFill="0" applyAlignment="0" applyProtection="0"/>
    <xf numFmtId="198" fontId="157" fillId="0" borderId="227" applyNumberFormat="0" applyFill="0" applyAlignment="0" applyProtection="0"/>
    <xf numFmtId="198" fontId="157" fillId="0" borderId="227" applyNumberFormat="0" applyFill="0" applyAlignment="0" applyProtection="0"/>
    <xf numFmtId="198" fontId="157" fillId="0" borderId="227" applyNumberFormat="0" applyFill="0" applyAlignment="0" applyProtection="0"/>
    <xf numFmtId="198" fontId="157" fillId="0" borderId="227" applyNumberFormat="0" applyFill="0" applyAlignment="0" applyProtection="0"/>
    <xf numFmtId="198" fontId="157" fillId="0" borderId="227" applyNumberFormat="0" applyFill="0" applyAlignment="0" applyProtection="0"/>
    <xf numFmtId="198" fontId="157" fillId="0" borderId="227" applyNumberFormat="0" applyFill="0" applyAlignment="0" applyProtection="0"/>
    <xf numFmtId="198" fontId="157" fillId="0" borderId="227" applyNumberFormat="0" applyFill="0" applyAlignment="0" applyProtection="0"/>
    <xf numFmtId="198" fontId="157" fillId="0" borderId="227" applyNumberFormat="0" applyFill="0" applyAlignment="0" applyProtection="0"/>
    <xf numFmtId="198" fontId="157" fillId="0" borderId="227" applyNumberFormat="0" applyFill="0" applyAlignment="0" applyProtection="0"/>
    <xf numFmtId="198" fontId="157" fillId="0" borderId="227" applyNumberFormat="0" applyFill="0" applyAlignment="0" applyProtection="0"/>
    <xf numFmtId="198" fontId="157" fillId="0" borderId="227" applyNumberFormat="0" applyFill="0" applyAlignment="0" applyProtection="0"/>
    <xf numFmtId="198" fontId="157" fillId="0" borderId="227" applyNumberFormat="0" applyFill="0" applyAlignment="0" applyProtection="0"/>
    <xf numFmtId="198" fontId="157" fillId="0" borderId="227" applyNumberFormat="0" applyFill="0" applyAlignment="0" applyProtection="0"/>
    <xf numFmtId="198" fontId="157" fillId="0" borderId="227" applyNumberFormat="0" applyFill="0" applyAlignment="0" applyProtection="0"/>
    <xf numFmtId="198" fontId="157" fillId="0" borderId="227" applyNumberFormat="0" applyFill="0" applyAlignment="0" applyProtection="0"/>
    <xf numFmtId="198" fontId="157" fillId="0" borderId="227" applyNumberFormat="0" applyFill="0" applyAlignment="0" applyProtection="0"/>
    <xf numFmtId="198" fontId="157" fillId="0" borderId="227" applyNumberFormat="0" applyFill="0" applyAlignment="0" applyProtection="0"/>
    <xf numFmtId="198" fontId="157" fillId="0" borderId="227" applyNumberFormat="0" applyFill="0" applyAlignment="0" applyProtection="0"/>
    <xf numFmtId="198" fontId="157" fillId="0" borderId="227" applyNumberFormat="0" applyFill="0" applyAlignment="0" applyProtection="0"/>
    <xf numFmtId="198" fontId="157" fillId="0" borderId="227" applyNumberFormat="0" applyFill="0" applyAlignment="0" applyProtection="0"/>
    <xf numFmtId="198" fontId="157" fillId="0" borderId="227" applyNumberFormat="0" applyFill="0" applyAlignment="0" applyProtection="0"/>
    <xf numFmtId="198" fontId="157" fillId="0" borderId="227" applyNumberFormat="0" applyFill="0" applyAlignment="0" applyProtection="0"/>
    <xf numFmtId="198" fontId="157" fillId="0" borderId="227" applyNumberFormat="0" applyFill="0" applyAlignment="0" applyProtection="0"/>
    <xf numFmtId="198" fontId="157" fillId="0" borderId="227" applyNumberFormat="0" applyFill="0" applyAlignment="0" applyProtection="0"/>
    <xf numFmtId="198" fontId="157" fillId="0" borderId="227" applyNumberFormat="0" applyFill="0" applyAlignment="0" applyProtection="0"/>
    <xf numFmtId="198" fontId="155" fillId="78" borderId="396" applyNumberFormat="0" applyAlignment="0" applyProtection="0"/>
    <xf numFmtId="198" fontId="155" fillId="78" borderId="396" applyNumberFormat="0" applyAlignment="0" applyProtection="0"/>
    <xf numFmtId="198" fontId="155" fillId="78" borderId="396" applyNumberFormat="0" applyAlignment="0" applyProtection="0"/>
    <xf numFmtId="198" fontId="155" fillId="78" borderId="396" applyNumberFormat="0" applyAlignment="0" applyProtection="0"/>
    <xf numFmtId="198" fontId="155" fillId="78" borderId="396" applyNumberFormat="0" applyAlignment="0" applyProtection="0"/>
    <xf numFmtId="198" fontId="155" fillId="78" borderId="396" applyNumberFormat="0" applyAlignment="0" applyProtection="0"/>
    <xf numFmtId="198" fontId="155" fillId="78" borderId="396" applyNumberFormat="0" applyAlignment="0" applyProtection="0"/>
    <xf numFmtId="198" fontId="155" fillId="78" borderId="396" applyNumberFormat="0" applyAlignment="0" applyProtection="0"/>
    <xf numFmtId="198" fontId="155" fillId="78" borderId="396" applyNumberFormat="0" applyAlignment="0" applyProtection="0"/>
    <xf numFmtId="198" fontId="155" fillId="78" borderId="396" applyNumberFormat="0" applyAlignment="0" applyProtection="0"/>
    <xf numFmtId="198" fontId="230" fillId="23" borderId="9" applyNumberFormat="0" applyAlignment="0" applyProtection="0"/>
    <xf numFmtId="198" fontId="155" fillId="78" borderId="396" applyNumberFormat="0" applyAlignment="0" applyProtection="0"/>
    <xf numFmtId="198" fontId="155" fillId="78" borderId="396" applyNumberFormat="0" applyAlignment="0" applyProtection="0"/>
    <xf numFmtId="198" fontId="155" fillId="78" borderId="396" applyNumberFormat="0" applyAlignment="0" applyProtection="0"/>
    <xf numFmtId="198" fontId="155" fillId="78" borderId="396" applyNumberFormat="0" applyAlignment="0" applyProtection="0"/>
    <xf numFmtId="198" fontId="155" fillId="78" borderId="396" applyNumberFormat="0" applyAlignment="0" applyProtection="0"/>
    <xf numFmtId="198" fontId="155" fillId="78" borderId="396" applyNumberFormat="0" applyAlignment="0" applyProtection="0"/>
    <xf numFmtId="198" fontId="155" fillId="78" borderId="396" applyNumberFormat="0" applyAlignment="0" applyProtection="0"/>
    <xf numFmtId="198" fontId="155" fillId="78" borderId="396" applyNumberFormat="0" applyAlignment="0" applyProtection="0"/>
    <xf numFmtId="198" fontId="155" fillId="78" borderId="396" applyNumberFormat="0" applyAlignment="0" applyProtection="0"/>
    <xf numFmtId="198" fontId="155" fillId="78" borderId="396" applyNumberFormat="0" applyAlignment="0" applyProtection="0"/>
    <xf numFmtId="198" fontId="155" fillId="78" borderId="396" applyNumberFormat="0" applyAlignment="0" applyProtection="0"/>
    <xf numFmtId="198" fontId="155" fillId="78" borderId="396" applyNumberFormat="0" applyAlignment="0" applyProtection="0"/>
    <xf numFmtId="198" fontId="155" fillId="78" borderId="396" applyNumberFormat="0" applyAlignment="0" applyProtection="0"/>
    <xf numFmtId="198" fontId="155" fillId="78" borderId="396" applyNumberFormat="0" applyAlignment="0" applyProtection="0"/>
    <xf numFmtId="198" fontId="155" fillId="78" borderId="396" applyNumberFormat="0" applyAlignment="0" applyProtection="0"/>
    <xf numFmtId="198" fontId="155" fillId="78" borderId="396" applyNumberFormat="0" applyAlignment="0" applyProtection="0"/>
    <xf numFmtId="198" fontId="155" fillId="78" borderId="396" applyNumberFormat="0" applyAlignment="0" applyProtection="0"/>
    <xf numFmtId="198" fontId="155" fillId="78" borderId="396" applyNumberFormat="0" applyAlignment="0" applyProtection="0"/>
    <xf numFmtId="198" fontId="155" fillId="78" borderId="396" applyNumberFormat="0" applyAlignment="0" applyProtection="0"/>
    <xf numFmtId="198" fontId="155" fillId="78" borderId="396" applyNumberFormat="0" applyAlignment="0" applyProtection="0"/>
    <xf numFmtId="198" fontId="155" fillId="78" borderId="396" applyNumberFormat="0" applyAlignment="0" applyProtection="0"/>
    <xf numFmtId="198" fontId="155" fillId="78" borderId="396" applyNumberFormat="0" applyAlignment="0" applyProtection="0"/>
    <xf numFmtId="198" fontId="155" fillId="78" borderId="396" applyNumberFormat="0" applyAlignment="0" applyProtection="0"/>
    <xf numFmtId="198" fontId="155" fillId="78" borderId="396" applyNumberFormat="0" applyAlignment="0" applyProtection="0"/>
    <xf numFmtId="198" fontId="155" fillId="78" borderId="396" applyNumberFormat="0" applyAlignment="0" applyProtection="0"/>
    <xf numFmtId="198" fontId="155" fillId="78" borderId="396" applyNumberFormat="0" applyAlignment="0" applyProtection="0"/>
    <xf numFmtId="198" fontId="155" fillId="78" borderId="396" applyNumberFormat="0" applyAlignment="0" applyProtection="0"/>
    <xf numFmtId="198" fontId="155" fillId="78" borderId="396" applyNumberFormat="0" applyAlignment="0" applyProtection="0"/>
    <xf numFmtId="198" fontId="155" fillId="78" borderId="396" applyNumberFormat="0" applyAlignment="0" applyProtection="0"/>
    <xf numFmtId="198" fontId="155" fillId="78" borderId="396" applyNumberFormat="0" applyAlignment="0" applyProtection="0"/>
    <xf numFmtId="198" fontId="155" fillId="78" borderId="396" applyNumberFormat="0" applyAlignment="0" applyProtection="0"/>
    <xf numFmtId="198" fontId="155" fillId="78" borderId="396" applyNumberFormat="0" applyAlignment="0" applyProtection="0"/>
    <xf numFmtId="198" fontId="155" fillId="78" borderId="396" applyNumberFormat="0" applyAlignment="0" applyProtection="0"/>
    <xf numFmtId="198" fontId="155" fillId="78" borderId="396" applyNumberFormat="0" applyAlignment="0" applyProtection="0"/>
    <xf numFmtId="198" fontId="155" fillId="78" borderId="396" applyNumberFormat="0" applyAlignment="0" applyProtection="0"/>
    <xf numFmtId="198" fontId="155" fillId="78" borderId="396" applyNumberFormat="0" applyAlignment="0" applyProtection="0"/>
    <xf numFmtId="198" fontId="155" fillId="78" borderId="396" applyNumberFormat="0" applyAlignment="0" applyProtection="0"/>
    <xf numFmtId="198" fontId="155" fillId="78" borderId="396" applyNumberFormat="0" applyAlignment="0" applyProtection="0"/>
    <xf numFmtId="198" fontId="155" fillId="78" borderId="396" applyNumberFormat="0" applyAlignment="0" applyProtection="0"/>
    <xf numFmtId="198" fontId="155" fillId="78" borderId="396" applyNumberFormat="0" applyAlignment="0" applyProtection="0"/>
    <xf numFmtId="198" fontId="155" fillId="78" borderId="396" applyNumberFormat="0" applyAlignment="0" applyProtection="0"/>
    <xf numFmtId="198" fontId="155" fillId="78" borderId="396" applyNumberFormat="0" applyAlignment="0" applyProtection="0"/>
    <xf numFmtId="198" fontId="155" fillId="78" borderId="396" applyNumberFormat="0" applyAlignment="0" applyProtection="0"/>
    <xf numFmtId="198" fontId="155" fillId="78" borderId="396" applyNumberFormat="0" applyAlignment="0" applyProtection="0"/>
    <xf numFmtId="198" fontId="155" fillId="78" borderId="396" applyNumberFormat="0" applyAlignment="0" applyProtection="0"/>
    <xf numFmtId="198" fontId="155" fillId="78" borderId="396" applyNumberFormat="0" applyAlignment="0" applyProtection="0"/>
    <xf numFmtId="198" fontId="155" fillId="78" borderId="396" applyNumberFormat="0" applyAlignment="0" applyProtection="0"/>
    <xf numFmtId="9" fontId="11" fillId="0" borderId="0" applyFont="0" applyFill="0" applyBorder="0" applyAlignment="0" applyProtection="0"/>
    <xf numFmtId="0" fontId="11" fillId="100" borderId="0" applyNumberFormat="0" applyBorder="0" applyAlignment="0" applyProtection="0"/>
    <xf numFmtId="0" fontId="11" fillId="100" borderId="0" applyNumberFormat="0" applyBorder="0" applyAlignment="0" applyProtection="0"/>
    <xf numFmtId="0" fontId="11" fillId="100" borderId="0" applyNumberFormat="0" applyBorder="0" applyAlignment="0" applyProtection="0"/>
    <xf numFmtId="0" fontId="213" fillId="2" borderId="0" applyNumberFormat="0" applyBorder="0" applyAlignment="0" applyProtection="0"/>
    <xf numFmtId="0" fontId="11" fillId="100" borderId="0" applyNumberFormat="0" applyBorder="0" applyAlignment="0" applyProtection="0"/>
    <xf numFmtId="0" fontId="11" fillId="100" borderId="0" applyNumberFormat="0" applyBorder="0" applyAlignment="0" applyProtection="0"/>
    <xf numFmtId="0" fontId="11" fillId="100" borderId="0" applyNumberFormat="0" applyBorder="0" applyAlignment="0" applyProtection="0"/>
    <xf numFmtId="0" fontId="11" fillId="100" borderId="0" applyNumberFormat="0" applyBorder="0" applyAlignment="0" applyProtection="0"/>
    <xf numFmtId="0" fontId="11" fillId="100" borderId="0" applyNumberFormat="0" applyBorder="0" applyAlignment="0" applyProtection="0"/>
    <xf numFmtId="0" fontId="11" fillId="100" borderId="0" applyNumberFormat="0" applyBorder="0" applyAlignment="0" applyProtection="0"/>
    <xf numFmtId="0" fontId="11" fillId="100" borderId="0" applyNumberFormat="0" applyBorder="0" applyAlignment="0" applyProtection="0"/>
    <xf numFmtId="0" fontId="11" fillId="100" borderId="0" applyNumberFormat="0" applyBorder="0" applyAlignment="0" applyProtection="0"/>
    <xf numFmtId="0" fontId="11" fillId="100" borderId="0" applyNumberFormat="0" applyBorder="0" applyAlignment="0" applyProtection="0"/>
    <xf numFmtId="0" fontId="11" fillId="100" borderId="0" applyNumberFormat="0" applyBorder="0" applyAlignment="0" applyProtection="0"/>
    <xf numFmtId="0" fontId="11" fillId="100" borderId="0" applyNumberFormat="0" applyBorder="0" applyAlignment="0" applyProtection="0"/>
    <xf numFmtId="0" fontId="11" fillId="100" borderId="0" applyNumberFormat="0" applyBorder="0" applyAlignment="0" applyProtection="0"/>
    <xf numFmtId="0" fontId="11" fillId="100" borderId="0" applyNumberFormat="0" applyBorder="0" applyAlignment="0" applyProtection="0"/>
    <xf numFmtId="0" fontId="11" fillId="100" borderId="0" applyNumberFormat="0" applyBorder="0" applyAlignment="0" applyProtection="0"/>
    <xf numFmtId="0" fontId="11" fillId="100" borderId="0" applyNumberFormat="0" applyBorder="0" applyAlignment="0" applyProtection="0"/>
    <xf numFmtId="0" fontId="11" fillId="100" borderId="0" applyNumberFormat="0" applyBorder="0" applyAlignment="0" applyProtection="0"/>
    <xf numFmtId="0" fontId="11" fillId="100" borderId="0" applyNumberFormat="0" applyBorder="0" applyAlignment="0" applyProtection="0"/>
    <xf numFmtId="0" fontId="11" fillId="100" borderId="0" applyNumberFormat="0" applyBorder="0" applyAlignment="0" applyProtection="0"/>
    <xf numFmtId="0" fontId="11" fillId="100" borderId="0" applyNumberFormat="0" applyBorder="0" applyAlignment="0" applyProtection="0"/>
    <xf numFmtId="0" fontId="11" fillId="100" borderId="0" applyNumberFormat="0" applyBorder="0" applyAlignment="0" applyProtection="0"/>
    <xf numFmtId="0" fontId="11" fillId="100" borderId="0" applyNumberFormat="0" applyBorder="0" applyAlignment="0" applyProtection="0"/>
    <xf numFmtId="0" fontId="11" fillId="100" borderId="0" applyNumberFormat="0" applyBorder="0" applyAlignment="0" applyProtection="0"/>
    <xf numFmtId="0" fontId="11" fillId="100" borderId="0" applyNumberFormat="0" applyBorder="0" applyAlignment="0" applyProtection="0"/>
    <xf numFmtId="0" fontId="11" fillId="100" borderId="0" applyNumberFormat="0" applyBorder="0" applyAlignment="0" applyProtection="0"/>
    <xf numFmtId="0" fontId="11" fillId="100" borderId="0" applyNumberFormat="0" applyBorder="0" applyAlignment="0" applyProtection="0"/>
    <xf numFmtId="0" fontId="11" fillId="100" borderId="0" applyNumberFormat="0" applyBorder="0" applyAlignment="0" applyProtection="0"/>
    <xf numFmtId="0" fontId="11" fillId="100" borderId="0" applyNumberFormat="0" applyBorder="0" applyAlignment="0" applyProtection="0"/>
    <xf numFmtId="0" fontId="11" fillId="100" borderId="0" applyNumberFormat="0" applyBorder="0" applyAlignment="0" applyProtection="0"/>
    <xf numFmtId="0" fontId="11" fillId="100" borderId="0" applyNumberFormat="0" applyBorder="0" applyAlignment="0" applyProtection="0"/>
    <xf numFmtId="0" fontId="11" fillId="100" borderId="0" applyNumberFormat="0" applyBorder="0" applyAlignment="0" applyProtection="0"/>
    <xf numFmtId="0" fontId="11" fillId="100" borderId="0" applyNumberFormat="0" applyBorder="0" applyAlignment="0" applyProtection="0"/>
    <xf numFmtId="0" fontId="11" fillId="100" borderId="0" applyNumberFormat="0" applyBorder="0" applyAlignment="0" applyProtection="0"/>
    <xf numFmtId="0" fontId="11" fillId="100" borderId="0" applyNumberFormat="0" applyBorder="0" applyAlignment="0" applyProtection="0"/>
    <xf numFmtId="0" fontId="11" fillId="100" borderId="0" applyNumberFormat="0" applyBorder="0" applyAlignment="0" applyProtection="0"/>
    <xf numFmtId="0" fontId="11" fillId="100" borderId="0" applyNumberFormat="0" applyBorder="0" applyAlignment="0" applyProtection="0"/>
    <xf numFmtId="0" fontId="11" fillId="100" borderId="0" applyNumberFormat="0" applyBorder="0" applyAlignment="0" applyProtection="0"/>
    <xf numFmtId="0" fontId="11" fillId="100" borderId="0" applyNumberFormat="0" applyBorder="0" applyAlignment="0" applyProtection="0"/>
    <xf numFmtId="0" fontId="11" fillId="100" borderId="0" applyNumberFormat="0" applyBorder="0" applyAlignment="0" applyProtection="0"/>
    <xf numFmtId="0" fontId="11" fillId="100" borderId="0" applyNumberFormat="0" applyBorder="0" applyAlignment="0" applyProtection="0"/>
    <xf numFmtId="0" fontId="11" fillId="100" borderId="0" applyNumberFormat="0" applyBorder="0" applyAlignment="0" applyProtection="0"/>
    <xf numFmtId="0" fontId="11" fillId="100" borderId="0" applyNumberFormat="0" applyBorder="0" applyAlignment="0" applyProtection="0"/>
    <xf numFmtId="0" fontId="11" fillId="100" borderId="0" applyNumberFormat="0" applyBorder="0" applyAlignment="0" applyProtection="0"/>
    <xf numFmtId="0" fontId="11" fillId="100" borderId="0" applyNumberFormat="0" applyBorder="0" applyAlignment="0" applyProtection="0"/>
    <xf numFmtId="0" fontId="11" fillId="100" borderId="0" applyNumberFormat="0" applyBorder="0" applyAlignment="0" applyProtection="0"/>
    <xf numFmtId="0" fontId="11" fillId="100" borderId="0" applyNumberFormat="0" applyBorder="0" applyAlignment="0" applyProtection="0"/>
    <xf numFmtId="0" fontId="11" fillId="100" borderId="0" applyNumberFormat="0" applyBorder="0" applyAlignment="0" applyProtection="0"/>
    <xf numFmtId="0" fontId="11" fillId="100" borderId="0" applyNumberFormat="0" applyBorder="0" applyAlignment="0" applyProtection="0"/>
    <xf numFmtId="0" fontId="11" fillId="101" borderId="0" applyNumberFormat="0" applyBorder="0" applyAlignment="0" applyProtection="0"/>
    <xf numFmtId="0" fontId="11" fillId="101" borderId="0" applyNumberFormat="0" applyBorder="0" applyAlignment="0" applyProtection="0"/>
    <xf numFmtId="0" fontId="11" fillId="101" borderId="0" applyNumberFormat="0" applyBorder="0" applyAlignment="0" applyProtection="0"/>
    <xf numFmtId="0" fontId="11" fillId="101" borderId="0" applyNumberFormat="0" applyBorder="0" applyAlignment="0" applyProtection="0"/>
    <xf numFmtId="0" fontId="11" fillId="101" borderId="0" applyNumberFormat="0" applyBorder="0" applyAlignment="0" applyProtection="0"/>
    <xf numFmtId="0" fontId="11" fillId="101" borderId="0" applyNumberFormat="0" applyBorder="0" applyAlignment="0" applyProtection="0"/>
    <xf numFmtId="0" fontId="11" fillId="101" borderId="0" applyNumberFormat="0" applyBorder="0" applyAlignment="0" applyProtection="0"/>
    <xf numFmtId="0" fontId="11" fillId="101" borderId="0" applyNumberFormat="0" applyBorder="0" applyAlignment="0" applyProtection="0"/>
    <xf numFmtId="0" fontId="11" fillId="101" borderId="0" applyNumberFormat="0" applyBorder="0" applyAlignment="0" applyProtection="0"/>
    <xf numFmtId="0" fontId="11" fillId="101" borderId="0" applyNumberFormat="0" applyBorder="0" applyAlignment="0" applyProtection="0"/>
    <xf numFmtId="0" fontId="213" fillId="3" borderId="0" applyNumberFormat="0" applyBorder="0" applyAlignment="0" applyProtection="0"/>
    <xf numFmtId="0" fontId="11" fillId="101" borderId="0" applyNumberFormat="0" applyBorder="0" applyAlignment="0" applyProtection="0"/>
    <xf numFmtId="0" fontId="11" fillId="101" borderId="0" applyNumberFormat="0" applyBorder="0" applyAlignment="0" applyProtection="0"/>
    <xf numFmtId="0" fontId="11" fillId="101" borderId="0" applyNumberFormat="0" applyBorder="0" applyAlignment="0" applyProtection="0"/>
    <xf numFmtId="0" fontId="11" fillId="101" borderId="0" applyNumberFormat="0" applyBorder="0" applyAlignment="0" applyProtection="0"/>
    <xf numFmtId="0" fontId="11" fillId="101" borderId="0" applyNumberFormat="0" applyBorder="0" applyAlignment="0" applyProtection="0"/>
    <xf numFmtId="0" fontId="11" fillId="101" borderId="0" applyNumberFormat="0" applyBorder="0" applyAlignment="0" applyProtection="0"/>
    <xf numFmtId="0" fontId="11" fillId="101" borderId="0" applyNumberFormat="0" applyBorder="0" applyAlignment="0" applyProtection="0"/>
    <xf numFmtId="0" fontId="11" fillId="101" borderId="0" applyNumberFormat="0" applyBorder="0" applyAlignment="0" applyProtection="0"/>
    <xf numFmtId="0" fontId="11" fillId="101" borderId="0" applyNumberFormat="0" applyBorder="0" applyAlignment="0" applyProtection="0"/>
    <xf numFmtId="0" fontId="11" fillId="101" borderId="0" applyNumberFormat="0" applyBorder="0" applyAlignment="0" applyProtection="0"/>
    <xf numFmtId="0" fontId="11" fillId="101" borderId="0" applyNumberFormat="0" applyBorder="0" applyAlignment="0" applyProtection="0"/>
    <xf numFmtId="0" fontId="11" fillId="101" borderId="0" applyNumberFormat="0" applyBorder="0" applyAlignment="0" applyProtection="0"/>
    <xf numFmtId="0" fontId="11" fillId="101" borderId="0" applyNumberFormat="0" applyBorder="0" applyAlignment="0" applyProtection="0"/>
    <xf numFmtId="0" fontId="11" fillId="101" borderId="0" applyNumberFormat="0" applyBorder="0" applyAlignment="0" applyProtection="0"/>
    <xf numFmtId="0" fontId="11" fillId="101" borderId="0" applyNumberFormat="0" applyBorder="0" applyAlignment="0" applyProtection="0"/>
    <xf numFmtId="0" fontId="11" fillId="101" borderId="0" applyNumberFormat="0" applyBorder="0" applyAlignment="0" applyProtection="0"/>
    <xf numFmtId="0" fontId="11" fillId="101" borderId="0" applyNumberFormat="0" applyBorder="0" applyAlignment="0" applyProtection="0"/>
    <xf numFmtId="0" fontId="11" fillId="101" borderId="0" applyNumberFormat="0" applyBorder="0" applyAlignment="0" applyProtection="0"/>
    <xf numFmtId="0" fontId="11" fillId="101" borderId="0" applyNumberFormat="0" applyBorder="0" applyAlignment="0" applyProtection="0"/>
    <xf numFmtId="0" fontId="11" fillId="101" borderId="0" applyNumberFormat="0" applyBorder="0" applyAlignment="0" applyProtection="0"/>
    <xf numFmtId="0" fontId="11" fillId="101" borderId="0" applyNumberFormat="0" applyBorder="0" applyAlignment="0" applyProtection="0"/>
    <xf numFmtId="0" fontId="11" fillId="101" borderId="0" applyNumberFormat="0" applyBorder="0" applyAlignment="0" applyProtection="0"/>
    <xf numFmtId="0" fontId="11" fillId="101" borderId="0" applyNumberFormat="0" applyBorder="0" applyAlignment="0" applyProtection="0"/>
    <xf numFmtId="0" fontId="11" fillId="101" borderId="0" applyNumberFormat="0" applyBorder="0" applyAlignment="0" applyProtection="0"/>
    <xf numFmtId="0" fontId="11" fillId="101" borderId="0" applyNumberFormat="0" applyBorder="0" applyAlignment="0" applyProtection="0"/>
    <xf numFmtId="0" fontId="11" fillId="101" borderId="0" applyNumberFormat="0" applyBorder="0" applyAlignment="0" applyProtection="0"/>
    <xf numFmtId="0" fontId="11" fillId="101" borderId="0" applyNumberFormat="0" applyBorder="0" applyAlignment="0" applyProtection="0"/>
    <xf numFmtId="0" fontId="11" fillId="101" borderId="0" applyNumberFormat="0" applyBorder="0" applyAlignment="0" applyProtection="0"/>
    <xf numFmtId="0" fontId="11" fillId="101" borderId="0" applyNumberFormat="0" applyBorder="0" applyAlignment="0" applyProtection="0"/>
    <xf numFmtId="0" fontId="11" fillId="101" borderId="0" applyNumberFormat="0" applyBorder="0" applyAlignment="0" applyProtection="0"/>
    <xf numFmtId="0" fontId="11" fillId="101" borderId="0" applyNumberFormat="0" applyBorder="0" applyAlignment="0" applyProtection="0"/>
    <xf numFmtId="0" fontId="11" fillId="101" borderId="0" applyNumberFormat="0" applyBorder="0" applyAlignment="0" applyProtection="0"/>
    <xf numFmtId="0" fontId="11" fillId="101" borderId="0" applyNumberFormat="0" applyBorder="0" applyAlignment="0" applyProtection="0"/>
    <xf numFmtId="0" fontId="11" fillId="101" borderId="0" applyNumberFormat="0" applyBorder="0" applyAlignment="0" applyProtection="0"/>
    <xf numFmtId="0" fontId="11" fillId="101" borderId="0" applyNumberFormat="0" applyBorder="0" applyAlignment="0" applyProtection="0"/>
    <xf numFmtId="0" fontId="11" fillId="101" borderId="0" applyNumberFormat="0" applyBorder="0" applyAlignment="0" applyProtection="0"/>
    <xf numFmtId="0" fontId="11" fillId="101" borderId="0" applyNumberFormat="0" applyBorder="0" applyAlignment="0" applyProtection="0"/>
    <xf numFmtId="0" fontId="11" fillId="101" borderId="0" applyNumberFormat="0" applyBorder="0" applyAlignment="0" applyProtection="0"/>
    <xf numFmtId="0" fontId="11" fillId="101" borderId="0" applyNumberFormat="0" applyBorder="0" applyAlignment="0" applyProtection="0"/>
    <xf numFmtId="0" fontId="11" fillId="101" borderId="0" applyNumberFormat="0" applyBorder="0" applyAlignment="0" applyProtection="0"/>
    <xf numFmtId="0" fontId="11" fillId="101" borderId="0" applyNumberFormat="0" applyBorder="0" applyAlignment="0" applyProtection="0"/>
    <xf numFmtId="0" fontId="11" fillId="101" borderId="0" applyNumberFormat="0" applyBorder="0" applyAlignment="0" applyProtection="0"/>
    <xf numFmtId="0" fontId="11" fillId="101" borderId="0" applyNumberFormat="0" applyBorder="0" applyAlignment="0" applyProtection="0"/>
    <xf numFmtId="0" fontId="11" fillId="101" borderId="0" applyNumberFormat="0" applyBorder="0" applyAlignment="0" applyProtection="0"/>
    <xf numFmtId="0" fontId="11" fillId="101" borderId="0" applyNumberFormat="0" applyBorder="0" applyAlignment="0" applyProtection="0"/>
    <xf numFmtId="0" fontId="11" fillId="101" borderId="0" applyNumberFormat="0" applyBorder="0" applyAlignment="0" applyProtection="0"/>
    <xf numFmtId="0" fontId="11" fillId="101" borderId="0" applyNumberFormat="0" applyBorder="0" applyAlignment="0" applyProtection="0"/>
    <xf numFmtId="0" fontId="11" fillId="102" borderId="0" applyNumberFormat="0" applyBorder="0" applyAlignment="0" applyProtection="0"/>
    <xf numFmtId="0" fontId="11" fillId="102" borderId="0" applyNumberFormat="0" applyBorder="0" applyAlignment="0" applyProtection="0"/>
    <xf numFmtId="0" fontId="11" fillId="102" borderId="0" applyNumberFormat="0" applyBorder="0" applyAlignment="0" applyProtection="0"/>
    <xf numFmtId="0" fontId="11" fillId="102" borderId="0" applyNumberFormat="0" applyBorder="0" applyAlignment="0" applyProtection="0"/>
    <xf numFmtId="0" fontId="11" fillId="102" borderId="0" applyNumberFormat="0" applyBorder="0" applyAlignment="0" applyProtection="0"/>
    <xf numFmtId="0" fontId="11" fillId="102" borderId="0" applyNumberFormat="0" applyBorder="0" applyAlignment="0" applyProtection="0"/>
    <xf numFmtId="0" fontId="11" fillId="102" borderId="0" applyNumberFormat="0" applyBorder="0" applyAlignment="0" applyProtection="0"/>
    <xf numFmtId="0" fontId="11" fillId="102" borderId="0" applyNumberFormat="0" applyBorder="0" applyAlignment="0" applyProtection="0"/>
    <xf numFmtId="0" fontId="11" fillId="102" borderId="0" applyNumberFormat="0" applyBorder="0" applyAlignment="0" applyProtection="0"/>
    <xf numFmtId="0" fontId="11" fillId="102" borderId="0" applyNumberFormat="0" applyBorder="0" applyAlignment="0" applyProtection="0"/>
    <xf numFmtId="0" fontId="213" fillId="4" borderId="0" applyNumberFormat="0" applyBorder="0" applyAlignment="0" applyProtection="0"/>
    <xf numFmtId="0" fontId="11" fillId="102" borderId="0" applyNumberFormat="0" applyBorder="0" applyAlignment="0" applyProtection="0"/>
    <xf numFmtId="0" fontId="11" fillId="102" borderId="0" applyNumberFormat="0" applyBorder="0" applyAlignment="0" applyProtection="0"/>
    <xf numFmtId="0" fontId="11" fillId="102" borderId="0" applyNumberFormat="0" applyBorder="0" applyAlignment="0" applyProtection="0"/>
    <xf numFmtId="0" fontId="11" fillId="102" borderId="0" applyNumberFormat="0" applyBorder="0" applyAlignment="0" applyProtection="0"/>
    <xf numFmtId="0" fontId="11" fillId="102" borderId="0" applyNumberFormat="0" applyBorder="0" applyAlignment="0" applyProtection="0"/>
    <xf numFmtId="0" fontId="11" fillId="102" borderId="0" applyNumberFormat="0" applyBorder="0" applyAlignment="0" applyProtection="0"/>
    <xf numFmtId="0" fontId="11" fillId="102" borderId="0" applyNumberFormat="0" applyBorder="0" applyAlignment="0" applyProtection="0"/>
    <xf numFmtId="0" fontId="11" fillId="102" borderId="0" applyNumberFormat="0" applyBorder="0" applyAlignment="0" applyProtection="0"/>
    <xf numFmtId="0" fontId="11" fillId="102" borderId="0" applyNumberFormat="0" applyBorder="0" applyAlignment="0" applyProtection="0"/>
    <xf numFmtId="0" fontId="11" fillId="102" borderId="0" applyNumberFormat="0" applyBorder="0" applyAlignment="0" applyProtection="0"/>
    <xf numFmtId="0" fontId="11" fillId="102" borderId="0" applyNumberFormat="0" applyBorder="0" applyAlignment="0" applyProtection="0"/>
    <xf numFmtId="0" fontId="11" fillId="102" borderId="0" applyNumberFormat="0" applyBorder="0" applyAlignment="0" applyProtection="0"/>
    <xf numFmtId="0" fontId="11" fillId="102" borderId="0" applyNumberFormat="0" applyBorder="0" applyAlignment="0" applyProtection="0"/>
    <xf numFmtId="0" fontId="11" fillId="102" borderId="0" applyNumberFormat="0" applyBorder="0" applyAlignment="0" applyProtection="0"/>
    <xf numFmtId="0" fontId="11" fillId="102" borderId="0" applyNumberFormat="0" applyBorder="0" applyAlignment="0" applyProtection="0"/>
    <xf numFmtId="0" fontId="11" fillId="102" borderId="0" applyNumberFormat="0" applyBorder="0" applyAlignment="0" applyProtection="0"/>
    <xf numFmtId="0" fontId="11" fillId="102" borderId="0" applyNumberFormat="0" applyBorder="0" applyAlignment="0" applyProtection="0"/>
    <xf numFmtId="0" fontId="11" fillId="102" borderId="0" applyNumberFormat="0" applyBorder="0" applyAlignment="0" applyProtection="0"/>
    <xf numFmtId="0" fontId="11" fillId="102" borderId="0" applyNumberFormat="0" applyBorder="0" applyAlignment="0" applyProtection="0"/>
    <xf numFmtId="0" fontId="11" fillId="102" borderId="0" applyNumberFormat="0" applyBorder="0" applyAlignment="0" applyProtection="0"/>
    <xf numFmtId="0" fontId="11" fillId="102" borderId="0" applyNumberFormat="0" applyBorder="0" applyAlignment="0" applyProtection="0"/>
    <xf numFmtId="0" fontId="11" fillId="102" borderId="0" applyNumberFormat="0" applyBorder="0" applyAlignment="0" applyProtection="0"/>
    <xf numFmtId="0" fontId="11" fillId="102" borderId="0" applyNumberFormat="0" applyBorder="0" applyAlignment="0" applyProtection="0"/>
    <xf numFmtId="0" fontId="11" fillId="102" borderId="0" applyNumberFormat="0" applyBorder="0" applyAlignment="0" applyProtection="0"/>
    <xf numFmtId="0" fontId="11" fillId="102" borderId="0" applyNumberFormat="0" applyBorder="0" applyAlignment="0" applyProtection="0"/>
    <xf numFmtId="0" fontId="11" fillId="102" borderId="0" applyNumberFormat="0" applyBorder="0" applyAlignment="0" applyProtection="0"/>
    <xf numFmtId="0" fontId="11" fillId="102" borderId="0" applyNumberFormat="0" applyBorder="0" applyAlignment="0" applyProtection="0"/>
    <xf numFmtId="0" fontId="11" fillId="102" borderId="0" applyNumberFormat="0" applyBorder="0" applyAlignment="0" applyProtection="0"/>
    <xf numFmtId="0" fontId="11" fillId="102" borderId="0" applyNumberFormat="0" applyBorder="0" applyAlignment="0" applyProtection="0"/>
    <xf numFmtId="0" fontId="11" fillId="102" borderId="0" applyNumberFormat="0" applyBorder="0" applyAlignment="0" applyProtection="0"/>
    <xf numFmtId="0" fontId="11" fillId="102" borderId="0" applyNumberFormat="0" applyBorder="0" applyAlignment="0" applyProtection="0"/>
    <xf numFmtId="0" fontId="11" fillId="102" borderId="0" applyNumberFormat="0" applyBorder="0" applyAlignment="0" applyProtection="0"/>
    <xf numFmtId="0" fontId="11" fillId="102" borderId="0" applyNumberFormat="0" applyBorder="0" applyAlignment="0" applyProtection="0"/>
    <xf numFmtId="0" fontId="11" fillId="102" borderId="0" applyNumberFormat="0" applyBorder="0" applyAlignment="0" applyProtection="0"/>
    <xf numFmtId="0" fontId="11" fillId="102" borderId="0" applyNumberFormat="0" applyBorder="0" applyAlignment="0" applyProtection="0"/>
    <xf numFmtId="0" fontId="11" fillId="102" borderId="0" applyNumberFormat="0" applyBorder="0" applyAlignment="0" applyProtection="0"/>
    <xf numFmtId="0" fontId="11" fillId="102" borderId="0" applyNumberFormat="0" applyBorder="0" applyAlignment="0" applyProtection="0"/>
    <xf numFmtId="0" fontId="11" fillId="102" borderId="0" applyNumberFormat="0" applyBorder="0" applyAlignment="0" applyProtection="0"/>
    <xf numFmtId="0" fontId="11" fillId="102" borderId="0" applyNumberFormat="0" applyBorder="0" applyAlignment="0" applyProtection="0"/>
    <xf numFmtId="0" fontId="11" fillId="102" borderId="0" applyNumberFormat="0" applyBorder="0" applyAlignment="0" applyProtection="0"/>
    <xf numFmtId="0" fontId="11" fillId="102" borderId="0" applyNumberFormat="0" applyBorder="0" applyAlignment="0" applyProtection="0"/>
    <xf numFmtId="0" fontId="11" fillId="102" borderId="0" applyNumberFormat="0" applyBorder="0" applyAlignment="0" applyProtection="0"/>
    <xf numFmtId="0" fontId="11" fillId="102" borderId="0" applyNumberFormat="0" applyBorder="0" applyAlignment="0" applyProtection="0"/>
    <xf numFmtId="0" fontId="11" fillId="102" borderId="0" applyNumberFormat="0" applyBorder="0" applyAlignment="0" applyProtection="0"/>
    <xf numFmtId="0" fontId="11" fillId="102" borderId="0" applyNumberFormat="0" applyBorder="0" applyAlignment="0" applyProtection="0"/>
    <xf numFmtId="0" fontId="11" fillId="102" borderId="0" applyNumberFormat="0" applyBorder="0" applyAlignment="0" applyProtection="0"/>
    <xf numFmtId="0" fontId="11" fillId="102" borderId="0" applyNumberFormat="0" applyBorder="0" applyAlignment="0" applyProtection="0"/>
    <xf numFmtId="0" fontId="11" fillId="89" borderId="0" applyNumberFormat="0" applyBorder="0" applyAlignment="0" applyProtection="0"/>
    <xf numFmtId="0" fontId="11" fillId="89" borderId="0" applyNumberFormat="0" applyBorder="0" applyAlignment="0" applyProtection="0"/>
    <xf numFmtId="0" fontId="11" fillId="89" borderId="0" applyNumberFormat="0" applyBorder="0" applyAlignment="0" applyProtection="0"/>
    <xf numFmtId="0" fontId="11" fillId="89" borderId="0" applyNumberFormat="0" applyBorder="0" applyAlignment="0" applyProtection="0"/>
    <xf numFmtId="0" fontId="11" fillId="89" borderId="0" applyNumberFormat="0" applyBorder="0" applyAlignment="0" applyProtection="0"/>
    <xf numFmtId="0" fontId="11" fillId="89" borderId="0" applyNumberFormat="0" applyBorder="0" applyAlignment="0" applyProtection="0"/>
    <xf numFmtId="0" fontId="11" fillId="89" borderId="0" applyNumberFormat="0" applyBorder="0" applyAlignment="0" applyProtection="0"/>
    <xf numFmtId="0" fontId="11" fillId="89" borderId="0" applyNumberFormat="0" applyBorder="0" applyAlignment="0" applyProtection="0"/>
    <xf numFmtId="0" fontId="11" fillId="89" borderId="0" applyNumberFormat="0" applyBorder="0" applyAlignment="0" applyProtection="0"/>
    <xf numFmtId="0" fontId="11" fillId="89" borderId="0" applyNumberFormat="0" applyBorder="0" applyAlignment="0" applyProtection="0"/>
    <xf numFmtId="0" fontId="213" fillId="5" borderId="0" applyNumberFormat="0" applyBorder="0" applyAlignment="0" applyProtection="0"/>
    <xf numFmtId="0" fontId="11" fillId="89" borderId="0" applyNumberFormat="0" applyBorder="0" applyAlignment="0" applyProtection="0"/>
    <xf numFmtId="0" fontId="11" fillId="89" borderId="0" applyNumberFormat="0" applyBorder="0" applyAlignment="0" applyProtection="0"/>
    <xf numFmtId="0" fontId="11" fillId="89" borderId="0" applyNumberFormat="0" applyBorder="0" applyAlignment="0" applyProtection="0"/>
    <xf numFmtId="0" fontId="11" fillId="89" borderId="0" applyNumberFormat="0" applyBorder="0" applyAlignment="0" applyProtection="0"/>
    <xf numFmtId="0" fontId="11" fillId="89" borderId="0" applyNumberFormat="0" applyBorder="0" applyAlignment="0" applyProtection="0"/>
    <xf numFmtId="0" fontId="11" fillId="89" borderId="0" applyNumberFormat="0" applyBorder="0" applyAlignment="0" applyProtection="0"/>
    <xf numFmtId="0" fontId="11" fillId="89" borderId="0" applyNumberFormat="0" applyBorder="0" applyAlignment="0" applyProtection="0"/>
    <xf numFmtId="0" fontId="11" fillId="89" borderId="0" applyNumberFormat="0" applyBorder="0" applyAlignment="0" applyProtection="0"/>
    <xf numFmtId="0" fontId="11" fillId="89" borderId="0" applyNumberFormat="0" applyBorder="0" applyAlignment="0" applyProtection="0"/>
    <xf numFmtId="0" fontId="11" fillId="89" borderId="0" applyNumberFormat="0" applyBorder="0" applyAlignment="0" applyProtection="0"/>
    <xf numFmtId="0" fontId="11" fillId="89" borderId="0" applyNumberFormat="0" applyBorder="0" applyAlignment="0" applyProtection="0"/>
    <xf numFmtId="0" fontId="11" fillId="89" borderId="0" applyNumberFormat="0" applyBorder="0" applyAlignment="0" applyProtection="0"/>
    <xf numFmtId="0" fontId="11" fillId="89" borderId="0" applyNumberFormat="0" applyBorder="0" applyAlignment="0" applyProtection="0"/>
    <xf numFmtId="0" fontId="11" fillId="89" borderId="0" applyNumberFormat="0" applyBorder="0" applyAlignment="0" applyProtection="0"/>
    <xf numFmtId="0" fontId="11" fillId="89" borderId="0" applyNumberFormat="0" applyBorder="0" applyAlignment="0" applyProtection="0"/>
    <xf numFmtId="0" fontId="11" fillId="89" borderId="0" applyNumberFormat="0" applyBorder="0" applyAlignment="0" applyProtection="0"/>
    <xf numFmtId="0" fontId="11" fillId="89" borderId="0" applyNumberFormat="0" applyBorder="0" applyAlignment="0" applyProtection="0"/>
    <xf numFmtId="0" fontId="11" fillId="89" borderId="0" applyNumberFormat="0" applyBorder="0" applyAlignment="0" applyProtection="0"/>
    <xf numFmtId="0" fontId="11" fillId="89" borderId="0" applyNumberFormat="0" applyBorder="0" applyAlignment="0" applyProtection="0"/>
    <xf numFmtId="0" fontId="11" fillId="89" borderId="0" applyNumberFormat="0" applyBorder="0" applyAlignment="0" applyProtection="0"/>
    <xf numFmtId="0" fontId="11" fillId="89" borderId="0" applyNumberFormat="0" applyBorder="0" applyAlignment="0" applyProtection="0"/>
    <xf numFmtId="0" fontId="11" fillId="89" borderId="0" applyNumberFormat="0" applyBorder="0" applyAlignment="0" applyProtection="0"/>
    <xf numFmtId="0" fontId="11" fillId="89" borderId="0" applyNumberFormat="0" applyBorder="0" applyAlignment="0" applyProtection="0"/>
    <xf numFmtId="0" fontId="11" fillId="89" borderId="0" applyNumberFormat="0" applyBorder="0" applyAlignment="0" applyProtection="0"/>
    <xf numFmtId="0" fontId="11" fillId="89" borderId="0" applyNumberFormat="0" applyBorder="0" applyAlignment="0" applyProtection="0"/>
    <xf numFmtId="0" fontId="11" fillId="89" borderId="0" applyNumberFormat="0" applyBorder="0" applyAlignment="0" applyProtection="0"/>
    <xf numFmtId="0" fontId="11" fillId="89" borderId="0" applyNumberFormat="0" applyBorder="0" applyAlignment="0" applyProtection="0"/>
    <xf numFmtId="0" fontId="11" fillId="89" borderId="0" applyNumberFormat="0" applyBorder="0" applyAlignment="0" applyProtection="0"/>
    <xf numFmtId="0" fontId="11" fillId="89" borderId="0" applyNumberFormat="0" applyBorder="0" applyAlignment="0" applyProtection="0"/>
    <xf numFmtId="0" fontId="11" fillId="89" borderId="0" applyNumberFormat="0" applyBorder="0" applyAlignment="0" applyProtection="0"/>
    <xf numFmtId="0" fontId="11" fillId="89" borderId="0" applyNumberFormat="0" applyBorder="0" applyAlignment="0" applyProtection="0"/>
    <xf numFmtId="0" fontId="11" fillId="89" borderId="0" applyNumberFormat="0" applyBorder="0" applyAlignment="0" applyProtection="0"/>
    <xf numFmtId="0" fontId="11" fillId="89" borderId="0" applyNumberFormat="0" applyBorder="0" applyAlignment="0" applyProtection="0"/>
    <xf numFmtId="0" fontId="11" fillId="89" borderId="0" applyNumberFormat="0" applyBorder="0" applyAlignment="0" applyProtection="0"/>
    <xf numFmtId="0" fontId="11" fillId="89" borderId="0" applyNumberFormat="0" applyBorder="0" applyAlignment="0" applyProtection="0"/>
    <xf numFmtId="0" fontId="11" fillId="89" borderId="0" applyNumberFormat="0" applyBorder="0" applyAlignment="0" applyProtection="0"/>
    <xf numFmtId="0" fontId="11" fillId="89" borderId="0" applyNumberFormat="0" applyBorder="0" applyAlignment="0" applyProtection="0"/>
    <xf numFmtId="0" fontId="11" fillId="89" borderId="0" applyNumberFormat="0" applyBorder="0" applyAlignment="0" applyProtection="0"/>
    <xf numFmtId="0" fontId="11" fillId="89" borderId="0" applyNumberFormat="0" applyBorder="0" applyAlignment="0" applyProtection="0"/>
    <xf numFmtId="0" fontId="11" fillId="89" borderId="0" applyNumberFormat="0" applyBorder="0" applyAlignment="0" applyProtection="0"/>
    <xf numFmtId="0" fontId="11" fillId="89" borderId="0" applyNumberFormat="0" applyBorder="0" applyAlignment="0" applyProtection="0"/>
    <xf numFmtId="0" fontId="11" fillId="89" borderId="0" applyNumberFormat="0" applyBorder="0" applyAlignment="0" applyProtection="0"/>
    <xf numFmtId="0" fontId="11" fillId="89" borderId="0" applyNumberFormat="0" applyBorder="0" applyAlignment="0" applyProtection="0"/>
    <xf numFmtId="0" fontId="11" fillId="89" borderId="0" applyNumberFormat="0" applyBorder="0" applyAlignment="0" applyProtection="0"/>
    <xf numFmtId="0" fontId="11" fillId="89" borderId="0" applyNumberFormat="0" applyBorder="0" applyAlignment="0" applyProtection="0"/>
    <xf numFmtId="0" fontId="11" fillId="89" borderId="0" applyNumberFormat="0" applyBorder="0" applyAlignment="0" applyProtection="0"/>
    <xf numFmtId="0" fontId="11" fillId="89" borderId="0" applyNumberFormat="0" applyBorder="0" applyAlignment="0" applyProtection="0"/>
    <xf numFmtId="0" fontId="11" fillId="93" borderId="0" applyNumberFormat="0" applyBorder="0" applyAlignment="0" applyProtection="0"/>
    <xf numFmtId="0" fontId="11" fillId="93" borderId="0" applyNumberFormat="0" applyBorder="0" applyAlignment="0" applyProtection="0"/>
    <xf numFmtId="0" fontId="11" fillId="93" borderId="0" applyNumberFormat="0" applyBorder="0" applyAlignment="0" applyProtection="0"/>
    <xf numFmtId="0" fontId="11" fillId="93" borderId="0" applyNumberFormat="0" applyBorder="0" applyAlignment="0" applyProtection="0"/>
    <xf numFmtId="0" fontId="11" fillId="93" borderId="0" applyNumberFormat="0" applyBorder="0" applyAlignment="0" applyProtection="0"/>
    <xf numFmtId="0" fontId="11" fillId="93" borderId="0" applyNumberFormat="0" applyBorder="0" applyAlignment="0" applyProtection="0"/>
    <xf numFmtId="0" fontId="11" fillId="93" borderId="0" applyNumberFormat="0" applyBorder="0" applyAlignment="0" applyProtection="0"/>
    <xf numFmtId="0" fontId="11" fillId="93" borderId="0" applyNumberFormat="0" applyBorder="0" applyAlignment="0" applyProtection="0"/>
    <xf numFmtId="0" fontId="11" fillId="93" borderId="0" applyNumberFormat="0" applyBorder="0" applyAlignment="0" applyProtection="0"/>
    <xf numFmtId="0" fontId="11" fillId="93" borderId="0" applyNumberFormat="0" applyBorder="0" applyAlignment="0" applyProtection="0"/>
    <xf numFmtId="0" fontId="213" fillId="6" borderId="0" applyNumberFormat="0" applyBorder="0" applyAlignment="0" applyProtection="0"/>
    <xf numFmtId="0" fontId="11" fillId="93" borderId="0" applyNumberFormat="0" applyBorder="0" applyAlignment="0" applyProtection="0"/>
    <xf numFmtId="0" fontId="11" fillId="93" borderId="0" applyNumberFormat="0" applyBorder="0" applyAlignment="0" applyProtection="0"/>
    <xf numFmtId="0" fontId="11" fillId="93" borderId="0" applyNumberFormat="0" applyBorder="0" applyAlignment="0" applyProtection="0"/>
    <xf numFmtId="0" fontId="11" fillId="93" borderId="0" applyNumberFormat="0" applyBorder="0" applyAlignment="0" applyProtection="0"/>
    <xf numFmtId="0" fontId="11" fillId="93" borderId="0" applyNumberFormat="0" applyBorder="0" applyAlignment="0" applyProtection="0"/>
    <xf numFmtId="0" fontId="11" fillId="93" borderId="0" applyNumberFormat="0" applyBorder="0" applyAlignment="0" applyProtection="0"/>
    <xf numFmtId="0" fontId="11" fillId="93" borderId="0" applyNumberFormat="0" applyBorder="0" applyAlignment="0" applyProtection="0"/>
    <xf numFmtId="0" fontId="11" fillId="93" borderId="0" applyNumberFormat="0" applyBorder="0" applyAlignment="0" applyProtection="0"/>
    <xf numFmtId="0" fontId="11" fillId="93" borderId="0" applyNumberFormat="0" applyBorder="0" applyAlignment="0" applyProtection="0"/>
    <xf numFmtId="0" fontId="11" fillId="93" borderId="0" applyNumberFormat="0" applyBorder="0" applyAlignment="0" applyProtection="0"/>
    <xf numFmtId="0" fontId="11" fillId="93" borderId="0" applyNumberFormat="0" applyBorder="0" applyAlignment="0" applyProtection="0"/>
    <xf numFmtId="0" fontId="11" fillId="93" borderId="0" applyNumberFormat="0" applyBorder="0" applyAlignment="0" applyProtection="0"/>
    <xf numFmtId="0" fontId="11" fillId="93" borderId="0" applyNumberFormat="0" applyBorder="0" applyAlignment="0" applyProtection="0"/>
    <xf numFmtId="0" fontId="11" fillId="93" borderId="0" applyNumberFormat="0" applyBorder="0" applyAlignment="0" applyProtection="0"/>
    <xf numFmtId="0" fontId="11" fillId="93" borderId="0" applyNumberFormat="0" applyBorder="0" applyAlignment="0" applyProtection="0"/>
    <xf numFmtId="0" fontId="11" fillId="93" borderId="0" applyNumberFormat="0" applyBorder="0" applyAlignment="0" applyProtection="0"/>
    <xf numFmtId="0" fontId="11" fillId="93" borderId="0" applyNumberFormat="0" applyBorder="0" applyAlignment="0" applyProtection="0"/>
    <xf numFmtId="0" fontId="11" fillId="93" borderId="0" applyNumberFormat="0" applyBorder="0" applyAlignment="0" applyProtection="0"/>
    <xf numFmtId="0" fontId="11" fillId="93" borderId="0" applyNumberFormat="0" applyBorder="0" applyAlignment="0" applyProtection="0"/>
    <xf numFmtId="0" fontId="11" fillId="93" borderId="0" applyNumberFormat="0" applyBorder="0" applyAlignment="0" applyProtection="0"/>
    <xf numFmtId="0" fontId="11" fillId="93" borderId="0" applyNumberFormat="0" applyBorder="0" applyAlignment="0" applyProtection="0"/>
    <xf numFmtId="0" fontId="11" fillId="93" borderId="0" applyNumberFormat="0" applyBorder="0" applyAlignment="0" applyProtection="0"/>
    <xf numFmtId="0" fontId="11" fillId="93" borderId="0" applyNumberFormat="0" applyBorder="0" applyAlignment="0" applyProtection="0"/>
    <xf numFmtId="0" fontId="11" fillId="93" borderId="0" applyNumberFormat="0" applyBorder="0" applyAlignment="0" applyProtection="0"/>
    <xf numFmtId="0" fontId="11" fillId="93" borderId="0" applyNumberFormat="0" applyBorder="0" applyAlignment="0" applyProtection="0"/>
    <xf numFmtId="0" fontId="11" fillId="93" borderId="0" applyNumberFormat="0" applyBorder="0" applyAlignment="0" applyProtection="0"/>
    <xf numFmtId="0" fontId="11" fillId="93" borderId="0" applyNumberFormat="0" applyBorder="0" applyAlignment="0" applyProtection="0"/>
    <xf numFmtId="0" fontId="11" fillId="93" borderId="0" applyNumberFormat="0" applyBorder="0" applyAlignment="0" applyProtection="0"/>
    <xf numFmtId="0" fontId="11" fillId="93" borderId="0" applyNumberFormat="0" applyBorder="0" applyAlignment="0" applyProtection="0"/>
    <xf numFmtId="0" fontId="11" fillId="93" borderId="0" applyNumberFormat="0" applyBorder="0" applyAlignment="0" applyProtection="0"/>
    <xf numFmtId="0" fontId="11" fillId="93" borderId="0" applyNumberFormat="0" applyBorder="0" applyAlignment="0" applyProtection="0"/>
    <xf numFmtId="0" fontId="11" fillId="93" borderId="0" applyNumberFormat="0" applyBorder="0" applyAlignment="0" applyProtection="0"/>
    <xf numFmtId="0" fontId="11" fillId="93" borderId="0" applyNumberFormat="0" applyBorder="0" applyAlignment="0" applyProtection="0"/>
    <xf numFmtId="0" fontId="11" fillId="93" borderId="0" applyNumberFormat="0" applyBorder="0" applyAlignment="0" applyProtection="0"/>
    <xf numFmtId="0" fontId="11" fillId="93" borderId="0" applyNumberFormat="0" applyBorder="0" applyAlignment="0" applyProtection="0"/>
    <xf numFmtId="0" fontId="11" fillId="93" borderId="0" applyNumberFormat="0" applyBorder="0" applyAlignment="0" applyProtection="0"/>
    <xf numFmtId="0" fontId="11" fillId="93" borderId="0" applyNumberFormat="0" applyBorder="0" applyAlignment="0" applyProtection="0"/>
    <xf numFmtId="0" fontId="11" fillId="93" borderId="0" applyNumberFormat="0" applyBorder="0" applyAlignment="0" applyProtection="0"/>
    <xf numFmtId="0" fontId="11" fillId="93" borderId="0" applyNumberFormat="0" applyBorder="0" applyAlignment="0" applyProtection="0"/>
    <xf numFmtId="0" fontId="11" fillId="93" borderId="0" applyNumberFormat="0" applyBorder="0" applyAlignment="0" applyProtection="0"/>
    <xf numFmtId="0" fontId="11" fillId="93" borderId="0" applyNumberFormat="0" applyBorder="0" applyAlignment="0" applyProtection="0"/>
    <xf numFmtId="0" fontId="11" fillId="93" borderId="0" applyNumberFormat="0" applyBorder="0" applyAlignment="0" applyProtection="0"/>
    <xf numFmtId="0" fontId="11" fillId="93" borderId="0" applyNumberFormat="0" applyBorder="0" applyAlignment="0" applyProtection="0"/>
    <xf numFmtId="0" fontId="11" fillId="93" borderId="0" applyNumberFormat="0" applyBorder="0" applyAlignment="0" applyProtection="0"/>
    <xf numFmtId="0" fontId="11" fillId="93" borderId="0" applyNumberFormat="0" applyBorder="0" applyAlignment="0" applyProtection="0"/>
    <xf numFmtId="0" fontId="11" fillId="93" borderId="0" applyNumberFormat="0" applyBorder="0" applyAlignment="0" applyProtection="0"/>
    <xf numFmtId="0" fontId="11" fillId="93" borderId="0" applyNumberFormat="0" applyBorder="0" applyAlignment="0" applyProtection="0"/>
    <xf numFmtId="0" fontId="11" fillId="97" borderId="0" applyNumberFormat="0" applyBorder="0" applyAlignment="0" applyProtection="0"/>
    <xf numFmtId="0" fontId="11" fillId="97" borderId="0" applyNumberFormat="0" applyBorder="0" applyAlignment="0" applyProtection="0"/>
    <xf numFmtId="0" fontId="11" fillId="97" borderId="0" applyNumberFormat="0" applyBorder="0" applyAlignment="0" applyProtection="0"/>
    <xf numFmtId="0" fontId="11" fillId="97" borderId="0" applyNumberFormat="0" applyBorder="0" applyAlignment="0" applyProtection="0"/>
    <xf numFmtId="0" fontId="11" fillId="97" borderId="0" applyNumberFormat="0" applyBorder="0" applyAlignment="0" applyProtection="0"/>
    <xf numFmtId="0" fontId="11" fillId="97" borderId="0" applyNumberFormat="0" applyBorder="0" applyAlignment="0" applyProtection="0"/>
    <xf numFmtId="0" fontId="11" fillId="97" borderId="0" applyNumberFormat="0" applyBorder="0" applyAlignment="0" applyProtection="0"/>
    <xf numFmtId="0" fontId="11" fillId="97" borderId="0" applyNumberFormat="0" applyBorder="0" applyAlignment="0" applyProtection="0"/>
    <xf numFmtId="0" fontId="11" fillId="97" borderId="0" applyNumberFormat="0" applyBorder="0" applyAlignment="0" applyProtection="0"/>
    <xf numFmtId="0" fontId="11" fillId="97" borderId="0" applyNumberFormat="0" applyBorder="0" applyAlignment="0" applyProtection="0"/>
    <xf numFmtId="0" fontId="213" fillId="7" borderId="0" applyNumberFormat="0" applyBorder="0" applyAlignment="0" applyProtection="0"/>
    <xf numFmtId="0" fontId="11" fillId="97" borderId="0" applyNumberFormat="0" applyBorder="0" applyAlignment="0" applyProtection="0"/>
    <xf numFmtId="0" fontId="11" fillId="97" borderId="0" applyNumberFormat="0" applyBorder="0" applyAlignment="0" applyProtection="0"/>
    <xf numFmtId="0" fontId="11" fillId="97" borderId="0" applyNumberFormat="0" applyBorder="0" applyAlignment="0" applyProtection="0"/>
    <xf numFmtId="0" fontId="11" fillId="97" borderId="0" applyNumberFormat="0" applyBorder="0" applyAlignment="0" applyProtection="0"/>
    <xf numFmtId="0" fontId="11" fillId="97" borderId="0" applyNumberFormat="0" applyBorder="0" applyAlignment="0" applyProtection="0"/>
    <xf numFmtId="0" fontId="11" fillId="97" borderId="0" applyNumberFormat="0" applyBorder="0" applyAlignment="0" applyProtection="0"/>
    <xf numFmtId="0" fontId="11" fillId="97" borderId="0" applyNumberFormat="0" applyBorder="0" applyAlignment="0" applyProtection="0"/>
    <xf numFmtId="0" fontId="11" fillId="97" borderId="0" applyNumberFormat="0" applyBorder="0" applyAlignment="0" applyProtection="0"/>
    <xf numFmtId="0" fontId="11" fillId="97" borderId="0" applyNumberFormat="0" applyBorder="0" applyAlignment="0" applyProtection="0"/>
    <xf numFmtId="0" fontId="11" fillId="97" borderId="0" applyNumberFormat="0" applyBorder="0" applyAlignment="0" applyProtection="0"/>
    <xf numFmtId="0" fontId="11" fillId="97" borderId="0" applyNumberFormat="0" applyBorder="0" applyAlignment="0" applyProtection="0"/>
    <xf numFmtId="0" fontId="11" fillId="97" borderId="0" applyNumberFormat="0" applyBorder="0" applyAlignment="0" applyProtection="0"/>
    <xf numFmtId="0" fontId="11" fillId="97" borderId="0" applyNumberFormat="0" applyBorder="0" applyAlignment="0" applyProtection="0"/>
    <xf numFmtId="0" fontId="11" fillId="97" borderId="0" applyNumberFormat="0" applyBorder="0" applyAlignment="0" applyProtection="0"/>
    <xf numFmtId="0" fontId="11" fillId="97" borderId="0" applyNumberFormat="0" applyBorder="0" applyAlignment="0" applyProtection="0"/>
    <xf numFmtId="0" fontId="11" fillId="97" borderId="0" applyNumberFormat="0" applyBorder="0" applyAlignment="0" applyProtection="0"/>
    <xf numFmtId="0" fontId="11" fillId="97" borderId="0" applyNumberFormat="0" applyBorder="0" applyAlignment="0" applyProtection="0"/>
    <xf numFmtId="0" fontId="11" fillId="97" borderId="0" applyNumberFormat="0" applyBorder="0" applyAlignment="0" applyProtection="0"/>
    <xf numFmtId="0" fontId="11" fillId="97" borderId="0" applyNumberFormat="0" applyBorder="0" applyAlignment="0" applyProtection="0"/>
    <xf numFmtId="0" fontId="11" fillId="97" borderId="0" applyNumberFormat="0" applyBorder="0" applyAlignment="0" applyProtection="0"/>
    <xf numFmtId="0" fontId="11" fillId="97" borderId="0" applyNumberFormat="0" applyBorder="0" applyAlignment="0" applyProtection="0"/>
    <xf numFmtId="0" fontId="11" fillId="97" borderId="0" applyNumberFormat="0" applyBorder="0" applyAlignment="0" applyProtection="0"/>
    <xf numFmtId="0" fontId="11" fillId="97" borderId="0" applyNumberFormat="0" applyBorder="0" applyAlignment="0" applyProtection="0"/>
    <xf numFmtId="0" fontId="11" fillId="97" borderId="0" applyNumberFormat="0" applyBorder="0" applyAlignment="0" applyProtection="0"/>
    <xf numFmtId="0" fontId="11" fillId="97" borderId="0" applyNumberFormat="0" applyBorder="0" applyAlignment="0" applyProtection="0"/>
    <xf numFmtId="0" fontId="11" fillId="97" borderId="0" applyNumberFormat="0" applyBorder="0" applyAlignment="0" applyProtection="0"/>
    <xf numFmtId="0" fontId="11" fillId="97" borderId="0" applyNumberFormat="0" applyBorder="0" applyAlignment="0" applyProtection="0"/>
    <xf numFmtId="0" fontId="11" fillId="97" borderId="0" applyNumberFormat="0" applyBorder="0" applyAlignment="0" applyProtection="0"/>
    <xf numFmtId="0" fontId="11" fillId="97" borderId="0" applyNumberFormat="0" applyBorder="0" applyAlignment="0" applyProtection="0"/>
    <xf numFmtId="0" fontId="11" fillId="97" borderId="0" applyNumberFormat="0" applyBorder="0" applyAlignment="0" applyProtection="0"/>
    <xf numFmtId="0" fontId="11" fillId="97" borderId="0" applyNumberFormat="0" applyBorder="0" applyAlignment="0" applyProtection="0"/>
    <xf numFmtId="0" fontId="11" fillId="97" borderId="0" applyNumberFormat="0" applyBorder="0" applyAlignment="0" applyProtection="0"/>
    <xf numFmtId="0" fontId="11" fillId="97" borderId="0" applyNumberFormat="0" applyBorder="0" applyAlignment="0" applyProtection="0"/>
    <xf numFmtId="0" fontId="11" fillId="97" borderId="0" applyNumberFormat="0" applyBorder="0" applyAlignment="0" applyProtection="0"/>
    <xf numFmtId="0" fontId="11" fillId="97" borderId="0" applyNumberFormat="0" applyBorder="0" applyAlignment="0" applyProtection="0"/>
    <xf numFmtId="0" fontId="11" fillId="97" borderId="0" applyNumberFormat="0" applyBorder="0" applyAlignment="0" applyProtection="0"/>
    <xf numFmtId="0" fontId="11" fillId="97" borderId="0" applyNumberFormat="0" applyBorder="0" applyAlignment="0" applyProtection="0"/>
    <xf numFmtId="0" fontId="11" fillId="97" borderId="0" applyNumberFormat="0" applyBorder="0" applyAlignment="0" applyProtection="0"/>
    <xf numFmtId="0" fontId="11" fillId="97" borderId="0" applyNumberFormat="0" applyBorder="0" applyAlignment="0" applyProtection="0"/>
    <xf numFmtId="0" fontId="11" fillId="97" borderId="0" applyNumberFormat="0" applyBorder="0" applyAlignment="0" applyProtection="0"/>
    <xf numFmtId="0" fontId="11" fillId="97" borderId="0" applyNumberFormat="0" applyBorder="0" applyAlignment="0" applyProtection="0"/>
    <xf numFmtId="0" fontId="11" fillId="97" borderId="0" applyNumberFormat="0" applyBorder="0" applyAlignment="0" applyProtection="0"/>
    <xf numFmtId="0" fontId="11" fillId="97" borderId="0" applyNumberFormat="0" applyBorder="0" applyAlignment="0" applyProtection="0"/>
    <xf numFmtId="0" fontId="11" fillId="97" borderId="0" applyNumberFormat="0" applyBorder="0" applyAlignment="0" applyProtection="0"/>
    <xf numFmtId="0" fontId="11" fillId="97" borderId="0" applyNumberFormat="0" applyBorder="0" applyAlignment="0" applyProtection="0"/>
    <xf numFmtId="0" fontId="11" fillId="97" borderId="0" applyNumberFormat="0" applyBorder="0" applyAlignment="0" applyProtection="0"/>
    <xf numFmtId="0" fontId="11" fillId="97" borderId="0" applyNumberFormat="0" applyBorder="0" applyAlignment="0" applyProtection="0"/>
    <xf numFmtId="0" fontId="11" fillId="81" borderId="0" applyNumberFormat="0" applyBorder="0" applyAlignment="0" applyProtection="0"/>
    <xf numFmtId="0" fontId="11" fillId="81" borderId="0" applyNumberFormat="0" applyBorder="0" applyAlignment="0" applyProtection="0"/>
    <xf numFmtId="0" fontId="11" fillId="81" borderId="0" applyNumberFormat="0" applyBorder="0" applyAlignment="0" applyProtection="0"/>
    <xf numFmtId="0" fontId="11" fillId="81" borderId="0" applyNumberFormat="0" applyBorder="0" applyAlignment="0" applyProtection="0"/>
    <xf numFmtId="0" fontId="11" fillId="81" borderId="0" applyNumberFormat="0" applyBorder="0" applyAlignment="0" applyProtection="0"/>
    <xf numFmtId="0" fontId="11" fillId="81" borderId="0" applyNumberFormat="0" applyBorder="0" applyAlignment="0" applyProtection="0"/>
    <xf numFmtId="0" fontId="11" fillId="81" borderId="0" applyNumberFormat="0" applyBorder="0" applyAlignment="0" applyProtection="0"/>
    <xf numFmtId="0" fontId="11" fillId="81" borderId="0" applyNumberFormat="0" applyBorder="0" applyAlignment="0" applyProtection="0"/>
    <xf numFmtId="0" fontId="11" fillId="81" borderId="0" applyNumberFormat="0" applyBorder="0" applyAlignment="0" applyProtection="0"/>
    <xf numFmtId="0" fontId="11" fillId="81" borderId="0" applyNumberFormat="0" applyBorder="0" applyAlignment="0" applyProtection="0"/>
    <xf numFmtId="0" fontId="213" fillId="8" borderId="0" applyNumberFormat="0" applyBorder="0" applyAlignment="0" applyProtection="0"/>
    <xf numFmtId="0" fontId="11" fillId="81" borderId="0" applyNumberFormat="0" applyBorder="0" applyAlignment="0" applyProtection="0"/>
    <xf numFmtId="0" fontId="11" fillId="81" borderId="0" applyNumberFormat="0" applyBorder="0" applyAlignment="0" applyProtection="0"/>
    <xf numFmtId="0" fontId="11" fillId="81" borderId="0" applyNumberFormat="0" applyBorder="0" applyAlignment="0" applyProtection="0"/>
    <xf numFmtId="0" fontId="11" fillId="81" borderId="0" applyNumberFormat="0" applyBorder="0" applyAlignment="0" applyProtection="0"/>
    <xf numFmtId="0" fontId="11" fillId="81" borderId="0" applyNumberFormat="0" applyBorder="0" applyAlignment="0" applyProtection="0"/>
    <xf numFmtId="0" fontId="11" fillId="81" borderId="0" applyNumberFormat="0" applyBorder="0" applyAlignment="0" applyProtection="0"/>
    <xf numFmtId="0" fontId="11" fillId="81" borderId="0" applyNumberFormat="0" applyBorder="0" applyAlignment="0" applyProtection="0"/>
    <xf numFmtId="0" fontId="11" fillId="81" borderId="0" applyNumberFormat="0" applyBorder="0" applyAlignment="0" applyProtection="0"/>
    <xf numFmtId="0" fontId="11" fillId="81" borderId="0" applyNumberFormat="0" applyBorder="0" applyAlignment="0" applyProtection="0"/>
    <xf numFmtId="0" fontId="11" fillId="81" borderId="0" applyNumberFormat="0" applyBorder="0" applyAlignment="0" applyProtection="0"/>
    <xf numFmtId="0" fontId="11" fillId="81" borderId="0" applyNumberFormat="0" applyBorder="0" applyAlignment="0" applyProtection="0"/>
    <xf numFmtId="0" fontId="11" fillId="81" borderId="0" applyNumberFormat="0" applyBorder="0" applyAlignment="0" applyProtection="0"/>
    <xf numFmtId="0" fontId="11" fillId="81" borderId="0" applyNumberFormat="0" applyBorder="0" applyAlignment="0" applyProtection="0"/>
    <xf numFmtId="0" fontId="11" fillId="81" borderId="0" applyNumberFormat="0" applyBorder="0" applyAlignment="0" applyProtection="0"/>
    <xf numFmtId="0" fontId="11" fillId="81" borderId="0" applyNumberFormat="0" applyBorder="0" applyAlignment="0" applyProtection="0"/>
    <xf numFmtId="0" fontId="11" fillId="81" borderId="0" applyNumberFormat="0" applyBorder="0" applyAlignment="0" applyProtection="0"/>
    <xf numFmtId="0" fontId="11" fillId="81" borderId="0" applyNumberFormat="0" applyBorder="0" applyAlignment="0" applyProtection="0"/>
    <xf numFmtId="0" fontId="11" fillId="81" borderId="0" applyNumberFormat="0" applyBorder="0" applyAlignment="0" applyProtection="0"/>
    <xf numFmtId="0" fontId="11" fillId="81" borderId="0" applyNumberFormat="0" applyBorder="0" applyAlignment="0" applyProtection="0"/>
    <xf numFmtId="0" fontId="11" fillId="81" borderId="0" applyNumberFormat="0" applyBorder="0" applyAlignment="0" applyProtection="0"/>
    <xf numFmtId="0" fontId="11" fillId="81" borderId="0" applyNumberFormat="0" applyBorder="0" applyAlignment="0" applyProtection="0"/>
    <xf numFmtId="0" fontId="11" fillId="81" borderId="0" applyNumberFormat="0" applyBorder="0" applyAlignment="0" applyProtection="0"/>
    <xf numFmtId="0" fontId="11" fillId="81" borderId="0" applyNumberFormat="0" applyBorder="0" applyAlignment="0" applyProtection="0"/>
    <xf numFmtId="0" fontId="11" fillId="81" borderId="0" applyNumberFormat="0" applyBorder="0" applyAlignment="0" applyProtection="0"/>
    <xf numFmtId="0" fontId="11" fillId="81" borderId="0" applyNumberFormat="0" applyBorder="0" applyAlignment="0" applyProtection="0"/>
    <xf numFmtId="0" fontId="11" fillId="81" borderId="0" applyNumberFormat="0" applyBorder="0" applyAlignment="0" applyProtection="0"/>
    <xf numFmtId="0" fontId="11" fillId="81" borderId="0" applyNumberFormat="0" applyBorder="0" applyAlignment="0" applyProtection="0"/>
    <xf numFmtId="0" fontId="11" fillId="81" borderId="0" applyNumberFormat="0" applyBorder="0" applyAlignment="0" applyProtection="0"/>
    <xf numFmtId="0" fontId="11" fillId="81" borderId="0" applyNumberFormat="0" applyBorder="0" applyAlignment="0" applyProtection="0"/>
    <xf numFmtId="0" fontId="11" fillId="81" borderId="0" applyNumberFormat="0" applyBorder="0" applyAlignment="0" applyProtection="0"/>
    <xf numFmtId="0" fontId="11" fillId="81" borderId="0" applyNumberFormat="0" applyBorder="0" applyAlignment="0" applyProtection="0"/>
    <xf numFmtId="0" fontId="11" fillId="81" borderId="0" applyNumberFormat="0" applyBorder="0" applyAlignment="0" applyProtection="0"/>
    <xf numFmtId="0" fontId="11" fillId="81" borderId="0" applyNumberFormat="0" applyBorder="0" applyAlignment="0" applyProtection="0"/>
    <xf numFmtId="0" fontId="11" fillId="81" borderId="0" applyNumberFormat="0" applyBorder="0" applyAlignment="0" applyProtection="0"/>
    <xf numFmtId="0" fontId="11" fillId="81" borderId="0" applyNumberFormat="0" applyBorder="0" applyAlignment="0" applyProtection="0"/>
    <xf numFmtId="0" fontId="11" fillId="81" borderId="0" applyNumberFormat="0" applyBorder="0" applyAlignment="0" applyProtection="0"/>
    <xf numFmtId="0" fontId="11" fillId="81" borderId="0" applyNumberFormat="0" applyBorder="0" applyAlignment="0" applyProtection="0"/>
    <xf numFmtId="0" fontId="11" fillId="81" borderId="0" applyNumberFormat="0" applyBorder="0" applyAlignment="0" applyProtection="0"/>
    <xf numFmtId="0" fontId="11" fillId="81" borderId="0" applyNumberFormat="0" applyBorder="0" applyAlignment="0" applyProtection="0"/>
    <xf numFmtId="0" fontId="11" fillId="81" borderId="0" applyNumberFormat="0" applyBorder="0" applyAlignment="0" applyProtection="0"/>
    <xf numFmtId="0" fontId="11" fillId="81" borderId="0" applyNumberFormat="0" applyBorder="0" applyAlignment="0" applyProtection="0"/>
    <xf numFmtId="0" fontId="11" fillId="81" borderId="0" applyNumberFormat="0" applyBorder="0" applyAlignment="0" applyProtection="0"/>
    <xf numFmtId="0" fontId="11" fillId="81" borderId="0" applyNumberFormat="0" applyBorder="0" applyAlignment="0" applyProtection="0"/>
    <xf numFmtId="0" fontId="11" fillId="81" borderId="0" applyNumberFormat="0" applyBorder="0" applyAlignment="0" applyProtection="0"/>
    <xf numFmtId="0" fontId="11" fillId="81" borderId="0" applyNumberFormat="0" applyBorder="0" applyAlignment="0" applyProtection="0"/>
    <xf numFmtId="0" fontId="11" fillId="81" borderId="0" applyNumberFormat="0" applyBorder="0" applyAlignment="0" applyProtection="0"/>
    <xf numFmtId="0" fontId="11" fillId="81" borderId="0" applyNumberFormat="0" applyBorder="0" applyAlignment="0" applyProtection="0"/>
    <xf numFmtId="0" fontId="11" fillId="43" borderId="0" applyNumberFormat="0" applyBorder="0" applyAlignment="0" applyProtection="0"/>
    <xf numFmtId="0" fontId="11" fillId="43" borderId="0" applyNumberFormat="0" applyBorder="0" applyAlignment="0" applyProtection="0"/>
    <xf numFmtId="0" fontId="11" fillId="43" borderId="0" applyNumberFormat="0" applyBorder="0" applyAlignment="0" applyProtection="0"/>
    <xf numFmtId="0" fontId="11" fillId="43" borderId="0" applyNumberFormat="0" applyBorder="0" applyAlignment="0" applyProtection="0"/>
    <xf numFmtId="0" fontId="11" fillId="43" borderId="0" applyNumberFormat="0" applyBorder="0" applyAlignment="0" applyProtection="0"/>
    <xf numFmtId="0" fontId="11" fillId="43" borderId="0" applyNumberFormat="0" applyBorder="0" applyAlignment="0" applyProtection="0"/>
    <xf numFmtId="0" fontId="11" fillId="43" borderId="0" applyNumberFormat="0" applyBorder="0" applyAlignment="0" applyProtection="0"/>
    <xf numFmtId="0" fontId="11" fillId="43" borderId="0" applyNumberFormat="0" applyBorder="0" applyAlignment="0" applyProtection="0"/>
    <xf numFmtId="0" fontId="11" fillId="43" borderId="0" applyNumberFormat="0" applyBorder="0" applyAlignment="0" applyProtection="0"/>
    <xf numFmtId="0" fontId="11" fillId="43" borderId="0" applyNumberFormat="0" applyBorder="0" applyAlignment="0" applyProtection="0"/>
    <xf numFmtId="0" fontId="213" fillId="9" borderId="0" applyNumberFormat="0" applyBorder="0" applyAlignment="0" applyProtection="0"/>
    <xf numFmtId="0" fontId="11" fillId="43" borderId="0" applyNumberFormat="0" applyBorder="0" applyAlignment="0" applyProtection="0"/>
    <xf numFmtId="0" fontId="11" fillId="43" borderId="0" applyNumberFormat="0" applyBorder="0" applyAlignment="0" applyProtection="0"/>
    <xf numFmtId="0" fontId="11" fillId="43" borderId="0" applyNumberFormat="0" applyBorder="0" applyAlignment="0" applyProtection="0"/>
    <xf numFmtId="0" fontId="11" fillId="43" borderId="0" applyNumberFormat="0" applyBorder="0" applyAlignment="0" applyProtection="0"/>
    <xf numFmtId="0" fontId="11" fillId="43" borderId="0" applyNumberFormat="0" applyBorder="0" applyAlignment="0" applyProtection="0"/>
    <xf numFmtId="0" fontId="11" fillId="43" borderId="0" applyNumberFormat="0" applyBorder="0" applyAlignment="0" applyProtection="0"/>
    <xf numFmtId="0" fontId="11" fillId="43" borderId="0" applyNumberFormat="0" applyBorder="0" applyAlignment="0" applyProtection="0"/>
    <xf numFmtId="0" fontId="11" fillId="43" borderId="0" applyNumberFormat="0" applyBorder="0" applyAlignment="0" applyProtection="0"/>
    <xf numFmtId="0" fontId="11" fillId="43" borderId="0" applyNumberFormat="0" applyBorder="0" applyAlignment="0" applyProtection="0"/>
    <xf numFmtId="0" fontId="11" fillId="43" borderId="0" applyNumberFormat="0" applyBorder="0" applyAlignment="0" applyProtection="0"/>
    <xf numFmtId="0" fontId="11" fillId="43" borderId="0" applyNumberFormat="0" applyBorder="0" applyAlignment="0" applyProtection="0"/>
    <xf numFmtId="0" fontId="11" fillId="43" borderId="0" applyNumberFormat="0" applyBorder="0" applyAlignment="0" applyProtection="0"/>
    <xf numFmtId="0" fontId="11" fillId="43" borderId="0" applyNumberFormat="0" applyBorder="0" applyAlignment="0" applyProtection="0"/>
    <xf numFmtId="0" fontId="11" fillId="43" borderId="0" applyNumberFormat="0" applyBorder="0" applyAlignment="0" applyProtection="0"/>
    <xf numFmtId="0" fontId="11" fillId="43" borderId="0" applyNumberFormat="0" applyBorder="0" applyAlignment="0" applyProtection="0"/>
    <xf numFmtId="0" fontId="11" fillId="43" borderId="0" applyNumberFormat="0" applyBorder="0" applyAlignment="0" applyProtection="0"/>
    <xf numFmtId="0" fontId="11" fillId="43" borderId="0" applyNumberFormat="0" applyBorder="0" applyAlignment="0" applyProtection="0"/>
    <xf numFmtId="0" fontId="11" fillId="43" borderId="0" applyNumberFormat="0" applyBorder="0" applyAlignment="0" applyProtection="0"/>
    <xf numFmtId="0" fontId="11" fillId="43" borderId="0" applyNumberFormat="0" applyBorder="0" applyAlignment="0" applyProtection="0"/>
    <xf numFmtId="0" fontId="11" fillId="43" borderId="0" applyNumberFormat="0" applyBorder="0" applyAlignment="0" applyProtection="0"/>
    <xf numFmtId="0" fontId="11" fillId="43" borderId="0" applyNumberFormat="0" applyBorder="0" applyAlignment="0" applyProtection="0"/>
    <xf numFmtId="0" fontId="11" fillId="43" borderId="0" applyNumberFormat="0" applyBorder="0" applyAlignment="0" applyProtection="0"/>
    <xf numFmtId="0" fontId="11" fillId="43" borderId="0" applyNumberFormat="0" applyBorder="0" applyAlignment="0" applyProtection="0"/>
    <xf numFmtId="0" fontId="11" fillId="43" borderId="0" applyNumberFormat="0" applyBorder="0" applyAlignment="0" applyProtection="0"/>
    <xf numFmtId="0" fontId="11" fillId="43" borderId="0" applyNumberFormat="0" applyBorder="0" applyAlignment="0" applyProtection="0"/>
    <xf numFmtId="0" fontId="11" fillId="43" borderId="0" applyNumberFormat="0" applyBorder="0" applyAlignment="0" applyProtection="0"/>
    <xf numFmtId="0" fontId="11" fillId="43" borderId="0" applyNumberFormat="0" applyBorder="0" applyAlignment="0" applyProtection="0"/>
    <xf numFmtId="0" fontId="11" fillId="43" borderId="0" applyNumberFormat="0" applyBorder="0" applyAlignment="0" applyProtection="0"/>
    <xf numFmtId="0" fontId="11" fillId="43" borderId="0" applyNumberFormat="0" applyBorder="0" applyAlignment="0" applyProtection="0"/>
    <xf numFmtId="0" fontId="11" fillId="43" borderId="0" applyNumberFormat="0" applyBorder="0" applyAlignment="0" applyProtection="0"/>
    <xf numFmtId="0" fontId="11" fillId="43" borderId="0" applyNumberFormat="0" applyBorder="0" applyAlignment="0" applyProtection="0"/>
    <xf numFmtId="0" fontId="11" fillId="43" borderId="0" applyNumberFormat="0" applyBorder="0" applyAlignment="0" applyProtection="0"/>
    <xf numFmtId="0" fontId="11" fillId="43" borderId="0" applyNumberFormat="0" applyBorder="0" applyAlignment="0" applyProtection="0"/>
    <xf numFmtId="0" fontId="11" fillId="43" borderId="0" applyNumberFormat="0" applyBorder="0" applyAlignment="0" applyProtection="0"/>
    <xf numFmtId="0" fontId="11" fillId="43" borderId="0" applyNumberFormat="0" applyBorder="0" applyAlignment="0" applyProtection="0"/>
    <xf numFmtId="0" fontId="11" fillId="43" borderId="0" applyNumberFormat="0" applyBorder="0" applyAlignment="0" applyProtection="0"/>
    <xf numFmtId="0" fontId="11" fillId="43" borderId="0" applyNumberFormat="0" applyBorder="0" applyAlignment="0" applyProtection="0"/>
    <xf numFmtId="0" fontId="11" fillId="43" borderId="0" applyNumberFormat="0" applyBorder="0" applyAlignment="0" applyProtection="0"/>
    <xf numFmtId="0" fontId="11" fillId="43" borderId="0" applyNumberFormat="0" applyBorder="0" applyAlignment="0" applyProtection="0"/>
    <xf numFmtId="0" fontId="11" fillId="43" borderId="0" applyNumberFormat="0" applyBorder="0" applyAlignment="0" applyProtection="0"/>
    <xf numFmtId="0" fontId="11" fillId="43" borderId="0" applyNumberFormat="0" applyBorder="0" applyAlignment="0" applyProtection="0"/>
    <xf numFmtId="0" fontId="11" fillId="43" borderId="0" applyNumberFormat="0" applyBorder="0" applyAlignment="0" applyProtection="0"/>
    <xf numFmtId="0" fontId="11" fillId="43" borderId="0" applyNumberFormat="0" applyBorder="0" applyAlignment="0" applyProtection="0"/>
    <xf numFmtId="0" fontId="11" fillId="43" borderId="0" applyNumberFormat="0" applyBorder="0" applyAlignment="0" applyProtection="0"/>
    <xf numFmtId="0" fontId="11" fillId="43" borderId="0" applyNumberFormat="0" applyBorder="0" applyAlignment="0" applyProtection="0"/>
    <xf numFmtId="0" fontId="11" fillId="43" borderId="0" applyNumberFormat="0" applyBorder="0" applyAlignment="0" applyProtection="0"/>
    <xf numFmtId="0" fontId="11" fillId="43" borderId="0" applyNumberFormat="0" applyBorder="0" applyAlignment="0" applyProtection="0"/>
    <xf numFmtId="0" fontId="11" fillId="86" borderId="0" applyNumberFormat="0" applyBorder="0" applyAlignment="0" applyProtection="0"/>
    <xf numFmtId="0" fontId="11" fillId="86" borderId="0" applyNumberFormat="0" applyBorder="0" applyAlignment="0" applyProtection="0"/>
    <xf numFmtId="0" fontId="11" fillId="86" borderId="0" applyNumberFormat="0" applyBorder="0" applyAlignment="0" applyProtection="0"/>
    <xf numFmtId="0" fontId="11" fillId="86" borderId="0" applyNumberFormat="0" applyBorder="0" applyAlignment="0" applyProtection="0"/>
    <xf numFmtId="0" fontId="11" fillId="86" borderId="0" applyNumberFormat="0" applyBorder="0" applyAlignment="0" applyProtection="0"/>
    <xf numFmtId="0" fontId="11" fillId="86" borderId="0" applyNumberFormat="0" applyBorder="0" applyAlignment="0" applyProtection="0"/>
    <xf numFmtId="0" fontId="11" fillId="86" borderId="0" applyNumberFormat="0" applyBorder="0" applyAlignment="0" applyProtection="0"/>
    <xf numFmtId="0" fontId="11" fillId="86" borderId="0" applyNumberFormat="0" applyBorder="0" applyAlignment="0" applyProtection="0"/>
    <xf numFmtId="0" fontId="11" fillId="86" borderId="0" applyNumberFormat="0" applyBorder="0" applyAlignment="0" applyProtection="0"/>
    <xf numFmtId="0" fontId="11" fillId="86" borderId="0" applyNumberFormat="0" applyBorder="0" applyAlignment="0" applyProtection="0"/>
    <xf numFmtId="0" fontId="213" fillId="10" borderId="0" applyNumberFormat="0" applyBorder="0" applyAlignment="0" applyProtection="0"/>
    <xf numFmtId="0" fontId="11" fillId="86" borderId="0" applyNumberFormat="0" applyBorder="0" applyAlignment="0" applyProtection="0"/>
    <xf numFmtId="0" fontId="11" fillId="86" borderId="0" applyNumberFormat="0" applyBorder="0" applyAlignment="0" applyProtection="0"/>
    <xf numFmtId="0" fontId="11" fillId="86" borderId="0" applyNumberFormat="0" applyBorder="0" applyAlignment="0" applyProtection="0"/>
    <xf numFmtId="0" fontId="11" fillId="86" borderId="0" applyNumberFormat="0" applyBorder="0" applyAlignment="0" applyProtection="0"/>
    <xf numFmtId="0" fontId="11" fillId="86" borderId="0" applyNumberFormat="0" applyBorder="0" applyAlignment="0" applyProtection="0"/>
    <xf numFmtId="0" fontId="11" fillId="86" borderId="0" applyNumberFormat="0" applyBorder="0" applyAlignment="0" applyProtection="0"/>
    <xf numFmtId="0" fontId="11" fillId="86" borderId="0" applyNumberFormat="0" applyBorder="0" applyAlignment="0" applyProtection="0"/>
    <xf numFmtId="0" fontId="11" fillId="86" borderId="0" applyNumberFormat="0" applyBorder="0" applyAlignment="0" applyProtection="0"/>
    <xf numFmtId="0" fontId="11" fillId="86" borderId="0" applyNumberFormat="0" applyBorder="0" applyAlignment="0" applyProtection="0"/>
    <xf numFmtId="0" fontId="11" fillId="86" borderId="0" applyNumberFormat="0" applyBorder="0" applyAlignment="0" applyProtection="0"/>
    <xf numFmtId="0" fontId="11" fillId="86" borderId="0" applyNumberFormat="0" applyBorder="0" applyAlignment="0" applyProtection="0"/>
    <xf numFmtId="0" fontId="11" fillId="86" borderId="0" applyNumberFormat="0" applyBorder="0" applyAlignment="0" applyProtection="0"/>
    <xf numFmtId="0" fontId="11" fillId="86" borderId="0" applyNumberFormat="0" applyBorder="0" applyAlignment="0" applyProtection="0"/>
    <xf numFmtId="0" fontId="11" fillId="86" borderId="0" applyNumberFormat="0" applyBorder="0" applyAlignment="0" applyProtection="0"/>
    <xf numFmtId="0" fontId="11" fillId="86" borderId="0" applyNumberFormat="0" applyBorder="0" applyAlignment="0" applyProtection="0"/>
    <xf numFmtId="0" fontId="11" fillId="86" borderId="0" applyNumberFormat="0" applyBorder="0" applyAlignment="0" applyProtection="0"/>
    <xf numFmtId="0" fontId="11" fillId="86" borderId="0" applyNumberFormat="0" applyBorder="0" applyAlignment="0" applyProtection="0"/>
    <xf numFmtId="0" fontId="11" fillId="86" borderId="0" applyNumberFormat="0" applyBorder="0" applyAlignment="0" applyProtection="0"/>
    <xf numFmtId="0" fontId="11" fillId="86" borderId="0" applyNumberFormat="0" applyBorder="0" applyAlignment="0" applyProtection="0"/>
    <xf numFmtId="0" fontId="11" fillId="86" borderId="0" applyNumberFormat="0" applyBorder="0" applyAlignment="0" applyProtection="0"/>
    <xf numFmtId="0" fontId="11" fillId="86" borderId="0" applyNumberFormat="0" applyBorder="0" applyAlignment="0" applyProtection="0"/>
    <xf numFmtId="0" fontId="11" fillId="86" borderId="0" applyNumberFormat="0" applyBorder="0" applyAlignment="0" applyProtection="0"/>
    <xf numFmtId="0" fontId="11" fillId="86" borderId="0" applyNumberFormat="0" applyBorder="0" applyAlignment="0" applyProtection="0"/>
    <xf numFmtId="0" fontId="11" fillId="86" borderId="0" applyNumberFormat="0" applyBorder="0" applyAlignment="0" applyProtection="0"/>
    <xf numFmtId="0" fontId="11" fillId="86" borderId="0" applyNumberFormat="0" applyBorder="0" applyAlignment="0" applyProtection="0"/>
    <xf numFmtId="0" fontId="11" fillId="86" borderId="0" applyNumberFormat="0" applyBorder="0" applyAlignment="0" applyProtection="0"/>
    <xf numFmtId="0" fontId="11" fillId="86" borderId="0" applyNumberFormat="0" applyBorder="0" applyAlignment="0" applyProtection="0"/>
    <xf numFmtId="0" fontId="11" fillId="86" borderId="0" applyNumberFormat="0" applyBorder="0" applyAlignment="0" applyProtection="0"/>
    <xf numFmtId="0" fontId="11" fillId="86" borderId="0" applyNumberFormat="0" applyBorder="0" applyAlignment="0" applyProtection="0"/>
    <xf numFmtId="0" fontId="11" fillId="86" borderId="0" applyNumberFormat="0" applyBorder="0" applyAlignment="0" applyProtection="0"/>
    <xf numFmtId="0" fontId="11" fillId="86" borderId="0" applyNumberFormat="0" applyBorder="0" applyAlignment="0" applyProtection="0"/>
    <xf numFmtId="0" fontId="11" fillId="86" borderId="0" applyNumberFormat="0" applyBorder="0" applyAlignment="0" applyProtection="0"/>
    <xf numFmtId="0" fontId="11" fillId="86" borderId="0" applyNumberFormat="0" applyBorder="0" applyAlignment="0" applyProtection="0"/>
    <xf numFmtId="0" fontId="11" fillId="86" borderId="0" applyNumberFormat="0" applyBorder="0" applyAlignment="0" applyProtection="0"/>
    <xf numFmtId="0" fontId="11" fillId="86" borderId="0" applyNumberFormat="0" applyBorder="0" applyAlignment="0" applyProtection="0"/>
    <xf numFmtId="0" fontId="11" fillId="86" borderId="0" applyNumberFormat="0" applyBorder="0" applyAlignment="0" applyProtection="0"/>
    <xf numFmtId="0" fontId="11" fillId="86" borderId="0" applyNumberFormat="0" applyBorder="0" applyAlignment="0" applyProtection="0"/>
    <xf numFmtId="0" fontId="11" fillId="86" borderId="0" applyNumberFormat="0" applyBorder="0" applyAlignment="0" applyProtection="0"/>
    <xf numFmtId="0" fontId="11" fillId="86" borderId="0" applyNumberFormat="0" applyBorder="0" applyAlignment="0" applyProtection="0"/>
    <xf numFmtId="0" fontId="11" fillId="86" borderId="0" applyNumberFormat="0" applyBorder="0" applyAlignment="0" applyProtection="0"/>
    <xf numFmtId="0" fontId="11" fillId="86" borderId="0" applyNumberFormat="0" applyBorder="0" applyAlignment="0" applyProtection="0"/>
    <xf numFmtId="0" fontId="11" fillId="86" borderId="0" applyNumberFormat="0" applyBorder="0" applyAlignment="0" applyProtection="0"/>
    <xf numFmtId="0" fontId="11" fillId="86" borderId="0" applyNumberFormat="0" applyBorder="0" applyAlignment="0" applyProtection="0"/>
    <xf numFmtId="0" fontId="11" fillId="86" borderId="0" applyNumberFormat="0" applyBorder="0" applyAlignment="0" applyProtection="0"/>
    <xf numFmtId="0" fontId="11" fillId="86" borderId="0" applyNumberFormat="0" applyBorder="0" applyAlignment="0" applyProtection="0"/>
    <xf numFmtId="0" fontId="11" fillId="86" borderId="0" applyNumberFormat="0" applyBorder="0" applyAlignment="0" applyProtection="0"/>
    <xf numFmtId="0" fontId="11" fillId="86" borderId="0" applyNumberFormat="0" applyBorder="0" applyAlignment="0" applyProtection="0"/>
    <xf numFmtId="0" fontId="11" fillId="90" borderId="0" applyNumberFormat="0" applyBorder="0" applyAlignment="0" applyProtection="0"/>
    <xf numFmtId="0" fontId="11" fillId="90" borderId="0" applyNumberFormat="0" applyBorder="0" applyAlignment="0" applyProtection="0"/>
    <xf numFmtId="0" fontId="11" fillId="90" borderId="0" applyNumberFormat="0" applyBorder="0" applyAlignment="0" applyProtection="0"/>
    <xf numFmtId="0" fontId="11" fillId="90" borderId="0" applyNumberFormat="0" applyBorder="0" applyAlignment="0" applyProtection="0"/>
    <xf numFmtId="0" fontId="11" fillId="90" borderId="0" applyNumberFormat="0" applyBorder="0" applyAlignment="0" applyProtection="0"/>
    <xf numFmtId="0" fontId="11" fillId="90" borderId="0" applyNumberFormat="0" applyBorder="0" applyAlignment="0" applyProtection="0"/>
    <xf numFmtId="0" fontId="11" fillId="90" borderId="0" applyNumberFormat="0" applyBorder="0" applyAlignment="0" applyProtection="0"/>
    <xf numFmtId="0" fontId="11" fillId="90" borderId="0" applyNumberFormat="0" applyBorder="0" applyAlignment="0" applyProtection="0"/>
    <xf numFmtId="0" fontId="11" fillId="90" borderId="0" applyNumberFormat="0" applyBorder="0" applyAlignment="0" applyProtection="0"/>
    <xf numFmtId="0" fontId="11" fillId="90" borderId="0" applyNumberFormat="0" applyBorder="0" applyAlignment="0" applyProtection="0"/>
    <xf numFmtId="0" fontId="213" fillId="5" borderId="0" applyNumberFormat="0" applyBorder="0" applyAlignment="0" applyProtection="0"/>
    <xf numFmtId="0" fontId="11" fillId="90" borderId="0" applyNumberFormat="0" applyBorder="0" applyAlignment="0" applyProtection="0"/>
    <xf numFmtId="0" fontId="11" fillId="90" borderId="0" applyNumberFormat="0" applyBorder="0" applyAlignment="0" applyProtection="0"/>
    <xf numFmtId="0" fontId="11" fillId="90" borderId="0" applyNumberFormat="0" applyBorder="0" applyAlignment="0" applyProtection="0"/>
    <xf numFmtId="0" fontId="11" fillId="90" borderId="0" applyNumberFormat="0" applyBorder="0" applyAlignment="0" applyProtection="0"/>
    <xf numFmtId="0" fontId="11" fillId="90" borderId="0" applyNumberFormat="0" applyBorder="0" applyAlignment="0" applyProtection="0"/>
    <xf numFmtId="0" fontId="11" fillId="90" borderId="0" applyNumberFormat="0" applyBorder="0" applyAlignment="0" applyProtection="0"/>
    <xf numFmtId="0" fontId="11" fillId="90" borderId="0" applyNumberFormat="0" applyBorder="0" applyAlignment="0" applyProtection="0"/>
    <xf numFmtId="0" fontId="11" fillId="90" borderId="0" applyNumberFormat="0" applyBorder="0" applyAlignment="0" applyProtection="0"/>
    <xf numFmtId="0" fontId="11" fillId="90" borderId="0" applyNumberFormat="0" applyBorder="0" applyAlignment="0" applyProtection="0"/>
    <xf numFmtId="0" fontId="11" fillId="90" borderId="0" applyNumberFormat="0" applyBorder="0" applyAlignment="0" applyProtection="0"/>
    <xf numFmtId="0" fontId="11" fillId="90" borderId="0" applyNumberFormat="0" applyBorder="0" applyAlignment="0" applyProtection="0"/>
    <xf numFmtId="0" fontId="11" fillId="90" borderId="0" applyNumberFormat="0" applyBorder="0" applyAlignment="0" applyProtection="0"/>
    <xf numFmtId="0" fontId="11" fillId="90" borderId="0" applyNumberFormat="0" applyBorder="0" applyAlignment="0" applyProtection="0"/>
    <xf numFmtId="0" fontId="11" fillId="90" borderId="0" applyNumberFormat="0" applyBorder="0" applyAlignment="0" applyProtection="0"/>
    <xf numFmtId="0" fontId="11" fillId="90" borderId="0" applyNumberFormat="0" applyBorder="0" applyAlignment="0" applyProtection="0"/>
    <xf numFmtId="0" fontId="11" fillId="90" borderId="0" applyNumberFormat="0" applyBorder="0" applyAlignment="0" applyProtection="0"/>
    <xf numFmtId="0" fontId="11" fillId="90" borderId="0" applyNumberFormat="0" applyBorder="0" applyAlignment="0" applyProtection="0"/>
    <xf numFmtId="0" fontId="11" fillId="90" borderId="0" applyNumberFormat="0" applyBorder="0" applyAlignment="0" applyProtection="0"/>
    <xf numFmtId="0" fontId="11" fillId="90" borderId="0" applyNumberFormat="0" applyBorder="0" applyAlignment="0" applyProtection="0"/>
    <xf numFmtId="0" fontId="11" fillId="90" borderId="0" applyNumberFormat="0" applyBorder="0" applyAlignment="0" applyProtection="0"/>
    <xf numFmtId="0" fontId="11" fillId="90" borderId="0" applyNumberFormat="0" applyBorder="0" applyAlignment="0" applyProtection="0"/>
    <xf numFmtId="0" fontId="11" fillId="90" borderId="0" applyNumberFormat="0" applyBorder="0" applyAlignment="0" applyProtection="0"/>
    <xf numFmtId="0" fontId="11" fillId="90" borderId="0" applyNumberFormat="0" applyBorder="0" applyAlignment="0" applyProtection="0"/>
    <xf numFmtId="0" fontId="11" fillId="90" borderId="0" applyNumberFormat="0" applyBorder="0" applyAlignment="0" applyProtection="0"/>
    <xf numFmtId="0" fontId="11" fillId="90" borderId="0" applyNumberFormat="0" applyBorder="0" applyAlignment="0" applyProtection="0"/>
    <xf numFmtId="0" fontId="11" fillId="90" borderId="0" applyNumberFormat="0" applyBorder="0" applyAlignment="0" applyProtection="0"/>
    <xf numFmtId="0" fontId="11" fillId="90" borderId="0" applyNumberFormat="0" applyBorder="0" applyAlignment="0" applyProtection="0"/>
    <xf numFmtId="0" fontId="11" fillId="90" borderId="0" applyNumberFormat="0" applyBorder="0" applyAlignment="0" applyProtection="0"/>
    <xf numFmtId="0" fontId="11" fillId="90" borderId="0" applyNumberFormat="0" applyBorder="0" applyAlignment="0" applyProtection="0"/>
    <xf numFmtId="0" fontId="11" fillId="90" borderId="0" applyNumberFormat="0" applyBorder="0" applyAlignment="0" applyProtection="0"/>
    <xf numFmtId="0" fontId="11" fillId="90" borderId="0" applyNumberFormat="0" applyBorder="0" applyAlignment="0" applyProtection="0"/>
    <xf numFmtId="0" fontId="11" fillId="90" borderId="0" applyNumberFormat="0" applyBorder="0" applyAlignment="0" applyProtection="0"/>
    <xf numFmtId="0" fontId="11" fillId="90" borderId="0" applyNumberFormat="0" applyBorder="0" applyAlignment="0" applyProtection="0"/>
    <xf numFmtId="0" fontId="11" fillId="90" borderId="0" applyNumberFormat="0" applyBorder="0" applyAlignment="0" applyProtection="0"/>
    <xf numFmtId="0" fontId="11" fillId="90" borderId="0" applyNumberFormat="0" applyBorder="0" applyAlignment="0" applyProtection="0"/>
    <xf numFmtId="0" fontId="11" fillId="90" borderId="0" applyNumberFormat="0" applyBorder="0" applyAlignment="0" applyProtection="0"/>
    <xf numFmtId="0" fontId="11" fillId="90" borderId="0" applyNumberFormat="0" applyBorder="0" applyAlignment="0" applyProtection="0"/>
    <xf numFmtId="0" fontId="11" fillId="90" borderId="0" applyNumberFormat="0" applyBorder="0" applyAlignment="0" applyProtection="0"/>
    <xf numFmtId="0" fontId="11" fillId="90" borderId="0" applyNumberFormat="0" applyBorder="0" applyAlignment="0" applyProtection="0"/>
    <xf numFmtId="0" fontId="11" fillId="90" borderId="0" applyNumberFormat="0" applyBorder="0" applyAlignment="0" applyProtection="0"/>
    <xf numFmtId="0" fontId="11" fillId="90" borderId="0" applyNumberFormat="0" applyBorder="0" applyAlignment="0" applyProtection="0"/>
    <xf numFmtId="0" fontId="11" fillId="90" borderId="0" applyNumberFormat="0" applyBorder="0" applyAlignment="0" applyProtection="0"/>
    <xf numFmtId="0" fontId="11" fillId="90" borderId="0" applyNumberFormat="0" applyBorder="0" applyAlignment="0" applyProtection="0"/>
    <xf numFmtId="0" fontId="11" fillId="90" borderId="0" applyNumberFormat="0" applyBorder="0" applyAlignment="0" applyProtection="0"/>
    <xf numFmtId="0" fontId="11" fillId="90" borderId="0" applyNumberFormat="0" applyBorder="0" applyAlignment="0" applyProtection="0"/>
    <xf numFmtId="0" fontId="11" fillId="90" borderId="0" applyNumberFormat="0" applyBorder="0" applyAlignment="0" applyProtection="0"/>
    <xf numFmtId="0" fontId="11" fillId="90" borderId="0" applyNumberFormat="0" applyBorder="0" applyAlignment="0" applyProtection="0"/>
    <xf numFmtId="0" fontId="11" fillId="94" borderId="0" applyNumberFormat="0" applyBorder="0" applyAlignment="0" applyProtection="0"/>
    <xf numFmtId="0" fontId="11" fillId="94" borderId="0" applyNumberFormat="0" applyBorder="0" applyAlignment="0" applyProtection="0"/>
    <xf numFmtId="0" fontId="11" fillId="94" borderId="0" applyNumberFormat="0" applyBorder="0" applyAlignment="0" applyProtection="0"/>
    <xf numFmtId="0" fontId="11" fillId="94" borderId="0" applyNumberFormat="0" applyBorder="0" applyAlignment="0" applyProtection="0"/>
    <xf numFmtId="0" fontId="11" fillId="94" borderId="0" applyNumberFormat="0" applyBorder="0" applyAlignment="0" applyProtection="0"/>
    <xf numFmtId="0" fontId="11" fillId="94" borderId="0" applyNumberFormat="0" applyBorder="0" applyAlignment="0" applyProtection="0"/>
    <xf numFmtId="0" fontId="11" fillId="94" borderId="0" applyNumberFormat="0" applyBorder="0" applyAlignment="0" applyProtection="0"/>
    <xf numFmtId="0" fontId="11" fillId="94" borderId="0" applyNumberFormat="0" applyBorder="0" applyAlignment="0" applyProtection="0"/>
    <xf numFmtId="0" fontId="11" fillId="94" borderId="0" applyNumberFormat="0" applyBorder="0" applyAlignment="0" applyProtection="0"/>
    <xf numFmtId="0" fontId="11" fillId="94" borderId="0" applyNumberFormat="0" applyBorder="0" applyAlignment="0" applyProtection="0"/>
    <xf numFmtId="0" fontId="213" fillId="8" borderId="0" applyNumberFormat="0" applyBorder="0" applyAlignment="0" applyProtection="0"/>
    <xf numFmtId="0" fontId="11" fillId="94" borderId="0" applyNumberFormat="0" applyBorder="0" applyAlignment="0" applyProtection="0"/>
    <xf numFmtId="0" fontId="11" fillId="94" borderId="0" applyNumberFormat="0" applyBorder="0" applyAlignment="0" applyProtection="0"/>
    <xf numFmtId="0" fontId="11" fillId="94" borderId="0" applyNumberFormat="0" applyBorder="0" applyAlignment="0" applyProtection="0"/>
    <xf numFmtId="0" fontId="11" fillId="94" borderId="0" applyNumberFormat="0" applyBorder="0" applyAlignment="0" applyProtection="0"/>
    <xf numFmtId="0" fontId="11" fillId="94" borderId="0" applyNumberFormat="0" applyBorder="0" applyAlignment="0" applyProtection="0"/>
    <xf numFmtId="0" fontId="11" fillId="94" borderId="0" applyNumberFormat="0" applyBorder="0" applyAlignment="0" applyProtection="0"/>
    <xf numFmtId="0" fontId="11" fillId="94" borderId="0" applyNumberFormat="0" applyBorder="0" applyAlignment="0" applyProtection="0"/>
    <xf numFmtId="0" fontId="11" fillId="94" borderId="0" applyNumberFormat="0" applyBorder="0" applyAlignment="0" applyProtection="0"/>
    <xf numFmtId="0" fontId="11" fillId="94" borderId="0" applyNumberFormat="0" applyBorder="0" applyAlignment="0" applyProtection="0"/>
    <xf numFmtId="0" fontId="11" fillId="94" borderId="0" applyNumberFormat="0" applyBorder="0" applyAlignment="0" applyProtection="0"/>
    <xf numFmtId="0" fontId="11" fillId="94" borderId="0" applyNumberFormat="0" applyBorder="0" applyAlignment="0" applyProtection="0"/>
    <xf numFmtId="0" fontId="11" fillId="94" borderId="0" applyNumberFormat="0" applyBorder="0" applyAlignment="0" applyProtection="0"/>
    <xf numFmtId="0" fontId="11" fillId="94" borderId="0" applyNumberFormat="0" applyBorder="0" applyAlignment="0" applyProtection="0"/>
    <xf numFmtId="0" fontId="11" fillId="94" borderId="0" applyNumberFormat="0" applyBorder="0" applyAlignment="0" applyProtection="0"/>
    <xf numFmtId="0" fontId="11" fillId="94" borderId="0" applyNumberFormat="0" applyBorder="0" applyAlignment="0" applyProtection="0"/>
    <xf numFmtId="0" fontId="11" fillId="94" borderId="0" applyNumberFormat="0" applyBorder="0" applyAlignment="0" applyProtection="0"/>
    <xf numFmtId="0" fontId="11" fillId="94" borderId="0" applyNumberFormat="0" applyBorder="0" applyAlignment="0" applyProtection="0"/>
    <xf numFmtId="0" fontId="11" fillId="94" borderId="0" applyNumberFormat="0" applyBorder="0" applyAlignment="0" applyProtection="0"/>
    <xf numFmtId="0" fontId="11" fillId="94" borderId="0" applyNumberFormat="0" applyBorder="0" applyAlignment="0" applyProtection="0"/>
    <xf numFmtId="0" fontId="11" fillId="94" borderId="0" applyNumberFormat="0" applyBorder="0" applyAlignment="0" applyProtection="0"/>
    <xf numFmtId="0" fontId="11" fillId="94" borderId="0" applyNumberFormat="0" applyBorder="0" applyAlignment="0" applyProtection="0"/>
    <xf numFmtId="0" fontId="11" fillId="94" borderId="0" applyNumberFormat="0" applyBorder="0" applyAlignment="0" applyProtection="0"/>
    <xf numFmtId="0" fontId="11" fillId="94" borderId="0" applyNumberFormat="0" applyBorder="0" applyAlignment="0" applyProtection="0"/>
    <xf numFmtId="0" fontId="11" fillId="94" borderId="0" applyNumberFormat="0" applyBorder="0" applyAlignment="0" applyProtection="0"/>
    <xf numFmtId="0" fontId="11" fillId="94" borderId="0" applyNumberFormat="0" applyBorder="0" applyAlignment="0" applyProtection="0"/>
    <xf numFmtId="0" fontId="11" fillId="94" borderId="0" applyNumberFormat="0" applyBorder="0" applyAlignment="0" applyProtection="0"/>
    <xf numFmtId="0" fontId="11" fillId="94" borderId="0" applyNumberFormat="0" applyBorder="0" applyAlignment="0" applyProtection="0"/>
    <xf numFmtId="0" fontId="11" fillId="94" borderId="0" applyNumberFormat="0" applyBorder="0" applyAlignment="0" applyProtection="0"/>
    <xf numFmtId="0" fontId="11" fillId="94" borderId="0" applyNumberFormat="0" applyBorder="0" applyAlignment="0" applyProtection="0"/>
    <xf numFmtId="0" fontId="11" fillId="94" borderId="0" applyNumberFormat="0" applyBorder="0" applyAlignment="0" applyProtection="0"/>
    <xf numFmtId="0" fontId="11" fillId="94" borderId="0" applyNumberFormat="0" applyBorder="0" applyAlignment="0" applyProtection="0"/>
    <xf numFmtId="0" fontId="11" fillId="94" borderId="0" applyNumberFormat="0" applyBorder="0" applyAlignment="0" applyProtection="0"/>
    <xf numFmtId="0" fontId="11" fillId="94" borderId="0" applyNumberFormat="0" applyBorder="0" applyAlignment="0" applyProtection="0"/>
    <xf numFmtId="0" fontId="11" fillId="94" borderId="0" applyNumberFormat="0" applyBorder="0" applyAlignment="0" applyProtection="0"/>
    <xf numFmtId="0" fontId="11" fillId="94" borderId="0" applyNumberFormat="0" applyBorder="0" applyAlignment="0" applyProtection="0"/>
    <xf numFmtId="0" fontId="11" fillId="94" borderId="0" applyNumberFormat="0" applyBorder="0" applyAlignment="0" applyProtection="0"/>
    <xf numFmtId="0" fontId="11" fillId="94" borderId="0" applyNumberFormat="0" applyBorder="0" applyAlignment="0" applyProtection="0"/>
    <xf numFmtId="0" fontId="11" fillId="94" borderId="0" applyNumberFormat="0" applyBorder="0" applyAlignment="0" applyProtection="0"/>
    <xf numFmtId="0" fontId="11" fillId="94" borderId="0" applyNumberFormat="0" applyBorder="0" applyAlignment="0" applyProtection="0"/>
    <xf numFmtId="0" fontId="11" fillId="94" borderId="0" applyNumberFormat="0" applyBorder="0" applyAlignment="0" applyProtection="0"/>
    <xf numFmtId="0" fontId="11" fillId="94" borderId="0" applyNumberFormat="0" applyBorder="0" applyAlignment="0" applyProtection="0"/>
    <xf numFmtId="0" fontId="11" fillId="94" borderId="0" applyNumberFormat="0" applyBorder="0" applyAlignment="0" applyProtection="0"/>
    <xf numFmtId="0" fontId="11" fillId="94" borderId="0" applyNumberFormat="0" applyBorder="0" applyAlignment="0" applyProtection="0"/>
    <xf numFmtId="0" fontId="11" fillId="94" borderId="0" applyNumberFormat="0" applyBorder="0" applyAlignment="0" applyProtection="0"/>
    <xf numFmtId="0" fontId="11" fillId="94" borderId="0" applyNumberFormat="0" applyBorder="0" applyAlignment="0" applyProtection="0"/>
    <xf numFmtId="0" fontId="11" fillId="94" borderId="0" applyNumberFormat="0" applyBorder="0" applyAlignment="0" applyProtection="0"/>
    <xf numFmtId="0" fontId="11" fillId="94" borderId="0" applyNumberFormat="0" applyBorder="0" applyAlignment="0" applyProtection="0"/>
    <xf numFmtId="0" fontId="11" fillId="98" borderId="0" applyNumberFormat="0" applyBorder="0" applyAlignment="0" applyProtection="0"/>
    <xf numFmtId="0" fontId="11" fillId="98" borderId="0" applyNumberFormat="0" applyBorder="0" applyAlignment="0" applyProtection="0"/>
    <xf numFmtId="0" fontId="11" fillId="98" borderId="0" applyNumberFormat="0" applyBorder="0" applyAlignment="0" applyProtection="0"/>
    <xf numFmtId="0" fontId="11" fillId="98" borderId="0" applyNumberFormat="0" applyBorder="0" applyAlignment="0" applyProtection="0"/>
    <xf numFmtId="0" fontId="11" fillId="98" borderId="0" applyNumberFormat="0" applyBorder="0" applyAlignment="0" applyProtection="0"/>
    <xf numFmtId="0" fontId="11" fillId="98" borderId="0" applyNumberFormat="0" applyBorder="0" applyAlignment="0" applyProtection="0"/>
    <xf numFmtId="0" fontId="11" fillId="98" borderId="0" applyNumberFormat="0" applyBorder="0" applyAlignment="0" applyProtection="0"/>
    <xf numFmtId="0" fontId="11" fillId="98" borderId="0" applyNumberFormat="0" applyBorder="0" applyAlignment="0" applyProtection="0"/>
    <xf numFmtId="0" fontId="11" fillId="98" borderId="0" applyNumberFormat="0" applyBorder="0" applyAlignment="0" applyProtection="0"/>
    <xf numFmtId="0" fontId="11" fillId="98" borderId="0" applyNumberFormat="0" applyBorder="0" applyAlignment="0" applyProtection="0"/>
    <xf numFmtId="0" fontId="213" fillId="11" borderId="0" applyNumberFormat="0" applyBorder="0" applyAlignment="0" applyProtection="0"/>
    <xf numFmtId="0" fontId="11" fillId="98" borderId="0" applyNumberFormat="0" applyBorder="0" applyAlignment="0" applyProtection="0"/>
    <xf numFmtId="0" fontId="11" fillId="98" borderId="0" applyNumberFormat="0" applyBorder="0" applyAlignment="0" applyProtection="0"/>
    <xf numFmtId="0" fontId="11" fillId="98" borderId="0" applyNumberFormat="0" applyBorder="0" applyAlignment="0" applyProtection="0"/>
    <xf numFmtId="0" fontId="11" fillId="98" borderId="0" applyNumberFormat="0" applyBorder="0" applyAlignment="0" applyProtection="0"/>
    <xf numFmtId="0" fontId="11" fillId="98" borderId="0" applyNumberFormat="0" applyBorder="0" applyAlignment="0" applyProtection="0"/>
    <xf numFmtId="0" fontId="11" fillId="98" borderId="0" applyNumberFormat="0" applyBorder="0" applyAlignment="0" applyProtection="0"/>
    <xf numFmtId="0" fontId="11" fillId="98" borderId="0" applyNumberFormat="0" applyBorder="0" applyAlignment="0" applyProtection="0"/>
    <xf numFmtId="0" fontId="11" fillId="98" borderId="0" applyNumberFormat="0" applyBorder="0" applyAlignment="0" applyProtection="0"/>
    <xf numFmtId="0" fontId="11" fillId="98" borderId="0" applyNumberFormat="0" applyBorder="0" applyAlignment="0" applyProtection="0"/>
    <xf numFmtId="0" fontId="11" fillId="98" borderId="0" applyNumberFormat="0" applyBorder="0" applyAlignment="0" applyProtection="0"/>
    <xf numFmtId="0" fontId="11" fillId="98" borderId="0" applyNumberFormat="0" applyBorder="0" applyAlignment="0" applyProtection="0"/>
    <xf numFmtId="0" fontId="11" fillId="98" borderId="0" applyNumberFormat="0" applyBorder="0" applyAlignment="0" applyProtection="0"/>
    <xf numFmtId="0" fontId="11" fillId="98" borderId="0" applyNumberFormat="0" applyBorder="0" applyAlignment="0" applyProtection="0"/>
    <xf numFmtId="0" fontId="11" fillId="98" borderId="0" applyNumberFormat="0" applyBorder="0" applyAlignment="0" applyProtection="0"/>
    <xf numFmtId="0" fontId="11" fillId="98" borderId="0" applyNumberFormat="0" applyBorder="0" applyAlignment="0" applyProtection="0"/>
    <xf numFmtId="0" fontId="11" fillId="98" borderId="0" applyNumberFormat="0" applyBorder="0" applyAlignment="0" applyProtection="0"/>
    <xf numFmtId="0" fontId="11" fillId="98" borderId="0" applyNumberFormat="0" applyBorder="0" applyAlignment="0" applyProtection="0"/>
    <xf numFmtId="0" fontId="11" fillId="98" borderId="0" applyNumberFormat="0" applyBorder="0" applyAlignment="0" applyProtection="0"/>
    <xf numFmtId="0" fontId="11" fillId="98" borderId="0" applyNumberFormat="0" applyBorder="0" applyAlignment="0" applyProtection="0"/>
    <xf numFmtId="0" fontId="11" fillId="98" borderId="0" applyNumberFormat="0" applyBorder="0" applyAlignment="0" applyProtection="0"/>
    <xf numFmtId="0" fontId="11" fillId="98" borderId="0" applyNumberFormat="0" applyBorder="0" applyAlignment="0" applyProtection="0"/>
    <xf numFmtId="0" fontId="11" fillId="98" borderId="0" applyNumberFormat="0" applyBorder="0" applyAlignment="0" applyProtection="0"/>
    <xf numFmtId="0" fontId="11" fillId="98" borderId="0" applyNumberFormat="0" applyBorder="0" applyAlignment="0" applyProtection="0"/>
    <xf numFmtId="0" fontId="11" fillId="98" borderId="0" applyNumberFormat="0" applyBorder="0" applyAlignment="0" applyProtection="0"/>
    <xf numFmtId="0" fontId="11" fillId="98" borderId="0" applyNumberFormat="0" applyBorder="0" applyAlignment="0" applyProtection="0"/>
    <xf numFmtId="0" fontId="11" fillId="98" borderId="0" applyNumberFormat="0" applyBorder="0" applyAlignment="0" applyProtection="0"/>
    <xf numFmtId="0" fontId="11" fillId="98" borderId="0" applyNumberFormat="0" applyBorder="0" applyAlignment="0" applyProtection="0"/>
    <xf numFmtId="0" fontId="11" fillId="98" borderId="0" applyNumberFormat="0" applyBorder="0" applyAlignment="0" applyProtection="0"/>
    <xf numFmtId="0" fontId="11" fillId="98" borderId="0" applyNumberFormat="0" applyBorder="0" applyAlignment="0" applyProtection="0"/>
    <xf numFmtId="0" fontId="11" fillId="98" borderId="0" applyNumberFormat="0" applyBorder="0" applyAlignment="0" applyProtection="0"/>
    <xf numFmtId="0" fontId="11" fillId="98" borderId="0" applyNumberFormat="0" applyBorder="0" applyAlignment="0" applyProtection="0"/>
    <xf numFmtId="0" fontId="11" fillId="98" borderId="0" applyNumberFormat="0" applyBorder="0" applyAlignment="0" applyProtection="0"/>
    <xf numFmtId="0" fontId="11" fillId="98" borderId="0" applyNumberFormat="0" applyBorder="0" applyAlignment="0" applyProtection="0"/>
    <xf numFmtId="0" fontId="11" fillId="98" borderId="0" applyNumberFormat="0" applyBorder="0" applyAlignment="0" applyProtection="0"/>
    <xf numFmtId="0" fontId="11" fillId="98" borderId="0" applyNumberFormat="0" applyBorder="0" applyAlignment="0" applyProtection="0"/>
    <xf numFmtId="0" fontId="11" fillId="98" borderId="0" applyNumberFormat="0" applyBorder="0" applyAlignment="0" applyProtection="0"/>
    <xf numFmtId="0" fontId="11" fillId="98" borderId="0" applyNumberFormat="0" applyBorder="0" applyAlignment="0" applyProtection="0"/>
    <xf numFmtId="0" fontId="11" fillId="98" borderId="0" applyNumberFormat="0" applyBorder="0" applyAlignment="0" applyProtection="0"/>
    <xf numFmtId="0" fontId="11" fillId="98" borderId="0" applyNumberFormat="0" applyBorder="0" applyAlignment="0" applyProtection="0"/>
    <xf numFmtId="0" fontId="11" fillId="98" borderId="0" applyNumberFormat="0" applyBorder="0" applyAlignment="0" applyProtection="0"/>
    <xf numFmtId="0" fontId="11" fillId="98" borderId="0" applyNumberFormat="0" applyBorder="0" applyAlignment="0" applyProtection="0"/>
    <xf numFmtId="0" fontId="11" fillId="98" borderId="0" applyNumberFormat="0" applyBorder="0" applyAlignment="0" applyProtection="0"/>
    <xf numFmtId="0" fontId="11" fillId="98" borderId="0" applyNumberFormat="0" applyBorder="0" applyAlignment="0" applyProtection="0"/>
    <xf numFmtId="0" fontId="11" fillId="98" borderId="0" applyNumberFormat="0" applyBorder="0" applyAlignment="0" applyProtection="0"/>
    <xf numFmtId="0" fontId="11" fillId="98" borderId="0" applyNumberFormat="0" applyBorder="0" applyAlignment="0" applyProtection="0"/>
    <xf numFmtId="0" fontId="11" fillId="98" borderId="0" applyNumberFormat="0" applyBorder="0" applyAlignment="0" applyProtection="0"/>
    <xf numFmtId="0" fontId="11" fillId="98" borderId="0" applyNumberFormat="0" applyBorder="0" applyAlignment="0" applyProtection="0"/>
    <xf numFmtId="0" fontId="156" fillId="82" borderId="0" applyNumberFormat="0" applyBorder="0" applyAlignment="0" applyProtection="0"/>
    <xf numFmtId="0" fontId="156" fillId="82" borderId="0" applyNumberFormat="0" applyBorder="0" applyAlignment="0" applyProtection="0"/>
    <xf numFmtId="0" fontId="156" fillId="82" borderId="0" applyNumberFormat="0" applyBorder="0" applyAlignment="0" applyProtection="0"/>
    <xf numFmtId="0" fontId="156" fillId="82" borderId="0" applyNumberFormat="0" applyBorder="0" applyAlignment="0" applyProtection="0"/>
    <xf numFmtId="0" fontId="156" fillId="82" borderId="0" applyNumberFormat="0" applyBorder="0" applyAlignment="0" applyProtection="0"/>
    <xf numFmtId="0" fontId="156" fillId="82" borderId="0" applyNumberFormat="0" applyBorder="0" applyAlignment="0" applyProtection="0"/>
    <xf numFmtId="0" fontId="156" fillId="82" borderId="0" applyNumberFormat="0" applyBorder="0" applyAlignment="0" applyProtection="0"/>
    <xf numFmtId="0" fontId="156" fillId="82" borderId="0" applyNumberFormat="0" applyBorder="0" applyAlignment="0" applyProtection="0"/>
    <xf numFmtId="0" fontId="156" fillId="82" borderId="0" applyNumberFormat="0" applyBorder="0" applyAlignment="0" applyProtection="0"/>
    <xf numFmtId="0" fontId="156" fillId="82" borderId="0" applyNumberFormat="0" applyBorder="0" applyAlignment="0" applyProtection="0"/>
    <xf numFmtId="0" fontId="214" fillId="12" borderId="0" applyNumberFormat="0" applyBorder="0" applyAlignment="0" applyProtection="0"/>
    <xf numFmtId="0" fontId="156" fillId="82" borderId="0" applyNumberFormat="0" applyBorder="0" applyAlignment="0" applyProtection="0"/>
    <xf numFmtId="0" fontId="156" fillId="82" borderId="0" applyNumberFormat="0" applyBorder="0" applyAlignment="0" applyProtection="0"/>
    <xf numFmtId="0" fontId="156" fillId="82" borderId="0" applyNumberFormat="0" applyBorder="0" applyAlignment="0" applyProtection="0"/>
    <xf numFmtId="0" fontId="156" fillId="82" borderId="0" applyNumberFormat="0" applyBorder="0" applyAlignment="0" applyProtection="0"/>
    <xf numFmtId="0" fontId="156" fillId="82" borderId="0" applyNumberFormat="0" applyBorder="0" applyAlignment="0" applyProtection="0"/>
    <xf numFmtId="0" fontId="156" fillId="82" borderId="0" applyNumberFormat="0" applyBorder="0" applyAlignment="0" applyProtection="0"/>
    <xf numFmtId="0" fontId="156" fillId="82" borderId="0" applyNumberFormat="0" applyBorder="0" applyAlignment="0" applyProtection="0"/>
    <xf numFmtId="0" fontId="156" fillId="82" borderId="0" applyNumberFormat="0" applyBorder="0" applyAlignment="0" applyProtection="0"/>
    <xf numFmtId="0" fontId="156" fillId="82" borderId="0" applyNumberFormat="0" applyBorder="0" applyAlignment="0" applyProtection="0"/>
    <xf numFmtId="0" fontId="156" fillId="82" borderId="0" applyNumberFormat="0" applyBorder="0" applyAlignment="0" applyProtection="0"/>
    <xf numFmtId="0" fontId="156" fillId="82" borderId="0" applyNumberFormat="0" applyBorder="0" applyAlignment="0" applyProtection="0"/>
    <xf numFmtId="0" fontId="156" fillId="82" borderId="0" applyNumberFormat="0" applyBorder="0" applyAlignment="0" applyProtection="0"/>
    <xf numFmtId="0" fontId="156" fillId="82" borderId="0" applyNumberFormat="0" applyBorder="0" applyAlignment="0" applyProtection="0"/>
    <xf numFmtId="0" fontId="156" fillId="82" borderId="0" applyNumberFormat="0" applyBorder="0" applyAlignment="0" applyProtection="0"/>
    <xf numFmtId="0" fontId="156" fillId="82" borderId="0" applyNumberFormat="0" applyBorder="0" applyAlignment="0" applyProtection="0"/>
    <xf numFmtId="0" fontId="156" fillId="82" borderId="0" applyNumberFormat="0" applyBorder="0" applyAlignment="0" applyProtection="0"/>
    <xf numFmtId="0" fontId="156" fillId="82" borderId="0" applyNumberFormat="0" applyBorder="0" applyAlignment="0" applyProtection="0"/>
    <xf numFmtId="0" fontId="156" fillId="82" borderId="0" applyNumberFormat="0" applyBorder="0" applyAlignment="0" applyProtection="0"/>
    <xf numFmtId="0" fontId="156" fillId="82" borderId="0" applyNumberFormat="0" applyBorder="0" applyAlignment="0" applyProtection="0"/>
    <xf numFmtId="0" fontId="156" fillId="82" borderId="0" applyNumberFormat="0" applyBorder="0" applyAlignment="0" applyProtection="0"/>
    <xf numFmtId="0" fontId="156" fillId="82" borderId="0" applyNumberFormat="0" applyBorder="0" applyAlignment="0" applyProtection="0"/>
    <xf numFmtId="0" fontId="156" fillId="82" borderId="0" applyNumberFormat="0" applyBorder="0" applyAlignment="0" applyProtection="0"/>
    <xf numFmtId="0" fontId="156" fillId="82" borderId="0" applyNumberFormat="0" applyBorder="0" applyAlignment="0" applyProtection="0"/>
    <xf numFmtId="0" fontId="156" fillId="82" borderId="0" applyNumberFormat="0" applyBorder="0" applyAlignment="0" applyProtection="0"/>
    <xf numFmtId="0" fontId="156" fillId="82" borderId="0" applyNumberFormat="0" applyBorder="0" applyAlignment="0" applyProtection="0"/>
    <xf numFmtId="0" fontId="156" fillId="82" borderId="0" applyNumberFormat="0" applyBorder="0" applyAlignment="0" applyProtection="0"/>
    <xf numFmtId="0" fontId="156" fillId="82" borderId="0" applyNumberFormat="0" applyBorder="0" applyAlignment="0" applyProtection="0"/>
    <xf numFmtId="0" fontId="156" fillId="82" borderId="0" applyNumberFormat="0" applyBorder="0" applyAlignment="0" applyProtection="0"/>
    <xf numFmtId="0" fontId="156" fillId="82" borderId="0" applyNumberFormat="0" applyBorder="0" applyAlignment="0" applyProtection="0"/>
    <xf numFmtId="0" fontId="156" fillId="82" borderId="0" applyNumberFormat="0" applyBorder="0" applyAlignment="0" applyProtection="0"/>
    <xf numFmtId="0" fontId="156" fillId="82" borderId="0" applyNumberFormat="0" applyBorder="0" applyAlignment="0" applyProtection="0"/>
    <xf numFmtId="0" fontId="156" fillId="82" borderId="0" applyNumberFormat="0" applyBorder="0" applyAlignment="0" applyProtection="0"/>
    <xf numFmtId="0" fontId="156" fillId="82" borderId="0" applyNumberFormat="0" applyBorder="0" applyAlignment="0" applyProtection="0"/>
    <xf numFmtId="0" fontId="156" fillId="82" borderId="0" applyNumberFormat="0" applyBorder="0" applyAlignment="0" applyProtection="0"/>
    <xf numFmtId="0" fontId="156" fillId="82" borderId="0" applyNumberFormat="0" applyBorder="0" applyAlignment="0" applyProtection="0"/>
    <xf numFmtId="0" fontId="156" fillId="82" borderId="0" applyNumberFormat="0" applyBorder="0" applyAlignment="0" applyProtection="0"/>
    <xf numFmtId="0" fontId="156" fillId="82" borderId="0" applyNumberFormat="0" applyBorder="0" applyAlignment="0" applyProtection="0"/>
    <xf numFmtId="0" fontId="156" fillId="82" borderId="0" applyNumberFormat="0" applyBorder="0" applyAlignment="0" applyProtection="0"/>
    <xf numFmtId="0" fontId="156" fillId="82" borderId="0" applyNumberFormat="0" applyBorder="0" applyAlignment="0" applyProtection="0"/>
    <xf numFmtId="0" fontId="156" fillId="82" borderId="0" applyNumberFormat="0" applyBorder="0" applyAlignment="0" applyProtection="0"/>
    <xf numFmtId="0" fontId="156" fillId="82" borderId="0" applyNumberFormat="0" applyBorder="0" applyAlignment="0" applyProtection="0"/>
    <xf numFmtId="0" fontId="156" fillId="82" borderId="0" applyNumberFormat="0" applyBorder="0" applyAlignment="0" applyProtection="0"/>
    <xf numFmtId="0" fontId="156" fillId="82" borderId="0" applyNumberFormat="0" applyBorder="0" applyAlignment="0" applyProtection="0"/>
    <xf numFmtId="0" fontId="156" fillId="82" borderId="0" applyNumberFormat="0" applyBorder="0" applyAlignment="0" applyProtection="0"/>
    <xf numFmtId="0" fontId="156" fillId="82" borderId="0" applyNumberFormat="0" applyBorder="0" applyAlignment="0" applyProtection="0"/>
    <xf numFmtId="0" fontId="156" fillId="82" borderId="0" applyNumberFormat="0" applyBorder="0" applyAlignment="0" applyProtection="0"/>
    <xf numFmtId="0" fontId="156" fillId="82" borderId="0" applyNumberFormat="0" applyBorder="0" applyAlignment="0" applyProtection="0"/>
    <xf numFmtId="0" fontId="156" fillId="84" borderId="0" applyNumberFormat="0" applyBorder="0" applyAlignment="0" applyProtection="0"/>
    <xf numFmtId="0" fontId="156" fillId="84" borderId="0" applyNumberFormat="0" applyBorder="0" applyAlignment="0" applyProtection="0"/>
    <xf numFmtId="0" fontId="156" fillId="84" borderId="0" applyNumberFormat="0" applyBorder="0" applyAlignment="0" applyProtection="0"/>
    <xf numFmtId="0" fontId="156" fillId="84" borderId="0" applyNumberFormat="0" applyBorder="0" applyAlignment="0" applyProtection="0"/>
    <xf numFmtId="0" fontId="156" fillId="84" borderId="0" applyNumberFormat="0" applyBorder="0" applyAlignment="0" applyProtection="0"/>
    <xf numFmtId="0" fontId="156" fillId="84" borderId="0" applyNumberFormat="0" applyBorder="0" applyAlignment="0" applyProtection="0"/>
    <xf numFmtId="0" fontId="156" fillId="84" borderId="0" applyNumberFormat="0" applyBorder="0" applyAlignment="0" applyProtection="0"/>
    <xf numFmtId="0" fontId="156" fillId="84" borderId="0" applyNumberFormat="0" applyBorder="0" applyAlignment="0" applyProtection="0"/>
    <xf numFmtId="0" fontId="156" fillId="84" borderId="0" applyNumberFormat="0" applyBorder="0" applyAlignment="0" applyProtection="0"/>
    <xf numFmtId="0" fontId="156" fillId="84" borderId="0" applyNumberFormat="0" applyBorder="0" applyAlignment="0" applyProtection="0"/>
    <xf numFmtId="0" fontId="214" fillId="9" borderId="0" applyNumberFormat="0" applyBorder="0" applyAlignment="0" applyProtection="0"/>
    <xf numFmtId="0" fontId="156" fillId="84" borderId="0" applyNumberFormat="0" applyBorder="0" applyAlignment="0" applyProtection="0"/>
    <xf numFmtId="0" fontId="156" fillId="84" borderId="0" applyNumberFormat="0" applyBorder="0" applyAlignment="0" applyProtection="0"/>
    <xf numFmtId="0" fontId="156" fillId="84" borderId="0" applyNumberFormat="0" applyBorder="0" applyAlignment="0" applyProtection="0"/>
    <xf numFmtId="0" fontId="156" fillId="84" borderId="0" applyNumberFormat="0" applyBorder="0" applyAlignment="0" applyProtection="0"/>
    <xf numFmtId="0" fontId="156" fillId="84" borderId="0" applyNumberFormat="0" applyBorder="0" applyAlignment="0" applyProtection="0"/>
    <xf numFmtId="0" fontId="156" fillId="84" borderId="0" applyNumberFormat="0" applyBorder="0" applyAlignment="0" applyProtection="0"/>
    <xf numFmtId="0" fontId="156" fillId="84" borderId="0" applyNumberFormat="0" applyBorder="0" applyAlignment="0" applyProtection="0"/>
    <xf numFmtId="0" fontId="156" fillId="84" borderId="0" applyNumberFormat="0" applyBorder="0" applyAlignment="0" applyProtection="0"/>
    <xf numFmtId="0" fontId="156" fillId="84" borderId="0" applyNumberFormat="0" applyBorder="0" applyAlignment="0" applyProtection="0"/>
    <xf numFmtId="0" fontId="156" fillId="84" borderId="0" applyNumberFormat="0" applyBorder="0" applyAlignment="0" applyProtection="0"/>
    <xf numFmtId="0" fontId="156" fillId="84" borderId="0" applyNumberFormat="0" applyBorder="0" applyAlignment="0" applyProtection="0"/>
    <xf numFmtId="0" fontId="156" fillId="84" borderId="0" applyNumberFormat="0" applyBorder="0" applyAlignment="0" applyProtection="0"/>
    <xf numFmtId="0" fontId="156" fillId="84" borderId="0" applyNumberFormat="0" applyBorder="0" applyAlignment="0" applyProtection="0"/>
    <xf numFmtId="0" fontId="156" fillId="84" borderId="0" applyNumberFormat="0" applyBorder="0" applyAlignment="0" applyProtection="0"/>
    <xf numFmtId="0" fontId="156" fillId="84" borderId="0" applyNumberFormat="0" applyBorder="0" applyAlignment="0" applyProtection="0"/>
    <xf numFmtId="0" fontId="156" fillId="84" borderId="0" applyNumberFormat="0" applyBorder="0" applyAlignment="0" applyProtection="0"/>
    <xf numFmtId="0" fontId="156" fillId="84" borderId="0" applyNumberFormat="0" applyBorder="0" applyAlignment="0" applyProtection="0"/>
    <xf numFmtId="0" fontId="156" fillId="84" borderId="0" applyNumberFormat="0" applyBorder="0" applyAlignment="0" applyProtection="0"/>
    <xf numFmtId="0" fontId="156" fillId="84" borderId="0" applyNumberFormat="0" applyBorder="0" applyAlignment="0" applyProtection="0"/>
    <xf numFmtId="0" fontId="156" fillId="84" borderId="0" applyNumberFormat="0" applyBorder="0" applyAlignment="0" applyProtection="0"/>
    <xf numFmtId="0" fontId="156" fillId="84" borderId="0" applyNumberFormat="0" applyBorder="0" applyAlignment="0" applyProtection="0"/>
    <xf numFmtId="0" fontId="156" fillId="84" borderId="0" applyNumberFormat="0" applyBorder="0" applyAlignment="0" applyProtection="0"/>
    <xf numFmtId="0" fontId="156" fillId="84" borderId="0" applyNumberFormat="0" applyBorder="0" applyAlignment="0" applyProtection="0"/>
    <xf numFmtId="0" fontId="156" fillId="84" borderId="0" applyNumberFormat="0" applyBorder="0" applyAlignment="0" applyProtection="0"/>
    <xf numFmtId="0" fontId="156" fillId="84" borderId="0" applyNumberFormat="0" applyBorder="0" applyAlignment="0" applyProtection="0"/>
    <xf numFmtId="0" fontId="156" fillId="84" borderId="0" applyNumberFormat="0" applyBorder="0" applyAlignment="0" applyProtection="0"/>
    <xf numFmtId="0" fontId="156" fillId="84" borderId="0" applyNumberFormat="0" applyBorder="0" applyAlignment="0" applyProtection="0"/>
    <xf numFmtId="0" fontId="156" fillId="84" borderId="0" applyNumberFormat="0" applyBorder="0" applyAlignment="0" applyProtection="0"/>
    <xf numFmtId="0" fontId="156" fillId="84" borderId="0" applyNumberFormat="0" applyBorder="0" applyAlignment="0" applyProtection="0"/>
    <xf numFmtId="0" fontId="156" fillId="84" borderId="0" applyNumberFormat="0" applyBorder="0" applyAlignment="0" applyProtection="0"/>
    <xf numFmtId="0" fontId="156" fillId="84" borderId="0" applyNumberFormat="0" applyBorder="0" applyAlignment="0" applyProtection="0"/>
    <xf numFmtId="0" fontId="156" fillId="84" borderId="0" applyNumberFormat="0" applyBorder="0" applyAlignment="0" applyProtection="0"/>
    <xf numFmtId="0" fontId="156" fillId="84" borderId="0" applyNumberFormat="0" applyBorder="0" applyAlignment="0" applyProtection="0"/>
    <xf numFmtId="0" fontId="156" fillId="84" borderId="0" applyNumberFormat="0" applyBorder="0" applyAlignment="0" applyProtection="0"/>
    <xf numFmtId="0" fontId="156" fillId="84" borderId="0" applyNumberFormat="0" applyBorder="0" applyAlignment="0" applyProtection="0"/>
    <xf numFmtId="0" fontId="156" fillId="84" borderId="0" applyNumberFormat="0" applyBorder="0" applyAlignment="0" applyProtection="0"/>
    <xf numFmtId="0" fontId="156" fillId="84" borderId="0" applyNumberFormat="0" applyBorder="0" applyAlignment="0" applyProtection="0"/>
    <xf numFmtId="0" fontId="156" fillId="84" borderId="0" applyNumberFormat="0" applyBorder="0" applyAlignment="0" applyProtection="0"/>
    <xf numFmtId="0" fontId="156" fillId="84" borderId="0" applyNumberFormat="0" applyBorder="0" applyAlignment="0" applyProtection="0"/>
    <xf numFmtId="0" fontId="156" fillId="84" borderId="0" applyNumberFormat="0" applyBorder="0" applyAlignment="0" applyProtection="0"/>
    <xf numFmtId="0" fontId="156" fillId="84" borderId="0" applyNumberFormat="0" applyBorder="0" applyAlignment="0" applyProtection="0"/>
    <xf numFmtId="0" fontId="156" fillId="84" borderId="0" applyNumberFormat="0" applyBorder="0" applyAlignment="0" applyProtection="0"/>
    <xf numFmtId="0" fontId="156" fillId="84" borderId="0" applyNumberFormat="0" applyBorder="0" applyAlignment="0" applyProtection="0"/>
    <xf numFmtId="0" fontId="156" fillId="84" borderId="0" applyNumberFormat="0" applyBorder="0" applyAlignment="0" applyProtection="0"/>
    <xf numFmtId="0" fontId="156" fillId="84" borderId="0" applyNumberFormat="0" applyBorder="0" applyAlignment="0" applyProtection="0"/>
    <xf numFmtId="0" fontId="156" fillId="84" borderId="0" applyNumberFormat="0" applyBorder="0" applyAlignment="0" applyProtection="0"/>
    <xf numFmtId="0" fontId="156" fillId="84" borderId="0" applyNumberFormat="0" applyBorder="0" applyAlignment="0" applyProtection="0"/>
    <xf numFmtId="0" fontId="156" fillId="87" borderId="0" applyNumberFormat="0" applyBorder="0" applyAlignment="0" applyProtection="0"/>
    <xf numFmtId="0" fontId="156" fillId="87" borderId="0" applyNumberFormat="0" applyBorder="0" applyAlignment="0" applyProtection="0"/>
    <xf numFmtId="0" fontId="156" fillId="87" borderId="0" applyNumberFormat="0" applyBorder="0" applyAlignment="0" applyProtection="0"/>
    <xf numFmtId="0" fontId="156" fillId="87" borderId="0" applyNumberFormat="0" applyBorder="0" applyAlignment="0" applyProtection="0"/>
    <xf numFmtId="0" fontId="156" fillId="87" borderId="0" applyNumberFormat="0" applyBorder="0" applyAlignment="0" applyProtection="0"/>
    <xf numFmtId="0" fontId="156" fillId="87" borderId="0" applyNumberFormat="0" applyBorder="0" applyAlignment="0" applyProtection="0"/>
    <xf numFmtId="0" fontId="156" fillId="87" borderId="0" applyNumberFormat="0" applyBorder="0" applyAlignment="0" applyProtection="0"/>
    <xf numFmtId="0" fontId="156" fillId="87" borderId="0" applyNumberFormat="0" applyBorder="0" applyAlignment="0" applyProtection="0"/>
    <xf numFmtId="0" fontId="156" fillId="87" borderId="0" applyNumberFormat="0" applyBorder="0" applyAlignment="0" applyProtection="0"/>
    <xf numFmtId="0" fontId="156" fillId="87" borderId="0" applyNumberFormat="0" applyBorder="0" applyAlignment="0" applyProtection="0"/>
    <xf numFmtId="0" fontId="214" fillId="10" borderId="0" applyNumberFormat="0" applyBorder="0" applyAlignment="0" applyProtection="0"/>
    <xf numFmtId="0" fontId="156" fillId="87" borderId="0" applyNumberFormat="0" applyBorder="0" applyAlignment="0" applyProtection="0"/>
    <xf numFmtId="0" fontId="156" fillId="87" borderId="0" applyNumberFormat="0" applyBorder="0" applyAlignment="0" applyProtection="0"/>
    <xf numFmtId="0" fontId="156" fillId="87" borderId="0" applyNumberFormat="0" applyBorder="0" applyAlignment="0" applyProtection="0"/>
    <xf numFmtId="0" fontId="156" fillId="87" borderId="0" applyNumberFormat="0" applyBorder="0" applyAlignment="0" applyProtection="0"/>
    <xf numFmtId="0" fontId="156" fillId="87" borderId="0" applyNumberFormat="0" applyBorder="0" applyAlignment="0" applyProtection="0"/>
    <xf numFmtId="0" fontId="156" fillId="87" borderId="0" applyNumberFormat="0" applyBorder="0" applyAlignment="0" applyProtection="0"/>
    <xf numFmtId="0" fontId="156" fillId="87" borderId="0" applyNumberFormat="0" applyBorder="0" applyAlignment="0" applyProtection="0"/>
    <xf numFmtId="0" fontId="156" fillId="87" borderId="0" applyNumberFormat="0" applyBorder="0" applyAlignment="0" applyProtection="0"/>
    <xf numFmtId="0" fontId="156" fillId="87" borderId="0" applyNumberFormat="0" applyBorder="0" applyAlignment="0" applyProtection="0"/>
    <xf numFmtId="0" fontId="156" fillId="87" borderId="0" applyNumberFormat="0" applyBorder="0" applyAlignment="0" applyProtection="0"/>
    <xf numFmtId="0" fontId="156" fillId="87" borderId="0" applyNumberFormat="0" applyBorder="0" applyAlignment="0" applyProtection="0"/>
    <xf numFmtId="0" fontId="156" fillId="87" borderId="0" applyNumberFormat="0" applyBorder="0" applyAlignment="0" applyProtection="0"/>
    <xf numFmtId="0" fontId="156" fillId="87" borderId="0" applyNumberFormat="0" applyBorder="0" applyAlignment="0" applyProtection="0"/>
    <xf numFmtId="0" fontId="156" fillId="87" borderId="0" applyNumberFormat="0" applyBorder="0" applyAlignment="0" applyProtection="0"/>
    <xf numFmtId="0" fontId="156" fillId="87" borderId="0" applyNumberFormat="0" applyBorder="0" applyAlignment="0" applyProtection="0"/>
    <xf numFmtId="0" fontId="156" fillId="87" borderId="0" applyNumberFormat="0" applyBorder="0" applyAlignment="0" applyProtection="0"/>
    <xf numFmtId="0" fontId="156" fillId="87" borderId="0" applyNumberFormat="0" applyBorder="0" applyAlignment="0" applyProtection="0"/>
    <xf numFmtId="0" fontId="156" fillId="87" borderId="0" applyNumberFormat="0" applyBorder="0" applyAlignment="0" applyProtection="0"/>
    <xf numFmtId="0" fontId="156" fillId="87" borderId="0" applyNumberFormat="0" applyBorder="0" applyAlignment="0" applyProtection="0"/>
    <xf numFmtId="0" fontId="156" fillId="87" borderId="0" applyNumberFormat="0" applyBorder="0" applyAlignment="0" applyProtection="0"/>
    <xf numFmtId="0" fontId="156" fillId="87" borderId="0" applyNumberFormat="0" applyBorder="0" applyAlignment="0" applyProtection="0"/>
    <xf numFmtId="0" fontId="156" fillId="87" borderId="0" applyNumberFormat="0" applyBorder="0" applyAlignment="0" applyProtection="0"/>
    <xf numFmtId="0" fontId="156" fillId="87" borderId="0" applyNumberFormat="0" applyBorder="0" applyAlignment="0" applyProtection="0"/>
    <xf numFmtId="0" fontId="156" fillId="87" borderId="0" applyNumberFormat="0" applyBorder="0" applyAlignment="0" applyProtection="0"/>
    <xf numFmtId="0" fontId="156" fillId="87" borderId="0" applyNumberFormat="0" applyBorder="0" applyAlignment="0" applyProtection="0"/>
    <xf numFmtId="0" fontId="156" fillId="87" borderId="0" applyNumberFormat="0" applyBorder="0" applyAlignment="0" applyProtection="0"/>
    <xf numFmtId="0" fontId="156" fillId="87" borderId="0" applyNumberFormat="0" applyBorder="0" applyAlignment="0" applyProtection="0"/>
    <xf numFmtId="0" fontId="156" fillId="87" borderId="0" applyNumberFormat="0" applyBorder="0" applyAlignment="0" applyProtection="0"/>
    <xf numFmtId="0" fontId="156" fillId="87" borderId="0" applyNumberFormat="0" applyBorder="0" applyAlignment="0" applyProtection="0"/>
    <xf numFmtId="0" fontId="156" fillId="87" borderId="0" applyNumberFormat="0" applyBorder="0" applyAlignment="0" applyProtection="0"/>
    <xf numFmtId="0" fontId="156" fillId="87" borderId="0" applyNumberFormat="0" applyBorder="0" applyAlignment="0" applyProtection="0"/>
    <xf numFmtId="0" fontId="156" fillId="87" borderId="0" applyNumberFormat="0" applyBorder="0" applyAlignment="0" applyProtection="0"/>
    <xf numFmtId="0" fontId="156" fillId="87" borderId="0" applyNumberFormat="0" applyBorder="0" applyAlignment="0" applyProtection="0"/>
    <xf numFmtId="0" fontId="156" fillId="87" borderId="0" applyNumberFormat="0" applyBorder="0" applyAlignment="0" applyProtection="0"/>
    <xf numFmtId="0" fontId="156" fillId="87" borderId="0" applyNumberFormat="0" applyBorder="0" applyAlignment="0" applyProtection="0"/>
    <xf numFmtId="0" fontId="156" fillId="87" borderId="0" applyNumberFormat="0" applyBorder="0" applyAlignment="0" applyProtection="0"/>
    <xf numFmtId="0" fontId="156" fillId="87" borderId="0" applyNumberFormat="0" applyBorder="0" applyAlignment="0" applyProtection="0"/>
    <xf numFmtId="0" fontId="156" fillId="87" borderId="0" applyNumberFormat="0" applyBorder="0" applyAlignment="0" applyProtection="0"/>
    <xf numFmtId="0" fontId="156" fillId="87" borderId="0" applyNumberFormat="0" applyBorder="0" applyAlignment="0" applyProtection="0"/>
    <xf numFmtId="0" fontId="156" fillId="87" borderId="0" applyNumberFormat="0" applyBorder="0" applyAlignment="0" applyProtection="0"/>
    <xf numFmtId="0" fontId="156" fillId="87" borderId="0" applyNumberFormat="0" applyBorder="0" applyAlignment="0" applyProtection="0"/>
    <xf numFmtId="0" fontId="156" fillId="87" borderId="0" applyNumberFormat="0" applyBorder="0" applyAlignment="0" applyProtection="0"/>
    <xf numFmtId="0" fontId="156" fillId="87" borderId="0" applyNumberFormat="0" applyBorder="0" applyAlignment="0" applyProtection="0"/>
    <xf numFmtId="0" fontId="156" fillId="87" borderId="0" applyNumberFormat="0" applyBorder="0" applyAlignment="0" applyProtection="0"/>
    <xf numFmtId="0" fontId="156" fillId="87" borderId="0" applyNumberFormat="0" applyBorder="0" applyAlignment="0" applyProtection="0"/>
    <xf numFmtId="0" fontId="156" fillId="87" borderId="0" applyNumberFormat="0" applyBorder="0" applyAlignment="0" applyProtection="0"/>
    <xf numFmtId="0" fontId="156" fillId="87" borderId="0" applyNumberFormat="0" applyBorder="0" applyAlignment="0" applyProtection="0"/>
    <xf numFmtId="0" fontId="156" fillId="91" borderId="0" applyNumberFormat="0" applyBorder="0" applyAlignment="0" applyProtection="0"/>
    <xf numFmtId="0" fontId="156" fillId="91" borderId="0" applyNumberFormat="0" applyBorder="0" applyAlignment="0" applyProtection="0"/>
    <xf numFmtId="0" fontId="156" fillId="91" borderId="0" applyNumberFormat="0" applyBorder="0" applyAlignment="0" applyProtection="0"/>
    <xf numFmtId="0" fontId="156" fillId="91" borderId="0" applyNumberFormat="0" applyBorder="0" applyAlignment="0" applyProtection="0"/>
    <xf numFmtId="0" fontId="156" fillId="91" borderId="0" applyNumberFormat="0" applyBorder="0" applyAlignment="0" applyProtection="0"/>
    <xf numFmtId="0" fontId="156" fillId="91" borderId="0" applyNumberFormat="0" applyBorder="0" applyAlignment="0" applyProtection="0"/>
    <xf numFmtId="0" fontId="156" fillId="91" borderId="0" applyNumberFormat="0" applyBorder="0" applyAlignment="0" applyProtection="0"/>
    <xf numFmtId="0" fontId="156" fillId="91" borderId="0" applyNumberFormat="0" applyBorder="0" applyAlignment="0" applyProtection="0"/>
    <xf numFmtId="0" fontId="156" fillId="91" borderId="0" applyNumberFormat="0" applyBorder="0" applyAlignment="0" applyProtection="0"/>
    <xf numFmtId="0" fontId="156" fillId="91" borderId="0" applyNumberFormat="0" applyBorder="0" applyAlignment="0" applyProtection="0"/>
    <xf numFmtId="0" fontId="214" fillId="13" borderId="0" applyNumberFormat="0" applyBorder="0" applyAlignment="0" applyProtection="0"/>
    <xf numFmtId="0" fontId="156" fillId="91" borderId="0" applyNumberFormat="0" applyBorder="0" applyAlignment="0" applyProtection="0"/>
    <xf numFmtId="0" fontId="156" fillId="91" borderId="0" applyNumberFormat="0" applyBorder="0" applyAlignment="0" applyProtection="0"/>
    <xf numFmtId="0" fontId="156" fillId="91" borderId="0" applyNumberFormat="0" applyBorder="0" applyAlignment="0" applyProtection="0"/>
    <xf numFmtId="0" fontId="156" fillId="91" borderId="0" applyNumberFormat="0" applyBorder="0" applyAlignment="0" applyProtection="0"/>
    <xf numFmtId="0" fontId="156" fillId="91" borderId="0" applyNumberFormat="0" applyBorder="0" applyAlignment="0" applyProtection="0"/>
    <xf numFmtId="0" fontId="156" fillId="91" borderId="0" applyNumberFormat="0" applyBorder="0" applyAlignment="0" applyProtection="0"/>
    <xf numFmtId="0" fontId="156" fillId="91" borderId="0" applyNumberFormat="0" applyBorder="0" applyAlignment="0" applyProtection="0"/>
    <xf numFmtId="0" fontId="156" fillId="91" borderId="0" applyNumberFormat="0" applyBorder="0" applyAlignment="0" applyProtection="0"/>
    <xf numFmtId="0" fontId="156" fillId="91" borderId="0" applyNumberFormat="0" applyBorder="0" applyAlignment="0" applyProtection="0"/>
    <xf numFmtId="0" fontId="156" fillId="91" borderId="0" applyNumberFormat="0" applyBorder="0" applyAlignment="0" applyProtection="0"/>
    <xf numFmtId="0" fontId="156" fillId="91" borderId="0" applyNumberFormat="0" applyBorder="0" applyAlignment="0" applyProtection="0"/>
    <xf numFmtId="0" fontId="156" fillId="91" borderId="0" applyNumberFormat="0" applyBorder="0" applyAlignment="0" applyProtection="0"/>
    <xf numFmtId="0" fontId="156" fillId="91" borderId="0" applyNumberFormat="0" applyBorder="0" applyAlignment="0" applyProtection="0"/>
    <xf numFmtId="0" fontId="156" fillId="91" borderId="0" applyNumberFormat="0" applyBorder="0" applyAlignment="0" applyProtection="0"/>
    <xf numFmtId="0" fontId="156" fillId="91" borderId="0" applyNumberFormat="0" applyBorder="0" applyAlignment="0" applyProtection="0"/>
    <xf numFmtId="0" fontId="156" fillId="91" borderId="0" applyNumberFormat="0" applyBorder="0" applyAlignment="0" applyProtection="0"/>
    <xf numFmtId="0" fontId="156" fillId="91" borderId="0" applyNumberFormat="0" applyBorder="0" applyAlignment="0" applyProtection="0"/>
    <xf numFmtId="0" fontId="156" fillId="91" borderId="0" applyNumberFormat="0" applyBorder="0" applyAlignment="0" applyProtection="0"/>
    <xf numFmtId="0" fontId="156" fillId="91" borderId="0" applyNumberFormat="0" applyBorder="0" applyAlignment="0" applyProtection="0"/>
    <xf numFmtId="0" fontId="156" fillId="91" borderId="0" applyNumberFormat="0" applyBorder="0" applyAlignment="0" applyProtection="0"/>
    <xf numFmtId="0" fontId="156" fillId="91" borderId="0" applyNumberFormat="0" applyBorder="0" applyAlignment="0" applyProtection="0"/>
    <xf numFmtId="0" fontId="156" fillId="91" borderId="0" applyNumberFormat="0" applyBorder="0" applyAlignment="0" applyProtection="0"/>
    <xf numFmtId="0" fontId="156" fillId="91" borderId="0" applyNumberFormat="0" applyBorder="0" applyAlignment="0" applyProtection="0"/>
    <xf numFmtId="0" fontId="156" fillId="91" borderId="0" applyNumberFormat="0" applyBorder="0" applyAlignment="0" applyProtection="0"/>
    <xf numFmtId="0" fontId="156" fillId="91" borderId="0" applyNumberFormat="0" applyBorder="0" applyAlignment="0" applyProtection="0"/>
    <xf numFmtId="0" fontId="156" fillId="91" borderId="0" applyNumberFormat="0" applyBorder="0" applyAlignment="0" applyProtection="0"/>
    <xf numFmtId="0" fontId="156" fillId="91" borderId="0" applyNumberFormat="0" applyBorder="0" applyAlignment="0" applyProtection="0"/>
    <xf numFmtId="0" fontId="156" fillId="91" borderId="0" applyNumberFormat="0" applyBorder="0" applyAlignment="0" applyProtection="0"/>
    <xf numFmtId="0" fontId="156" fillId="91" borderId="0" applyNumberFormat="0" applyBorder="0" applyAlignment="0" applyProtection="0"/>
    <xf numFmtId="0" fontId="156" fillId="91" borderId="0" applyNumberFormat="0" applyBorder="0" applyAlignment="0" applyProtection="0"/>
    <xf numFmtId="0" fontId="156" fillId="91" borderId="0" applyNumberFormat="0" applyBorder="0" applyAlignment="0" applyProtection="0"/>
    <xf numFmtId="0" fontId="156" fillId="91" borderId="0" applyNumberFormat="0" applyBorder="0" applyAlignment="0" applyProtection="0"/>
    <xf numFmtId="0" fontId="156" fillId="91" borderId="0" applyNumberFormat="0" applyBorder="0" applyAlignment="0" applyProtection="0"/>
    <xf numFmtId="0" fontId="156" fillId="91" borderId="0" applyNumberFormat="0" applyBorder="0" applyAlignment="0" applyProtection="0"/>
    <xf numFmtId="0" fontId="156" fillId="91" borderId="0" applyNumberFormat="0" applyBorder="0" applyAlignment="0" applyProtection="0"/>
    <xf numFmtId="0" fontId="156" fillId="91" borderId="0" applyNumberFormat="0" applyBorder="0" applyAlignment="0" applyProtection="0"/>
    <xf numFmtId="0" fontId="156" fillId="91" borderId="0" applyNumberFormat="0" applyBorder="0" applyAlignment="0" applyProtection="0"/>
    <xf numFmtId="0" fontId="156" fillId="91" borderId="0" applyNumberFormat="0" applyBorder="0" applyAlignment="0" applyProtection="0"/>
    <xf numFmtId="0" fontId="156" fillId="91" borderId="0" applyNumberFormat="0" applyBorder="0" applyAlignment="0" applyProtection="0"/>
    <xf numFmtId="0" fontId="156" fillId="91" borderId="0" applyNumberFormat="0" applyBorder="0" applyAlignment="0" applyProtection="0"/>
    <xf numFmtId="0" fontId="156" fillId="91" borderId="0" applyNumberFormat="0" applyBorder="0" applyAlignment="0" applyProtection="0"/>
    <xf numFmtId="0" fontId="156" fillId="91" borderId="0" applyNumberFormat="0" applyBorder="0" applyAlignment="0" applyProtection="0"/>
    <xf numFmtId="0" fontId="156" fillId="91" borderId="0" applyNumberFormat="0" applyBorder="0" applyAlignment="0" applyProtection="0"/>
    <xf numFmtId="0" fontId="156" fillId="91" borderId="0" applyNumberFormat="0" applyBorder="0" applyAlignment="0" applyProtection="0"/>
    <xf numFmtId="0" fontId="156" fillId="91" borderId="0" applyNumberFormat="0" applyBorder="0" applyAlignment="0" applyProtection="0"/>
    <xf numFmtId="0" fontId="156" fillId="91" borderId="0" applyNumberFormat="0" applyBorder="0" applyAlignment="0" applyProtection="0"/>
    <xf numFmtId="0" fontId="156" fillId="91" borderId="0" applyNumberFormat="0" applyBorder="0" applyAlignment="0" applyProtection="0"/>
    <xf numFmtId="0" fontId="156" fillId="95" borderId="0" applyNumberFormat="0" applyBorder="0" applyAlignment="0" applyProtection="0"/>
    <xf numFmtId="0" fontId="156" fillId="95" borderId="0" applyNumberFormat="0" applyBorder="0" applyAlignment="0" applyProtection="0"/>
    <xf numFmtId="0" fontId="156" fillId="95" borderId="0" applyNumberFormat="0" applyBorder="0" applyAlignment="0" applyProtection="0"/>
    <xf numFmtId="0" fontId="156" fillId="95" borderId="0" applyNumberFormat="0" applyBorder="0" applyAlignment="0" applyProtection="0"/>
    <xf numFmtId="0" fontId="156" fillId="95" borderId="0" applyNumberFormat="0" applyBorder="0" applyAlignment="0" applyProtection="0"/>
    <xf numFmtId="0" fontId="156" fillId="95" borderId="0" applyNumberFormat="0" applyBorder="0" applyAlignment="0" applyProtection="0"/>
    <xf numFmtId="0" fontId="156" fillId="95" borderId="0" applyNumberFormat="0" applyBorder="0" applyAlignment="0" applyProtection="0"/>
    <xf numFmtId="0" fontId="156" fillId="95" borderId="0" applyNumberFormat="0" applyBorder="0" applyAlignment="0" applyProtection="0"/>
    <xf numFmtId="0" fontId="156" fillId="95" borderId="0" applyNumberFormat="0" applyBorder="0" applyAlignment="0" applyProtection="0"/>
    <xf numFmtId="0" fontId="156" fillId="95" borderId="0" applyNumberFormat="0" applyBorder="0" applyAlignment="0" applyProtection="0"/>
    <xf numFmtId="0" fontId="214" fillId="14" borderId="0" applyNumberFormat="0" applyBorder="0" applyAlignment="0" applyProtection="0"/>
    <xf numFmtId="0" fontId="156" fillId="95" borderId="0" applyNumberFormat="0" applyBorder="0" applyAlignment="0" applyProtection="0"/>
    <xf numFmtId="0" fontId="156" fillId="95" borderId="0" applyNumberFormat="0" applyBorder="0" applyAlignment="0" applyProtection="0"/>
    <xf numFmtId="0" fontId="156" fillId="95" borderId="0" applyNumberFormat="0" applyBorder="0" applyAlignment="0" applyProtection="0"/>
    <xf numFmtId="0" fontId="156" fillId="95" borderId="0" applyNumberFormat="0" applyBorder="0" applyAlignment="0" applyProtection="0"/>
    <xf numFmtId="0" fontId="156" fillId="95" borderId="0" applyNumberFormat="0" applyBorder="0" applyAlignment="0" applyProtection="0"/>
    <xf numFmtId="0" fontId="156" fillId="95" borderId="0" applyNumberFormat="0" applyBorder="0" applyAlignment="0" applyProtection="0"/>
    <xf numFmtId="0" fontId="156" fillId="95" borderId="0" applyNumberFormat="0" applyBorder="0" applyAlignment="0" applyProtection="0"/>
    <xf numFmtId="0" fontId="156" fillId="95" borderId="0" applyNumberFormat="0" applyBorder="0" applyAlignment="0" applyProtection="0"/>
    <xf numFmtId="0" fontId="156" fillId="95" borderId="0" applyNumberFormat="0" applyBorder="0" applyAlignment="0" applyProtection="0"/>
    <xf numFmtId="0" fontId="156" fillId="95" borderId="0" applyNumberFormat="0" applyBorder="0" applyAlignment="0" applyProtection="0"/>
    <xf numFmtId="0" fontId="156" fillId="95" borderId="0" applyNumberFormat="0" applyBorder="0" applyAlignment="0" applyProtection="0"/>
    <xf numFmtId="0" fontId="156" fillId="95" borderId="0" applyNumberFormat="0" applyBorder="0" applyAlignment="0" applyProtection="0"/>
    <xf numFmtId="0" fontId="156" fillId="95" borderId="0" applyNumberFormat="0" applyBorder="0" applyAlignment="0" applyProtection="0"/>
    <xf numFmtId="0" fontId="156" fillId="95" borderId="0" applyNumberFormat="0" applyBorder="0" applyAlignment="0" applyProtection="0"/>
    <xf numFmtId="0" fontId="156" fillId="95" borderId="0" applyNumberFormat="0" applyBorder="0" applyAlignment="0" applyProtection="0"/>
    <xf numFmtId="0" fontId="156" fillId="95" borderId="0" applyNumberFormat="0" applyBorder="0" applyAlignment="0" applyProtection="0"/>
    <xf numFmtId="0" fontId="156" fillId="95" borderId="0" applyNumberFormat="0" applyBorder="0" applyAlignment="0" applyProtection="0"/>
    <xf numFmtId="0" fontId="156" fillId="95" borderId="0" applyNumberFormat="0" applyBorder="0" applyAlignment="0" applyProtection="0"/>
    <xf numFmtId="0" fontId="156" fillId="95" borderId="0" applyNumberFormat="0" applyBorder="0" applyAlignment="0" applyProtection="0"/>
    <xf numFmtId="0" fontId="156" fillId="95" borderId="0" applyNumberFormat="0" applyBorder="0" applyAlignment="0" applyProtection="0"/>
    <xf numFmtId="0" fontId="156" fillId="95" borderId="0" applyNumberFormat="0" applyBorder="0" applyAlignment="0" applyProtection="0"/>
    <xf numFmtId="0" fontId="156" fillId="95" borderId="0" applyNumberFormat="0" applyBorder="0" applyAlignment="0" applyProtection="0"/>
    <xf numFmtId="0" fontId="156" fillId="95" borderId="0" applyNumberFormat="0" applyBorder="0" applyAlignment="0" applyProtection="0"/>
    <xf numFmtId="0" fontId="156" fillId="95" borderId="0" applyNumberFormat="0" applyBorder="0" applyAlignment="0" applyProtection="0"/>
    <xf numFmtId="0" fontId="156" fillId="95" borderId="0" applyNumberFormat="0" applyBorder="0" applyAlignment="0" applyProtection="0"/>
    <xf numFmtId="0" fontId="156" fillId="95" borderId="0" applyNumberFormat="0" applyBorder="0" applyAlignment="0" applyProtection="0"/>
    <xf numFmtId="0" fontId="156" fillId="95" borderId="0" applyNumberFormat="0" applyBorder="0" applyAlignment="0" applyProtection="0"/>
    <xf numFmtId="0" fontId="156" fillId="95" borderId="0" applyNumberFormat="0" applyBorder="0" applyAlignment="0" applyProtection="0"/>
    <xf numFmtId="0" fontId="156" fillId="95" borderId="0" applyNumberFormat="0" applyBorder="0" applyAlignment="0" applyProtection="0"/>
    <xf numFmtId="0" fontId="156" fillId="95" borderId="0" applyNumberFormat="0" applyBorder="0" applyAlignment="0" applyProtection="0"/>
    <xf numFmtId="0" fontId="156" fillId="95" borderId="0" applyNumberFormat="0" applyBorder="0" applyAlignment="0" applyProtection="0"/>
    <xf numFmtId="0" fontId="156" fillId="95" borderId="0" applyNumberFormat="0" applyBorder="0" applyAlignment="0" applyProtection="0"/>
    <xf numFmtId="0" fontId="156" fillId="95" borderId="0" applyNumberFormat="0" applyBorder="0" applyAlignment="0" applyProtection="0"/>
    <xf numFmtId="0" fontId="156" fillId="95" borderId="0" applyNumberFormat="0" applyBorder="0" applyAlignment="0" applyProtection="0"/>
    <xf numFmtId="0" fontId="156" fillId="95" borderId="0" applyNumberFormat="0" applyBorder="0" applyAlignment="0" applyProtection="0"/>
    <xf numFmtId="0" fontId="156" fillId="95" borderId="0" applyNumberFormat="0" applyBorder="0" applyAlignment="0" applyProtection="0"/>
    <xf numFmtId="0" fontId="156" fillId="95" borderId="0" applyNumberFormat="0" applyBorder="0" applyAlignment="0" applyProtection="0"/>
    <xf numFmtId="0" fontId="156" fillId="95" borderId="0" applyNumberFormat="0" applyBorder="0" applyAlignment="0" applyProtection="0"/>
    <xf numFmtId="0" fontId="156" fillId="95" borderId="0" applyNumberFormat="0" applyBorder="0" applyAlignment="0" applyProtection="0"/>
    <xf numFmtId="0" fontId="156" fillId="95" borderId="0" applyNumberFormat="0" applyBorder="0" applyAlignment="0" applyProtection="0"/>
    <xf numFmtId="0" fontId="156" fillId="95" borderId="0" applyNumberFormat="0" applyBorder="0" applyAlignment="0" applyProtection="0"/>
    <xf numFmtId="0" fontId="156" fillId="95" borderId="0" applyNumberFormat="0" applyBorder="0" applyAlignment="0" applyProtection="0"/>
    <xf numFmtId="0" fontId="156" fillId="95" borderId="0" applyNumberFormat="0" applyBorder="0" applyAlignment="0" applyProtection="0"/>
    <xf numFmtId="0" fontId="156" fillId="95" borderId="0" applyNumberFormat="0" applyBorder="0" applyAlignment="0" applyProtection="0"/>
    <xf numFmtId="0" fontId="156" fillId="95" borderId="0" applyNumberFormat="0" applyBorder="0" applyAlignment="0" applyProtection="0"/>
    <xf numFmtId="0" fontId="156" fillId="95" borderId="0" applyNumberFormat="0" applyBorder="0" applyAlignment="0" applyProtection="0"/>
    <xf numFmtId="0" fontId="156" fillId="95" borderId="0" applyNumberFormat="0" applyBorder="0" applyAlignment="0" applyProtection="0"/>
    <xf numFmtId="0" fontId="156" fillId="99" borderId="0" applyNumberFormat="0" applyBorder="0" applyAlignment="0" applyProtection="0"/>
    <xf numFmtId="0" fontId="156" fillId="99" borderId="0" applyNumberFormat="0" applyBorder="0" applyAlignment="0" applyProtection="0"/>
    <xf numFmtId="0" fontId="156" fillId="99" borderId="0" applyNumberFormat="0" applyBorder="0" applyAlignment="0" applyProtection="0"/>
    <xf numFmtId="0" fontId="156" fillId="99" borderId="0" applyNumberFormat="0" applyBorder="0" applyAlignment="0" applyProtection="0"/>
    <xf numFmtId="0" fontId="156" fillId="99" borderId="0" applyNumberFormat="0" applyBorder="0" applyAlignment="0" applyProtection="0"/>
    <xf numFmtId="0" fontId="156" fillId="99" borderId="0" applyNumberFormat="0" applyBorder="0" applyAlignment="0" applyProtection="0"/>
    <xf numFmtId="0" fontId="156" fillId="99" borderId="0" applyNumberFormat="0" applyBorder="0" applyAlignment="0" applyProtection="0"/>
    <xf numFmtId="0" fontId="156" fillId="99" borderId="0" applyNumberFormat="0" applyBorder="0" applyAlignment="0" applyProtection="0"/>
    <xf numFmtId="0" fontId="156" fillId="99" borderId="0" applyNumberFormat="0" applyBorder="0" applyAlignment="0" applyProtection="0"/>
    <xf numFmtId="0" fontId="156" fillId="99" borderId="0" applyNumberFormat="0" applyBorder="0" applyAlignment="0" applyProtection="0"/>
    <xf numFmtId="0" fontId="214" fillId="15" borderId="0" applyNumberFormat="0" applyBorder="0" applyAlignment="0" applyProtection="0"/>
    <xf numFmtId="0" fontId="156" fillId="99" borderId="0" applyNumberFormat="0" applyBorder="0" applyAlignment="0" applyProtection="0"/>
    <xf numFmtId="0" fontId="156" fillId="99" borderId="0" applyNumberFormat="0" applyBorder="0" applyAlignment="0" applyProtection="0"/>
    <xf numFmtId="0" fontId="156" fillId="99" borderId="0" applyNumberFormat="0" applyBorder="0" applyAlignment="0" applyProtection="0"/>
    <xf numFmtId="0" fontId="156" fillId="99" borderId="0" applyNumberFormat="0" applyBorder="0" applyAlignment="0" applyProtection="0"/>
    <xf numFmtId="0" fontId="156" fillId="99" borderId="0" applyNumberFormat="0" applyBorder="0" applyAlignment="0" applyProtection="0"/>
    <xf numFmtId="0" fontId="156" fillId="99" borderId="0" applyNumberFormat="0" applyBorder="0" applyAlignment="0" applyProtection="0"/>
    <xf numFmtId="0" fontId="156" fillId="99" borderId="0" applyNumberFormat="0" applyBorder="0" applyAlignment="0" applyProtection="0"/>
    <xf numFmtId="0" fontId="156" fillId="99" borderId="0" applyNumberFormat="0" applyBorder="0" applyAlignment="0" applyProtection="0"/>
    <xf numFmtId="0" fontId="156" fillId="99" borderId="0" applyNumberFormat="0" applyBorder="0" applyAlignment="0" applyProtection="0"/>
    <xf numFmtId="0" fontId="156" fillId="99" borderId="0" applyNumberFormat="0" applyBorder="0" applyAlignment="0" applyProtection="0"/>
    <xf numFmtId="0" fontId="156" fillId="99" borderId="0" applyNumberFormat="0" applyBorder="0" applyAlignment="0" applyProtection="0"/>
    <xf numFmtId="0" fontId="156" fillId="99" borderId="0" applyNumberFormat="0" applyBorder="0" applyAlignment="0" applyProtection="0"/>
    <xf numFmtId="0" fontId="156" fillId="99" borderId="0" applyNumberFormat="0" applyBorder="0" applyAlignment="0" applyProtection="0"/>
    <xf numFmtId="0" fontId="156" fillId="99" borderId="0" applyNumberFormat="0" applyBorder="0" applyAlignment="0" applyProtection="0"/>
    <xf numFmtId="0" fontId="156" fillId="99" borderId="0" applyNumberFormat="0" applyBorder="0" applyAlignment="0" applyProtection="0"/>
    <xf numFmtId="0" fontId="156" fillId="99" borderId="0" applyNumberFormat="0" applyBorder="0" applyAlignment="0" applyProtection="0"/>
    <xf numFmtId="0" fontId="156" fillId="99" borderId="0" applyNumberFormat="0" applyBorder="0" applyAlignment="0" applyProtection="0"/>
    <xf numFmtId="0" fontId="156" fillId="99" borderId="0" applyNumberFormat="0" applyBorder="0" applyAlignment="0" applyProtection="0"/>
    <xf numFmtId="0" fontId="156" fillId="99" borderId="0" applyNumberFormat="0" applyBorder="0" applyAlignment="0" applyProtection="0"/>
    <xf numFmtId="0" fontId="156" fillId="99" borderId="0" applyNumberFormat="0" applyBorder="0" applyAlignment="0" applyProtection="0"/>
    <xf numFmtId="0" fontId="156" fillId="99" borderId="0" applyNumberFormat="0" applyBorder="0" applyAlignment="0" applyProtection="0"/>
    <xf numFmtId="0" fontId="156" fillId="99" borderId="0" applyNumberFormat="0" applyBorder="0" applyAlignment="0" applyProtection="0"/>
    <xf numFmtId="0" fontId="156" fillId="99" borderId="0" applyNumberFormat="0" applyBorder="0" applyAlignment="0" applyProtection="0"/>
    <xf numFmtId="0" fontId="156" fillId="99" borderId="0" applyNumberFormat="0" applyBorder="0" applyAlignment="0" applyProtection="0"/>
    <xf numFmtId="0" fontId="156" fillId="99" borderId="0" applyNumberFormat="0" applyBorder="0" applyAlignment="0" applyProtection="0"/>
    <xf numFmtId="0" fontId="156" fillId="99" borderId="0" applyNumberFormat="0" applyBorder="0" applyAlignment="0" applyProtection="0"/>
    <xf numFmtId="0" fontId="156" fillId="99" borderId="0" applyNumberFormat="0" applyBorder="0" applyAlignment="0" applyProtection="0"/>
    <xf numFmtId="0" fontId="156" fillId="99" borderId="0" applyNumberFormat="0" applyBorder="0" applyAlignment="0" applyProtection="0"/>
    <xf numFmtId="0" fontId="156" fillId="99" borderId="0" applyNumberFormat="0" applyBorder="0" applyAlignment="0" applyProtection="0"/>
    <xf numFmtId="0" fontId="156" fillId="99" borderId="0" applyNumberFormat="0" applyBorder="0" applyAlignment="0" applyProtection="0"/>
    <xf numFmtId="0" fontId="156" fillId="99" borderId="0" applyNumberFormat="0" applyBorder="0" applyAlignment="0" applyProtection="0"/>
    <xf numFmtId="0" fontId="156" fillId="99" borderId="0" applyNumberFormat="0" applyBorder="0" applyAlignment="0" applyProtection="0"/>
    <xf numFmtId="0" fontId="156" fillId="99" borderId="0" applyNumberFormat="0" applyBorder="0" applyAlignment="0" applyProtection="0"/>
    <xf numFmtId="0" fontId="156" fillId="99" borderId="0" applyNumberFormat="0" applyBorder="0" applyAlignment="0" applyProtection="0"/>
    <xf numFmtId="0" fontId="156" fillId="99" borderId="0" applyNumberFormat="0" applyBorder="0" applyAlignment="0" applyProtection="0"/>
    <xf numFmtId="0" fontId="156" fillId="99" borderId="0" applyNumberFormat="0" applyBorder="0" applyAlignment="0" applyProtection="0"/>
    <xf numFmtId="0" fontId="156" fillId="99" borderId="0" applyNumberFormat="0" applyBorder="0" applyAlignment="0" applyProtection="0"/>
    <xf numFmtId="0" fontId="156" fillId="99" borderId="0" applyNumberFormat="0" applyBorder="0" applyAlignment="0" applyProtection="0"/>
    <xf numFmtId="0" fontId="156" fillId="99" borderId="0" applyNumberFormat="0" applyBorder="0" applyAlignment="0" applyProtection="0"/>
    <xf numFmtId="0" fontId="156" fillId="99" borderId="0" applyNumberFormat="0" applyBorder="0" applyAlignment="0" applyProtection="0"/>
    <xf numFmtId="0" fontId="156" fillId="99" borderId="0" applyNumberFormat="0" applyBorder="0" applyAlignment="0" applyProtection="0"/>
    <xf numFmtId="0" fontId="156" fillId="99" borderId="0" applyNumberFormat="0" applyBorder="0" applyAlignment="0" applyProtection="0"/>
    <xf numFmtId="0" fontId="156" fillId="99" borderId="0" applyNumberFormat="0" applyBorder="0" applyAlignment="0" applyProtection="0"/>
    <xf numFmtId="0" fontId="156" fillId="99" borderId="0" applyNumberFormat="0" applyBorder="0" applyAlignment="0" applyProtection="0"/>
    <xf numFmtId="0" fontId="156" fillId="99" borderId="0" applyNumberFormat="0" applyBorder="0" applyAlignment="0" applyProtection="0"/>
    <xf numFmtId="0" fontId="156" fillId="99" borderId="0" applyNumberFormat="0" applyBorder="0" applyAlignment="0" applyProtection="0"/>
    <xf numFmtId="0" fontId="156" fillId="99" borderId="0" applyNumberFormat="0" applyBorder="0" applyAlignment="0" applyProtection="0"/>
    <xf numFmtId="0" fontId="156" fillId="80" borderId="0" applyNumberFormat="0" applyBorder="0" applyAlignment="0" applyProtection="0"/>
    <xf numFmtId="0" fontId="156" fillId="80" borderId="0" applyNumberFormat="0" applyBorder="0" applyAlignment="0" applyProtection="0"/>
    <xf numFmtId="0" fontId="156" fillId="80" borderId="0" applyNumberFormat="0" applyBorder="0" applyAlignment="0" applyProtection="0"/>
    <xf numFmtId="0" fontId="156" fillId="80" borderId="0" applyNumberFormat="0" applyBorder="0" applyAlignment="0" applyProtection="0"/>
    <xf numFmtId="0" fontId="156" fillId="80" borderId="0" applyNumberFormat="0" applyBorder="0" applyAlignment="0" applyProtection="0"/>
    <xf numFmtId="0" fontId="156" fillId="80" borderId="0" applyNumberFormat="0" applyBorder="0" applyAlignment="0" applyProtection="0"/>
    <xf numFmtId="0" fontId="156" fillId="80" borderId="0" applyNumberFormat="0" applyBorder="0" applyAlignment="0" applyProtection="0"/>
    <xf numFmtId="0" fontId="156" fillId="80" borderId="0" applyNumberFormat="0" applyBorder="0" applyAlignment="0" applyProtection="0"/>
    <xf numFmtId="0" fontId="156" fillId="80" borderId="0" applyNumberFormat="0" applyBorder="0" applyAlignment="0" applyProtection="0"/>
    <xf numFmtId="0" fontId="156" fillId="80" borderId="0" applyNumberFormat="0" applyBorder="0" applyAlignment="0" applyProtection="0"/>
    <xf numFmtId="0" fontId="214" fillId="16" borderId="0" applyNumberFormat="0" applyBorder="0" applyAlignment="0" applyProtection="0"/>
    <xf numFmtId="0" fontId="156" fillId="80" borderId="0" applyNumberFormat="0" applyBorder="0" applyAlignment="0" applyProtection="0"/>
    <xf numFmtId="0" fontId="156" fillId="80" borderId="0" applyNumberFormat="0" applyBorder="0" applyAlignment="0" applyProtection="0"/>
    <xf numFmtId="0" fontId="156" fillId="80" borderId="0" applyNumberFormat="0" applyBorder="0" applyAlignment="0" applyProtection="0"/>
    <xf numFmtId="0" fontId="156" fillId="80" borderId="0" applyNumberFormat="0" applyBorder="0" applyAlignment="0" applyProtection="0"/>
    <xf numFmtId="0" fontId="156" fillId="80" borderId="0" applyNumberFormat="0" applyBorder="0" applyAlignment="0" applyProtection="0"/>
    <xf numFmtId="0" fontId="156" fillId="80" borderId="0" applyNumberFormat="0" applyBorder="0" applyAlignment="0" applyProtection="0"/>
    <xf numFmtId="0" fontId="156" fillId="80" borderId="0" applyNumberFormat="0" applyBorder="0" applyAlignment="0" applyProtection="0"/>
    <xf numFmtId="0" fontId="156" fillId="80" borderId="0" applyNumberFormat="0" applyBorder="0" applyAlignment="0" applyProtection="0"/>
    <xf numFmtId="0" fontId="156" fillId="80" borderId="0" applyNumberFormat="0" applyBorder="0" applyAlignment="0" applyProtection="0"/>
    <xf numFmtId="0" fontId="156" fillId="80" borderId="0" applyNumberFormat="0" applyBorder="0" applyAlignment="0" applyProtection="0"/>
    <xf numFmtId="0" fontId="156" fillId="80" borderId="0" applyNumberFormat="0" applyBorder="0" applyAlignment="0" applyProtection="0"/>
    <xf numFmtId="0" fontId="156" fillId="80" borderId="0" applyNumberFormat="0" applyBorder="0" applyAlignment="0" applyProtection="0"/>
    <xf numFmtId="0" fontId="156" fillId="80" borderId="0" applyNumberFormat="0" applyBorder="0" applyAlignment="0" applyProtection="0"/>
    <xf numFmtId="0" fontId="156" fillId="80" borderId="0" applyNumberFormat="0" applyBorder="0" applyAlignment="0" applyProtection="0"/>
    <xf numFmtId="0" fontId="156" fillId="80" borderId="0" applyNumberFormat="0" applyBorder="0" applyAlignment="0" applyProtection="0"/>
    <xf numFmtId="0" fontId="156" fillId="80" borderId="0" applyNumberFormat="0" applyBorder="0" applyAlignment="0" applyProtection="0"/>
    <xf numFmtId="0" fontId="156" fillId="80" borderId="0" applyNumberFormat="0" applyBorder="0" applyAlignment="0" applyProtection="0"/>
    <xf numFmtId="0" fontId="156" fillId="80" borderId="0" applyNumberFormat="0" applyBorder="0" applyAlignment="0" applyProtection="0"/>
    <xf numFmtId="0" fontId="156" fillId="80" borderId="0" applyNumberFormat="0" applyBorder="0" applyAlignment="0" applyProtection="0"/>
    <xf numFmtId="0" fontId="156" fillId="80" borderId="0" applyNumberFormat="0" applyBorder="0" applyAlignment="0" applyProtection="0"/>
    <xf numFmtId="0" fontId="156" fillId="80" borderId="0" applyNumberFormat="0" applyBorder="0" applyAlignment="0" applyProtection="0"/>
    <xf numFmtId="0" fontId="156" fillId="80" borderId="0" applyNumberFormat="0" applyBorder="0" applyAlignment="0" applyProtection="0"/>
    <xf numFmtId="0" fontId="156" fillId="80" borderId="0" applyNumberFormat="0" applyBorder="0" applyAlignment="0" applyProtection="0"/>
    <xf numFmtId="0" fontId="156" fillId="80" borderId="0" applyNumberFormat="0" applyBorder="0" applyAlignment="0" applyProtection="0"/>
    <xf numFmtId="0" fontId="156" fillId="80" borderId="0" applyNumberFormat="0" applyBorder="0" applyAlignment="0" applyProtection="0"/>
    <xf numFmtId="0" fontId="156" fillId="80" borderId="0" applyNumberFormat="0" applyBorder="0" applyAlignment="0" applyProtection="0"/>
    <xf numFmtId="0" fontId="156" fillId="80" borderId="0" applyNumberFormat="0" applyBorder="0" applyAlignment="0" applyProtection="0"/>
    <xf numFmtId="0" fontId="156" fillId="80" borderId="0" applyNumberFormat="0" applyBorder="0" applyAlignment="0" applyProtection="0"/>
    <xf numFmtId="0" fontId="156" fillId="80" borderId="0" applyNumberFormat="0" applyBorder="0" applyAlignment="0" applyProtection="0"/>
    <xf numFmtId="0" fontId="156" fillId="80" borderId="0" applyNumberFormat="0" applyBorder="0" applyAlignment="0" applyProtection="0"/>
    <xf numFmtId="0" fontId="156" fillId="80" borderId="0" applyNumberFormat="0" applyBorder="0" applyAlignment="0" applyProtection="0"/>
    <xf numFmtId="0" fontId="156" fillId="80" borderId="0" applyNumberFormat="0" applyBorder="0" applyAlignment="0" applyProtection="0"/>
    <xf numFmtId="0" fontId="156" fillId="80" borderId="0" applyNumberFormat="0" applyBorder="0" applyAlignment="0" applyProtection="0"/>
    <xf numFmtId="0" fontId="156" fillId="80" borderId="0" applyNumberFormat="0" applyBorder="0" applyAlignment="0" applyProtection="0"/>
    <xf numFmtId="0" fontId="156" fillId="80" borderId="0" applyNumberFormat="0" applyBorder="0" applyAlignment="0" applyProtection="0"/>
    <xf numFmtId="0" fontId="156" fillId="80" borderId="0" applyNumberFormat="0" applyBorder="0" applyAlignment="0" applyProtection="0"/>
    <xf numFmtId="0" fontId="156" fillId="80" borderId="0" applyNumberFormat="0" applyBorder="0" applyAlignment="0" applyProtection="0"/>
    <xf numFmtId="0" fontId="156" fillId="80" borderId="0" applyNumberFormat="0" applyBorder="0" applyAlignment="0" applyProtection="0"/>
    <xf numFmtId="0" fontId="156" fillId="80" borderId="0" applyNumberFormat="0" applyBorder="0" applyAlignment="0" applyProtection="0"/>
    <xf numFmtId="0" fontId="156" fillId="80" borderId="0" applyNumberFormat="0" applyBorder="0" applyAlignment="0" applyProtection="0"/>
    <xf numFmtId="0" fontId="156" fillId="80" borderId="0" applyNumberFormat="0" applyBorder="0" applyAlignment="0" applyProtection="0"/>
    <xf numFmtId="0" fontId="156" fillId="80" borderId="0" applyNumberFormat="0" applyBorder="0" applyAlignment="0" applyProtection="0"/>
    <xf numFmtId="0" fontId="156" fillId="80" borderId="0" applyNumberFormat="0" applyBorder="0" applyAlignment="0" applyProtection="0"/>
    <xf numFmtId="0" fontId="156" fillId="80" borderId="0" applyNumberFormat="0" applyBorder="0" applyAlignment="0" applyProtection="0"/>
    <xf numFmtId="0" fontId="156" fillId="80" borderId="0" applyNumberFormat="0" applyBorder="0" applyAlignment="0" applyProtection="0"/>
    <xf numFmtId="0" fontId="156" fillId="80" borderId="0" applyNumberFormat="0" applyBorder="0" applyAlignment="0" applyProtection="0"/>
    <xf numFmtId="0" fontId="156" fillId="80" borderId="0" applyNumberFormat="0" applyBorder="0" applyAlignment="0" applyProtection="0"/>
    <xf numFmtId="0" fontId="156" fillId="83" borderId="0" applyNumberFormat="0" applyBorder="0" applyAlignment="0" applyProtection="0"/>
    <xf numFmtId="0" fontId="156" fillId="83" borderId="0" applyNumberFormat="0" applyBorder="0" applyAlignment="0" applyProtection="0"/>
    <xf numFmtId="0" fontId="156" fillId="83" borderId="0" applyNumberFormat="0" applyBorder="0" applyAlignment="0" applyProtection="0"/>
    <xf numFmtId="0" fontId="156" fillId="83" borderId="0" applyNumberFormat="0" applyBorder="0" applyAlignment="0" applyProtection="0"/>
    <xf numFmtId="0" fontId="156" fillId="83" borderId="0" applyNumberFormat="0" applyBorder="0" applyAlignment="0" applyProtection="0"/>
    <xf numFmtId="0" fontId="156" fillId="83" borderId="0" applyNumberFormat="0" applyBorder="0" applyAlignment="0" applyProtection="0"/>
    <xf numFmtId="0" fontId="156" fillId="83" borderId="0" applyNumberFormat="0" applyBorder="0" applyAlignment="0" applyProtection="0"/>
    <xf numFmtId="0" fontId="156" fillId="83" borderId="0" applyNumberFormat="0" applyBorder="0" applyAlignment="0" applyProtection="0"/>
    <xf numFmtId="0" fontId="156" fillId="83" borderId="0" applyNumberFormat="0" applyBorder="0" applyAlignment="0" applyProtection="0"/>
    <xf numFmtId="0" fontId="156" fillId="83" borderId="0" applyNumberFormat="0" applyBorder="0" applyAlignment="0" applyProtection="0"/>
    <xf numFmtId="0" fontId="214" fillId="17" borderId="0" applyNumberFormat="0" applyBorder="0" applyAlignment="0" applyProtection="0"/>
    <xf numFmtId="0" fontId="156" fillId="83" borderId="0" applyNumberFormat="0" applyBorder="0" applyAlignment="0" applyProtection="0"/>
    <xf numFmtId="0" fontId="156" fillId="83" borderId="0" applyNumberFormat="0" applyBorder="0" applyAlignment="0" applyProtection="0"/>
    <xf numFmtId="0" fontId="156" fillId="83" borderId="0" applyNumberFormat="0" applyBorder="0" applyAlignment="0" applyProtection="0"/>
    <xf numFmtId="0" fontId="156" fillId="83" borderId="0" applyNumberFormat="0" applyBorder="0" applyAlignment="0" applyProtection="0"/>
    <xf numFmtId="0" fontId="156" fillId="83" borderId="0" applyNumberFormat="0" applyBorder="0" applyAlignment="0" applyProtection="0"/>
    <xf numFmtId="0" fontId="156" fillId="83" borderId="0" applyNumberFormat="0" applyBorder="0" applyAlignment="0" applyProtection="0"/>
    <xf numFmtId="0" fontId="156" fillId="83" borderId="0" applyNumberFormat="0" applyBorder="0" applyAlignment="0" applyProtection="0"/>
    <xf numFmtId="0" fontId="156" fillId="83" borderId="0" applyNumberFormat="0" applyBorder="0" applyAlignment="0" applyProtection="0"/>
    <xf numFmtId="0" fontId="156" fillId="83" borderId="0" applyNumberFormat="0" applyBorder="0" applyAlignment="0" applyProtection="0"/>
    <xf numFmtId="0" fontId="156" fillId="83" borderId="0" applyNumberFormat="0" applyBorder="0" applyAlignment="0" applyProtection="0"/>
    <xf numFmtId="0" fontId="156" fillId="83" borderId="0" applyNumberFormat="0" applyBorder="0" applyAlignment="0" applyProtection="0"/>
    <xf numFmtId="0" fontId="156" fillId="83" borderId="0" applyNumberFormat="0" applyBorder="0" applyAlignment="0" applyProtection="0"/>
    <xf numFmtId="0" fontId="156" fillId="83" borderId="0" applyNumberFormat="0" applyBorder="0" applyAlignment="0" applyProtection="0"/>
    <xf numFmtId="0" fontId="156" fillId="83" borderId="0" applyNumberFormat="0" applyBorder="0" applyAlignment="0" applyProtection="0"/>
    <xf numFmtId="0" fontId="156" fillId="83" borderId="0" applyNumberFormat="0" applyBorder="0" applyAlignment="0" applyProtection="0"/>
    <xf numFmtId="0" fontId="156" fillId="83" borderId="0" applyNumberFormat="0" applyBorder="0" applyAlignment="0" applyProtection="0"/>
    <xf numFmtId="0" fontId="156" fillId="83" borderId="0" applyNumberFormat="0" applyBorder="0" applyAlignment="0" applyProtection="0"/>
    <xf numFmtId="0" fontId="156" fillId="83" borderId="0" applyNumberFormat="0" applyBorder="0" applyAlignment="0" applyProtection="0"/>
    <xf numFmtId="0" fontId="156" fillId="83" borderId="0" applyNumberFormat="0" applyBorder="0" applyAlignment="0" applyProtection="0"/>
    <xf numFmtId="0" fontId="156" fillId="83" borderId="0" applyNumberFormat="0" applyBorder="0" applyAlignment="0" applyProtection="0"/>
    <xf numFmtId="0" fontId="156" fillId="83" borderId="0" applyNumberFormat="0" applyBorder="0" applyAlignment="0" applyProtection="0"/>
    <xf numFmtId="0" fontId="156" fillId="83" borderId="0" applyNumberFormat="0" applyBorder="0" applyAlignment="0" applyProtection="0"/>
    <xf numFmtId="0" fontId="156" fillId="83" borderId="0" applyNumberFormat="0" applyBorder="0" applyAlignment="0" applyProtection="0"/>
    <xf numFmtId="0" fontId="156" fillId="83" borderId="0" applyNumberFormat="0" applyBorder="0" applyAlignment="0" applyProtection="0"/>
    <xf numFmtId="0" fontId="156" fillId="83" borderId="0" applyNumberFormat="0" applyBorder="0" applyAlignment="0" applyProtection="0"/>
    <xf numFmtId="0" fontId="156" fillId="83" borderId="0" applyNumberFormat="0" applyBorder="0" applyAlignment="0" applyProtection="0"/>
    <xf numFmtId="0" fontId="156" fillId="83" borderId="0" applyNumberFormat="0" applyBorder="0" applyAlignment="0" applyProtection="0"/>
    <xf numFmtId="0" fontId="156" fillId="83" borderId="0" applyNumberFormat="0" applyBorder="0" applyAlignment="0" applyProtection="0"/>
    <xf numFmtId="0" fontId="156" fillId="83" borderId="0" applyNumberFormat="0" applyBorder="0" applyAlignment="0" applyProtection="0"/>
    <xf numFmtId="0" fontId="156" fillId="83" borderId="0" applyNumberFormat="0" applyBorder="0" applyAlignment="0" applyProtection="0"/>
    <xf numFmtId="0" fontId="156" fillId="83" borderId="0" applyNumberFormat="0" applyBorder="0" applyAlignment="0" applyProtection="0"/>
    <xf numFmtId="0" fontId="156" fillId="83" borderId="0" applyNumberFormat="0" applyBorder="0" applyAlignment="0" applyProtection="0"/>
    <xf numFmtId="0" fontId="156" fillId="83" borderId="0" applyNumberFormat="0" applyBorder="0" applyAlignment="0" applyProtection="0"/>
    <xf numFmtId="0" fontId="156" fillId="83" borderId="0" applyNumberFormat="0" applyBorder="0" applyAlignment="0" applyProtection="0"/>
    <xf numFmtId="0" fontId="156" fillId="83" borderId="0" applyNumberFormat="0" applyBorder="0" applyAlignment="0" applyProtection="0"/>
    <xf numFmtId="0" fontId="156" fillId="83" borderId="0" applyNumberFormat="0" applyBorder="0" applyAlignment="0" applyProtection="0"/>
    <xf numFmtId="0" fontId="156" fillId="83" borderId="0" applyNumberFormat="0" applyBorder="0" applyAlignment="0" applyProtection="0"/>
    <xf numFmtId="0" fontId="156" fillId="83" borderId="0" applyNumberFormat="0" applyBorder="0" applyAlignment="0" applyProtection="0"/>
    <xf numFmtId="0" fontId="156" fillId="83" borderId="0" applyNumberFormat="0" applyBorder="0" applyAlignment="0" applyProtection="0"/>
    <xf numFmtId="0" fontId="156" fillId="83" borderId="0" applyNumberFormat="0" applyBorder="0" applyAlignment="0" applyProtection="0"/>
    <xf numFmtId="0" fontId="156" fillId="83" borderId="0" applyNumberFormat="0" applyBorder="0" applyAlignment="0" applyProtection="0"/>
    <xf numFmtId="0" fontId="156" fillId="83" borderId="0" applyNumberFormat="0" applyBorder="0" applyAlignment="0" applyProtection="0"/>
    <xf numFmtId="0" fontId="156" fillId="83" borderId="0" applyNumberFormat="0" applyBorder="0" applyAlignment="0" applyProtection="0"/>
    <xf numFmtId="0" fontId="156" fillId="83" borderId="0" applyNumberFormat="0" applyBorder="0" applyAlignment="0" applyProtection="0"/>
    <xf numFmtId="0" fontId="156" fillId="83" borderId="0" applyNumberFormat="0" applyBorder="0" applyAlignment="0" applyProtection="0"/>
    <xf numFmtId="0" fontId="156" fillId="83" borderId="0" applyNumberFormat="0" applyBorder="0" applyAlignment="0" applyProtection="0"/>
    <xf numFmtId="0" fontId="156" fillId="83" borderId="0" applyNumberFormat="0" applyBorder="0" applyAlignment="0" applyProtection="0"/>
    <xf numFmtId="0" fontId="156" fillId="85" borderId="0" applyNumberFormat="0" applyBorder="0" applyAlignment="0" applyProtection="0"/>
    <xf numFmtId="0" fontId="156" fillId="85" borderId="0" applyNumberFormat="0" applyBorder="0" applyAlignment="0" applyProtection="0"/>
    <xf numFmtId="0" fontId="156" fillId="85" borderId="0" applyNumberFormat="0" applyBorder="0" applyAlignment="0" applyProtection="0"/>
    <xf numFmtId="0" fontId="156" fillId="85" borderId="0" applyNumberFormat="0" applyBorder="0" applyAlignment="0" applyProtection="0"/>
    <xf numFmtId="0" fontId="156" fillId="85" borderId="0" applyNumberFormat="0" applyBorder="0" applyAlignment="0" applyProtection="0"/>
    <xf numFmtId="0" fontId="156" fillId="85" borderId="0" applyNumberFormat="0" applyBorder="0" applyAlignment="0" applyProtection="0"/>
    <xf numFmtId="0" fontId="156" fillId="85" borderId="0" applyNumberFormat="0" applyBorder="0" applyAlignment="0" applyProtection="0"/>
    <xf numFmtId="0" fontId="156" fillId="85" borderId="0" applyNumberFormat="0" applyBorder="0" applyAlignment="0" applyProtection="0"/>
    <xf numFmtId="0" fontId="156" fillId="85" borderId="0" applyNumberFormat="0" applyBorder="0" applyAlignment="0" applyProtection="0"/>
    <xf numFmtId="0" fontId="156" fillId="85" borderId="0" applyNumberFormat="0" applyBorder="0" applyAlignment="0" applyProtection="0"/>
    <xf numFmtId="0" fontId="214" fillId="18" borderId="0" applyNumberFormat="0" applyBorder="0" applyAlignment="0" applyProtection="0"/>
    <xf numFmtId="0" fontId="156" fillId="85" borderId="0" applyNumberFormat="0" applyBorder="0" applyAlignment="0" applyProtection="0"/>
    <xf numFmtId="0" fontId="156" fillId="85" borderId="0" applyNumberFormat="0" applyBorder="0" applyAlignment="0" applyProtection="0"/>
    <xf numFmtId="0" fontId="156" fillId="85" borderId="0" applyNumberFormat="0" applyBorder="0" applyAlignment="0" applyProtection="0"/>
    <xf numFmtId="0" fontId="156" fillId="85" borderId="0" applyNumberFormat="0" applyBorder="0" applyAlignment="0" applyProtection="0"/>
    <xf numFmtId="0" fontId="156" fillId="85" borderId="0" applyNumberFormat="0" applyBorder="0" applyAlignment="0" applyProtection="0"/>
    <xf numFmtId="0" fontId="156" fillId="85" borderId="0" applyNumberFormat="0" applyBorder="0" applyAlignment="0" applyProtection="0"/>
    <xf numFmtId="0" fontId="156" fillId="85" borderId="0" applyNumberFormat="0" applyBorder="0" applyAlignment="0" applyProtection="0"/>
    <xf numFmtId="0" fontId="156" fillId="85" borderId="0" applyNumberFormat="0" applyBorder="0" applyAlignment="0" applyProtection="0"/>
    <xf numFmtId="0" fontId="156" fillId="85" borderId="0" applyNumberFormat="0" applyBorder="0" applyAlignment="0" applyProtection="0"/>
    <xf numFmtId="0" fontId="156" fillId="85" borderId="0" applyNumberFormat="0" applyBorder="0" applyAlignment="0" applyProtection="0"/>
    <xf numFmtId="0" fontId="156" fillId="85" borderId="0" applyNumberFormat="0" applyBorder="0" applyAlignment="0" applyProtection="0"/>
    <xf numFmtId="0" fontId="156" fillId="85" borderId="0" applyNumberFormat="0" applyBorder="0" applyAlignment="0" applyProtection="0"/>
    <xf numFmtId="0" fontId="156" fillId="85" borderId="0" applyNumberFormat="0" applyBorder="0" applyAlignment="0" applyProtection="0"/>
    <xf numFmtId="0" fontId="156" fillId="85" borderId="0" applyNumberFormat="0" applyBorder="0" applyAlignment="0" applyProtection="0"/>
    <xf numFmtId="0" fontId="156" fillId="85" borderId="0" applyNumberFormat="0" applyBorder="0" applyAlignment="0" applyProtection="0"/>
    <xf numFmtId="0" fontId="156" fillId="85" borderId="0" applyNumberFormat="0" applyBorder="0" applyAlignment="0" applyProtection="0"/>
    <xf numFmtId="0" fontId="156" fillId="85" borderId="0" applyNumberFormat="0" applyBorder="0" applyAlignment="0" applyProtection="0"/>
    <xf numFmtId="0" fontId="156" fillId="85" borderId="0" applyNumberFormat="0" applyBorder="0" applyAlignment="0" applyProtection="0"/>
    <xf numFmtId="0" fontId="156" fillId="85" borderId="0" applyNumberFormat="0" applyBorder="0" applyAlignment="0" applyProtection="0"/>
    <xf numFmtId="0" fontId="156" fillId="85" borderId="0" applyNumberFormat="0" applyBorder="0" applyAlignment="0" applyProtection="0"/>
    <xf numFmtId="0" fontId="156" fillId="85" borderId="0" applyNumberFormat="0" applyBorder="0" applyAlignment="0" applyProtection="0"/>
    <xf numFmtId="0" fontId="156" fillId="85" borderId="0" applyNumberFormat="0" applyBorder="0" applyAlignment="0" applyProtection="0"/>
    <xf numFmtId="0" fontId="156" fillId="85" borderId="0" applyNumberFormat="0" applyBorder="0" applyAlignment="0" applyProtection="0"/>
    <xf numFmtId="0" fontId="156" fillId="85" borderId="0" applyNumberFormat="0" applyBorder="0" applyAlignment="0" applyProtection="0"/>
    <xf numFmtId="0" fontId="156" fillId="85" borderId="0" applyNumberFormat="0" applyBorder="0" applyAlignment="0" applyProtection="0"/>
    <xf numFmtId="0" fontId="156" fillId="85" borderId="0" applyNumberFormat="0" applyBorder="0" applyAlignment="0" applyProtection="0"/>
    <xf numFmtId="0" fontId="156" fillId="85" borderId="0" applyNumberFormat="0" applyBorder="0" applyAlignment="0" applyProtection="0"/>
    <xf numFmtId="0" fontId="156" fillId="85" borderId="0" applyNumberFormat="0" applyBorder="0" applyAlignment="0" applyProtection="0"/>
    <xf numFmtId="0" fontId="156" fillId="85" borderId="0" applyNumberFormat="0" applyBorder="0" applyAlignment="0" applyProtection="0"/>
    <xf numFmtId="0" fontId="156" fillId="85" borderId="0" applyNumberFormat="0" applyBorder="0" applyAlignment="0" applyProtection="0"/>
    <xf numFmtId="0" fontId="156" fillId="85" borderId="0" applyNumberFormat="0" applyBorder="0" applyAlignment="0" applyProtection="0"/>
    <xf numFmtId="0" fontId="156" fillId="85" borderId="0" applyNumberFormat="0" applyBorder="0" applyAlignment="0" applyProtection="0"/>
    <xf numFmtId="0" fontId="156" fillId="85" borderId="0" applyNumberFormat="0" applyBorder="0" applyAlignment="0" applyProtection="0"/>
    <xf numFmtId="0" fontId="156" fillId="85" borderId="0" applyNumberFormat="0" applyBorder="0" applyAlignment="0" applyProtection="0"/>
    <xf numFmtId="0" fontId="156" fillId="85" borderId="0" applyNumberFormat="0" applyBorder="0" applyAlignment="0" applyProtection="0"/>
    <xf numFmtId="0" fontId="156" fillId="85" borderId="0" applyNumberFormat="0" applyBorder="0" applyAlignment="0" applyProtection="0"/>
    <xf numFmtId="0" fontId="156" fillId="85" borderId="0" applyNumberFormat="0" applyBorder="0" applyAlignment="0" applyProtection="0"/>
    <xf numFmtId="0" fontId="156" fillId="85" borderId="0" applyNumberFormat="0" applyBorder="0" applyAlignment="0" applyProtection="0"/>
    <xf numFmtId="0" fontId="156" fillId="85" borderId="0" applyNumberFormat="0" applyBorder="0" applyAlignment="0" applyProtection="0"/>
    <xf numFmtId="0" fontId="156" fillId="85" borderId="0" applyNumberFormat="0" applyBorder="0" applyAlignment="0" applyProtection="0"/>
    <xf numFmtId="0" fontId="156" fillId="85" borderId="0" applyNumberFormat="0" applyBorder="0" applyAlignment="0" applyProtection="0"/>
    <xf numFmtId="0" fontId="156" fillId="85" borderId="0" applyNumberFormat="0" applyBorder="0" applyAlignment="0" applyProtection="0"/>
    <xf numFmtId="0" fontId="156" fillId="85" borderId="0" applyNumberFormat="0" applyBorder="0" applyAlignment="0" applyProtection="0"/>
    <xf numFmtId="0" fontId="156" fillId="85" borderId="0" applyNumberFormat="0" applyBorder="0" applyAlignment="0" applyProtection="0"/>
    <xf numFmtId="0" fontId="156" fillId="85" borderId="0" applyNumberFormat="0" applyBorder="0" applyAlignment="0" applyProtection="0"/>
    <xf numFmtId="0" fontId="156" fillId="85" borderId="0" applyNumberFormat="0" applyBorder="0" applyAlignment="0" applyProtection="0"/>
    <xf numFmtId="0" fontId="156" fillId="85" borderId="0" applyNumberFormat="0" applyBorder="0" applyAlignment="0" applyProtection="0"/>
    <xf numFmtId="0" fontId="156" fillId="88" borderId="0" applyNumberFormat="0" applyBorder="0" applyAlignment="0" applyProtection="0"/>
    <xf numFmtId="0" fontId="156" fillId="88" borderId="0" applyNumberFormat="0" applyBorder="0" applyAlignment="0" applyProtection="0"/>
    <xf numFmtId="0" fontId="156" fillId="88" borderId="0" applyNumberFormat="0" applyBorder="0" applyAlignment="0" applyProtection="0"/>
    <xf numFmtId="0" fontId="156" fillId="88" borderId="0" applyNumberFormat="0" applyBorder="0" applyAlignment="0" applyProtection="0"/>
    <xf numFmtId="0" fontId="156" fillId="88" borderId="0" applyNumberFormat="0" applyBorder="0" applyAlignment="0" applyProtection="0"/>
    <xf numFmtId="0" fontId="156" fillId="88" borderId="0" applyNumberFormat="0" applyBorder="0" applyAlignment="0" applyProtection="0"/>
    <xf numFmtId="0" fontId="156" fillId="88" borderId="0" applyNumberFormat="0" applyBorder="0" applyAlignment="0" applyProtection="0"/>
    <xf numFmtId="0" fontId="156" fillId="88" borderId="0" applyNumberFormat="0" applyBorder="0" applyAlignment="0" applyProtection="0"/>
    <xf numFmtId="0" fontId="156" fillId="88" borderId="0" applyNumberFormat="0" applyBorder="0" applyAlignment="0" applyProtection="0"/>
    <xf numFmtId="0" fontId="156" fillId="88" borderId="0" applyNumberFormat="0" applyBorder="0" applyAlignment="0" applyProtection="0"/>
    <xf numFmtId="0" fontId="214" fillId="13" borderId="0" applyNumberFormat="0" applyBorder="0" applyAlignment="0" applyProtection="0"/>
    <xf numFmtId="0" fontId="156" fillId="88" borderId="0" applyNumberFormat="0" applyBorder="0" applyAlignment="0" applyProtection="0"/>
    <xf numFmtId="0" fontId="156" fillId="88" borderId="0" applyNumberFormat="0" applyBorder="0" applyAlignment="0" applyProtection="0"/>
    <xf numFmtId="0" fontId="156" fillId="88" borderId="0" applyNumberFormat="0" applyBorder="0" applyAlignment="0" applyProtection="0"/>
    <xf numFmtId="0" fontId="156" fillId="88" borderId="0" applyNumberFormat="0" applyBorder="0" applyAlignment="0" applyProtection="0"/>
    <xf numFmtId="0" fontId="156" fillId="88" borderId="0" applyNumberFormat="0" applyBorder="0" applyAlignment="0" applyProtection="0"/>
    <xf numFmtId="0" fontId="156" fillId="88" borderId="0" applyNumberFormat="0" applyBorder="0" applyAlignment="0" applyProtection="0"/>
    <xf numFmtId="0" fontId="156" fillId="88" borderId="0" applyNumberFormat="0" applyBorder="0" applyAlignment="0" applyProtection="0"/>
    <xf numFmtId="0" fontId="156" fillId="88" borderId="0" applyNumberFormat="0" applyBorder="0" applyAlignment="0" applyProtection="0"/>
    <xf numFmtId="0" fontId="156" fillId="88" borderId="0" applyNumberFormat="0" applyBorder="0" applyAlignment="0" applyProtection="0"/>
    <xf numFmtId="0" fontId="156" fillId="88" borderId="0" applyNumberFormat="0" applyBorder="0" applyAlignment="0" applyProtection="0"/>
    <xf numFmtId="0" fontId="156" fillId="88" borderId="0" applyNumberFormat="0" applyBorder="0" applyAlignment="0" applyProtection="0"/>
    <xf numFmtId="0" fontId="156" fillId="88" borderId="0" applyNumberFormat="0" applyBorder="0" applyAlignment="0" applyProtection="0"/>
    <xf numFmtId="0" fontId="156" fillId="88" borderId="0" applyNumberFormat="0" applyBorder="0" applyAlignment="0" applyProtection="0"/>
    <xf numFmtId="0" fontId="156" fillId="88" borderId="0" applyNumberFormat="0" applyBorder="0" applyAlignment="0" applyProtection="0"/>
    <xf numFmtId="0" fontId="156" fillId="88" borderId="0" applyNumberFormat="0" applyBorder="0" applyAlignment="0" applyProtection="0"/>
    <xf numFmtId="0" fontId="156" fillId="88" borderId="0" applyNumberFormat="0" applyBorder="0" applyAlignment="0" applyProtection="0"/>
    <xf numFmtId="0" fontId="156" fillId="88" borderId="0" applyNumberFormat="0" applyBorder="0" applyAlignment="0" applyProtection="0"/>
    <xf numFmtId="0" fontId="156" fillId="88" borderId="0" applyNumberFormat="0" applyBorder="0" applyAlignment="0" applyProtection="0"/>
    <xf numFmtId="0" fontId="156" fillId="88" borderId="0" applyNumberFormat="0" applyBorder="0" applyAlignment="0" applyProtection="0"/>
    <xf numFmtId="0" fontId="156" fillId="88" borderId="0" applyNumberFormat="0" applyBorder="0" applyAlignment="0" applyProtection="0"/>
    <xf numFmtId="0" fontId="156" fillId="88" borderId="0" applyNumberFormat="0" applyBorder="0" applyAlignment="0" applyProtection="0"/>
    <xf numFmtId="0" fontId="156" fillId="88" borderId="0" applyNumberFormat="0" applyBorder="0" applyAlignment="0" applyProtection="0"/>
    <xf numFmtId="0" fontId="156" fillId="88" borderId="0" applyNumberFormat="0" applyBorder="0" applyAlignment="0" applyProtection="0"/>
    <xf numFmtId="0" fontId="156" fillId="88" borderId="0" applyNumberFormat="0" applyBorder="0" applyAlignment="0" applyProtection="0"/>
    <xf numFmtId="0" fontId="156" fillId="88" borderId="0" applyNumberFormat="0" applyBorder="0" applyAlignment="0" applyProtection="0"/>
    <xf numFmtId="0" fontId="156" fillId="88" borderId="0" applyNumberFormat="0" applyBorder="0" applyAlignment="0" applyProtection="0"/>
    <xf numFmtId="0" fontId="156" fillId="88" borderId="0" applyNumberFormat="0" applyBorder="0" applyAlignment="0" applyProtection="0"/>
    <xf numFmtId="0" fontId="156" fillId="88" borderId="0" applyNumberFormat="0" applyBorder="0" applyAlignment="0" applyProtection="0"/>
    <xf numFmtId="0" fontId="156" fillId="88" borderId="0" applyNumberFormat="0" applyBorder="0" applyAlignment="0" applyProtection="0"/>
    <xf numFmtId="0" fontId="156" fillId="88" borderId="0" applyNumberFormat="0" applyBorder="0" applyAlignment="0" applyProtection="0"/>
    <xf numFmtId="0" fontId="156" fillId="88" borderId="0" applyNumberFormat="0" applyBorder="0" applyAlignment="0" applyProtection="0"/>
    <xf numFmtId="0" fontId="156" fillId="88" borderId="0" applyNumberFormat="0" applyBorder="0" applyAlignment="0" applyProtection="0"/>
    <xf numFmtId="0" fontId="156" fillId="88" borderId="0" applyNumberFormat="0" applyBorder="0" applyAlignment="0" applyProtection="0"/>
    <xf numFmtId="0" fontId="156" fillId="88" borderId="0" applyNumberFormat="0" applyBorder="0" applyAlignment="0" applyProtection="0"/>
    <xf numFmtId="0" fontId="156" fillId="88" borderId="0" applyNumberFormat="0" applyBorder="0" applyAlignment="0" applyProtection="0"/>
    <xf numFmtId="0" fontId="156" fillId="88" borderId="0" applyNumberFormat="0" applyBorder="0" applyAlignment="0" applyProtection="0"/>
    <xf numFmtId="0" fontId="156" fillId="88" borderId="0" applyNumberFormat="0" applyBorder="0" applyAlignment="0" applyProtection="0"/>
    <xf numFmtId="0" fontId="156" fillId="88" borderId="0" applyNumberFormat="0" applyBorder="0" applyAlignment="0" applyProtection="0"/>
    <xf numFmtId="0" fontId="156" fillId="88" borderId="0" applyNumberFormat="0" applyBorder="0" applyAlignment="0" applyProtection="0"/>
    <xf numFmtId="0" fontId="156" fillId="88" borderId="0" applyNumberFormat="0" applyBorder="0" applyAlignment="0" applyProtection="0"/>
    <xf numFmtId="0" fontId="156" fillId="88" borderId="0" applyNumberFormat="0" applyBorder="0" applyAlignment="0" applyProtection="0"/>
    <xf numFmtId="0" fontId="156" fillId="88" borderId="0" applyNumberFormat="0" applyBorder="0" applyAlignment="0" applyProtection="0"/>
    <xf numFmtId="0" fontId="156" fillId="88" borderId="0" applyNumberFormat="0" applyBorder="0" applyAlignment="0" applyProtection="0"/>
    <xf numFmtId="0" fontId="156" fillId="88" borderId="0" applyNumberFormat="0" applyBorder="0" applyAlignment="0" applyProtection="0"/>
    <xf numFmtId="0" fontId="156" fillId="88" borderId="0" applyNumberFormat="0" applyBorder="0" applyAlignment="0" applyProtection="0"/>
    <xf numFmtId="0" fontId="156" fillId="88" borderId="0" applyNumberFormat="0" applyBorder="0" applyAlignment="0" applyProtection="0"/>
    <xf numFmtId="0" fontId="156" fillId="88" borderId="0" applyNumberFormat="0" applyBorder="0" applyAlignment="0" applyProtection="0"/>
    <xf numFmtId="0" fontId="156" fillId="92" borderId="0" applyNumberFormat="0" applyBorder="0" applyAlignment="0" applyProtection="0"/>
    <xf numFmtId="0" fontId="156" fillId="92" borderId="0" applyNumberFormat="0" applyBorder="0" applyAlignment="0" applyProtection="0"/>
    <xf numFmtId="0" fontId="156" fillId="92" borderId="0" applyNumberFormat="0" applyBorder="0" applyAlignment="0" applyProtection="0"/>
    <xf numFmtId="0" fontId="156" fillId="92" borderId="0" applyNumberFormat="0" applyBorder="0" applyAlignment="0" applyProtection="0"/>
    <xf numFmtId="0" fontId="156" fillId="92" borderId="0" applyNumberFormat="0" applyBorder="0" applyAlignment="0" applyProtection="0"/>
    <xf numFmtId="0" fontId="156" fillId="92" borderId="0" applyNumberFormat="0" applyBorder="0" applyAlignment="0" applyProtection="0"/>
    <xf numFmtId="0" fontId="156" fillId="92" borderId="0" applyNumberFormat="0" applyBorder="0" applyAlignment="0" applyProtection="0"/>
    <xf numFmtId="0" fontId="156" fillId="92" borderId="0" applyNumberFormat="0" applyBorder="0" applyAlignment="0" applyProtection="0"/>
    <xf numFmtId="0" fontId="156" fillId="92" borderId="0" applyNumberFormat="0" applyBorder="0" applyAlignment="0" applyProtection="0"/>
    <xf numFmtId="0" fontId="156" fillId="92" borderId="0" applyNumberFormat="0" applyBorder="0" applyAlignment="0" applyProtection="0"/>
    <xf numFmtId="0" fontId="214" fillId="14" borderId="0" applyNumberFormat="0" applyBorder="0" applyAlignment="0" applyProtection="0"/>
    <xf numFmtId="0" fontId="156" fillId="92" borderId="0" applyNumberFormat="0" applyBorder="0" applyAlignment="0" applyProtection="0"/>
    <xf numFmtId="0" fontId="156" fillId="92" borderId="0" applyNumberFormat="0" applyBorder="0" applyAlignment="0" applyProtection="0"/>
    <xf numFmtId="0" fontId="156" fillId="92" borderId="0" applyNumberFormat="0" applyBorder="0" applyAlignment="0" applyProtection="0"/>
    <xf numFmtId="0" fontId="156" fillId="92" borderId="0" applyNumberFormat="0" applyBorder="0" applyAlignment="0" applyProtection="0"/>
    <xf numFmtId="0" fontId="156" fillId="92" borderId="0" applyNumberFormat="0" applyBorder="0" applyAlignment="0" applyProtection="0"/>
    <xf numFmtId="0" fontId="156" fillId="92" borderId="0" applyNumberFormat="0" applyBorder="0" applyAlignment="0" applyProtection="0"/>
    <xf numFmtId="0" fontId="156" fillId="92" borderId="0" applyNumberFormat="0" applyBorder="0" applyAlignment="0" applyProtection="0"/>
    <xf numFmtId="0" fontId="156" fillId="92" borderId="0" applyNumberFormat="0" applyBorder="0" applyAlignment="0" applyProtection="0"/>
    <xf numFmtId="0" fontId="156" fillId="92" borderId="0" applyNumberFormat="0" applyBorder="0" applyAlignment="0" applyProtection="0"/>
    <xf numFmtId="0" fontId="156" fillId="92" borderId="0" applyNumberFormat="0" applyBorder="0" applyAlignment="0" applyProtection="0"/>
    <xf numFmtId="0" fontId="156" fillId="92" borderId="0" applyNumberFormat="0" applyBorder="0" applyAlignment="0" applyProtection="0"/>
    <xf numFmtId="0" fontId="156" fillId="92" borderId="0" applyNumberFormat="0" applyBorder="0" applyAlignment="0" applyProtection="0"/>
    <xf numFmtId="0" fontId="156" fillId="92" borderId="0" applyNumberFormat="0" applyBorder="0" applyAlignment="0" applyProtection="0"/>
    <xf numFmtId="0" fontId="156" fillId="92" borderId="0" applyNumberFormat="0" applyBorder="0" applyAlignment="0" applyProtection="0"/>
    <xf numFmtId="0" fontId="156" fillId="92" borderId="0" applyNumberFormat="0" applyBorder="0" applyAlignment="0" applyProtection="0"/>
    <xf numFmtId="0" fontId="156" fillId="92" borderId="0" applyNumberFormat="0" applyBorder="0" applyAlignment="0" applyProtection="0"/>
    <xf numFmtId="0" fontId="156" fillId="92" borderId="0" applyNumberFormat="0" applyBorder="0" applyAlignment="0" applyProtection="0"/>
    <xf numFmtId="0" fontId="156" fillId="92" borderId="0" applyNumberFormat="0" applyBorder="0" applyAlignment="0" applyProtection="0"/>
    <xf numFmtId="0" fontId="156" fillId="92" borderId="0" applyNumberFormat="0" applyBorder="0" applyAlignment="0" applyProtection="0"/>
    <xf numFmtId="0" fontId="156" fillId="92" borderId="0" applyNumberFormat="0" applyBorder="0" applyAlignment="0" applyProtection="0"/>
    <xf numFmtId="0" fontId="156" fillId="92" borderId="0" applyNumberFormat="0" applyBorder="0" applyAlignment="0" applyProtection="0"/>
    <xf numFmtId="0" fontId="156" fillId="92" borderId="0" applyNumberFormat="0" applyBorder="0" applyAlignment="0" applyProtection="0"/>
    <xf numFmtId="0" fontId="156" fillId="92" borderId="0" applyNumberFormat="0" applyBorder="0" applyAlignment="0" applyProtection="0"/>
    <xf numFmtId="0" fontId="156" fillId="92" borderId="0" applyNumberFormat="0" applyBorder="0" applyAlignment="0" applyProtection="0"/>
    <xf numFmtId="0" fontId="156" fillId="92" borderId="0" applyNumberFormat="0" applyBorder="0" applyAlignment="0" applyProtection="0"/>
    <xf numFmtId="0" fontId="156" fillId="92" borderId="0" applyNumberFormat="0" applyBorder="0" applyAlignment="0" applyProtection="0"/>
    <xf numFmtId="0" fontId="156" fillId="92" borderId="0" applyNumberFormat="0" applyBorder="0" applyAlignment="0" applyProtection="0"/>
    <xf numFmtId="0" fontId="156" fillId="92" borderId="0" applyNumberFormat="0" applyBorder="0" applyAlignment="0" applyProtection="0"/>
    <xf numFmtId="0" fontId="156" fillId="92" borderId="0" applyNumberFormat="0" applyBorder="0" applyAlignment="0" applyProtection="0"/>
    <xf numFmtId="0" fontId="156" fillId="92" borderId="0" applyNumberFormat="0" applyBorder="0" applyAlignment="0" applyProtection="0"/>
    <xf numFmtId="0" fontId="156" fillId="92" borderId="0" applyNumberFormat="0" applyBorder="0" applyAlignment="0" applyProtection="0"/>
    <xf numFmtId="0" fontId="156" fillId="92" borderId="0" applyNumberFormat="0" applyBorder="0" applyAlignment="0" applyProtection="0"/>
    <xf numFmtId="0" fontId="156" fillId="92" borderId="0" applyNumberFormat="0" applyBorder="0" applyAlignment="0" applyProtection="0"/>
    <xf numFmtId="0" fontId="156" fillId="92" borderId="0" applyNumberFormat="0" applyBorder="0" applyAlignment="0" applyProtection="0"/>
    <xf numFmtId="0" fontId="156" fillId="92" borderId="0" applyNumberFormat="0" applyBorder="0" applyAlignment="0" applyProtection="0"/>
    <xf numFmtId="0" fontId="156" fillId="92" borderId="0" applyNumberFormat="0" applyBorder="0" applyAlignment="0" applyProtection="0"/>
    <xf numFmtId="0" fontId="156" fillId="92" borderId="0" applyNumberFormat="0" applyBorder="0" applyAlignment="0" applyProtection="0"/>
    <xf numFmtId="0" fontId="156" fillId="92" borderId="0" applyNumberFormat="0" applyBorder="0" applyAlignment="0" applyProtection="0"/>
    <xf numFmtId="0" fontId="156" fillId="92" borderId="0" applyNumberFormat="0" applyBorder="0" applyAlignment="0" applyProtection="0"/>
    <xf numFmtId="0" fontId="156" fillId="92" borderId="0" applyNumberFormat="0" applyBorder="0" applyAlignment="0" applyProtection="0"/>
    <xf numFmtId="0" fontId="156" fillId="92" borderId="0" applyNumberFormat="0" applyBorder="0" applyAlignment="0" applyProtection="0"/>
    <xf numFmtId="0" fontId="156" fillId="92" borderId="0" applyNumberFormat="0" applyBorder="0" applyAlignment="0" applyProtection="0"/>
    <xf numFmtId="0" fontId="156" fillId="92" borderId="0" applyNumberFormat="0" applyBorder="0" applyAlignment="0" applyProtection="0"/>
    <xf numFmtId="0" fontId="156" fillId="92" borderId="0" applyNumberFormat="0" applyBorder="0" applyAlignment="0" applyProtection="0"/>
    <xf numFmtId="0" fontId="156" fillId="92" borderId="0" applyNumberFormat="0" applyBorder="0" applyAlignment="0" applyProtection="0"/>
    <xf numFmtId="0" fontId="156" fillId="92" borderId="0" applyNumberFormat="0" applyBorder="0" applyAlignment="0" applyProtection="0"/>
    <xf numFmtId="0" fontId="156" fillId="92" borderId="0" applyNumberFormat="0" applyBorder="0" applyAlignment="0" applyProtection="0"/>
    <xf numFmtId="0" fontId="156" fillId="96" borderId="0" applyNumberFormat="0" applyBorder="0" applyAlignment="0" applyProtection="0"/>
    <xf numFmtId="0" fontId="156" fillId="96" borderId="0" applyNumberFormat="0" applyBorder="0" applyAlignment="0" applyProtection="0"/>
    <xf numFmtId="0" fontId="156" fillId="96" borderId="0" applyNumberFormat="0" applyBorder="0" applyAlignment="0" applyProtection="0"/>
    <xf numFmtId="0" fontId="156" fillId="96" borderId="0" applyNumberFormat="0" applyBorder="0" applyAlignment="0" applyProtection="0"/>
    <xf numFmtId="0" fontId="156" fillId="96" borderId="0" applyNumberFormat="0" applyBorder="0" applyAlignment="0" applyProtection="0"/>
    <xf numFmtId="0" fontId="156" fillId="96" borderId="0" applyNumberFormat="0" applyBorder="0" applyAlignment="0" applyProtection="0"/>
    <xf numFmtId="0" fontId="156" fillId="96" borderId="0" applyNumberFormat="0" applyBorder="0" applyAlignment="0" applyProtection="0"/>
    <xf numFmtId="0" fontId="156" fillId="96" borderId="0" applyNumberFormat="0" applyBorder="0" applyAlignment="0" applyProtection="0"/>
    <xf numFmtId="0" fontId="156" fillId="96" borderId="0" applyNumberFormat="0" applyBorder="0" applyAlignment="0" applyProtection="0"/>
    <xf numFmtId="0" fontId="156" fillId="96" borderId="0" applyNumberFormat="0" applyBorder="0" applyAlignment="0" applyProtection="0"/>
    <xf numFmtId="0" fontId="214" fillId="19" borderId="0" applyNumberFormat="0" applyBorder="0" applyAlignment="0" applyProtection="0"/>
    <xf numFmtId="0" fontId="156" fillId="96" borderId="0" applyNumberFormat="0" applyBorder="0" applyAlignment="0" applyProtection="0"/>
    <xf numFmtId="0" fontId="156" fillId="96" borderId="0" applyNumberFormat="0" applyBorder="0" applyAlignment="0" applyProtection="0"/>
    <xf numFmtId="0" fontId="156" fillId="96" borderId="0" applyNumberFormat="0" applyBorder="0" applyAlignment="0" applyProtection="0"/>
    <xf numFmtId="0" fontId="156" fillId="96" borderId="0" applyNumberFormat="0" applyBorder="0" applyAlignment="0" applyProtection="0"/>
    <xf numFmtId="0" fontId="156" fillId="96" borderId="0" applyNumberFormat="0" applyBorder="0" applyAlignment="0" applyProtection="0"/>
    <xf numFmtId="0" fontId="156" fillId="96" borderId="0" applyNumberFormat="0" applyBorder="0" applyAlignment="0" applyProtection="0"/>
    <xf numFmtId="0" fontId="156" fillId="96" borderId="0" applyNumberFormat="0" applyBorder="0" applyAlignment="0" applyProtection="0"/>
    <xf numFmtId="0" fontId="156" fillId="96" borderId="0" applyNumberFormat="0" applyBorder="0" applyAlignment="0" applyProtection="0"/>
    <xf numFmtId="0" fontId="156" fillId="96" borderId="0" applyNumberFormat="0" applyBorder="0" applyAlignment="0" applyProtection="0"/>
    <xf numFmtId="0" fontId="156" fillId="96" borderId="0" applyNumberFormat="0" applyBorder="0" applyAlignment="0" applyProtection="0"/>
    <xf numFmtId="0" fontId="156" fillId="96" borderId="0" applyNumberFormat="0" applyBorder="0" applyAlignment="0" applyProtection="0"/>
    <xf numFmtId="0" fontId="156" fillId="96" borderId="0" applyNumberFormat="0" applyBorder="0" applyAlignment="0" applyProtection="0"/>
    <xf numFmtId="0" fontId="156" fillId="96" borderId="0" applyNumberFormat="0" applyBorder="0" applyAlignment="0" applyProtection="0"/>
    <xf numFmtId="0" fontId="156" fillId="96" borderId="0" applyNumberFormat="0" applyBorder="0" applyAlignment="0" applyProtection="0"/>
    <xf numFmtId="0" fontId="156" fillId="96" borderId="0" applyNumberFormat="0" applyBorder="0" applyAlignment="0" applyProtection="0"/>
    <xf numFmtId="0" fontId="156" fillId="96" borderId="0" applyNumberFormat="0" applyBorder="0" applyAlignment="0" applyProtection="0"/>
    <xf numFmtId="0" fontId="156" fillId="96" borderId="0" applyNumberFormat="0" applyBorder="0" applyAlignment="0" applyProtection="0"/>
    <xf numFmtId="0" fontId="156" fillId="96" borderId="0" applyNumberFormat="0" applyBorder="0" applyAlignment="0" applyProtection="0"/>
    <xf numFmtId="0" fontId="156" fillId="96" borderId="0" applyNumberFormat="0" applyBorder="0" applyAlignment="0" applyProtection="0"/>
    <xf numFmtId="0" fontId="156" fillId="96" borderId="0" applyNumberFormat="0" applyBorder="0" applyAlignment="0" applyProtection="0"/>
    <xf numFmtId="0" fontId="156" fillId="96" borderId="0" applyNumberFormat="0" applyBorder="0" applyAlignment="0" applyProtection="0"/>
    <xf numFmtId="0" fontId="156" fillId="96" borderId="0" applyNumberFormat="0" applyBorder="0" applyAlignment="0" applyProtection="0"/>
    <xf numFmtId="0" fontId="156" fillId="96" borderId="0" applyNumberFormat="0" applyBorder="0" applyAlignment="0" applyProtection="0"/>
    <xf numFmtId="0" fontId="156" fillId="96" borderId="0" applyNumberFormat="0" applyBorder="0" applyAlignment="0" applyProtection="0"/>
    <xf numFmtId="0" fontId="156" fillId="96" borderId="0" applyNumberFormat="0" applyBorder="0" applyAlignment="0" applyProtection="0"/>
    <xf numFmtId="0" fontId="156" fillId="96" borderId="0" applyNumberFormat="0" applyBorder="0" applyAlignment="0" applyProtection="0"/>
    <xf numFmtId="0" fontId="156" fillId="96" borderId="0" applyNumberFormat="0" applyBorder="0" applyAlignment="0" applyProtection="0"/>
    <xf numFmtId="0" fontId="156" fillId="96" borderId="0" applyNumberFormat="0" applyBorder="0" applyAlignment="0" applyProtection="0"/>
    <xf numFmtId="0" fontId="156" fillId="96" borderId="0" applyNumberFormat="0" applyBorder="0" applyAlignment="0" applyProtection="0"/>
    <xf numFmtId="0" fontId="156" fillId="96" borderId="0" applyNumberFormat="0" applyBorder="0" applyAlignment="0" applyProtection="0"/>
    <xf numFmtId="0" fontId="156" fillId="96" borderId="0" applyNumberFormat="0" applyBorder="0" applyAlignment="0" applyProtection="0"/>
    <xf numFmtId="0" fontId="156" fillId="96" borderId="0" applyNumberFormat="0" applyBorder="0" applyAlignment="0" applyProtection="0"/>
    <xf numFmtId="0" fontId="156" fillId="96" borderId="0" applyNumberFormat="0" applyBorder="0" applyAlignment="0" applyProtection="0"/>
    <xf numFmtId="0" fontId="156" fillId="96" borderId="0" applyNumberFormat="0" applyBorder="0" applyAlignment="0" applyProtection="0"/>
    <xf numFmtId="0" fontId="156" fillId="96" borderId="0" applyNumberFormat="0" applyBorder="0" applyAlignment="0" applyProtection="0"/>
    <xf numFmtId="0" fontId="156" fillId="96" borderId="0" applyNumberFormat="0" applyBorder="0" applyAlignment="0" applyProtection="0"/>
    <xf numFmtId="0" fontId="156" fillId="96" borderId="0" applyNumberFormat="0" applyBorder="0" applyAlignment="0" applyProtection="0"/>
    <xf numFmtId="0" fontId="156" fillId="96" borderId="0" applyNumberFormat="0" applyBorder="0" applyAlignment="0" applyProtection="0"/>
    <xf numFmtId="0" fontId="156" fillId="96" borderId="0" applyNumberFormat="0" applyBorder="0" applyAlignment="0" applyProtection="0"/>
    <xf numFmtId="0" fontId="156" fillId="96" borderId="0" applyNumberFormat="0" applyBorder="0" applyAlignment="0" applyProtection="0"/>
    <xf numFmtId="0" fontId="156" fillId="96" borderId="0" applyNumberFormat="0" applyBorder="0" applyAlignment="0" applyProtection="0"/>
    <xf numFmtId="0" fontId="156" fillId="96" borderId="0" applyNumberFormat="0" applyBorder="0" applyAlignment="0" applyProtection="0"/>
    <xf numFmtId="0" fontId="156" fillId="96" borderId="0" applyNumberFormat="0" applyBorder="0" applyAlignment="0" applyProtection="0"/>
    <xf numFmtId="0" fontId="156" fillId="96" borderId="0" applyNumberFormat="0" applyBorder="0" applyAlignment="0" applyProtection="0"/>
    <xf numFmtId="0" fontId="156" fillId="96" borderId="0" applyNumberFormat="0" applyBorder="0" applyAlignment="0" applyProtection="0"/>
    <xf numFmtId="0" fontId="156" fillId="96" borderId="0" applyNumberFormat="0" applyBorder="0" applyAlignment="0" applyProtection="0"/>
    <xf numFmtId="0" fontId="156" fillId="96" borderId="0" applyNumberFormat="0" applyBorder="0" applyAlignment="0" applyProtection="0"/>
    <xf numFmtId="0" fontId="211" fillId="0" borderId="0" applyNumberFormat="0" applyFill="0" applyBorder="0" applyAlignment="0" applyProtection="0"/>
    <xf numFmtId="0" fontId="211" fillId="0" borderId="0" applyNumberFormat="0" applyFill="0" applyBorder="0" applyAlignment="0" applyProtection="0"/>
    <xf numFmtId="0" fontId="211" fillId="0" borderId="0" applyNumberFormat="0" applyFill="0" applyBorder="0" applyAlignment="0" applyProtection="0"/>
    <xf numFmtId="0" fontId="211" fillId="0" borderId="0" applyNumberFormat="0" applyFill="0" applyBorder="0" applyAlignment="0" applyProtection="0"/>
    <xf numFmtId="0" fontId="211" fillId="0" borderId="0" applyNumberFormat="0" applyFill="0" applyBorder="0" applyAlignment="0" applyProtection="0"/>
    <xf numFmtId="0" fontId="211" fillId="0" borderId="0" applyNumberFormat="0" applyFill="0" applyBorder="0" applyAlignment="0" applyProtection="0"/>
    <xf numFmtId="0" fontId="211" fillId="0" borderId="0" applyNumberFormat="0" applyFill="0" applyBorder="0" applyAlignment="0" applyProtection="0"/>
    <xf numFmtId="0" fontId="211" fillId="0" borderId="0" applyNumberFormat="0" applyFill="0" applyBorder="0" applyAlignment="0" applyProtection="0"/>
    <xf numFmtId="0" fontId="211" fillId="0" borderId="0" applyNumberFormat="0" applyFill="0" applyBorder="0" applyAlignment="0" applyProtection="0"/>
    <xf numFmtId="0" fontId="211" fillId="0" borderId="0" applyNumberFormat="0" applyFill="0" applyBorder="0" applyAlignment="0" applyProtection="0"/>
    <xf numFmtId="0" fontId="215" fillId="0" borderId="0" applyNumberFormat="0" applyFill="0" applyBorder="0" applyAlignment="0" applyProtection="0"/>
    <xf numFmtId="0" fontId="211" fillId="0" borderId="0" applyNumberFormat="0" applyFill="0" applyBorder="0" applyAlignment="0" applyProtection="0"/>
    <xf numFmtId="0" fontId="211" fillId="0" borderId="0" applyNumberFormat="0" applyFill="0" applyBorder="0" applyAlignment="0" applyProtection="0"/>
    <xf numFmtId="0" fontId="211" fillId="0" borderId="0" applyNumberFormat="0" applyFill="0" applyBorder="0" applyAlignment="0" applyProtection="0"/>
    <xf numFmtId="0" fontId="211" fillId="0" borderId="0" applyNumberFormat="0" applyFill="0" applyBorder="0" applyAlignment="0" applyProtection="0"/>
    <xf numFmtId="0" fontId="211" fillId="0" borderId="0" applyNumberFormat="0" applyFill="0" applyBorder="0" applyAlignment="0" applyProtection="0"/>
    <xf numFmtId="0" fontId="211" fillId="0" borderId="0" applyNumberFormat="0" applyFill="0" applyBorder="0" applyAlignment="0" applyProtection="0"/>
    <xf numFmtId="0" fontId="211" fillId="0" borderId="0" applyNumberFormat="0" applyFill="0" applyBorder="0" applyAlignment="0" applyProtection="0"/>
    <xf numFmtId="0" fontId="211" fillId="0" borderId="0" applyNumberFormat="0" applyFill="0" applyBorder="0" applyAlignment="0" applyProtection="0"/>
    <xf numFmtId="0" fontId="211" fillId="0" borderId="0" applyNumberFormat="0" applyFill="0" applyBorder="0" applyAlignment="0" applyProtection="0"/>
    <xf numFmtId="0" fontId="211" fillId="0" borderId="0" applyNumberFormat="0" applyFill="0" applyBorder="0" applyAlignment="0" applyProtection="0"/>
    <xf numFmtId="0" fontId="211" fillId="0" borderId="0" applyNumberFormat="0" applyFill="0" applyBorder="0" applyAlignment="0" applyProtection="0"/>
    <xf numFmtId="0" fontId="211" fillId="0" borderId="0" applyNumberFormat="0" applyFill="0" applyBorder="0" applyAlignment="0" applyProtection="0"/>
    <xf numFmtId="0" fontId="211" fillId="0" borderId="0" applyNumberFormat="0" applyFill="0" applyBorder="0" applyAlignment="0" applyProtection="0"/>
    <xf numFmtId="0" fontId="211" fillId="0" borderId="0" applyNumberFormat="0" applyFill="0" applyBorder="0" applyAlignment="0" applyProtection="0"/>
    <xf numFmtId="0" fontId="211" fillId="0" borderId="0" applyNumberFormat="0" applyFill="0" applyBorder="0" applyAlignment="0" applyProtection="0"/>
    <xf numFmtId="0" fontId="211" fillId="0" borderId="0" applyNumberFormat="0" applyFill="0" applyBorder="0" applyAlignment="0" applyProtection="0"/>
    <xf numFmtId="0" fontId="211" fillId="0" borderId="0" applyNumberFormat="0" applyFill="0" applyBorder="0" applyAlignment="0" applyProtection="0"/>
    <xf numFmtId="0" fontId="211" fillId="0" borderId="0" applyNumberFormat="0" applyFill="0" applyBorder="0" applyAlignment="0" applyProtection="0"/>
    <xf numFmtId="0" fontId="211" fillId="0" borderId="0" applyNumberFormat="0" applyFill="0" applyBorder="0" applyAlignment="0" applyProtection="0"/>
    <xf numFmtId="0" fontId="211" fillId="0" borderId="0" applyNumberFormat="0" applyFill="0" applyBorder="0" applyAlignment="0" applyProtection="0"/>
    <xf numFmtId="0" fontId="211" fillId="0" borderId="0" applyNumberFormat="0" applyFill="0" applyBorder="0" applyAlignment="0" applyProtection="0"/>
    <xf numFmtId="0" fontId="211" fillId="0" borderId="0" applyNumberFormat="0" applyFill="0" applyBorder="0" applyAlignment="0" applyProtection="0"/>
    <xf numFmtId="0" fontId="211" fillId="0" borderId="0" applyNumberFormat="0" applyFill="0" applyBorder="0" applyAlignment="0" applyProtection="0"/>
    <xf numFmtId="0" fontId="211" fillId="0" borderId="0" applyNumberFormat="0" applyFill="0" applyBorder="0" applyAlignment="0" applyProtection="0"/>
    <xf numFmtId="0" fontId="211" fillId="0" borderId="0" applyNumberFormat="0" applyFill="0" applyBorder="0" applyAlignment="0" applyProtection="0"/>
    <xf numFmtId="0" fontId="211" fillId="0" borderId="0" applyNumberFormat="0" applyFill="0" applyBorder="0" applyAlignment="0" applyProtection="0"/>
    <xf numFmtId="0" fontId="211" fillId="0" borderId="0" applyNumberFormat="0" applyFill="0" applyBorder="0" applyAlignment="0" applyProtection="0"/>
    <xf numFmtId="0" fontId="211" fillId="0" borderId="0" applyNumberFormat="0" applyFill="0" applyBorder="0" applyAlignment="0" applyProtection="0"/>
    <xf numFmtId="0" fontId="211" fillId="0" borderId="0" applyNumberFormat="0" applyFill="0" applyBorder="0" applyAlignment="0" applyProtection="0"/>
    <xf numFmtId="0" fontId="211" fillId="0" borderId="0" applyNumberFormat="0" applyFill="0" applyBorder="0" applyAlignment="0" applyProtection="0"/>
    <xf numFmtId="0" fontId="211" fillId="0" borderId="0" applyNumberFormat="0" applyFill="0" applyBorder="0" applyAlignment="0" applyProtection="0"/>
    <xf numFmtId="0" fontId="211" fillId="0" borderId="0" applyNumberFormat="0" applyFill="0" applyBorder="0" applyAlignment="0" applyProtection="0"/>
    <xf numFmtId="0" fontId="211" fillId="0" borderId="0" applyNumberFormat="0" applyFill="0" applyBorder="0" applyAlignment="0" applyProtection="0"/>
    <xf numFmtId="0" fontId="211" fillId="0" borderId="0" applyNumberFormat="0" applyFill="0" applyBorder="0" applyAlignment="0" applyProtection="0"/>
    <xf numFmtId="0" fontId="211" fillId="0" borderId="0" applyNumberFormat="0" applyFill="0" applyBorder="0" applyAlignment="0" applyProtection="0"/>
    <xf numFmtId="0" fontId="211" fillId="0" borderId="0" applyNumberFormat="0" applyFill="0" applyBorder="0" applyAlignment="0" applyProtection="0"/>
    <xf numFmtId="0" fontId="211" fillId="0" borderId="0" applyNumberFormat="0" applyFill="0" applyBorder="0" applyAlignment="0" applyProtection="0"/>
    <xf numFmtId="0" fontId="211" fillId="0" borderId="0" applyNumberFormat="0" applyFill="0" applyBorder="0" applyAlignment="0" applyProtection="0"/>
    <xf numFmtId="0" fontId="211" fillId="0" borderId="0" applyNumberFormat="0" applyFill="0" applyBorder="0" applyAlignment="0" applyProtection="0"/>
    <xf numFmtId="0" fontId="211" fillId="0" borderId="0" applyNumberFormat="0" applyFill="0" applyBorder="0" applyAlignment="0" applyProtection="0"/>
    <xf numFmtId="0" fontId="211" fillId="0" borderId="0" applyNumberFormat="0" applyFill="0" applyBorder="0" applyAlignment="0" applyProtection="0"/>
    <xf numFmtId="0" fontId="211" fillId="0" borderId="0" applyNumberFormat="0" applyFill="0" applyBorder="0" applyAlignment="0" applyProtection="0"/>
    <xf numFmtId="0" fontId="211" fillId="0" borderId="0" applyNumberFormat="0" applyFill="0" applyBorder="0" applyAlignment="0" applyProtection="0"/>
    <xf numFmtId="0" fontId="211" fillId="0" borderId="0" applyNumberFormat="0" applyFill="0" applyBorder="0" applyAlignment="0" applyProtection="0"/>
    <xf numFmtId="0" fontId="211" fillId="0" borderId="0" applyNumberFormat="0" applyFill="0" applyBorder="0" applyAlignment="0" applyProtection="0"/>
    <xf numFmtId="0" fontId="211" fillId="0" borderId="0" applyNumberFormat="0" applyFill="0" applyBorder="0" applyAlignment="0" applyProtection="0"/>
    <xf numFmtId="0" fontId="211" fillId="0" borderId="0" applyNumberFormat="0" applyFill="0" applyBorder="0" applyAlignment="0" applyProtection="0"/>
    <xf numFmtId="0" fontId="209" fillId="77" borderId="393" applyNumberFormat="0" applyAlignment="0" applyProtection="0"/>
    <xf numFmtId="0" fontId="209" fillId="77" borderId="393" applyNumberFormat="0" applyAlignment="0" applyProtection="0"/>
    <xf numFmtId="0" fontId="209" fillId="77" borderId="393" applyNumberFormat="0" applyAlignment="0" applyProtection="0"/>
    <xf numFmtId="0" fontId="209" fillId="77" borderId="393" applyNumberFormat="0" applyAlignment="0" applyProtection="0"/>
    <xf numFmtId="0" fontId="209" fillId="77" borderId="393" applyNumberFormat="0" applyAlignment="0" applyProtection="0"/>
    <xf numFmtId="0" fontId="209" fillId="77" borderId="393" applyNumberFormat="0" applyAlignment="0" applyProtection="0"/>
    <xf numFmtId="0" fontId="209" fillId="77" borderId="393" applyNumberFormat="0" applyAlignment="0" applyProtection="0"/>
    <xf numFmtId="0" fontId="209" fillId="77" borderId="393" applyNumberFormat="0" applyAlignment="0" applyProtection="0"/>
    <xf numFmtId="0" fontId="209" fillId="77" borderId="393" applyNumberFormat="0" applyAlignment="0" applyProtection="0"/>
    <xf numFmtId="0" fontId="209" fillId="77" borderId="393" applyNumberFormat="0" applyAlignment="0" applyProtection="0"/>
    <xf numFmtId="0" fontId="216" fillId="20" borderId="398" applyNumberFormat="0" applyAlignment="0" applyProtection="0"/>
    <xf numFmtId="0" fontId="209" fillId="77" borderId="393" applyNumberFormat="0" applyAlignment="0" applyProtection="0"/>
    <xf numFmtId="0" fontId="209" fillId="77" borderId="393" applyNumberFormat="0" applyAlignment="0" applyProtection="0"/>
    <xf numFmtId="0" fontId="209" fillId="77" borderId="393" applyNumberFormat="0" applyAlignment="0" applyProtection="0"/>
    <xf numFmtId="0" fontId="209" fillId="77" borderId="393" applyNumberFormat="0" applyAlignment="0" applyProtection="0"/>
    <xf numFmtId="0" fontId="209" fillId="77" borderId="393" applyNumberFormat="0" applyAlignment="0" applyProtection="0"/>
    <xf numFmtId="0" fontId="209" fillId="77" borderId="393" applyNumberFormat="0" applyAlignment="0" applyProtection="0"/>
    <xf numFmtId="0" fontId="209" fillId="77" borderId="393" applyNumberFormat="0" applyAlignment="0" applyProtection="0"/>
    <xf numFmtId="0" fontId="209" fillId="77" borderId="393" applyNumberFormat="0" applyAlignment="0" applyProtection="0"/>
    <xf numFmtId="0" fontId="209" fillId="77" borderId="393" applyNumberFormat="0" applyAlignment="0" applyProtection="0"/>
    <xf numFmtId="0" fontId="209" fillId="77" borderId="393" applyNumberFormat="0" applyAlignment="0" applyProtection="0"/>
    <xf numFmtId="0" fontId="209" fillId="77" borderId="393" applyNumberFormat="0" applyAlignment="0" applyProtection="0"/>
    <xf numFmtId="0" fontId="209" fillId="77" borderId="393" applyNumberFormat="0" applyAlignment="0" applyProtection="0"/>
    <xf numFmtId="0" fontId="209" fillId="77" borderId="393" applyNumberFormat="0" applyAlignment="0" applyProtection="0"/>
    <xf numFmtId="0" fontId="209" fillId="77" borderId="393" applyNumberFormat="0" applyAlignment="0" applyProtection="0"/>
    <xf numFmtId="0" fontId="209" fillId="77" borderId="393" applyNumberFormat="0" applyAlignment="0" applyProtection="0"/>
    <xf numFmtId="0" fontId="209" fillId="77" borderId="393" applyNumberFormat="0" applyAlignment="0" applyProtection="0"/>
    <xf numFmtId="0" fontId="209" fillId="77" borderId="393" applyNumberFormat="0" applyAlignment="0" applyProtection="0"/>
    <xf numFmtId="0" fontId="209" fillId="77" borderId="393" applyNumberFormat="0" applyAlignment="0" applyProtection="0"/>
    <xf numFmtId="0" fontId="209" fillId="77" borderId="393" applyNumberFormat="0" applyAlignment="0" applyProtection="0"/>
    <xf numFmtId="0" fontId="209" fillId="77" borderId="393" applyNumberFormat="0" applyAlignment="0" applyProtection="0"/>
    <xf numFmtId="0" fontId="209" fillId="77" borderId="393" applyNumberFormat="0" applyAlignment="0" applyProtection="0"/>
    <xf numFmtId="0" fontId="209" fillId="77" borderId="393" applyNumberFormat="0" applyAlignment="0" applyProtection="0"/>
    <xf numFmtId="0" fontId="209" fillId="77" borderId="393" applyNumberFormat="0" applyAlignment="0" applyProtection="0"/>
    <xf numFmtId="0" fontId="209" fillId="77" borderId="393" applyNumberFormat="0" applyAlignment="0" applyProtection="0"/>
    <xf numFmtId="0" fontId="209" fillId="77" borderId="393" applyNumberFormat="0" applyAlignment="0" applyProtection="0"/>
    <xf numFmtId="0" fontId="209" fillId="77" borderId="393" applyNumberFormat="0" applyAlignment="0" applyProtection="0"/>
    <xf numFmtId="0" fontId="209" fillId="77" borderId="393" applyNumberFormat="0" applyAlignment="0" applyProtection="0"/>
    <xf numFmtId="0" fontId="209" fillId="77" borderId="393" applyNumberFormat="0" applyAlignment="0" applyProtection="0"/>
    <xf numFmtId="0" fontId="209" fillId="77" borderId="393" applyNumberFormat="0" applyAlignment="0" applyProtection="0"/>
    <xf numFmtId="0" fontId="209" fillId="77" borderId="393" applyNumberFormat="0" applyAlignment="0" applyProtection="0"/>
    <xf numFmtId="0" fontId="209" fillId="77" borderId="393" applyNumberFormat="0" applyAlignment="0" applyProtection="0"/>
    <xf numFmtId="0" fontId="209" fillId="77" borderId="393" applyNumberFormat="0" applyAlignment="0" applyProtection="0"/>
    <xf numFmtId="0" fontId="209" fillId="77" borderId="393" applyNumberFormat="0" applyAlignment="0" applyProtection="0"/>
    <xf numFmtId="0" fontId="209" fillId="77" borderId="393" applyNumberFormat="0" applyAlignment="0" applyProtection="0"/>
    <xf numFmtId="0" fontId="209" fillId="77" borderId="393" applyNumberFormat="0" applyAlignment="0" applyProtection="0"/>
    <xf numFmtId="0" fontId="209" fillId="77" borderId="393" applyNumberFormat="0" applyAlignment="0" applyProtection="0"/>
    <xf numFmtId="0" fontId="209" fillId="77" borderId="393" applyNumberFormat="0" applyAlignment="0" applyProtection="0"/>
    <xf numFmtId="0" fontId="209" fillId="77" borderId="393" applyNumberFormat="0" applyAlignment="0" applyProtection="0"/>
    <xf numFmtId="0" fontId="209" fillId="77" borderId="393" applyNumberFormat="0" applyAlignment="0" applyProtection="0"/>
    <xf numFmtId="0" fontId="209" fillId="77" borderId="393" applyNumberFormat="0" applyAlignment="0" applyProtection="0"/>
    <xf numFmtId="0" fontId="209" fillId="77" borderId="393" applyNumberFormat="0" applyAlignment="0" applyProtection="0"/>
    <xf numFmtId="0" fontId="209" fillId="77" borderId="393" applyNumberFormat="0" applyAlignment="0" applyProtection="0"/>
    <xf numFmtId="0" fontId="209" fillId="77" borderId="393" applyNumberFormat="0" applyAlignment="0" applyProtection="0"/>
    <xf numFmtId="0" fontId="209" fillId="77" borderId="393" applyNumberFormat="0" applyAlignment="0" applyProtection="0"/>
    <xf numFmtId="0" fontId="209" fillId="77" borderId="393" applyNumberFormat="0" applyAlignment="0" applyProtection="0"/>
    <xf numFmtId="0" fontId="209" fillId="77" borderId="393" applyNumberFormat="0" applyAlignment="0" applyProtection="0"/>
    <xf numFmtId="0" fontId="209" fillId="77" borderId="393" applyNumberFormat="0" applyAlignment="0" applyProtection="0"/>
    <xf numFmtId="0" fontId="210" fillId="0" borderId="395" applyNumberFormat="0" applyFill="0" applyAlignment="0" applyProtection="0"/>
    <xf numFmtId="0" fontId="210" fillId="0" borderId="395" applyNumberFormat="0" applyFill="0" applyAlignment="0" applyProtection="0"/>
    <xf numFmtId="0" fontId="210" fillId="0" borderId="395" applyNumberFormat="0" applyFill="0" applyAlignment="0" applyProtection="0"/>
    <xf numFmtId="0" fontId="210" fillId="0" borderId="395" applyNumberFormat="0" applyFill="0" applyAlignment="0" applyProtection="0"/>
    <xf numFmtId="0" fontId="210" fillId="0" borderId="395" applyNumberFormat="0" applyFill="0" applyAlignment="0" applyProtection="0"/>
    <xf numFmtId="0" fontId="210" fillId="0" borderId="395" applyNumberFormat="0" applyFill="0" applyAlignment="0" applyProtection="0"/>
    <xf numFmtId="0" fontId="210" fillId="0" borderId="395" applyNumberFormat="0" applyFill="0" applyAlignment="0" applyProtection="0"/>
    <xf numFmtId="0" fontId="210" fillId="0" borderId="395" applyNumberFormat="0" applyFill="0" applyAlignment="0" applyProtection="0"/>
    <xf numFmtId="0" fontId="210" fillId="0" borderId="395" applyNumberFormat="0" applyFill="0" applyAlignment="0" applyProtection="0"/>
    <xf numFmtId="0" fontId="210" fillId="0" borderId="395" applyNumberFormat="0" applyFill="0" applyAlignment="0" applyProtection="0"/>
    <xf numFmtId="0" fontId="217" fillId="0" borderId="2" applyNumberFormat="0" applyFill="0" applyAlignment="0" applyProtection="0"/>
    <xf numFmtId="0" fontId="210" fillId="0" borderId="395" applyNumberFormat="0" applyFill="0" applyAlignment="0" applyProtection="0"/>
    <xf numFmtId="0" fontId="210" fillId="0" borderId="395" applyNumberFormat="0" applyFill="0" applyAlignment="0" applyProtection="0"/>
    <xf numFmtId="0" fontId="210" fillId="0" borderId="395" applyNumberFormat="0" applyFill="0" applyAlignment="0" applyProtection="0"/>
    <xf numFmtId="0" fontId="210" fillId="0" borderId="395" applyNumberFormat="0" applyFill="0" applyAlignment="0" applyProtection="0"/>
    <xf numFmtId="0" fontId="210" fillId="0" borderId="395" applyNumberFormat="0" applyFill="0" applyAlignment="0" applyProtection="0"/>
    <xf numFmtId="0" fontId="210" fillId="0" borderId="395" applyNumberFormat="0" applyFill="0" applyAlignment="0" applyProtection="0"/>
    <xf numFmtId="0" fontId="210" fillId="0" borderId="395" applyNumberFormat="0" applyFill="0" applyAlignment="0" applyProtection="0"/>
    <xf numFmtId="0" fontId="210" fillId="0" borderId="395" applyNumberFormat="0" applyFill="0" applyAlignment="0" applyProtection="0"/>
    <xf numFmtId="0" fontId="210" fillId="0" borderId="395" applyNumberFormat="0" applyFill="0" applyAlignment="0" applyProtection="0"/>
    <xf numFmtId="0" fontId="210" fillId="0" borderId="395" applyNumberFormat="0" applyFill="0" applyAlignment="0" applyProtection="0"/>
    <xf numFmtId="0" fontId="210" fillId="0" borderId="395" applyNumberFormat="0" applyFill="0" applyAlignment="0" applyProtection="0"/>
    <xf numFmtId="0" fontId="210" fillId="0" borderId="395" applyNumberFormat="0" applyFill="0" applyAlignment="0" applyProtection="0"/>
    <xf numFmtId="0" fontId="210" fillId="0" borderId="395" applyNumberFormat="0" applyFill="0" applyAlignment="0" applyProtection="0"/>
    <xf numFmtId="0" fontId="210" fillId="0" borderId="395" applyNumberFormat="0" applyFill="0" applyAlignment="0" applyProtection="0"/>
    <xf numFmtId="0" fontId="210" fillId="0" borderId="395" applyNumberFormat="0" applyFill="0" applyAlignment="0" applyProtection="0"/>
    <xf numFmtId="0" fontId="210" fillId="0" borderId="395" applyNumberFormat="0" applyFill="0" applyAlignment="0" applyProtection="0"/>
    <xf numFmtId="0" fontId="210" fillId="0" borderId="395" applyNumberFormat="0" applyFill="0" applyAlignment="0" applyProtection="0"/>
    <xf numFmtId="0" fontId="210" fillId="0" borderId="395" applyNumberFormat="0" applyFill="0" applyAlignment="0" applyProtection="0"/>
    <xf numFmtId="0" fontId="210" fillId="0" borderId="395" applyNumberFormat="0" applyFill="0" applyAlignment="0" applyProtection="0"/>
    <xf numFmtId="0" fontId="210" fillId="0" borderId="395" applyNumberFormat="0" applyFill="0" applyAlignment="0" applyProtection="0"/>
    <xf numFmtId="0" fontId="210" fillId="0" borderId="395" applyNumberFormat="0" applyFill="0" applyAlignment="0" applyProtection="0"/>
    <xf numFmtId="0" fontId="210" fillId="0" borderId="395" applyNumberFormat="0" applyFill="0" applyAlignment="0" applyProtection="0"/>
    <xf numFmtId="0" fontId="210" fillId="0" borderId="395" applyNumberFormat="0" applyFill="0" applyAlignment="0" applyProtection="0"/>
    <xf numFmtId="0" fontId="210" fillId="0" borderId="395" applyNumberFormat="0" applyFill="0" applyAlignment="0" applyProtection="0"/>
    <xf numFmtId="0" fontId="210" fillId="0" borderId="395" applyNumberFormat="0" applyFill="0" applyAlignment="0" applyProtection="0"/>
    <xf numFmtId="0" fontId="210" fillId="0" borderId="395" applyNumberFormat="0" applyFill="0" applyAlignment="0" applyProtection="0"/>
    <xf numFmtId="0" fontId="210" fillId="0" borderId="395" applyNumberFormat="0" applyFill="0" applyAlignment="0" applyProtection="0"/>
    <xf numFmtId="0" fontId="210" fillId="0" borderId="395" applyNumberFormat="0" applyFill="0" applyAlignment="0" applyProtection="0"/>
    <xf numFmtId="0" fontId="210" fillId="0" borderId="395" applyNumberFormat="0" applyFill="0" applyAlignment="0" applyProtection="0"/>
    <xf numFmtId="0" fontId="210" fillId="0" borderId="395" applyNumberFormat="0" applyFill="0" applyAlignment="0" applyProtection="0"/>
    <xf numFmtId="0" fontId="210" fillId="0" borderId="395" applyNumberFormat="0" applyFill="0" applyAlignment="0" applyProtection="0"/>
    <xf numFmtId="0" fontId="210" fillId="0" borderId="395" applyNumberFormat="0" applyFill="0" applyAlignment="0" applyProtection="0"/>
    <xf numFmtId="0" fontId="210" fillId="0" borderId="395" applyNumberFormat="0" applyFill="0" applyAlignment="0" applyProtection="0"/>
    <xf numFmtId="0" fontId="210" fillId="0" borderId="395" applyNumberFormat="0" applyFill="0" applyAlignment="0" applyProtection="0"/>
    <xf numFmtId="0" fontId="210" fillId="0" borderId="395" applyNumberFormat="0" applyFill="0" applyAlignment="0" applyProtection="0"/>
    <xf numFmtId="0" fontId="210" fillId="0" borderId="395" applyNumberFormat="0" applyFill="0" applyAlignment="0" applyProtection="0"/>
    <xf numFmtId="0" fontId="210" fillId="0" borderId="395" applyNumberFormat="0" applyFill="0" applyAlignment="0" applyProtection="0"/>
    <xf numFmtId="0" fontId="210" fillId="0" borderId="395" applyNumberFormat="0" applyFill="0" applyAlignment="0" applyProtection="0"/>
    <xf numFmtId="0" fontId="210" fillId="0" borderId="395" applyNumberFormat="0" applyFill="0" applyAlignment="0" applyProtection="0"/>
    <xf numFmtId="0" fontId="210" fillId="0" borderId="395" applyNumberFormat="0" applyFill="0" applyAlignment="0" applyProtection="0"/>
    <xf numFmtId="0" fontId="210" fillId="0" borderId="395" applyNumberFormat="0" applyFill="0" applyAlignment="0" applyProtection="0"/>
    <xf numFmtId="0" fontId="210" fillId="0" borderId="395" applyNumberFormat="0" applyFill="0" applyAlignment="0" applyProtection="0"/>
    <xf numFmtId="0" fontId="210" fillId="0" borderId="395" applyNumberFormat="0" applyFill="0" applyAlignment="0" applyProtection="0"/>
    <xf numFmtId="0" fontId="210" fillId="0" borderId="395" applyNumberFormat="0" applyFill="0" applyAlignment="0" applyProtection="0"/>
    <xf numFmtId="0" fontId="210" fillId="0" borderId="395" applyNumberFormat="0" applyFill="0" applyAlignment="0" applyProtection="0"/>
    <xf numFmtId="0" fontId="210" fillId="0" borderId="395" applyNumberFormat="0" applyFill="0" applyAlignment="0" applyProtection="0"/>
    <xf numFmtId="0" fontId="210" fillId="0" borderId="395" applyNumberFormat="0" applyFill="0" applyAlignment="0" applyProtection="0"/>
    <xf numFmtId="0" fontId="20" fillId="79" borderId="397" applyNumberFormat="0" applyFont="0" applyAlignment="0" applyProtection="0"/>
    <xf numFmtId="0" fontId="20" fillId="79" borderId="397" applyNumberFormat="0" applyFont="0" applyAlignment="0" applyProtection="0"/>
    <xf numFmtId="0" fontId="20" fillId="79" borderId="397" applyNumberFormat="0" applyFont="0" applyAlignment="0" applyProtection="0"/>
    <xf numFmtId="0" fontId="20" fillId="79" borderId="397" applyNumberFormat="0" applyFont="0" applyAlignment="0" applyProtection="0"/>
    <xf numFmtId="0" fontId="20" fillId="79" borderId="397" applyNumberFormat="0" applyFont="0" applyAlignment="0" applyProtection="0"/>
    <xf numFmtId="0" fontId="20" fillId="79" borderId="397" applyNumberFormat="0" applyFont="0" applyAlignment="0" applyProtection="0"/>
    <xf numFmtId="0" fontId="20" fillId="79" borderId="397" applyNumberFormat="0" applyFont="0" applyAlignment="0" applyProtection="0"/>
    <xf numFmtId="0" fontId="20" fillId="79" borderId="397" applyNumberFormat="0" applyFont="0" applyAlignment="0" applyProtection="0"/>
    <xf numFmtId="0" fontId="20" fillId="79" borderId="397" applyNumberFormat="0" applyFont="0" applyAlignment="0" applyProtection="0"/>
    <xf numFmtId="0" fontId="20" fillId="79" borderId="397" applyNumberFormat="0" applyFont="0" applyAlignment="0" applyProtection="0"/>
    <xf numFmtId="0" fontId="21" fillId="21" borderId="356" applyNumberFormat="0" applyFont="0" applyAlignment="0" applyProtection="0"/>
    <xf numFmtId="0" fontId="20" fillId="79" borderId="397" applyNumberFormat="0" applyFont="0" applyAlignment="0" applyProtection="0"/>
    <xf numFmtId="0" fontId="20" fillId="79" borderId="397" applyNumberFormat="0" applyFont="0" applyAlignment="0" applyProtection="0"/>
    <xf numFmtId="0" fontId="20" fillId="79" borderId="397" applyNumberFormat="0" applyFont="0" applyAlignment="0" applyProtection="0"/>
    <xf numFmtId="0" fontId="20" fillId="79" borderId="397" applyNumberFormat="0" applyFont="0" applyAlignment="0" applyProtection="0"/>
    <xf numFmtId="0" fontId="20" fillId="79" borderId="397" applyNumberFormat="0" applyFont="0" applyAlignment="0" applyProtection="0"/>
    <xf numFmtId="0" fontId="20" fillId="79" borderId="397" applyNumberFormat="0" applyFont="0" applyAlignment="0" applyProtection="0"/>
    <xf numFmtId="0" fontId="20" fillId="79" borderId="397" applyNumberFormat="0" applyFont="0" applyAlignment="0" applyProtection="0"/>
    <xf numFmtId="0" fontId="20" fillId="79" borderId="397" applyNumberFormat="0" applyFont="0" applyAlignment="0" applyProtection="0"/>
    <xf numFmtId="0" fontId="20" fillId="79" borderId="397" applyNumberFormat="0" applyFont="0" applyAlignment="0" applyProtection="0"/>
    <xf numFmtId="0" fontId="20" fillId="79" borderId="397" applyNumberFormat="0" applyFont="0" applyAlignment="0" applyProtection="0"/>
    <xf numFmtId="0" fontId="21" fillId="21" borderId="356" applyNumberFormat="0" applyFont="0" applyAlignment="0" applyProtection="0"/>
    <xf numFmtId="0" fontId="20" fillId="79" borderId="397" applyNumberFormat="0" applyFont="0" applyAlignment="0" applyProtection="0"/>
    <xf numFmtId="0" fontId="20" fillId="79" borderId="397" applyNumberFormat="0" applyFont="0" applyAlignment="0" applyProtection="0"/>
    <xf numFmtId="0" fontId="20" fillId="79" borderId="397" applyNumberFormat="0" applyFont="0" applyAlignment="0" applyProtection="0"/>
    <xf numFmtId="0" fontId="20" fillId="79" borderId="397" applyNumberFormat="0" applyFont="0" applyAlignment="0" applyProtection="0"/>
    <xf numFmtId="0" fontId="20" fillId="79" borderId="397" applyNumberFormat="0" applyFont="0" applyAlignment="0" applyProtection="0"/>
    <xf numFmtId="0" fontId="20" fillId="79" borderId="397" applyNumberFormat="0" applyFont="0" applyAlignment="0" applyProtection="0"/>
    <xf numFmtId="0" fontId="20" fillId="79" borderId="397" applyNumberFormat="0" applyFont="0" applyAlignment="0" applyProtection="0"/>
    <xf numFmtId="0" fontId="20" fillId="79" borderId="397" applyNumberFormat="0" applyFont="0" applyAlignment="0" applyProtection="0"/>
    <xf numFmtId="0" fontId="20" fillId="79" borderId="397" applyNumberFormat="0" applyFont="0" applyAlignment="0" applyProtection="0"/>
    <xf numFmtId="0" fontId="20" fillId="79" borderId="397" applyNumberFormat="0" applyFont="0" applyAlignment="0" applyProtection="0"/>
    <xf numFmtId="0" fontId="20" fillId="79" borderId="397" applyNumberFormat="0" applyFont="0" applyAlignment="0" applyProtection="0"/>
    <xf numFmtId="0" fontId="20" fillId="79" borderId="397" applyNumberFormat="0" applyFont="0" applyAlignment="0" applyProtection="0"/>
    <xf numFmtId="0" fontId="20" fillId="79" borderId="397" applyNumberFormat="0" applyFont="0" applyAlignment="0" applyProtection="0"/>
    <xf numFmtId="0" fontId="20" fillId="79" borderId="397" applyNumberFormat="0" applyFont="0" applyAlignment="0" applyProtection="0"/>
    <xf numFmtId="0" fontId="11" fillId="79" borderId="397" applyNumberFormat="0" applyFont="0" applyAlignment="0" applyProtection="0"/>
    <xf numFmtId="0" fontId="11" fillId="79" borderId="397" applyNumberFormat="0" applyFont="0" applyAlignment="0" applyProtection="0"/>
    <xf numFmtId="0" fontId="11" fillId="79" borderId="397" applyNumberFormat="0" applyFont="0" applyAlignment="0" applyProtection="0"/>
    <xf numFmtId="0" fontId="11" fillId="79" borderId="397" applyNumberFormat="0" applyFont="0" applyAlignment="0" applyProtection="0"/>
    <xf numFmtId="0" fontId="11" fillId="79" borderId="397" applyNumberFormat="0" applyFont="0" applyAlignment="0" applyProtection="0"/>
    <xf numFmtId="0" fontId="11" fillId="79" borderId="397" applyNumberFormat="0" applyFont="0" applyAlignment="0" applyProtection="0"/>
    <xf numFmtId="0" fontId="11" fillId="79" borderId="397" applyNumberFormat="0" applyFont="0" applyAlignment="0" applyProtection="0"/>
    <xf numFmtId="0" fontId="20" fillId="79" borderId="397" applyNumberFormat="0" applyFont="0" applyAlignment="0" applyProtection="0"/>
    <xf numFmtId="0" fontId="11" fillId="79" borderId="397" applyNumberFormat="0" applyFont="0" applyAlignment="0" applyProtection="0"/>
    <xf numFmtId="0" fontId="11" fillId="79" borderId="397" applyNumberFormat="0" applyFont="0" applyAlignment="0" applyProtection="0"/>
    <xf numFmtId="0" fontId="11" fillId="79" borderId="397" applyNumberFormat="0" applyFont="0" applyAlignment="0" applyProtection="0"/>
    <xf numFmtId="0" fontId="11" fillId="79" borderId="397" applyNumberFormat="0" applyFont="0" applyAlignment="0" applyProtection="0"/>
    <xf numFmtId="0" fontId="11" fillId="79" borderId="397" applyNumberFormat="0" applyFont="0" applyAlignment="0" applyProtection="0"/>
    <xf numFmtId="0" fontId="11" fillId="79" borderId="397" applyNumberFormat="0" applyFont="0" applyAlignment="0" applyProtection="0"/>
    <xf numFmtId="0" fontId="11" fillId="79" borderId="397" applyNumberFormat="0" applyFont="0" applyAlignment="0" applyProtection="0"/>
    <xf numFmtId="0" fontId="11" fillId="79" borderId="397" applyNumberFormat="0" applyFont="0" applyAlignment="0" applyProtection="0"/>
    <xf numFmtId="0" fontId="11" fillId="79" borderId="397" applyNumberFormat="0" applyFont="0" applyAlignment="0" applyProtection="0"/>
    <xf numFmtId="0" fontId="11" fillId="79" borderId="397" applyNumberFormat="0" applyFont="0" applyAlignment="0" applyProtection="0"/>
    <xf numFmtId="0" fontId="20" fillId="79" borderId="397" applyNumberFormat="0" applyFont="0" applyAlignment="0" applyProtection="0"/>
    <xf numFmtId="0" fontId="11" fillId="79" borderId="397" applyNumberFormat="0" applyFont="0" applyAlignment="0" applyProtection="0"/>
    <xf numFmtId="0" fontId="20" fillId="79" borderId="397" applyNumberFormat="0" applyFont="0" applyAlignment="0" applyProtection="0"/>
    <xf numFmtId="0" fontId="20" fillId="79" borderId="397" applyNumberFormat="0" applyFont="0" applyAlignment="0" applyProtection="0"/>
    <xf numFmtId="0" fontId="20" fillId="79" borderId="397" applyNumberFormat="0" applyFont="0" applyAlignment="0" applyProtection="0"/>
    <xf numFmtId="0" fontId="207" fillId="76" borderId="393" applyNumberFormat="0" applyAlignment="0" applyProtection="0"/>
    <xf numFmtId="0" fontId="207" fillId="76" borderId="393" applyNumberFormat="0" applyAlignment="0" applyProtection="0"/>
    <xf numFmtId="0" fontId="207" fillId="76" borderId="393" applyNumberFormat="0" applyAlignment="0" applyProtection="0"/>
    <xf numFmtId="0" fontId="207" fillId="76" borderId="393" applyNumberFormat="0" applyAlignment="0" applyProtection="0"/>
    <xf numFmtId="0" fontId="207" fillId="76" borderId="393" applyNumberFormat="0" applyAlignment="0" applyProtection="0"/>
    <xf numFmtId="0" fontId="207" fillId="76" borderId="393" applyNumberFormat="0" applyAlignment="0" applyProtection="0"/>
    <xf numFmtId="0" fontId="207" fillId="76" borderId="393" applyNumberFormat="0" applyAlignment="0" applyProtection="0"/>
    <xf numFmtId="0" fontId="207" fillId="76" borderId="393" applyNumberFormat="0" applyAlignment="0" applyProtection="0"/>
    <xf numFmtId="0" fontId="207" fillId="76" borderId="393" applyNumberFormat="0" applyAlignment="0" applyProtection="0"/>
    <xf numFmtId="0" fontId="207" fillId="76" borderId="393" applyNumberFormat="0" applyAlignment="0" applyProtection="0"/>
    <xf numFmtId="0" fontId="218" fillId="7" borderId="398" applyNumberFormat="0" applyAlignment="0" applyProtection="0"/>
    <xf numFmtId="0" fontId="207" fillId="76" borderId="393" applyNumberFormat="0" applyAlignment="0" applyProtection="0"/>
    <xf numFmtId="0" fontId="207" fillId="76" borderId="393" applyNumberFormat="0" applyAlignment="0" applyProtection="0"/>
    <xf numFmtId="0" fontId="207" fillId="76" borderId="393" applyNumberFormat="0" applyAlignment="0" applyProtection="0"/>
    <xf numFmtId="0" fontId="207" fillId="76" borderId="393" applyNumberFormat="0" applyAlignment="0" applyProtection="0"/>
    <xf numFmtId="0" fontId="207" fillId="76" borderId="393" applyNumberFormat="0" applyAlignment="0" applyProtection="0"/>
    <xf numFmtId="0" fontId="207" fillId="76" borderId="393" applyNumberFormat="0" applyAlignment="0" applyProtection="0"/>
    <xf numFmtId="0" fontId="207" fillId="76" borderId="393" applyNumberFormat="0" applyAlignment="0" applyProtection="0"/>
    <xf numFmtId="0" fontId="207" fillId="76" borderId="393" applyNumberFormat="0" applyAlignment="0" applyProtection="0"/>
    <xf numFmtId="0" fontId="207" fillId="76" borderId="393" applyNumberFormat="0" applyAlignment="0" applyProtection="0"/>
    <xf numFmtId="0" fontId="207" fillId="76" borderId="393" applyNumberFormat="0" applyAlignment="0" applyProtection="0"/>
    <xf numFmtId="0" fontId="207" fillId="76" borderId="393" applyNumberFormat="0" applyAlignment="0" applyProtection="0"/>
    <xf numFmtId="0" fontId="207" fillId="76" borderId="393" applyNumberFormat="0" applyAlignment="0" applyProtection="0"/>
    <xf numFmtId="0" fontId="207" fillId="76" borderId="393" applyNumberFormat="0" applyAlignment="0" applyProtection="0"/>
    <xf numFmtId="0" fontId="207" fillId="76" borderId="393" applyNumberFormat="0" applyAlignment="0" applyProtection="0"/>
    <xf numFmtId="0" fontId="207" fillId="76" borderId="393" applyNumberFormat="0" applyAlignment="0" applyProtection="0"/>
    <xf numFmtId="0" fontId="207" fillId="76" borderId="393" applyNumberFormat="0" applyAlignment="0" applyProtection="0"/>
    <xf numFmtId="0" fontId="207" fillId="76" borderId="393" applyNumberFormat="0" applyAlignment="0" applyProtection="0"/>
    <xf numFmtId="0" fontId="207" fillId="76" borderId="393" applyNumberFormat="0" applyAlignment="0" applyProtection="0"/>
    <xf numFmtId="0" fontId="207" fillId="76" borderId="393" applyNumberFormat="0" applyAlignment="0" applyProtection="0"/>
    <xf numFmtId="0" fontId="207" fillId="76" borderId="393" applyNumberFormat="0" applyAlignment="0" applyProtection="0"/>
    <xf numFmtId="0" fontId="207" fillId="76" borderId="393" applyNumberFormat="0" applyAlignment="0" applyProtection="0"/>
    <xf numFmtId="0" fontId="207" fillId="76" borderId="393" applyNumberFormat="0" applyAlignment="0" applyProtection="0"/>
    <xf numFmtId="0" fontId="207" fillId="76" borderId="393" applyNumberFormat="0" applyAlignment="0" applyProtection="0"/>
    <xf numFmtId="0" fontId="207" fillId="76" borderId="393" applyNumberFormat="0" applyAlignment="0" applyProtection="0"/>
    <xf numFmtId="0" fontId="207" fillId="76" borderId="393" applyNumberFormat="0" applyAlignment="0" applyProtection="0"/>
    <xf numFmtId="0" fontId="207" fillId="76" borderId="393" applyNumberFormat="0" applyAlignment="0" applyProtection="0"/>
    <xf numFmtId="0" fontId="207" fillId="76" borderId="393" applyNumberFormat="0" applyAlignment="0" applyProtection="0"/>
    <xf numFmtId="0" fontId="207" fillId="76" borderId="393" applyNumberFormat="0" applyAlignment="0" applyProtection="0"/>
    <xf numFmtId="0" fontId="207" fillId="76" borderId="393" applyNumberFormat="0" applyAlignment="0" applyProtection="0"/>
    <xf numFmtId="0" fontId="207" fillId="76" borderId="393" applyNumberFormat="0" applyAlignment="0" applyProtection="0"/>
    <xf numFmtId="0" fontId="207" fillId="76" borderId="393" applyNumberFormat="0" applyAlignment="0" applyProtection="0"/>
    <xf numFmtId="0" fontId="207" fillId="76" borderId="393" applyNumberFormat="0" applyAlignment="0" applyProtection="0"/>
    <xf numFmtId="0" fontId="207" fillId="76" borderId="393" applyNumberFormat="0" applyAlignment="0" applyProtection="0"/>
    <xf numFmtId="0" fontId="207" fillId="76" borderId="393" applyNumberFormat="0" applyAlignment="0" applyProtection="0"/>
    <xf numFmtId="0" fontId="207" fillId="76" borderId="393" applyNumberFormat="0" applyAlignment="0" applyProtection="0"/>
    <xf numFmtId="0" fontId="207" fillId="76" borderId="393" applyNumberFormat="0" applyAlignment="0" applyProtection="0"/>
    <xf numFmtId="0" fontId="207" fillId="76" borderId="393" applyNumberFormat="0" applyAlignment="0" applyProtection="0"/>
    <xf numFmtId="0" fontId="207" fillId="76" borderId="393" applyNumberFormat="0" applyAlignment="0" applyProtection="0"/>
    <xf numFmtId="0" fontId="207" fillId="76" borderId="393" applyNumberFormat="0" applyAlignment="0" applyProtection="0"/>
    <xf numFmtId="0" fontId="207" fillId="76" borderId="393" applyNumberFormat="0" applyAlignment="0" applyProtection="0"/>
    <xf numFmtId="0" fontId="207" fillId="76" borderId="393" applyNumberFormat="0" applyAlignment="0" applyProtection="0"/>
    <xf numFmtId="0" fontId="207" fillId="76" borderId="393" applyNumberFormat="0" applyAlignment="0" applyProtection="0"/>
    <xf numFmtId="0" fontId="207" fillId="76" borderId="393" applyNumberFormat="0" applyAlignment="0" applyProtection="0"/>
    <xf numFmtId="0" fontId="207" fillId="76" borderId="393" applyNumberFormat="0" applyAlignment="0" applyProtection="0"/>
    <xf numFmtId="0" fontId="207" fillId="76" borderId="393" applyNumberFormat="0" applyAlignment="0" applyProtection="0"/>
    <xf numFmtId="0" fontId="207" fillId="76" borderId="393" applyNumberFormat="0" applyAlignment="0" applyProtection="0"/>
    <xf numFmtId="0" fontId="207" fillId="76" borderId="393" applyNumberFormat="0" applyAlignment="0" applyProtection="0"/>
    <xf numFmtId="0" fontId="205" fillId="74" borderId="0" applyNumberFormat="0" applyBorder="0" applyAlignment="0" applyProtection="0"/>
    <xf numFmtId="0" fontId="205" fillId="74" borderId="0" applyNumberFormat="0" applyBorder="0" applyAlignment="0" applyProtection="0"/>
    <xf numFmtId="0" fontId="205" fillId="74" borderId="0" applyNumberFormat="0" applyBorder="0" applyAlignment="0" applyProtection="0"/>
    <xf numFmtId="0" fontId="205" fillId="74" borderId="0" applyNumberFormat="0" applyBorder="0" applyAlignment="0" applyProtection="0"/>
    <xf numFmtId="0" fontId="205" fillId="74" borderId="0" applyNumberFormat="0" applyBorder="0" applyAlignment="0" applyProtection="0"/>
    <xf numFmtId="0" fontId="205" fillId="74" borderId="0" applyNumberFormat="0" applyBorder="0" applyAlignment="0" applyProtection="0"/>
    <xf numFmtId="0" fontId="205" fillId="74" borderId="0" applyNumberFormat="0" applyBorder="0" applyAlignment="0" applyProtection="0"/>
    <xf numFmtId="0" fontId="205" fillId="74" borderId="0" applyNumberFormat="0" applyBorder="0" applyAlignment="0" applyProtection="0"/>
    <xf numFmtId="0" fontId="205" fillId="74" borderId="0" applyNumberFormat="0" applyBorder="0" applyAlignment="0" applyProtection="0"/>
    <xf numFmtId="0" fontId="205" fillId="74" borderId="0" applyNumberFormat="0" applyBorder="0" applyAlignment="0" applyProtection="0"/>
    <xf numFmtId="0" fontId="219" fillId="3" borderId="0" applyNumberFormat="0" applyBorder="0" applyAlignment="0" applyProtection="0"/>
    <xf numFmtId="0" fontId="205" fillId="74" borderId="0" applyNumberFormat="0" applyBorder="0" applyAlignment="0" applyProtection="0"/>
    <xf numFmtId="0" fontId="205" fillId="74" borderId="0" applyNumberFormat="0" applyBorder="0" applyAlignment="0" applyProtection="0"/>
    <xf numFmtId="0" fontId="205" fillId="74" borderId="0" applyNumberFormat="0" applyBorder="0" applyAlignment="0" applyProtection="0"/>
    <xf numFmtId="0" fontId="205" fillId="74" borderId="0" applyNumberFormat="0" applyBorder="0" applyAlignment="0" applyProtection="0"/>
    <xf numFmtId="0" fontId="205" fillId="74" borderId="0" applyNumberFormat="0" applyBorder="0" applyAlignment="0" applyProtection="0"/>
    <xf numFmtId="0" fontId="205" fillId="74" borderId="0" applyNumberFormat="0" applyBorder="0" applyAlignment="0" applyProtection="0"/>
    <xf numFmtId="0" fontId="205" fillId="74" borderId="0" applyNumberFormat="0" applyBorder="0" applyAlignment="0" applyProtection="0"/>
    <xf numFmtId="0" fontId="205" fillId="74" borderId="0" applyNumberFormat="0" applyBorder="0" applyAlignment="0" applyProtection="0"/>
    <xf numFmtId="0" fontId="205" fillId="74" borderId="0" applyNumberFormat="0" applyBorder="0" applyAlignment="0" applyProtection="0"/>
    <xf numFmtId="0" fontId="205" fillId="74" borderId="0" applyNumberFormat="0" applyBorder="0" applyAlignment="0" applyProtection="0"/>
    <xf numFmtId="0" fontId="205" fillId="74" borderId="0" applyNumberFormat="0" applyBorder="0" applyAlignment="0" applyProtection="0"/>
    <xf numFmtId="0" fontId="205" fillId="74" borderId="0" applyNumberFormat="0" applyBorder="0" applyAlignment="0" applyProtection="0"/>
    <xf numFmtId="0" fontId="205" fillId="74" borderId="0" applyNumberFormat="0" applyBorder="0" applyAlignment="0" applyProtection="0"/>
    <xf numFmtId="0" fontId="205" fillId="74" borderId="0" applyNumberFormat="0" applyBorder="0" applyAlignment="0" applyProtection="0"/>
    <xf numFmtId="0" fontId="205" fillId="74" borderId="0" applyNumberFormat="0" applyBorder="0" applyAlignment="0" applyProtection="0"/>
    <xf numFmtId="0" fontId="205" fillId="74" borderId="0" applyNumberFormat="0" applyBorder="0" applyAlignment="0" applyProtection="0"/>
    <xf numFmtId="0" fontId="205" fillId="74" borderId="0" applyNumberFormat="0" applyBorder="0" applyAlignment="0" applyProtection="0"/>
    <xf numFmtId="0" fontId="205" fillId="74" borderId="0" applyNumberFormat="0" applyBorder="0" applyAlignment="0" applyProtection="0"/>
    <xf numFmtId="0" fontId="205" fillId="74" borderId="0" applyNumberFormat="0" applyBorder="0" applyAlignment="0" applyProtection="0"/>
    <xf numFmtId="0" fontId="205" fillId="74" borderId="0" applyNumberFormat="0" applyBorder="0" applyAlignment="0" applyProtection="0"/>
    <xf numFmtId="0" fontId="205" fillId="74" borderId="0" applyNumberFormat="0" applyBorder="0" applyAlignment="0" applyProtection="0"/>
    <xf numFmtId="0" fontId="205" fillId="74" borderId="0" applyNumberFormat="0" applyBorder="0" applyAlignment="0" applyProtection="0"/>
    <xf numFmtId="0" fontId="205" fillId="74" borderId="0" applyNumberFormat="0" applyBorder="0" applyAlignment="0" applyProtection="0"/>
    <xf numFmtId="0" fontId="205" fillId="74" borderId="0" applyNumberFormat="0" applyBorder="0" applyAlignment="0" applyProtection="0"/>
    <xf numFmtId="0" fontId="205" fillId="74" borderId="0" applyNumberFormat="0" applyBorder="0" applyAlignment="0" applyProtection="0"/>
    <xf numFmtId="0" fontId="205" fillId="74" borderId="0" applyNumberFormat="0" applyBorder="0" applyAlignment="0" applyProtection="0"/>
    <xf numFmtId="0" fontId="205" fillId="74" borderId="0" applyNumberFormat="0" applyBorder="0" applyAlignment="0" applyProtection="0"/>
    <xf numFmtId="0" fontId="205" fillId="74" borderId="0" applyNumberFormat="0" applyBorder="0" applyAlignment="0" applyProtection="0"/>
    <xf numFmtId="0" fontId="205" fillId="74" borderId="0" applyNumberFormat="0" applyBorder="0" applyAlignment="0" applyProtection="0"/>
    <xf numFmtId="0" fontId="205" fillId="74" borderId="0" applyNumberFormat="0" applyBorder="0" applyAlignment="0" applyProtection="0"/>
    <xf numFmtId="0" fontId="205" fillId="74" borderId="0" applyNumberFormat="0" applyBorder="0" applyAlignment="0" applyProtection="0"/>
    <xf numFmtId="0" fontId="205" fillId="74" borderId="0" applyNumberFormat="0" applyBorder="0" applyAlignment="0" applyProtection="0"/>
    <xf numFmtId="0" fontId="205" fillId="74" borderId="0" applyNumberFormat="0" applyBorder="0" applyAlignment="0" applyProtection="0"/>
    <xf numFmtId="0" fontId="205" fillId="74" borderId="0" applyNumberFormat="0" applyBorder="0" applyAlignment="0" applyProtection="0"/>
    <xf numFmtId="0" fontId="205" fillId="74" borderId="0" applyNumberFormat="0" applyBorder="0" applyAlignment="0" applyProtection="0"/>
    <xf numFmtId="0" fontId="205" fillId="74" borderId="0" applyNumberFormat="0" applyBorder="0" applyAlignment="0" applyProtection="0"/>
    <xf numFmtId="0" fontId="205" fillId="74" borderId="0" applyNumberFormat="0" applyBorder="0" applyAlignment="0" applyProtection="0"/>
    <xf numFmtId="0" fontId="205" fillId="74" borderId="0" applyNumberFormat="0" applyBorder="0" applyAlignment="0" applyProtection="0"/>
    <xf numFmtId="0" fontId="205" fillId="74" borderId="0" applyNumberFormat="0" applyBorder="0" applyAlignment="0" applyProtection="0"/>
    <xf numFmtId="0" fontId="205" fillId="74" borderId="0" applyNumberFormat="0" applyBorder="0" applyAlignment="0" applyProtection="0"/>
    <xf numFmtId="0" fontId="205" fillId="74" borderId="0" applyNumberFormat="0" applyBorder="0" applyAlignment="0" applyProtection="0"/>
    <xf numFmtId="0" fontId="205" fillId="74" borderId="0" applyNumberFormat="0" applyBorder="0" applyAlignment="0" applyProtection="0"/>
    <xf numFmtId="0" fontId="205" fillId="74" borderId="0" applyNumberFormat="0" applyBorder="0" applyAlignment="0" applyProtection="0"/>
    <xf numFmtId="0" fontId="205" fillId="74" borderId="0" applyNumberFormat="0" applyBorder="0" applyAlignment="0" applyProtection="0"/>
    <xf numFmtId="0" fontId="205" fillId="74" borderId="0" applyNumberFormat="0" applyBorder="0" applyAlignment="0" applyProtection="0"/>
    <xf numFmtId="0" fontId="205" fillId="74" borderId="0" applyNumberFormat="0" applyBorder="0" applyAlignment="0" applyProtection="0"/>
    <xf numFmtId="0" fontId="205" fillId="74" borderId="0" applyNumberFormat="0" applyBorder="0" applyAlignment="0" applyProtection="0"/>
    <xf numFmtId="164" fontId="11" fillId="0" borderId="0" applyFont="0" applyFill="0" applyBorder="0" applyAlignment="0" applyProtection="0"/>
    <xf numFmtId="0" fontId="21" fillId="0" borderId="0" applyFont="0" applyFill="0" applyBorder="0" applyAlignment="0" applyProtection="0"/>
    <xf numFmtId="165" fontId="21" fillId="0" borderId="0" applyFont="0" applyFill="0" applyBorder="0" applyAlignment="0" applyProtection="0"/>
    <xf numFmtId="200" fontId="21" fillId="0" borderId="0" applyFont="0" applyFill="0" applyBorder="0" applyAlignment="0" applyProtection="0"/>
    <xf numFmtId="200" fontId="21" fillId="0" borderId="0" applyFont="0" applyFill="0" applyBorder="0" applyAlignment="0" applyProtection="0"/>
    <xf numFmtId="198" fontId="21" fillId="0" borderId="0" applyFont="0" applyFill="0" applyBorder="0" applyAlignment="0" applyProtection="0"/>
    <xf numFmtId="164" fontId="60" fillId="0" borderId="0" applyFont="0" applyFill="0" applyBorder="0" applyAlignment="0" applyProtection="0"/>
    <xf numFmtId="164" fontId="11" fillId="0" borderId="0" applyFont="0" applyFill="0" applyBorder="0" applyAlignment="0" applyProtection="0"/>
    <xf numFmtId="0" fontId="206" fillId="75" borderId="0" applyNumberFormat="0" applyBorder="0" applyAlignment="0" applyProtection="0"/>
    <xf numFmtId="0" fontId="206" fillId="75" borderId="0" applyNumberFormat="0" applyBorder="0" applyAlignment="0" applyProtection="0"/>
    <xf numFmtId="0" fontId="206" fillId="75" borderId="0" applyNumberFormat="0" applyBorder="0" applyAlignment="0" applyProtection="0"/>
    <xf numFmtId="0" fontId="206" fillId="75" borderId="0" applyNumberFormat="0" applyBorder="0" applyAlignment="0" applyProtection="0"/>
    <xf numFmtId="0" fontId="206" fillId="75" borderId="0" applyNumberFormat="0" applyBorder="0" applyAlignment="0" applyProtection="0"/>
    <xf numFmtId="0" fontId="206" fillId="75" borderId="0" applyNumberFormat="0" applyBorder="0" applyAlignment="0" applyProtection="0"/>
    <xf numFmtId="0" fontId="206" fillId="75" borderId="0" applyNumberFormat="0" applyBorder="0" applyAlignment="0" applyProtection="0"/>
    <xf numFmtId="0" fontId="206" fillId="75" borderId="0" applyNumberFormat="0" applyBorder="0" applyAlignment="0" applyProtection="0"/>
    <xf numFmtId="0" fontId="206" fillId="75" borderId="0" applyNumberFormat="0" applyBorder="0" applyAlignment="0" applyProtection="0"/>
    <xf numFmtId="0" fontId="206" fillId="75" borderId="0" applyNumberFormat="0" applyBorder="0" applyAlignment="0" applyProtection="0"/>
    <xf numFmtId="0" fontId="221" fillId="22" borderId="0" applyNumberFormat="0" applyBorder="0" applyAlignment="0" applyProtection="0"/>
    <xf numFmtId="0" fontId="206" fillId="75" borderId="0" applyNumberFormat="0" applyBorder="0" applyAlignment="0" applyProtection="0"/>
    <xf numFmtId="0" fontId="206" fillId="75" borderId="0" applyNumberFormat="0" applyBorder="0" applyAlignment="0" applyProtection="0"/>
    <xf numFmtId="0" fontId="206" fillId="75" borderId="0" applyNumberFormat="0" applyBorder="0" applyAlignment="0" applyProtection="0"/>
    <xf numFmtId="0" fontId="206" fillId="75" borderId="0" applyNumberFormat="0" applyBorder="0" applyAlignment="0" applyProtection="0"/>
    <xf numFmtId="0" fontId="206" fillId="75" borderId="0" applyNumberFormat="0" applyBorder="0" applyAlignment="0" applyProtection="0"/>
    <xf numFmtId="0" fontId="206" fillId="75" borderId="0" applyNumberFormat="0" applyBorder="0" applyAlignment="0" applyProtection="0"/>
    <xf numFmtId="0" fontId="206" fillId="75" borderId="0" applyNumberFormat="0" applyBorder="0" applyAlignment="0" applyProtection="0"/>
    <xf numFmtId="0" fontId="206" fillId="75" borderId="0" applyNumberFormat="0" applyBorder="0" applyAlignment="0" applyProtection="0"/>
    <xf numFmtId="0" fontId="206" fillId="75" borderId="0" applyNumberFormat="0" applyBorder="0" applyAlignment="0" applyProtection="0"/>
    <xf numFmtId="0" fontId="206" fillId="75" borderId="0" applyNumberFormat="0" applyBorder="0" applyAlignment="0" applyProtection="0"/>
    <xf numFmtId="0" fontId="206" fillId="75" borderId="0" applyNumberFormat="0" applyBorder="0" applyAlignment="0" applyProtection="0"/>
    <xf numFmtId="0" fontId="206" fillId="75" borderId="0" applyNumberFormat="0" applyBorder="0" applyAlignment="0" applyProtection="0"/>
    <xf numFmtId="0" fontId="206" fillId="75" borderId="0" applyNumberFormat="0" applyBorder="0" applyAlignment="0" applyProtection="0"/>
    <xf numFmtId="0" fontId="206" fillId="75" borderId="0" applyNumberFormat="0" applyBorder="0" applyAlignment="0" applyProtection="0"/>
    <xf numFmtId="0" fontId="206" fillId="75" borderId="0" applyNumberFormat="0" applyBorder="0" applyAlignment="0" applyProtection="0"/>
    <xf numFmtId="0" fontId="206" fillId="75" borderId="0" applyNumberFormat="0" applyBorder="0" applyAlignment="0" applyProtection="0"/>
    <xf numFmtId="0" fontId="206" fillId="75" borderId="0" applyNumberFormat="0" applyBorder="0" applyAlignment="0" applyProtection="0"/>
    <xf numFmtId="0" fontId="206" fillId="75" borderId="0" applyNumberFormat="0" applyBorder="0" applyAlignment="0" applyProtection="0"/>
    <xf numFmtId="0" fontId="206" fillId="75" borderId="0" applyNumberFormat="0" applyBorder="0" applyAlignment="0" applyProtection="0"/>
    <xf numFmtId="0" fontId="206" fillId="75" borderId="0" applyNumberFormat="0" applyBorder="0" applyAlignment="0" applyProtection="0"/>
    <xf numFmtId="0" fontId="206" fillId="75" borderId="0" applyNumberFormat="0" applyBorder="0" applyAlignment="0" applyProtection="0"/>
    <xf numFmtId="0" fontId="206" fillId="75" borderId="0" applyNumberFormat="0" applyBorder="0" applyAlignment="0" applyProtection="0"/>
    <xf numFmtId="0" fontId="206" fillId="75" borderId="0" applyNumberFormat="0" applyBorder="0" applyAlignment="0" applyProtection="0"/>
    <xf numFmtId="0" fontId="206" fillId="75" borderId="0" applyNumberFormat="0" applyBorder="0" applyAlignment="0" applyProtection="0"/>
    <xf numFmtId="0" fontId="206" fillId="75" borderId="0" applyNumberFormat="0" applyBorder="0" applyAlignment="0" applyProtection="0"/>
    <xf numFmtId="0" fontId="206" fillId="75" borderId="0" applyNumberFormat="0" applyBorder="0" applyAlignment="0" applyProtection="0"/>
    <xf numFmtId="0" fontId="206" fillId="75" borderId="0" applyNumberFormat="0" applyBorder="0" applyAlignment="0" applyProtection="0"/>
    <xf numFmtId="0" fontId="206" fillId="75" borderId="0" applyNumberFormat="0" applyBorder="0" applyAlignment="0" applyProtection="0"/>
    <xf numFmtId="0" fontId="206" fillId="75" borderId="0" applyNumberFormat="0" applyBorder="0" applyAlignment="0" applyProtection="0"/>
    <xf numFmtId="0" fontId="206" fillId="75" borderId="0" applyNumberFormat="0" applyBorder="0" applyAlignment="0" applyProtection="0"/>
    <xf numFmtId="0" fontId="206" fillId="75" borderId="0" applyNumberFormat="0" applyBorder="0" applyAlignment="0" applyProtection="0"/>
    <xf numFmtId="0" fontId="206" fillId="75" borderId="0" applyNumberFormat="0" applyBorder="0" applyAlignment="0" applyProtection="0"/>
    <xf numFmtId="0" fontId="206" fillId="75" borderId="0" applyNumberFormat="0" applyBorder="0" applyAlignment="0" applyProtection="0"/>
    <xf numFmtId="0" fontId="206" fillId="75" borderId="0" applyNumberFormat="0" applyBorder="0" applyAlignment="0" applyProtection="0"/>
    <xf numFmtId="0" fontId="206" fillId="75" borderId="0" applyNumberFormat="0" applyBorder="0" applyAlignment="0" applyProtection="0"/>
    <xf numFmtId="0" fontId="206" fillId="75" borderId="0" applyNumberFormat="0" applyBorder="0" applyAlignment="0" applyProtection="0"/>
    <xf numFmtId="0" fontId="206" fillId="75" borderId="0" applyNumberFormat="0" applyBorder="0" applyAlignment="0" applyProtection="0"/>
    <xf numFmtId="0" fontId="206" fillId="75" borderId="0" applyNumberFormat="0" applyBorder="0" applyAlignment="0" applyProtection="0"/>
    <xf numFmtId="0" fontId="206" fillId="75" borderId="0" applyNumberFormat="0" applyBorder="0" applyAlignment="0" applyProtection="0"/>
    <xf numFmtId="0" fontId="206" fillId="75" borderId="0" applyNumberFormat="0" applyBorder="0" applyAlignment="0" applyProtection="0"/>
    <xf numFmtId="0" fontId="206" fillId="75" borderId="0" applyNumberFormat="0" applyBorder="0" applyAlignment="0" applyProtection="0"/>
    <xf numFmtId="0" fontId="206" fillId="75" borderId="0" applyNumberFormat="0" applyBorder="0" applyAlignment="0" applyProtection="0"/>
    <xf numFmtId="0" fontId="206" fillId="75" borderId="0" applyNumberFormat="0" applyBorder="0" applyAlignment="0" applyProtection="0"/>
    <xf numFmtId="0" fontId="206" fillId="75" borderId="0" applyNumberFormat="0" applyBorder="0" applyAlignment="0" applyProtection="0"/>
    <xf numFmtId="0" fontId="206" fillId="75" borderId="0" applyNumberFormat="0" applyBorder="0" applyAlignment="0" applyProtection="0"/>
    <xf numFmtId="0" fontId="206" fillId="75" borderId="0" applyNumberFormat="0" applyBorder="0" applyAlignment="0" applyProtection="0"/>
    <xf numFmtId="0" fontId="206" fillId="75" borderId="0" applyNumberFormat="0" applyBorder="0" applyAlignment="0" applyProtection="0"/>
    <xf numFmtId="0" fontId="11" fillId="0" borderId="0"/>
    <xf numFmtId="0" fontId="60" fillId="0" borderId="0"/>
    <xf numFmtId="0" fontId="60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54" fillId="0" borderId="0"/>
    <xf numFmtId="0" fontId="11" fillId="0" borderId="0"/>
    <xf numFmtId="0" fontId="154" fillId="0" borderId="0"/>
    <xf numFmtId="0" fontId="154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21" fillId="0" borderId="0"/>
    <xf numFmtId="9" fontId="21" fillId="0" borderId="0" applyFont="0" applyFill="0" applyBorder="0" applyAlignment="0" applyProtection="0"/>
    <xf numFmtId="9" fontId="60" fillId="0" borderId="0" applyFont="0" applyFill="0" applyBorder="0" applyAlignment="0" applyProtection="0"/>
    <xf numFmtId="0" fontId="204" fillId="73" borderId="0" applyNumberFormat="0" applyBorder="0" applyAlignment="0" applyProtection="0"/>
    <xf numFmtId="0" fontId="204" fillId="73" borderId="0" applyNumberFormat="0" applyBorder="0" applyAlignment="0" applyProtection="0"/>
    <xf numFmtId="0" fontId="204" fillId="73" borderId="0" applyNumberFormat="0" applyBorder="0" applyAlignment="0" applyProtection="0"/>
    <xf numFmtId="0" fontId="204" fillId="73" borderId="0" applyNumberFormat="0" applyBorder="0" applyAlignment="0" applyProtection="0"/>
    <xf numFmtId="0" fontId="204" fillId="73" borderId="0" applyNumberFormat="0" applyBorder="0" applyAlignment="0" applyProtection="0"/>
    <xf numFmtId="0" fontId="204" fillId="73" borderId="0" applyNumberFormat="0" applyBorder="0" applyAlignment="0" applyProtection="0"/>
    <xf numFmtId="0" fontId="204" fillId="73" borderId="0" applyNumberFormat="0" applyBorder="0" applyAlignment="0" applyProtection="0"/>
    <xf numFmtId="0" fontId="204" fillId="73" borderId="0" applyNumberFormat="0" applyBorder="0" applyAlignment="0" applyProtection="0"/>
    <xf numFmtId="0" fontId="204" fillId="73" borderId="0" applyNumberFormat="0" applyBorder="0" applyAlignment="0" applyProtection="0"/>
    <xf numFmtId="0" fontId="204" fillId="73" borderId="0" applyNumberFormat="0" applyBorder="0" applyAlignment="0" applyProtection="0"/>
    <xf numFmtId="0" fontId="222" fillId="4" borderId="0" applyNumberFormat="0" applyBorder="0" applyAlignment="0" applyProtection="0"/>
    <xf numFmtId="0" fontId="204" fillId="73" borderId="0" applyNumberFormat="0" applyBorder="0" applyAlignment="0" applyProtection="0"/>
    <xf numFmtId="0" fontId="204" fillId="73" borderId="0" applyNumberFormat="0" applyBorder="0" applyAlignment="0" applyProtection="0"/>
    <xf numFmtId="0" fontId="204" fillId="73" borderId="0" applyNumberFormat="0" applyBorder="0" applyAlignment="0" applyProtection="0"/>
    <xf numFmtId="0" fontId="204" fillId="73" borderId="0" applyNumberFormat="0" applyBorder="0" applyAlignment="0" applyProtection="0"/>
    <xf numFmtId="0" fontId="204" fillId="73" borderId="0" applyNumberFormat="0" applyBorder="0" applyAlignment="0" applyProtection="0"/>
    <xf numFmtId="0" fontId="204" fillId="73" borderId="0" applyNumberFormat="0" applyBorder="0" applyAlignment="0" applyProtection="0"/>
    <xf numFmtId="0" fontId="204" fillId="73" borderId="0" applyNumberFormat="0" applyBorder="0" applyAlignment="0" applyProtection="0"/>
    <xf numFmtId="0" fontId="204" fillId="73" borderId="0" applyNumberFormat="0" applyBorder="0" applyAlignment="0" applyProtection="0"/>
    <xf numFmtId="0" fontId="204" fillId="73" borderId="0" applyNumberFormat="0" applyBorder="0" applyAlignment="0" applyProtection="0"/>
    <xf numFmtId="0" fontId="204" fillId="73" borderId="0" applyNumberFormat="0" applyBorder="0" applyAlignment="0" applyProtection="0"/>
    <xf numFmtId="0" fontId="204" fillId="73" borderId="0" applyNumberFormat="0" applyBorder="0" applyAlignment="0" applyProtection="0"/>
    <xf numFmtId="0" fontId="204" fillId="73" borderId="0" applyNumberFormat="0" applyBorder="0" applyAlignment="0" applyProtection="0"/>
    <xf numFmtId="0" fontId="204" fillId="73" borderId="0" applyNumberFormat="0" applyBorder="0" applyAlignment="0" applyProtection="0"/>
    <xf numFmtId="0" fontId="204" fillId="73" borderId="0" applyNumberFormat="0" applyBorder="0" applyAlignment="0" applyProtection="0"/>
    <xf numFmtId="0" fontId="204" fillId="73" borderId="0" applyNumberFormat="0" applyBorder="0" applyAlignment="0" applyProtection="0"/>
    <xf numFmtId="0" fontId="204" fillId="73" borderId="0" applyNumberFormat="0" applyBorder="0" applyAlignment="0" applyProtection="0"/>
    <xf numFmtId="0" fontId="204" fillId="73" borderId="0" applyNumberFormat="0" applyBorder="0" applyAlignment="0" applyProtection="0"/>
    <xf numFmtId="0" fontId="204" fillId="73" borderId="0" applyNumberFormat="0" applyBorder="0" applyAlignment="0" applyProtection="0"/>
    <xf numFmtId="0" fontId="204" fillId="73" borderId="0" applyNumberFormat="0" applyBorder="0" applyAlignment="0" applyProtection="0"/>
    <xf numFmtId="0" fontId="204" fillId="73" borderId="0" applyNumberFormat="0" applyBorder="0" applyAlignment="0" applyProtection="0"/>
    <xf numFmtId="0" fontId="204" fillId="73" borderId="0" applyNumberFormat="0" applyBorder="0" applyAlignment="0" applyProtection="0"/>
    <xf numFmtId="0" fontId="204" fillId="73" borderId="0" applyNumberFormat="0" applyBorder="0" applyAlignment="0" applyProtection="0"/>
    <xf numFmtId="0" fontId="204" fillId="73" borderId="0" applyNumberFormat="0" applyBorder="0" applyAlignment="0" applyProtection="0"/>
    <xf numFmtId="0" fontId="204" fillId="73" borderId="0" applyNumberFormat="0" applyBorder="0" applyAlignment="0" applyProtection="0"/>
    <xf numFmtId="0" fontId="204" fillId="73" borderId="0" applyNumberFormat="0" applyBorder="0" applyAlignment="0" applyProtection="0"/>
    <xf numFmtId="0" fontId="204" fillId="73" borderId="0" applyNumberFormat="0" applyBorder="0" applyAlignment="0" applyProtection="0"/>
    <xf numFmtId="0" fontId="204" fillId="73" borderId="0" applyNumberFormat="0" applyBorder="0" applyAlignment="0" applyProtection="0"/>
    <xf numFmtId="0" fontId="204" fillId="73" borderId="0" applyNumberFormat="0" applyBorder="0" applyAlignment="0" applyProtection="0"/>
    <xf numFmtId="0" fontId="204" fillId="73" borderId="0" applyNumberFormat="0" applyBorder="0" applyAlignment="0" applyProtection="0"/>
    <xf numFmtId="0" fontId="204" fillId="73" borderId="0" applyNumberFormat="0" applyBorder="0" applyAlignment="0" applyProtection="0"/>
    <xf numFmtId="0" fontId="204" fillId="73" borderId="0" applyNumberFormat="0" applyBorder="0" applyAlignment="0" applyProtection="0"/>
    <xf numFmtId="0" fontId="204" fillId="73" borderId="0" applyNumberFormat="0" applyBorder="0" applyAlignment="0" applyProtection="0"/>
    <xf numFmtId="0" fontId="204" fillId="73" borderId="0" applyNumberFormat="0" applyBorder="0" applyAlignment="0" applyProtection="0"/>
    <xf numFmtId="0" fontId="204" fillId="73" borderId="0" applyNumberFormat="0" applyBorder="0" applyAlignment="0" applyProtection="0"/>
    <xf numFmtId="0" fontId="204" fillId="73" borderId="0" applyNumberFormat="0" applyBorder="0" applyAlignment="0" applyProtection="0"/>
    <xf numFmtId="0" fontId="204" fillId="73" borderId="0" applyNumberFormat="0" applyBorder="0" applyAlignment="0" applyProtection="0"/>
    <xf numFmtId="0" fontId="204" fillId="73" borderId="0" applyNumberFormat="0" applyBorder="0" applyAlignment="0" applyProtection="0"/>
    <xf numFmtId="0" fontId="204" fillId="73" borderId="0" applyNumberFormat="0" applyBorder="0" applyAlignment="0" applyProtection="0"/>
    <xf numFmtId="0" fontId="204" fillId="73" borderId="0" applyNumberFormat="0" applyBorder="0" applyAlignment="0" applyProtection="0"/>
    <xf numFmtId="0" fontId="204" fillId="73" borderId="0" applyNumberFormat="0" applyBorder="0" applyAlignment="0" applyProtection="0"/>
    <xf numFmtId="0" fontId="204" fillId="73" borderId="0" applyNumberFormat="0" applyBorder="0" applyAlignment="0" applyProtection="0"/>
    <xf numFmtId="0" fontId="204" fillId="73" borderId="0" applyNumberFormat="0" applyBorder="0" applyAlignment="0" applyProtection="0"/>
    <xf numFmtId="0" fontId="204" fillId="73" borderId="0" applyNumberFormat="0" applyBorder="0" applyAlignment="0" applyProtection="0"/>
    <xf numFmtId="0" fontId="204" fillId="73" borderId="0" applyNumberFormat="0" applyBorder="0" applyAlignment="0" applyProtection="0"/>
    <xf numFmtId="0" fontId="204" fillId="73" borderId="0" applyNumberFormat="0" applyBorder="0" applyAlignment="0" applyProtection="0"/>
    <xf numFmtId="0" fontId="204" fillId="73" borderId="0" applyNumberFormat="0" applyBorder="0" applyAlignment="0" applyProtection="0"/>
    <xf numFmtId="0" fontId="204" fillId="73" borderId="0" applyNumberFormat="0" applyBorder="0" applyAlignment="0" applyProtection="0"/>
    <xf numFmtId="0" fontId="208" fillId="77" borderId="394" applyNumberFormat="0" applyAlignment="0" applyProtection="0"/>
    <xf numFmtId="0" fontId="208" fillId="77" borderId="394" applyNumberFormat="0" applyAlignment="0" applyProtection="0"/>
    <xf numFmtId="0" fontId="208" fillId="77" borderId="394" applyNumberFormat="0" applyAlignment="0" applyProtection="0"/>
    <xf numFmtId="0" fontId="208" fillId="77" borderId="394" applyNumberFormat="0" applyAlignment="0" applyProtection="0"/>
    <xf numFmtId="0" fontId="208" fillId="77" borderId="394" applyNumberFormat="0" applyAlignment="0" applyProtection="0"/>
    <xf numFmtId="0" fontId="208" fillId="77" borderId="394" applyNumberFormat="0" applyAlignment="0" applyProtection="0"/>
    <xf numFmtId="0" fontId="208" fillId="77" borderId="394" applyNumberFormat="0" applyAlignment="0" applyProtection="0"/>
    <xf numFmtId="0" fontId="208" fillId="77" borderId="394" applyNumberFormat="0" applyAlignment="0" applyProtection="0"/>
    <xf numFmtId="0" fontId="208" fillId="77" borderId="394" applyNumberFormat="0" applyAlignment="0" applyProtection="0"/>
    <xf numFmtId="0" fontId="208" fillId="77" borderId="394" applyNumberFormat="0" applyAlignment="0" applyProtection="0"/>
    <xf numFmtId="0" fontId="223" fillId="20" borderId="399" applyNumberFormat="0" applyAlignment="0" applyProtection="0"/>
    <xf numFmtId="0" fontId="208" fillId="77" borderId="394" applyNumberFormat="0" applyAlignment="0" applyProtection="0"/>
    <xf numFmtId="0" fontId="208" fillId="77" borderId="394" applyNumberFormat="0" applyAlignment="0" applyProtection="0"/>
    <xf numFmtId="0" fontId="208" fillId="77" borderId="394" applyNumberFormat="0" applyAlignment="0" applyProtection="0"/>
    <xf numFmtId="0" fontId="208" fillId="77" borderId="394" applyNumberFormat="0" applyAlignment="0" applyProtection="0"/>
    <xf numFmtId="0" fontId="208" fillId="77" borderId="394" applyNumberFormat="0" applyAlignment="0" applyProtection="0"/>
    <xf numFmtId="0" fontId="208" fillId="77" borderId="394" applyNumberFormat="0" applyAlignment="0" applyProtection="0"/>
    <xf numFmtId="0" fontId="208" fillId="77" borderId="394" applyNumberFormat="0" applyAlignment="0" applyProtection="0"/>
    <xf numFmtId="0" fontId="208" fillId="77" borderId="394" applyNumberFormat="0" applyAlignment="0" applyProtection="0"/>
    <xf numFmtId="0" fontId="208" fillId="77" borderId="394" applyNumberFormat="0" applyAlignment="0" applyProtection="0"/>
    <xf numFmtId="0" fontId="208" fillId="77" borderId="394" applyNumberFormat="0" applyAlignment="0" applyProtection="0"/>
    <xf numFmtId="0" fontId="208" fillId="77" borderId="394" applyNumberFormat="0" applyAlignment="0" applyProtection="0"/>
    <xf numFmtId="0" fontId="208" fillId="77" borderId="394" applyNumberFormat="0" applyAlignment="0" applyProtection="0"/>
    <xf numFmtId="0" fontId="208" fillId="77" borderId="394" applyNumberFormat="0" applyAlignment="0" applyProtection="0"/>
    <xf numFmtId="0" fontId="208" fillId="77" borderId="394" applyNumberFormat="0" applyAlignment="0" applyProtection="0"/>
    <xf numFmtId="0" fontId="208" fillId="77" borderId="394" applyNumberFormat="0" applyAlignment="0" applyProtection="0"/>
    <xf numFmtId="0" fontId="208" fillId="77" borderId="394" applyNumberFormat="0" applyAlignment="0" applyProtection="0"/>
    <xf numFmtId="0" fontId="208" fillId="77" borderId="394" applyNumberFormat="0" applyAlignment="0" applyProtection="0"/>
    <xf numFmtId="0" fontId="208" fillId="77" borderId="394" applyNumberFormat="0" applyAlignment="0" applyProtection="0"/>
    <xf numFmtId="0" fontId="208" fillId="77" borderId="394" applyNumberFormat="0" applyAlignment="0" applyProtection="0"/>
    <xf numFmtId="0" fontId="208" fillId="77" borderId="394" applyNumberFormat="0" applyAlignment="0" applyProtection="0"/>
    <xf numFmtId="0" fontId="208" fillId="77" borderId="394" applyNumberFormat="0" applyAlignment="0" applyProtection="0"/>
    <xf numFmtId="0" fontId="208" fillId="77" borderId="394" applyNumberFormat="0" applyAlignment="0" applyProtection="0"/>
    <xf numFmtId="0" fontId="208" fillId="77" borderId="394" applyNumberFormat="0" applyAlignment="0" applyProtection="0"/>
    <xf numFmtId="0" fontId="208" fillId="77" borderId="394" applyNumberFormat="0" applyAlignment="0" applyProtection="0"/>
    <xf numFmtId="0" fontId="208" fillId="77" borderId="394" applyNumberFormat="0" applyAlignment="0" applyProtection="0"/>
    <xf numFmtId="0" fontId="208" fillId="77" borderId="394" applyNumberFormat="0" applyAlignment="0" applyProtection="0"/>
    <xf numFmtId="0" fontId="208" fillId="77" borderId="394" applyNumberFormat="0" applyAlignment="0" applyProtection="0"/>
    <xf numFmtId="0" fontId="208" fillId="77" borderId="394" applyNumberFormat="0" applyAlignment="0" applyProtection="0"/>
    <xf numFmtId="0" fontId="208" fillId="77" borderId="394" applyNumberFormat="0" applyAlignment="0" applyProtection="0"/>
    <xf numFmtId="0" fontId="208" fillId="77" borderId="394" applyNumberFormat="0" applyAlignment="0" applyProtection="0"/>
    <xf numFmtId="0" fontId="208" fillId="77" borderId="394" applyNumberFormat="0" applyAlignment="0" applyProtection="0"/>
    <xf numFmtId="0" fontId="208" fillId="77" borderId="394" applyNumberFormat="0" applyAlignment="0" applyProtection="0"/>
    <xf numFmtId="0" fontId="208" fillId="77" borderId="394" applyNumberFormat="0" applyAlignment="0" applyProtection="0"/>
    <xf numFmtId="0" fontId="208" fillId="77" borderId="394" applyNumberFormat="0" applyAlignment="0" applyProtection="0"/>
    <xf numFmtId="0" fontId="208" fillId="77" borderId="394" applyNumberFormat="0" applyAlignment="0" applyProtection="0"/>
    <xf numFmtId="0" fontId="208" fillId="77" borderId="394" applyNumberFormat="0" applyAlignment="0" applyProtection="0"/>
    <xf numFmtId="0" fontId="208" fillId="77" borderId="394" applyNumberFormat="0" applyAlignment="0" applyProtection="0"/>
    <xf numFmtId="0" fontId="208" fillId="77" borderId="394" applyNumberFormat="0" applyAlignment="0" applyProtection="0"/>
    <xf numFmtId="0" fontId="208" fillId="77" borderId="394" applyNumberFormat="0" applyAlignment="0" applyProtection="0"/>
    <xf numFmtId="0" fontId="208" fillId="77" borderId="394" applyNumberFormat="0" applyAlignment="0" applyProtection="0"/>
    <xf numFmtId="0" fontId="208" fillId="77" borderId="394" applyNumberFormat="0" applyAlignment="0" applyProtection="0"/>
    <xf numFmtId="0" fontId="208" fillId="77" borderId="394" applyNumberFormat="0" applyAlignment="0" applyProtection="0"/>
    <xf numFmtId="0" fontId="208" fillId="77" borderId="394" applyNumberFormat="0" applyAlignment="0" applyProtection="0"/>
    <xf numFmtId="0" fontId="208" fillId="77" borderId="394" applyNumberFormat="0" applyAlignment="0" applyProtection="0"/>
    <xf numFmtId="0" fontId="208" fillId="77" borderId="394" applyNumberFormat="0" applyAlignment="0" applyProtection="0"/>
    <xf numFmtId="0" fontId="208" fillId="77" borderId="394" applyNumberFormat="0" applyAlignment="0" applyProtection="0"/>
    <xf numFmtId="0" fontId="208" fillId="77" borderId="394" applyNumberFormat="0" applyAlignment="0" applyProtection="0"/>
    <xf numFmtId="0" fontId="184" fillId="0" borderId="0" applyNumberFormat="0" applyFill="0" applyBorder="0" applyAlignment="0" applyProtection="0"/>
    <xf numFmtId="0" fontId="184" fillId="0" borderId="0" applyNumberFormat="0" applyFill="0" applyBorder="0" applyAlignment="0" applyProtection="0"/>
    <xf numFmtId="0" fontId="184" fillId="0" borderId="0" applyNumberFormat="0" applyFill="0" applyBorder="0" applyAlignment="0" applyProtection="0"/>
    <xf numFmtId="0" fontId="184" fillId="0" borderId="0" applyNumberFormat="0" applyFill="0" applyBorder="0" applyAlignment="0" applyProtection="0"/>
    <xf numFmtId="0" fontId="184" fillId="0" borderId="0" applyNumberFormat="0" applyFill="0" applyBorder="0" applyAlignment="0" applyProtection="0"/>
    <xf numFmtId="0" fontId="184" fillId="0" borderId="0" applyNumberFormat="0" applyFill="0" applyBorder="0" applyAlignment="0" applyProtection="0"/>
    <xf numFmtId="0" fontId="184" fillId="0" borderId="0" applyNumberFormat="0" applyFill="0" applyBorder="0" applyAlignment="0" applyProtection="0"/>
    <xf numFmtId="0" fontId="184" fillId="0" borderId="0" applyNumberFormat="0" applyFill="0" applyBorder="0" applyAlignment="0" applyProtection="0"/>
    <xf numFmtId="0" fontId="184" fillId="0" borderId="0" applyNumberFormat="0" applyFill="0" applyBorder="0" applyAlignment="0" applyProtection="0"/>
    <xf numFmtId="0" fontId="184" fillId="0" borderId="0" applyNumberFormat="0" applyFill="0" applyBorder="0" applyAlignment="0" applyProtection="0"/>
    <xf numFmtId="0" fontId="224" fillId="0" borderId="0" applyNumberFormat="0" applyFill="0" applyBorder="0" applyAlignment="0" applyProtection="0"/>
    <xf numFmtId="0" fontId="184" fillId="0" borderId="0" applyNumberFormat="0" applyFill="0" applyBorder="0" applyAlignment="0" applyProtection="0"/>
    <xf numFmtId="0" fontId="184" fillId="0" borderId="0" applyNumberFormat="0" applyFill="0" applyBorder="0" applyAlignment="0" applyProtection="0"/>
    <xf numFmtId="0" fontId="184" fillId="0" borderId="0" applyNumberFormat="0" applyFill="0" applyBorder="0" applyAlignment="0" applyProtection="0"/>
    <xf numFmtId="0" fontId="184" fillId="0" borderId="0" applyNumberFormat="0" applyFill="0" applyBorder="0" applyAlignment="0" applyProtection="0"/>
    <xf numFmtId="0" fontId="184" fillId="0" borderId="0" applyNumberFormat="0" applyFill="0" applyBorder="0" applyAlignment="0" applyProtection="0"/>
    <xf numFmtId="0" fontId="184" fillId="0" borderId="0" applyNumberFormat="0" applyFill="0" applyBorder="0" applyAlignment="0" applyProtection="0"/>
    <xf numFmtId="0" fontId="184" fillId="0" borderId="0" applyNumberFormat="0" applyFill="0" applyBorder="0" applyAlignment="0" applyProtection="0"/>
    <xf numFmtId="0" fontId="184" fillId="0" borderId="0" applyNumberFormat="0" applyFill="0" applyBorder="0" applyAlignment="0" applyProtection="0"/>
    <xf numFmtId="0" fontId="184" fillId="0" borderId="0" applyNumberFormat="0" applyFill="0" applyBorder="0" applyAlignment="0" applyProtection="0"/>
    <xf numFmtId="0" fontId="184" fillId="0" borderId="0" applyNumberFormat="0" applyFill="0" applyBorder="0" applyAlignment="0" applyProtection="0"/>
    <xf numFmtId="0" fontId="184" fillId="0" borderId="0" applyNumberFormat="0" applyFill="0" applyBorder="0" applyAlignment="0" applyProtection="0"/>
    <xf numFmtId="0" fontId="184" fillId="0" borderId="0" applyNumberFormat="0" applyFill="0" applyBorder="0" applyAlignment="0" applyProtection="0"/>
    <xf numFmtId="0" fontId="184" fillId="0" borderId="0" applyNumberFormat="0" applyFill="0" applyBorder="0" applyAlignment="0" applyProtection="0"/>
    <xf numFmtId="0" fontId="184" fillId="0" borderId="0" applyNumberFormat="0" applyFill="0" applyBorder="0" applyAlignment="0" applyProtection="0"/>
    <xf numFmtId="0" fontId="184" fillId="0" borderId="0" applyNumberFormat="0" applyFill="0" applyBorder="0" applyAlignment="0" applyProtection="0"/>
    <xf numFmtId="0" fontId="184" fillId="0" borderId="0" applyNumberFormat="0" applyFill="0" applyBorder="0" applyAlignment="0" applyProtection="0"/>
    <xf numFmtId="0" fontId="184" fillId="0" borderId="0" applyNumberFormat="0" applyFill="0" applyBorder="0" applyAlignment="0" applyProtection="0"/>
    <xf numFmtId="0" fontId="184" fillId="0" borderId="0" applyNumberFormat="0" applyFill="0" applyBorder="0" applyAlignment="0" applyProtection="0"/>
    <xf numFmtId="0" fontId="184" fillId="0" borderId="0" applyNumberFormat="0" applyFill="0" applyBorder="0" applyAlignment="0" applyProtection="0"/>
    <xf numFmtId="0" fontId="184" fillId="0" borderId="0" applyNumberFormat="0" applyFill="0" applyBorder="0" applyAlignment="0" applyProtection="0"/>
    <xf numFmtId="0" fontId="184" fillId="0" borderId="0" applyNumberFormat="0" applyFill="0" applyBorder="0" applyAlignment="0" applyProtection="0"/>
    <xf numFmtId="0" fontId="184" fillId="0" borderId="0" applyNumberFormat="0" applyFill="0" applyBorder="0" applyAlignment="0" applyProtection="0"/>
    <xf numFmtId="0" fontId="184" fillId="0" borderId="0" applyNumberFormat="0" applyFill="0" applyBorder="0" applyAlignment="0" applyProtection="0"/>
    <xf numFmtId="0" fontId="184" fillId="0" borderId="0" applyNumberFormat="0" applyFill="0" applyBorder="0" applyAlignment="0" applyProtection="0"/>
    <xf numFmtId="0" fontId="184" fillId="0" borderId="0" applyNumberFormat="0" applyFill="0" applyBorder="0" applyAlignment="0" applyProtection="0"/>
    <xf numFmtId="0" fontId="184" fillId="0" borderId="0" applyNumberFormat="0" applyFill="0" applyBorder="0" applyAlignment="0" applyProtection="0"/>
    <xf numFmtId="0" fontId="184" fillId="0" borderId="0" applyNumberFormat="0" applyFill="0" applyBorder="0" applyAlignment="0" applyProtection="0"/>
    <xf numFmtId="0" fontId="184" fillId="0" borderId="0" applyNumberFormat="0" applyFill="0" applyBorder="0" applyAlignment="0" applyProtection="0"/>
    <xf numFmtId="0" fontId="184" fillId="0" borderId="0" applyNumberFormat="0" applyFill="0" applyBorder="0" applyAlignment="0" applyProtection="0"/>
    <xf numFmtId="0" fontId="184" fillId="0" borderId="0" applyNumberFormat="0" applyFill="0" applyBorder="0" applyAlignment="0" applyProtection="0"/>
    <xf numFmtId="0" fontId="184" fillId="0" borderId="0" applyNumberFormat="0" applyFill="0" applyBorder="0" applyAlignment="0" applyProtection="0"/>
    <xf numFmtId="0" fontId="184" fillId="0" borderId="0" applyNumberFormat="0" applyFill="0" applyBorder="0" applyAlignment="0" applyProtection="0"/>
    <xf numFmtId="0" fontId="184" fillId="0" borderId="0" applyNumberFormat="0" applyFill="0" applyBorder="0" applyAlignment="0" applyProtection="0"/>
    <xf numFmtId="0" fontId="184" fillId="0" borderId="0" applyNumberFormat="0" applyFill="0" applyBorder="0" applyAlignment="0" applyProtection="0"/>
    <xf numFmtId="0" fontId="184" fillId="0" borderId="0" applyNumberFormat="0" applyFill="0" applyBorder="0" applyAlignment="0" applyProtection="0"/>
    <xf numFmtId="0" fontId="184" fillId="0" borderId="0" applyNumberFormat="0" applyFill="0" applyBorder="0" applyAlignment="0" applyProtection="0"/>
    <xf numFmtId="0" fontId="184" fillId="0" borderId="0" applyNumberFormat="0" applyFill="0" applyBorder="0" applyAlignment="0" applyProtection="0"/>
    <xf numFmtId="0" fontId="184" fillId="0" borderId="0" applyNumberFormat="0" applyFill="0" applyBorder="0" applyAlignment="0" applyProtection="0"/>
    <xf numFmtId="0" fontId="184" fillId="0" borderId="0" applyNumberFormat="0" applyFill="0" applyBorder="0" applyAlignment="0" applyProtection="0"/>
    <xf numFmtId="0" fontId="184" fillId="0" borderId="0" applyNumberFormat="0" applyFill="0" applyBorder="0" applyAlignment="0" applyProtection="0"/>
    <xf numFmtId="0" fontId="184" fillId="0" borderId="0" applyNumberFormat="0" applyFill="0" applyBorder="0" applyAlignment="0" applyProtection="0"/>
    <xf numFmtId="0" fontId="184" fillId="0" borderId="0" applyNumberFormat="0" applyFill="0" applyBorder="0" applyAlignment="0" applyProtection="0"/>
    <xf numFmtId="0" fontId="184" fillId="0" borderId="0" applyNumberFormat="0" applyFill="0" applyBorder="0" applyAlignment="0" applyProtection="0"/>
    <xf numFmtId="0" fontId="184" fillId="0" borderId="0" applyNumberFormat="0" applyFill="0" applyBorder="0" applyAlignment="0" applyProtection="0"/>
    <xf numFmtId="0" fontId="184" fillId="0" borderId="0" applyNumberFormat="0" applyFill="0" applyBorder="0" applyAlignment="0" applyProtection="0"/>
    <xf numFmtId="0" fontId="184" fillId="0" borderId="0" applyNumberFormat="0" applyFill="0" applyBorder="0" applyAlignment="0" applyProtection="0"/>
    <xf numFmtId="0" fontId="184" fillId="0" borderId="0" applyNumberFormat="0" applyFill="0" applyBorder="0" applyAlignment="0" applyProtection="0"/>
    <xf numFmtId="0" fontId="212" fillId="0" borderId="0" applyNumberFormat="0" applyFill="0" applyBorder="0" applyAlignment="0" applyProtection="0"/>
    <xf numFmtId="0" fontId="212" fillId="0" borderId="0" applyNumberFormat="0" applyFill="0" applyBorder="0" applyAlignment="0" applyProtection="0"/>
    <xf numFmtId="0" fontId="212" fillId="0" borderId="0" applyNumberFormat="0" applyFill="0" applyBorder="0" applyAlignment="0" applyProtection="0"/>
    <xf numFmtId="0" fontId="212" fillId="0" borderId="0" applyNumberFormat="0" applyFill="0" applyBorder="0" applyAlignment="0" applyProtection="0"/>
    <xf numFmtId="0" fontId="212" fillId="0" borderId="0" applyNumberFormat="0" applyFill="0" applyBorder="0" applyAlignment="0" applyProtection="0"/>
    <xf numFmtId="0" fontId="212" fillId="0" borderId="0" applyNumberFormat="0" applyFill="0" applyBorder="0" applyAlignment="0" applyProtection="0"/>
    <xf numFmtId="0" fontId="212" fillId="0" borderId="0" applyNumberFormat="0" applyFill="0" applyBorder="0" applyAlignment="0" applyProtection="0"/>
    <xf numFmtId="0" fontId="212" fillId="0" borderId="0" applyNumberFormat="0" applyFill="0" applyBorder="0" applyAlignment="0" applyProtection="0"/>
    <xf numFmtId="0" fontId="212" fillId="0" borderId="0" applyNumberFormat="0" applyFill="0" applyBorder="0" applyAlignment="0" applyProtection="0"/>
    <xf numFmtId="0" fontId="212" fillId="0" borderId="0" applyNumberFormat="0" applyFill="0" applyBorder="0" applyAlignment="0" applyProtection="0"/>
    <xf numFmtId="0" fontId="225" fillId="0" borderId="0" applyNumberFormat="0" applyFill="0" applyBorder="0" applyAlignment="0" applyProtection="0"/>
    <xf numFmtId="0" fontId="212" fillId="0" borderId="0" applyNumberFormat="0" applyFill="0" applyBorder="0" applyAlignment="0" applyProtection="0"/>
    <xf numFmtId="0" fontId="212" fillId="0" borderId="0" applyNumberFormat="0" applyFill="0" applyBorder="0" applyAlignment="0" applyProtection="0"/>
    <xf numFmtId="0" fontId="212" fillId="0" borderId="0" applyNumberFormat="0" applyFill="0" applyBorder="0" applyAlignment="0" applyProtection="0"/>
    <xf numFmtId="0" fontId="212" fillId="0" borderId="0" applyNumberFormat="0" applyFill="0" applyBorder="0" applyAlignment="0" applyProtection="0"/>
    <xf numFmtId="0" fontId="212" fillId="0" borderId="0" applyNumberFormat="0" applyFill="0" applyBorder="0" applyAlignment="0" applyProtection="0"/>
    <xf numFmtId="0" fontId="212" fillId="0" borderId="0" applyNumberFormat="0" applyFill="0" applyBorder="0" applyAlignment="0" applyProtection="0"/>
    <xf numFmtId="0" fontId="212" fillId="0" borderId="0" applyNumberFormat="0" applyFill="0" applyBorder="0" applyAlignment="0" applyProtection="0"/>
    <xf numFmtId="0" fontId="212" fillId="0" borderId="0" applyNumberFormat="0" applyFill="0" applyBorder="0" applyAlignment="0" applyProtection="0"/>
    <xf numFmtId="0" fontId="212" fillId="0" borderId="0" applyNumberFormat="0" applyFill="0" applyBorder="0" applyAlignment="0" applyProtection="0"/>
    <xf numFmtId="0" fontId="212" fillId="0" borderId="0" applyNumberFormat="0" applyFill="0" applyBorder="0" applyAlignment="0" applyProtection="0"/>
    <xf numFmtId="0" fontId="212" fillId="0" borderId="0" applyNumberFormat="0" applyFill="0" applyBorder="0" applyAlignment="0" applyProtection="0"/>
    <xf numFmtId="0" fontId="212" fillId="0" borderId="0" applyNumberFormat="0" applyFill="0" applyBorder="0" applyAlignment="0" applyProtection="0"/>
    <xf numFmtId="0" fontId="212" fillId="0" borderId="0" applyNumberFormat="0" applyFill="0" applyBorder="0" applyAlignment="0" applyProtection="0"/>
    <xf numFmtId="0" fontId="212" fillId="0" borderId="0" applyNumberFormat="0" applyFill="0" applyBorder="0" applyAlignment="0" applyProtection="0"/>
    <xf numFmtId="0" fontId="212" fillId="0" borderId="0" applyNumberFormat="0" applyFill="0" applyBorder="0" applyAlignment="0" applyProtection="0"/>
    <xf numFmtId="0" fontId="212" fillId="0" borderId="0" applyNumberFormat="0" applyFill="0" applyBorder="0" applyAlignment="0" applyProtection="0"/>
    <xf numFmtId="0" fontId="212" fillId="0" borderId="0" applyNumberFormat="0" applyFill="0" applyBorder="0" applyAlignment="0" applyProtection="0"/>
    <xf numFmtId="0" fontId="212" fillId="0" borderId="0" applyNumberFormat="0" applyFill="0" applyBorder="0" applyAlignment="0" applyProtection="0"/>
    <xf numFmtId="0" fontId="212" fillId="0" borderId="0" applyNumberFormat="0" applyFill="0" applyBorder="0" applyAlignment="0" applyProtection="0"/>
    <xf numFmtId="0" fontId="212" fillId="0" borderId="0" applyNumberFormat="0" applyFill="0" applyBorder="0" applyAlignment="0" applyProtection="0"/>
    <xf numFmtId="0" fontId="212" fillId="0" borderId="0" applyNumberFormat="0" applyFill="0" applyBorder="0" applyAlignment="0" applyProtection="0"/>
    <xf numFmtId="0" fontId="212" fillId="0" borderId="0" applyNumberFormat="0" applyFill="0" applyBorder="0" applyAlignment="0" applyProtection="0"/>
    <xf numFmtId="0" fontId="212" fillId="0" borderId="0" applyNumberFormat="0" applyFill="0" applyBorder="0" applyAlignment="0" applyProtection="0"/>
    <xf numFmtId="0" fontId="212" fillId="0" borderId="0" applyNumberFormat="0" applyFill="0" applyBorder="0" applyAlignment="0" applyProtection="0"/>
    <xf numFmtId="0" fontId="212" fillId="0" borderId="0" applyNumberFormat="0" applyFill="0" applyBorder="0" applyAlignment="0" applyProtection="0"/>
    <xf numFmtId="0" fontId="212" fillId="0" borderId="0" applyNumberFormat="0" applyFill="0" applyBorder="0" applyAlignment="0" applyProtection="0"/>
    <xf numFmtId="0" fontId="212" fillId="0" borderId="0" applyNumberFormat="0" applyFill="0" applyBorder="0" applyAlignment="0" applyProtection="0"/>
    <xf numFmtId="0" fontId="212" fillId="0" borderId="0" applyNumberFormat="0" applyFill="0" applyBorder="0" applyAlignment="0" applyProtection="0"/>
    <xf numFmtId="0" fontId="212" fillId="0" borderId="0" applyNumberFormat="0" applyFill="0" applyBorder="0" applyAlignment="0" applyProtection="0"/>
    <xf numFmtId="0" fontId="212" fillId="0" borderId="0" applyNumberFormat="0" applyFill="0" applyBorder="0" applyAlignment="0" applyProtection="0"/>
    <xf numFmtId="0" fontId="212" fillId="0" borderId="0" applyNumberFormat="0" applyFill="0" applyBorder="0" applyAlignment="0" applyProtection="0"/>
    <xf numFmtId="0" fontId="212" fillId="0" borderId="0" applyNumberFormat="0" applyFill="0" applyBorder="0" applyAlignment="0" applyProtection="0"/>
    <xf numFmtId="0" fontId="212" fillId="0" borderId="0" applyNumberFormat="0" applyFill="0" applyBorder="0" applyAlignment="0" applyProtection="0"/>
    <xf numFmtId="0" fontId="212" fillId="0" borderId="0" applyNumberFormat="0" applyFill="0" applyBorder="0" applyAlignment="0" applyProtection="0"/>
    <xf numFmtId="0" fontId="212" fillId="0" borderId="0" applyNumberFormat="0" applyFill="0" applyBorder="0" applyAlignment="0" applyProtection="0"/>
    <xf numFmtId="0" fontId="212" fillId="0" borderId="0" applyNumberFormat="0" applyFill="0" applyBorder="0" applyAlignment="0" applyProtection="0"/>
    <xf numFmtId="0" fontId="212" fillId="0" borderId="0" applyNumberFormat="0" applyFill="0" applyBorder="0" applyAlignment="0" applyProtection="0"/>
    <xf numFmtId="0" fontId="212" fillId="0" borderId="0" applyNumberFormat="0" applyFill="0" applyBorder="0" applyAlignment="0" applyProtection="0"/>
    <xf numFmtId="0" fontId="212" fillId="0" borderId="0" applyNumberFormat="0" applyFill="0" applyBorder="0" applyAlignment="0" applyProtection="0"/>
    <xf numFmtId="0" fontId="212" fillId="0" borderId="0" applyNumberFormat="0" applyFill="0" applyBorder="0" applyAlignment="0" applyProtection="0"/>
    <xf numFmtId="0" fontId="212" fillId="0" borderId="0" applyNumberFormat="0" applyFill="0" applyBorder="0" applyAlignment="0" applyProtection="0"/>
    <xf numFmtId="0" fontId="212" fillId="0" borderId="0" applyNumberFormat="0" applyFill="0" applyBorder="0" applyAlignment="0" applyProtection="0"/>
    <xf numFmtId="0" fontId="212" fillId="0" borderId="0" applyNumberFormat="0" applyFill="0" applyBorder="0" applyAlignment="0" applyProtection="0"/>
    <xf numFmtId="0" fontId="212" fillId="0" borderId="0" applyNumberFormat="0" applyFill="0" applyBorder="0" applyAlignment="0" applyProtection="0"/>
    <xf numFmtId="0" fontId="212" fillId="0" borderId="0" applyNumberFormat="0" applyFill="0" applyBorder="0" applyAlignment="0" applyProtection="0"/>
    <xf numFmtId="0" fontId="212" fillId="0" borderId="0" applyNumberFormat="0" applyFill="0" applyBorder="0" applyAlignment="0" applyProtection="0"/>
    <xf numFmtId="0" fontId="212" fillId="0" borderId="0" applyNumberFormat="0" applyFill="0" applyBorder="0" applyAlignment="0" applyProtection="0"/>
    <xf numFmtId="0" fontId="202" fillId="0" borderId="391" applyNumberFormat="0" applyFill="0" applyAlignment="0" applyProtection="0"/>
    <xf numFmtId="0" fontId="202" fillId="0" borderId="391" applyNumberFormat="0" applyFill="0" applyAlignment="0" applyProtection="0"/>
    <xf numFmtId="0" fontId="202" fillId="0" borderId="391" applyNumberFormat="0" applyFill="0" applyAlignment="0" applyProtection="0"/>
    <xf numFmtId="0" fontId="202" fillId="0" borderId="391" applyNumberFormat="0" applyFill="0" applyAlignment="0" applyProtection="0"/>
    <xf numFmtId="0" fontId="202" fillId="0" borderId="391" applyNumberFormat="0" applyFill="0" applyAlignment="0" applyProtection="0"/>
    <xf numFmtId="0" fontId="202" fillId="0" borderId="391" applyNumberFormat="0" applyFill="0" applyAlignment="0" applyProtection="0"/>
    <xf numFmtId="0" fontId="202" fillId="0" borderId="391" applyNumberFormat="0" applyFill="0" applyAlignment="0" applyProtection="0"/>
    <xf numFmtId="0" fontId="202" fillId="0" borderId="391" applyNumberFormat="0" applyFill="0" applyAlignment="0" applyProtection="0"/>
    <xf numFmtId="0" fontId="202" fillId="0" borderId="391" applyNumberFormat="0" applyFill="0" applyAlignment="0" applyProtection="0"/>
    <xf numFmtId="0" fontId="202" fillId="0" borderId="391" applyNumberFormat="0" applyFill="0" applyAlignment="0" applyProtection="0"/>
    <xf numFmtId="0" fontId="226" fillId="0" borderId="5" applyNumberFormat="0" applyFill="0" applyAlignment="0" applyProtection="0"/>
    <xf numFmtId="0" fontId="202" fillId="0" borderId="391" applyNumberFormat="0" applyFill="0" applyAlignment="0" applyProtection="0"/>
    <xf numFmtId="0" fontId="202" fillId="0" borderId="391" applyNumberFormat="0" applyFill="0" applyAlignment="0" applyProtection="0"/>
    <xf numFmtId="0" fontId="202" fillId="0" borderId="391" applyNumberFormat="0" applyFill="0" applyAlignment="0" applyProtection="0"/>
    <xf numFmtId="0" fontId="202" fillId="0" borderId="391" applyNumberFormat="0" applyFill="0" applyAlignment="0" applyProtection="0"/>
    <xf numFmtId="0" fontId="202" fillId="0" borderId="391" applyNumberFormat="0" applyFill="0" applyAlignment="0" applyProtection="0"/>
    <xf numFmtId="0" fontId="202" fillId="0" borderId="391" applyNumberFormat="0" applyFill="0" applyAlignment="0" applyProtection="0"/>
    <xf numFmtId="0" fontId="202" fillId="0" borderId="391" applyNumberFormat="0" applyFill="0" applyAlignment="0" applyProtection="0"/>
    <xf numFmtId="0" fontId="202" fillId="0" borderId="391" applyNumberFormat="0" applyFill="0" applyAlignment="0" applyProtection="0"/>
    <xf numFmtId="0" fontId="202" fillId="0" borderId="391" applyNumberFormat="0" applyFill="0" applyAlignment="0" applyProtection="0"/>
    <xf numFmtId="0" fontId="202" fillId="0" borderId="391" applyNumberFormat="0" applyFill="0" applyAlignment="0" applyProtection="0"/>
    <xf numFmtId="0" fontId="202" fillId="0" borderId="391" applyNumberFormat="0" applyFill="0" applyAlignment="0" applyProtection="0"/>
    <xf numFmtId="0" fontId="202" fillId="0" borderId="391" applyNumberFormat="0" applyFill="0" applyAlignment="0" applyProtection="0"/>
    <xf numFmtId="0" fontId="202" fillId="0" borderId="391" applyNumberFormat="0" applyFill="0" applyAlignment="0" applyProtection="0"/>
    <xf numFmtId="0" fontId="202" fillId="0" borderId="391" applyNumberFormat="0" applyFill="0" applyAlignment="0" applyProtection="0"/>
    <xf numFmtId="0" fontId="202" fillId="0" borderId="391" applyNumberFormat="0" applyFill="0" applyAlignment="0" applyProtection="0"/>
    <xf numFmtId="0" fontId="202" fillId="0" borderId="391" applyNumberFormat="0" applyFill="0" applyAlignment="0" applyProtection="0"/>
    <xf numFmtId="0" fontId="202" fillId="0" borderId="391" applyNumberFormat="0" applyFill="0" applyAlignment="0" applyProtection="0"/>
    <xf numFmtId="0" fontId="202" fillId="0" borderId="391" applyNumberFormat="0" applyFill="0" applyAlignment="0" applyProtection="0"/>
    <xf numFmtId="0" fontId="202" fillId="0" borderId="391" applyNumberFormat="0" applyFill="0" applyAlignment="0" applyProtection="0"/>
    <xf numFmtId="0" fontId="202" fillId="0" borderId="391" applyNumberFormat="0" applyFill="0" applyAlignment="0" applyProtection="0"/>
    <xf numFmtId="0" fontId="202" fillId="0" borderId="391" applyNumberFormat="0" applyFill="0" applyAlignment="0" applyProtection="0"/>
    <xf numFmtId="0" fontId="202" fillId="0" borderId="391" applyNumberFormat="0" applyFill="0" applyAlignment="0" applyProtection="0"/>
    <xf numFmtId="0" fontId="202" fillId="0" borderId="391" applyNumberFormat="0" applyFill="0" applyAlignment="0" applyProtection="0"/>
    <xf numFmtId="0" fontId="202" fillId="0" borderId="391" applyNumberFormat="0" applyFill="0" applyAlignment="0" applyProtection="0"/>
    <xf numFmtId="0" fontId="202" fillId="0" borderId="391" applyNumberFormat="0" applyFill="0" applyAlignment="0" applyProtection="0"/>
    <xf numFmtId="0" fontId="202" fillId="0" borderId="391" applyNumberFormat="0" applyFill="0" applyAlignment="0" applyProtection="0"/>
    <xf numFmtId="0" fontId="202" fillId="0" borderId="391" applyNumberFormat="0" applyFill="0" applyAlignment="0" applyProtection="0"/>
    <xf numFmtId="0" fontId="202" fillId="0" borderId="391" applyNumberFormat="0" applyFill="0" applyAlignment="0" applyProtection="0"/>
    <xf numFmtId="0" fontId="202" fillId="0" borderId="391" applyNumberFormat="0" applyFill="0" applyAlignment="0" applyProtection="0"/>
    <xf numFmtId="0" fontId="202" fillId="0" borderId="391" applyNumberFormat="0" applyFill="0" applyAlignment="0" applyProtection="0"/>
    <xf numFmtId="0" fontId="202" fillId="0" borderId="391" applyNumberFormat="0" applyFill="0" applyAlignment="0" applyProtection="0"/>
    <xf numFmtId="0" fontId="202" fillId="0" borderId="391" applyNumberFormat="0" applyFill="0" applyAlignment="0" applyProtection="0"/>
    <xf numFmtId="0" fontId="202" fillId="0" borderId="391" applyNumberFormat="0" applyFill="0" applyAlignment="0" applyProtection="0"/>
    <xf numFmtId="0" fontId="202" fillId="0" borderId="391" applyNumberFormat="0" applyFill="0" applyAlignment="0" applyProtection="0"/>
    <xf numFmtId="0" fontId="202" fillId="0" borderId="391" applyNumberFormat="0" applyFill="0" applyAlignment="0" applyProtection="0"/>
    <xf numFmtId="0" fontId="202" fillId="0" borderId="391" applyNumberFormat="0" applyFill="0" applyAlignment="0" applyProtection="0"/>
    <xf numFmtId="0" fontId="202" fillId="0" borderId="391" applyNumberFormat="0" applyFill="0" applyAlignment="0" applyProtection="0"/>
    <xf numFmtId="0" fontId="202" fillId="0" borderId="391" applyNumberFormat="0" applyFill="0" applyAlignment="0" applyProtection="0"/>
    <xf numFmtId="0" fontId="202" fillId="0" borderId="391" applyNumberFormat="0" applyFill="0" applyAlignment="0" applyProtection="0"/>
    <xf numFmtId="0" fontId="202" fillId="0" borderId="391" applyNumberFormat="0" applyFill="0" applyAlignment="0" applyProtection="0"/>
    <xf numFmtId="0" fontId="202" fillId="0" borderId="391" applyNumberFormat="0" applyFill="0" applyAlignment="0" applyProtection="0"/>
    <xf numFmtId="0" fontId="202" fillId="0" borderId="391" applyNumberFormat="0" applyFill="0" applyAlignment="0" applyProtection="0"/>
    <xf numFmtId="0" fontId="202" fillId="0" borderId="391" applyNumberFormat="0" applyFill="0" applyAlignment="0" applyProtection="0"/>
    <xf numFmtId="0" fontId="202" fillId="0" borderId="391" applyNumberFormat="0" applyFill="0" applyAlignment="0" applyProtection="0"/>
    <xf numFmtId="0" fontId="202" fillId="0" borderId="391" applyNumberFormat="0" applyFill="0" applyAlignment="0" applyProtection="0"/>
    <xf numFmtId="0" fontId="202" fillId="0" borderId="391" applyNumberFormat="0" applyFill="0" applyAlignment="0" applyProtection="0"/>
    <xf numFmtId="0" fontId="202" fillId="0" borderId="391" applyNumberFormat="0" applyFill="0" applyAlignment="0" applyProtection="0"/>
    <xf numFmtId="0" fontId="203" fillId="0" borderId="392" applyNumberFormat="0" applyFill="0" applyAlignment="0" applyProtection="0"/>
    <xf numFmtId="0" fontId="203" fillId="0" borderId="392" applyNumberFormat="0" applyFill="0" applyAlignment="0" applyProtection="0"/>
    <xf numFmtId="0" fontId="203" fillId="0" borderId="392" applyNumberFormat="0" applyFill="0" applyAlignment="0" applyProtection="0"/>
    <xf numFmtId="0" fontId="203" fillId="0" borderId="392" applyNumberFormat="0" applyFill="0" applyAlignment="0" applyProtection="0"/>
    <xf numFmtId="0" fontId="203" fillId="0" borderId="392" applyNumberFormat="0" applyFill="0" applyAlignment="0" applyProtection="0"/>
    <xf numFmtId="0" fontId="203" fillId="0" borderId="392" applyNumberFormat="0" applyFill="0" applyAlignment="0" applyProtection="0"/>
    <xf numFmtId="0" fontId="203" fillId="0" borderId="392" applyNumberFormat="0" applyFill="0" applyAlignment="0" applyProtection="0"/>
    <xf numFmtId="0" fontId="203" fillId="0" borderId="392" applyNumberFormat="0" applyFill="0" applyAlignment="0" applyProtection="0"/>
    <xf numFmtId="0" fontId="203" fillId="0" borderId="392" applyNumberFormat="0" applyFill="0" applyAlignment="0" applyProtection="0"/>
    <xf numFmtId="0" fontId="203" fillId="0" borderId="392" applyNumberFormat="0" applyFill="0" applyAlignment="0" applyProtection="0"/>
    <xf numFmtId="0" fontId="227" fillId="0" borderId="6" applyNumberFormat="0" applyFill="0" applyAlignment="0" applyProtection="0"/>
    <xf numFmtId="0" fontId="203" fillId="0" borderId="392" applyNumberFormat="0" applyFill="0" applyAlignment="0" applyProtection="0"/>
    <xf numFmtId="0" fontId="203" fillId="0" borderId="392" applyNumberFormat="0" applyFill="0" applyAlignment="0" applyProtection="0"/>
    <xf numFmtId="0" fontId="203" fillId="0" borderId="392" applyNumberFormat="0" applyFill="0" applyAlignment="0" applyProtection="0"/>
    <xf numFmtId="0" fontId="203" fillId="0" borderId="392" applyNumberFormat="0" applyFill="0" applyAlignment="0" applyProtection="0"/>
    <xf numFmtId="0" fontId="203" fillId="0" borderId="392" applyNumberFormat="0" applyFill="0" applyAlignment="0" applyProtection="0"/>
    <xf numFmtId="0" fontId="203" fillId="0" borderId="392" applyNumberFormat="0" applyFill="0" applyAlignment="0" applyProtection="0"/>
    <xf numFmtId="0" fontId="203" fillId="0" borderId="392" applyNumberFormat="0" applyFill="0" applyAlignment="0" applyProtection="0"/>
    <xf numFmtId="0" fontId="203" fillId="0" borderId="392" applyNumberFormat="0" applyFill="0" applyAlignment="0" applyProtection="0"/>
    <xf numFmtId="0" fontId="203" fillId="0" borderId="392" applyNumberFormat="0" applyFill="0" applyAlignment="0" applyProtection="0"/>
    <xf numFmtId="0" fontId="203" fillId="0" borderId="392" applyNumberFormat="0" applyFill="0" applyAlignment="0" applyProtection="0"/>
    <xf numFmtId="0" fontId="203" fillId="0" borderId="392" applyNumberFormat="0" applyFill="0" applyAlignment="0" applyProtection="0"/>
    <xf numFmtId="0" fontId="203" fillId="0" borderId="392" applyNumberFormat="0" applyFill="0" applyAlignment="0" applyProtection="0"/>
    <xf numFmtId="0" fontId="203" fillId="0" borderId="392" applyNumberFormat="0" applyFill="0" applyAlignment="0" applyProtection="0"/>
    <xf numFmtId="0" fontId="203" fillId="0" borderId="392" applyNumberFormat="0" applyFill="0" applyAlignment="0" applyProtection="0"/>
    <xf numFmtId="0" fontId="203" fillId="0" borderId="392" applyNumberFormat="0" applyFill="0" applyAlignment="0" applyProtection="0"/>
    <xf numFmtId="0" fontId="203" fillId="0" borderId="392" applyNumberFormat="0" applyFill="0" applyAlignment="0" applyProtection="0"/>
    <xf numFmtId="0" fontId="203" fillId="0" borderId="392" applyNumberFormat="0" applyFill="0" applyAlignment="0" applyProtection="0"/>
    <xf numFmtId="0" fontId="203" fillId="0" borderId="392" applyNumberFormat="0" applyFill="0" applyAlignment="0" applyProtection="0"/>
    <xf numFmtId="0" fontId="203" fillId="0" borderId="392" applyNumberFormat="0" applyFill="0" applyAlignment="0" applyProtection="0"/>
    <xf numFmtId="0" fontId="203" fillId="0" borderId="392" applyNumberFormat="0" applyFill="0" applyAlignment="0" applyProtection="0"/>
    <xf numFmtId="0" fontId="203" fillId="0" borderId="392" applyNumberFormat="0" applyFill="0" applyAlignment="0" applyProtection="0"/>
    <xf numFmtId="0" fontId="203" fillId="0" borderId="392" applyNumberFormat="0" applyFill="0" applyAlignment="0" applyProtection="0"/>
    <xf numFmtId="0" fontId="203" fillId="0" borderId="392" applyNumberFormat="0" applyFill="0" applyAlignment="0" applyProtection="0"/>
    <xf numFmtId="0" fontId="203" fillId="0" borderId="392" applyNumberFormat="0" applyFill="0" applyAlignment="0" applyProtection="0"/>
    <xf numFmtId="0" fontId="203" fillId="0" borderId="392" applyNumberFormat="0" applyFill="0" applyAlignment="0" applyProtection="0"/>
    <xf numFmtId="0" fontId="203" fillId="0" borderId="392" applyNumberFormat="0" applyFill="0" applyAlignment="0" applyProtection="0"/>
    <xf numFmtId="0" fontId="203" fillId="0" borderId="392" applyNumberFormat="0" applyFill="0" applyAlignment="0" applyProtection="0"/>
    <xf numFmtId="0" fontId="203" fillId="0" borderId="392" applyNumberFormat="0" applyFill="0" applyAlignment="0" applyProtection="0"/>
    <xf numFmtId="0" fontId="203" fillId="0" borderId="392" applyNumberFormat="0" applyFill="0" applyAlignment="0" applyProtection="0"/>
    <xf numFmtId="0" fontId="203" fillId="0" borderId="392" applyNumberFormat="0" applyFill="0" applyAlignment="0" applyProtection="0"/>
    <xf numFmtId="0" fontId="203" fillId="0" borderId="392" applyNumberFormat="0" applyFill="0" applyAlignment="0" applyProtection="0"/>
    <xf numFmtId="0" fontId="203" fillId="0" borderId="392" applyNumberFormat="0" applyFill="0" applyAlignment="0" applyProtection="0"/>
    <xf numFmtId="0" fontId="203" fillId="0" borderId="392" applyNumberFormat="0" applyFill="0" applyAlignment="0" applyProtection="0"/>
    <xf numFmtId="0" fontId="203" fillId="0" borderId="392" applyNumberFormat="0" applyFill="0" applyAlignment="0" applyProtection="0"/>
    <xf numFmtId="0" fontId="203" fillId="0" borderId="392" applyNumberFormat="0" applyFill="0" applyAlignment="0" applyProtection="0"/>
    <xf numFmtId="0" fontId="203" fillId="0" borderId="392" applyNumberFormat="0" applyFill="0" applyAlignment="0" applyProtection="0"/>
    <xf numFmtId="0" fontId="203" fillId="0" borderId="392" applyNumberFormat="0" applyFill="0" applyAlignment="0" applyProtection="0"/>
    <xf numFmtId="0" fontId="203" fillId="0" borderId="392" applyNumberFormat="0" applyFill="0" applyAlignment="0" applyProtection="0"/>
    <xf numFmtId="0" fontId="203" fillId="0" borderId="392" applyNumberFormat="0" applyFill="0" applyAlignment="0" applyProtection="0"/>
    <xf numFmtId="0" fontId="203" fillId="0" borderId="392" applyNumberFormat="0" applyFill="0" applyAlignment="0" applyProtection="0"/>
    <xf numFmtId="0" fontId="203" fillId="0" borderId="392" applyNumberFormat="0" applyFill="0" applyAlignment="0" applyProtection="0"/>
    <xf numFmtId="0" fontId="203" fillId="0" borderId="392" applyNumberFormat="0" applyFill="0" applyAlignment="0" applyProtection="0"/>
    <xf numFmtId="0" fontId="203" fillId="0" borderId="392" applyNumberFormat="0" applyFill="0" applyAlignment="0" applyProtection="0"/>
    <xf numFmtId="0" fontId="203" fillId="0" borderId="392" applyNumberFormat="0" applyFill="0" applyAlignment="0" applyProtection="0"/>
    <xf numFmtId="0" fontId="203" fillId="0" borderId="392" applyNumberFormat="0" applyFill="0" applyAlignment="0" applyProtection="0"/>
    <xf numFmtId="0" fontId="203" fillId="0" borderId="392" applyNumberFormat="0" applyFill="0" applyAlignment="0" applyProtection="0"/>
    <xf numFmtId="0" fontId="203" fillId="0" borderId="392" applyNumberFormat="0" applyFill="0" applyAlignment="0" applyProtection="0"/>
    <xf numFmtId="0" fontId="62" fillId="0" borderId="226" applyNumberFormat="0" applyFill="0" applyAlignment="0" applyProtection="0"/>
    <xf numFmtId="0" fontId="62" fillId="0" borderId="226" applyNumberFormat="0" applyFill="0" applyAlignment="0" applyProtection="0"/>
    <xf numFmtId="0" fontId="62" fillId="0" borderId="226" applyNumberFormat="0" applyFill="0" applyAlignment="0" applyProtection="0"/>
    <xf numFmtId="0" fontId="62" fillId="0" borderId="226" applyNumberFormat="0" applyFill="0" applyAlignment="0" applyProtection="0"/>
    <xf numFmtId="0" fontId="62" fillId="0" borderId="226" applyNumberFormat="0" applyFill="0" applyAlignment="0" applyProtection="0"/>
    <xf numFmtId="0" fontId="62" fillId="0" borderId="226" applyNumberFormat="0" applyFill="0" applyAlignment="0" applyProtection="0"/>
    <xf numFmtId="0" fontId="62" fillId="0" borderId="226" applyNumberFormat="0" applyFill="0" applyAlignment="0" applyProtection="0"/>
    <xf numFmtId="0" fontId="62" fillId="0" borderId="226" applyNumberFormat="0" applyFill="0" applyAlignment="0" applyProtection="0"/>
    <xf numFmtId="0" fontId="62" fillId="0" borderId="226" applyNumberFormat="0" applyFill="0" applyAlignment="0" applyProtection="0"/>
    <xf numFmtId="0" fontId="62" fillId="0" borderId="226" applyNumberFormat="0" applyFill="0" applyAlignment="0" applyProtection="0"/>
    <xf numFmtId="0" fontId="228" fillId="0" borderId="7" applyNumberFormat="0" applyFill="0" applyAlignment="0" applyProtection="0"/>
    <xf numFmtId="0" fontId="62" fillId="0" borderId="226" applyNumberFormat="0" applyFill="0" applyAlignment="0" applyProtection="0"/>
    <xf numFmtId="0" fontId="62" fillId="0" borderId="226" applyNumberFormat="0" applyFill="0" applyAlignment="0" applyProtection="0"/>
    <xf numFmtId="0" fontId="62" fillId="0" borderId="226" applyNumberFormat="0" applyFill="0" applyAlignment="0" applyProtection="0"/>
    <xf numFmtId="0" fontId="62" fillId="0" borderId="226" applyNumberFormat="0" applyFill="0" applyAlignment="0" applyProtection="0"/>
    <xf numFmtId="0" fontId="62" fillId="0" borderId="226" applyNumberFormat="0" applyFill="0" applyAlignment="0" applyProtection="0"/>
    <xf numFmtId="0" fontId="62" fillId="0" borderId="226" applyNumberFormat="0" applyFill="0" applyAlignment="0" applyProtection="0"/>
    <xf numFmtId="0" fontId="62" fillId="0" borderId="226" applyNumberFormat="0" applyFill="0" applyAlignment="0" applyProtection="0"/>
    <xf numFmtId="0" fontId="62" fillId="0" borderId="226" applyNumberFormat="0" applyFill="0" applyAlignment="0" applyProtection="0"/>
    <xf numFmtId="0" fontId="62" fillId="0" borderId="226" applyNumberFormat="0" applyFill="0" applyAlignment="0" applyProtection="0"/>
    <xf numFmtId="0" fontId="62" fillId="0" borderId="226" applyNumberFormat="0" applyFill="0" applyAlignment="0" applyProtection="0"/>
    <xf numFmtId="0" fontId="62" fillId="0" borderId="226" applyNumberFormat="0" applyFill="0" applyAlignment="0" applyProtection="0"/>
    <xf numFmtId="0" fontId="62" fillId="0" borderId="226" applyNumberFormat="0" applyFill="0" applyAlignment="0" applyProtection="0"/>
    <xf numFmtId="0" fontId="62" fillId="0" borderId="226" applyNumberFormat="0" applyFill="0" applyAlignment="0" applyProtection="0"/>
    <xf numFmtId="0" fontId="62" fillId="0" borderId="226" applyNumberFormat="0" applyFill="0" applyAlignment="0" applyProtection="0"/>
    <xf numFmtId="0" fontId="62" fillId="0" borderId="226" applyNumberFormat="0" applyFill="0" applyAlignment="0" applyProtection="0"/>
    <xf numFmtId="0" fontId="62" fillId="0" borderId="226" applyNumberFormat="0" applyFill="0" applyAlignment="0" applyProtection="0"/>
    <xf numFmtId="0" fontId="62" fillId="0" borderId="226" applyNumberFormat="0" applyFill="0" applyAlignment="0" applyProtection="0"/>
    <xf numFmtId="0" fontId="62" fillId="0" borderId="226" applyNumberFormat="0" applyFill="0" applyAlignment="0" applyProtection="0"/>
    <xf numFmtId="0" fontId="62" fillId="0" borderId="226" applyNumberFormat="0" applyFill="0" applyAlignment="0" applyProtection="0"/>
    <xf numFmtId="0" fontId="62" fillId="0" borderId="226" applyNumberFormat="0" applyFill="0" applyAlignment="0" applyProtection="0"/>
    <xf numFmtId="0" fontId="62" fillId="0" borderId="226" applyNumberFormat="0" applyFill="0" applyAlignment="0" applyProtection="0"/>
    <xf numFmtId="0" fontId="62" fillId="0" borderId="226" applyNumberFormat="0" applyFill="0" applyAlignment="0" applyProtection="0"/>
    <xf numFmtId="0" fontId="62" fillId="0" borderId="226" applyNumberFormat="0" applyFill="0" applyAlignment="0" applyProtection="0"/>
    <xf numFmtId="0" fontId="62" fillId="0" borderId="226" applyNumberFormat="0" applyFill="0" applyAlignment="0" applyProtection="0"/>
    <xf numFmtId="0" fontId="62" fillId="0" borderId="226" applyNumberFormat="0" applyFill="0" applyAlignment="0" applyProtection="0"/>
    <xf numFmtId="0" fontId="62" fillId="0" borderId="226" applyNumberFormat="0" applyFill="0" applyAlignment="0" applyProtection="0"/>
    <xf numFmtId="0" fontId="62" fillId="0" borderId="226" applyNumberFormat="0" applyFill="0" applyAlignment="0" applyProtection="0"/>
    <xf numFmtId="0" fontId="62" fillId="0" borderId="226" applyNumberFormat="0" applyFill="0" applyAlignment="0" applyProtection="0"/>
    <xf numFmtId="0" fontId="62" fillId="0" borderId="226" applyNumberFormat="0" applyFill="0" applyAlignment="0" applyProtection="0"/>
    <xf numFmtId="0" fontId="62" fillId="0" borderId="226" applyNumberFormat="0" applyFill="0" applyAlignment="0" applyProtection="0"/>
    <xf numFmtId="0" fontId="62" fillId="0" borderId="226" applyNumberFormat="0" applyFill="0" applyAlignment="0" applyProtection="0"/>
    <xf numFmtId="0" fontId="62" fillId="0" borderId="226" applyNumberFormat="0" applyFill="0" applyAlignment="0" applyProtection="0"/>
    <xf numFmtId="0" fontId="62" fillId="0" borderId="226" applyNumberFormat="0" applyFill="0" applyAlignment="0" applyProtection="0"/>
    <xf numFmtId="0" fontId="62" fillId="0" borderId="226" applyNumberFormat="0" applyFill="0" applyAlignment="0" applyProtection="0"/>
    <xf numFmtId="0" fontId="62" fillId="0" borderId="226" applyNumberFormat="0" applyFill="0" applyAlignment="0" applyProtection="0"/>
    <xf numFmtId="0" fontId="62" fillId="0" borderId="226" applyNumberFormat="0" applyFill="0" applyAlignment="0" applyProtection="0"/>
    <xf numFmtId="0" fontId="62" fillId="0" borderId="226" applyNumberFormat="0" applyFill="0" applyAlignment="0" applyProtection="0"/>
    <xf numFmtId="0" fontId="62" fillId="0" borderId="226" applyNumberFormat="0" applyFill="0" applyAlignment="0" applyProtection="0"/>
    <xf numFmtId="0" fontId="62" fillId="0" borderId="226" applyNumberFormat="0" applyFill="0" applyAlignment="0" applyProtection="0"/>
    <xf numFmtId="0" fontId="62" fillId="0" borderId="226" applyNumberFormat="0" applyFill="0" applyAlignment="0" applyProtection="0"/>
    <xf numFmtId="0" fontId="62" fillId="0" borderId="226" applyNumberFormat="0" applyFill="0" applyAlignment="0" applyProtection="0"/>
    <xf numFmtId="0" fontId="62" fillId="0" borderId="226" applyNumberFormat="0" applyFill="0" applyAlignment="0" applyProtection="0"/>
    <xf numFmtId="0" fontId="62" fillId="0" borderId="226" applyNumberFormat="0" applyFill="0" applyAlignment="0" applyProtection="0"/>
    <xf numFmtId="0" fontId="62" fillId="0" borderId="226" applyNumberFormat="0" applyFill="0" applyAlignment="0" applyProtection="0"/>
    <xf numFmtId="0" fontId="62" fillId="0" borderId="226" applyNumberFormat="0" applyFill="0" applyAlignment="0" applyProtection="0"/>
    <xf numFmtId="0" fontId="62" fillId="0" borderId="226" applyNumberFormat="0" applyFill="0" applyAlignment="0" applyProtection="0"/>
    <xf numFmtId="0" fontId="62" fillId="0" borderId="0" applyNumberFormat="0" applyFill="0" applyBorder="0" applyAlignment="0" applyProtection="0"/>
    <xf numFmtId="0" fontId="62" fillId="0" borderId="0" applyNumberFormat="0" applyFill="0" applyBorder="0" applyAlignment="0" applyProtection="0"/>
    <xf numFmtId="0" fontId="62" fillId="0" borderId="0" applyNumberFormat="0" applyFill="0" applyBorder="0" applyAlignment="0" applyProtection="0"/>
    <xf numFmtId="0" fontId="62" fillId="0" borderId="0" applyNumberFormat="0" applyFill="0" applyBorder="0" applyAlignment="0" applyProtection="0"/>
    <xf numFmtId="0" fontId="62" fillId="0" borderId="0" applyNumberFormat="0" applyFill="0" applyBorder="0" applyAlignment="0" applyProtection="0"/>
    <xf numFmtId="0" fontId="62" fillId="0" borderId="0" applyNumberFormat="0" applyFill="0" applyBorder="0" applyAlignment="0" applyProtection="0"/>
    <xf numFmtId="0" fontId="62" fillId="0" borderId="0" applyNumberFormat="0" applyFill="0" applyBorder="0" applyAlignment="0" applyProtection="0"/>
    <xf numFmtId="0" fontId="62" fillId="0" borderId="0" applyNumberFormat="0" applyFill="0" applyBorder="0" applyAlignment="0" applyProtection="0"/>
    <xf numFmtId="0" fontId="62" fillId="0" borderId="0" applyNumberFormat="0" applyFill="0" applyBorder="0" applyAlignment="0" applyProtection="0"/>
    <xf numFmtId="0" fontId="62" fillId="0" borderId="0" applyNumberFormat="0" applyFill="0" applyBorder="0" applyAlignment="0" applyProtection="0"/>
    <xf numFmtId="0" fontId="228" fillId="0" borderId="0" applyNumberFormat="0" applyFill="0" applyBorder="0" applyAlignment="0" applyProtection="0"/>
    <xf numFmtId="0" fontId="62" fillId="0" borderId="0" applyNumberFormat="0" applyFill="0" applyBorder="0" applyAlignment="0" applyProtection="0"/>
    <xf numFmtId="0" fontId="62" fillId="0" borderId="0" applyNumberFormat="0" applyFill="0" applyBorder="0" applyAlignment="0" applyProtection="0"/>
    <xf numFmtId="0" fontId="62" fillId="0" borderId="0" applyNumberFormat="0" applyFill="0" applyBorder="0" applyAlignment="0" applyProtection="0"/>
    <xf numFmtId="0" fontId="62" fillId="0" borderId="0" applyNumberFormat="0" applyFill="0" applyBorder="0" applyAlignment="0" applyProtection="0"/>
    <xf numFmtId="0" fontId="62" fillId="0" borderId="0" applyNumberFormat="0" applyFill="0" applyBorder="0" applyAlignment="0" applyProtection="0"/>
    <xf numFmtId="0" fontId="62" fillId="0" borderId="0" applyNumberFormat="0" applyFill="0" applyBorder="0" applyAlignment="0" applyProtection="0"/>
    <xf numFmtId="0" fontId="62" fillId="0" borderId="0" applyNumberFormat="0" applyFill="0" applyBorder="0" applyAlignment="0" applyProtection="0"/>
    <xf numFmtId="0" fontId="62" fillId="0" borderId="0" applyNumberFormat="0" applyFill="0" applyBorder="0" applyAlignment="0" applyProtection="0"/>
    <xf numFmtId="0" fontId="62" fillId="0" borderId="0" applyNumberFormat="0" applyFill="0" applyBorder="0" applyAlignment="0" applyProtection="0"/>
    <xf numFmtId="0" fontId="62" fillId="0" borderId="0" applyNumberFormat="0" applyFill="0" applyBorder="0" applyAlignment="0" applyProtection="0"/>
    <xf numFmtId="0" fontId="62" fillId="0" borderId="0" applyNumberFormat="0" applyFill="0" applyBorder="0" applyAlignment="0" applyProtection="0"/>
    <xf numFmtId="0" fontId="62" fillId="0" borderId="0" applyNumberFormat="0" applyFill="0" applyBorder="0" applyAlignment="0" applyProtection="0"/>
    <xf numFmtId="0" fontId="62" fillId="0" borderId="0" applyNumberFormat="0" applyFill="0" applyBorder="0" applyAlignment="0" applyProtection="0"/>
    <xf numFmtId="0" fontId="62" fillId="0" borderId="0" applyNumberFormat="0" applyFill="0" applyBorder="0" applyAlignment="0" applyProtection="0"/>
    <xf numFmtId="0" fontId="62" fillId="0" borderId="0" applyNumberFormat="0" applyFill="0" applyBorder="0" applyAlignment="0" applyProtection="0"/>
    <xf numFmtId="0" fontId="62" fillId="0" borderId="0" applyNumberFormat="0" applyFill="0" applyBorder="0" applyAlignment="0" applyProtection="0"/>
    <xf numFmtId="0" fontId="62" fillId="0" borderId="0" applyNumberFormat="0" applyFill="0" applyBorder="0" applyAlignment="0" applyProtection="0"/>
    <xf numFmtId="0" fontId="62" fillId="0" borderId="0" applyNumberFormat="0" applyFill="0" applyBorder="0" applyAlignment="0" applyProtection="0"/>
    <xf numFmtId="0" fontId="62" fillId="0" borderId="0" applyNumberFormat="0" applyFill="0" applyBorder="0" applyAlignment="0" applyProtection="0"/>
    <xf numFmtId="0" fontId="62" fillId="0" borderId="0" applyNumberFormat="0" applyFill="0" applyBorder="0" applyAlignment="0" applyProtection="0"/>
    <xf numFmtId="0" fontId="62" fillId="0" borderId="0" applyNumberFormat="0" applyFill="0" applyBorder="0" applyAlignment="0" applyProtection="0"/>
    <xf numFmtId="0" fontId="62" fillId="0" borderId="0" applyNumberFormat="0" applyFill="0" applyBorder="0" applyAlignment="0" applyProtection="0"/>
    <xf numFmtId="0" fontId="62" fillId="0" borderId="0" applyNumberFormat="0" applyFill="0" applyBorder="0" applyAlignment="0" applyProtection="0"/>
    <xf numFmtId="0" fontId="62" fillId="0" borderId="0" applyNumberFormat="0" applyFill="0" applyBorder="0" applyAlignment="0" applyProtection="0"/>
    <xf numFmtId="0" fontId="62" fillId="0" borderId="0" applyNumberFormat="0" applyFill="0" applyBorder="0" applyAlignment="0" applyProtection="0"/>
    <xf numFmtId="0" fontId="62" fillId="0" borderId="0" applyNumberFormat="0" applyFill="0" applyBorder="0" applyAlignment="0" applyProtection="0"/>
    <xf numFmtId="0" fontId="62" fillId="0" borderId="0" applyNumberFormat="0" applyFill="0" applyBorder="0" applyAlignment="0" applyProtection="0"/>
    <xf numFmtId="0" fontId="62" fillId="0" borderId="0" applyNumberFormat="0" applyFill="0" applyBorder="0" applyAlignment="0" applyProtection="0"/>
    <xf numFmtId="0" fontId="62" fillId="0" borderId="0" applyNumberFormat="0" applyFill="0" applyBorder="0" applyAlignment="0" applyProtection="0"/>
    <xf numFmtId="0" fontId="62" fillId="0" borderId="0" applyNumberFormat="0" applyFill="0" applyBorder="0" applyAlignment="0" applyProtection="0"/>
    <xf numFmtId="0" fontId="62" fillId="0" borderId="0" applyNumberFormat="0" applyFill="0" applyBorder="0" applyAlignment="0" applyProtection="0"/>
    <xf numFmtId="0" fontId="62" fillId="0" borderId="0" applyNumberFormat="0" applyFill="0" applyBorder="0" applyAlignment="0" applyProtection="0"/>
    <xf numFmtId="0" fontId="62" fillId="0" borderId="0" applyNumberFormat="0" applyFill="0" applyBorder="0" applyAlignment="0" applyProtection="0"/>
    <xf numFmtId="0" fontId="62" fillId="0" borderId="0" applyNumberFormat="0" applyFill="0" applyBorder="0" applyAlignment="0" applyProtection="0"/>
    <xf numFmtId="0" fontId="62" fillId="0" borderId="0" applyNumberFormat="0" applyFill="0" applyBorder="0" applyAlignment="0" applyProtection="0"/>
    <xf numFmtId="0" fontId="62" fillId="0" borderId="0" applyNumberFormat="0" applyFill="0" applyBorder="0" applyAlignment="0" applyProtection="0"/>
    <xf numFmtId="0" fontId="62" fillId="0" borderId="0" applyNumberFormat="0" applyFill="0" applyBorder="0" applyAlignment="0" applyProtection="0"/>
    <xf numFmtId="0" fontId="62" fillId="0" borderId="0" applyNumberFormat="0" applyFill="0" applyBorder="0" applyAlignment="0" applyProtection="0"/>
    <xf numFmtId="0" fontId="62" fillId="0" borderId="0" applyNumberFormat="0" applyFill="0" applyBorder="0" applyAlignment="0" applyProtection="0"/>
    <xf numFmtId="0" fontId="62" fillId="0" borderId="0" applyNumberFormat="0" applyFill="0" applyBorder="0" applyAlignment="0" applyProtection="0"/>
    <xf numFmtId="0" fontId="62" fillId="0" borderId="0" applyNumberFormat="0" applyFill="0" applyBorder="0" applyAlignment="0" applyProtection="0"/>
    <xf numFmtId="0" fontId="62" fillId="0" borderId="0" applyNumberFormat="0" applyFill="0" applyBorder="0" applyAlignment="0" applyProtection="0"/>
    <xf numFmtId="0" fontId="62" fillId="0" borderId="0" applyNumberFormat="0" applyFill="0" applyBorder="0" applyAlignment="0" applyProtection="0"/>
    <xf numFmtId="0" fontId="62" fillId="0" borderId="0" applyNumberFormat="0" applyFill="0" applyBorder="0" applyAlignment="0" applyProtection="0"/>
    <xf numFmtId="0" fontId="62" fillId="0" borderId="0" applyNumberFormat="0" applyFill="0" applyBorder="0" applyAlignment="0" applyProtection="0"/>
    <xf numFmtId="0" fontId="62" fillId="0" borderId="0" applyNumberFormat="0" applyFill="0" applyBorder="0" applyAlignment="0" applyProtection="0"/>
    <xf numFmtId="0" fontId="62" fillId="0" borderId="0" applyNumberFormat="0" applyFill="0" applyBorder="0" applyAlignment="0" applyProtection="0"/>
    <xf numFmtId="0" fontId="157" fillId="0" borderId="227" applyNumberFormat="0" applyFill="0" applyAlignment="0" applyProtection="0"/>
    <xf numFmtId="0" fontId="157" fillId="0" borderId="227" applyNumberFormat="0" applyFill="0" applyAlignment="0" applyProtection="0"/>
    <xf numFmtId="0" fontId="157" fillId="0" borderId="227" applyNumberFormat="0" applyFill="0" applyAlignment="0" applyProtection="0"/>
    <xf numFmtId="0" fontId="157" fillId="0" borderId="227" applyNumberFormat="0" applyFill="0" applyAlignment="0" applyProtection="0"/>
    <xf numFmtId="0" fontId="157" fillId="0" borderId="227" applyNumberFormat="0" applyFill="0" applyAlignment="0" applyProtection="0"/>
    <xf numFmtId="0" fontId="157" fillId="0" borderId="227" applyNumberFormat="0" applyFill="0" applyAlignment="0" applyProtection="0"/>
    <xf numFmtId="0" fontId="157" fillId="0" borderId="227" applyNumberFormat="0" applyFill="0" applyAlignment="0" applyProtection="0"/>
    <xf numFmtId="0" fontId="157" fillId="0" borderId="227" applyNumberFormat="0" applyFill="0" applyAlignment="0" applyProtection="0"/>
    <xf numFmtId="0" fontId="157" fillId="0" borderId="227" applyNumberFormat="0" applyFill="0" applyAlignment="0" applyProtection="0"/>
    <xf numFmtId="0" fontId="157" fillId="0" borderId="227" applyNumberFormat="0" applyFill="0" applyAlignment="0" applyProtection="0"/>
    <xf numFmtId="0" fontId="229" fillId="0" borderId="400" applyNumberFormat="0" applyFill="0" applyAlignment="0" applyProtection="0"/>
    <xf numFmtId="0" fontId="157" fillId="0" borderId="227" applyNumberFormat="0" applyFill="0" applyAlignment="0" applyProtection="0"/>
    <xf numFmtId="0" fontId="157" fillId="0" borderId="227" applyNumberFormat="0" applyFill="0" applyAlignment="0" applyProtection="0"/>
    <xf numFmtId="0" fontId="157" fillId="0" borderId="227" applyNumberFormat="0" applyFill="0" applyAlignment="0" applyProtection="0"/>
    <xf numFmtId="0" fontId="157" fillId="0" borderId="227" applyNumberFormat="0" applyFill="0" applyAlignment="0" applyProtection="0"/>
    <xf numFmtId="0" fontId="157" fillId="0" borderId="227" applyNumberFormat="0" applyFill="0" applyAlignment="0" applyProtection="0"/>
    <xf numFmtId="0" fontId="157" fillId="0" borderId="227" applyNumberFormat="0" applyFill="0" applyAlignment="0" applyProtection="0"/>
    <xf numFmtId="0" fontId="157" fillId="0" borderId="227" applyNumberFormat="0" applyFill="0" applyAlignment="0" applyProtection="0"/>
    <xf numFmtId="0" fontId="157" fillId="0" borderId="227" applyNumberFormat="0" applyFill="0" applyAlignment="0" applyProtection="0"/>
    <xf numFmtId="0" fontId="157" fillId="0" borderId="227" applyNumberFormat="0" applyFill="0" applyAlignment="0" applyProtection="0"/>
    <xf numFmtId="0" fontId="157" fillId="0" borderId="227" applyNumberFormat="0" applyFill="0" applyAlignment="0" applyProtection="0"/>
    <xf numFmtId="0" fontId="157" fillId="0" borderId="227" applyNumberFormat="0" applyFill="0" applyAlignment="0" applyProtection="0"/>
    <xf numFmtId="0" fontId="157" fillId="0" borderId="227" applyNumberFormat="0" applyFill="0" applyAlignment="0" applyProtection="0"/>
    <xf numFmtId="0" fontId="157" fillId="0" borderId="227" applyNumberFormat="0" applyFill="0" applyAlignment="0" applyProtection="0"/>
    <xf numFmtId="0" fontId="157" fillId="0" borderId="227" applyNumberFormat="0" applyFill="0" applyAlignment="0" applyProtection="0"/>
    <xf numFmtId="0" fontId="157" fillId="0" borderId="227" applyNumberFormat="0" applyFill="0" applyAlignment="0" applyProtection="0"/>
    <xf numFmtId="0" fontId="157" fillId="0" borderId="227" applyNumberFormat="0" applyFill="0" applyAlignment="0" applyProtection="0"/>
    <xf numFmtId="0" fontId="157" fillId="0" borderId="227" applyNumberFormat="0" applyFill="0" applyAlignment="0" applyProtection="0"/>
    <xf numFmtId="0" fontId="157" fillId="0" borderId="227" applyNumberFormat="0" applyFill="0" applyAlignment="0" applyProtection="0"/>
    <xf numFmtId="0" fontId="157" fillId="0" borderId="227" applyNumberFormat="0" applyFill="0" applyAlignment="0" applyProtection="0"/>
    <xf numFmtId="0" fontId="157" fillId="0" borderId="227" applyNumberFormat="0" applyFill="0" applyAlignment="0" applyProtection="0"/>
    <xf numFmtId="0" fontId="157" fillId="0" borderId="227" applyNumberFormat="0" applyFill="0" applyAlignment="0" applyProtection="0"/>
    <xf numFmtId="0" fontId="157" fillId="0" borderId="227" applyNumberFormat="0" applyFill="0" applyAlignment="0" applyProtection="0"/>
    <xf numFmtId="0" fontId="157" fillId="0" borderId="227" applyNumberFormat="0" applyFill="0" applyAlignment="0" applyProtection="0"/>
    <xf numFmtId="0" fontId="157" fillId="0" borderId="227" applyNumberFormat="0" applyFill="0" applyAlignment="0" applyProtection="0"/>
    <xf numFmtId="0" fontId="157" fillId="0" borderId="227" applyNumberFormat="0" applyFill="0" applyAlignment="0" applyProtection="0"/>
    <xf numFmtId="0" fontId="157" fillId="0" borderId="227" applyNumberFormat="0" applyFill="0" applyAlignment="0" applyProtection="0"/>
    <xf numFmtId="0" fontId="157" fillId="0" borderId="227" applyNumberFormat="0" applyFill="0" applyAlignment="0" applyProtection="0"/>
    <xf numFmtId="0" fontId="157" fillId="0" borderId="227" applyNumberFormat="0" applyFill="0" applyAlignment="0" applyProtection="0"/>
    <xf numFmtId="0" fontId="157" fillId="0" borderId="227" applyNumberFormat="0" applyFill="0" applyAlignment="0" applyProtection="0"/>
    <xf numFmtId="0" fontId="157" fillId="0" borderId="227" applyNumberFormat="0" applyFill="0" applyAlignment="0" applyProtection="0"/>
    <xf numFmtId="0" fontId="157" fillId="0" borderId="227" applyNumberFormat="0" applyFill="0" applyAlignment="0" applyProtection="0"/>
    <xf numFmtId="0" fontId="157" fillId="0" borderId="227" applyNumberFormat="0" applyFill="0" applyAlignment="0" applyProtection="0"/>
    <xf numFmtId="0" fontId="157" fillId="0" borderId="227" applyNumberFormat="0" applyFill="0" applyAlignment="0" applyProtection="0"/>
    <xf numFmtId="0" fontId="157" fillId="0" borderId="227" applyNumberFormat="0" applyFill="0" applyAlignment="0" applyProtection="0"/>
    <xf numFmtId="0" fontId="157" fillId="0" borderId="227" applyNumberFormat="0" applyFill="0" applyAlignment="0" applyProtection="0"/>
    <xf numFmtId="0" fontId="157" fillId="0" borderId="227" applyNumberFormat="0" applyFill="0" applyAlignment="0" applyProtection="0"/>
    <xf numFmtId="0" fontId="157" fillId="0" borderId="227" applyNumberFormat="0" applyFill="0" applyAlignment="0" applyProtection="0"/>
    <xf numFmtId="0" fontId="157" fillId="0" borderId="227" applyNumberFormat="0" applyFill="0" applyAlignment="0" applyProtection="0"/>
    <xf numFmtId="0" fontId="157" fillId="0" borderId="227" applyNumberFormat="0" applyFill="0" applyAlignment="0" applyProtection="0"/>
    <xf numFmtId="0" fontId="157" fillId="0" borderId="227" applyNumberFormat="0" applyFill="0" applyAlignment="0" applyProtection="0"/>
    <xf numFmtId="0" fontId="157" fillId="0" borderId="227" applyNumberFormat="0" applyFill="0" applyAlignment="0" applyProtection="0"/>
    <xf numFmtId="0" fontId="157" fillId="0" borderId="227" applyNumberFormat="0" applyFill="0" applyAlignment="0" applyProtection="0"/>
    <xf numFmtId="0" fontId="157" fillId="0" borderId="227" applyNumberFormat="0" applyFill="0" applyAlignment="0" applyProtection="0"/>
    <xf numFmtId="0" fontId="157" fillId="0" borderId="227" applyNumberFormat="0" applyFill="0" applyAlignment="0" applyProtection="0"/>
    <xf numFmtId="0" fontId="157" fillId="0" borderId="227" applyNumberFormat="0" applyFill="0" applyAlignment="0" applyProtection="0"/>
    <xf numFmtId="0" fontId="157" fillId="0" borderId="227" applyNumberFormat="0" applyFill="0" applyAlignment="0" applyProtection="0"/>
    <xf numFmtId="0" fontId="157" fillId="0" borderId="227" applyNumberFormat="0" applyFill="0" applyAlignment="0" applyProtection="0"/>
    <xf numFmtId="0" fontId="155" fillId="78" borderId="396" applyNumberFormat="0" applyAlignment="0" applyProtection="0"/>
    <xf numFmtId="0" fontId="155" fillId="78" borderId="396" applyNumberFormat="0" applyAlignment="0" applyProtection="0"/>
    <xf numFmtId="0" fontId="155" fillId="78" borderId="396" applyNumberFormat="0" applyAlignment="0" applyProtection="0"/>
    <xf numFmtId="0" fontId="155" fillId="78" borderId="396" applyNumberFormat="0" applyAlignment="0" applyProtection="0"/>
    <xf numFmtId="0" fontId="155" fillId="78" borderId="396" applyNumberFormat="0" applyAlignment="0" applyProtection="0"/>
    <xf numFmtId="0" fontId="155" fillId="78" borderId="396" applyNumberFormat="0" applyAlignment="0" applyProtection="0"/>
    <xf numFmtId="0" fontId="155" fillId="78" borderId="396" applyNumberFormat="0" applyAlignment="0" applyProtection="0"/>
    <xf numFmtId="0" fontId="155" fillId="78" borderId="396" applyNumberFormat="0" applyAlignment="0" applyProtection="0"/>
    <xf numFmtId="0" fontId="155" fillId="78" borderId="396" applyNumberFormat="0" applyAlignment="0" applyProtection="0"/>
    <xf numFmtId="0" fontId="155" fillId="78" borderId="396" applyNumberFormat="0" applyAlignment="0" applyProtection="0"/>
    <xf numFmtId="0" fontId="230" fillId="23" borderId="9" applyNumberFormat="0" applyAlignment="0" applyProtection="0"/>
    <xf numFmtId="0" fontId="155" fillId="78" borderId="396" applyNumberFormat="0" applyAlignment="0" applyProtection="0"/>
    <xf numFmtId="0" fontId="155" fillId="78" borderId="396" applyNumberFormat="0" applyAlignment="0" applyProtection="0"/>
    <xf numFmtId="0" fontId="155" fillId="78" borderId="396" applyNumberFormat="0" applyAlignment="0" applyProtection="0"/>
    <xf numFmtId="0" fontId="155" fillId="78" borderId="396" applyNumberFormat="0" applyAlignment="0" applyProtection="0"/>
    <xf numFmtId="0" fontId="155" fillId="78" borderId="396" applyNumberFormat="0" applyAlignment="0" applyProtection="0"/>
    <xf numFmtId="0" fontId="155" fillId="78" borderId="396" applyNumberFormat="0" applyAlignment="0" applyProtection="0"/>
    <xf numFmtId="0" fontId="155" fillId="78" borderId="396" applyNumberFormat="0" applyAlignment="0" applyProtection="0"/>
    <xf numFmtId="0" fontId="155" fillId="78" borderId="396" applyNumberFormat="0" applyAlignment="0" applyProtection="0"/>
    <xf numFmtId="0" fontId="155" fillId="78" borderId="396" applyNumberFormat="0" applyAlignment="0" applyProtection="0"/>
    <xf numFmtId="0" fontId="155" fillId="78" borderId="396" applyNumberFormat="0" applyAlignment="0" applyProtection="0"/>
    <xf numFmtId="0" fontId="155" fillId="78" borderId="396" applyNumberFormat="0" applyAlignment="0" applyProtection="0"/>
    <xf numFmtId="0" fontId="155" fillId="78" borderId="396" applyNumberFormat="0" applyAlignment="0" applyProtection="0"/>
    <xf numFmtId="0" fontId="155" fillId="78" borderId="396" applyNumberFormat="0" applyAlignment="0" applyProtection="0"/>
    <xf numFmtId="0" fontId="155" fillId="78" borderId="396" applyNumberFormat="0" applyAlignment="0" applyProtection="0"/>
    <xf numFmtId="0" fontId="155" fillId="78" borderId="396" applyNumberFormat="0" applyAlignment="0" applyProtection="0"/>
    <xf numFmtId="0" fontId="155" fillId="78" borderId="396" applyNumberFormat="0" applyAlignment="0" applyProtection="0"/>
    <xf numFmtId="0" fontId="155" fillId="78" borderId="396" applyNumberFormat="0" applyAlignment="0" applyProtection="0"/>
    <xf numFmtId="0" fontId="155" fillId="78" borderId="396" applyNumberFormat="0" applyAlignment="0" applyProtection="0"/>
    <xf numFmtId="0" fontId="155" fillId="78" borderId="396" applyNumberFormat="0" applyAlignment="0" applyProtection="0"/>
    <xf numFmtId="0" fontId="155" fillId="78" borderId="396" applyNumberFormat="0" applyAlignment="0" applyProtection="0"/>
    <xf numFmtId="0" fontId="155" fillId="78" borderId="396" applyNumberFormat="0" applyAlignment="0" applyProtection="0"/>
    <xf numFmtId="0" fontId="155" fillId="78" borderId="396" applyNumberFormat="0" applyAlignment="0" applyProtection="0"/>
    <xf numFmtId="0" fontId="155" fillId="78" borderId="396" applyNumberFormat="0" applyAlignment="0" applyProtection="0"/>
    <xf numFmtId="0" fontId="155" fillId="78" borderId="396" applyNumberFormat="0" applyAlignment="0" applyProtection="0"/>
    <xf numFmtId="0" fontId="155" fillId="78" borderId="396" applyNumberFormat="0" applyAlignment="0" applyProtection="0"/>
    <xf numFmtId="0" fontId="155" fillId="78" borderId="396" applyNumberFormat="0" applyAlignment="0" applyProtection="0"/>
    <xf numFmtId="0" fontId="155" fillId="78" borderId="396" applyNumberFormat="0" applyAlignment="0" applyProtection="0"/>
    <xf numFmtId="0" fontId="155" fillId="78" borderId="396" applyNumberFormat="0" applyAlignment="0" applyProtection="0"/>
    <xf numFmtId="0" fontId="155" fillId="78" borderId="396" applyNumberFormat="0" applyAlignment="0" applyProtection="0"/>
    <xf numFmtId="0" fontId="155" fillId="78" borderId="396" applyNumberFormat="0" applyAlignment="0" applyProtection="0"/>
    <xf numFmtId="0" fontId="155" fillId="78" borderId="396" applyNumberFormat="0" applyAlignment="0" applyProtection="0"/>
    <xf numFmtId="0" fontId="155" fillId="78" borderId="396" applyNumberFormat="0" applyAlignment="0" applyProtection="0"/>
    <xf numFmtId="0" fontId="155" fillId="78" borderId="396" applyNumberFormat="0" applyAlignment="0" applyProtection="0"/>
    <xf numFmtId="0" fontId="155" fillId="78" borderId="396" applyNumberFormat="0" applyAlignment="0" applyProtection="0"/>
    <xf numFmtId="0" fontId="155" fillId="78" borderId="396" applyNumberFormat="0" applyAlignment="0" applyProtection="0"/>
    <xf numFmtId="0" fontId="155" fillId="78" borderId="396" applyNumberFormat="0" applyAlignment="0" applyProtection="0"/>
    <xf numFmtId="0" fontId="155" fillId="78" borderId="396" applyNumberFormat="0" applyAlignment="0" applyProtection="0"/>
    <xf numFmtId="0" fontId="155" fillId="78" borderId="396" applyNumberFormat="0" applyAlignment="0" applyProtection="0"/>
    <xf numFmtId="0" fontId="155" fillId="78" borderId="396" applyNumberFormat="0" applyAlignment="0" applyProtection="0"/>
    <xf numFmtId="0" fontId="155" fillId="78" borderId="396" applyNumberFormat="0" applyAlignment="0" applyProtection="0"/>
    <xf numFmtId="0" fontId="155" fillId="78" borderId="396" applyNumberFormat="0" applyAlignment="0" applyProtection="0"/>
    <xf numFmtId="0" fontId="155" fillId="78" borderId="396" applyNumberFormat="0" applyAlignment="0" applyProtection="0"/>
    <xf numFmtId="0" fontId="155" fillId="78" borderId="396" applyNumberFormat="0" applyAlignment="0" applyProtection="0"/>
    <xf numFmtId="0" fontId="155" fillId="78" borderId="396" applyNumberFormat="0" applyAlignment="0" applyProtection="0"/>
    <xf numFmtId="0" fontId="155" fillId="78" borderId="396" applyNumberFormat="0" applyAlignment="0" applyProtection="0"/>
    <xf numFmtId="0" fontId="155" fillId="78" borderId="396" applyNumberFormat="0" applyAlignment="0" applyProtection="0"/>
    <xf numFmtId="0" fontId="155" fillId="78" borderId="396" applyNumberFormat="0" applyAlignment="0" applyProtection="0"/>
    <xf numFmtId="0" fontId="10" fillId="0" borderId="0"/>
    <xf numFmtId="164" fontId="21" fillId="0" borderId="0" applyFont="0" applyFill="0" applyBorder="0" applyAlignment="0" applyProtection="0"/>
    <xf numFmtId="164" fontId="21" fillId="0" borderId="0" applyFont="0" applyFill="0" applyBorder="0" applyAlignment="0" applyProtection="0"/>
    <xf numFmtId="44" fontId="21" fillId="0" borderId="0" applyFont="0" applyFill="0" applyBorder="0" applyAlignment="0" applyProtection="0"/>
    <xf numFmtId="44" fontId="21" fillId="0" borderId="0" applyFont="0" applyFill="0" applyBorder="0" applyAlignment="0" applyProtection="0"/>
    <xf numFmtId="164" fontId="21" fillId="0" borderId="0" applyFont="0" applyFill="0" applyBorder="0" applyAlignment="0" applyProtection="0"/>
    <xf numFmtId="164" fontId="21" fillId="0" borderId="0" applyFont="0" applyFill="0" applyBorder="0" applyAlignment="0" applyProtection="0"/>
    <xf numFmtId="0" fontId="9" fillId="0" borderId="0"/>
    <xf numFmtId="0" fontId="220" fillId="0" borderId="0" applyNumberFormat="0" applyFill="0" applyBorder="0" applyAlignment="0" applyProtection="0">
      <alignment vertical="top"/>
      <protection locked="0"/>
    </xf>
    <xf numFmtId="164" fontId="21" fillId="0" borderId="0" applyFont="0" applyFill="0" applyBorder="0" applyAlignment="0" applyProtection="0"/>
    <xf numFmtId="164" fontId="21" fillId="0" borderId="0" applyFont="0" applyFill="0" applyBorder="0" applyAlignment="0" applyProtection="0"/>
    <xf numFmtId="44" fontId="21" fillId="0" borderId="0" applyFont="0" applyFill="0" applyBorder="0" applyAlignment="0" applyProtection="0"/>
    <xf numFmtId="164" fontId="21" fillId="0" borderId="0" applyFont="0" applyFill="0" applyBorder="0" applyAlignment="0" applyProtection="0"/>
    <xf numFmtId="0" fontId="9" fillId="0" borderId="0"/>
    <xf numFmtId="0" fontId="9" fillId="0" borderId="0"/>
    <xf numFmtId="164" fontId="20" fillId="0" borderId="0" applyFont="0" applyFill="0" applyBorder="0" applyAlignment="0" applyProtection="0"/>
    <xf numFmtId="0" fontId="9" fillId="100" borderId="0" applyNumberFormat="0" applyBorder="0" applyAlignment="0" applyProtection="0"/>
    <xf numFmtId="0" fontId="9" fillId="100" borderId="0" applyNumberFormat="0" applyBorder="0" applyAlignment="0" applyProtection="0"/>
    <xf numFmtId="0" fontId="9" fillId="100" borderId="0" applyNumberFormat="0" applyBorder="0" applyAlignment="0" applyProtection="0"/>
    <xf numFmtId="0" fontId="9" fillId="100" borderId="0" applyNumberFormat="0" applyBorder="0" applyAlignment="0" applyProtection="0"/>
    <xf numFmtId="0" fontId="9" fillId="100" borderId="0" applyNumberFormat="0" applyBorder="0" applyAlignment="0" applyProtection="0"/>
    <xf numFmtId="0" fontId="9" fillId="100" borderId="0" applyNumberFormat="0" applyBorder="0" applyAlignment="0" applyProtection="0"/>
    <xf numFmtId="0" fontId="9" fillId="100" borderId="0" applyNumberFormat="0" applyBorder="0" applyAlignment="0" applyProtection="0"/>
    <xf numFmtId="0" fontId="9" fillId="100" borderId="0" applyNumberFormat="0" applyBorder="0" applyAlignment="0" applyProtection="0"/>
    <xf numFmtId="0" fontId="9" fillId="100" borderId="0" applyNumberFormat="0" applyBorder="0" applyAlignment="0" applyProtection="0"/>
    <xf numFmtId="0" fontId="9" fillId="100" borderId="0" applyNumberFormat="0" applyBorder="0" applyAlignment="0" applyProtection="0"/>
    <xf numFmtId="0" fontId="9" fillId="100" borderId="0" applyNumberFormat="0" applyBorder="0" applyAlignment="0" applyProtection="0"/>
    <xf numFmtId="0" fontId="9" fillId="100" borderId="0" applyNumberFormat="0" applyBorder="0" applyAlignment="0" applyProtection="0"/>
    <xf numFmtId="0" fontId="9" fillId="100" borderId="0" applyNumberFormat="0" applyBorder="0" applyAlignment="0" applyProtection="0"/>
    <xf numFmtId="0" fontId="9" fillId="100" borderId="0" applyNumberFormat="0" applyBorder="0" applyAlignment="0" applyProtection="0"/>
    <xf numFmtId="0" fontId="9" fillId="100" borderId="0" applyNumberFormat="0" applyBorder="0" applyAlignment="0" applyProtection="0"/>
    <xf numFmtId="0" fontId="9" fillId="100" borderId="0" applyNumberFormat="0" applyBorder="0" applyAlignment="0" applyProtection="0"/>
    <xf numFmtId="0" fontId="9" fillId="100" borderId="0" applyNumberFormat="0" applyBorder="0" applyAlignment="0" applyProtection="0"/>
    <xf numFmtId="0" fontId="9" fillId="100" borderId="0" applyNumberFormat="0" applyBorder="0" applyAlignment="0" applyProtection="0"/>
    <xf numFmtId="0" fontId="9" fillId="100" borderId="0" applyNumberFormat="0" applyBorder="0" applyAlignment="0" applyProtection="0"/>
    <xf numFmtId="0" fontId="9" fillId="100" borderId="0" applyNumberFormat="0" applyBorder="0" applyAlignment="0" applyProtection="0"/>
    <xf numFmtId="0" fontId="9" fillId="100" borderId="0" applyNumberFormat="0" applyBorder="0" applyAlignment="0" applyProtection="0"/>
    <xf numFmtId="0" fontId="9" fillId="100" borderId="0" applyNumberFormat="0" applyBorder="0" applyAlignment="0" applyProtection="0"/>
    <xf numFmtId="0" fontId="9" fillId="100" borderId="0" applyNumberFormat="0" applyBorder="0" applyAlignment="0" applyProtection="0"/>
    <xf numFmtId="0" fontId="9" fillId="100" borderId="0" applyNumberFormat="0" applyBorder="0" applyAlignment="0" applyProtection="0"/>
    <xf numFmtId="0" fontId="9" fillId="100" borderId="0" applyNumberFormat="0" applyBorder="0" applyAlignment="0" applyProtection="0"/>
    <xf numFmtId="0" fontId="9" fillId="100" borderId="0" applyNumberFormat="0" applyBorder="0" applyAlignment="0" applyProtection="0"/>
    <xf numFmtId="0" fontId="9" fillId="100" borderId="0" applyNumberFormat="0" applyBorder="0" applyAlignment="0" applyProtection="0"/>
    <xf numFmtId="0" fontId="9" fillId="100" borderId="0" applyNumberFormat="0" applyBorder="0" applyAlignment="0" applyProtection="0"/>
    <xf numFmtId="0" fontId="9" fillId="100" borderId="0" applyNumberFormat="0" applyBorder="0" applyAlignment="0" applyProtection="0"/>
    <xf numFmtId="0" fontId="9" fillId="100" borderId="0" applyNumberFormat="0" applyBorder="0" applyAlignment="0" applyProtection="0"/>
    <xf numFmtId="0" fontId="9" fillId="100" borderId="0" applyNumberFormat="0" applyBorder="0" applyAlignment="0" applyProtection="0"/>
    <xf numFmtId="0" fontId="9" fillId="100" borderId="0" applyNumberFormat="0" applyBorder="0" applyAlignment="0" applyProtection="0"/>
    <xf numFmtId="0" fontId="9" fillId="100" borderId="0" applyNumberFormat="0" applyBorder="0" applyAlignment="0" applyProtection="0"/>
    <xf numFmtId="0" fontId="9" fillId="100" borderId="0" applyNumberFormat="0" applyBorder="0" applyAlignment="0" applyProtection="0"/>
    <xf numFmtId="0" fontId="9" fillId="100" borderId="0" applyNumberFormat="0" applyBorder="0" applyAlignment="0" applyProtection="0"/>
    <xf numFmtId="0" fontId="9" fillId="100" borderId="0" applyNumberFormat="0" applyBorder="0" applyAlignment="0" applyProtection="0"/>
    <xf numFmtId="0" fontId="9" fillId="100" borderId="0" applyNumberFormat="0" applyBorder="0" applyAlignment="0" applyProtection="0"/>
    <xf numFmtId="0" fontId="9" fillId="100" borderId="0" applyNumberFormat="0" applyBorder="0" applyAlignment="0" applyProtection="0"/>
    <xf numFmtId="0" fontId="9" fillId="100" borderId="0" applyNumberFormat="0" applyBorder="0" applyAlignment="0" applyProtection="0"/>
    <xf numFmtId="0" fontId="9" fillId="100" borderId="0" applyNumberFormat="0" applyBorder="0" applyAlignment="0" applyProtection="0"/>
    <xf numFmtId="0" fontId="9" fillId="100" borderId="0" applyNumberFormat="0" applyBorder="0" applyAlignment="0" applyProtection="0"/>
    <xf numFmtId="0" fontId="9" fillId="100" borderId="0" applyNumberFormat="0" applyBorder="0" applyAlignment="0" applyProtection="0"/>
    <xf numFmtId="0" fontId="9" fillId="100" borderId="0" applyNumberFormat="0" applyBorder="0" applyAlignment="0" applyProtection="0"/>
    <xf numFmtId="0" fontId="9" fillId="100" borderId="0" applyNumberFormat="0" applyBorder="0" applyAlignment="0" applyProtection="0"/>
    <xf numFmtId="0" fontId="9" fillId="100" borderId="0" applyNumberFormat="0" applyBorder="0" applyAlignment="0" applyProtection="0"/>
    <xf numFmtId="0" fontId="9" fillId="100" borderId="0" applyNumberFormat="0" applyBorder="0" applyAlignment="0" applyProtection="0"/>
    <xf numFmtId="0" fontId="9" fillId="100" borderId="0" applyNumberFormat="0" applyBorder="0" applyAlignment="0" applyProtection="0"/>
    <xf numFmtId="0" fontId="9" fillId="100" borderId="0" applyNumberFormat="0" applyBorder="0" applyAlignment="0" applyProtection="0"/>
    <xf numFmtId="0" fontId="9" fillId="100" borderId="0" applyNumberFormat="0" applyBorder="0" applyAlignment="0" applyProtection="0"/>
    <xf numFmtId="0" fontId="9" fillId="100" borderId="0" applyNumberFormat="0" applyBorder="0" applyAlignment="0" applyProtection="0"/>
    <xf numFmtId="0" fontId="9" fillId="100" borderId="0" applyNumberFormat="0" applyBorder="0" applyAlignment="0" applyProtection="0"/>
    <xf numFmtId="0" fontId="9" fillId="100" borderId="0" applyNumberFormat="0" applyBorder="0" applyAlignment="0" applyProtection="0"/>
    <xf numFmtId="0" fontId="9" fillId="100" borderId="0" applyNumberFormat="0" applyBorder="0" applyAlignment="0" applyProtection="0"/>
    <xf numFmtId="0" fontId="9" fillId="100" borderId="0" applyNumberFormat="0" applyBorder="0" applyAlignment="0" applyProtection="0"/>
    <xf numFmtId="0" fontId="9" fillId="100" borderId="0" applyNumberFormat="0" applyBorder="0" applyAlignment="0" applyProtection="0"/>
    <xf numFmtId="0" fontId="9" fillId="100" borderId="0" applyNumberFormat="0" applyBorder="0" applyAlignment="0" applyProtection="0"/>
    <xf numFmtId="0" fontId="9" fillId="100" borderId="0" applyNumberFormat="0" applyBorder="0" applyAlignment="0" applyProtection="0"/>
    <xf numFmtId="0" fontId="9" fillId="101" borderId="0" applyNumberFormat="0" applyBorder="0" applyAlignment="0" applyProtection="0"/>
    <xf numFmtId="0" fontId="9" fillId="101" borderId="0" applyNumberFormat="0" applyBorder="0" applyAlignment="0" applyProtection="0"/>
    <xf numFmtId="0" fontId="9" fillId="101" borderId="0" applyNumberFormat="0" applyBorder="0" applyAlignment="0" applyProtection="0"/>
    <xf numFmtId="0" fontId="9" fillId="101" borderId="0" applyNumberFormat="0" applyBorder="0" applyAlignment="0" applyProtection="0"/>
    <xf numFmtId="0" fontId="9" fillId="101" borderId="0" applyNumberFormat="0" applyBorder="0" applyAlignment="0" applyProtection="0"/>
    <xf numFmtId="0" fontId="9" fillId="101" borderId="0" applyNumberFormat="0" applyBorder="0" applyAlignment="0" applyProtection="0"/>
    <xf numFmtId="0" fontId="9" fillId="101" borderId="0" applyNumberFormat="0" applyBorder="0" applyAlignment="0" applyProtection="0"/>
    <xf numFmtId="0" fontId="9" fillId="101" borderId="0" applyNumberFormat="0" applyBorder="0" applyAlignment="0" applyProtection="0"/>
    <xf numFmtId="0" fontId="9" fillId="101" borderId="0" applyNumberFormat="0" applyBorder="0" applyAlignment="0" applyProtection="0"/>
    <xf numFmtId="0" fontId="9" fillId="101" borderId="0" applyNumberFormat="0" applyBorder="0" applyAlignment="0" applyProtection="0"/>
    <xf numFmtId="0" fontId="9" fillId="101" borderId="0" applyNumberFormat="0" applyBorder="0" applyAlignment="0" applyProtection="0"/>
    <xf numFmtId="0" fontId="9" fillId="101" borderId="0" applyNumberFormat="0" applyBorder="0" applyAlignment="0" applyProtection="0"/>
    <xf numFmtId="0" fontId="9" fillId="101" borderId="0" applyNumberFormat="0" applyBorder="0" applyAlignment="0" applyProtection="0"/>
    <xf numFmtId="0" fontId="9" fillId="101" borderId="0" applyNumberFormat="0" applyBorder="0" applyAlignment="0" applyProtection="0"/>
    <xf numFmtId="0" fontId="9" fillId="101" borderId="0" applyNumberFormat="0" applyBorder="0" applyAlignment="0" applyProtection="0"/>
    <xf numFmtId="0" fontId="9" fillId="101" borderId="0" applyNumberFormat="0" applyBorder="0" applyAlignment="0" applyProtection="0"/>
    <xf numFmtId="0" fontId="9" fillId="101" borderId="0" applyNumberFormat="0" applyBorder="0" applyAlignment="0" applyProtection="0"/>
    <xf numFmtId="0" fontId="9" fillId="101" borderId="0" applyNumberFormat="0" applyBorder="0" applyAlignment="0" applyProtection="0"/>
    <xf numFmtId="0" fontId="9" fillId="101" borderId="0" applyNumberFormat="0" applyBorder="0" applyAlignment="0" applyProtection="0"/>
    <xf numFmtId="0" fontId="9" fillId="101" borderId="0" applyNumberFormat="0" applyBorder="0" applyAlignment="0" applyProtection="0"/>
    <xf numFmtId="0" fontId="9" fillId="101" borderId="0" applyNumberFormat="0" applyBorder="0" applyAlignment="0" applyProtection="0"/>
    <xf numFmtId="0" fontId="9" fillId="101" borderId="0" applyNumberFormat="0" applyBorder="0" applyAlignment="0" applyProtection="0"/>
    <xf numFmtId="0" fontId="9" fillId="101" borderId="0" applyNumberFormat="0" applyBorder="0" applyAlignment="0" applyProtection="0"/>
    <xf numFmtId="0" fontId="9" fillId="101" borderId="0" applyNumberFormat="0" applyBorder="0" applyAlignment="0" applyProtection="0"/>
    <xf numFmtId="0" fontId="9" fillId="101" borderId="0" applyNumberFormat="0" applyBorder="0" applyAlignment="0" applyProtection="0"/>
    <xf numFmtId="0" fontId="9" fillId="101" borderId="0" applyNumberFormat="0" applyBorder="0" applyAlignment="0" applyProtection="0"/>
    <xf numFmtId="0" fontId="9" fillId="101" borderId="0" applyNumberFormat="0" applyBorder="0" applyAlignment="0" applyProtection="0"/>
    <xf numFmtId="0" fontId="9" fillId="101" borderId="0" applyNumberFormat="0" applyBorder="0" applyAlignment="0" applyProtection="0"/>
    <xf numFmtId="0" fontId="9" fillId="101" borderId="0" applyNumberFormat="0" applyBorder="0" applyAlignment="0" applyProtection="0"/>
    <xf numFmtId="0" fontId="9" fillId="101" borderId="0" applyNumberFormat="0" applyBorder="0" applyAlignment="0" applyProtection="0"/>
    <xf numFmtId="0" fontId="9" fillId="101" borderId="0" applyNumberFormat="0" applyBorder="0" applyAlignment="0" applyProtection="0"/>
    <xf numFmtId="0" fontId="9" fillId="101" borderId="0" applyNumberFormat="0" applyBorder="0" applyAlignment="0" applyProtection="0"/>
    <xf numFmtId="0" fontId="9" fillId="101" borderId="0" applyNumberFormat="0" applyBorder="0" applyAlignment="0" applyProtection="0"/>
    <xf numFmtId="0" fontId="9" fillId="101" borderId="0" applyNumberFormat="0" applyBorder="0" applyAlignment="0" applyProtection="0"/>
    <xf numFmtId="0" fontId="9" fillId="101" borderId="0" applyNumberFormat="0" applyBorder="0" applyAlignment="0" applyProtection="0"/>
    <xf numFmtId="0" fontId="9" fillId="101" borderId="0" applyNumberFormat="0" applyBorder="0" applyAlignment="0" applyProtection="0"/>
    <xf numFmtId="0" fontId="9" fillId="101" borderId="0" applyNumberFormat="0" applyBorder="0" applyAlignment="0" applyProtection="0"/>
    <xf numFmtId="0" fontId="9" fillId="101" borderId="0" applyNumberFormat="0" applyBorder="0" applyAlignment="0" applyProtection="0"/>
    <xf numFmtId="0" fontId="9" fillId="101" borderId="0" applyNumberFormat="0" applyBorder="0" applyAlignment="0" applyProtection="0"/>
    <xf numFmtId="0" fontId="9" fillId="101" borderId="0" applyNumberFormat="0" applyBorder="0" applyAlignment="0" applyProtection="0"/>
    <xf numFmtId="0" fontId="9" fillId="101" borderId="0" applyNumberFormat="0" applyBorder="0" applyAlignment="0" applyProtection="0"/>
    <xf numFmtId="0" fontId="9" fillId="101" borderId="0" applyNumberFormat="0" applyBorder="0" applyAlignment="0" applyProtection="0"/>
    <xf numFmtId="0" fontId="9" fillId="101" borderId="0" applyNumberFormat="0" applyBorder="0" applyAlignment="0" applyProtection="0"/>
    <xf numFmtId="0" fontId="9" fillId="101" borderId="0" applyNumberFormat="0" applyBorder="0" applyAlignment="0" applyProtection="0"/>
    <xf numFmtId="0" fontId="9" fillId="101" borderId="0" applyNumberFormat="0" applyBorder="0" applyAlignment="0" applyProtection="0"/>
    <xf numFmtId="0" fontId="9" fillId="101" borderId="0" applyNumberFormat="0" applyBorder="0" applyAlignment="0" applyProtection="0"/>
    <xf numFmtId="0" fontId="9" fillId="101" borderId="0" applyNumberFormat="0" applyBorder="0" applyAlignment="0" applyProtection="0"/>
    <xf numFmtId="0" fontId="9" fillId="101" borderId="0" applyNumberFormat="0" applyBorder="0" applyAlignment="0" applyProtection="0"/>
    <xf numFmtId="0" fontId="9" fillId="101" borderId="0" applyNumberFormat="0" applyBorder="0" applyAlignment="0" applyProtection="0"/>
    <xf numFmtId="0" fontId="9" fillId="101" borderId="0" applyNumberFormat="0" applyBorder="0" applyAlignment="0" applyProtection="0"/>
    <xf numFmtId="0" fontId="9" fillId="101" borderId="0" applyNumberFormat="0" applyBorder="0" applyAlignment="0" applyProtection="0"/>
    <xf numFmtId="0" fontId="9" fillId="101" borderId="0" applyNumberFormat="0" applyBorder="0" applyAlignment="0" applyProtection="0"/>
    <xf numFmtId="0" fontId="9" fillId="101" borderId="0" applyNumberFormat="0" applyBorder="0" applyAlignment="0" applyProtection="0"/>
    <xf numFmtId="0" fontId="9" fillId="101" borderId="0" applyNumberFormat="0" applyBorder="0" applyAlignment="0" applyProtection="0"/>
    <xf numFmtId="0" fontId="9" fillId="101" borderId="0" applyNumberFormat="0" applyBorder="0" applyAlignment="0" applyProtection="0"/>
    <xf numFmtId="0" fontId="9" fillId="101" borderId="0" applyNumberFormat="0" applyBorder="0" applyAlignment="0" applyProtection="0"/>
    <xf numFmtId="0" fontId="9" fillId="101" borderId="0" applyNumberFormat="0" applyBorder="0" applyAlignment="0" applyProtection="0"/>
    <xf numFmtId="0" fontId="9" fillId="102" borderId="0" applyNumberFormat="0" applyBorder="0" applyAlignment="0" applyProtection="0"/>
    <xf numFmtId="0" fontId="9" fillId="102" borderId="0" applyNumberFormat="0" applyBorder="0" applyAlignment="0" applyProtection="0"/>
    <xf numFmtId="0" fontId="9" fillId="102" borderId="0" applyNumberFormat="0" applyBorder="0" applyAlignment="0" applyProtection="0"/>
    <xf numFmtId="0" fontId="9" fillId="102" borderId="0" applyNumberFormat="0" applyBorder="0" applyAlignment="0" applyProtection="0"/>
    <xf numFmtId="0" fontId="9" fillId="102" borderId="0" applyNumberFormat="0" applyBorder="0" applyAlignment="0" applyProtection="0"/>
    <xf numFmtId="0" fontId="9" fillId="102" borderId="0" applyNumberFormat="0" applyBorder="0" applyAlignment="0" applyProtection="0"/>
    <xf numFmtId="0" fontId="9" fillId="102" borderId="0" applyNumberFormat="0" applyBorder="0" applyAlignment="0" applyProtection="0"/>
    <xf numFmtId="0" fontId="9" fillId="102" borderId="0" applyNumberFormat="0" applyBorder="0" applyAlignment="0" applyProtection="0"/>
    <xf numFmtId="0" fontId="9" fillId="102" borderId="0" applyNumberFormat="0" applyBorder="0" applyAlignment="0" applyProtection="0"/>
    <xf numFmtId="0" fontId="9" fillId="102" borderId="0" applyNumberFormat="0" applyBorder="0" applyAlignment="0" applyProtection="0"/>
    <xf numFmtId="0" fontId="9" fillId="102" borderId="0" applyNumberFormat="0" applyBorder="0" applyAlignment="0" applyProtection="0"/>
    <xf numFmtId="0" fontId="9" fillId="102" borderId="0" applyNumberFormat="0" applyBorder="0" applyAlignment="0" applyProtection="0"/>
    <xf numFmtId="0" fontId="9" fillId="102" borderId="0" applyNumberFormat="0" applyBorder="0" applyAlignment="0" applyProtection="0"/>
    <xf numFmtId="0" fontId="9" fillId="102" borderId="0" applyNumberFormat="0" applyBorder="0" applyAlignment="0" applyProtection="0"/>
    <xf numFmtId="0" fontId="9" fillId="102" borderId="0" applyNumberFormat="0" applyBorder="0" applyAlignment="0" applyProtection="0"/>
    <xf numFmtId="0" fontId="9" fillId="102" borderId="0" applyNumberFormat="0" applyBorder="0" applyAlignment="0" applyProtection="0"/>
    <xf numFmtId="0" fontId="9" fillId="102" borderId="0" applyNumberFormat="0" applyBorder="0" applyAlignment="0" applyProtection="0"/>
    <xf numFmtId="0" fontId="9" fillId="102" borderId="0" applyNumberFormat="0" applyBorder="0" applyAlignment="0" applyProtection="0"/>
    <xf numFmtId="0" fontId="9" fillId="102" borderId="0" applyNumberFormat="0" applyBorder="0" applyAlignment="0" applyProtection="0"/>
    <xf numFmtId="0" fontId="9" fillId="102" borderId="0" applyNumberFormat="0" applyBorder="0" applyAlignment="0" applyProtection="0"/>
    <xf numFmtId="0" fontId="9" fillId="102" borderId="0" applyNumberFormat="0" applyBorder="0" applyAlignment="0" applyProtection="0"/>
    <xf numFmtId="0" fontId="9" fillId="102" borderId="0" applyNumberFormat="0" applyBorder="0" applyAlignment="0" applyProtection="0"/>
    <xf numFmtId="0" fontId="9" fillId="102" borderId="0" applyNumberFormat="0" applyBorder="0" applyAlignment="0" applyProtection="0"/>
    <xf numFmtId="0" fontId="9" fillId="102" borderId="0" applyNumberFormat="0" applyBorder="0" applyAlignment="0" applyProtection="0"/>
    <xf numFmtId="0" fontId="9" fillId="102" borderId="0" applyNumberFormat="0" applyBorder="0" applyAlignment="0" applyProtection="0"/>
    <xf numFmtId="0" fontId="9" fillId="102" borderId="0" applyNumberFormat="0" applyBorder="0" applyAlignment="0" applyProtection="0"/>
    <xf numFmtId="0" fontId="9" fillId="102" borderId="0" applyNumberFormat="0" applyBorder="0" applyAlignment="0" applyProtection="0"/>
    <xf numFmtId="0" fontId="9" fillId="102" borderId="0" applyNumberFormat="0" applyBorder="0" applyAlignment="0" applyProtection="0"/>
    <xf numFmtId="0" fontId="9" fillId="102" borderId="0" applyNumberFormat="0" applyBorder="0" applyAlignment="0" applyProtection="0"/>
    <xf numFmtId="0" fontId="9" fillId="102" borderId="0" applyNumberFormat="0" applyBorder="0" applyAlignment="0" applyProtection="0"/>
    <xf numFmtId="0" fontId="9" fillId="102" borderId="0" applyNumberFormat="0" applyBorder="0" applyAlignment="0" applyProtection="0"/>
    <xf numFmtId="0" fontId="9" fillId="102" borderId="0" applyNumberFormat="0" applyBorder="0" applyAlignment="0" applyProtection="0"/>
    <xf numFmtId="0" fontId="9" fillId="102" borderId="0" applyNumberFormat="0" applyBorder="0" applyAlignment="0" applyProtection="0"/>
    <xf numFmtId="0" fontId="9" fillId="102" borderId="0" applyNumberFormat="0" applyBorder="0" applyAlignment="0" applyProtection="0"/>
    <xf numFmtId="0" fontId="9" fillId="102" borderId="0" applyNumberFormat="0" applyBorder="0" applyAlignment="0" applyProtection="0"/>
    <xf numFmtId="0" fontId="9" fillId="102" borderId="0" applyNumberFormat="0" applyBorder="0" applyAlignment="0" applyProtection="0"/>
    <xf numFmtId="0" fontId="9" fillId="102" borderId="0" applyNumberFormat="0" applyBorder="0" applyAlignment="0" applyProtection="0"/>
    <xf numFmtId="0" fontId="9" fillId="102" borderId="0" applyNumberFormat="0" applyBorder="0" applyAlignment="0" applyProtection="0"/>
    <xf numFmtId="0" fontId="9" fillId="102" borderId="0" applyNumberFormat="0" applyBorder="0" applyAlignment="0" applyProtection="0"/>
    <xf numFmtId="0" fontId="9" fillId="102" borderId="0" applyNumberFormat="0" applyBorder="0" applyAlignment="0" applyProtection="0"/>
    <xf numFmtId="0" fontId="9" fillId="102" borderId="0" applyNumberFormat="0" applyBorder="0" applyAlignment="0" applyProtection="0"/>
    <xf numFmtId="0" fontId="9" fillId="102" borderId="0" applyNumberFormat="0" applyBorder="0" applyAlignment="0" applyProtection="0"/>
    <xf numFmtId="0" fontId="9" fillId="102" borderId="0" applyNumberFormat="0" applyBorder="0" applyAlignment="0" applyProtection="0"/>
    <xf numFmtId="0" fontId="9" fillId="102" borderId="0" applyNumberFormat="0" applyBorder="0" applyAlignment="0" applyProtection="0"/>
    <xf numFmtId="0" fontId="9" fillId="102" borderId="0" applyNumberFormat="0" applyBorder="0" applyAlignment="0" applyProtection="0"/>
    <xf numFmtId="0" fontId="9" fillId="102" borderId="0" applyNumberFormat="0" applyBorder="0" applyAlignment="0" applyProtection="0"/>
    <xf numFmtId="0" fontId="9" fillId="102" borderId="0" applyNumberFormat="0" applyBorder="0" applyAlignment="0" applyProtection="0"/>
    <xf numFmtId="0" fontId="9" fillId="102" borderId="0" applyNumberFormat="0" applyBorder="0" applyAlignment="0" applyProtection="0"/>
    <xf numFmtId="0" fontId="9" fillId="102" borderId="0" applyNumberFormat="0" applyBorder="0" applyAlignment="0" applyProtection="0"/>
    <xf numFmtId="0" fontId="9" fillId="102" borderId="0" applyNumberFormat="0" applyBorder="0" applyAlignment="0" applyProtection="0"/>
    <xf numFmtId="0" fontId="9" fillId="102" borderId="0" applyNumberFormat="0" applyBorder="0" applyAlignment="0" applyProtection="0"/>
    <xf numFmtId="0" fontId="9" fillId="102" borderId="0" applyNumberFormat="0" applyBorder="0" applyAlignment="0" applyProtection="0"/>
    <xf numFmtId="0" fontId="9" fillId="102" borderId="0" applyNumberFormat="0" applyBorder="0" applyAlignment="0" applyProtection="0"/>
    <xf numFmtId="0" fontId="9" fillId="102" borderId="0" applyNumberFormat="0" applyBorder="0" applyAlignment="0" applyProtection="0"/>
    <xf numFmtId="0" fontId="9" fillId="102" borderId="0" applyNumberFormat="0" applyBorder="0" applyAlignment="0" applyProtection="0"/>
    <xf numFmtId="0" fontId="9" fillId="102" borderId="0" applyNumberFormat="0" applyBorder="0" applyAlignment="0" applyProtection="0"/>
    <xf numFmtId="0" fontId="9" fillId="102" borderId="0" applyNumberFormat="0" applyBorder="0" applyAlignment="0" applyProtection="0"/>
    <xf numFmtId="0" fontId="9" fillId="89" borderId="0" applyNumberFormat="0" applyBorder="0" applyAlignment="0" applyProtection="0"/>
    <xf numFmtId="0" fontId="9" fillId="89" borderId="0" applyNumberFormat="0" applyBorder="0" applyAlignment="0" applyProtection="0"/>
    <xf numFmtId="0" fontId="9" fillId="89" borderId="0" applyNumberFormat="0" applyBorder="0" applyAlignment="0" applyProtection="0"/>
    <xf numFmtId="0" fontId="9" fillId="89" borderId="0" applyNumberFormat="0" applyBorder="0" applyAlignment="0" applyProtection="0"/>
    <xf numFmtId="0" fontId="9" fillId="89" borderId="0" applyNumberFormat="0" applyBorder="0" applyAlignment="0" applyProtection="0"/>
    <xf numFmtId="0" fontId="9" fillId="89" borderId="0" applyNumberFormat="0" applyBorder="0" applyAlignment="0" applyProtection="0"/>
    <xf numFmtId="0" fontId="9" fillId="89" borderId="0" applyNumberFormat="0" applyBorder="0" applyAlignment="0" applyProtection="0"/>
    <xf numFmtId="0" fontId="9" fillId="89" borderId="0" applyNumberFormat="0" applyBorder="0" applyAlignment="0" applyProtection="0"/>
    <xf numFmtId="0" fontId="9" fillId="89" borderId="0" applyNumberFormat="0" applyBorder="0" applyAlignment="0" applyProtection="0"/>
    <xf numFmtId="0" fontId="9" fillId="89" borderId="0" applyNumberFormat="0" applyBorder="0" applyAlignment="0" applyProtection="0"/>
    <xf numFmtId="0" fontId="9" fillId="89" borderId="0" applyNumberFormat="0" applyBorder="0" applyAlignment="0" applyProtection="0"/>
    <xf numFmtId="0" fontId="9" fillId="89" borderId="0" applyNumberFormat="0" applyBorder="0" applyAlignment="0" applyProtection="0"/>
    <xf numFmtId="0" fontId="9" fillId="89" borderId="0" applyNumberFormat="0" applyBorder="0" applyAlignment="0" applyProtection="0"/>
    <xf numFmtId="0" fontId="9" fillId="89" borderId="0" applyNumberFormat="0" applyBorder="0" applyAlignment="0" applyProtection="0"/>
    <xf numFmtId="0" fontId="9" fillId="89" borderId="0" applyNumberFormat="0" applyBorder="0" applyAlignment="0" applyProtection="0"/>
    <xf numFmtId="0" fontId="9" fillId="89" borderId="0" applyNumberFormat="0" applyBorder="0" applyAlignment="0" applyProtection="0"/>
    <xf numFmtId="0" fontId="9" fillId="89" borderId="0" applyNumberFormat="0" applyBorder="0" applyAlignment="0" applyProtection="0"/>
    <xf numFmtId="0" fontId="9" fillId="89" borderId="0" applyNumberFormat="0" applyBorder="0" applyAlignment="0" applyProtection="0"/>
    <xf numFmtId="0" fontId="9" fillId="89" borderId="0" applyNumberFormat="0" applyBorder="0" applyAlignment="0" applyProtection="0"/>
    <xf numFmtId="0" fontId="9" fillId="89" borderId="0" applyNumberFormat="0" applyBorder="0" applyAlignment="0" applyProtection="0"/>
    <xf numFmtId="0" fontId="9" fillId="89" borderId="0" applyNumberFormat="0" applyBorder="0" applyAlignment="0" applyProtection="0"/>
    <xf numFmtId="0" fontId="9" fillId="89" borderId="0" applyNumberFormat="0" applyBorder="0" applyAlignment="0" applyProtection="0"/>
    <xf numFmtId="0" fontId="9" fillId="89" borderId="0" applyNumberFormat="0" applyBorder="0" applyAlignment="0" applyProtection="0"/>
    <xf numFmtId="0" fontId="9" fillId="89" borderId="0" applyNumberFormat="0" applyBorder="0" applyAlignment="0" applyProtection="0"/>
    <xf numFmtId="0" fontId="9" fillId="89" borderId="0" applyNumberFormat="0" applyBorder="0" applyAlignment="0" applyProtection="0"/>
    <xf numFmtId="0" fontId="9" fillId="89" borderId="0" applyNumberFormat="0" applyBorder="0" applyAlignment="0" applyProtection="0"/>
    <xf numFmtId="0" fontId="9" fillId="89" borderId="0" applyNumberFormat="0" applyBorder="0" applyAlignment="0" applyProtection="0"/>
    <xf numFmtId="0" fontId="9" fillId="89" borderId="0" applyNumberFormat="0" applyBorder="0" applyAlignment="0" applyProtection="0"/>
    <xf numFmtId="0" fontId="9" fillId="89" borderId="0" applyNumberFormat="0" applyBorder="0" applyAlignment="0" applyProtection="0"/>
    <xf numFmtId="0" fontId="9" fillId="89" borderId="0" applyNumberFormat="0" applyBorder="0" applyAlignment="0" applyProtection="0"/>
    <xf numFmtId="0" fontId="9" fillId="89" borderId="0" applyNumberFormat="0" applyBorder="0" applyAlignment="0" applyProtection="0"/>
    <xf numFmtId="0" fontId="9" fillId="89" borderId="0" applyNumberFormat="0" applyBorder="0" applyAlignment="0" applyProtection="0"/>
    <xf numFmtId="0" fontId="9" fillId="89" borderId="0" applyNumberFormat="0" applyBorder="0" applyAlignment="0" applyProtection="0"/>
    <xf numFmtId="0" fontId="9" fillId="89" borderId="0" applyNumberFormat="0" applyBorder="0" applyAlignment="0" applyProtection="0"/>
    <xf numFmtId="0" fontId="9" fillId="89" borderId="0" applyNumberFormat="0" applyBorder="0" applyAlignment="0" applyProtection="0"/>
    <xf numFmtId="0" fontId="9" fillId="89" borderId="0" applyNumberFormat="0" applyBorder="0" applyAlignment="0" applyProtection="0"/>
    <xf numFmtId="0" fontId="9" fillId="89" borderId="0" applyNumberFormat="0" applyBorder="0" applyAlignment="0" applyProtection="0"/>
    <xf numFmtId="0" fontId="9" fillId="89" borderId="0" applyNumberFormat="0" applyBorder="0" applyAlignment="0" applyProtection="0"/>
    <xf numFmtId="0" fontId="9" fillId="89" borderId="0" applyNumberFormat="0" applyBorder="0" applyAlignment="0" applyProtection="0"/>
    <xf numFmtId="0" fontId="9" fillId="89" borderId="0" applyNumberFormat="0" applyBorder="0" applyAlignment="0" applyProtection="0"/>
    <xf numFmtId="0" fontId="9" fillId="89" borderId="0" applyNumberFormat="0" applyBorder="0" applyAlignment="0" applyProtection="0"/>
    <xf numFmtId="0" fontId="9" fillId="89" borderId="0" applyNumberFormat="0" applyBorder="0" applyAlignment="0" applyProtection="0"/>
    <xf numFmtId="0" fontId="9" fillId="89" borderId="0" applyNumberFormat="0" applyBorder="0" applyAlignment="0" applyProtection="0"/>
    <xf numFmtId="0" fontId="9" fillId="89" borderId="0" applyNumberFormat="0" applyBorder="0" applyAlignment="0" applyProtection="0"/>
    <xf numFmtId="0" fontId="9" fillId="89" borderId="0" applyNumberFormat="0" applyBorder="0" applyAlignment="0" applyProtection="0"/>
    <xf numFmtId="0" fontId="9" fillId="89" borderId="0" applyNumberFormat="0" applyBorder="0" applyAlignment="0" applyProtection="0"/>
    <xf numFmtId="0" fontId="9" fillId="89" borderId="0" applyNumberFormat="0" applyBorder="0" applyAlignment="0" applyProtection="0"/>
    <xf numFmtId="0" fontId="9" fillId="89" borderId="0" applyNumberFormat="0" applyBorder="0" applyAlignment="0" applyProtection="0"/>
    <xf numFmtId="0" fontId="9" fillId="89" borderId="0" applyNumberFormat="0" applyBorder="0" applyAlignment="0" applyProtection="0"/>
    <xf numFmtId="0" fontId="9" fillId="89" borderId="0" applyNumberFormat="0" applyBorder="0" applyAlignment="0" applyProtection="0"/>
    <xf numFmtId="0" fontId="9" fillId="89" borderId="0" applyNumberFormat="0" applyBorder="0" applyAlignment="0" applyProtection="0"/>
    <xf numFmtId="0" fontId="9" fillId="89" borderId="0" applyNumberFormat="0" applyBorder="0" applyAlignment="0" applyProtection="0"/>
    <xf numFmtId="0" fontId="9" fillId="89" borderId="0" applyNumberFormat="0" applyBorder="0" applyAlignment="0" applyProtection="0"/>
    <xf numFmtId="0" fontId="9" fillId="89" borderId="0" applyNumberFormat="0" applyBorder="0" applyAlignment="0" applyProtection="0"/>
    <xf numFmtId="0" fontId="9" fillId="89" borderId="0" applyNumberFormat="0" applyBorder="0" applyAlignment="0" applyProtection="0"/>
    <xf numFmtId="0" fontId="9" fillId="89" borderId="0" applyNumberFormat="0" applyBorder="0" applyAlignment="0" applyProtection="0"/>
    <xf numFmtId="0" fontId="9" fillId="89" borderId="0" applyNumberFormat="0" applyBorder="0" applyAlignment="0" applyProtection="0"/>
    <xf numFmtId="0" fontId="9" fillId="93" borderId="0" applyNumberFormat="0" applyBorder="0" applyAlignment="0" applyProtection="0"/>
    <xf numFmtId="0" fontId="9" fillId="93" borderId="0" applyNumberFormat="0" applyBorder="0" applyAlignment="0" applyProtection="0"/>
    <xf numFmtId="0" fontId="9" fillId="93" borderId="0" applyNumberFormat="0" applyBorder="0" applyAlignment="0" applyProtection="0"/>
    <xf numFmtId="0" fontId="9" fillId="93" borderId="0" applyNumberFormat="0" applyBorder="0" applyAlignment="0" applyProtection="0"/>
    <xf numFmtId="0" fontId="9" fillId="93" borderId="0" applyNumberFormat="0" applyBorder="0" applyAlignment="0" applyProtection="0"/>
    <xf numFmtId="0" fontId="9" fillId="93" borderId="0" applyNumberFormat="0" applyBorder="0" applyAlignment="0" applyProtection="0"/>
    <xf numFmtId="0" fontId="9" fillId="93" borderId="0" applyNumberFormat="0" applyBorder="0" applyAlignment="0" applyProtection="0"/>
    <xf numFmtId="0" fontId="9" fillId="93" borderId="0" applyNumberFormat="0" applyBorder="0" applyAlignment="0" applyProtection="0"/>
    <xf numFmtId="0" fontId="9" fillId="93" borderId="0" applyNumberFormat="0" applyBorder="0" applyAlignment="0" applyProtection="0"/>
    <xf numFmtId="0" fontId="9" fillId="93" borderId="0" applyNumberFormat="0" applyBorder="0" applyAlignment="0" applyProtection="0"/>
    <xf numFmtId="0" fontId="9" fillId="93" borderId="0" applyNumberFormat="0" applyBorder="0" applyAlignment="0" applyProtection="0"/>
    <xf numFmtId="0" fontId="9" fillId="93" borderId="0" applyNumberFormat="0" applyBorder="0" applyAlignment="0" applyProtection="0"/>
    <xf numFmtId="0" fontId="9" fillId="93" borderId="0" applyNumberFormat="0" applyBorder="0" applyAlignment="0" applyProtection="0"/>
    <xf numFmtId="0" fontId="9" fillId="93" borderId="0" applyNumberFormat="0" applyBorder="0" applyAlignment="0" applyProtection="0"/>
    <xf numFmtId="0" fontId="9" fillId="93" borderId="0" applyNumberFormat="0" applyBorder="0" applyAlignment="0" applyProtection="0"/>
    <xf numFmtId="0" fontId="9" fillId="93" borderId="0" applyNumberFormat="0" applyBorder="0" applyAlignment="0" applyProtection="0"/>
    <xf numFmtId="0" fontId="9" fillId="93" borderId="0" applyNumberFormat="0" applyBorder="0" applyAlignment="0" applyProtection="0"/>
    <xf numFmtId="0" fontId="9" fillId="93" borderId="0" applyNumberFormat="0" applyBorder="0" applyAlignment="0" applyProtection="0"/>
    <xf numFmtId="0" fontId="9" fillId="93" borderId="0" applyNumberFormat="0" applyBorder="0" applyAlignment="0" applyProtection="0"/>
    <xf numFmtId="0" fontId="9" fillId="93" borderId="0" applyNumberFormat="0" applyBorder="0" applyAlignment="0" applyProtection="0"/>
    <xf numFmtId="0" fontId="9" fillId="93" borderId="0" applyNumberFormat="0" applyBorder="0" applyAlignment="0" applyProtection="0"/>
    <xf numFmtId="0" fontId="9" fillId="93" borderId="0" applyNumberFormat="0" applyBorder="0" applyAlignment="0" applyProtection="0"/>
    <xf numFmtId="0" fontId="9" fillId="93" borderId="0" applyNumberFormat="0" applyBorder="0" applyAlignment="0" applyProtection="0"/>
    <xf numFmtId="0" fontId="9" fillId="93" borderId="0" applyNumberFormat="0" applyBorder="0" applyAlignment="0" applyProtection="0"/>
    <xf numFmtId="0" fontId="9" fillId="93" borderId="0" applyNumberFormat="0" applyBorder="0" applyAlignment="0" applyProtection="0"/>
    <xf numFmtId="0" fontId="9" fillId="93" borderId="0" applyNumberFormat="0" applyBorder="0" applyAlignment="0" applyProtection="0"/>
    <xf numFmtId="0" fontId="9" fillId="93" borderId="0" applyNumberFormat="0" applyBorder="0" applyAlignment="0" applyProtection="0"/>
    <xf numFmtId="0" fontId="9" fillId="93" borderId="0" applyNumberFormat="0" applyBorder="0" applyAlignment="0" applyProtection="0"/>
    <xf numFmtId="0" fontId="9" fillId="93" borderId="0" applyNumberFormat="0" applyBorder="0" applyAlignment="0" applyProtection="0"/>
    <xf numFmtId="0" fontId="9" fillId="93" borderId="0" applyNumberFormat="0" applyBorder="0" applyAlignment="0" applyProtection="0"/>
    <xf numFmtId="0" fontId="9" fillId="93" borderId="0" applyNumberFormat="0" applyBorder="0" applyAlignment="0" applyProtection="0"/>
    <xf numFmtId="0" fontId="9" fillId="93" borderId="0" applyNumberFormat="0" applyBorder="0" applyAlignment="0" applyProtection="0"/>
    <xf numFmtId="0" fontId="9" fillId="93" borderId="0" applyNumberFormat="0" applyBorder="0" applyAlignment="0" applyProtection="0"/>
    <xf numFmtId="0" fontId="9" fillId="93" borderId="0" applyNumberFormat="0" applyBorder="0" applyAlignment="0" applyProtection="0"/>
    <xf numFmtId="0" fontId="9" fillId="93" borderId="0" applyNumberFormat="0" applyBorder="0" applyAlignment="0" applyProtection="0"/>
    <xf numFmtId="0" fontId="9" fillId="93" borderId="0" applyNumberFormat="0" applyBorder="0" applyAlignment="0" applyProtection="0"/>
    <xf numFmtId="0" fontId="9" fillId="93" borderId="0" applyNumberFormat="0" applyBorder="0" applyAlignment="0" applyProtection="0"/>
    <xf numFmtId="0" fontId="9" fillId="93" borderId="0" applyNumberFormat="0" applyBorder="0" applyAlignment="0" applyProtection="0"/>
    <xf numFmtId="0" fontId="9" fillId="93" borderId="0" applyNumberFormat="0" applyBorder="0" applyAlignment="0" applyProtection="0"/>
    <xf numFmtId="0" fontId="9" fillId="93" borderId="0" applyNumberFormat="0" applyBorder="0" applyAlignment="0" applyProtection="0"/>
    <xf numFmtId="0" fontId="9" fillId="93" borderId="0" applyNumberFormat="0" applyBorder="0" applyAlignment="0" applyProtection="0"/>
    <xf numFmtId="0" fontId="9" fillId="93" borderId="0" applyNumberFormat="0" applyBorder="0" applyAlignment="0" applyProtection="0"/>
    <xf numFmtId="0" fontId="9" fillId="93" borderId="0" applyNumberFormat="0" applyBorder="0" applyAlignment="0" applyProtection="0"/>
    <xf numFmtId="0" fontId="9" fillId="93" borderId="0" applyNumberFormat="0" applyBorder="0" applyAlignment="0" applyProtection="0"/>
    <xf numFmtId="0" fontId="9" fillId="93" borderId="0" applyNumberFormat="0" applyBorder="0" applyAlignment="0" applyProtection="0"/>
    <xf numFmtId="0" fontId="9" fillId="93" borderId="0" applyNumberFormat="0" applyBorder="0" applyAlignment="0" applyProtection="0"/>
    <xf numFmtId="0" fontId="9" fillId="93" borderId="0" applyNumberFormat="0" applyBorder="0" applyAlignment="0" applyProtection="0"/>
    <xf numFmtId="0" fontId="9" fillId="93" borderId="0" applyNumberFormat="0" applyBorder="0" applyAlignment="0" applyProtection="0"/>
    <xf numFmtId="0" fontId="9" fillId="93" borderId="0" applyNumberFormat="0" applyBorder="0" applyAlignment="0" applyProtection="0"/>
    <xf numFmtId="0" fontId="9" fillId="93" borderId="0" applyNumberFormat="0" applyBorder="0" applyAlignment="0" applyProtection="0"/>
    <xf numFmtId="0" fontId="9" fillId="93" borderId="0" applyNumberFormat="0" applyBorder="0" applyAlignment="0" applyProtection="0"/>
    <xf numFmtId="0" fontId="9" fillId="93" borderId="0" applyNumberFormat="0" applyBorder="0" applyAlignment="0" applyProtection="0"/>
    <xf numFmtId="0" fontId="9" fillId="93" borderId="0" applyNumberFormat="0" applyBorder="0" applyAlignment="0" applyProtection="0"/>
    <xf numFmtId="0" fontId="9" fillId="93" borderId="0" applyNumberFormat="0" applyBorder="0" applyAlignment="0" applyProtection="0"/>
    <xf numFmtId="0" fontId="9" fillId="93" borderId="0" applyNumberFormat="0" applyBorder="0" applyAlignment="0" applyProtection="0"/>
    <xf numFmtId="0" fontId="9" fillId="93" borderId="0" applyNumberFormat="0" applyBorder="0" applyAlignment="0" applyProtection="0"/>
    <xf numFmtId="0" fontId="9" fillId="93" borderId="0" applyNumberFormat="0" applyBorder="0" applyAlignment="0" applyProtection="0"/>
    <xf numFmtId="0" fontId="9" fillId="97" borderId="0" applyNumberFormat="0" applyBorder="0" applyAlignment="0" applyProtection="0"/>
    <xf numFmtId="0" fontId="9" fillId="97" borderId="0" applyNumberFormat="0" applyBorder="0" applyAlignment="0" applyProtection="0"/>
    <xf numFmtId="0" fontId="9" fillId="97" borderId="0" applyNumberFormat="0" applyBorder="0" applyAlignment="0" applyProtection="0"/>
    <xf numFmtId="0" fontId="9" fillId="97" borderId="0" applyNumberFormat="0" applyBorder="0" applyAlignment="0" applyProtection="0"/>
    <xf numFmtId="0" fontId="9" fillId="97" borderId="0" applyNumberFormat="0" applyBorder="0" applyAlignment="0" applyProtection="0"/>
    <xf numFmtId="0" fontId="9" fillId="97" borderId="0" applyNumberFormat="0" applyBorder="0" applyAlignment="0" applyProtection="0"/>
    <xf numFmtId="0" fontId="9" fillId="97" borderId="0" applyNumberFormat="0" applyBorder="0" applyAlignment="0" applyProtection="0"/>
    <xf numFmtId="0" fontId="9" fillId="97" borderId="0" applyNumberFormat="0" applyBorder="0" applyAlignment="0" applyProtection="0"/>
    <xf numFmtId="0" fontId="9" fillId="97" borderId="0" applyNumberFormat="0" applyBorder="0" applyAlignment="0" applyProtection="0"/>
    <xf numFmtId="0" fontId="9" fillId="97" borderId="0" applyNumberFormat="0" applyBorder="0" applyAlignment="0" applyProtection="0"/>
    <xf numFmtId="0" fontId="9" fillId="97" borderId="0" applyNumberFormat="0" applyBorder="0" applyAlignment="0" applyProtection="0"/>
    <xf numFmtId="0" fontId="9" fillId="97" borderId="0" applyNumberFormat="0" applyBorder="0" applyAlignment="0" applyProtection="0"/>
    <xf numFmtId="0" fontId="9" fillId="97" borderId="0" applyNumberFormat="0" applyBorder="0" applyAlignment="0" applyProtection="0"/>
    <xf numFmtId="0" fontId="9" fillId="97" borderId="0" applyNumberFormat="0" applyBorder="0" applyAlignment="0" applyProtection="0"/>
    <xf numFmtId="0" fontId="9" fillId="97" borderId="0" applyNumberFormat="0" applyBorder="0" applyAlignment="0" applyProtection="0"/>
    <xf numFmtId="0" fontId="9" fillId="97" borderId="0" applyNumberFormat="0" applyBorder="0" applyAlignment="0" applyProtection="0"/>
    <xf numFmtId="0" fontId="9" fillId="97" borderId="0" applyNumberFormat="0" applyBorder="0" applyAlignment="0" applyProtection="0"/>
    <xf numFmtId="0" fontId="9" fillId="97" borderId="0" applyNumberFormat="0" applyBorder="0" applyAlignment="0" applyProtection="0"/>
    <xf numFmtId="0" fontId="9" fillId="97" borderId="0" applyNumberFormat="0" applyBorder="0" applyAlignment="0" applyProtection="0"/>
    <xf numFmtId="0" fontId="9" fillId="97" borderId="0" applyNumberFormat="0" applyBorder="0" applyAlignment="0" applyProtection="0"/>
    <xf numFmtId="0" fontId="9" fillId="97" borderId="0" applyNumberFormat="0" applyBorder="0" applyAlignment="0" applyProtection="0"/>
    <xf numFmtId="0" fontId="9" fillId="97" borderId="0" applyNumberFormat="0" applyBorder="0" applyAlignment="0" applyProtection="0"/>
    <xf numFmtId="0" fontId="9" fillId="97" borderId="0" applyNumberFormat="0" applyBorder="0" applyAlignment="0" applyProtection="0"/>
    <xf numFmtId="0" fontId="9" fillId="97" borderId="0" applyNumberFormat="0" applyBorder="0" applyAlignment="0" applyProtection="0"/>
    <xf numFmtId="0" fontId="9" fillId="97" borderId="0" applyNumberFormat="0" applyBorder="0" applyAlignment="0" applyProtection="0"/>
    <xf numFmtId="0" fontId="9" fillId="97" borderId="0" applyNumberFormat="0" applyBorder="0" applyAlignment="0" applyProtection="0"/>
    <xf numFmtId="0" fontId="9" fillId="97" borderId="0" applyNumberFormat="0" applyBorder="0" applyAlignment="0" applyProtection="0"/>
    <xf numFmtId="0" fontId="9" fillId="97" borderId="0" applyNumberFormat="0" applyBorder="0" applyAlignment="0" applyProtection="0"/>
    <xf numFmtId="0" fontId="9" fillId="97" borderId="0" applyNumberFormat="0" applyBorder="0" applyAlignment="0" applyProtection="0"/>
    <xf numFmtId="0" fontId="9" fillId="97" borderId="0" applyNumberFormat="0" applyBorder="0" applyAlignment="0" applyProtection="0"/>
    <xf numFmtId="0" fontId="9" fillId="97" borderId="0" applyNumberFormat="0" applyBorder="0" applyAlignment="0" applyProtection="0"/>
    <xf numFmtId="0" fontId="9" fillId="97" borderId="0" applyNumberFormat="0" applyBorder="0" applyAlignment="0" applyProtection="0"/>
    <xf numFmtId="0" fontId="9" fillId="97" borderId="0" applyNumberFormat="0" applyBorder="0" applyAlignment="0" applyProtection="0"/>
    <xf numFmtId="0" fontId="9" fillId="97" borderId="0" applyNumberFormat="0" applyBorder="0" applyAlignment="0" applyProtection="0"/>
    <xf numFmtId="0" fontId="9" fillId="97" borderId="0" applyNumberFormat="0" applyBorder="0" applyAlignment="0" applyProtection="0"/>
    <xf numFmtId="0" fontId="9" fillId="97" borderId="0" applyNumberFormat="0" applyBorder="0" applyAlignment="0" applyProtection="0"/>
    <xf numFmtId="0" fontId="9" fillId="97" borderId="0" applyNumberFormat="0" applyBorder="0" applyAlignment="0" applyProtection="0"/>
    <xf numFmtId="0" fontId="9" fillId="97" borderId="0" applyNumberFormat="0" applyBorder="0" applyAlignment="0" applyProtection="0"/>
    <xf numFmtId="0" fontId="9" fillId="97" borderId="0" applyNumberFormat="0" applyBorder="0" applyAlignment="0" applyProtection="0"/>
    <xf numFmtId="0" fontId="9" fillId="97" borderId="0" applyNumberFormat="0" applyBorder="0" applyAlignment="0" applyProtection="0"/>
    <xf numFmtId="0" fontId="9" fillId="97" borderId="0" applyNumberFormat="0" applyBorder="0" applyAlignment="0" applyProtection="0"/>
    <xf numFmtId="0" fontId="9" fillId="97" borderId="0" applyNumberFormat="0" applyBorder="0" applyAlignment="0" applyProtection="0"/>
    <xf numFmtId="0" fontId="9" fillId="97" borderId="0" applyNumberFormat="0" applyBorder="0" applyAlignment="0" applyProtection="0"/>
    <xf numFmtId="0" fontId="9" fillId="97" borderId="0" applyNumberFormat="0" applyBorder="0" applyAlignment="0" applyProtection="0"/>
    <xf numFmtId="0" fontId="9" fillId="97" borderId="0" applyNumberFormat="0" applyBorder="0" applyAlignment="0" applyProtection="0"/>
    <xf numFmtId="0" fontId="9" fillId="97" borderId="0" applyNumberFormat="0" applyBorder="0" applyAlignment="0" applyProtection="0"/>
    <xf numFmtId="0" fontId="9" fillId="97" borderId="0" applyNumberFormat="0" applyBorder="0" applyAlignment="0" applyProtection="0"/>
    <xf numFmtId="0" fontId="9" fillId="97" borderId="0" applyNumberFormat="0" applyBorder="0" applyAlignment="0" applyProtection="0"/>
    <xf numFmtId="0" fontId="9" fillId="97" borderId="0" applyNumberFormat="0" applyBorder="0" applyAlignment="0" applyProtection="0"/>
    <xf numFmtId="0" fontId="9" fillId="97" borderId="0" applyNumberFormat="0" applyBorder="0" applyAlignment="0" applyProtection="0"/>
    <xf numFmtId="0" fontId="9" fillId="97" borderId="0" applyNumberFormat="0" applyBorder="0" applyAlignment="0" applyProtection="0"/>
    <xf numFmtId="0" fontId="9" fillId="97" borderId="0" applyNumberFormat="0" applyBorder="0" applyAlignment="0" applyProtection="0"/>
    <xf numFmtId="0" fontId="9" fillId="97" borderId="0" applyNumberFormat="0" applyBorder="0" applyAlignment="0" applyProtection="0"/>
    <xf numFmtId="0" fontId="9" fillId="97" borderId="0" applyNumberFormat="0" applyBorder="0" applyAlignment="0" applyProtection="0"/>
    <xf numFmtId="0" fontId="9" fillId="97" borderId="0" applyNumberFormat="0" applyBorder="0" applyAlignment="0" applyProtection="0"/>
    <xf numFmtId="0" fontId="9" fillId="97" borderId="0" applyNumberFormat="0" applyBorder="0" applyAlignment="0" applyProtection="0"/>
    <xf numFmtId="0" fontId="9" fillId="97" borderId="0" applyNumberFormat="0" applyBorder="0" applyAlignment="0" applyProtection="0"/>
    <xf numFmtId="0" fontId="9" fillId="81" borderId="0" applyNumberFormat="0" applyBorder="0" applyAlignment="0" applyProtection="0"/>
    <xf numFmtId="0" fontId="9" fillId="81" borderId="0" applyNumberFormat="0" applyBorder="0" applyAlignment="0" applyProtection="0"/>
    <xf numFmtId="0" fontId="9" fillId="81" borderId="0" applyNumberFormat="0" applyBorder="0" applyAlignment="0" applyProtection="0"/>
    <xf numFmtId="0" fontId="9" fillId="81" borderId="0" applyNumberFormat="0" applyBorder="0" applyAlignment="0" applyProtection="0"/>
    <xf numFmtId="0" fontId="9" fillId="81" borderId="0" applyNumberFormat="0" applyBorder="0" applyAlignment="0" applyProtection="0"/>
    <xf numFmtId="0" fontId="9" fillId="81" borderId="0" applyNumberFormat="0" applyBorder="0" applyAlignment="0" applyProtection="0"/>
    <xf numFmtId="0" fontId="9" fillId="81" borderId="0" applyNumberFormat="0" applyBorder="0" applyAlignment="0" applyProtection="0"/>
    <xf numFmtId="0" fontId="9" fillId="81" borderId="0" applyNumberFormat="0" applyBorder="0" applyAlignment="0" applyProtection="0"/>
    <xf numFmtId="0" fontId="9" fillId="81" borderId="0" applyNumberFormat="0" applyBorder="0" applyAlignment="0" applyProtection="0"/>
    <xf numFmtId="0" fontId="9" fillId="81" borderId="0" applyNumberFormat="0" applyBorder="0" applyAlignment="0" applyProtection="0"/>
    <xf numFmtId="0" fontId="9" fillId="81" borderId="0" applyNumberFormat="0" applyBorder="0" applyAlignment="0" applyProtection="0"/>
    <xf numFmtId="0" fontId="9" fillId="81" borderId="0" applyNumberFormat="0" applyBorder="0" applyAlignment="0" applyProtection="0"/>
    <xf numFmtId="0" fontId="9" fillId="81" borderId="0" applyNumberFormat="0" applyBorder="0" applyAlignment="0" applyProtection="0"/>
    <xf numFmtId="0" fontId="9" fillId="81" borderId="0" applyNumberFormat="0" applyBorder="0" applyAlignment="0" applyProtection="0"/>
    <xf numFmtId="0" fontId="9" fillId="81" borderId="0" applyNumberFormat="0" applyBorder="0" applyAlignment="0" applyProtection="0"/>
    <xf numFmtId="0" fontId="9" fillId="81" borderId="0" applyNumberFormat="0" applyBorder="0" applyAlignment="0" applyProtection="0"/>
    <xf numFmtId="0" fontId="9" fillId="81" borderId="0" applyNumberFormat="0" applyBorder="0" applyAlignment="0" applyProtection="0"/>
    <xf numFmtId="0" fontId="9" fillId="81" borderId="0" applyNumberFormat="0" applyBorder="0" applyAlignment="0" applyProtection="0"/>
    <xf numFmtId="0" fontId="9" fillId="81" borderId="0" applyNumberFormat="0" applyBorder="0" applyAlignment="0" applyProtection="0"/>
    <xf numFmtId="0" fontId="9" fillId="81" borderId="0" applyNumberFormat="0" applyBorder="0" applyAlignment="0" applyProtection="0"/>
    <xf numFmtId="0" fontId="9" fillId="81" borderId="0" applyNumberFormat="0" applyBorder="0" applyAlignment="0" applyProtection="0"/>
    <xf numFmtId="0" fontId="9" fillId="81" borderId="0" applyNumberFormat="0" applyBorder="0" applyAlignment="0" applyProtection="0"/>
    <xf numFmtId="0" fontId="9" fillId="81" borderId="0" applyNumberFormat="0" applyBorder="0" applyAlignment="0" applyProtection="0"/>
    <xf numFmtId="0" fontId="9" fillId="81" borderId="0" applyNumberFormat="0" applyBorder="0" applyAlignment="0" applyProtection="0"/>
    <xf numFmtId="0" fontId="9" fillId="81" borderId="0" applyNumberFormat="0" applyBorder="0" applyAlignment="0" applyProtection="0"/>
    <xf numFmtId="0" fontId="9" fillId="81" borderId="0" applyNumberFormat="0" applyBorder="0" applyAlignment="0" applyProtection="0"/>
    <xf numFmtId="0" fontId="9" fillId="81" borderId="0" applyNumberFormat="0" applyBorder="0" applyAlignment="0" applyProtection="0"/>
    <xf numFmtId="0" fontId="9" fillId="81" borderId="0" applyNumberFormat="0" applyBorder="0" applyAlignment="0" applyProtection="0"/>
    <xf numFmtId="0" fontId="9" fillId="81" borderId="0" applyNumberFormat="0" applyBorder="0" applyAlignment="0" applyProtection="0"/>
    <xf numFmtId="0" fontId="9" fillId="81" borderId="0" applyNumberFormat="0" applyBorder="0" applyAlignment="0" applyProtection="0"/>
    <xf numFmtId="0" fontId="9" fillId="81" borderId="0" applyNumberFormat="0" applyBorder="0" applyAlignment="0" applyProtection="0"/>
    <xf numFmtId="0" fontId="9" fillId="81" borderId="0" applyNumberFormat="0" applyBorder="0" applyAlignment="0" applyProtection="0"/>
    <xf numFmtId="0" fontId="9" fillId="81" borderId="0" applyNumberFormat="0" applyBorder="0" applyAlignment="0" applyProtection="0"/>
    <xf numFmtId="0" fontId="9" fillId="81" borderId="0" applyNumberFormat="0" applyBorder="0" applyAlignment="0" applyProtection="0"/>
    <xf numFmtId="0" fontId="9" fillId="81" borderId="0" applyNumberFormat="0" applyBorder="0" applyAlignment="0" applyProtection="0"/>
    <xf numFmtId="0" fontId="9" fillId="81" borderId="0" applyNumberFormat="0" applyBorder="0" applyAlignment="0" applyProtection="0"/>
    <xf numFmtId="0" fontId="9" fillId="81" borderId="0" applyNumberFormat="0" applyBorder="0" applyAlignment="0" applyProtection="0"/>
    <xf numFmtId="0" fontId="9" fillId="81" borderId="0" applyNumberFormat="0" applyBorder="0" applyAlignment="0" applyProtection="0"/>
    <xf numFmtId="0" fontId="9" fillId="81" borderId="0" applyNumberFormat="0" applyBorder="0" applyAlignment="0" applyProtection="0"/>
    <xf numFmtId="0" fontId="9" fillId="81" borderId="0" applyNumberFormat="0" applyBorder="0" applyAlignment="0" applyProtection="0"/>
    <xf numFmtId="0" fontId="9" fillId="81" borderId="0" applyNumberFormat="0" applyBorder="0" applyAlignment="0" applyProtection="0"/>
    <xf numFmtId="0" fontId="9" fillId="81" borderId="0" applyNumberFormat="0" applyBorder="0" applyAlignment="0" applyProtection="0"/>
    <xf numFmtId="0" fontId="9" fillId="81" borderId="0" applyNumberFormat="0" applyBorder="0" applyAlignment="0" applyProtection="0"/>
    <xf numFmtId="0" fontId="9" fillId="81" borderId="0" applyNumberFormat="0" applyBorder="0" applyAlignment="0" applyProtection="0"/>
    <xf numFmtId="0" fontId="9" fillId="81" borderId="0" applyNumberFormat="0" applyBorder="0" applyAlignment="0" applyProtection="0"/>
    <xf numFmtId="0" fontId="9" fillId="81" borderId="0" applyNumberFormat="0" applyBorder="0" applyAlignment="0" applyProtection="0"/>
    <xf numFmtId="0" fontId="9" fillId="81" borderId="0" applyNumberFormat="0" applyBorder="0" applyAlignment="0" applyProtection="0"/>
    <xf numFmtId="0" fontId="9" fillId="81" borderId="0" applyNumberFormat="0" applyBorder="0" applyAlignment="0" applyProtection="0"/>
    <xf numFmtId="0" fontId="9" fillId="81" borderId="0" applyNumberFormat="0" applyBorder="0" applyAlignment="0" applyProtection="0"/>
    <xf numFmtId="0" fontId="9" fillId="81" borderId="0" applyNumberFormat="0" applyBorder="0" applyAlignment="0" applyProtection="0"/>
    <xf numFmtId="0" fontId="9" fillId="81" borderId="0" applyNumberFormat="0" applyBorder="0" applyAlignment="0" applyProtection="0"/>
    <xf numFmtId="0" fontId="9" fillId="81" borderId="0" applyNumberFormat="0" applyBorder="0" applyAlignment="0" applyProtection="0"/>
    <xf numFmtId="0" fontId="9" fillId="81" borderId="0" applyNumberFormat="0" applyBorder="0" applyAlignment="0" applyProtection="0"/>
    <xf numFmtId="0" fontId="9" fillId="81" borderId="0" applyNumberFormat="0" applyBorder="0" applyAlignment="0" applyProtection="0"/>
    <xf numFmtId="0" fontId="9" fillId="81" borderId="0" applyNumberFormat="0" applyBorder="0" applyAlignment="0" applyProtection="0"/>
    <xf numFmtId="0" fontId="9" fillId="81" borderId="0" applyNumberFormat="0" applyBorder="0" applyAlignment="0" applyProtection="0"/>
    <xf numFmtId="0" fontId="9" fillId="81" borderId="0" applyNumberFormat="0" applyBorder="0" applyAlignment="0" applyProtection="0"/>
    <xf numFmtId="0" fontId="9" fillId="43" borderId="0" applyNumberFormat="0" applyBorder="0" applyAlignment="0" applyProtection="0"/>
    <xf numFmtId="0" fontId="9" fillId="43" borderId="0" applyNumberFormat="0" applyBorder="0" applyAlignment="0" applyProtection="0"/>
    <xf numFmtId="0" fontId="9" fillId="43" borderId="0" applyNumberFormat="0" applyBorder="0" applyAlignment="0" applyProtection="0"/>
    <xf numFmtId="0" fontId="9" fillId="43" borderId="0" applyNumberFormat="0" applyBorder="0" applyAlignment="0" applyProtection="0"/>
    <xf numFmtId="0" fontId="9" fillId="43" borderId="0" applyNumberFormat="0" applyBorder="0" applyAlignment="0" applyProtection="0"/>
    <xf numFmtId="0" fontId="9" fillId="43" borderId="0" applyNumberFormat="0" applyBorder="0" applyAlignment="0" applyProtection="0"/>
    <xf numFmtId="0" fontId="9" fillId="43" borderId="0" applyNumberFormat="0" applyBorder="0" applyAlignment="0" applyProtection="0"/>
    <xf numFmtId="0" fontId="9" fillId="43" borderId="0" applyNumberFormat="0" applyBorder="0" applyAlignment="0" applyProtection="0"/>
    <xf numFmtId="0" fontId="9" fillId="43" borderId="0" applyNumberFormat="0" applyBorder="0" applyAlignment="0" applyProtection="0"/>
    <xf numFmtId="0" fontId="9" fillId="43" borderId="0" applyNumberFormat="0" applyBorder="0" applyAlignment="0" applyProtection="0"/>
    <xf numFmtId="0" fontId="9" fillId="43" borderId="0" applyNumberFormat="0" applyBorder="0" applyAlignment="0" applyProtection="0"/>
    <xf numFmtId="0" fontId="9" fillId="43" borderId="0" applyNumberFormat="0" applyBorder="0" applyAlignment="0" applyProtection="0"/>
    <xf numFmtId="0" fontId="9" fillId="43" borderId="0" applyNumberFormat="0" applyBorder="0" applyAlignment="0" applyProtection="0"/>
    <xf numFmtId="0" fontId="9" fillId="43" borderId="0" applyNumberFormat="0" applyBorder="0" applyAlignment="0" applyProtection="0"/>
    <xf numFmtId="0" fontId="9" fillId="43" borderId="0" applyNumberFormat="0" applyBorder="0" applyAlignment="0" applyProtection="0"/>
    <xf numFmtId="0" fontId="9" fillId="43" borderId="0" applyNumberFormat="0" applyBorder="0" applyAlignment="0" applyProtection="0"/>
    <xf numFmtId="0" fontId="9" fillId="43" borderId="0" applyNumberFormat="0" applyBorder="0" applyAlignment="0" applyProtection="0"/>
    <xf numFmtId="0" fontId="9" fillId="43" borderId="0" applyNumberFormat="0" applyBorder="0" applyAlignment="0" applyProtection="0"/>
    <xf numFmtId="0" fontId="9" fillId="43" borderId="0" applyNumberFormat="0" applyBorder="0" applyAlignment="0" applyProtection="0"/>
    <xf numFmtId="0" fontId="9" fillId="43" borderId="0" applyNumberFormat="0" applyBorder="0" applyAlignment="0" applyProtection="0"/>
    <xf numFmtId="0" fontId="9" fillId="43" borderId="0" applyNumberFormat="0" applyBorder="0" applyAlignment="0" applyProtection="0"/>
    <xf numFmtId="0" fontId="9" fillId="43" borderId="0" applyNumberFormat="0" applyBorder="0" applyAlignment="0" applyProtection="0"/>
    <xf numFmtId="0" fontId="9" fillId="43" borderId="0" applyNumberFormat="0" applyBorder="0" applyAlignment="0" applyProtection="0"/>
    <xf numFmtId="0" fontId="9" fillId="43" borderId="0" applyNumberFormat="0" applyBorder="0" applyAlignment="0" applyProtection="0"/>
    <xf numFmtId="0" fontId="9" fillId="43" borderId="0" applyNumberFormat="0" applyBorder="0" applyAlignment="0" applyProtection="0"/>
    <xf numFmtId="0" fontId="9" fillId="43" borderId="0" applyNumberFormat="0" applyBorder="0" applyAlignment="0" applyProtection="0"/>
    <xf numFmtId="0" fontId="9" fillId="43" borderId="0" applyNumberFormat="0" applyBorder="0" applyAlignment="0" applyProtection="0"/>
    <xf numFmtId="0" fontId="9" fillId="43" borderId="0" applyNumberFormat="0" applyBorder="0" applyAlignment="0" applyProtection="0"/>
    <xf numFmtId="0" fontId="9" fillId="43" borderId="0" applyNumberFormat="0" applyBorder="0" applyAlignment="0" applyProtection="0"/>
    <xf numFmtId="0" fontId="9" fillId="43" borderId="0" applyNumberFormat="0" applyBorder="0" applyAlignment="0" applyProtection="0"/>
    <xf numFmtId="0" fontId="9" fillId="43" borderId="0" applyNumberFormat="0" applyBorder="0" applyAlignment="0" applyProtection="0"/>
    <xf numFmtId="0" fontId="9" fillId="43" borderId="0" applyNumberFormat="0" applyBorder="0" applyAlignment="0" applyProtection="0"/>
    <xf numFmtId="0" fontId="9" fillId="43" borderId="0" applyNumberFormat="0" applyBorder="0" applyAlignment="0" applyProtection="0"/>
    <xf numFmtId="0" fontId="9" fillId="43" borderId="0" applyNumberFormat="0" applyBorder="0" applyAlignment="0" applyProtection="0"/>
    <xf numFmtId="0" fontId="9" fillId="43" borderId="0" applyNumberFormat="0" applyBorder="0" applyAlignment="0" applyProtection="0"/>
    <xf numFmtId="0" fontId="9" fillId="43" borderId="0" applyNumberFormat="0" applyBorder="0" applyAlignment="0" applyProtection="0"/>
    <xf numFmtId="0" fontId="9" fillId="43" borderId="0" applyNumberFormat="0" applyBorder="0" applyAlignment="0" applyProtection="0"/>
    <xf numFmtId="0" fontId="9" fillId="43" borderId="0" applyNumberFormat="0" applyBorder="0" applyAlignment="0" applyProtection="0"/>
    <xf numFmtId="0" fontId="9" fillId="43" borderId="0" applyNumberFormat="0" applyBorder="0" applyAlignment="0" applyProtection="0"/>
    <xf numFmtId="0" fontId="9" fillId="43" borderId="0" applyNumberFormat="0" applyBorder="0" applyAlignment="0" applyProtection="0"/>
    <xf numFmtId="0" fontId="9" fillId="43" borderId="0" applyNumberFormat="0" applyBorder="0" applyAlignment="0" applyProtection="0"/>
    <xf numFmtId="0" fontId="9" fillId="43" borderId="0" applyNumberFormat="0" applyBorder="0" applyAlignment="0" applyProtection="0"/>
    <xf numFmtId="0" fontId="9" fillId="43" borderId="0" applyNumberFormat="0" applyBorder="0" applyAlignment="0" applyProtection="0"/>
    <xf numFmtId="0" fontId="9" fillId="43" borderId="0" applyNumberFormat="0" applyBorder="0" applyAlignment="0" applyProtection="0"/>
    <xf numFmtId="0" fontId="9" fillId="43" borderId="0" applyNumberFormat="0" applyBorder="0" applyAlignment="0" applyProtection="0"/>
    <xf numFmtId="0" fontId="9" fillId="43" borderId="0" applyNumberFormat="0" applyBorder="0" applyAlignment="0" applyProtection="0"/>
    <xf numFmtId="0" fontId="9" fillId="43" borderId="0" applyNumberFormat="0" applyBorder="0" applyAlignment="0" applyProtection="0"/>
    <xf numFmtId="0" fontId="9" fillId="43" borderId="0" applyNumberFormat="0" applyBorder="0" applyAlignment="0" applyProtection="0"/>
    <xf numFmtId="0" fontId="9" fillId="43" borderId="0" applyNumberFormat="0" applyBorder="0" applyAlignment="0" applyProtection="0"/>
    <xf numFmtId="0" fontId="9" fillId="43" borderId="0" applyNumberFormat="0" applyBorder="0" applyAlignment="0" applyProtection="0"/>
    <xf numFmtId="0" fontId="9" fillId="43" borderId="0" applyNumberFormat="0" applyBorder="0" applyAlignment="0" applyProtection="0"/>
    <xf numFmtId="0" fontId="9" fillId="43" borderId="0" applyNumberFormat="0" applyBorder="0" applyAlignment="0" applyProtection="0"/>
    <xf numFmtId="0" fontId="9" fillId="43" borderId="0" applyNumberFormat="0" applyBorder="0" applyAlignment="0" applyProtection="0"/>
    <xf numFmtId="0" fontId="9" fillId="43" borderId="0" applyNumberFormat="0" applyBorder="0" applyAlignment="0" applyProtection="0"/>
    <xf numFmtId="0" fontId="9" fillId="43" borderId="0" applyNumberFormat="0" applyBorder="0" applyAlignment="0" applyProtection="0"/>
    <xf numFmtId="0" fontId="9" fillId="43" borderId="0" applyNumberFormat="0" applyBorder="0" applyAlignment="0" applyProtection="0"/>
    <xf numFmtId="0" fontId="9" fillId="43" borderId="0" applyNumberFormat="0" applyBorder="0" applyAlignment="0" applyProtection="0"/>
    <xf numFmtId="0" fontId="9" fillId="86" borderId="0" applyNumberFormat="0" applyBorder="0" applyAlignment="0" applyProtection="0"/>
    <xf numFmtId="0" fontId="9" fillId="86" borderId="0" applyNumberFormat="0" applyBorder="0" applyAlignment="0" applyProtection="0"/>
    <xf numFmtId="0" fontId="9" fillId="86" borderId="0" applyNumberFormat="0" applyBorder="0" applyAlignment="0" applyProtection="0"/>
    <xf numFmtId="0" fontId="9" fillId="86" borderId="0" applyNumberFormat="0" applyBorder="0" applyAlignment="0" applyProtection="0"/>
    <xf numFmtId="0" fontId="9" fillId="86" borderId="0" applyNumberFormat="0" applyBorder="0" applyAlignment="0" applyProtection="0"/>
    <xf numFmtId="0" fontId="9" fillId="86" borderId="0" applyNumberFormat="0" applyBorder="0" applyAlignment="0" applyProtection="0"/>
    <xf numFmtId="0" fontId="9" fillId="86" borderId="0" applyNumberFormat="0" applyBorder="0" applyAlignment="0" applyProtection="0"/>
    <xf numFmtId="0" fontId="9" fillId="86" borderId="0" applyNumberFormat="0" applyBorder="0" applyAlignment="0" applyProtection="0"/>
    <xf numFmtId="0" fontId="9" fillId="86" borderId="0" applyNumberFormat="0" applyBorder="0" applyAlignment="0" applyProtection="0"/>
    <xf numFmtId="0" fontId="9" fillId="86" borderId="0" applyNumberFormat="0" applyBorder="0" applyAlignment="0" applyProtection="0"/>
    <xf numFmtId="0" fontId="9" fillId="86" borderId="0" applyNumberFormat="0" applyBorder="0" applyAlignment="0" applyProtection="0"/>
    <xf numFmtId="0" fontId="9" fillId="86" borderId="0" applyNumberFormat="0" applyBorder="0" applyAlignment="0" applyProtection="0"/>
    <xf numFmtId="0" fontId="9" fillId="86" borderId="0" applyNumberFormat="0" applyBorder="0" applyAlignment="0" applyProtection="0"/>
    <xf numFmtId="0" fontId="9" fillId="86" borderId="0" applyNumberFormat="0" applyBorder="0" applyAlignment="0" applyProtection="0"/>
    <xf numFmtId="0" fontId="9" fillId="86" borderId="0" applyNumberFormat="0" applyBorder="0" applyAlignment="0" applyProtection="0"/>
    <xf numFmtId="0" fontId="9" fillId="86" borderId="0" applyNumberFormat="0" applyBorder="0" applyAlignment="0" applyProtection="0"/>
    <xf numFmtId="0" fontId="9" fillId="86" borderId="0" applyNumberFormat="0" applyBorder="0" applyAlignment="0" applyProtection="0"/>
    <xf numFmtId="0" fontId="9" fillId="86" borderId="0" applyNumberFormat="0" applyBorder="0" applyAlignment="0" applyProtection="0"/>
    <xf numFmtId="0" fontId="9" fillId="86" borderId="0" applyNumberFormat="0" applyBorder="0" applyAlignment="0" applyProtection="0"/>
    <xf numFmtId="0" fontId="9" fillId="86" borderId="0" applyNumberFormat="0" applyBorder="0" applyAlignment="0" applyProtection="0"/>
    <xf numFmtId="0" fontId="9" fillId="86" borderId="0" applyNumberFormat="0" applyBorder="0" applyAlignment="0" applyProtection="0"/>
    <xf numFmtId="0" fontId="9" fillId="86" borderId="0" applyNumberFormat="0" applyBorder="0" applyAlignment="0" applyProtection="0"/>
    <xf numFmtId="0" fontId="9" fillId="86" borderId="0" applyNumberFormat="0" applyBorder="0" applyAlignment="0" applyProtection="0"/>
    <xf numFmtId="0" fontId="9" fillId="86" borderId="0" applyNumberFormat="0" applyBorder="0" applyAlignment="0" applyProtection="0"/>
    <xf numFmtId="0" fontId="9" fillId="86" borderId="0" applyNumberFormat="0" applyBorder="0" applyAlignment="0" applyProtection="0"/>
    <xf numFmtId="0" fontId="9" fillId="86" borderId="0" applyNumberFormat="0" applyBorder="0" applyAlignment="0" applyProtection="0"/>
    <xf numFmtId="0" fontId="9" fillId="86" borderId="0" applyNumberFormat="0" applyBorder="0" applyAlignment="0" applyProtection="0"/>
    <xf numFmtId="0" fontId="9" fillId="86" borderId="0" applyNumberFormat="0" applyBorder="0" applyAlignment="0" applyProtection="0"/>
    <xf numFmtId="0" fontId="9" fillId="86" borderId="0" applyNumberFormat="0" applyBorder="0" applyAlignment="0" applyProtection="0"/>
    <xf numFmtId="0" fontId="9" fillId="86" borderId="0" applyNumberFormat="0" applyBorder="0" applyAlignment="0" applyProtection="0"/>
    <xf numFmtId="0" fontId="9" fillId="86" borderId="0" applyNumberFormat="0" applyBorder="0" applyAlignment="0" applyProtection="0"/>
    <xf numFmtId="0" fontId="9" fillId="86" borderId="0" applyNumberFormat="0" applyBorder="0" applyAlignment="0" applyProtection="0"/>
    <xf numFmtId="0" fontId="9" fillId="86" borderId="0" applyNumberFormat="0" applyBorder="0" applyAlignment="0" applyProtection="0"/>
    <xf numFmtId="0" fontId="9" fillId="86" borderId="0" applyNumberFormat="0" applyBorder="0" applyAlignment="0" applyProtection="0"/>
    <xf numFmtId="0" fontId="9" fillId="86" borderId="0" applyNumberFormat="0" applyBorder="0" applyAlignment="0" applyProtection="0"/>
    <xf numFmtId="0" fontId="9" fillId="86" borderId="0" applyNumberFormat="0" applyBorder="0" applyAlignment="0" applyProtection="0"/>
    <xf numFmtId="0" fontId="9" fillId="86" borderId="0" applyNumberFormat="0" applyBorder="0" applyAlignment="0" applyProtection="0"/>
    <xf numFmtId="0" fontId="9" fillId="86" borderId="0" applyNumberFormat="0" applyBorder="0" applyAlignment="0" applyProtection="0"/>
    <xf numFmtId="0" fontId="9" fillId="86" borderId="0" applyNumberFormat="0" applyBorder="0" applyAlignment="0" applyProtection="0"/>
    <xf numFmtId="0" fontId="9" fillId="86" borderId="0" applyNumberFormat="0" applyBorder="0" applyAlignment="0" applyProtection="0"/>
    <xf numFmtId="0" fontId="9" fillId="86" borderId="0" applyNumberFormat="0" applyBorder="0" applyAlignment="0" applyProtection="0"/>
    <xf numFmtId="0" fontId="9" fillId="86" borderId="0" applyNumberFormat="0" applyBorder="0" applyAlignment="0" applyProtection="0"/>
    <xf numFmtId="0" fontId="9" fillId="86" borderId="0" applyNumberFormat="0" applyBorder="0" applyAlignment="0" applyProtection="0"/>
    <xf numFmtId="0" fontId="9" fillId="86" borderId="0" applyNumberFormat="0" applyBorder="0" applyAlignment="0" applyProtection="0"/>
    <xf numFmtId="0" fontId="9" fillId="86" borderId="0" applyNumberFormat="0" applyBorder="0" applyAlignment="0" applyProtection="0"/>
    <xf numFmtId="0" fontId="9" fillId="86" borderId="0" applyNumberFormat="0" applyBorder="0" applyAlignment="0" applyProtection="0"/>
    <xf numFmtId="0" fontId="9" fillId="86" borderId="0" applyNumberFormat="0" applyBorder="0" applyAlignment="0" applyProtection="0"/>
    <xf numFmtId="0" fontId="9" fillId="86" borderId="0" applyNumberFormat="0" applyBorder="0" applyAlignment="0" applyProtection="0"/>
    <xf numFmtId="0" fontId="9" fillId="86" borderId="0" applyNumberFormat="0" applyBorder="0" applyAlignment="0" applyProtection="0"/>
    <xf numFmtId="0" fontId="9" fillId="86" borderId="0" applyNumberFormat="0" applyBorder="0" applyAlignment="0" applyProtection="0"/>
    <xf numFmtId="0" fontId="9" fillId="86" borderId="0" applyNumberFormat="0" applyBorder="0" applyAlignment="0" applyProtection="0"/>
    <xf numFmtId="0" fontId="9" fillId="86" borderId="0" applyNumberFormat="0" applyBorder="0" applyAlignment="0" applyProtection="0"/>
    <xf numFmtId="0" fontId="9" fillId="86" borderId="0" applyNumberFormat="0" applyBorder="0" applyAlignment="0" applyProtection="0"/>
    <xf numFmtId="0" fontId="9" fillId="86" borderId="0" applyNumberFormat="0" applyBorder="0" applyAlignment="0" applyProtection="0"/>
    <xf numFmtId="0" fontId="9" fillId="86" borderId="0" applyNumberFormat="0" applyBorder="0" applyAlignment="0" applyProtection="0"/>
    <xf numFmtId="0" fontId="9" fillId="86" borderId="0" applyNumberFormat="0" applyBorder="0" applyAlignment="0" applyProtection="0"/>
    <xf numFmtId="0" fontId="9" fillId="86" borderId="0" applyNumberFormat="0" applyBorder="0" applyAlignment="0" applyProtection="0"/>
    <xf numFmtId="0" fontId="9" fillId="90" borderId="0" applyNumberFormat="0" applyBorder="0" applyAlignment="0" applyProtection="0"/>
    <xf numFmtId="0" fontId="9" fillId="90" borderId="0" applyNumberFormat="0" applyBorder="0" applyAlignment="0" applyProtection="0"/>
    <xf numFmtId="0" fontId="9" fillId="90" borderId="0" applyNumberFormat="0" applyBorder="0" applyAlignment="0" applyProtection="0"/>
    <xf numFmtId="0" fontId="9" fillId="90" borderId="0" applyNumberFormat="0" applyBorder="0" applyAlignment="0" applyProtection="0"/>
    <xf numFmtId="0" fontId="9" fillId="90" borderId="0" applyNumberFormat="0" applyBorder="0" applyAlignment="0" applyProtection="0"/>
    <xf numFmtId="0" fontId="9" fillId="90" borderId="0" applyNumberFormat="0" applyBorder="0" applyAlignment="0" applyProtection="0"/>
    <xf numFmtId="0" fontId="9" fillId="90" borderId="0" applyNumberFormat="0" applyBorder="0" applyAlignment="0" applyProtection="0"/>
    <xf numFmtId="0" fontId="9" fillId="90" borderId="0" applyNumberFormat="0" applyBorder="0" applyAlignment="0" applyProtection="0"/>
    <xf numFmtId="0" fontId="9" fillId="90" borderId="0" applyNumberFormat="0" applyBorder="0" applyAlignment="0" applyProtection="0"/>
    <xf numFmtId="0" fontId="9" fillId="90" borderId="0" applyNumberFormat="0" applyBorder="0" applyAlignment="0" applyProtection="0"/>
    <xf numFmtId="0" fontId="9" fillId="90" borderId="0" applyNumberFormat="0" applyBorder="0" applyAlignment="0" applyProtection="0"/>
    <xf numFmtId="0" fontId="9" fillId="90" borderId="0" applyNumberFormat="0" applyBorder="0" applyAlignment="0" applyProtection="0"/>
    <xf numFmtId="0" fontId="9" fillId="90" borderId="0" applyNumberFormat="0" applyBorder="0" applyAlignment="0" applyProtection="0"/>
    <xf numFmtId="0" fontId="9" fillId="90" borderId="0" applyNumberFormat="0" applyBorder="0" applyAlignment="0" applyProtection="0"/>
    <xf numFmtId="0" fontId="9" fillId="90" borderId="0" applyNumberFormat="0" applyBorder="0" applyAlignment="0" applyProtection="0"/>
    <xf numFmtId="0" fontId="9" fillId="90" borderId="0" applyNumberFormat="0" applyBorder="0" applyAlignment="0" applyProtection="0"/>
    <xf numFmtId="0" fontId="9" fillId="90" borderId="0" applyNumberFormat="0" applyBorder="0" applyAlignment="0" applyProtection="0"/>
    <xf numFmtId="0" fontId="9" fillId="90" borderId="0" applyNumberFormat="0" applyBorder="0" applyAlignment="0" applyProtection="0"/>
    <xf numFmtId="0" fontId="9" fillId="90" borderId="0" applyNumberFormat="0" applyBorder="0" applyAlignment="0" applyProtection="0"/>
    <xf numFmtId="0" fontId="9" fillId="90" borderId="0" applyNumberFormat="0" applyBorder="0" applyAlignment="0" applyProtection="0"/>
    <xf numFmtId="0" fontId="9" fillId="90" borderId="0" applyNumberFormat="0" applyBorder="0" applyAlignment="0" applyProtection="0"/>
    <xf numFmtId="0" fontId="9" fillId="90" borderId="0" applyNumberFormat="0" applyBorder="0" applyAlignment="0" applyProtection="0"/>
    <xf numFmtId="0" fontId="9" fillId="90" borderId="0" applyNumberFormat="0" applyBorder="0" applyAlignment="0" applyProtection="0"/>
    <xf numFmtId="0" fontId="9" fillId="90" borderId="0" applyNumberFormat="0" applyBorder="0" applyAlignment="0" applyProtection="0"/>
    <xf numFmtId="0" fontId="9" fillId="90" borderId="0" applyNumberFormat="0" applyBorder="0" applyAlignment="0" applyProtection="0"/>
    <xf numFmtId="0" fontId="9" fillId="90" borderId="0" applyNumberFormat="0" applyBorder="0" applyAlignment="0" applyProtection="0"/>
    <xf numFmtId="0" fontId="9" fillId="90" borderId="0" applyNumberFormat="0" applyBorder="0" applyAlignment="0" applyProtection="0"/>
    <xf numFmtId="0" fontId="9" fillId="90" borderId="0" applyNumberFormat="0" applyBorder="0" applyAlignment="0" applyProtection="0"/>
    <xf numFmtId="0" fontId="9" fillId="90" borderId="0" applyNumberFormat="0" applyBorder="0" applyAlignment="0" applyProtection="0"/>
    <xf numFmtId="0" fontId="9" fillId="90" borderId="0" applyNumberFormat="0" applyBorder="0" applyAlignment="0" applyProtection="0"/>
    <xf numFmtId="0" fontId="9" fillId="90" borderId="0" applyNumberFormat="0" applyBorder="0" applyAlignment="0" applyProtection="0"/>
    <xf numFmtId="0" fontId="9" fillId="90" borderId="0" applyNumberFormat="0" applyBorder="0" applyAlignment="0" applyProtection="0"/>
    <xf numFmtId="0" fontId="9" fillId="90" borderId="0" applyNumberFormat="0" applyBorder="0" applyAlignment="0" applyProtection="0"/>
    <xf numFmtId="0" fontId="9" fillId="90" borderId="0" applyNumberFormat="0" applyBorder="0" applyAlignment="0" applyProtection="0"/>
    <xf numFmtId="0" fontId="9" fillId="90" borderId="0" applyNumberFormat="0" applyBorder="0" applyAlignment="0" applyProtection="0"/>
    <xf numFmtId="0" fontId="9" fillId="90" borderId="0" applyNumberFormat="0" applyBorder="0" applyAlignment="0" applyProtection="0"/>
    <xf numFmtId="0" fontId="9" fillId="90" borderId="0" applyNumberFormat="0" applyBorder="0" applyAlignment="0" applyProtection="0"/>
    <xf numFmtId="0" fontId="9" fillId="90" borderId="0" applyNumberFormat="0" applyBorder="0" applyAlignment="0" applyProtection="0"/>
    <xf numFmtId="0" fontId="9" fillId="90" borderId="0" applyNumberFormat="0" applyBorder="0" applyAlignment="0" applyProtection="0"/>
    <xf numFmtId="0" fontId="9" fillId="90" borderId="0" applyNumberFormat="0" applyBorder="0" applyAlignment="0" applyProtection="0"/>
    <xf numFmtId="0" fontId="9" fillId="90" borderId="0" applyNumberFormat="0" applyBorder="0" applyAlignment="0" applyProtection="0"/>
    <xf numFmtId="0" fontId="9" fillId="90" borderId="0" applyNumberFormat="0" applyBorder="0" applyAlignment="0" applyProtection="0"/>
    <xf numFmtId="0" fontId="9" fillId="90" borderId="0" applyNumberFormat="0" applyBorder="0" applyAlignment="0" applyProtection="0"/>
    <xf numFmtId="0" fontId="9" fillId="90" borderId="0" applyNumberFormat="0" applyBorder="0" applyAlignment="0" applyProtection="0"/>
    <xf numFmtId="0" fontId="9" fillId="90" borderId="0" applyNumberFormat="0" applyBorder="0" applyAlignment="0" applyProtection="0"/>
    <xf numFmtId="0" fontId="9" fillId="90" borderId="0" applyNumberFormat="0" applyBorder="0" applyAlignment="0" applyProtection="0"/>
    <xf numFmtId="0" fontId="9" fillId="90" borderId="0" applyNumberFormat="0" applyBorder="0" applyAlignment="0" applyProtection="0"/>
    <xf numFmtId="0" fontId="9" fillId="90" borderId="0" applyNumberFormat="0" applyBorder="0" applyAlignment="0" applyProtection="0"/>
    <xf numFmtId="0" fontId="9" fillId="90" borderId="0" applyNumberFormat="0" applyBorder="0" applyAlignment="0" applyProtection="0"/>
    <xf numFmtId="0" fontId="9" fillId="90" borderId="0" applyNumberFormat="0" applyBorder="0" applyAlignment="0" applyProtection="0"/>
    <xf numFmtId="0" fontId="9" fillId="90" borderId="0" applyNumberFormat="0" applyBorder="0" applyAlignment="0" applyProtection="0"/>
    <xf numFmtId="0" fontId="9" fillId="90" borderId="0" applyNumberFormat="0" applyBorder="0" applyAlignment="0" applyProtection="0"/>
    <xf numFmtId="0" fontId="9" fillId="90" borderId="0" applyNumberFormat="0" applyBorder="0" applyAlignment="0" applyProtection="0"/>
    <xf numFmtId="0" fontId="9" fillId="90" borderId="0" applyNumberFormat="0" applyBorder="0" applyAlignment="0" applyProtection="0"/>
    <xf numFmtId="0" fontId="9" fillId="90" borderId="0" applyNumberFormat="0" applyBorder="0" applyAlignment="0" applyProtection="0"/>
    <xf numFmtId="0" fontId="9" fillId="90" borderId="0" applyNumberFormat="0" applyBorder="0" applyAlignment="0" applyProtection="0"/>
    <xf numFmtId="0" fontId="9" fillId="90" borderId="0" applyNumberFormat="0" applyBorder="0" applyAlignment="0" applyProtection="0"/>
    <xf numFmtId="0" fontId="9" fillId="94" borderId="0" applyNumberFormat="0" applyBorder="0" applyAlignment="0" applyProtection="0"/>
    <xf numFmtId="0" fontId="9" fillId="94" borderId="0" applyNumberFormat="0" applyBorder="0" applyAlignment="0" applyProtection="0"/>
    <xf numFmtId="0" fontId="9" fillId="94" borderId="0" applyNumberFormat="0" applyBorder="0" applyAlignment="0" applyProtection="0"/>
    <xf numFmtId="0" fontId="9" fillId="94" borderId="0" applyNumberFormat="0" applyBorder="0" applyAlignment="0" applyProtection="0"/>
    <xf numFmtId="0" fontId="9" fillId="94" borderId="0" applyNumberFormat="0" applyBorder="0" applyAlignment="0" applyProtection="0"/>
    <xf numFmtId="0" fontId="9" fillId="94" borderId="0" applyNumberFormat="0" applyBorder="0" applyAlignment="0" applyProtection="0"/>
    <xf numFmtId="0" fontId="9" fillId="94" borderId="0" applyNumberFormat="0" applyBorder="0" applyAlignment="0" applyProtection="0"/>
    <xf numFmtId="0" fontId="9" fillId="94" borderId="0" applyNumberFormat="0" applyBorder="0" applyAlignment="0" applyProtection="0"/>
    <xf numFmtId="0" fontId="9" fillId="94" borderId="0" applyNumberFormat="0" applyBorder="0" applyAlignment="0" applyProtection="0"/>
    <xf numFmtId="0" fontId="9" fillId="94" borderId="0" applyNumberFormat="0" applyBorder="0" applyAlignment="0" applyProtection="0"/>
    <xf numFmtId="0" fontId="9" fillId="94" borderId="0" applyNumberFormat="0" applyBorder="0" applyAlignment="0" applyProtection="0"/>
    <xf numFmtId="0" fontId="9" fillId="94" borderId="0" applyNumberFormat="0" applyBorder="0" applyAlignment="0" applyProtection="0"/>
    <xf numFmtId="0" fontId="9" fillId="94" borderId="0" applyNumberFormat="0" applyBorder="0" applyAlignment="0" applyProtection="0"/>
    <xf numFmtId="0" fontId="9" fillId="94" borderId="0" applyNumberFormat="0" applyBorder="0" applyAlignment="0" applyProtection="0"/>
    <xf numFmtId="0" fontId="9" fillId="94" borderId="0" applyNumberFormat="0" applyBorder="0" applyAlignment="0" applyProtection="0"/>
    <xf numFmtId="0" fontId="9" fillId="94" borderId="0" applyNumberFormat="0" applyBorder="0" applyAlignment="0" applyProtection="0"/>
    <xf numFmtId="0" fontId="9" fillId="94" borderId="0" applyNumberFormat="0" applyBorder="0" applyAlignment="0" applyProtection="0"/>
    <xf numFmtId="0" fontId="9" fillId="94" borderId="0" applyNumberFormat="0" applyBorder="0" applyAlignment="0" applyProtection="0"/>
    <xf numFmtId="0" fontId="9" fillId="94" borderId="0" applyNumberFormat="0" applyBorder="0" applyAlignment="0" applyProtection="0"/>
    <xf numFmtId="0" fontId="9" fillId="94" borderId="0" applyNumberFormat="0" applyBorder="0" applyAlignment="0" applyProtection="0"/>
    <xf numFmtId="0" fontId="9" fillId="94" borderId="0" applyNumberFormat="0" applyBorder="0" applyAlignment="0" applyProtection="0"/>
    <xf numFmtId="0" fontId="9" fillId="94" borderId="0" applyNumberFormat="0" applyBorder="0" applyAlignment="0" applyProtection="0"/>
    <xf numFmtId="0" fontId="9" fillId="94" borderId="0" applyNumberFormat="0" applyBorder="0" applyAlignment="0" applyProtection="0"/>
    <xf numFmtId="0" fontId="9" fillId="94" borderId="0" applyNumberFormat="0" applyBorder="0" applyAlignment="0" applyProtection="0"/>
    <xf numFmtId="0" fontId="9" fillId="94" borderId="0" applyNumberFormat="0" applyBorder="0" applyAlignment="0" applyProtection="0"/>
    <xf numFmtId="0" fontId="9" fillId="94" borderId="0" applyNumberFormat="0" applyBorder="0" applyAlignment="0" applyProtection="0"/>
    <xf numFmtId="0" fontId="9" fillId="94" borderId="0" applyNumberFormat="0" applyBorder="0" applyAlignment="0" applyProtection="0"/>
    <xf numFmtId="0" fontId="9" fillId="94" borderId="0" applyNumberFormat="0" applyBorder="0" applyAlignment="0" applyProtection="0"/>
    <xf numFmtId="0" fontId="9" fillId="94" borderId="0" applyNumberFormat="0" applyBorder="0" applyAlignment="0" applyProtection="0"/>
    <xf numFmtId="0" fontId="9" fillId="94" borderId="0" applyNumberFormat="0" applyBorder="0" applyAlignment="0" applyProtection="0"/>
    <xf numFmtId="0" fontId="9" fillId="94" borderId="0" applyNumberFormat="0" applyBorder="0" applyAlignment="0" applyProtection="0"/>
    <xf numFmtId="0" fontId="9" fillId="94" borderId="0" applyNumberFormat="0" applyBorder="0" applyAlignment="0" applyProtection="0"/>
    <xf numFmtId="0" fontId="9" fillId="94" borderId="0" applyNumberFormat="0" applyBorder="0" applyAlignment="0" applyProtection="0"/>
    <xf numFmtId="0" fontId="9" fillId="94" borderId="0" applyNumberFormat="0" applyBorder="0" applyAlignment="0" applyProtection="0"/>
    <xf numFmtId="0" fontId="9" fillId="94" borderId="0" applyNumberFormat="0" applyBorder="0" applyAlignment="0" applyProtection="0"/>
    <xf numFmtId="0" fontId="9" fillId="94" borderId="0" applyNumberFormat="0" applyBorder="0" applyAlignment="0" applyProtection="0"/>
    <xf numFmtId="0" fontId="9" fillId="94" borderId="0" applyNumberFormat="0" applyBorder="0" applyAlignment="0" applyProtection="0"/>
    <xf numFmtId="0" fontId="9" fillId="94" borderId="0" applyNumberFormat="0" applyBorder="0" applyAlignment="0" applyProtection="0"/>
    <xf numFmtId="0" fontId="9" fillId="94" borderId="0" applyNumberFormat="0" applyBorder="0" applyAlignment="0" applyProtection="0"/>
    <xf numFmtId="0" fontId="9" fillId="94" borderId="0" applyNumberFormat="0" applyBorder="0" applyAlignment="0" applyProtection="0"/>
    <xf numFmtId="0" fontId="9" fillId="94" borderId="0" applyNumberFormat="0" applyBorder="0" applyAlignment="0" applyProtection="0"/>
    <xf numFmtId="0" fontId="9" fillId="94" borderId="0" applyNumberFormat="0" applyBorder="0" applyAlignment="0" applyProtection="0"/>
    <xf numFmtId="0" fontId="9" fillId="94" borderId="0" applyNumberFormat="0" applyBorder="0" applyAlignment="0" applyProtection="0"/>
    <xf numFmtId="0" fontId="9" fillId="94" borderId="0" applyNumberFormat="0" applyBorder="0" applyAlignment="0" applyProtection="0"/>
    <xf numFmtId="0" fontId="9" fillId="94" borderId="0" applyNumberFormat="0" applyBorder="0" applyAlignment="0" applyProtection="0"/>
    <xf numFmtId="0" fontId="9" fillId="94" borderId="0" applyNumberFormat="0" applyBorder="0" applyAlignment="0" applyProtection="0"/>
    <xf numFmtId="0" fontId="9" fillId="94" borderId="0" applyNumberFormat="0" applyBorder="0" applyAlignment="0" applyProtection="0"/>
    <xf numFmtId="0" fontId="9" fillId="94" borderId="0" applyNumberFormat="0" applyBorder="0" applyAlignment="0" applyProtection="0"/>
    <xf numFmtId="0" fontId="9" fillId="94" borderId="0" applyNumberFormat="0" applyBorder="0" applyAlignment="0" applyProtection="0"/>
    <xf numFmtId="0" fontId="9" fillId="94" borderId="0" applyNumberFormat="0" applyBorder="0" applyAlignment="0" applyProtection="0"/>
    <xf numFmtId="0" fontId="9" fillId="94" borderId="0" applyNumberFormat="0" applyBorder="0" applyAlignment="0" applyProtection="0"/>
    <xf numFmtId="0" fontId="9" fillId="94" borderId="0" applyNumberFormat="0" applyBorder="0" applyAlignment="0" applyProtection="0"/>
    <xf numFmtId="0" fontId="9" fillId="94" borderId="0" applyNumberFormat="0" applyBorder="0" applyAlignment="0" applyProtection="0"/>
    <xf numFmtId="0" fontId="9" fillId="94" borderId="0" applyNumberFormat="0" applyBorder="0" applyAlignment="0" applyProtection="0"/>
    <xf numFmtId="0" fontId="9" fillId="94" borderId="0" applyNumberFormat="0" applyBorder="0" applyAlignment="0" applyProtection="0"/>
    <xf numFmtId="0" fontId="9" fillId="94" borderId="0" applyNumberFormat="0" applyBorder="0" applyAlignment="0" applyProtection="0"/>
    <xf numFmtId="0" fontId="9" fillId="94" borderId="0" applyNumberFormat="0" applyBorder="0" applyAlignment="0" applyProtection="0"/>
    <xf numFmtId="0" fontId="9" fillId="98" borderId="0" applyNumberFormat="0" applyBorder="0" applyAlignment="0" applyProtection="0"/>
    <xf numFmtId="0" fontId="9" fillId="98" borderId="0" applyNumberFormat="0" applyBorder="0" applyAlignment="0" applyProtection="0"/>
    <xf numFmtId="0" fontId="9" fillId="98" borderId="0" applyNumberFormat="0" applyBorder="0" applyAlignment="0" applyProtection="0"/>
    <xf numFmtId="0" fontId="9" fillId="98" borderId="0" applyNumberFormat="0" applyBorder="0" applyAlignment="0" applyProtection="0"/>
    <xf numFmtId="0" fontId="9" fillId="98" borderId="0" applyNumberFormat="0" applyBorder="0" applyAlignment="0" applyProtection="0"/>
    <xf numFmtId="0" fontId="9" fillId="98" borderId="0" applyNumberFormat="0" applyBorder="0" applyAlignment="0" applyProtection="0"/>
    <xf numFmtId="0" fontId="9" fillId="98" borderId="0" applyNumberFormat="0" applyBorder="0" applyAlignment="0" applyProtection="0"/>
    <xf numFmtId="0" fontId="9" fillId="98" borderId="0" applyNumberFormat="0" applyBorder="0" applyAlignment="0" applyProtection="0"/>
    <xf numFmtId="0" fontId="9" fillId="98" borderId="0" applyNumberFormat="0" applyBorder="0" applyAlignment="0" applyProtection="0"/>
    <xf numFmtId="0" fontId="9" fillId="98" borderId="0" applyNumberFormat="0" applyBorder="0" applyAlignment="0" applyProtection="0"/>
    <xf numFmtId="0" fontId="9" fillId="98" borderId="0" applyNumberFormat="0" applyBorder="0" applyAlignment="0" applyProtection="0"/>
    <xf numFmtId="0" fontId="9" fillId="98" borderId="0" applyNumberFormat="0" applyBorder="0" applyAlignment="0" applyProtection="0"/>
    <xf numFmtId="0" fontId="9" fillId="98" borderId="0" applyNumberFormat="0" applyBorder="0" applyAlignment="0" applyProtection="0"/>
    <xf numFmtId="0" fontId="9" fillId="98" borderId="0" applyNumberFormat="0" applyBorder="0" applyAlignment="0" applyProtection="0"/>
    <xf numFmtId="0" fontId="9" fillId="98" borderId="0" applyNumberFormat="0" applyBorder="0" applyAlignment="0" applyProtection="0"/>
    <xf numFmtId="0" fontId="9" fillId="98" borderId="0" applyNumberFormat="0" applyBorder="0" applyAlignment="0" applyProtection="0"/>
    <xf numFmtId="0" fontId="9" fillId="98" borderId="0" applyNumberFormat="0" applyBorder="0" applyAlignment="0" applyProtection="0"/>
    <xf numFmtId="0" fontId="9" fillId="98" borderId="0" applyNumberFormat="0" applyBorder="0" applyAlignment="0" applyProtection="0"/>
    <xf numFmtId="0" fontId="9" fillId="98" borderId="0" applyNumberFormat="0" applyBorder="0" applyAlignment="0" applyProtection="0"/>
    <xf numFmtId="0" fontId="9" fillId="98" borderId="0" applyNumberFormat="0" applyBorder="0" applyAlignment="0" applyProtection="0"/>
    <xf numFmtId="0" fontId="9" fillId="98" borderId="0" applyNumberFormat="0" applyBorder="0" applyAlignment="0" applyProtection="0"/>
    <xf numFmtId="0" fontId="9" fillId="98" borderId="0" applyNumberFormat="0" applyBorder="0" applyAlignment="0" applyProtection="0"/>
    <xf numFmtId="0" fontId="9" fillId="98" borderId="0" applyNumberFormat="0" applyBorder="0" applyAlignment="0" applyProtection="0"/>
    <xf numFmtId="0" fontId="9" fillId="98" borderId="0" applyNumberFormat="0" applyBorder="0" applyAlignment="0" applyProtection="0"/>
    <xf numFmtId="0" fontId="9" fillId="98" borderId="0" applyNumberFormat="0" applyBorder="0" applyAlignment="0" applyProtection="0"/>
    <xf numFmtId="0" fontId="9" fillId="98" borderId="0" applyNumberFormat="0" applyBorder="0" applyAlignment="0" applyProtection="0"/>
    <xf numFmtId="0" fontId="9" fillId="98" borderId="0" applyNumberFormat="0" applyBorder="0" applyAlignment="0" applyProtection="0"/>
    <xf numFmtId="0" fontId="9" fillId="98" borderId="0" applyNumberFormat="0" applyBorder="0" applyAlignment="0" applyProtection="0"/>
    <xf numFmtId="0" fontId="9" fillId="98" borderId="0" applyNumberFormat="0" applyBorder="0" applyAlignment="0" applyProtection="0"/>
    <xf numFmtId="0" fontId="9" fillId="98" borderId="0" applyNumberFormat="0" applyBorder="0" applyAlignment="0" applyProtection="0"/>
    <xf numFmtId="0" fontId="9" fillId="98" borderId="0" applyNumberFormat="0" applyBorder="0" applyAlignment="0" applyProtection="0"/>
    <xf numFmtId="0" fontId="9" fillId="98" borderId="0" applyNumberFormat="0" applyBorder="0" applyAlignment="0" applyProtection="0"/>
    <xf numFmtId="0" fontId="9" fillId="98" borderId="0" applyNumberFormat="0" applyBorder="0" applyAlignment="0" applyProtection="0"/>
    <xf numFmtId="0" fontId="9" fillId="98" borderId="0" applyNumberFormat="0" applyBorder="0" applyAlignment="0" applyProtection="0"/>
    <xf numFmtId="0" fontId="9" fillId="98" borderId="0" applyNumberFormat="0" applyBorder="0" applyAlignment="0" applyProtection="0"/>
    <xf numFmtId="0" fontId="9" fillId="98" borderId="0" applyNumberFormat="0" applyBorder="0" applyAlignment="0" applyProtection="0"/>
    <xf numFmtId="0" fontId="9" fillId="98" borderId="0" applyNumberFormat="0" applyBorder="0" applyAlignment="0" applyProtection="0"/>
    <xf numFmtId="0" fontId="9" fillId="98" borderId="0" applyNumberFormat="0" applyBorder="0" applyAlignment="0" applyProtection="0"/>
    <xf numFmtId="0" fontId="9" fillId="98" borderId="0" applyNumberFormat="0" applyBorder="0" applyAlignment="0" applyProtection="0"/>
    <xf numFmtId="0" fontId="9" fillId="98" borderId="0" applyNumberFormat="0" applyBorder="0" applyAlignment="0" applyProtection="0"/>
    <xf numFmtId="0" fontId="9" fillId="98" borderId="0" applyNumberFormat="0" applyBorder="0" applyAlignment="0" applyProtection="0"/>
    <xf numFmtId="0" fontId="9" fillId="98" borderId="0" applyNumberFormat="0" applyBorder="0" applyAlignment="0" applyProtection="0"/>
    <xf numFmtId="0" fontId="9" fillId="98" borderId="0" applyNumberFormat="0" applyBorder="0" applyAlignment="0" applyProtection="0"/>
    <xf numFmtId="0" fontId="9" fillId="98" borderId="0" applyNumberFormat="0" applyBorder="0" applyAlignment="0" applyProtection="0"/>
    <xf numFmtId="0" fontId="9" fillId="98" borderId="0" applyNumberFormat="0" applyBorder="0" applyAlignment="0" applyProtection="0"/>
    <xf numFmtId="0" fontId="9" fillId="98" borderId="0" applyNumberFormat="0" applyBorder="0" applyAlignment="0" applyProtection="0"/>
    <xf numFmtId="0" fontId="9" fillId="98" borderId="0" applyNumberFormat="0" applyBorder="0" applyAlignment="0" applyProtection="0"/>
    <xf numFmtId="0" fontId="9" fillId="98" borderId="0" applyNumberFormat="0" applyBorder="0" applyAlignment="0" applyProtection="0"/>
    <xf numFmtId="0" fontId="9" fillId="98" borderId="0" applyNumberFormat="0" applyBorder="0" applyAlignment="0" applyProtection="0"/>
    <xf numFmtId="0" fontId="9" fillId="98" borderId="0" applyNumberFormat="0" applyBorder="0" applyAlignment="0" applyProtection="0"/>
    <xf numFmtId="0" fontId="9" fillId="98" borderId="0" applyNumberFormat="0" applyBorder="0" applyAlignment="0" applyProtection="0"/>
    <xf numFmtId="0" fontId="9" fillId="98" borderId="0" applyNumberFormat="0" applyBorder="0" applyAlignment="0" applyProtection="0"/>
    <xf numFmtId="0" fontId="9" fillId="98" borderId="0" applyNumberFormat="0" applyBorder="0" applyAlignment="0" applyProtection="0"/>
    <xf numFmtId="0" fontId="9" fillId="98" borderId="0" applyNumberFormat="0" applyBorder="0" applyAlignment="0" applyProtection="0"/>
    <xf numFmtId="0" fontId="9" fillId="98" borderId="0" applyNumberFormat="0" applyBorder="0" applyAlignment="0" applyProtection="0"/>
    <xf numFmtId="0" fontId="9" fillId="98" borderId="0" applyNumberFormat="0" applyBorder="0" applyAlignment="0" applyProtection="0"/>
    <xf numFmtId="0" fontId="9" fillId="98" borderId="0" applyNumberFormat="0" applyBorder="0" applyAlignment="0" applyProtection="0"/>
    <xf numFmtId="0" fontId="9" fillId="79" borderId="397" applyNumberFormat="0" applyFont="0" applyAlignment="0" applyProtection="0"/>
    <xf numFmtId="0" fontId="9" fillId="79" borderId="397" applyNumberFormat="0" applyFont="0" applyAlignment="0" applyProtection="0"/>
    <xf numFmtId="0" fontId="9" fillId="79" borderId="397" applyNumberFormat="0" applyFont="0" applyAlignment="0" applyProtection="0"/>
    <xf numFmtId="0" fontId="9" fillId="79" borderId="397" applyNumberFormat="0" applyFont="0" applyAlignment="0" applyProtection="0"/>
    <xf numFmtId="0" fontId="9" fillId="79" borderId="397" applyNumberFormat="0" applyFont="0" applyAlignment="0" applyProtection="0"/>
    <xf numFmtId="0" fontId="9" fillId="79" borderId="397" applyNumberFormat="0" applyFont="0" applyAlignment="0" applyProtection="0"/>
    <xf numFmtId="0" fontId="9" fillId="79" borderId="397" applyNumberFormat="0" applyFont="0" applyAlignment="0" applyProtection="0"/>
    <xf numFmtId="0" fontId="9" fillId="79" borderId="397" applyNumberFormat="0" applyFont="0" applyAlignment="0" applyProtection="0"/>
    <xf numFmtId="0" fontId="9" fillId="79" borderId="397" applyNumberFormat="0" applyFont="0" applyAlignment="0" applyProtection="0"/>
    <xf numFmtId="0" fontId="9" fillId="79" borderId="397" applyNumberFormat="0" applyFont="0" applyAlignment="0" applyProtection="0"/>
    <xf numFmtId="0" fontId="9" fillId="79" borderId="397" applyNumberFormat="0" applyFont="0" applyAlignment="0" applyProtection="0"/>
    <xf numFmtId="0" fontId="9" fillId="79" borderId="397" applyNumberFormat="0" applyFont="0" applyAlignment="0" applyProtection="0"/>
    <xf numFmtId="0" fontId="9" fillId="79" borderId="397" applyNumberFormat="0" applyFont="0" applyAlignment="0" applyProtection="0"/>
    <xf numFmtId="0" fontId="9" fillId="79" borderId="397" applyNumberFormat="0" applyFont="0" applyAlignment="0" applyProtection="0"/>
    <xf numFmtId="0" fontId="9" fillId="79" borderId="397" applyNumberFormat="0" applyFont="0" applyAlignment="0" applyProtection="0"/>
    <xf numFmtId="0" fontId="9" fillId="79" borderId="397" applyNumberFormat="0" applyFont="0" applyAlignment="0" applyProtection="0"/>
    <xf numFmtId="0" fontId="9" fillId="79" borderId="397" applyNumberFormat="0" applyFont="0" applyAlignment="0" applyProtection="0"/>
    <xf numFmtId="0" fontId="9" fillId="79" borderId="397" applyNumberFormat="0" applyFont="0" applyAlignment="0" applyProtection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44" fontId="21" fillId="0" borderId="0" applyFont="0" applyFill="0" applyBorder="0" applyAlignment="0" applyProtection="0"/>
    <xf numFmtId="44" fontId="21" fillId="0" borderId="0" applyFont="0" applyFill="0" applyBorder="0" applyAlignment="0" applyProtection="0"/>
    <xf numFmtId="0" fontId="9" fillId="0" borderId="0"/>
    <xf numFmtId="44" fontId="21" fillId="0" borderId="0" applyFont="0" applyFill="0" applyBorder="0" applyAlignment="0" applyProtection="0"/>
    <xf numFmtId="0" fontId="9" fillId="0" borderId="0"/>
    <xf numFmtId="0" fontId="9" fillId="0" borderId="0"/>
    <xf numFmtId="0" fontId="9" fillId="100" borderId="0" applyNumberFormat="0" applyBorder="0" applyAlignment="0" applyProtection="0"/>
    <xf numFmtId="0" fontId="9" fillId="100" borderId="0" applyNumberFormat="0" applyBorder="0" applyAlignment="0" applyProtection="0"/>
    <xf numFmtId="0" fontId="9" fillId="100" borderId="0" applyNumberFormat="0" applyBorder="0" applyAlignment="0" applyProtection="0"/>
    <xf numFmtId="0" fontId="9" fillId="100" borderId="0" applyNumberFormat="0" applyBorder="0" applyAlignment="0" applyProtection="0"/>
    <xf numFmtId="0" fontId="9" fillId="100" borderId="0" applyNumberFormat="0" applyBorder="0" applyAlignment="0" applyProtection="0"/>
    <xf numFmtId="0" fontId="9" fillId="100" borderId="0" applyNumberFormat="0" applyBorder="0" applyAlignment="0" applyProtection="0"/>
    <xf numFmtId="0" fontId="9" fillId="100" borderId="0" applyNumberFormat="0" applyBorder="0" applyAlignment="0" applyProtection="0"/>
    <xf numFmtId="0" fontId="9" fillId="100" borderId="0" applyNumberFormat="0" applyBorder="0" applyAlignment="0" applyProtection="0"/>
    <xf numFmtId="0" fontId="9" fillId="100" borderId="0" applyNumberFormat="0" applyBorder="0" applyAlignment="0" applyProtection="0"/>
    <xf numFmtId="0" fontId="9" fillId="100" borderId="0" applyNumberFormat="0" applyBorder="0" applyAlignment="0" applyProtection="0"/>
    <xf numFmtId="0" fontId="9" fillId="100" borderId="0" applyNumberFormat="0" applyBorder="0" applyAlignment="0" applyProtection="0"/>
    <xf numFmtId="0" fontId="9" fillId="100" borderId="0" applyNumberFormat="0" applyBorder="0" applyAlignment="0" applyProtection="0"/>
    <xf numFmtId="0" fontId="9" fillId="100" borderId="0" applyNumberFormat="0" applyBorder="0" applyAlignment="0" applyProtection="0"/>
    <xf numFmtId="0" fontId="9" fillId="100" borderId="0" applyNumberFormat="0" applyBorder="0" applyAlignment="0" applyProtection="0"/>
    <xf numFmtId="0" fontId="9" fillId="100" borderId="0" applyNumberFormat="0" applyBorder="0" applyAlignment="0" applyProtection="0"/>
    <xf numFmtId="0" fontId="9" fillId="100" borderId="0" applyNumberFormat="0" applyBorder="0" applyAlignment="0" applyProtection="0"/>
    <xf numFmtId="0" fontId="9" fillId="100" borderId="0" applyNumberFormat="0" applyBorder="0" applyAlignment="0" applyProtection="0"/>
    <xf numFmtId="0" fontId="9" fillId="100" borderId="0" applyNumberFormat="0" applyBorder="0" applyAlignment="0" applyProtection="0"/>
    <xf numFmtId="0" fontId="9" fillId="100" borderId="0" applyNumberFormat="0" applyBorder="0" applyAlignment="0" applyProtection="0"/>
    <xf numFmtId="0" fontId="9" fillId="100" borderId="0" applyNumberFormat="0" applyBorder="0" applyAlignment="0" applyProtection="0"/>
    <xf numFmtId="0" fontId="9" fillId="100" borderId="0" applyNumberFormat="0" applyBorder="0" applyAlignment="0" applyProtection="0"/>
    <xf numFmtId="0" fontId="9" fillId="100" borderId="0" applyNumberFormat="0" applyBorder="0" applyAlignment="0" applyProtection="0"/>
    <xf numFmtId="0" fontId="9" fillId="100" borderId="0" applyNumberFormat="0" applyBorder="0" applyAlignment="0" applyProtection="0"/>
    <xf numFmtId="0" fontId="9" fillId="100" borderId="0" applyNumberFormat="0" applyBorder="0" applyAlignment="0" applyProtection="0"/>
    <xf numFmtId="0" fontId="9" fillId="100" borderId="0" applyNumberFormat="0" applyBorder="0" applyAlignment="0" applyProtection="0"/>
    <xf numFmtId="0" fontId="9" fillId="100" borderId="0" applyNumberFormat="0" applyBorder="0" applyAlignment="0" applyProtection="0"/>
    <xf numFmtId="0" fontId="9" fillId="100" borderId="0" applyNumberFormat="0" applyBorder="0" applyAlignment="0" applyProtection="0"/>
    <xf numFmtId="0" fontId="9" fillId="100" borderId="0" applyNumberFormat="0" applyBorder="0" applyAlignment="0" applyProtection="0"/>
    <xf numFmtId="0" fontId="9" fillId="100" borderId="0" applyNumberFormat="0" applyBorder="0" applyAlignment="0" applyProtection="0"/>
    <xf numFmtId="0" fontId="9" fillId="100" borderId="0" applyNumberFormat="0" applyBorder="0" applyAlignment="0" applyProtection="0"/>
    <xf numFmtId="0" fontId="9" fillId="100" borderId="0" applyNumberFormat="0" applyBorder="0" applyAlignment="0" applyProtection="0"/>
    <xf numFmtId="0" fontId="9" fillId="100" borderId="0" applyNumberFormat="0" applyBorder="0" applyAlignment="0" applyProtection="0"/>
    <xf numFmtId="0" fontId="9" fillId="100" borderId="0" applyNumberFormat="0" applyBorder="0" applyAlignment="0" applyProtection="0"/>
    <xf numFmtId="0" fontId="9" fillId="100" borderId="0" applyNumberFormat="0" applyBorder="0" applyAlignment="0" applyProtection="0"/>
    <xf numFmtId="0" fontId="9" fillId="100" borderId="0" applyNumberFormat="0" applyBorder="0" applyAlignment="0" applyProtection="0"/>
    <xf numFmtId="0" fontId="9" fillId="100" borderId="0" applyNumberFormat="0" applyBorder="0" applyAlignment="0" applyProtection="0"/>
    <xf numFmtId="0" fontId="9" fillId="100" borderId="0" applyNumberFormat="0" applyBorder="0" applyAlignment="0" applyProtection="0"/>
    <xf numFmtId="0" fontId="9" fillId="100" borderId="0" applyNumberFormat="0" applyBorder="0" applyAlignment="0" applyProtection="0"/>
    <xf numFmtId="0" fontId="9" fillId="100" borderId="0" applyNumberFormat="0" applyBorder="0" applyAlignment="0" applyProtection="0"/>
    <xf numFmtId="0" fontId="9" fillId="100" borderId="0" applyNumberFormat="0" applyBorder="0" applyAlignment="0" applyProtection="0"/>
    <xf numFmtId="0" fontId="9" fillId="100" borderId="0" applyNumberFormat="0" applyBorder="0" applyAlignment="0" applyProtection="0"/>
    <xf numFmtId="0" fontId="9" fillId="100" borderId="0" applyNumberFormat="0" applyBorder="0" applyAlignment="0" applyProtection="0"/>
    <xf numFmtId="0" fontId="9" fillId="100" borderId="0" applyNumberFormat="0" applyBorder="0" applyAlignment="0" applyProtection="0"/>
    <xf numFmtId="0" fontId="9" fillId="100" borderId="0" applyNumberFormat="0" applyBorder="0" applyAlignment="0" applyProtection="0"/>
    <xf numFmtId="0" fontId="9" fillId="100" borderId="0" applyNumberFormat="0" applyBorder="0" applyAlignment="0" applyProtection="0"/>
    <xf numFmtId="0" fontId="9" fillId="100" borderId="0" applyNumberFormat="0" applyBorder="0" applyAlignment="0" applyProtection="0"/>
    <xf numFmtId="0" fontId="9" fillId="100" borderId="0" applyNumberFormat="0" applyBorder="0" applyAlignment="0" applyProtection="0"/>
    <xf numFmtId="0" fontId="9" fillId="100" borderId="0" applyNumberFormat="0" applyBorder="0" applyAlignment="0" applyProtection="0"/>
    <xf numFmtId="0" fontId="9" fillId="100" borderId="0" applyNumberFormat="0" applyBorder="0" applyAlignment="0" applyProtection="0"/>
    <xf numFmtId="0" fontId="9" fillId="100" borderId="0" applyNumberFormat="0" applyBorder="0" applyAlignment="0" applyProtection="0"/>
    <xf numFmtId="0" fontId="9" fillId="100" borderId="0" applyNumberFormat="0" applyBorder="0" applyAlignment="0" applyProtection="0"/>
    <xf numFmtId="0" fontId="9" fillId="100" borderId="0" applyNumberFormat="0" applyBorder="0" applyAlignment="0" applyProtection="0"/>
    <xf numFmtId="0" fontId="9" fillId="100" borderId="0" applyNumberFormat="0" applyBorder="0" applyAlignment="0" applyProtection="0"/>
    <xf numFmtId="0" fontId="9" fillId="100" borderId="0" applyNumberFormat="0" applyBorder="0" applyAlignment="0" applyProtection="0"/>
    <xf numFmtId="0" fontId="9" fillId="100" borderId="0" applyNumberFormat="0" applyBorder="0" applyAlignment="0" applyProtection="0"/>
    <xf numFmtId="0" fontId="9" fillId="100" borderId="0" applyNumberFormat="0" applyBorder="0" applyAlignment="0" applyProtection="0"/>
    <xf numFmtId="0" fontId="9" fillId="100" borderId="0" applyNumberFormat="0" applyBorder="0" applyAlignment="0" applyProtection="0"/>
    <xf numFmtId="0" fontId="9" fillId="101" borderId="0" applyNumberFormat="0" applyBorder="0" applyAlignment="0" applyProtection="0"/>
    <xf numFmtId="0" fontId="9" fillId="101" borderId="0" applyNumberFormat="0" applyBorder="0" applyAlignment="0" applyProtection="0"/>
    <xf numFmtId="0" fontId="9" fillId="101" borderId="0" applyNumberFormat="0" applyBorder="0" applyAlignment="0" applyProtection="0"/>
    <xf numFmtId="0" fontId="9" fillId="101" borderId="0" applyNumberFormat="0" applyBorder="0" applyAlignment="0" applyProtection="0"/>
    <xf numFmtId="0" fontId="9" fillId="101" borderId="0" applyNumberFormat="0" applyBorder="0" applyAlignment="0" applyProtection="0"/>
    <xf numFmtId="0" fontId="9" fillId="101" borderId="0" applyNumberFormat="0" applyBorder="0" applyAlignment="0" applyProtection="0"/>
    <xf numFmtId="0" fontId="9" fillId="101" borderId="0" applyNumberFormat="0" applyBorder="0" applyAlignment="0" applyProtection="0"/>
    <xf numFmtId="0" fontId="9" fillId="101" borderId="0" applyNumberFormat="0" applyBorder="0" applyAlignment="0" applyProtection="0"/>
    <xf numFmtId="0" fontId="9" fillId="101" borderId="0" applyNumberFormat="0" applyBorder="0" applyAlignment="0" applyProtection="0"/>
    <xf numFmtId="0" fontId="9" fillId="101" borderId="0" applyNumberFormat="0" applyBorder="0" applyAlignment="0" applyProtection="0"/>
    <xf numFmtId="0" fontId="9" fillId="101" borderId="0" applyNumberFormat="0" applyBorder="0" applyAlignment="0" applyProtection="0"/>
    <xf numFmtId="0" fontId="9" fillId="101" borderId="0" applyNumberFormat="0" applyBorder="0" applyAlignment="0" applyProtection="0"/>
    <xf numFmtId="0" fontId="9" fillId="101" borderId="0" applyNumberFormat="0" applyBorder="0" applyAlignment="0" applyProtection="0"/>
    <xf numFmtId="0" fontId="9" fillId="101" borderId="0" applyNumberFormat="0" applyBorder="0" applyAlignment="0" applyProtection="0"/>
    <xf numFmtId="0" fontId="9" fillId="101" borderId="0" applyNumberFormat="0" applyBorder="0" applyAlignment="0" applyProtection="0"/>
    <xf numFmtId="0" fontId="9" fillId="101" borderId="0" applyNumberFormat="0" applyBorder="0" applyAlignment="0" applyProtection="0"/>
    <xf numFmtId="0" fontId="9" fillId="101" borderId="0" applyNumberFormat="0" applyBorder="0" applyAlignment="0" applyProtection="0"/>
    <xf numFmtId="0" fontId="9" fillId="101" borderId="0" applyNumberFormat="0" applyBorder="0" applyAlignment="0" applyProtection="0"/>
    <xf numFmtId="0" fontId="9" fillId="101" borderId="0" applyNumberFormat="0" applyBorder="0" applyAlignment="0" applyProtection="0"/>
    <xf numFmtId="0" fontId="9" fillId="101" borderId="0" applyNumberFormat="0" applyBorder="0" applyAlignment="0" applyProtection="0"/>
    <xf numFmtId="0" fontId="9" fillId="101" borderId="0" applyNumberFormat="0" applyBorder="0" applyAlignment="0" applyProtection="0"/>
    <xf numFmtId="0" fontId="9" fillId="101" borderId="0" applyNumberFormat="0" applyBorder="0" applyAlignment="0" applyProtection="0"/>
    <xf numFmtId="0" fontId="9" fillId="101" borderId="0" applyNumberFormat="0" applyBorder="0" applyAlignment="0" applyProtection="0"/>
    <xf numFmtId="0" fontId="9" fillId="101" borderId="0" applyNumberFormat="0" applyBorder="0" applyAlignment="0" applyProtection="0"/>
    <xf numFmtId="0" fontId="9" fillId="101" borderId="0" applyNumberFormat="0" applyBorder="0" applyAlignment="0" applyProtection="0"/>
    <xf numFmtId="0" fontId="9" fillId="101" borderId="0" applyNumberFormat="0" applyBorder="0" applyAlignment="0" applyProtection="0"/>
    <xf numFmtId="0" fontId="9" fillId="101" borderId="0" applyNumberFormat="0" applyBorder="0" applyAlignment="0" applyProtection="0"/>
    <xf numFmtId="0" fontId="9" fillId="101" borderId="0" applyNumberFormat="0" applyBorder="0" applyAlignment="0" applyProtection="0"/>
    <xf numFmtId="0" fontId="9" fillId="101" borderId="0" applyNumberFormat="0" applyBorder="0" applyAlignment="0" applyProtection="0"/>
    <xf numFmtId="0" fontId="9" fillId="101" borderId="0" applyNumberFormat="0" applyBorder="0" applyAlignment="0" applyProtection="0"/>
    <xf numFmtId="0" fontId="9" fillId="101" borderId="0" applyNumberFormat="0" applyBorder="0" applyAlignment="0" applyProtection="0"/>
    <xf numFmtId="0" fontId="9" fillId="101" borderId="0" applyNumberFormat="0" applyBorder="0" applyAlignment="0" applyProtection="0"/>
    <xf numFmtId="0" fontId="9" fillId="101" borderId="0" applyNumberFormat="0" applyBorder="0" applyAlignment="0" applyProtection="0"/>
    <xf numFmtId="0" fontId="9" fillId="101" borderId="0" applyNumberFormat="0" applyBorder="0" applyAlignment="0" applyProtection="0"/>
    <xf numFmtId="0" fontId="9" fillId="101" borderId="0" applyNumberFormat="0" applyBorder="0" applyAlignment="0" applyProtection="0"/>
    <xf numFmtId="0" fontId="9" fillId="101" borderId="0" applyNumberFormat="0" applyBorder="0" applyAlignment="0" applyProtection="0"/>
    <xf numFmtId="0" fontId="9" fillId="101" borderId="0" applyNumberFormat="0" applyBorder="0" applyAlignment="0" applyProtection="0"/>
    <xf numFmtId="0" fontId="9" fillId="101" borderId="0" applyNumberFormat="0" applyBorder="0" applyAlignment="0" applyProtection="0"/>
    <xf numFmtId="0" fontId="9" fillId="101" borderId="0" applyNumberFormat="0" applyBorder="0" applyAlignment="0" applyProtection="0"/>
    <xf numFmtId="0" fontId="9" fillId="101" borderId="0" applyNumberFormat="0" applyBorder="0" applyAlignment="0" applyProtection="0"/>
    <xf numFmtId="0" fontId="9" fillId="101" borderId="0" applyNumberFormat="0" applyBorder="0" applyAlignment="0" applyProtection="0"/>
    <xf numFmtId="0" fontId="9" fillId="101" borderId="0" applyNumberFormat="0" applyBorder="0" applyAlignment="0" applyProtection="0"/>
    <xf numFmtId="0" fontId="9" fillId="101" borderId="0" applyNumberFormat="0" applyBorder="0" applyAlignment="0" applyProtection="0"/>
    <xf numFmtId="0" fontId="9" fillId="101" borderId="0" applyNumberFormat="0" applyBorder="0" applyAlignment="0" applyProtection="0"/>
    <xf numFmtId="0" fontId="9" fillId="101" borderId="0" applyNumberFormat="0" applyBorder="0" applyAlignment="0" applyProtection="0"/>
    <xf numFmtId="0" fontId="9" fillId="101" borderId="0" applyNumberFormat="0" applyBorder="0" applyAlignment="0" applyProtection="0"/>
    <xf numFmtId="0" fontId="9" fillId="101" borderId="0" applyNumberFormat="0" applyBorder="0" applyAlignment="0" applyProtection="0"/>
    <xf numFmtId="0" fontId="9" fillId="101" borderId="0" applyNumberFormat="0" applyBorder="0" applyAlignment="0" applyProtection="0"/>
    <xf numFmtId="0" fontId="9" fillId="101" borderId="0" applyNumberFormat="0" applyBorder="0" applyAlignment="0" applyProtection="0"/>
    <xf numFmtId="0" fontId="9" fillId="101" borderId="0" applyNumberFormat="0" applyBorder="0" applyAlignment="0" applyProtection="0"/>
    <xf numFmtId="0" fontId="9" fillId="101" borderId="0" applyNumberFormat="0" applyBorder="0" applyAlignment="0" applyProtection="0"/>
    <xf numFmtId="0" fontId="9" fillId="101" borderId="0" applyNumberFormat="0" applyBorder="0" applyAlignment="0" applyProtection="0"/>
    <xf numFmtId="0" fontId="9" fillId="101" borderId="0" applyNumberFormat="0" applyBorder="0" applyAlignment="0" applyProtection="0"/>
    <xf numFmtId="0" fontId="9" fillId="101" borderId="0" applyNumberFormat="0" applyBorder="0" applyAlignment="0" applyProtection="0"/>
    <xf numFmtId="0" fontId="9" fillId="101" borderId="0" applyNumberFormat="0" applyBorder="0" applyAlignment="0" applyProtection="0"/>
    <xf numFmtId="0" fontId="9" fillId="101" borderId="0" applyNumberFormat="0" applyBorder="0" applyAlignment="0" applyProtection="0"/>
    <xf numFmtId="0" fontId="9" fillId="101" borderId="0" applyNumberFormat="0" applyBorder="0" applyAlignment="0" applyProtection="0"/>
    <xf numFmtId="0" fontId="9" fillId="102" borderId="0" applyNumberFormat="0" applyBorder="0" applyAlignment="0" applyProtection="0"/>
    <xf numFmtId="0" fontId="9" fillId="102" borderId="0" applyNumberFormat="0" applyBorder="0" applyAlignment="0" applyProtection="0"/>
    <xf numFmtId="0" fontId="9" fillId="102" borderId="0" applyNumberFormat="0" applyBorder="0" applyAlignment="0" applyProtection="0"/>
    <xf numFmtId="0" fontId="9" fillId="102" borderId="0" applyNumberFormat="0" applyBorder="0" applyAlignment="0" applyProtection="0"/>
    <xf numFmtId="0" fontId="9" fillId="102" borderId="0" applyNumberFormat="0" applyBorder="0" applyAlignment="0" applyProtection="0"/>
    <xf numFmtId="0" fontId="9" fillId="102" borderId="0" applyNumberFormat="0" applyBorder="0" applyAlignment="0" applyProtection="0"/>
    <xf numFmtId="0" fontId="9" fillId="102" borderId="0" applyNumberFormat="0" applyBorder="0" applyAlignment="0" applyProtection="0"/>
    <xf numFmtId="0" fontId="9" fillId="102" borderId="0" applyNumberFormat="0" applyBorder="0" applyAlignment="0" applyProtection="0"/>
    <xf numFmtId="0" fontId="9" fillId="102" borderId="0" applyNumberFormat="0" applyBorder="0" applyAlignment="0" applyProtection="0"/>
    <xf numFmtId="0" fontId="9" fillId="102" borderId="0" applyNumberFormat="0" applyBorder="0" applyAlignment="0" applyProtection="0"/>
    <xf numFmtId="0" fontId="9" fillId="102" borderId="0" applyNumberFormat="0" applyBorder="0" applyAlignment="0" applyProtection="0"/>
    <xf numFmtId="0" fontId="9" fillId="102" borderId="0" applyNumberFormat="0" applyBorder="0" applyAlignment="0" applyProtection="0"/>
    <xf numFmtId="0" fontId="9" fillId="102" borderId="0" applyNumberFormat="0" applyBorder="0" applyAlignment="0" applyProtection="0"/>
    <xf numFmtId="0" fontId="9" fillId="102" borderId="0" applyNumberFormat="0" applyBorder="0" applyAlignment="0" applyProtection="0"/>
    <xf numFmtId="0" fontId="9" fillId="102" borderId="0" applyNumberFormat="0" applyBorder="0" applyAlignment="0" applyProtection="0"/>
    <xf numFmtId="0" fontId="9" fillId="102" borderId="0" applyNumberFormat="0" applyBorder="0" applyAlignment="0" applyProtection="0"/>
    <xf numFmtId="0" fontId="9" fillId="102" borderId="0" applyNumberFormat="0" applyBorder="0" applyAlignment="0" applyProtection="0"/>
    <xf numFmtId="0" fontId="9" fillId="102" borderId="0" applyNumberFormat="0" applyBorder="0" applyAlignment="0" applyProtection="0"/>
    <xf numFmtId="0" fontId="9" fillId="102" borderId="0" applyNumberFormat="0" applyBorder="0" applyAlignment="0" applyProtection="0"/>
    <xf numFmtId="0" fontId="9" fillId="102" borderId="0" applyNumberFormat="0" applyBorder="0" applyAlignment="0" applyProtection="0"/>
    <xf numFmtId="0" fontId="9" fillId="102" borderId="0" applyNumberFormat="0" applyBorder="0" applyAlignment="0" applyProtection="0"/>
    <xf numFmtId="0" fontId="9" fillId="102" borderId="0" applyNumberFormat="0" applyBorder="0" applyAlignment="0" applyProtection="0"/>
    <xf numFmtId="0" fontId="9" fillId="102" borderId="0" applyNumberFormat="0" applyBorder="0" applyAlignment="0" applyProtection="0"/>
    <xf numFmtId="0" fontId="9" fillId="102" borderId="0" applyNumberFormat="0" applyBorder="0" applyAlignment="0" applyProtection="0"/>
    <xf numFmtId="0" fontId="9" fillId="102" borderId="0" applyNumberFormat="0" applyBorder="0" applyAlignment="0" applyProtection="0"/>
    <xf numFmtId="0" fontId="9" fillId="102" borderId="0" applyNumberFormat="0" applyBorder="0" applyAlignment="0" applyProtection="0"/>
    <xf numFmtId="0" fontId="9" fillId="102" borderId="0" applyNumberFormat="0" applyBorder="0" applyAlignment="0" applyProtection="0"/>
    <xf numFmtId="0" fontId="9" fillId="102" borderId="0" applyNumberFormat="0" applyBorder="0" applyAlignment="0" applyProtection="0"/>
    <xf numFmtId="0" fontId="9" fillId="102" borderId="0" applyNumberFormat="0" applyBorder="0" applyAlignment="0" applyProtection="0"/>
    <xf numFmtId="0" fontId="9" fillId="102" borderId="0" applyNumberFormat="0" applyBorder="0" applyAlignment="0" applyProtection="0"/>
    <xf numFmtId="0" fontId="9" fillId="102" borderId="0" applyNumberFormat="0" applyBorder="0" applyAlignment="0" applyProtection="0"/>
    <xf numFmtId="0" fontId="9" fillId="102" borderId="0" applyNumberFormat="0" applyBorder="0" applyAlignment="0" applyProtection="0"/>
    <xf numFmtId="0" fontId="9" fillId="102" borderId="0" applyNumberFormat="0" applyBorder="0" applyAlignment="0" applyProtection="0"/>
    <xf numFmtId="0" fontId="9" fillId="102" borderId="0" applyNumberFormat="0" applyBorder="0" applyAlignment="0" applyProtection="0"/>
    <xf numFmtId="0" fontId="9" fillId="102" borderId="0" applyNumberFormat="0" applyBorder="0" applyAlignment="0" applyProtection="0"/>
    <xf numFmtId="0" fontId="9" fillId="102" borderId="0" applyNumberFormat="0" applyBorder="0" applyAlignment="0" applyProtection="0"/>
    <xf numFmtId="0" fontId="9" fillId="102" borderId="0" applyNumberFormat="0" applyBorder="0" applyAlignment="0" applyProtection="0"/>
    <xf numFmtId="0" fontId="9" fillId="102" borderId="0" applyNumberFormat="0" applyBorder="0" applyAlignment="0" applyProtection="0"/>
    <xf numFmtId="0" fontId="9" fillId="102" borderId="0" applyNumberFormat="0" applyBorder="0" applyAlignment="0" applyProtection="0"/>
    <xf numFmtId="0" fontId="9" fillId="102" borderId="0" applyNumberFormat="0" applyBorder="0" applyAlignment="0" applyProtection="0"/>
    <xf numFmtId="0" fontId="9" fillId="102" borderId="0" applyNumberFormat="0" applyBorder="0" applyAlignment="0" applyProtection="0"/>
    <xf numFmtId="0" fontId="9" fillId="102" borderId="0" applyNumberFormat="0" applyBorder="0" applyAlignment="0" applyProtection="0"/>
    <xf numFmtId="0" fontId="9" fillId="102" borderId="0" applyNumberFormat="0" applyBorder="0" applyAlignment="0" applyProtection="0"/>
    <xf numFmtId="0" fontId="9" fillId="102" borderId="0" applyNumberFormat="0" applyBorder="0" applyAlignment="0" applyProtection="0"/>
    <xf numFmtId="0" fontId="9" fillId="102" borderId="0" applyNumberFormat="0" applyBorder="0" applyAlignment="0" applyProtection="0"/>
    <xf numFmtId="0" fontId="9" fillId="102" borderId="0" applyNumberFormat="0" applyBorder="0" applyAlignment="0" applyProtection="0"/>
    <xf numFmtId="0" fontId="9" fillId="102" borderId="0" applyNumberFormat="0" applyBorder="0" applyAlignment="0" applyProtection="0"/>
    <xf numFmtId="0" fontId="9" fillId="102" borderId="0" applyNumberFormat="0" applyBorder="0" applyAlignment="0" applyProtection="0"/>
    <xf numFmtId="0" fontId="9" fillId="102" borderId="0" applyNumberFormat="0" applyBorder="0" applyAlignment="0" applyProtection="0"/>
    <xf numFmtId="0" fontId="9" fillId="102" borderId="0" applyNumberFormat="0" applyBorder="0" applyAlignment="0" applyProtection="0"/>
    <xf numFmtId="0" fontId="9" fillId="102" borderId="0" applyNumberFormat="0" applyBorder="0" applyAlignment="0" applyProtection="0"/>
    <xf numFmtId="0" fontId="9" fillId="102" borderId="0" applyNumberFormat="0" applyBorder="0" applyAlignment="0" applyProtection="0"/>
    <xf numFmtId="0" fontId="9" fillId="102" borderId="0" applyNumberFormat="0" applyBorder="0" applyAlignment="0" applyProtection="0"/>
    <xf numFmtId="0" fontId="9" fillId="102" borderId="0" applyNumberFormat="0" applyBorder="0" applyAlignment="0" applyProtection="0"/>
    <xf numFmtId="0" fontId="9" fillId="102" borderId="0" applyNumberFormat="0" applyBorder="0" applyAlignment="0" applyProtection="0"/>
    <xf numFmtId="0" fontId="9" fillId="102" borderId="0" applyNumberFormat="0" applyBorder="0" applyAlignment="0" applyProtection="0"/>
    <xf numFmtId="0" fontId="9" fillId="102" borderId="0" applyNumberFormat="0" applyBorder="0" applyAlignment="0" applyProtection="0"/>
    <xf numFmtId="0" fontId="9" fillId="89" borderId="0" applyNumberFormat="0" applyBorder="0" applyAlignment="0" applyProtection="0"/>
    <xf numFmtId="0" fontId="9" fillId="89" borderId="0" applyNumberFormat="0" applyBorder="0" applyAlignment="0" applyProtection="0"/>
    <xf numFmtId="0" fontId="9" fillId="89" borderId="0" applyNumberFormat="0" applyBorder="0" applyAlignment="0" applyProtection="0"/>
    <xf numFmtId="0" fontId="9" fillId="89" borderId="0" applyNumberFormat="0" applyBorder="0" applyAlignment="0" applyProtection="0"/>
    <xf numFmtId="0" fontId="9" fillId="89" borderId="0" applyNumberFormat="0" applyBorder="0" applyAlignment="0" applyProtection="0"/>
    <xf numFmtId="0" fontId="9" fillId="89" borderId="0" applyNumberFormat="0" applyBorder="0" applyAlignment="0" applyProtection="0"/>
    <xf numFmtId="0" fontId="9" fillId="89" borderId="0" applyNumberFormat="0" applyBorder="0" applyAlignment="0" applyProtection="0"/>
    <xf numFmtId="0" fontId="9" fillId="89" borderId="0" applyNumberFormat="0" applyBorder="0" applyAlignment="0" applyProtection="0"/>
    <xf numFmtId="0" fontId="9" fillId="89" borderId="0" applyNumberFormat="0" applyBorder="0" applyAlignment="0" applyProtection="0"/>
    <xf numFmtId="0" fontId="9" fillId="89" borderId="0" applyNumberFormat="0" applyBorder="0" applyAlignment="0" applyProtection="0"/>
    <xf numFmtId="0" fontId="9" fillId="89" borderId="0" applyNumberFormat="0" applyBorder="0" applyAlignment="0" applyProtection="0"/>
    <xf numFmtId="0" fontId="9" fillId="89" borderId="0" applyNumberFormat="0" applyBorder="0" applyAlignment="0" applyProtection="0"/>
    <xf numFmtId="0" fontId="9" fillId="89" borderId="0" applyNumberFormat="0" applyBorder="0" applyAlignment="0" applyProtection="0"/>
    <xf numFmtId="0" fontId="9" fillId="89" borderId="0" applyNumberFormat="0" applyBorder="0" applyAlignment="0" applyProtection="0"/>
    <xf numFmtId="0" fontId="9" fillId="89" borderId="0" applyNumberFormat="0" applyBorder="0" applyAlignment="0" applyProtection="0"/>
    <xf numFmtId="0" fontId="9" fillId="89" borderId="0" applyNumberFormat="0" applyBorder="0" applyAlignment="0" applyProtection="0"/>
    <xf numFmtId="0" fontId="9" fillId="89" borderId="0" applyNumberFormat="0" applyBorder="0" applyAlignment="0" applyProtection="0"/>
    <xf numFmtId="0" fontId="9" fillId="89" borderId="0" applyNumberFormat="0" applyBorder="0" applyAlignment="0" applyProtection="0"/>
    <xf numFmtId="0" fontId="9" fillId="89" borderId="0" applyNumberFormat="0" applyBorder="0" applyAlignment="0" applyProtection="0"/>
    <xf numFmtId="0" fontId="9" fillId="89" borderId="0" applyNumberFormat="0" applyBorder="0" applyAlignment="0" applyProtection="0"/>
    <xf numFmtId="0" fontId="9" fillId="89" borderId="0" applyNumberFormat="0" applyBorder="0" applyAlignment="0" applyProtection="0"/>
    <xf numFmtId="0" fontId="9" fillId="89" borderId="0" applyNumberFormat="0" applyBorder="0" applyAlignment="0" applyProtection="0"/>
    <xf numFmtId="0" fontId="9" fillId="89" borderId="0" applyNumberFormat="0" applyBorder="0" applyAlignment="0" applyProtection="0"/>
    <xf numFmtId="0" fontId="9" fillId="89" borderId="0" applyNumberFormat="0" applyBorder="0" applyAlignment="0" applyProtection="0"/>
    <xf numFmtId="0" fontId="9" fillId="89" borderId="0" applyNumberFormat="0" applyBorder="0" applyAlignment="0" applyProtection="0"/>
    <xf numFmtId="0" fontId="9" fillId="89" borderId="0" applyNumberFormat="0" applyBorder="0" applyAlignment="0" applyProtection="0"/>
    <xf numFmtId="0" fontId="9" fillId="89" borderId="0" applyNumberFormat="0" applyBorder="0" applyAlignment="0" applyProtection="0"/>
    <xf numFmtId="0" fontId="9" fillId="89" borderId="0" applyNumberFormat="0" applyBorder="0" applyAlignment="0" applyProtection="0"/>
    <xf numFmtId="0" fontId="9" fillId="89" borderId="0" applyNumberFormat="0" applyBorder="0" applyAlignment="0" applyProtection="0"/>
    <xf numFmtId="0" fontId="9" fillId="89" borderId="0" applyNumberFormat="0" applyBorder="0" applyAlignment="0" applyProtection="0"/>
    <xf numFmtId="0" fontId="9" fillId="89" borderId="0" applyNumberFormat="0" applyBorder="0" applyAlignment="0" applyProtection="0"/>
    <xf numFmtId="0" fontId="9" fillId="89" borderId="0" applyNumberFormat="0" applyBorder="0" applyAlignment="0" applyProtection="0"/>
    <xf numFmtId="0" fontId="9" fillId="89" borderId="0" applyNumberFormat="0" applyBorder="0" applyAlignment="0" applyProtection="0"/>
    <xf numFmtId="0" fontId="9" fillId="89" borderId="0" applyNumberFormat="0" applyBorder="0" applyAlignment="0" applyProtection="0"/>
    <xf numFmtId="0" fontId="9" fillId="89" borderId="0" applyNumberFormat="0" applyBorder="0" applyAlignment="0" applyProtection="0"/>
    <xf numFmtId="0" fontId="9" fillId="89" borderId="0" applyNumberFormat="0" applyBorder="0" applyAlignment="0" applyProtection="0"/>
    <xf numFmtId="0" fontId="9" fillId="89" borderId="0" applyNumberFormat="0" applyBorder="0" applyAlignment="0" applyProtection="0"/>
    <xf numFmtId="0" fontId="9" fillId="89" borderId="0" applyNumberFormat="0" applyBorder="0" applyAlignment="0" applyProtection="0"/>
    <xf numFmtId="0" fontId="9" fillId="89" borderId="0" applyNumberFormat="0" applyBorder="0" applyAlignment="0" applyProtection="0"/>
    <xf numFmtId="0" fontId="9" fillId="89" borderId="0" applyNumberFormat="0" applyBorder="0" applyAlignment="0" applyProtection="0"/>
    <xf numFmtId="0" fontId="9" fillId="89" borderId="0" applyNumberFormat="0" applyBorder="0" applyAlignment="0" applyProtection="0"/>
    <xf numFmtId="0" fontId="9" fillId="89" borderId="0" applyNumberFormat="0" applyBorder="0" applyAlignment="0" applyProtection="0"/>
    <xf numFmtId="0" fontId="9" fillId="89" borderId="0" applyNumberFormat="0" applyBorder="0" applyAlignment="0" applyProtection="0"/>
    <xf numFmtId="0" fontId="9" fillId="89" borderId="0" applyNumberFormat="0" applyBorder="0" applyAlignment="0" applyProtection="0"/>
    <xf numFmtId="0" fontId="9" fillId="89" borderId="0" applyNumberFormat="0" applyBorder="0" applyAlignment="0" applyProtection="0"/>
    <xf numFmtId="0" fontId="9" fillId="89" borderId="0" applyNumberFormat="0" applyBorder="0" applyAlignment="0" applyProtection="0"/>
    <xf numFmtId="0" fontId="9" fillId="89" borderId="0" applyNumberFormat="0" applyBorder="0" applyAlignment="0" applyProtection="0"/>
    <xf numFmtId="0" fontId="9" fillId="89" borderId="0" applyNumberFormat="0" applyBorder="0" applyAlignment="0" applyProtection="0"/>
    <xf numFmtId="0" fontId="9" fillId="89" borderId="0" applyNumberFormat="0" applyBorder="0" applyAlignment="0" applyProtection="0"/>
    <xf numFmtId="0" fontId="9" fillId="89" borderId="0" applyNumberFormat="0" applyBorder="0" applyAlignment="0" applyProtection="0"/>
    <xf numFmtId="0" fontId="9" fillId="89" borderId="0" applyNumberFormat="0" applyBorder="0" applyAlignment="0" applyProtection="0"/>
    <xf numFmtId="0" fontId="9" fillId="89" borderId="0" applyNumberFormat="0" applyBorder="0" applyAlignment="0" applyProtection="0"/>
    <xf numFmtId="0" fontId="9" fillId="89" borderId="0" applyNumberFormat="0" applyBorder="0" applyAlignment="0" applyProtection="0"/>
    <xf numFmtId="0" fontId="9" fillId="89" borderId="0" applyNumberFormat="0" applyBorder="0" applyAlignment="0" applyProtection="0"/>
    <xf numFmtId="0" fontId="9" fillId="89" borderId="0" applyNumberFormat="0" applyBorder="0" applyAlignment="0" applyProtection="0"/>
    <xf numFmtId="0" fontId="9" fillId="89" borderId="0" applyNumberFormat="0" applyBorder="0" applyAlignment="0" applyProtection="0"/>
    <xf numFmtId="0" fontId="9" fillId="89" borderId="0" applyNumberFormat="0" applyBorder="0" applyAlignment="0" applyProtection="0"/>
    <xf numFmtId="0" fontId="9" fillId="93" borderId="0" applyNumberFormat="0" applyBorder="0" applyAlignment="0" applyProtection="0"/>
    <xf numFmtId="0" fontId="9" fillId="93" borderId="0" applyNumberFormat="0" applyBorder="0" applyAlignment="0" applyProtection="0"/>
    <xf numFmtId="0" fontId="9" fillId="93" borderId="0" applyNumberFormat="0" applyBorder="0" applyAlignment="0" applyProtection="0"/>
    <xf numFmtId="0" fontId="9" fillId="93" borderId="0" applyNumberFormat="0" applyBorder="0" applyAlignment="0" applyProtection="0"/>
    <xf numFmtId="0" fontId="9" fillId="93" borderId="0" applyNumberFormat="0" applyBorder="0" applyAlignment="0" applyProtection="0"/>
    <xf numFmtId="0" fontId="9" fillId="93" borderId="0" applyNumberFormat="0" applyBorder="0" applyAlignment="0" applyProtection="0"/>
    <xf numFmtId="0" fontId="9" fillId="93" borderId="0" applyNumberFormat="0" applyBorder="0" applyAlignment="0" applyProtection="0"/>
    <xf numFmtId="0" fontId="9" fillId="93" borderId="0" applyNumberFormat="0" applyBorder="0" applyAlignment="0" applyProtection="0"/>
    <xf numFmtId="0" fontId="9" fillId="93" borderId="0" applyNumberFormat="0" applyBorder="0" applyAlignment="0" applyProtection="0"/>
    <xf numFmtId="0" fontId="9" fillId="93" borderId="0" applyNumberFormat="0" applyBorder="0" applyAlignment="0" applyProtection="0"/>
    <xf numFmtId="0" fontId="9" fillId="93" borderId="0" applyNumberFormat="0" applyBorder="0" applyAlignment="0" applyProtection="0"/>
    <xf numFmtId="0" fontId="9" fillId="93" borderId="0" applyNumberFormat="0" applyBorder="0" applyAlignment="0" applyProtection="0"/>
    <xf numFmtId="0" fontId="9" fillId="93" borderId="0" applyNumberFormat="0" applyBorder="0" applyAlignment="0" applyProtection="0"/>
    <xf numFmtId="0" fontId="9" fillId="93" borderId="0" applyNumberFormat="0" applyBorder="0" applyAlignment="0" applyProtection="0"/>
    <xf numFmtId="0" fontId="9" fillId="93" borderId="0" applyNumberFormat="0" applyBorder="0" applyAlignment="0" applyProtection="0"/>
    <xf numFmtId="0" fontId="9" fillId="93" borderId="0" applyNumberFormat="0" applyBorder="0" applyAlignment="0" applyProtection="0"/>
    <xf numFmtId="0" fontId="9" fillId="93" borderId="0" applyNumberFormat="0" applyBorder="0" applyAlignment="0" applyProtection="0"/>
    <xf numFmtId="0" fontId="9" fillId="93" borderId="0" applyNumberFormat="0" applyBorder="0" applyAlignment="0" applyProtection="0"/>
    <xf numFmtId="0" fontId="9" fillId="93" borderId="0" applyNumberFormat="0" applyBorder="0" applyAlignment="0" applyProtection="0"/>
    <xf numFmtId="0" fontId="9" fillId="93" borderId="0" applyNumberFormat="0" applyBorder="0" applyAlignment="0" applyProtection="0"/>
    <xf numFmtId="0" fontId="9" fillId="93" borderId="0" applyNumberFormat="0" applyBorder="0" applyAlignment="0" applyProtection="0"/>
    <xf numFmtId="0" fontId="9" fillId="93" borderId="0" applyNumberFormat="0" applyBorder="0" applyAlignment="0" applyProtection="0"/>
    <xf numFmtId="0" fontId="9" fillId="93" borderId="0" applyNumberFormat="0" applyBorder="0" applyAlignment="0" applyProtection="0"/>
    <xf numFmtId="0" fontId="9" fillId="93" borderId="0" applyNumberFormat="0" applyBorder="0" applyAlignment="0" applyProtection="0"/>
    <xf numFmtId="0" fontId="9" fillId="93" borderId="0" applyNumberFormat="0" applyBorder="0" applyAlignment="0" applyProtection="0"/>
    <xf numFmtId="0" fontId="9" fillId="93" borderId="0" applyNumberFormat="0" applyBorder="0" applyAlignment="0" applyProtection="0"/>
    <xf numFmtId="0" fontId="9" fillId="93" borderId="0" applyNumberFormat="0" applyBorder="0" applyAlignment="0" applyProtection="0"/>
    <xf numFmtId="0" fontId="9" fillId="93" borderId="0" applyNumberFormat="0" applyBorder="0" applyAlignment="0" applyProtection="0"/>
    <xf numFmtId="0" fontId="9" fillId="93" borderId="0" applyNumberFormat="0" applyBorder="0" applyAlignment="0" applyProtection="0"/>
    <xf numFmtId="0" fontId="9" fillId="93" borderId="0" applyNumberFormat="0" applyBorder="0" applyAlignment="0" applyProtection="0"/>
    <xf numFmtId="0" fontId="9" fillId="93" borderId="0" applyNumberFormat="0" applyBorder="0" applyAlignment="0" applyProtection="0"/>
    <xf numFmtId="0" fontId="9" fillId="93" borderId="0" applyNumberFormat="0" applyBorder="0" applyAlignment="0" applyProtection="0"/>
    <xf numFmtId="0" fontId="9" fillId="93" borderId="0" applyNumberFormat="0" applyBorder="0" applyAlignment="0" applyProtection="0"/>
    <xf numFmtId="0" fontId="9" fillId="93" borderId="0" applyNumberFormat="0" applyBorder="0" applyAlignment="0" applyProtection="0"/>
    <xf numFmtId="0" fontId="9" fillId="93" borderId="0" applyNumberFormat="0" applyBorder="0" applyAlignment="0" applyProtection="0"/>
    <xf numFmtId="0" fontId="9" fillId="93" borderId="0" applyNumberFormat="0" applyBorder="0" applyAlignment="0" applyProtection="0"/>
    <xf numFmtId="0" fontId="9" fillId="93" borderId="0" applyNumberFormat="0" applyBorder="0" applyAlignment="0" applyProtection="0"/>
    <xf numFmtId="0" fontId="9" fillId="93" borderId="0" applyNumberFormat="0" applyBorder="0" applyAlignment="0" applyProtection="0"/>
    <xf numFmtId="0" fontId="9" fillId="93" borderId="0" applyNumberFormat="0" applyBorder="0" applyAlignment="0" applyProtection="0"/>
    <xf numFmtId="0" fontId="9" fillId="93" borderId="0" applyNumberFormat="0" applyBorder="0" applyAlignment="0" applyProtection="0"/>
    <xf numFmtId="0" fontId="9" fillId="93" borderId="0" applyNumberFormat="0" applyBorder="0" applyAlignment="0" applyProtection="0"/>
    <xf numFmtId="0" fontId="9" fillId="93" borderId="0" applyNumberFormat="0" applyBorder="0" applyAlignment="0" applyProtection="0"/>
    <xf numFmtId="0" fontId="9" fillId="93" borderId="0" applyNumberFormat="0" applyBorder="0" applyAlignment="0" applyProtection="0"/>
    <xf numFmtId="0" fontId="9" fillId="93" borderId="0" applyNumberFormat="0" applyBorder="0" applyAlignment="0" applyProtection="0"/>
    <xf numFmtId="0" fontId="9" fillId="93" borderId="0" applyNumberFormat="0" applyBorder="0" applyAlignment="0" applyProtection="0"/>
    <xf numFmtId="0" fontId="9" fillId="93" borderId="0" applyNumberFormat="0" applyBorder="0" applyAlignment="0" applyProtection="0"/>
    <xf numFmtId="0" fontId="9" fillId="93" borderId="0" applyNumberFormat="0" applyBorder="0" applyAlignment="0" applyProtection="0"/>
    <xf numFmtId="0" fontId="9" fillId="93" borderId="0" applyNumberFormat="0" applyBorder="0" applyAlignment="0" applyProtection="0"/>
    <xf numFmtId="0" fontId="9" fillId="93" borderId="0" applyNumberFormat="0" applyBorder="0" applyAlignment="0" applyProtection="0"/>
    <xf numFmtId="0" fontId="9" fillId="93" borderId="0" applyNumberFormat="0" applyBorder="0" applyAlignment="0" applyProtection="0"/>
    <xf numFmtId="0" fontId="9" fillId="93" borderId="0" applyNumberFormat="0" applyBorder="0" applyAlignment="0" applyProtection="0"/>
    <xf numFmtId="0" fontId="9" fillId="93" borderId="0" applyNumberFormat="0" applyBorder="0" applyAlignment="0" applyProtection="0"/>
    <xf numFmtId="0" fontId="9" fillId="93" borderId="0" applyNumberFormat="0" applyBorder="0" applyAlignment="0" applyProtection="0"/>
    <xf numFmtId="0" fontId="9" fillId="93" borderId="0" applyNumberFormat="0" applyBorder="0" applyAlignment="0" applyProtection="0"/>
    <xf numFmtId="0" fontId="9" fillId="93" borderId="0" applyNumberFormat="0" applyBorder="0" applyAlignment="0" applyProtection="0"/>
    <xf numFmtId="0" fontId="9" fillId="93" borderId="0" applyNumberFormat="0" applyBorder="0" applyAlignment="0" applyProtection="0"/>
    <xf numFmtId="0" fontId="9" fillId="93" borderId="0" applyNumberFormat="0" applyBorder="0" applyAlignment="0" applyProtection="0"/>
    <xf numFmtId="0" fontId="9" fillId="97" borderId="0" applyNumberFormat="0" applyBorder="0" applyAlignment="0" applyProtection="0"/>
    <xf numFmtId="0" fontId="9" fillId="97" borderId="0" applyNumberFormat="0" applyBorder="0" applyAlignment="0" applyProtection="0"/>
    <xf numFmtId="0" fontId="9" fillId="97" borderId="0" applyNumberFormat="0" applyBorder="0" applyAlignment="0" applyProtection="0"/>
    <xf numFmtId="0" fontId="9" fillId="97" borderId="0" applyNumberFormat="0" applyBorder="0" applyAlignment="0" applyProtection="0"/>
    <xf numFmtId="0" fontId="9" fillId="97" borderId="0" applyNumberFormat="0" applyBorder="0" applyAlignment="0" applyProtection="0"/>
    <xf numFmtId="0" fontId="9" fillId="97" borderId="0" applyNumberFormat="0" applyBorder="0" applyAlignment="0" applyProtection="0"/>
    <xf numFmtId="0" fontId="9" fillId="97" borderId="0" applyNumberFormat="0" applyBorder="0" applyAlignment="0" applyProtection="0"/>
    <xf numFmtId="0" fontId="9" fillId="97" borderId="0" applyNumberFormat="0" applyBorder="0" applyAlignment="0" applyProtection="0"/>
    <xf numFmtId="0" fontId="9" fillId="97" borderId="0" applyNumberFormat="0" applyBorder="0" applyAlignment="0" applyProtection="0"/>
    <xf numFmtId="0" fontId="9" fillId="97" borderId="0" applyNumberFormat="0" applyBorder="0" applyAlignment="0" applyProtection="0"/>
    <xf numFmtId="0" fontId="9" fillId="97" borderId="0" applyNumberFormat="0" applyBorder="0" applyAlignment="0" applyProtection="0"/>
    <xf numFmtId="0" fontId="9" fillId="97" borderId="0" applyNumberFormat="0" applyBorder="0" applyAlignment="0" applyProtection="0"/>
    <xf numFmtId="0" fontId="9" fillId="97" borderId="0" applyNumberFormat="0" applyBorder="0" applyAlignment="0" applyProtection="0"/>
    <xf numFmtId="0" fontId="9" fillId="97" borderId="0" applyNumberFormat="0" applyBorder="0" applyAlignment="0" applyProtection="0"/>
    <xf numFmtId="0" fontId="9" fillId="97" borderId="0" applyNumberFormat="0" applyBorder="0" applyAlignment="0" applyProtection="0"/>
    <xf numFmtId="0" fontId="9" fillId="97" borderId="0" applyNumberFormat="0" applyBorder="0" applyAlignment="0" applyProtection="0"/>
    <xf numFmtId="0" fontId="9" fillId="97" borderId="0" applyNumberFormat="0" applyBorder="0" applyAlignment="0" applyProtection="0"/>
    <xf numFmtId="0" fontId="9" fillId="97" borderId="0" applyNumberFormat="0" applyBorder="0" applyAlignment="0" applyProtection="0"/>
    <xf numFmtId="0" fontId="9" fillId="97" borderId="0" applyNumberFormat="0" applyBorder="0" applyAlignment="0" applyProtection="0"/>
    <xf numFmtId="0" fontId="9" fillId="97" borderId="0" applyNumberFormat="0" applyBorder="0" applyAlignment="0" applyProtection="0"/>
    <xf numFmtId="0" fontId="9" fillId="97" borderId="0" applyNumberFormat="0" applyBorder="0" applyAlignment="0" applyProtection="0"/>
    <xf numFmtId="0" fontId="9" fillId="97" borderId="0" applyNumberFormat="0" applyBorder="0" applyAlignment="0" applyProtection="0"/>
    <xf numFmtId="0" fontId="9" fillId="97" borderId="0" applyNumberFormat="0" applyBorder="0" applyAlignment="0" applyProtection="0"/>
    <xf numFmtId="0" fontId="9" fillId="97" borderId="0" applyNumberFormat="0" applyBorder="0" applyAlignment="0" applyProtection="0"/>
    <xf numFmtId="0" fontId="9" fillId="97" borderId="0" applyNumberFormat="0" applyBorder="0" applyAlignment="0" applyProtection="0"/>
    <xf numFmtId="0" fontId="9" fillId="97" borderId="0" applyNumberFormat="0" applyBorder="0" applyAlignment="0" applyProtection="0"/>
    <xf numFmtId="0" fontId="9" fillId="97" borderId="0" applyNumberFormat="0" applyBorder="0" applyAlignment="0" applyProtection="0"/>
    <xf numFmtId="0" fontId="9" fillId="97" borderId="0" applyNumberFormat="0" applyBorder="0" applyAlignment="0" applyProtection="0"/>
    <xf numFmtId="0" fontId="9" fillId="97" borderId="0" applyNumberFormat="0" applyBorder="0" applyAlignment="0" applyProtection="0"/>
    <xf numFmtId="0" fontId="9" fillId="97" borderId="0" applyNumberFormat="0" applyBorder="0" applyAlignment="0" applyProtection="0"/>
    <xf numFmtId="0" fontId="9" fillId="97" borderId="0" applyNumberFormat="0" applyBorder="0" applyAlignment="0" applyProtection="0"/>
    <xf numFmtId="0" fontId="9" fillId="97" borderId="0" applyNumberFormat="0" applyBorder="0" applyAlignment="0" applyProtection="0"/>
    <xf numFmtId="0" fontId="9" fillId="97" borderId="0" applyNumberFormat="0" applyBorder="0" applyAlignment="0" applyProtection="0"/>
    <xf numFmtId="0" fontId="9" fillId="97" borderId="0" applyNumberFormat="0" applyBorder="0" applyAlignment="0" applyProtection="0"/>
    <xf numFmtId="0" fontId="9" fillId="97" borderId="0" applyNumberFormat="0" applyBorder="0" applyAlignment="0" applyProtection="0"/>
    <xf numFmtId="0" fontId="9" fillId="97" borderId="0" applyNumberFormat="0" applyBorder="0" applyAlignment="0" applyProtection="0"/>
    <xf numFmtId="0" fontId="9" fillId="97" borderId="0" applyNumberFormat="0" applyBorder="0" applyAlignment="0" applyProtection="0"/>
    <xf numFmtId="0" fontId="9" fillId="97" borderId="0" applyNumberFormat="0" applyBorder="0" applyAlignment="0" applyProtection="0"/>
    <xf numFmtId="0" fontId="9" fillId="97" borderId="0" applyNumberFormat="0" applyBorder="0" applyAlignment="0" applyProtection="0"/>
    <xf numFmtId="0" fontId="9" fillId="97" borderId="0" applyNumberFormat="0" applyBorder="0" applyAlignment="0" applyProtection="0"/>
    <xf numFmtId="0" fontId="9" fillId="97" borderId="0" applyNumberFormat="0" applyBorder="0" applyAlignment="0" applyProtection="0"/>
    <xf numFmtId="0" fontId="9" fillId="97" borderId="0" applyNumberFormat="0" applyBorder="0" applyAlignment="0" applyProtection="0"/>
    <xf numFmtId="0" fontId="9" fillId="97" borderId="0" applyNumberFormat="0" applyBorder="0" applyAlignment="0" applyProtection="0"/>
    <xf numFmtId="0" fontId="9" fillId="97" borderId="0" applyNumberFormat="0" applyBorder="0" applyAlignment="0" applyProtection="0"/>
    <xf numFmtId="0" fontId="9" fillId="97" borderId="0" applyNumberFormat="0" applyBorder="0" applyAlignment="0" applyProtection="0"/>
    <xf numFmtId="0" fontId="9" fillId="97" borderId="0" applyNumberFormat="0" applyBorder="0" applyAlignment="0" applyProtection="0"/>
    <xf numFmtId="0" fontId="9" fillId="97" borderId="0" applyNumberFormat="0" applyBorder="0" applyAlignment="0" applyProtection="0"/>
    <xf numFmtId="0" fontId="9" fillId="97" borderId="0" applyNumberFormat="0" applyBorder="0" applyAlignment="0" applyProtection="0"/>
    <xf numFmtId="0" fontId="9" fillId="97" borderId="0" applyNumberFormat="0" applyBorder="0" applyAlignment="0" applyProtection="0"/>
    <xf numFmtId="0" fontId="9" fillId="97" borderId="0" applyNumberFormat="0" applyBorder="0" applyAlignment="0" applyProtection="0"/>
    <xf numFmtId="0" fontId="9" fillId="97" borderId="0" applyNumberFormat="0" applyBorder="0" applyAlignment="0" applyProtection="0"/>
    <xf numFmtId="0" fontId="9" fillId="97" borderId="0" applyNumberFormat="0" applyBorder="0" applyAlignment="0" applyProtection="0"/>
    <xf numFmtId="0" fontId="9" fillId="97" borderId="0" applyNumberFormat="0" applyBorder="0" applyAlignment="0" applyProtection="0"/>
    <xf numFmtId="0" fontId="9" fillId="97" borderId="0" applyNumberFormat="0" applyBorder="0" applyAlignment="0" applyProtection="0"/>
    <xf numFmtId="0" fontId="9" fillId="97" borderId="0" applyNumberFormat="0" applyBorder="0" applyAlignment="0" applyProtection="0"/>
    <xf numFmtId="0" fontId="9" fillId="97" borderId="0" applyNumberFormat="0" applyBorder="0" applyAlignment="0" applyProtection="0"/>
    <xf numFmtId="0" fontId="9" fillId="97" borderId="0" applyNumberFormat="0" applyBorder="0" applyAlignment="0" applyProtection="0"/>
    <xf numFmtId="0" fontId="9" fillId="81" borderId="0" applyNumberFormat="0" applyBorder="0" applyAlignment="0" applyProtection="0"/>
    <xf numFmtId="0" fontId="9" fillId="81" borderId="0" applyNumberFormat="0" applyBorder="0" applyAlignment="0" applyProtection="0"/>
    <xf numFmtId="0" fontId="9" fillId="81" borderId="0" applyNumberFormat="0" applyBorder="0" applyAlignment="0" applyProtection="0"/>
    <xf numFmtId="0" fontId="9" fillId="81" borderId="0" applyNumberFormat="0" applyBorder="0" applyAlignment="0" applyProtection="0"/>
    <xf numFmtId="0" fontId="9" fillId="81" borderId="0" applyNumberFormat="0" applyBorder="0" applyAlignment="0" applyProtection="0"/>
    <xf numFmtId="0" fontId="9" fillId="81" borderId="0" applyNumberFormat="0" applyBorder="0" applyAlignment="0" applyProtection="0"/>
    <xf numFmtId="0" fontId="9" fillId="81" borderId="0" applyNumberFormat="0" applyBorder="0" applyAlignment="0" applyProtection="0"/>
    <xf numFmtId="0" fontId="9" fillId="81" borderId="0" applyNumberFormat="0" applyBorder="0" applyAlignment="0" applyProtection="0"/>
    <xf numFmtId="0" fontId="9" fillId="81" borderId="0" applyNumberFormat="0" applyBorder="0" applyAlignment="0" applyProtection="0"/>
    <xf numFmtId="0" fontId="9" fillId="81" borderId="0" applyNumberFormat="0" applyBorder="0" applyAlignment="0" applyProtection="0"/>
    <xf numFmtId="0" fontId="9" fillId="81" borderId="0" applyNumberFormat="0" applyBorder="0" applyAlignment="0" applyProtection="0"/>
    <xf numFmtId="0" fontId="9" fillId="81" borderId="0" applyNumberFormat="0" applyBorder="0" applyAlignment="0" applyProtection="0"/>
    <xf numFmtId="0" fontId="9" fillId="81" borderId="0" applyNumberFormat="0" applyBorder="0" applyAlignment="0" applyProtection="0"/>
    <xf numFmtId="0" fontId="9" fillId="81" borderId="0" applyNumberFormat="0" applyBorder="0" applyAlignment="0" applyProtection="0"/>
    <xf numFmtId="0" fontId="9" fillId="81" borderId="0" applyNumberFormat="0" applyBorder="0" applyAlignment="0" applyProtection="0"/>
    <xf numFmtId="0" fontId="9" fillId="81" borderId="0" applyNumberFormat="0" applyBorder="0" applyAlignment="0" applyProtection="0"/>
    <xf numFmtId="0" fontId="9" fillId="81" borderId="0" applyNumberFormat="0" applyBorder="0" applyAlignment="0" applyProtection="0"/>
    <xf numFmtId="0" fontId="9" fillId="81" borderId="0" applyNumberFormat="0" applyBorder="0" applyAlignment="0" applyProtection="0"/>
    <xf numFmtId="0" fontId="9" fillId="81" borderId="0" applyNumberFormat="0" applyBorder="0" applyAlignment="0" applyProtection="0"/>
    <xf numFmtId="0" fontId="9" fillId="81" borderId="0" applyNumberFormat="0" applyBorder="0" applyAlignment="0" applyProtection="0"/>
    <xf numFmtId="0" fontId="9" fillId="81" borderId="0" applyNumberFormat="0" applyBorder="0" applyAlignment="0" applyProtection="0"/>
    <xf numFmtId="0" fontId="9" fillId="81" borderId="0" applyNumberFormat="0" applyBorder="0" applyAlignment="0" applyProtection="0"/>
    <xf numFmtId="0" fontId="9" fillId="81" borderId="0" applyNumberFormat="0" applyBorder="0" applyAlignment="0" applyProtection="0"/>
    <xf numFmtId="0" fontId="9" fillId="81" borderId="0" applyNumberFormat="0" applyBorder="0" applyAlignment="0" applyProtection="0"/>
    <xf numFmtId="0" fontId="9" fillId="81" borderId="0" applyNumberFormat="0" applyBorder="0" applyAlignment="0" applyProtection="0"/>
    <xf numFmtId="0" fontId="9" fillId="81" borderId="0" applyNumberFormat="0" applyBorder="0" applyAlignment="0" applyProtection="0"/>
    <xf numFmtId="0" fontId="9" fillId="81" borderId="0" applyNumberFormat="0" applyBorder="0" applyAlignment="0" applyProtection="0"/>
    <xf numFmtId="0" fontId="9" fillId="81" borderId="0" applyNumberFormat="0" applyBorder="0" applyAlignment="0" applyProtection="0"/>
    <xf numFmtId="0" fontId="9" fillId="81" borderId="0" applyNumberFormat="0" applyBorder="0" applyAlignment="0" applyProtection="0"/>
    <xf numFmtId="0" fontId="9" fillId="81" borderId="0" applyNumberFormat="0" applyBorder="0" applyAlignment="0" applyProtection="0"/>
    <xf numFmtId="0" fontId="9" fillId="81" borderId="0" applyNumberFormat="0" applyBorder="0" applyAlignment="0" applyProtection="0"/>
    <xf numFmtId="0" fontId="9" fillId="81" borderId="0" applyNumberFormat="0" applyBorder="0" applyAlignment="0" applyProtection="0"/>
    <xf numFmtId="0" fontId="9" fillId="81" borderId="0" applyNumberFormat="0" applyBorder="0" applyAlignment="0" applyProtection="0"/>
    <xf numFmtId="0" fontId="9" fillId="81" borderId="0" applyNumberFormat="0" applyBorder="0" applyAlignment="0" applyProtection="0"/>
    <xf numFmtId="0" fontId="9" fillId="81" borderId="0" applyNumberFormat="0" applyBorder="0" applyAlignment="0" applyProtection="0"/>
    <xf numFmtId="0" fontId="9" fillId="81" borderId="0" applyNumberFormat="0" applyBorder="0" applyAlignment="0" applyProtection="0"/>
    <xf numFmtId="0" fontId="9" fillId="81" borderId="0" applyNumberFormat="0" applyBorder="0" applyAlignment="0" applyProtection="0"/>
    <xf numFmtId="0" fontId="9" fillId="81" borderId="0" applyNumberFormat="0" applyBorder="0" applyAlignment="0" applyProtection="0"/>
    <xf numFmtId="0" fontId="9" fillId="81" borderId="0" applyNumberFormat="0" applyBorder="0" applyAlignment="0" applyProtection="0"/>
    <xf numFmtId="0" fontId="9" fillId="81" borderId="0" applyNumberFormat="0" applyBorder="0" applyAlignment="0" applyProtection="0"/>
    <xf numFmtId="0" fontId="9" fillId="81" borderId="0" applyNumberFormat="0" applyBorder="0" applyAlignment="0" applyProtection="0"/>
    <xf numFmtId="0" fontId="9" fillId="81" borderId="0" applyNumberFormat="0" applyBorder="0" applyAlignment="0" applyProtection="0"/>
    <xf numFmtId="0" fontId="9" fillId="81" borderId="0" applyNumberFormat="0" applyBorder="0" applyAlignment="0" applyProtection="0"/>
    <xf numFmtId="0" fontId="9" fillId="81" borderId="0" applyNumberFormat="0" applyBorder="0" applyAlignment="0" applyProtection="0"/>
    <xf numFmtId="0" fontId="9" fillId="81" borderId="0" applyNumberFormat="0" applyBorder="0" applyAlignment="0" applyProtection="0"/>
    <xf numFmtId="0" fontId="9" fillId="81" borderId="0" applyNumberFormat="0" applyBorder="0" applyAlignment="0" applyProtection="0"/>
    <xf numFmtId="0" fontId="9" fillId="81" borderId="0" applyNumberFormat="0" applyBorder="0" applyAlignment="0" applyProtection="0"/>
    <xf numFmtId="0" fontId="9" fillId="81" borderId="0" applyNumberFormat="0" applyBorder="0" applyAlignment="0" applyProtection="0"/>
    <xf numFmtId="0" fontId="9" fillId="81" borderId="0" applyNumberFormat="0" applyBorder="0" applyAlignment="0" applyProtection="0"/>
    <xf numFmtId="0" fontId="9" fillId="81" borderId="0" applyNumberFormat="0" applyBorder="0" applyAlignment="0" applyProtection="0"/>
    <xf numFmtId="0" fontId="9" fillId="81" borderId="0" applyNumberFormat="0" applyBorder="0" applyAlignment="0" applyProtection="0"/>
    <xf numFmtId="0" fontId="9" fillId="81" borderId="0" applyNumberFormat="0" applyBorder="0" applyAlignment="0" applyProtection="0"/>
    <xf numFmtId="0" fontId="9" fillId="81" borderId="0" applyNumberFormat="0" applyBorder="0" applyAlignment="0" applyProtection="0"/>
    <xf numFmtId="0" fontId="9" fillId="81" borderId="0" applyNumberFormat="0" applyBorder="0" applyAlignment="0" applyProtection="0"/>
    <xf numFmtId="0" fontId="9" fillId="81" borderId="0" applyNumberFormat="0" applyBorder="0" applyAlignment="0" applyProtection="0"/>
    <xf numFmtId="0" fontId="9" fillId="81" borderId="0" applyNumberFormat="0" applyBorder="0" applyAlignment="0" applyProtection="0"/>
    <xf numFmtId="0" fontId="9" fillId="81" borderId="0" applyNumberFormat="0" applyBorder="0" applyAlignment="0" applyProtection="0"/>
    <xf numFmtId="0" fontId="9" fillId="43" borderId="0" applyNumberFormat="0" applyBorder="0" applyAlignment="0" applyProtection="0"/>
    <xf numFmtId="0" fontId="9" fillId="43" borderId="0" applyNumberFormat="0" applyBorder="0" applyAlignment="0" applyProtection="0"/>
    <xf numFmtId="0" fontId="9" fillId="43" borderId="0" applyNumberFormat="0" applyBorder="0" applyAlignment="0" applyProtection="0"/>
    <xf numFmtId="0" fontId="9" fillId="43" borderId="0" applyNumberFormat="0" applyBorder="0" applyAlignment="0" applyProtection="0"/>
    <xf numFmtId="0" fontId="9" fillId="43" borderId="0" applyNumberFormat="0" applyBorder="0" applyAlignment="0" applyProtection="0"/>
    <xf numFmtId="0" fontId="9" fillId="43" borderId="0" applyNumberFormat="0" applyBorder="0" applyAlignment="0" applyProtection="0"/>
    <xf numFmtId="0" fontId="9" fillId="43" borderId="0" applyNumberFormat="0" applyBorder="0" applyAlignment="0" applyProtection="0"/>
    <xf numFmtId="0" fontId="9" fillId="43" borderId="0" applyNumberFormat="0" applyBorder="0" applyAlignment="0" applyProtection="0"/>
    <xf numFmtId="0" fontId="9" fillId="43" borderId="0" applyNumberFormat="0" applyBorder="0" applyAlignment="0" applyProtection="0"/>
    <xf numFmtId="0" fontId="9" fillId="43" borderId="0" applyNumberFormat="0" applyBorder="0" applyAlignment="0" applyProtection="0"/>
    <xf numFmtId="0" fontId="9" fillId="43" borderId="0" applyNumberFormat="0" applyBorder="0" applyAlignment="0" applyProtection="0"/>
    <xf numFmtId="0" fontId="9" fillId="43" borderId="0" applyNumberFormat="0" applyBorder="0" applyAlignment="0" applyProtection="0"/>
    <xf numFmtId="0" fontId="9" fillId="43" borderId="0" applyNumberFormat="0" applyBorder="0" applyAlignment="0" applyProtection="0"/>
    <xf numFmtId="0" fontId="9" fillId="43" borderId="0" applyNumberFormat="0" applyBorder="0" applyAlignment="0" applyProtection="0"/>
    <xf numFmtId="0" fontId="9" fillId="43" borderId="0" applyNumberFormat="0" applyBorder="0" applyAlignment="0" applyProtection="0"/>
    <xf numFmtId="0" fontId="9" fillId="43" borderId="0" applyNumberFormat="0" applyBorder="0" applyAlignment="0" applyProtection="0"/>
    <xf numFmtId="0" fontId="9" fillId="43" borderId="0" applyNumberFormat="0" applyBorder="0" applyAlignment="0" applyProtection="0"/>
    <xf numFmtId="0" fontId="9" fillId="43" borderId="0" applyNumberFormat="0" applyBorder="0" applyAlignment="0" applyProtection="0"/>
    <xf numFmtId="0" fontId="9" fillId="43" borderId="0" applyNumberFormat="0" applyBorder="0" applyAlignment="0" applyProtection="0"/>
    <xf numFmtId="0" fontId="9" fillId="43" borderId="0" applyNumberFormat="0" applyBorder="0" applyAlignment="0" applyProtection="0"/>
    <xf numFmtId="0" fontId="9" fillId="43" borderId="0" applyNumberFormat="0" applyBorder="0" applyAlignment="0" applyProtection="0"/>
    <xf numFmtId="0" fontId="9" fillId="43" borderId="0" applyNumberFormat="0" applyBorder="0" applyAlignment="0" applyProtection="0"/>
    <xf numFmtId="0" fontId="9" fillId="43" borderId="0" applyNumberFormat="0" applyBorder="0" applyAlignment="0" applyProtection="0"/>
    <xf numFmtId="0" fontId="9" fillId="43" borderId="0" applyNumberFormat="0" applyBorder="0" applyAlignment="0" applyProtection="0"/>
    <xf numFmtId="0" fontId="9" fillId="43" borderId="0" applyNumberFormat="0" applyBorder="0" applyAlignment="0" applyProtection="0"/>
    <xf numFmtId="0" fontId="9" fillId="43" borderId="0" applyNumberFormat="0" applyBorder="0" applyAlignment="0" applyProtection="0"/>
    <xf numFmtId="0" fontId="9" fillId="43" borderId="0" applyNumberFormat="0" applyBorder="0" applyAlignment="0" applyProtection="0"/>
    <xf numFmtId="0" fontId="9" fillId="43" borderId="0" applyNumberFormat="0" applyBorder="0" applyAlignment="0" applyProtection="0"/>
    <xf numFmtId="0" fontId="9" fillId="43" borderId="0" applyNumberFormat="0" applyBorder="0" applyAlignment="0" applyProtection="0"/>
    <xf numFmtId="0" fontId="9" fillId="43" borderId="0" applyNumberFormat="0" applyBorder="0" applyAlignment="0" applyProtection="0"/>
    <xf numFmtId="0" fontId="9" fillId="43" borderId="0" applyNumberFormat="0" applyBorder="0" applyAlignment="0" applyProtection="0"/>
    <xf numFmtId="0" fontId="9" fillId="43" borderId="0" applyNumberFormat="0" applyBorder="0" applyAlignment="0" applyProtection="0"/>
    <xf numFmtId="0" fontId="9" fillId="43" borderId="0" applyNumberFormat="0" applyBorder="0" applyAlignment="0" applyProtection="0"/>
    <xf numFmtId="0" fontId="9" fillId="43" borderId="0" applyNumberFormat="0" applyBorder="0" applyAlignment="0" applyProtection="0"/>
    <xf numFmtId="0" fontId="9" fillId="43" borderId="0" applyNumberFormat="0" applyBorder="0" applyAlignment="0" applyProtection="0"/>
    <xf numFmtId="0" fontId="9" fillId="43" borderId="0" applyNumberFormat="0" applyBorder="0" applyAlignment="0" applyProtection="0"/>
    <xf numFmtId="0" fontId="9" fillId="43" borderId="0" applyNumberFormat="0" applyBorder="0" applyAlignment="0" applyProtection="0"/>
    <xf numFmtId="0" fontId="9" fillId="43" borderId="0" applyNumberFormat="0" applyBorder="0" applyAlignment="0" applyProtection="0"/>
    <xf numFmtId="0" fontId="9" fillId="43" borderId="0" applyNumberFormat="0" applyBorder="0" applyAlignment="0" applyProtection="0"/>
    <xf numFmtId="0" fontId="9" fillId="43" borderId="0" applyNumberFormat="0" applyBorder="0" applyAlignment="0" applyProtection="0"/>
    <xf numFmtId="0" fontId="9" fillId="43" borderId="0" applyNumberFormat="0" applyBorder="0" applyAlignment="0" applyProtection="0"/>
    <xf numFmtId="0" fontId="9" fillId="43" borderId="0" applyNumberFormat="0" applyBorder="0" applyAlignment="0" applyProtection="0"/>
    <xf numFmtId="0" fontId="9" fillId="43" borderId="0" applyNumberFormat="0" applyBorder="0" applyAlignment="0" applyProtection="0"/>
    <xf numFmtId="0" fontId="9" fillId="43" borderId="0" applyNumberFormat="0" applyBorder="0" applyAlignment="0" applyProtection="0"/>
    <xf numFmtId="0" fontId="9" fillId="43" borderId="0" applyNumberFormat="0" applyBorder="0" applyAlignment="0" applyProtection="0"/>
    <xf numFmtId="0" fontId="9" fillId="43" borderId="0" applyNumberFormat="0" applyBorder="0" applyAlignment="0" applyProtection="0"/>
    <xf numFmtId="0" fontId="9" fillId="43" borderId="0" applyNumberFormat="0" applyBorder="0" applyAlignment="0" applyProtection="0"/>
    <xf numFmtId="0" fontId="9" fillId="43" borderId="0" applyNumberFormat="0" applyBorder="0" applyAlignment="0" applyProtection="0"/>
    <xf numFmtId="0" fontId="9" fillId="43" borderId="0" applyNumberFormat="0" applyBorder="0" applyAlignment="0" applyProtection="0"/>
    <xf numFmtId="0" fontId="9" fillId="43" borderId="0" applyNumberFormat="0" applyBorder="0" applyAlignment="0" applyProtection="0"/>
    <xf numFmtId="0" fontId="9" fillId="43" borderId="0" applyNumberFormat="0" applyBorder="0" applyAlignment="0" applyProtection="0"/>
    <xf numFmtId="0" fontId="9" fillId="43" borderId="0" applyNumberFormat="0" applyBorder="0" applyAlignment="0" applyProtection="0"/>
    <xf numFmtId="0" fontId="9" fillId="43" borderId="0" applyNumberFormat="0" applyBorder="0" applyAlignment="0" applyProtection="0"/>
    <xf numFmtId="0" fontId="9" fillId="43" borderId="0" applyNumberFormat="0" applyBorder="0" applyAlignment="0" applyProtection="0"/>
    <xf numFmtId="0" fontId="9" fillId="43" borderId="0" applyNumberFormat="0" applyBorder="0" applyAlignment="0" applyProtection="0"/>
    <xf numFmtId="0" fontId="9" fillId="43" borderId="0" applyNumberFormat="0" applyBorder="0" applyAlignment="0" applyProtection="0"/>
    <xf numFmtId="0" fontId="9" fillId="43" borderId="0" applyNumberFormat="0" applyBorder="0" applyAlignment="0" applyProtection="0"/>
    <xf numFmtId="0" fontId="9" fillId="86" borderId="0" applyNumberFormat="0" applyBorder="0" applyAlignment="0" applyProtection="0"/>
    <xf numFmtId="0" fontId="9" fillId="86" borderId="0" applyNumberFormat="0" applyBorder="0" applyAlignment="0" applyProtection="0"/>
    <xf numFmtId="0" fontId="9" fillId="86" borderId="0" applyNumberFormat="0" applyBorder="0" applyAlignment="0" applyProtection="0"/>
    <xf numFmtId="0" fontId="9" fillId="86" borderId="0" applyNumberFormat="0" applyBorder="0" applyAlignment="0" applyProtection="0"/>
    <xf numFmtId="0" fontId="9" fillId="86" borderId="0" applyNumberFormat="0" applyBorder="0" applyAlignment="0" applyProtection="0"/>
    <xf numFmtId="0" fontId="9" fillId="86" borderId="0" applyNumberFormat="0" applyBorder="0" applyAlignment="0" applyProtection="0"/>
    <xf numFmtId="0" fontId="9" fillId="86" borderId="0" applyNumberFormat="0" applyBorder="0" applyAlignment="0" applyProtection="0"/>
    <xf numFmtId="0" fontId="9" fillId="86" borderId="0" applyNumberFormat="0" applyBorder="0" applyAlignment="0" applyProtection="0"/>
    <xf numFmtId="0" fontId="9" fillId="86" borderId="0" applyNumberFormat="0" applyBorder="0" applyAlignment="0" applyProtection="0"/>
    <xf numFmtId="0" fontId="9" fillId="86" borderId="0" applyNumberFormat="0" applyBorder="0" applyAlignment="0" applyProtection="0"/>
    <xf numFmtId="0" fontId="9" fillId="86" borderId="0" applyNumberFormat="0" applyBorder="0" applyAlignment="0" applyProtection="0"/>
    <xf numFmtId="0" fontId="9" fillId="86" borderId="0" applyNumberFormat="0" applyBorder="0" applyAlignment="0" applyProtection="0"/>
    <xf numFmtId="0" fontId="9" fillId="86" borderId="0" applyNumberFormat="0" applyBorder="0" applyAlignment="0" applyProtection="0"/>
    <xf numFmtId="0" fontId="9" fillId="86" borderId="0" applyNumberFormat="0" applyBorder="0" applyAlignment="0" applyProtection="0"/>
    <xf numFmtId="0" fontId="9" fillId="86" borderId="0" applyNumberFormat="0" applyBorder="0" applyAlignment="0" applyProtection="0"/>
    <xf numFmtId="0" fontId="9" fillId="86" borderId="0" applyNumberFormat="0" applyBorder="0" applyAlignment="0" applyProtection="0"/>
    <xf numFmtId="0" fontId="9" fillId="86" borderId="0" applyNumberFormat="0" applyBorder="0" applyAlignment="0" applyProtection="0"/>
    <xf numFmtId="0" fontId="9" fillId="86" borderId="0" applyNumberFormat="0" applyBorder="0" applyAlignment="0" applyProtection="0"/>
    <xf numFmtId="0" fontId="9" fillId="86" borderId="0" applyNumberFormat="0" applyBorder="0" applyAlignment="0" applyProtection="0"/>
    <xf numFmtId="0" fontId="9" fillId="86" borderId="0" applyNumberFormat="0" applyBorder="0" applyAlignment="0" applyProtection="0"/>
    <xf numFmtId="0" fontId="9" fillId="86" borderId="0" applyNumberFormat="0" applyBorder="0" applyAlignment="0" applyProtection="0"/>
    <xf numFmtId="0" fontId="9" fillId="86" borderId="0" applyNumberFormat="0" applyBorder="0" applyAlignment="0" applyProtection="0"/>
    <xf numFmtId="0" fontId="9" fillId="86" borderId="0" applyNumberFormat="0" applyBorder="0" applyAlignment="0" applyProtection="0"/>
    <xf numFmtId="0" fontId="9" fillId="86" borderId="0" applyNumberFormat="0" applyBorder="0" applyAlignment="0" applyProtection="0"/>
    <xf numFmtId="0" fontId="9" fillId="86" borderId="0" applyNumberFormat="0" applyBorder="0" applyAlignment="0" applyProtection="0"/>
    <xf numFmtId="0" fontId="9" fillId="86" borderId="0" applyNumberFormat="0" applyBorder="0" applyAlignment="0" applyProtection="0"/>
    <xf numFmtId="0" fontId="9" fillId="86" borderId="0" applyNumberFormat="0" applyBorder="0" applyAlignment="0" applyProtection="0"/>
    <xf numFmtId="0" fontId="9" fillId="86" borderId="0" applyNumberFormat="0" applyBorder="0" applyAlignment="0" applyProtection="0"/>
    <xf numFmtId="0" fontId="9" fillId="86" borderId="0" applyNumberFormat="0" applyBorder="0" applyAlignment="0" applyProtection="0"/>
    <xf numFmtId="0" fontId="9" fillId="86" borderId="0" applyNumberFormat="0" applyBorder="0" applyAlignment="0" applyProtection="0"/>
    <xf numFmtId="0" fontId="9" fillId="86" borderId="0" applyNumberFormat="0" applyBorder="0" applyAlignment="0" applyProtection="0"/>
    <xf numFmtId="0" fontId="9" fillId="86" borderId="0" applyNumberFormat="0" applyBorder="0" applyAlignment="0" applyProtection="0"/>
    <xf numFmtId="0" fontId="9" fillId="86" borderId="0" applyNumberFormat="0" applyBorder="0" applyAlignment="0" applyProtection="0"/>
    <xf numFmtId="0" fontId="9" fillId="86" borderId="0" applyNumberFormat="0" applyBorder="0" applyAlignment="0" applyProtection="0"/>
    <xf numFmtId="0" fontId="9" fillId="86" borderId="0" applyNumberFormat="0" applyBorder="0" applyAlignment="0" applyProtection="0"/>
    <xf numFmtId="0" fontId="9" fillId="86" borderId="0" applyNumberFormat="0" applyBorder="0" applyAlignment="0" applyProtection="0"/>
    <xf numFmtId="0" fontId="9" fillId="86" borderId="0" applyNumberFormat="0" applyBorder="0" applyAlignment="0" applyProtection="0"/>
    <xf numFmtId="0" fontId="9" fillId="86" borderId="0" applyNumberFormat="0" applyBorder="0" applyAlignment="0" applyProtection="0"/>
    <xf numFmtId="0" fontId="9" fillId="86" borderId="0" applyNumberFormat="0" applyBorder="0" applyAlignment="0" applyProtection="0"/>
    <xf numFmtId="0" fontId="9" fillId="86" borderId="0" applyNumberFormat="0" applyBorder="0" applyAlignment="0" applyProtection="0"/>
    <xf numFmtId="0" fontId="9" fillId="86" borderId="0" applyNumberFormat="0" applyBorder="0" applyAlignment="0" applyProtection="0"/>
    <xf numFmtId="0" fontId="9" fillId="86" borderId="0" applyNumberFormat="0" applyBorder="0" applyAlignment="0" applyProtection="0"/>
    <xf numFmtId="0" fontId="9" fillId="86" borderId="0" applyNumberFormat="0" applyBorder="0" applyAlignment="0" applyProtection="0"/>
    <xf numFmtId="0" fontId="9" fillId="86" borderId="0" applyNumberFormat="0" applyBorder="0" applyAlignment="0" applyProtection="0"/>
    <xf numFmtId="0" fontId="9" fillId="86" borderId="0" applyNumberFormat="0" applyBorder="0" applyAlignment="0" applyProtection="0"/>
    <xf numFmtId="0" fontId="9" fillId="86" borderId="0" applyNumberFormat="0" applyBorder="0" applyAlignment="0" applyProtection="0"/>
    <xf numFmtId="0" fontId="9" fillId="86" borderId="0" applyNumberFormat="0" applyBorder="0" applyAlignment="0" applyProtection="0"/>
    <xf numFmtId="0" fontId="9" fillId="86" borderId="0" applyNumberFormat="0" applyBorder="0" applyAlignment="0" applyProtection="0"/>
    <xf numFmtId="0" fontId="9" fillId="86" borderId="0" applyNumberFormat="0" applyBorder="0" applyAlignment="0" applyProtection="0"/>
    <xf numFmtId="0" fontId="9" fillId="86" borderId="0" applyNumberFormat="0" applyBorder="0" applyAlignment="0" applyProtection="0"/>
    <xf numFmtId="0" fontId="9" fillId="86" borderId="0" applyNumberFormat="0" applyBorder="0" applyAlignment="0" applyProtection="0"/>
    <xf numFmtId="0" fontId="9" fillId="86" borderId="0" applyNumberFormat="0" applyBorder="0" applyAlignment="0" applyProtection="0"/>
    <xf numFmtId="0" fontId="9" fillId="86" borderId="0" applyNumberFormat="0" applyBorder="0" applyAlignment="0" applyProtection="0"/>
    <xf numFmtId="0" fontId="9" fillId="86" borderId="0" applyNumberFormat="0" applyBorder="0" applyAlignment="0" applyProtection="0"/>
    <xf numFmtId="0" fontId="9" fillId="86" borderId="0" applyNumberFormat="0" applyBorder="0" applyAlignment="0" applyProtection="0"/>
    <xf numFmtId="0" fontId="9" fillId="86" borderId="0" applyNumberFormat="0" applyBorder="0" applyAlignment="0" applyProtection="0"/>
    <xf numFmtId="0" fontId="9" fillId="86" borderId="0" applyNumberFormat="0" applyBorder="0" applyAlignment="0" applyProtection="0"/>
    <xf numFmtId="0" fontId="9" fillId="90" borderId="0" applyNumberFormat="0" applyBorder="0" applyAlignment="0" applyProtection="0"/>
    <xf numFmtId="0" fontId="9" fillId="90" borderId="0" applyNumberFormat="0" applyBorder="0" applyAlignment="0" applyProtection="0"/>
    <xf numFmtId="0" fontId="9" fillId="90" borderId="0" applyNumberFormat="0" applyBorder="0" applyAlignment="0" applyProtection="0"/>
    <xf numFmtId="0" fontId="9" fillId="90" borderId="0" applyNumberFormat="0" applyBorder="0" applyAlignment="0" applyProtection="0"/>
    <xf numFmtId="0" fontId="9" fillId="90" borderId="0" applyNumberFormat="0" applyBorder="0" applyAlignment="0" applyProtection="0"/>
    <xf numFmtId="0" fontId="9" fillId="90" borderId="0" applyNumberFormat="0" applyBorder="0" applyAlignment="0" applyProtection="0"/>
    <xf numFmtId="0" fontId="9" fillId="90" borderId="0" applyNumberFormat="0" applyBorder="0" applyAlignment="0" applyProtection="0"/>
    <xf numFmtId="0" fontId="9" fillId="90" borderId="0" applyNumberFormat="0" applyBorder="0" applyAlignment="0" applyProtection="0"/>
    <xf numFmtId="0" fontId="9" fillId="90" borderId="0" applyNumberFormat="0" applyBorder="0" applyAlignment="0" applyProtection="0"/>
    <xf numFmtId="0" fontId="9" fillId="90" borderId="0" applyNumberFormat="0" applyBorder="0" applyAlignment="0" applyProtection="0"/>
    <xf numFmtId="0" fontId="9" fillId="90" borderId="0" applyNumberFormat="0" applyBorder="0" applyAlignment="0" applyProtection="0"/>
    <xf numFmtId="0" fontId="9" fillId="90" borderId="0" applyNumberFormat="0" applyBorder="0" applyAlignment="0" applyProtection="0"/>
    <xf numFmtId="0" fontId="9" fillId="90" borderId="0" applyNumberFormat="0" applyBorder="0" applyAlignment="0" applyProtection="0"/>
    <xf numFmtId="0" fontId="9" fillId="90" borderId="0" applyNumberFormat="0" applyBorder="0" applyAlignment="0" applyProtection="0"/>
    <xf numFmtId="0" fontId="9" fillId="90" borderId="0" applyNumberFormat="0" applyBorder="0" applyAlignment="0" applyProtection="0"/>
    <xf numFmtId="0" fontId="9" fillId="90" borderId="0" applyNumberFormat="0" applyBorder="0" applyAlignment="0" applyProtection="0"/>
    <xf numFmtId="0" fontId="9" fillId="90" borderId="0" applyNumberFormat="0" applyBorder="0" applyAlignment="0" applyProtection="0"/>
    <xf numFmtId="0" fontId="9" fillId="90" borderId="0" applyNumberFormat="0" applyBorder="0" applyAlignment="0" applyProtection="0"/>
    <xf numFmtId="0" fontId="9" fillId="90" borderId="0" applyNumberFormat="0" applyBorder="0" applyAlignment="0" applyProtection="0"/>
    <xf numFmtId="0" fontId="9" fillId="90" borderId="0" applyNumberFormat="0" applyBorder="0" applyAlignment="0" applyProtection="0"/>
    <xf numFmtId="0" fontId="9" fillId="90" borderId="0" applyNumberFormat="0" applyBorder="0" applyAlignment="0" applyProtection="0"/>
    <xf numFmtId="0" fontId="9" fillId="90" borderId="0" applyNumberFormat="0" applyBorder="0" applyAlignment="0" applyProtection="0"/>
    <xf numFmtId="0" fontId="9" fillId="90" borderId="0" applyNumberFormat="0" applyBorder="0" applyAlignment="0" applyProtection="0"/>
    <xf numFmtId="0" fontId="9" fillId="90" borderId="0" applyNumberFormat="0" applyBorder="0" applyAlignment="0" applyProtection="0"/>
    <xf numFmtId="0" fontId="9" fillId="90" borderId="0" applyNumberFormat="0" applyBorder="0" applyAlignment="0" applyProtection="0"/>
    <xf numFmtId="0" fontId="9" fillId="90" borderId="0" applyNumberFormat="0" applyBorder="0" applyAlignment="0" applyProtection="0"/>
    <xf numFmtId="0" fontId="9" fillId="90" borderId="0" applyNumberFormat="0" applyBorder="0" applyAlignment="0" applyProtection="0"/>
    <xf numFmtId="0" fontId="9" fillId="90" borderId="0" applyNumberFormat="0" applyBorder="0" applyAlignment="0" applyProtection="0"/>
    <xf numFmtId="0" fontId="9" fillId="90" borderId="0" applyNumberFormat="0" applyBorder="0" applyAlignment="0" applyProtection="0"/>
    <xf numFmtId="0" fontId="9" fillId="90" borderId="0" applyNumberFormat="0" applyBorder="0" applyAlignment="0" applyProtection="0"/>
    <xf numFmtId="0" fontId="9" fillId="90" borderId="0" applyNumberFormat="0" applyBorder="0" applyAlignment="0" applyProtection="0"/>
    <xf numFmtId="0" fontId="9" fillId="90" borderId="0" applyNumberFormat="0" applyBorder="0" applyAlignment="0" applyProtection="0"/>
    <xf numFmtId="0" fontId="9" fillId="90" borderId="0" applyNumberFormat="0" applyBorder="0" applyAlignment="0" applyProtection="0"/>
    <xf numFmtId="0" fontId="9" fillId="90" borderId="0" applyNumberFormat="0" applyBorder="0" applyAlignment="0" applyProtection="0"/>
    <xf numFmtId="0" fontId="9" fillId="90" borderId="0" applyNumberFormat="0" applyBorder="0" applyAlignment="0" applyProtection="0"/>
    <xf numFmtId="0" fontId="9" fillId="90" borderId="0" applyNumberFormat="0" applyBorder="0" applyAlignment="0" applyProtection="0"/>
    <xf numFmtId="0" fontId="9" fillId="90" borderId="0" applyNumberFormat="0" applyBorder="0" applyAlignment="0" applyProtection="0"/>
    <xf numFmtId="0" fontId="9" fillId="90" borderId="0" applyNumberFormat="0" applyBorder="0" applyAlignment="0" applyProtection="0"/>
    <xf numFmtId="0" fontId="9" fillId="90" borderId="0" applyNumberFormat="0" applyBorder="0" applyAlignment="0" applyProtection="0"/>
    <xf numFmtId="0" fontId="9" fillId="90" borderId="0" applyNumberFormat="0" applyBorder="0" applyAlignment="0" applyProtection="0"/>
    <xf numFmtId="0" fontId="9" fillId="90" borderId="0" applyNumberFormat="0" applyBorder="0" applyAlignment="0" applyProtection="0"/>
    <xf numFmtId="0" fontId="9" fillId="90" borderId="0" applyNumberFormat="0" applyBorder="0" applyAlignment="0" applyProtection="0"/>
    <xf numFmtId="0" fontId="9" fillId="90" borderId="0" applyNumberFormat="0" applyBorder="0" applyAlignment="0" applyProtection="0"/>
    <xf numFmtId="0" fontId="9" fillId="90" borderId="0" applyNumberFormat="0" applyBorder="0" applyAlignment="0" applyProtection="0"/>
    <xf numFmtId="0" fontId="9" fillId="90" borderId="0" applyNumberFormat="0" applyBorder="0" applyAlignment="0" applyProtection="0"/>
    <xf numFmtId="0" fontId="9" fillId="90" borderId="0" applyNumberFormat="0" applyBorder="0" applyAlignment="0" applyProtection="0"/>
    <xf numFmtId="0" fontId="9" fillId="90" borderId="0" applyNumberFormat="0" applyBorder="0" applyAlignment="0" applyProtection="0"/>
    <xf numFmtId="0" fontId="9" fillId="90" borderId="0" applyNumberFormat="0" applyBorder="0" applyAlignment="0" applyProtection="0"/>
    <xf numFmtId="0" fontId="9" fillId="90" borderId="0" applyNumberFormat="0" applyBorder="0" applyAlignment="0" applyProtection="0"/>
    <xf numFmtId="0" fontId="9" fillId="90" borderId="0" applyNumberFormat="0" applyBorder="0" applyAlignment="0" applyProtection="0"/>
    <xf numFmtId="0" fontId="9" fillId="90" borderId="0" applyNumberFormat="0" applyBorder="0" applyAlignment="0" applyProtection="0"/>
    <xf numFmtId="0" fontId="9" fillId="90" borderId="0" applyNumberFormat="0" applyBorder="0" applyAlignment="0" applyProtection="0"/>
    <xf numFmtId="0" fontId="9" fillId="90" borderId="0" applyNumberFormat="0" applyBorder="0" applyAlignment="0" applyProtection="0"/>
    <xf numFmtId="0" fontId="9" fillId="90" borderId="0" applyNumberFormat="0" applyBorder="0" applyAlignment="0" applyProtection="0"/>
    <xf numFmtId="0" fontId="9" fillId="90" borderId="0" applyNumberFormat="0" applyBorder="0" applyAlignment="0" applyProtection="0"/>
    <xf numFmtId="0" fontId="9" fillId="90" borderId="0" applyNumberFormat="0" applyBorder="0" applyAlignment="0" applyProtection="0"/>
    <xf numFmtId="0" fontId="9" fillId="90" borderId="0" applyNumberFormat="0" applyBorder="0" applyAlignment="0" applyProtection="0"/>
    <xf numFmtId="0" fontId="9" fillId="94" borderId="0" applyNumberFormat="0" applyBorder="0" applyAlignment="0" applyProtection="0"/>
    <xf numFmtId="0" fontId="9" fillId="94" borderId="0" applyNumberFormat="0" applyBorder="0" applyAlignment="0" applyProtection="0"/>
    <xf numFmtId="0" fontId="9" fillId="94" borderId="0" applyNumberFormat="0" applyBorder="0" applyAlignment="0" applyProtection="0"/>
    <xf numFmtId="0" fontId="9" fillId="94" borderId="0" applyNumberFormat="0" applyBorder="0" applyAlignment="0" applyProtection="0"/>
    <xf numFmtId="0" fontId="9" fillId="94" borderId="0" applyNumberFormat="0" applyBorder="0" applyAlignment="0" applyProtection="0"/>
    <xf numFmtId="0" fontId="9" fillId="94" borderId="0" applyNumberFormat="0" applyBorder="0" applyAlignment="0" applyProtection="0"/>
    <xf numFmtId="0" fontId="9" fillId="94" borderId="0" applyNumberFormat="0" applyBorder="0" applyAlignment="0" applyProtection="0"/>
    <xf numFmtId="0" fontId="9" fillId="94" borderId="0" applyNumberFormat="0" applyBorder="0" applyAlignment="0" applyProtection="0"/>
    <xf numFmtId="0" fontId="9" fillId="94" borderId="0" applyNumberFormat="0" applyBorder="0" applyAlignment="0" applyProtection="0"/>
    <xf numFmtId="0" fontId="9" fillId="94" borderId="0" applyNumberFormat="0" applyBorder="0" applyAlignment="0" applyProtection="0"/>
    <xf numFmtId="0" fontId="9" fillId="94" borderId="0" applyNumberFormat="0" applyBorder="0" applyAlignment="0" applyProtection="0"/>
    <xf numFmtId="0" fontId="9" fillId="94" borderId="0" applyNumberFormat="0" applyBorder="0" applyAlignment="0" applyProtection="0"/>
    <xf numFmtId="0" fontId="9" fillId="94" borderId="0" applyNumberFormat="0" applyBorder="0" applyAlignment="0" applyProtection="0"/>
    <xf numFmtId="0" fontId="9" fillId="94" borderId="0" applyNumberFormat="0" applyBorder="0" applyAlignment="0" applyProtection="0"/>
    <xf numFmtId="0" fontId="9" fillId="94" borderId="0" applyNumberFormat="0" applyBorder="0" applyAlignment="0" applyProtection="0"/>
    <xf numFmtId="0" fontId="9" fillId="94" borderId="0" applyNumberFormat="0" applyBorder="0" applyAlignment="0" applyProtection="0"/>
    <xf numFmtId="0" fontId="9" fillId="94" borderId="0" applyNumberFormat="0" applyBorder="0" applyAlignment="0" applyProtection="0"/>
    <xf numFmtId="0" fontId="9" fillId="94" borderId="0" applyNumberFormat="0" applyBorder="0" applyAlignment="0" applyProtection="0"/>
    <xf numFmtId="0" fontId="9" fillId="94" borderId="0" applyNumberFormat="0" applyBorder="0" applyAlignment="0" applyProtection="0"/>
    <xf numFmtId="0" fontId="9" fillId="94" borderId="0" applyNumberFormat="0" applyBorder="0" applyAlignment="0" applyProtection="0"/>
    <xf numFmtId="0" fontId="9" fillId="94" borderId="0" applyNumberFormat="0" applyBorder="0" applyAlignment="0" applyProtection="0"/>
    <xf numFmtId="0" fontId="9" fillId="94" borderId="0" applyNumberFormat="0" applyBorder="0" applyAlignment="0" applyProtection="0"/>
    <xf numFmtId="0" fontId="9" fillId="94" borderId="0" applyNumberFormat="0" applyBorder="0" applyAlignment="0" applyProtection="0"/>
    <xf numFmtId="0" fontId="9" fillId="94" borderId="0" applyNumberFormat="0" applyBorder="0" applyAlignment="0" applyProtection="0"/>
    <xf numFmtId="0" fontId="9" fillId="94" borderId="0" applyNumberFormat="0" applyBorder="0" applyAlignment="0" applyProtection="0"/>
    <xf numFmtId="0" fontId="9" fillId="94" borderId="0" applyNumberFormat="0" applyBorder="0" applyAlignment="0" applyProtection="0"/>
    <xf numFmtId="0" fontId="9" fillId="94" borderId="0" applyNumberFormat="0" applyBorder="0" applyAlignment="0" applyProtection="0"/>
    <xf numFmtId="0" fontId="9" fillId="94" borderId="0" applyNumberFormat="0" applyBorder="0" applyAlignment="0" applyProtection="0"/>
    <xf numFmtId="0" fontId="9" fillId="94" borderId="0" applyNumberFormat="0" applyBorder="0" applyAlignment="0" applyProtection="0"/>
    <xf numFmtId="0" fontId="9" fillId="94" borderId="0" applyNumberFormat="0" applyBorder="0" applyAlignment="0" applyProtection="0"/>
    <xf numFmtId="0" fontId="9" fillId="94" borderId="0" applyNumberFormat="0" applyBorder="0" applyAlignment="0" applyProtection="0"/>
    <xf numFmtId="0" fontId="9" fillId="94" borderId="0" applyNumberFormat="0" applyBorder="0" applyAlignment="0" applyProtection="0"/>
    <xf numFmtId="0" fontId="9" fillId="94" borderId="0" applyNumberFormat="0" applyBorder="0" applyAlignment="0" applyProtection="0"/>
    <xf numFmtId="0" fontId="9" fillId="94" borderId="0" applyNumberFormat="0" applyBorder="0" applyAlignment="0" applyProtection="0"/>
    <xf numFmtId="0" fontId="9" fillId="94" borderId="0" applyNumberFormat="0" applyBorder="0" applyAlignment="0" applyProtection="0"/>
    <xf numFmtId="0" fontId="9" fillId="94" borderId="0" applyNumberFormat="0" applyBorder="0" applyAlignment="0" applyProtection="0"/>
    <xf numFmtId="0" fontId="9" fillId="94" borderId="0" applyNumberFormat="0" applyBorder="0" applyAlignment="0" applyProtection="0"/>
    <xf numFmtId="0" fontId="9" fillId="94" borderId="0" applyNumberFormat="0" applyBorder="0" applyAlignment="0" applyProtection="0"/>
    <xf numFmtId="0" fontId="9" fillId="94" borderId="0" applyNumberFormat="0" applyBorder="0" applyAlignment="0" applyProtection="0"/>
    <xf numFmtId="0" fontId="9" fillId="94" borderId="0" applyNumberFormat="0" applyBorder="0" applyAlignment="0" applyProtection="0"/>
    <xf numFmtId="0" fontId="9" fillId="94" borderId="0" applyNumberFormat="0" applyBorder="0" applyAlignment="0" applyProtection="0"/>
    <xf numFmtId="0" fontId="9" fillId="94" borderId="0" applyNumberFormat="0" applyBorder="0" applyAlignment="0" applyProtection="0"/>
    <xf numFmtId="0" fontId="9" fillId="94" borderId="0" applyNumberFormat="0" applyBorder="0" applyAlignment="0" applyProtection="0"/>
    <xf numFmtId="0" fontId="9" fillId="94" borderId="0" applyNumberFormat="0" applyBorder="0" applyAlignment="0" applyProtection="0"/>
    <xf numFmtId="0" fontId="9" fillId="94" borderId="0" applyNumberFormat="0" applyBorder="0" applyAlignment="0" applyProtection="0"/>
    <xf numFmtId="0" fontId="9" fillId="94" borderId="0" applyNumberFormat="0" applyBorder="0" applyAlignment="0" applyProtection="0"/>
    <xf numFmtId="0" fontId="9" fillId="94" borderId="0" applyNumberFormat="0" applyBorder="0" applyAlignment="0" applyProtection="0"/>
    <xf numFmtId="0" fontId="9" fillId="94" borderId="0" applyNumberFormat="0" applyBorder="0" applyAlignment="0" applyProtection="0"/>
    <xf numFmtId="0" fontId="9" fillId="94" borderId="0" applyNumberFormat="0" applyBorder="0" applyAlignment="0" applyProtection="0"/>
    <xf numFmtId="0" fontId="9" fillId="94" borderId="0" applyNumberFormat="0" applyBorder="0" applyAlignment="0" applyProtection="0"/>
    <xf numFmtId="0" fontId="9" fillId="94" borderId="0" applyNumberFormat="0" applyBorder="0" applyAlignment="0" applyProtection="0"/>
    <xf numFmtId="0" fontId="9" fillId="94" borderId="0" applyNumberFormat="0" applyBorder="0" applyAlignment="0" applyProtection="0"/>
    <xf numFmtId="0" fontId="9" fillId="94" borderId="0" applyNumberFormat="0" applyBorder="0" applyAlignment="0" applyProtection="0"/>
    <xf numFmtId="0" fontId="9" fillId="94" borderId="0" applyNumberFormat="0" applyBorder="0" applyAlignment="0" applyProtection="0"/>
    <xf numFmtId="0" fontId="9" fillId="94" borderId="0" applyNumberFormat="0" applyBorder="0" applyAlignment="0" applyProtection="0"/>
    <xf numFmtId="0" fontId="9" fillId="94" borderId="0" applyNumberFormat="0" applyBorder="0" applyAlignment="0" applyProtection="0"/>
    <xf numFmtId="0" fontId="9" fillId="94" borderId="0" applyNumberFormat="0" applyBorder="0" applyAlignment="0" applyProtection="0"/>
    <xf numFmtId="0" fontId="9" fillId="98" borderId="0" applyNumberFormat="0" applyBorder="0" applyAlignment="0" applyProtection="0"/>
    <xf numFmtId="0" fontId="9" fillId="98" borderId="0" applyNumberFormat="0" applyBorder="0" applyAlignment="0" applyProtection="0"/>
    <xf numFmtId="0" fontId="9" fillId="98" borderId="0" applyNumberFormat="0" applyBorder="0" applyAlignment="0" applyProtection="0"/>
    <xf numFmtId="0" fontId="9" fillId="98" borderId="0" applyNumberFormat="0" applyBorder="0" applyAlignment="0" applyProtection="0"/>
    <xf numFmtId="0" fontId="9" fillId="98" borderId="0" applyNumberFormat="0" applyBorder="0" applyAlignment="0" applyProtection="0"/>
    <xf numFmtId="0" fontId="9" fillId="98" borderId="0" applyNumberFormat="0" applyBorder="0" applyAlignment="0" applyProtection="0"/>
    <xf numFmtId="0" fontId="9" fillId="98" borderId="0" applyNumberFormat="0" applyBorder="0" applyAlignment="0" applyProtection="0"/>
    <xf numFmtId="0" fontId="9" fillId="98" borderId="0" applyNumberFormat="0" applyBorder="0" applyAlignment="0" applyProtection="0"/>
    <xf numFmtId="0" fontId="9" fillId="98" borderId="0" applyNumberFormat="0" applyBorder="0" applyAlignment="0" applyProtection="0"/>
    <xf numFmtId="0" fontId="9" fillId="98" borderId="0" applyNumberFormat="0" applyBorder="0" applyAlignment="0" applyProtection="0"/>
    <xf numFmtId="0" fontId="9" fillId="98" borderId="0" applyNumberFormat="0" applyBorder="0" applyAlignment="0" applyProtection="0"/>
    <xf numFmtId="0" fontId="9" fillId="98" borderId="0" applyNumberFormat="0" applyBorder="0" applyAlignment="0" applyProtection="0"/>
    <xf numFmtId="0" fontId="9" fillId="98" borderId="0" applyNumberFormat="0" applyBorder="0" applyAlignment="0" applyProtection="0"/>
    <xf numFmtId="0" fontId="9" fillId="98" borderId="0" applyNumberFormat="0" applyBorder="0" applyAlignment="0" applyProtection="0"/>
    <xf numFmtId="0" fontId="9" fillId="98" borderId="0" applyNumberFormat="0" applyBorder="0" applyAlignment="0" applyProtection="0"/>
    <xf numFmtId="0" fontId="9" fillId="98" borderId="0" applyNumberFormat="0" applyBorder="0" applyAlignment="0" applyProtection="0"/>
    <xf numFmtId="0" fontId="9" fillId="98" borderId="0" applyNumberFormat="0" applyBorder="0" applyAlignment="0" applyProtection="0"/>
    <xf numFmtId="0" fontId="9" fillId="98" borderId="0" applyNumberFormat="0" applyBorder="0" applyAlignment="0" applyProtection="0"/>
    <xf numFmtId="0" fontId="9" fillId="98" borderId="0" applyNumberFormat="0" applyBorder="0" applyAlignment="0" applyProtection="0"/>
    <xf numFmtId="0" fontId="9" fillId="98" borderId="0" applyNumberFormat="0" applyBorder="0" applyAlignment="0" applyProtection="0"/>
    <xf numFmtId="0" fontId="9" fillId="98" borderId="0" applyNumberFormat="0" applyBorder="0" applyAlignment="0" applyProtection="0"/>
    <xf numFmtId="0" fontId="9" fillId="98" borderId="0" applyNumberFormat="0" applyBorder="0" applyAlignment="0" applyProtection="0"/>
    <xf numFmtId="0" fontId="9" fillId="98" borderId="0" applyNumberFormat="0" applyBorder="0" applyAlignment="0" applyProtection="0"/>
    <xf numFmtId="0" fontId="9" fillId="98" borderId="0" applyNumberFormat="0" applyBorder="0" applyAlignment="0" applyProtection="0"/>
    <xf numFmtId="0" fontId="9" fillId="98" borderId="0" applyNumberFormat="0" applyBorder="0" applyAlignment="0" applyProtection="0"/>
    <xf numFmtId="0" fontId="9" fillId="98" borderId="0" applyNumberFormat="0" applyBorder="0" applyAlignment="0" applyProtection="0"/>
    <xf numFmtId="0" fontId="9" fillId="98" borderId="0" applyNumberFormat="0" applyBorder="0" applyAlignment="0" applyProtection="0"/>
    <xf numFmtId="0" fontId="9" fillId="98" borderId="0" applyNumberFormat="0" applyBorder="0" applyAlignment="0" applyProtection="0"/>
    <xf numFmtId="0" fontId="9" fillId="98" borderId="0" applyNumberFormat="0" applyBorder="0" applyAlignment="0" applyProtection="0"/>
    <xf numFmtId="0" fontId="9" fillId="98" borderId="0" applyNumberFormat="0" applyBorder="0" applyAlignment="0" applyProtection="0"/>
    <xf numFmtId="0" fontId="9" fillId="98" borderId="0" applyNumberFormat="0" applyBorder="0" applyAlignment="0" applyProtection="0"/>
    <xf numFmtId="0" fontId="9" fillId="98" borderId="0" applyNumberFormat="0" applyBorder="0" applyAlignment="0" applyProtection="0"/>
    <xf numFmtId="0" fontId="9" fillId="98" borderId="0" applyNumberFormat="0" applyBorder="0" applyAlignment="0" applyProtection="0"/>
    <xf numFmtId="0" fontId="9" fillId="98" borderId="0" applyNumberFormat="0" applyBorder="0" applyAlignment="0" applyProtection="0"/>
    <xf numFmtId="0" fontId="9" fillId="98" borderId="0" applyNumberFormat="0" applyBorder="0" applyAlignment="0" applyProtection="0"/>
    <xf numFmtId="0" fontId="9" fillId="98" borderId="0" applyNumberFormat="0" applyBorder="0" applyAlignment="0" applyProtection="0"/>
    <xf numFmtId="0" fontId="9" fillId="98" borderId="0" applyNumberFormat="0" applyBorder="0" applyAlignment="0" applyProtection="0"/>
    <xf numFmtId="0" fontId="9" fillId="98" borderId="0" applyNumberFormat="0" applyBorder="0" applyAlignment="0" applyProtection="0"/>
    <xf numFmtId="0" fontId="9" fillId="98" borderId="0" applyNumberFormat="0" applyBorder="0" applyAlignment="0" applyProtection="0"/>
    <xf numFmtId="0" fontId="9" fillId="98" borderId="0" applyNumberFormat="0" applyBorder="0" applyAlignment="0" applyProtection="0"/>
    <xf numFmtId="0" fontId="9" fillId="98" borderId="0" applyNumberFormat="0" applyBorder="0" applyAlignment="0" applyProtection="0"/>
    <xf numFmtId="0" fontId="9" fillId="98" borderId="0" applyNumberFormat="0" applyBorder="0" applyAlignment="0" applyProtection="0"/>
    <xf numFmtId="0" fontId="9" fillId="98" borderId="0" applyNumberFormat="0" applyBorder="0" applyAlignment="0" applyProtection="0"/>
    <xf numFmtId="0" fontId="9" fillId="98" borderId="0" applyNumberFormat="0" applyBorder="0" applyAlignment="0" applyProtection="0"/>
    <xf numFmtId="0" fontId="9" fillId="98" borderId="0" applyNumberFormat="0" applyBorder="0" applyAlignment="0" applyProtection="0"/>
    <xf numFmtId="0" fontId="9" fillId="98" borderId="0" applyNumberFormat="0" applyBorder="0" applyAlignment="0" applyProtection="0"/>
    <xf numFmtId="0" fontId="9" fillId="98" borderId="0" applyNumberFormat="0" applyBorder="0" applyAlignment="0" applyProtection="0"/>
    <xf numFmtId="0" fontId="9" fillId="98" borderId="0" applyNumberFormat="0" applyBorder="0" applyAlignment="0" applyProtection="0"/>
    <xf numFmtId="0" fontId="9" fillId="98" borderId="0" applyNumberFormat="0" applyBorder="0" applyAlignment="0" applyProtection="0"/>
    <xf numFmtId="0" fontId="9" fillId="98" borderId="0" applyNumberFormat="0" applyBorder="0" applyAlignment="0" applyProtection="0"/>
    <xf numFmtId="0" fontId="9" fillId="98" borderId="0" applyNumberFormat="0" applyBorder="0" applyAlignment="0" applyProtection="0"/>
    <xf numFmtId="0" fontId="9" fillId="98" borderId="0" applyNumberFormat="0" applyBorder="0" applyAlignment="0" applyProtection="0"/>
    <xf numFmtId="0" fontId="9" fillId="98" borderId="0" applyNumberFormat="0" applyBorder="0" applyAlignment="0" applyProtection="0"/>
    <xf numFmtId="0" fontId="9" fillId="98" borderId="0" applyNumberFormat="0" applyBorder="0" applyAlignment="0" applyProtection="0"/>
    <xf numFmtId="0" fontId="9" fillId="98" borderId="0" applyNumberFormat="0" applyBorder="0" applyAlignment="0" applyProtection="0"/>
    <xf numFmtId="0" fontId="9" fillId="98" borderId="0" applyNumberFormat="0" applyBorder="0" applyAlignment="0" applyProtection="0"/>
    <xf numFmtId="0" fontId="9" fillId="98" borderId="0" applyNumberFormat="0" applyBorder="0" applyAlignment="0" applyProtection="0"/>
    <xf numFmtId="0" fontId="9" fillId="79" borderId="397" applyNumberFormat="0" applyFont="0" applyAlignment="0" applyProtection="0"/>
    <xf numFmtId="0" fontId="9" fillId="79" borderId="397" applyNumberFormat="0" applyFont="0" applyAlignment="0" applyProtection="0"/>
    <xf numFmtId="0" fontId="9" fillId="79" borderId="397" applyNumberFormat="0" applyFont="0" applyAlignment="0" applyProtection="0"/>
    <xf numFmtId="0" fontId="9" fillId="79" borderId="397" applyNumberFormat="0" applyFont="0" applyAlignment="0" applyProtection="0"/>
    <xf numFmtId="0" fontId="9" fillId="79" borderId="397" applyNumberFormat="0" applyFont="0" applyAlignment="0" applyProtection="0"/>
    <xf numFmtId="0" fontId="9" fillId="79" borderId="397" applyNumberFormat="0" applyFont="0" applyAlignment="0" applyProtection="0"/>
    <xf numFmtId="0" fontId="9" fillId="79" borderId="397" applyNumberFormat="0" applyFont="0" applyAlignment="0" applyProtection="0"/>
    <xf numFmtId="0" fontId="9" fillId="79" borderId="397" applyNumberFormat="0" applyFont="0" applyAlignment="0" applyProtection="0"/>
    <xf numFmtId="0" fontId="9" fillId="79" borderId="397" applyNumberFormat="0" applyFont="0" applyAlignment="0" applyProtection="0"/>
    <xf numFmtId="0" fontId="9" fillId="79" borderId="397" applyNumberFormat="0" applyFont="0" applyAlignment="0" applyProtection="0"/>
    <xf numFmtId="0" fontId="9" fillId="79" borderId="397" applyNumberFormat="0" applyFont="0" applyAlignment="0" applyProtection="0"/>
    <xf numFmtId="0" fontId="9" fillId="79" borderId="397" applyNumberFormat="0" applyFont="0" applyAlignment="0" applyProtection="0"/>
    <xf numFmtId="0" fontId="9" fillId="79" borderId="397" applyNumberFormat="0" applyFont="0" applyAlignment="0" applyProtection="0"/>
    <xf numFmtId="0" fontId="9" fillId="79" borderId="397" applyNumberFormat="0" applyFont="0" applyAlignment="0" applyProtection="0"/>
    <xf numFmtId="0" fontId="9" fillId="79" borderId="397" applyNumberFormat="0" applyFont="0" applyAlignment="0" applyProtection="0"/>
    <xf numFmtId="0" fontId="9" fillId="79" borderId="397" applyNumberFormat="0" applyFont="0" applyAlignment="0" applyProtection="0"/>
    <xf numFmtId="0" fontId="9" fillId="79" borderId="397" applyNumberFormat="0" applyFont="0" applyAlignment="0" applyProtection="0"/>
    <xf numFmtId="0" fontId="9" fillId="79" borderId="397" applyNumberFormat="0" applyFont="0" applyAlignment="0" applyProtection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164" fontId="60" fillId="0" borderId="0" applyFont="0" applyFill="0" applyBorder="0" applyAlignment="0" applyProtection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7" fillId="0" borderId="0"/>
    <xf numFmtId="0" fontId="6" fillId="0" borderId="0"/>
    <xf numFmtId="0" fontId="5" fillId="0" borderId="0"/>
    <xf numFmtId="164" fontId="21" fillId="0" borderId="0" applyFont="0" applyFill="0" applyBorder="0" applyAlignment="0" applyProtection="0"/>
    <xf numFmtId="0" fontId="3" fillId="0" borderId="0"/>
    <xf numFmtId="0" fontId="3" fillId="0" borderId="0"/>
    <xf numFmtId="0" fontId="3" fillId="0" borderId="0"/>
    <xf numFmtId="9" fontId="3" fillId="0" borderId="0" applyFont="0" applyFill="0" applyBorder="0" applyAlignment="0" applyProtection="0"/>
    <xf numFmtId="164" fontId="3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164" fontId="2" fillId="0" borderId="0" applyFont="0" applyFill="0" applyBorder="0" applyAlignment="0" applyProtection="0"/>
  </cellStyleXfs>
  <cellXfs count="3435">
    <xf numFmtId="0" fontId="0" fillId="0" borderId="0" xfId="0"/>
    <xf numFmtId="0" fontId="27" fillId="0" borderId="0" xfId="0" applyFont="1" applyAlignment="1">
      <alignment horizontal="center" vertical="center"/>
    </xf>
    <xf numFmtId="0" fontId="32" fillId="0" borderId="0" xfId="0" applyFont="1" applyAlignment="1">
      <alignment horizontal="center" vertical="center"/>
    </xf>
    <xf numFmtId="0" fontId="22" fillId="25" borderId="22" xfId="0" applyFont="1" applyFill="1" applyBorder="1" applyAlignment="1">
      <alignment horizontal="center" vertical="center"/>
    </xf>
    <xf numFmtId="0" fontId="22" fillId="25" borderId="23" xfId="0" applyFont="1" applyFill="1" applyBorder="1" applyAlignment="1">
      <alignment horizontal="center" vertical="center"/>
    </xf>
    <xf numFmtId="0" fontId="22" fillId="25" borderId="24" xfId="0" applyFont="1" applyFill="1" applyBorder="1" applyAlignment="1">
      <alignment horizontal="center" vertical="center"/>
    </xf>
    <xf numFmtId="0" fontId="22" fillId="25" borderId="25" xfId="0" applyFont="1" applyFill="1" applyBorder="1" applyAlignment="1">
      <alignment horizontal="center" vertical="center"/>
    </xf>
    <xf numFmtId="0" fontId="27" fillId="0" borderId="26" xfId="0" applyFont="1" applyBorder="1" applyAlignment="1">
      <alignment horizontal="center" vertical="center"/>
    </xf>
    <xf numFmtId="0" fontId="27" fillId="0" borderId="27" xfId="0" applyFont="1" applyBorder="1" applyAlignment="1">
      <alignment horizontal="center" vertical="center"/>
    </xf>
    <xf numFmtId="0" fontId="22" fillId="0" borderId="27" xfId="0" applyFont="1" applyBorder="1" applyAlignment="1">
      <alignment horizontal="center" vertical="center"/>
    </xf>
    <xf numFmtId="0" fontId="27" fillId="0" borderId="28" xfId="0" applyFont="1" applyBorder="1" applyAlignment="1">
      <alignment horizontal="center" vertical="center"/>
    </xf>
    <xf numFmtId="0" fontId="26" fillId="26" borderId="29" xfId="0" applyFont="1" applyFill="1" applyBorder="1" applyAlignment="1">
      <alignment horizontal="center" vertical="center"/>
    </xf>
    <xf numFmtId="0" fontId="26" fillId="26" borderId="30" xfId="0" applyFont="1" applyFill="1" applyBorder="1" applyAlignment="1">
      <alignment horizontal="center" vertical="center"/>
    </xf>
    <xf numFmtId="0" fontId="26" fillId="26" borderId="31" xfId="0" applyFont="1" applyFill="1" applyBorder="1" applyAlignment="1">
      <alignment horizontal="center" vertical="center"/>
    </xf>
    <xf numFmtId="0" fontId="26" fillId="26" borderId="32" xfId="0" applyFont="1" applyFill="1" applyBorder="1" applyAlignment="1">
      <alignment horizontal="center" vertical="center"/>
    </xf>
    <xf numFmtId="0" fontId="31" fillId="0" borderId="0" xfId="0" applyFont="1" applyAlignment="1">
      <alignment horizontal="left" vertical="center"/>
    </xf>
    <xf numFmtId="0" fontId="30" fillId="0" borderId="33" xfId="0" applyFont="1" applyBorder="1" applyAlignment="1">
      <alignment horizontal="left" vertical="center"/>
    </xf>
    <xf numFmtId="0" fontId="26" fillId="0" borderId="0" xfId="0" applyFont="1" applyAlignment="1">
      <alignment horizontal="center" vertical="center"/>
    </xf>
    <xf numFmtId="166" fontId="22" fillId="0" borderId="28" xfId="0" applyNumberFormat="1" applyFont="1" applyBorder="1" applyAlignment="1">
      <alignment horizontal="center" vertical="center"/>
    </xf>
    <xf numFmtId="166" fontId="26" fillId="26" borderId="32" xfId="0" applyNumberFormat="1" applyFont="1" applyFill="1" applyBorder="1" applyAlignment="1">
      <alignment horizontal="center" vertical="center"/>
    </xf>
    <xf numFmtId="166" fontId="27" fillId="0" borderId="28" xfId="0" applyNumberFormat="1" applyFont="1" applyBorder="1" applyAlignment="1">
      <alignment horizontal="center" vertical="center"/>
    </xf>
    <xf numFmtId="3" fontId="27" fillId="0" borderId="26" xfId="0" applyNumberFormat="1" applyFont="1" applyBorder="1" applyAlignment="1">
      <alignment horizontal="center" vertical="center"/>
    </xf>
    <xf numFmtId="3" fontId="26" fillId="26" borderId="30" xfId="0" applyNumberFormat="1" applyFont="1" applyFill="1" applyBorder="1" applyAlignment="1">
      <alignment horizontal="center" vertical="center"/>
    </xf>
    <xf numFmtId="3" fontId="22" fillId="0" borderId="27" xfId="0" applyNumberFormat="1" applyFont="1" applyBorder="1" applyAlignment="1">
      <alignment horizontal="center" vertical="center"/>
    </xf>
    <xf numFmtId="3" fontId="26" fillId="26" borderId="31" xfId="0" applyNumberFormat="1" applyFont="1" applyFill="1" applyBorder="1" applyAlignment="1">
      <alignment horizontal="center" vertical="center"/>
    </xf>
    <xf numFmtId="3" fontId="27" fillId="0" borderId="27" xfId="0" applyNumberFormat="1" applyFont="1" applyBorder="1" applyAlignment="1">
      <alignment horizontal="center" vertical="center"/>
    </xf>
    <xf numFmtId="3" fontId="27" fillId="0" borderId="28" xfId="0" applyNumberFormat="1" applyFont="1" applyBorder="1" applyAlignment="1">
      <alignment horizontal="center" vertical="center"/>
    </xf>
    <xf numFmtId="3" fontId="26" fillId="26" borderId="32" xfId="0" applyNumberFormat="1" applyFont="1" applyFill="1" applyBorder="1" applyAlignment="1">
      <alignment horizontal="center" vertical="center"/>
    </xf>
    <xf numFmtId="166" fontId="27" fillId="0" borderId="26" xfId="0" applyNumberFormat="1" applyFont="1" applyBorder="1" applyAlignment="1">
      <alignment horizontal="center" vertical="center"/>
    </xf>
    <xf numFmtId="166" fontId="26" fillId="26" borderId="30" xfId="0" applyNumberFormat="1" applyFont="1" applyFill="1" applyBorder="1" applyAlignment="1">
      <alignment horizontal="center" vertical="center"/>
    </xf>
    <xf numFmtId="166" fontId="22" fillId="0" borderId="27" xfId="0" applyNumberFormat="1" applyFont="1" applyBorder="1" applyAlignment="1">
      <alignment horizontal="center" vertical="center"/>
    </xf>
    <xf numFmtId="166" fontId="26" fillId="26" borderId="31" xfId="0" applyNumberFormat="1" applyFont="1" applyFill="1" applyBorder="1" applyAlignment="1">
      <alignment horizontal="center" vertical="center"/>
    </xf>
    <xf numFmtId="166" fontId="27" fillId="0" borderId="27" xfId="0" applyNumberFormat="1" applyFont="1" applyBorder="1" applyAlignment="1">
      <alignment horizontal="center" vertical="center"/>
    </xf>
    <xf numFmtId="3" fontId="22" fillId="27" borderId="34" xfId="0" applyNumberFormat="1" applyFont="1" applyFill="1" applyBorder="1" applyAlignment="1">
      <alignment horizontal="center" vertical="center"/>
    </xf>
    <xf numFmtId="3" fontId="22" fillId="27" borderId="35" xfId="0" applyNumberFormat="1" applyFont="1" applyFill="1" applyBorder="1" applyAlignment="1">
      <alignment horizontal="center" vertical="center"/>
    </xf>
    <xf numFmtId="3" fontId="22" fillId="27" borderId="36" xfId="0" applyNumberFormat="1" applyFont="1" applyFill="1" applyBorder="1" applyAlignment="1">
      <alignment horizontal="center" vertical="center"/>
    </xf>
    <xf numFmtId="3" fontId="22" fillId="27" borderId="37" xfId="0" applyNumberFormat="1" applyFont="1" applyFill="1" applyBorder="1" applyAlignment="1">
      <alignment horizontal="center" vertical="center"/>
    </xf>
    <xf numFmtId="3" fontId="22" fillId="27" borderId="38" xfId="0" applyNumberFormat="1" applyFont="1" applyFill="1" applyBorder="1" applyAlignment="1">
      <alignment horizontal="center" vertical="center"/>
    </xf>
    <xf numFmtId="3" fontId="22" fillId="27" borderId="39" xfId="0" applyNumberFormat="1" applyFont="1" applyFill="1" applyBorder="1" applyAlignment="1">
      <alignment horizontal="center" vertical="center"/>
    </xf>
    <xf numFmtId="3" fontId="26" fillId="26" borderId="15" xfId="0" applyNumberFormat="1" applyFont="1" applyFill="1" applyBorder="1" applyAlignment="1">
      <alignment horizontal="center" vertical="center"/>
    </xf>
    <xf numFmtId="167" fontId="22" fillId="27" borderId="34" xfId="0" applyNumberFormat="1" applyFont="1" applyFill="1" applyBorder="1" applyAlignment="1">
      <alignment horizontal="center" vertical="center"/>
    </xf>
    <xf numFmtId="167" fontId="22" fillId="27" borderId="35" xfId="0" applyNumberFormat="1" applyFont="1" applyFill="1" applyBorder="1" applyAlignment="1">
      <alignment horizontal="center" vertical="center"/>
    </xf>
    <xf numFmtId="167" fontId="22" fillId="27" borderId="36" xfId="0" applyNumberFormat="1" applyFont="1" applyFill="1" applyBorder="1" applyAlignment="1">
      <alignment horizontal="center" vertical="center"/>
    </xf>
    <xf numFmtId="167" fontId="22" fillId="27" borderId="37" xfId="0" applyNumberFormat="1" applyFont="1" applyFill="1" applyBorder="1" applyAlignment="1">
      <alignment horizontal="center" vertical="center"/>
    </xf>
    <xf numFmtId="167" fontId="22" fillId="27" borderId="38" xfId="0" applyNumberFormat="1" applyFont="1" applyFill="1" applyBorder="1" applyAlignment="1">
      <alignment horizontal="center" vertical="center"/>
    </xf>
    <xf numFmtId="167" fontId="22" fillId="27" borderId="39" xfId="0" applyNumberFormat="1" applyFont="1" applyFill="1" applyBorder="1" applyAlignment="1">
      <alignment horizontal="center" vertical="center"/>
    </xf>
    <xf numFmtId="167" fontId="26" fillId="26" borderId="15" xfId="0" applyNumberFormat="1" applyFont="1" applyFill="1" applyBorder="1" applyAlignment="1">
      <alignment horizontal="center" vertical="center"/>
    </xf>
    <xf numFmtId="167" fontId="27" fillId="0" borderId="26" xfId="0" applyNumberFormat="1" applyFont="1" applyBorder="1" applyAlignment="1">
      <alignment horizontal="center" vertical="center"/>
    </xf>
    <xf numFmtId="167" fontId="27" fillId="0" borderId="27" xfId="0" applyNumberFormat="1" applyFont="1" applyBorder="1" applyAlignment="1">
      <alignment horizontal="center" vertical="center"/>
    </xf>
    <xf numFmtId="167" fontId="22" fillId="0" borderId="27" xfId="0" applyNumberFormat="1" applyFont="1" applyBorder="1" applyAlignment="1">
      <alignment horizontal="center" vertical="center"/>
    </xf>
    <xf numFmtId="167" fontId="27" fillId="0" borderId="28" xfId="0" applyNumberFormat="1" applyFont="1" applyBorder="1" applyAlignment="1">
      <alignment horizontal="center" vertical="center"/>
    </xf>
    <xf numFmtId="167" fontId="26" fillId="26" borderId="30" xfId="0" applyNumberFormat="1" applyFont="1" applyFill="1" applyBorder="1" applyAlignment="1">
      <alignment horizontal="center" vertical="center"/>
    </xf>
    <xf numFmtId="167" fontId="26" fillId="26" borderId="31" xfId="0" applyNumberFormat="1" applyFont="1" applyFill="1" applyBorder="1" applyAlignment="1">
      <alignment horizontal="center" vertical="center"/>
    </xf>
    <xf numFmtId="167" fontId="26" fillId="26" borderId="32" xfId="0" applyNumberFormat="1" applyFont="1" applyFill="1" applyBorder="1" applyAlignment="1">
      <alignment horizontal="center" vertical="center"/>
    </xf>
    <xf numFmtId="171" fontId="26" fillId="26" borderId="30" xfId="38" applyNumberFormat="1" applyFont="1" applyFill="1" applyBorder="1" applyAlignment="1">
      <alignment horizontal="center" vertical="center"/>
    </xf>
    <xf numFmtId="167" fontId="27" fillId="0" borderId="26" xfId="38" applyNumberFormat="1" applyFont="1" applyBorder="1" applyAlignment="1">
      <alignment horizontal="center" vertical="center"/>
    </xf>
    <xf numFmtId="167" fontId="27" fillId="0" borderId="0" xfId="0" applyNumberFormat="1" applyFont="1" applyAlignment="1">
      <alignment horizontal="center" vertical="center"/>
    </xf>
    <xf numFmtId="0" fontId="22" fillId="0" borderId="0" xfId="0" applyFont="1" applyAlignment="1">
      <alignment horizontal="center" vertical="center"/>
    </xf>
    <xf numFmtId="166" fontId="27" fillId="0" borderId="0" xfId="0" applyNumberFormat="1" applyFont="1" applyAlignment="1">
      <alignment horizontal="center" vertical="center"/>
    </xf>
    <xf numFmtId="166" fontId="27" fillId="28" borderId="26" xfId="0" applyNumberFormat="1" applyFont="1" applyFill="1" applyBorder="1" applyAlignment="1">
      <alignment horizontal="center" vertical="center"/>
    </xf>
    <xf numFmtId="166" fontId="27" fillId="30" borderId="26" xfId="0" applyNumberFormat="1" applyFont="1" applyFill="1" applyBorder="1" applyAlignment="1">
      <alignment horizontal="center" vertical="center"/>
    </xf>
    <xf numFmtId="167" fontId="27" fillId="30" borderId="26" xfId="38" applyNumberFormat="1" applyFont="1" applyFill="1" applyBorder="1" applyAlignment="1">
      <alignment horizontal="center" vertical="center"/>
    </xf>
    <xf numFmtId="0" fontId="34" fillId="0" borderId="0" xfId="0" applyFont="1"/>
    <xf numFmtId="0" fontId="37" fillId="0" borderId="3" xfId="0" applyFont="1" applyBorder="1" applyAlignment="1">
      <alignment horizontal="center" vertical="center" wrapText="1"/>
    </xf>
    <xf numFmtId="167" fontId="34" fillId="0" borderId="3" xfId="0" applyNumberFormat="1" applyFont="1" applyBorder="1"/>
    <xf numFmtId="0" fontId="37" fillId="0" borderId="60" xfId="0" applyFont="1" applyBorder="1" applyAlignment="1">
      <alignment horizontal="center" vertical="center" wrapText="1"/>
    </xf>
    <xf numFmtId="0" fontId="37" fillId="0" borderId="61" xfId="0" applyFont="1" applyBorder="1" applyAlignment="1">
      <alignment horizontal="center" vertical="center" wrapText="1"/>
    </xf>
    <xf numFmtId="3" fontId="34" fillId="0" borderId="60" xfId="0" applyNumberFormat="1" applyFont="1" applyBorder="1"/>
    <xf numFmtId="167" fontId="34" fillId="0" borderId="60" xfId="0" applyNumberFormat="1" applyFont="1" applyBorder="1"/>
    <xf numFmtId="167" fontId="34" fillId="0" borderId="0" xfId="0" applyNumberFormat="1" applyFont="1"/>
    <xf numFmtId="0" fontId="37" fillId="0" borderId="129" xfId="0" applyFont="1" applyBorder="1" applyAlignment="1">
      <alignment horizontal="center" vertical="center" wrapText="1"/>
    </xf>
    <xf numFmtId="3" fontId="34" fillId="0" borderId="60" xfId="0" applyNumberFormat="1" applyFont="1" applyBorder="1" applyAlignment="1">
      <alignment horizontal="center"/>
    </xf>
    <xf numFmtId="3" fontId="34" fillId="0" borderId="129" xfId="0" applyNumberFormat="1" applyFont="1" applyBorder="1" applyAlignment="1">
      <alignment horizontal="center"/>
    </xf>
    <xf numFmtId="3" fontId="34" fillId="0" borderId="3" xfId="0" applyNumberFormat="1" applyFont="1" applyBorder="1" applyAlignment="1">
      <alignment horizontal="center"/>
    </xf>
    <xf numFmtId="167" fontId="34" fillId="24" borderId="129" xfId="0" applyNumberFormat="1" applyFont="1" applyFill="1" applyBorder="1"/>
    <xf numFmtId="0" fontId="37" fillId="0" borderId="195" xfId="0" applyFont="1" applyBorder="1" applyAlignment="1">
      <alignment horizontal="center" vertical="center" wrapText="1"/>
    </xf>
    <xf numFmtId="3" fontId="34" fillId="0" borderId="195" xfId="0" applyNumberFormat="1" applyFont="1" applyBorder="1" applyAlignment="1">
      <alignment horizontal="center"/>
    </xf>
    <xf numFmtId="0" fontId="66" fillId="0" borderId="0" xfId="0" applyFont="1"/>
    <xf numFmtId="4" fontId="66" fillId="0" borderId="0" xfId="0" applyNumberFormat="1" applyFont="1"/>
    <xf numFmtId="0" fontId="71" fillId="0" borderId="0" xfId="47" applyFont="1"/>
    <xf numFmtId="0" fontId="66" fillId="0" borderId="0" xfId="47" applyFont="1"/>
    <xf numFmtId="0" fontId="73" fillId="0" borderId="0" xfId="47" applyFont="1"/>
    <xf numFmtId="4" fontId="68" fillId="49" borderId="229" xfId="47" applyNumberFormat="1" applyFont="1" applyFill="1" applyBorder="1"/>
    <xf numFmtId="4" fontId="66" fillId="0" borderId="0" xfId="47" applyNumberFormat="1" applyFont="1"/>
    <xf numFmtId="167" fontId="66" fillId="0" borderId="0" xfId="0" applyNumberFormat="1" applyFont="1"/>
    <xf numFmtId="17" fontId="72" fillId="0" borderId="0" xfId="47" quotePrefix="1" applyNumberFormat="1" applyFont="1"/>
    <xf numFmtId="0" fontId="79" fillId="0" borderId="0" xfId="0" applyFont="1" applyAlignment="1">
      <alignment vertical="center" wrapText="1"/>
    </xf>
    <xf numFmtId="0" fontId="66" fillId="0" borderId="0" xfId="0" applyFont="1" applyAlignment="1">
      <alignment vertical="center" wrapText="1"/>
    </xf>
    <xf numFmtId="0" fontId="78" fillId="0" borderId="0" xfId="0" applyFont="1" applyAlignment="1">
      <alignment horizontal="left" vertical="center" wrapText="1"/>
    </xf>
    <xf numFmtId="0" fontId="72" fillId="0" borderId="0" xfId="0" applyFont="1" applyAlignment="1" applyProtection="1">
      <alignment vertical="center" wrapText="1"/>
      <protection hidden="1"/>
    </xf>
    <xf numFmtId="0" fontId="82" fillId="0" borderId="0" xfId="0" applyFont="1" applyAlignment="1">
      <alignment vertical="center" wrapText="1"/>
    </xf>
    <xf numFmtId="0" fontId="83" fillId="0" borderId="0" xfId="0" quotePrefix="1" applyFont="1" applyAlignment="1">
      <alignment horizontal="right" vertical="center" wrapText="1"/>
    </xf>
    <xf numFmtId="0" fontId="83" fillId="0" borderId="0" xfId="0" applyFont="1" applyAlignment="1">
      <alignment vertical="center" wrapText="1"/>
    </xf>
    <xf numFmtId="0" fontId="72" fillId="0" borderId="133" xfId="0" applyFont="1" applyBorder="1" applyAlignment="1">
      <alignment horizontal="center" vertical="center" wrapText="1"/>
    </xf>
    <xf numFmtId="0" fontId="72" fillId="0" borderId="88" xfId="0" applyFont="1" applyBorder="1" applyAlignment="1">
      <alignment horizontal="center" vertical="center" wrapText="1"/>
    </xf>
    <xf numFmtId="0" fontId="72" fillId="0" borderId="59" xfId="0" applyFont="1" applyBorder="1" applyAlignment="1">
      <alignment horizontal="center" vertical="center" wrapText="1"/>
    </xf>
    <xf numFmtId="0" fontId="66" fillId="0" borderId="21" xfId="0" applyFont="1" applyBorder="1" applyAlignment="1">
      <alignment vertical="center" wrapText="1"/>
    </xf>
    <xf numFmtId="3" fontId="86" fillId="24" borderId="135" xfId="0" applyNumberFormat="1" applyFont="1" applyFill="1" applyBorder="1" applyAlignment="1">
      <alignment horizontal="center" vertical="center" wrapText="1"/>
    </xf>
    <xf numFmtId="3" fontId="86" fillId="24" borderId="136" xfId="0" applyNumberFormat="1" applyFont="1" applyFill="1" applyBorder="1" applyAlignment="1">
      <alignment horizontal="center" vertical="center" wrapText="1"/>
    </xf>
    <xf numFmtId="3" fontId="86" fillId="0" borderId="91" xfId="0" applyNumberFormat="1" applyFont="1" applyBorder="1" applyAlignment="1">
      <alignment horizontal="center" vertical="center" wrapText="1"/>
    </xf>
    <xf numFmtId="167" fontId="72" fillId="0" borderId="59" xfId="0" applyNumberFormat="1" applyFont="1" applyBorder="1" applyAlignment="1">
      <alignment horizontal="center" vertical="center" wrapText="1"/>
    </xf>
    <xf numFmtId="3" fontId="86" fillId="24" borderId="60" xfId="0" applyNumberFormat="1" applyFont="1" applyFill="1" applyBorder="1" applyAlignment="1">
      <alignment horizontal="center" vertical="center" wrapText="1"/>
    </xf>
    <xf numFmtId="3" fontId="86" fillId="24" borderId="3" xfId="0" applyNumberFormat="1" applyFont="1" applyFill="1" applyBorder="1" applyAlignment="1">
      <alignment horizontal="center" vertical="center" wrapText="1"/>
    </xf>
    <xf numFmtId="3" fontId="86" fillId="0" borderId="3" xfId="0" applyNumberFormat="1" applyFont="1" applyBorder="1" applyAlignment="1">
      <alignment horizontal="center" vertical="center" wrapText="1"/>
    </xf>
    <xf numFmtId="3" fontId="66" fillId="0" borderId="61" xfId="0" applyNumberFormat="1" applyFont="1" applyBorder="1" applyAlignment="1">
      <alignment horizontal="center" vertical="center" wrapText="1"/>
    </xf>
    <xf numFmtId="0" fontId="72" fillId="29" borderId="62" xfId="0" applyFont="1" applyFill="1" applyBorder="1" applyAlignment="1">
      <alignment horizontal="center" vertical="center" wrapText="1"/>
    </xf>
    <xf numFmtId="3" fontId="66" fillId="0" borderId="0" xfId="0" applyNumberFormat="1" applyFont="1" applyAlignment="1">
      <alignment vertical="center" wrapText="1"/>
    </xf>
    <xf numFmtId="0" fontId="72" fillId="0" borderId="3" xfId="0" applyFont="1" applyBorder="1" applyAlignment="1">
      <alignment horizontal="center" vertical="center" wrapText="1"/>
    </xf>
    <xf numFmtId="3" fontId="86" fillId="0" borderId="60" xfId="0" applyNumberFormat="1" applyFont="1" applyBorder="1" applyAlignment="1">
      <alignment horizontal="center" vertical="center" wrapText="1"/>
    </xf>
    <xf numFmtId="0" fontId="89" fillId="0" borderId="0" xfId="0" applyFont="1" applyAlignment="1">
      <alignment vertical="center" wrapText="1"/>
    </xf>
    <xf numFmtId="17" fontId="72" fillId="0" borderId="58" xfId="0" applyNumberFormat="1" applyFont="1" applyBorder="1" applyAlignment="1">
      <alignment horizontal="center" vertical="center" wrapText="1"/>
    </xf>
    <xf numFmtId="17" fontId="72" fillId="0" borderId="1" xfId="0" applyNumberFormat="1" applyFont="1" applyBorder="1" applyAlignment="1">
      <alignment horizontal="center" vertical="center" wrapText="1"/>
    </xf>
    <xf numFmtId="17" fontId="72" fillId="0" borderId="59" xfId="0" applyNumberFormat="1" applyFont="1" applyBorder="1" applyAlignment="1">
      <alignment horizontal="center" vertical="center" wrapText="1"/>
    </xf>
    <xf numFmtId="3" fontId="72" fillId="0" borderId="0" xfId="0" applyNumberFormat="1" applyFont="1" applyAlignment="1">
      <alignment horizontal="center" vertical="center" wrapText="1"/>
    </xf>
    <xf numFmtId="167" fontId="72" fillId="0" borderId="0" xfId="0" applyNumberFormat="1" applyFont="1" applyAlignment="1">
      <alignment horizontal="center" vertical="center" wrapText="1"/>
    </xf>
    <xf numFmtId="0" fontId="72" fillId="0" borderId="0" xfId="0" applyFont="1" applyAlignment="1">
      <alignment horizontal="center" vertical="center" wrapText="1"/>
    </xf>
    <xf numFmtId="0" fontId="72" fillId="0" borderId="0" xfId="0" applyFont="1" applyAlignment="1">
      <alignment vertical="center"/>
    </xf>
    <xf numFmtId="0" fontId="66" fillId="0" borderId="0" xfId="0" applyFont="1" applyAlignment="1">
      <alignment horizontal="center" vertical="center"/>
    </xf>
    <xf numFmtId="0" fontId="91" fillId="0" borderId="0" xfId="0" applyFont="1" applyAlignment="1">
      <alignment vertical="center" wrapText="1"/>
    </xf>
    <xf numFmtId="3" fontId="66" fillId="0" borderId="0" xfId="0" applyNumberFormat="1" applyFont="1" applyAlignment="1">
      <alignment horizontal="center" vertical="center" wrapText="1"/>
    </xf>
    <xf numFmtId="0" fontId="83" fillId="0" borderId="0" xfId="0" applyFont="1" applyAlignment="1">
      <alignment vertical="center"/>
    </xf>
    <xf numFmtId="3" fontId="72" fillId="0" borderId="0" xfId="0" applyNumberFormat="1" applyFont="1" applyAlignment="1">
      <alignment horizontal="center" vertical="center"/>
    </xf>
    <xf numFmtId="0" fontId="96" fillId="0" borderId="0" xfId="0" applyFont="1" applyAlignment="1">
      <alignment vertical="center"/>
    </xf>
    <xf numFmtId="3" fontId="66" fillId="0" borderId="0" xfId="0" applyNumberFormat="1" applyFont="1" applyAlignment="1">
      <alignment vertical="center"/>
    </xf>
    <xf numFmtId="0" fontId="91" fillId="24" borderId="0" xfId="0" applyFont="1" applyFill="1" applyAlignment="1">
      <alignment vertical="center" wrapText="1"/>
    </xf>
    <xf numFmtId="0" fontId="89" fillId="25" borderId="0" xfId="49" applyFont="1" applyFill="1" applyAlignment="1">
      <alignment horizontal="center" vertical="center" wrapText="1"/>
    </xf>
    <xf numFmtId="0" fontId="66" fillId="0" borderId="0" xfId="49" applyFont="1" applyAlignment="1">
      <alignment vertical="center" wrapText="1"/>
    </xf>
    <xf numFmtId="0" fontId="72" fillId="0" borderId="0" xfId="49" applyFont="1" applyAlignment="1">
      <alignment vertical="center" wrapText="1"/>
    </xf>
    <xf numFmtId="0" fontId="72" fillId="0" borderId="138" xfId="49" applyFont="1" applyBorder="1" applyAlignment="1">
      <alignment vertical="center" wrapText="1"/>
    </xf>
    <xf numFmtId="0" fontId="72" fillId="0" borderId="150" xfId="49" applyFont="1" applyBorder="1" applyAlignment="1">
      <alignment vertical="center" wrapText="1"/>
    </xf>
    <xf numFmtId="17" fontId="72" fillId="0" borderId="58" xfId="49" applyNumberFormat="1" applyFont="1" applyBorder="1" applyAlignment="1">
      <alignment horizontal="center" vertical="center" wrapText="1"/>
    </xf>
    <xf numFmtId="17" fontId="72" fillId="0" borderId="117" xfId="49" applyNumberFormat="1" applyFont="1" applyBorder="1" applyAlignment="1">
      <alignment horizontal="center" vertical="center" wrapText="1"/>
    </xf>
    <xf numFmtId="17" fontId="72" fillId="0" borderId="178" xfId="49" applyNumberFormat="1" applyFont="1" applyBorder="1" applyAlignment="1">
      <alignment horizontal="center" vertical="center" wrapText="1"/>
    </xf>
    <xf numFmtId="17" fontId="72" fillId="0" borderId="59" xfId="49" applyNumberFormat="1" applyFont="1" applyBorder="1" applyAlignment="1">
      <alignment horizontal="center" vertical="center" wrapText="1"/>
    </xf>
    <xf numFmtId="17" fontId="72" fillId="0" borderId="179" xfId="49" applyNumberFormat="1" applyFont="1" applyBorder="1" applyAlignment="1">
      <alignment horizontal="center" vertical="center" wrapText="1"/>
    </xf>
    <xf numFmtId="17" fontId="72" fillId="0" borderId="132" xfId="49" applyNumberFormat="1" applyFont="1" applyBorder="1" applyAlignment="1">
      <alignment horizontal="center" vertical="center" wrapText="1"/>
    </xf>
    <xf numFmtId="17" fontId="72" fillId="0" borderId="180" xfId="49" applyNumberFormat="1" applyFont="1" applyBorder="1" applyAlignment="1">
      <alignment horizontal="center" vertical="center" wrapText="1"/>
    </xf>
    <xf numFmtId="17" fontId="72" fillId="0" borderId="181" xfId="49" applyNumberFormat="1" applyFont="1" applyBorder="1" applyAlignment="1">
      <alignment horizontal="center" vertical="center" wrapText="1"/>
    </xf>
    <xf numFmtId="17" fontId="72" fillId="0" borderId="150" xfId="49" applyNumberFormat="1" applyFont="1" applyBorder="1" applyAlignment="1">
      <alignment horizontal="center" vertical="center" wrapText="1"/>
    </xf>
    <xf numFmtId="17" fontId="72" fillId="0" borderId="182" xfId="49" applyNumberFormat="1" applyFont="1" applyBorder="1" applyAlignment="1">
      <alignment horizontal="center" vertical="center" wrapText="1"/>
    </xf>
    <xf numFmtId="17" fontId="72" fillId="0" borderId="183" xfId="49" applyNumberFormat="1" applyFont="1" applyBorder="1" applyAlignment="1">
      <alignment horizontal="center" vertical="center" wrapText="1"/>
    </xf>
    <xf numFmtId="17" fontId="72" fillId="0" borderId="184" xfId="49" applyNumberFormat="1" applyFont="1" applyBorder="1" applyAlignment="1">
      <alignment horizontal="center" vertical="center" wrapText="1"/>
    </xf>
    <xf numFmtId="17" fontId="72" fillId="0" borderId="185" xfId="49" applyNumberFormat="1" applyFont="1" applyBorder="1" applyAlignment="1">
      <alignment horizontal="center" vertical="center" wrapText="1"/>
    </xf>
    <xf numFmtId="17" fontId="72" fillId="0" borderId="186" xfId="49" applyNumberFormat="1" applyFont="1" applyBorder="1" applyAlignment="1">
      <alignment horizontal="center" vertical="center" wrapText="1"/>
    </xf>
    <xf numFmtId="17" fontId="72" fillId="0" borderId="187" xfId="49" applyNumberFormat="1" applyFont="1" applyBorder="1" applyAlignment="1">
      <alignment horizontal="center" vertical="center" wrapText="1"/>
    </xf>
    <xf numFmtId="3" fontId="66" fillId="0" borderId="0" xfId="49" applyNumberFormat="1" applyFont="1" applyAlignment="1">
      <alignment vertical="center" wrapText="1"/>
    </xf>
    <xf numFmtId="0" fontId="91" fillId="24" borderId="0" xfId="49" applyFont="1" applyFill="1" applyAlignment="1">
      <alignment vertical="center" wrapText="1"/>
    </xf>
    <xf numFmtId="0" fontId="79" fillId="0" borderId="0" xfId="49" applyFont="1" applyAlignment="1">
      <alignment vertical="center" wrapText="1"/>
    </xf>
    <xf numFmtId="0" fontId="92" fillId="0" borderId="0" xfId="49" applyFont="1" applyAlignment="1">
      <alignment vertical="center" wrapText="1"/>
    </xf>
    <xf numFmtId="0" fontId="72" fillId="29" borderId="21" xfId="49" applyFont="1" applyFill="1" applyBorder="1" applyAlignment="1">
      <alignment horizontal="center" vertical="center" wrapText="1"/>
    </xf>
    <xf numFmtId="3" fontId="93" fillId="29" borderId="68" xfId="49" applyNumberFormat="1" applyFont="1" applyFill="1" applyBorder="1" applyAlignment="1">
      <alignment horizontal="center" vertical="center" wrapText="1"/>
    </xf>
    <xf numFmtId="3" fontId="93" fillId="29" borderId="118" xfId="49" applyNumberFormat="1" applyFont="1" applyFill="1" applyBorder="1" applyAlignment="1">
      <alignment horizontal="center" vertical="center" wrapText="1"/>
    </xf>
    <xf numFmtId="3" fontId="93" fillId="29" borderId="193" xfId="49" applyNumberFormat="1" applyFont="1" applyFill="1" applyBorder="1" applyAlignment="1">
      <alignment horizontal="center" vertical="center" wrapText="1"/>
    </xf>
    <xf numFmtId="3" fontId="93" fillId="29" borderId="70" xfId="49" applyNumberFormat="1" applyFont="1" applyFill="1" applyBorder="1" applyAlignment="1">
      <alignment horizontal="center" vertical="center" wrapText="1"/>
    </xf>
    <xf numFmtId="3" fontId="93" fillId="29" borderId="194" xfId="49" applyNumberFormat="1" applyFont="1" applyFill="1" applyBorder="1" applyAlignment="1">
      <alignment horizontal="center" vertical="center" wrapText="1"/>
    </xf>
    <xf numFmtId="3" fontId="72" fillId="29" borderId="68" xfId="49" applyNumberFormat="1" applyFont="1" applyFill="1" applyBorder="1" applyAlignment="1">
      <alignment horizontal="center" vertical="center" wrapText="1"/>
    </xf>
    <xf numFmtId="3" fontId="72" fillId="29" borderId="118" xfId="49" applyNumberFormat="1" applyFont="1" applyFill="1" applyBorder="1" applyAlignment="1">
      <alignment horizontal="center" vertical="center" wrapText="1"/>
    </xf>
    <xf numFmtId="3" fontId="72" fillId="29" borderId="193" xfId="49" applyNumberFormat="1" applyFont="1" applyFill="1" applyBorder="1" applyAlignment="1">
      <alignment horizontal="center" vertical="center" wrapText="1"/>
    </xf>
    <xf numFmtId="3" fontId="72" fillId="29" borderId="70" xfId="49" applyNumberFormat="1" applyFont="1" applyFill="1" applyBorder="1" applyAlignment="1">
      <alignment horizontal="center" vertical="center" wrapText="1"/>
    </xf>
    <xf numFmtId="0" fontId="66" fillId="0" borderId="0" xfId="49" applyFont="1" applyAlignment="1">
      <alignment vertical="center"/>
    </xf>
    <xf numFmtId="0" fontId="66" fillId="0" borderId="0" xfId="49" applyFont="1"/>
    <xf numFmtId="0" fontId="72" fillId="0" borderId="58" xfId="0" applyFont="1" applyBorder="1" applyAlignment="1">
      <alignment horizontal="center" vertical="center" wrapText="1"/>
    </xf>
    <xf numFmtId="0" fontId="72" fillId="0" borderId="1" xfId="0" applyFont="1" applyBorder="1" applyAlignment="1">
      <alignment horizontal="center" vertical="center" wrapText="1"/>
    </xf>
    <xf numFmtId="0" fontId="72" fillId="0" borderId="117" xfId="0" applyFont="1" applyBorder="1" applyAlignment="1">
      <alignment horizontal="center" vertical="center" wrapText="1"/>
    </xf>
    <xf numFmtId="167" fontId="79" fillId="24" borderId="58" xfId="38" applyNumberFormat="1" applyFont="1" applyFill="1" applyBorder="1" applyAlignment="1">
      <alignment horizontal="center" vertical="center" wrapText="1"/>
    </xf>
    <xf numFmtId="167" fontId="79" fillId="24" borderId="1" xfId="38" applyNumberFormat="1" applyFont="1" applyFill="1" applyBorder="1" applyAlignment="1">
      <alignment horizontal="center" vertical="center" wrapText="1"/>
    </xf>
    <xf numFmtId="167" fontId="66" fillId="24" borderId="59" xfId="38" applyNumberFormat="1" applyFont="1" applyFill="1" applyBorder="1" applyAlignment="1">
      <alignment horizontal="center" vertical="center" wrapText="1"/>
    </xf>
    <xf numFmtId="167" fontId="66" fillId="24" borderId="117" xfId="38" applyNumberFormat="1" applyFont="1" applyFill="1" applyBorder="1" applyAlignment="1">
      <alignment horizontal="center" vertical="center" wrapText="1"/>
    </xf>
    <xf numFmtId="0" fontId="72" fillId="29" borderId="21" xfId="0" applyFont="1" applyFill="1" applyBorder="1" applyAlignment="1">
      <alignment vertical="center" wrapText="1"/>
    </xf>
    <xf numFmtId="167" fontId="93" fillId="29" borderId="68" xfId="38" applyNumberFormat="1" applyFont="1" applyFill="1" applyBorder="1" applyAlignment="1">
      <alignment horizontal="center" vertical="center" wrapText="1"/>
    </xf>
    <xf numFmtId="167" fontId="93" fillId="29" borderId="69" xfId="38" applyNumberFormat="1" applyFont="1" applyFill="1" applyBorder="1" applyAlignment="1">
      <alignment horizontal="center" vertical="center" wrapText="1"/>
    </xf>
    <xf numFmtId="167" fontId="93" fillId="29" borderId="70" xfId="38" applyNumberFormat="1" applyFont="1" applyFill="1" applyBorder="1" applyAlignment="1">
      <alignment horizontal="center" vertical="center" wrapText="1"/>
    </xf>
    <xf numFmtId="167" fontId="93" fillId="29" borderId="118" xfId="38" applyNumberFormat="1" applyFont="1" applyFill="1" applyBorder="1" applyAlignment="1">
      <alignment horizontal="center" vertical="center" wrapText="1"/>
    </xf>
    <xf numFmtId="167" fontId="66" fillId="0" borderId="0" xfId="0" applyNumberFormat="1" applyFont="1" applyAlignment="1">
      <alignment vertical="center" wrapText="1"/>
    </xf>
    <xf numFmtId="0" fontId="72" fillId="24" borderId="0" xfId="0" applyFont="1" applyFill="1" applyAlignment="1">
      <alignment vertical="center" wrapText="1"/>
    </xf>
    <xf numFmtId="0" fontId="72" fillId="0" borderId="56" xfId="0" applyFont="1" applyBorder="1" applyAlignment="1">
      <alignment vertical="center" wrapText="1"/>
    </xf>
    <xf numFmtId="167" fontId="72" fillId="0" borderId="0" xfId="38" applyNumberFormat="1" applyFont="1" applyFill="1" applyBorder="1" applyAlignment="1">
      <alignment horizontal="center" vertical="center" wrapText="1"/>
    </xf>
    <xf numFmtId="0" fontId="66" fillId="24" borderId="0" xfId="0" applyFont="1" applyFill="1" applyAlignment="1">
      <alignment vertical="center" wrapText="1"/>
    </xf>
    <xf numFmtId="0" fontId="72" fillId="0" borderId="119" xfId="0" applyFont="1" applyBorder="1" applyAlignment="1">
      <alignment horizontal="center" vertical="center" wrapText="1"/>
    </xf>
    <xf numFmtId="167" fontId="100" fillId="24" borderId="119" xfId="38" applyNumberFormat="1" applyFont="1" applyFill="1" applyBorder="1" applyAlignment="1">
      <alignment horizontal="center" vertical="center" wrapText="1"/>
    </xf>
    <xf numFmtId="167" fontId="101" fillId="24" borderId="1" xfId="38" applyNumberFormat="1" applyFont="1" applyFill="1" applyBorder="1" applyAlignment="1">
      <alignment horizontal="center" vertical="center" wrapText="1"/>
    </xf>
    <xf numFmtId="167" fontId="100" fillId="24" borderId="59" xfId="38" applyNumberFormat="1" applyFont="1" applyFill="1" applyBorder="1" applyAlignment="1">
      <alignment horizontal="center" vertical="center" wrapText="1"/>
    </xf>
    <xf numFmtId="167" fontId="100" fillId="24" borderId="117" xfId="38" applyNumberFormat="1" applyFont="1" applyFill="1" applyBorder="1" applyAlignment="1">
      <alignment horizontal="center" vertical="center" wrapText="1"/>
    </xf>
    <xf numFmtId="167" fontId="100" fillId="0" borderId="117" xfId="38" applyNumberFormat="1" applyFont="1" applyFill="1" applyBorder="1" applyAlignment="1">
      <alignment horizontal="center" vertical="center" wrapText="1"/>
    </xf>
    <xf numFmtId="167" fontId="101" fillId="0" borderId="1" xfId="38" applyNumberFormat="1" applyFont="1" applyFill="1" applyBorder="1" applyAlignment="1">
      <alignment horizontal="center" vertical="center" wrapText="1"/>
    </xf>
    <xf numFmtId="167" fontId="100" fillId="0" borderId="59" xfId="38" applyNumberFormat="1" applyFont="1" applyFill="1" applyBorder="1" applyAlignment="1">
      <alignment horizontal="center" vertical="center" wrapText="1"/>
    </xf>
    <xf numFmtId="167" fontId="102" fillId="29" borderId="139" xfId="38" applyNumberFormat="1" applyFont="1" applyFill="1" applyBorder="1" applyAlignment="1">
      <alignment horizontal="center" vertical="center" wrapText="1"/>
    </xf>
    <xf numFmtId="167" fontId="102" fillId="29" borderId="69" xfId="38" applyNumberFormat="1" applyFont="1" applyFill="1" applyBorder="1" applyAlignment="1">
      <alignment horizontal="center" vertical="center" wrapText="1"/>
    </xf>
    <xf numFmtId="167" fontId="102" fillId="29" borderId="70" xfId="38" applyNumberFormat="1" applyFont="1" applyFill="1" applyBorder="1" applyAlignment="1">
      <alignment horizontal="center" vertical="center" wrapText="1"/>
    </xf>
    <xf numFmtId="167" fontId="102" fillId="29" borderId="118" xfId="38" applyNumberFormat="1" applyFont="1" applyFill="1" applyBorder="1" applyAlignment="1">
      <alignment horizontal="center" vertical="center" wrapText="1"/>
    </xf>
    <xf numFmtId="167" fontId="102" fillId="29" borderId="68" xfId="38" applyNumberFormat="1" applyFont="1" applyFill="1" applyBorder="1" applyAlignment="1">
      <alignment horizontal="center" vertical="center" wrapText="1"/>
    </xf>
    <xf numFmtId="167" fontId="72" fillId="24" borderId="0" xfId="0" applyNumberFormat="1" applyFont="1" applyFill="1" applyAlignment="1">
      <alignment vertical="center" wrapText="1"/>
    </xf>
    <xf numFmtId="167" fontId="72" fillId="24" borderId="0" xfId="38" applyNumberFormat="1" applyFont="1" applyFill="1" applyBorder="1" applyAlignment="1">
      <alignment horizontal="center" vertical="center" wrapText="1"/>
    </xf>
    <xf numFmtId="175" fontId="72" fillId="24" borderId="0" xfId="38" applyNumberFormat="1" applyFont="1" applyFill="1" applyBorder="1" applyAlignment="1">
      <alignment horizontal="center" vertical="center" wrapText="1"/>
    </xf>
    <xf numFmtId="166" fontId="66" fillId="0" borderId="0" xfId="0" applyNumberFormat="1" applyFont="1" applyAlignment="1">
      <alignment vertical="center" wrapText="1"/>
    </xf>
    <xf numFmtId="177" fontId="72" fillId="24" borderId="0" xfId="38" applyNumberFormat="1" applyFont="1" applyFill="1" applyBorder="1" applyAlignment="1">
      <alignment horizontal="center" vertical="center" wrapText="1"/>
    </xf>
    <xf numFmtId="3" fontId="72" fillId="24" borderId="0" xfId="38" applyNumberFormat="1" applyFont="1" applyFill="1" applyBorder="1" applyAlignment="1">
      <alignment horizontal="center" vertical="center" wrapText="1"/>
    </xf>
    <xf numFmtId="0" fontId="79" fillId="24" borderId="0" xfId="0" applyFont="1" applyFill="1" applyAlignment="1">
      <alignment vertical="center" wrapText="1"/>
    </xf>
    <xf numFmtId="49" fontId="70" fillId="0" borderId="0" xfId="0" applyNumberFormat="1" applyFont="1" applyAlignment="1">
      <alignment horizontal="center"/>
    </xf>
    <xf numFmtId="167" fontId="91" fillId="0" borderId="0" xfId="0" applyNumberFormat="1" applyFont="1" applyAlignment="1">
      <alignment horizontal="center"/>
    </xf>
    <xf numFmtId="167" fontId="72" fillId="0" borderId="56" xfId="0" applyNumberFormat="1" applyFont="1" applyBorder="1" applyAlignment="1">
      <alignment vertical="center" wrapText="1"/>
    </xf>
    <xf numFmtId="167" fontId="93" fillId="0" borderId="0" xfId="38" applyNumberFormat="1" applyFont="1" applyFill="1" applyBorder="1" applyAlignment="1">
      <alignment horizontal="center" vertical="center" wrapText="1"/>
    </xf>
    <xf numFmtId="0" fontId="72" fillId="0" borderId="0" xfId="0" applyFont="1" applyAlignment="1">
      <alignment vertical="center" wrapText="1"/>
    </xf>
    <xf numFmtId="0" fontId="86" fillId="0" borderId="0" xfId="0" applyFont="1" applyAlignment="1">
      <alignment vertical="center" wrapText="1"/>
    </xf>
    <xf numFmtId="166" fontId="72" fillId="0" borderId="0" xfId="0" applyNumberFormat="1" applyFont="1" applyAlignment="1">
      <alignment horizontal="center" vertical="center" wrapText="1"/>
    </xf>
    <xf numFmtId="166" fontId="66" fillId="0" borderId="1" xfId="0" applyNumberFormat="1" applyFont="1" applyBorder="1" applyAlignment="1">
      <alignment horizontal="center" vertical="center" wrapText="1"/>
    </xf>
    <xf numFmtId="0" fontId="66" fillId="0" borderId="0" xfId="0" applyFont="1" applyAlignment="1">
      <alignment horizontal="right" vertical="center" wrapText="1"/>
    </xf>
    <xf numFmtId="166" fontId="91" fillId="0" borderId="0" xfId="0" applyNumberFormat="1" applyFont="1" applyAlignment="1">
      <alignment vertical="center" wrapText="1"/>
    </xf>
    <xf numFmtId="0" fontId="92" fillId="0" borderId="21" xfId="0" applyFont="1" applyBorder="1" applyAlignment="1">
      <alignment vertical="center" wrapText="1"/>
    </xf>
    <xf numFmtId="2" fontId="66" fillId="24" borderId="20" xfId="0" applyNumberFormat="1" applyFont="1" applyFill="1" applyBorder="1" applyAlignment="1">
      <alignment horizontal="center" vertical="center" wrapText="1"/>
    </xf>
    <xf numFmtId="2" fontId="72" fillId="24" borderId="20" xfId="0" applyNumberFormat="1" applyFont="1" applyFill="1" applyBorder="1" applyAlignment="1">
      <alignment horizontal="center" vertical="center" wrapText="1"/>
    </xf>
    <xf numFmtId="170" fontId="91" fillId="0" borderId="0" xfId="38" applyNumberFormat="1" applyFont="1" applyFill="1" applyBorder="1" applyAlignment="1">
      <alignment vertical="center" wrapText="1"/>
    </xf>
    <xf numFmtId="2" fontId="66" fillId="0" borderId="20" xfId="0" applyNumberFormat="1" applyFont="1" applyBorder="1" applyAlignment="1">
      <alignment horizontal="center" vertical="center" wrapText="1"/>
    </xf>
    <xf numFmtId="2" fontId="72" fillId="0" borderId="20" xfId="0" applyNumberFormat="1" applyFont="1" applyBorder="1" applyAlignment="1">
      <alignment horizontal="center" vertical="center" wrapText="1"/>
    </xf>
    <xf numFmtId="0" fontId="86" fillId="0" borderId="0" xfId="0" applyFont="1"/>
    <xf numFmtId="172" fontId="66" fillId="0" borderId="0" xfId="0" applyNumberFormat="1" applyFont="1" applyAlignment="1">
      <alignment vertical="center" wrapText="1"/>
    </xf>
    <xf numFmtId="2" fontId="72" fillId="24" borderId="79" xfId="0" applyNumberFormat="1" applyFont="1" applyFill="1" applyBorder="1" applyAlignment="1">
      <alignment horizontal="center" vertical="center" wrapText="1"/>
    </xf>
    <xf numFmtId="2" fontId="72" fillId="24" borderId="151" xfId="0" applyNumberFormat="1" applyFont="1" applyFill="1" applyBorder="1" applyAlignment="1">
      <alignment horizontal="center" vertical="center" wrapText="1"/>
    </xf>
    <xf numFmtId="2" fontId="72" fillId="24" borderId="63" xfId="0" applyNumberFormat="1" applyFont="1" applyFill="1" applyBorder="1" applyAlignment="1">
      <alignment horizontal="center" vertical="center" wrapText="1"/>
    </xf>
    <xf numFmtId="0" fontId="75" fillId="0" borderId="0" xfId="0" applyFont="1" applyAlignment="1">
      <alignment vertical="center" wrapText="1"/>
    </xf>
    <xf numFmtId="0" fontId="75" fillId="24" borderId="0" xfId="0" applyFont="1" applyFill="1" applyAlignment="1">
      <alignment vertical="center" wrapText="1"/>
    </xf>
    <xf numFmtId="0" fontId="86" fillId="0" borderId="0" xfId="0" applyFont="1" applyAlignment="1">
      <alignment vertical="center"/>
    </xf>
    <xf numFmtId="0" fontId="88" fillId="0" borderId="0" xfId="0" applyFont="1" applyAlignment="1">
      <alignment vertical="center"/>
    </xf>
    <xf numFmtId="0" fontId="79" fillId="0" borderId="0" xfId="0" applyFont="1" applyAlignment="1">
      <alignment vertical="center"/>
    </xf>
    <xf numFmtId="0" fontId="88" fillId="0" borderId="0" xfId="0" applyFont="1" applyAlignment="1">
      <alignment horizontal="center" vertical="center" wrapText="1"/>
    </xf>
    <xf numFmtId="17" fontId="87" fillId="0" borderId="0" xfId="0" applyNumberFormat="1" applyFont="1" applyAlignment="1">
      <alignment horizontal="center" vertical="center" wrapText="1"/>
    </xf>
    <xf numFmtId="0" fontId="88" fillId="0" borderId="0" xfId="0" applyFont="1" applyAlignment="1">
      <alignment horizontal="center" vertical="center"/>
    </xf>
    <xf numFmtId="0" fontId="88" fillId="0" borderId="0" xfId="0" applyFont="1" applyAlignment="1">
      <alignment vertical="center" wrapText="1"/>
    </xf>
    <xf numFmtId="166" fontId="79" fillId="0" borderId="0" xfId="0" applyNumberFormat="1" applyFont="1" applyAlignment="1">
      <alignment horizontal="center" vertical="center" wrapText="1"/>
    </xf>
    <xf numFmtId="166" fontId="93" fillId="0" borderId="0" xfId="0" applyNumberFormat="1" applyFont="1" applyAlignment="1">
      <alignment horizontal="center" vertical="center" wrapText="1"/>
    </xf>
    <xf numFmtId="0" fontId="79" fillId="0" borderId="0" xfId="0" applyFont="1" applyAlignment="1">
      <alignment horizontal="center"/>
    </xf>
    <xf numFmtId="0" fontId="68" fillId="0" borderId="0" xfId="0" applyFont="1" applyAlignment="1">
      <alignment vertical="center" wrapText="1"/>
    </xf>
    <xf numFmtId="4" fontId="66" fillId="0" borderId="0" xfId="0" applyNumberFormat="1" applyFont="1" applyAlignment="1">
      <alignment vertical="center" wrapText="1"/>
    </xf>
    <xf numFmtId="0" fontId="79" fillId="24" borderId="0" xfId="0" applyFont="1" applyFill="1" applyAlignment="1">
      <alignment horizontal="center" vertical="center" wrapText="1"/>
    </xf>
    <xf numFmtId="170" fontId="93" fillId="0" borderId="0" xfId="38" applyNumberFormat="1" applyFont="1" applyFill="1" applyBorder="1" applyAlignment="1">
      <alignment horizontal="left" vertical="center" wrapText="1"/>
    </xf>
    <xf numFmtId="171" fontId="93" fillId="0" borderId="0" xfId="38" applyNumberFormat="1" applyFont="1" applyFill="1" applyBorder="1" applyAlignment="1">
      <alignment horizontal="left" vertical="center" wrapText="1"/>
    </xf>
    <xf numFmtId="0" fontId="79" fillId="0" borderId="0" xfId="0" applyFont="1" applyAlignment="1">
      <alignment horizontal="center" vertical="center" wrapText="1"/>
    </xf>
    <xf numFmtId="167" fontId="66" fillId="24" borderId="119" xfId="38" applyNumberFormat="1" applyFont="1" applyFill="1" applyBorder="1" applyAlignment="1">
      <alignment horizontal="center" vertical="center" wrapText="1"/>
    </xf>
    <xf numFmtId="166" fontId="79" fillId="0" borderId="57" xfId="38" applyNumberFormat="1" applyFont="1" applyFill="1" applyBorder="1" applyAlignment="1">
      <alignment horizontal="center" vertical="center" wrapText="1"/>
    </xf>
    <xf numFmtId="166" fontId="79" fillId="0" borderId="59" xfId="38" applyNumberFormat="1" applyFont="1" applyFill="1" applyBorder="1" applyAlignment="1">
      <alignment horizontal="center" vertical="center" wrapText="1"/>
    </xf>
    <xf numFmtId="167" fontId="79" fillId="0" borderId="59" xfId="38" applyNumberFormat="1" applyFont="1" applyFill="1" applyBorder="1" applyAlignment="1">
      <alignment horizontal="center" vertical="center" wrapText="1"/>
    </xf>
    <xf numFmtId="167" fontId="66" fillId="0" borderId="1" xfId="38" applyNumberFormat="1" applyFont="1" applyFill="1" applyBorder="1" applyAlignment="1">
      <alignment horizontal="center" vertical="center" wrapText="1"/>
    </xf>
    <xf numFmtId="166" fontId="66" fillId="24" borderId="59" xfId="38" applyNumberFormat="1" applyFont="1" applyFill="1" applyBorder="1" applyAlignment="1">
      <alignment horizontal="center" vertical="center" wrapText="1"/>
    </xf>
    <xf numFmtId="166" fontId="66" fillId="0" borderId="59" xfId="38" applyNumberFormat="1" applyFont="1" applyFill="1" applyBorder="1" applyAlignment="1">
      <alignment horizontal="center" vertical="center" wrapText="1"/>
    </xf>
    <xf numFmtId="0" fontId="72" fillId="29" borderId="62" xfId="0" applyFont="1" applyFill="1" applyBorder="1" applyAlignment="1">
      <alignment vertical="center" wrapText="1"/>
    </xf>
    <xf numFmtId="167" fontId="93" fillId="29" borderId="62" xfId="38" applyNumberFormat="1" applyFont="1" applyFill="1" applyBorder="1" applyAlignment="1">
      <alignment horizontal="center" vertical="center" wrapText="1"/>
    </xf>
    <xf numFmtId="167" fontId="93" fillId="29" borderId="64" xfId="38" applyNumberFormat="1" applyFont="1" applyFill="1" applyBorder="1" applyAlignment="1">
      <alignment horizontal="center" vertical="center" wrapText="1"/>
    </xf>
    <xf numFmtId="167" fontId="93" fillId="29" borderId="65" xfId="38" applyNumberFormat="1" applyFont="1" applyFill="1" applyBorder="1" applyAlignment="1">
      <alignment horizontal="center" vertical="center" wrapText="1"/>
    </xf>
    <xf numFmtId="0" fontId="81" fillId="0" borderId="0" xfId="0" applyFont="1" applyAlignment="1">
      <alignment horizontal="center" vertical="center" wrapText="1"/>
    </xf>
    <xf numFmtId="0" fontId="81" fillId="0" borderId="0" xfId="0" applyFont="1" applyAlignment="1">
      <alignment vertical="center" wrapText="1"/>
    </xf>
    <xf numFmtId="0" fontId="95" fillId="0" borderId="0" xfId="37" applyFont="1" applyAlignment="1" applyProtection="1">
      <alignment horizontal="center" vertical="center" wrapText="1"/>
    </xf>
    <xf numFmtId="0" fontId="72" fillId="0" borderId="1" xfId="0" quotePrefix="1" applyFont="1" applyBorder="1" applyAlignment="1">
      <alignment horizontal="center" vertical="center" wrapText="1"/>
    </xf>
    <xf numFmtId="0" fontId="103" fillId="0" borderId="21" xfId="0" applyFont="1" applyBorder="1" applyAlignment="1">
      <alignment vertical="center" wrapText="1"/>
    </xf>
    <xf numFmtId="166" fontId="66" fillId="0" borderId="58" xfId="0" applyNumberFormat="1" applyFont="1" applyBorder="1" applyAlignment="1">
      <alignment horizontal="center" vertical="center" wrapText="1"/>
    </xf>
    <xf numFmtId="166" fontId="72" fillId="0" borderId="59" xfId="0" applyNumberFormat="1" applyFont="1" applyBorder="1" applyAlignment="1">
      <alignment horizontal="center" vertical="center" wrapText="1"/>
    </xf>
    <xf numFmtId="166" fontId="72" fillId="0" borderId="146" xfId="0" applyNumberFormat="1" applyFont="1" applyBorder="1" applyAlignment="1">
      <alignment horizontal="center" vertical="center" wrapText="1"/>
    </xf>
    <xf numFmtId="166" fontId="72" fillId="0" borderId="1" xfId="0" applyNumberFormat="1" applyFont="1" applyBorder="1" applyAlignment="1">
      <alignment horizontal="center" vertical="center" wrapText="1"/>
    </xf>
    <xf numFmtId="166" fontId="72" fillId="0" borderId="65" xfId="0" applyNumberFormat="1" applyFont="1" applyBorder="1" applyAlignment="1">
      <alignment horizontal="center" vertical="center" wrapText="1"/>
    </xf>
    <xf numFmtId="0" fontId="91" fillId="24" borderId="0" xfId="0" applyFont="1" applyFill="1" applyAlignment="1">
      <alignment horizontal="center" vertical="center" wrapText="1"/>
    </xf>
    <xf numFmtId="166" fontId="91" fillId="24" borderId="0" xfId="0" applyNumberFormat="1" applyFont="1" applyFill="1" applyAlignment="1">
      <alignment vertical="center" wrapText="1"/>
    </xf>
    <xf numFmtId="170" fontId="91" fillId="24" borderId="0" xfId="38" applyNumberFormat="1" applyFont="1" applyFill="1" applyBorder="1" applyAlignment="1">
      <alignment vertical="center" wrapText="1"/>
    </xf>
    <xf numFmtId="0" fontId="104" fillId="0" borderId="0" xfId="0" applyFont="1" applyAlignment="1">
      <alignment vertical="center"/>
    </xf>
    <xf numFmtId="0" fontId="72" fillId="0" borderId="73" xfId="0" applyFont="1" applyBorder="1" applyAlignment="1">
      <alignment horizontal="center" vertical="center" wrapText="1"/>
    </xf>
    <xf numFmtId="0" fontId="72" fillId="0" borderId="15" xfId="0" applyFont="1" applyBorder="1" applyAlignment="1">
      <alignment horizontal="center" vertical="center" wrapText="1"/>
    </xf>
    <xf numFmtId="0" fontId="72" fillId="0" borderId="74" xfId="0" applyFont="1" applyBorder="1" applyAlignment="1">
      <alignment horizontal="center" vertical="center" wrapText="1"/>
    </xf>
    <xf numFmtId="0" fontId="79" fillId="0" borderId="21" xfId="0" applyFont="1" applyBorder="1" applyAlignment="1">
      <alignment vertical="center" wrapText="1"/>
    </xf>
    <xf numFmtId="167" fontId="79" fillId="24" borderId="71" xfId="38" applyNumberFormat="1" applyFont="1" applyFill="1" applyBorder="1" applyAlignment="1">
      <alignment horizontal="center" vertical="center" wrapText="1"/>
    </xf>
    <xf numFmtId="167" fontId="79" fillId="24" borderId="16" xfId="38" applyNumberFormat="1" applyFont="1" applyFill="1" applyBorder="1" applyAlignment="1">
      <alignment horizontal="center" vertical="center" wrapText="1"/>
    </xf>
    <xf numFmtId="167" fontId="79" fillId="24" borderId="75" xfId="38" applyNumberFormat="1" applyFont="1" applyFill="1" applyBorder="1" applyAlignment="1">
      <alignment horizontal="center" vertical="center" wrapText="1"/>
    </xf>
    <xf numFmtId="167" fontId="79" fillId="0" borderId="16" xfId="38" applyNumberFormat="1" applyFont="1" applyFill="1" applyBorder="1" applyAlignment="1">
      <alignment horizontal="center" vertical="center" wrapText="1"/>
    </xf>
    <xf numFmtId="167" fontId="79" fillId="29" borderId="79" xfId="38" applyNumberFormat="1" applyFont="1" applyFill="1" applyBorder="1" applyAlignment="1">
      <alignment horizontal="center" vertical="center" wrapText="1"/>
    </xf>
    <xf numFmtId="167" fontId="79" fillId="29" borderId="81" xfId="38" applyNumberFormat="1" applyFont="1" applyFill="1" applyBorder="1" applyAlignment="1">
      <alignment horizontal="center" vertical="center" wrapText="1"/>
    </xf>
    <xf numFmtId="167" fontId="79" fillId="29" borderId="80" xfId="38" applyNumberFormat="1" applyFont="1" applyFill="1" applyBorder="1" applyAlignment="1">
      <alignment horizontal="center" vertical="center" wrapText="1"/>
    </xf>
    <xf numFmtId="173" fontId="66" fillId="0" borderId="0" xfId="0" applyNumberFormat="1" applyFont="1" applyAlignment="1">
      <alignment vertical="center" wrapText="1"/>
    </xf>
    <xf numFmtId="167" fontId="79" fillId="0" borderId="71" xfId="38" applyNumberFormat="1" applyFont="1" applyFill="1" applyBorder="1" applyAlignment="1">
      <alignment horizontal="center" vertical="center" wrapText="1"/>
    </xf>
    <xf numFmtId="167" fontId="79" fillId="0" borderId="75" xfId="38" applyNumberFormat="1" applyFont="1" applyFill="1" applyBorder="1" applyAlignment="1">
      <alignment horizontal="center" vertical="center" wrapText="1"/>
    </xf>
    <xf numFmtId="167" fontId="79" fillId="0" borderId="79" xfId="38" applyNumberFormat="1" applyFont="1" applyFill="1" applyBorder="1" applyAlignment="1">
      <alignment horizontal="center" vertical="center" wrapText="1"/>
    </xf>
    <xf numFmtId="167" fontId="79" fillId="0" borderId="81" xfId="38" applyNumberFormat="1" applyFont="1" applyFill="1" applyBorder="1" applyAlignment="1">
      <alignment horizontal="center" vertical="center" wrapText="1"/>
    </xf>
    <xf numFmtId="167" fontId="79" fillId="0" borderId="80" xfId="38" applyNumberFormat="1" applyFont="1" applyFill="1" applyBorder="1" applyAlignment="1">
      <alignment horizontal="center" vertical="center" wrapText="1"/>
    </xf>
    <xf numFmtId="167" fontId="79" fillId="0" borderId="0" xfId="38" applyNumberFormat="1" applyFont="1" applyFill="1" applyBorder="1" applyAlignment="1">
      <alignment horizontal="center" vertical="center" wrapText="1"/>
    </xf>
    <xf numFmtId="0" fontId="72" fillId="29" borderId="72" xfId="0" applyFont="1" applyFill="1" applyBorder="1" applyAlignment="1">
      <alignment horizontal="center" vertical="center" wrapText="1"/>
    </xf>
    <xf numFmtId="167" fontId="79" fillId="29" borderId="77" xfId="38" applyNumberFormat="1" applyFont="1" applyFill="1" applyBorder="1" applyAlignment="1">
      <alignment horizontal="center" vertical="center" wrapText="1"/>
    </xf>
    <xf numFmtId="167" fontId="79" fillId="29" borderId="78" xfId="38" applyNumberFormat="1" applyFont="1" applyFill="1" applyBorder="1" applyAlignment="1">
      <alignment horizontal="center" vertical="center" wrapText="1"/>
    </xf>
    <xf numFmtId="167" fontId="79" fillId="29" borderId="76" xfId="38" applyNumberFormat="1" applyFont="1" applyFill="1" applyBorder="1" applyAlignment="1">
      <alignment horizontal="center" vertical="center" wrapText="1"/>
    </xf>
    <xf numFmtId="167" fontId="66" fillId="0" borderId="71" xfId="38" applyNumberFormat="1" applyFont="1" applyFill="1" applyBorder="1" applyAlignment="1">
      <alignment horizontal="center" vertical="center" wrapText="1"/>
    </xf>
    <xf numFmtId="167" fontId="66" fillId="0" borderId="16" xfId="38" applyNumberFormat="1" applyFont="1" applyFill="1" applyBorder="1" applyAlignment="1">
      <alignment horizontal="center" vertical="center" wrapText="1"/>
    </xf>
    <xf numFmtId="167" fontId="66" fillId="0" borderId="75" xfId="38" applyNumberFormat="1" applyFont="1" applyFill="1" applyBorder="1" applyAlignment="1">
      <alignment horizontal="center" vertical="center" wrapText="1"/>
    </xf>
    <xf numFmtId="176" fontId="79" fillId="0" borderId="0" xfId="38" applyNumberFormat="1" applyFont="1" applyFill="1" applyBorder="1" applyAlignment="1">
      <alignment horizontal="center" vertical="center" wrapText="1"/>
    </xf>
    <xf numFmtId="0" fontId="96" fillId="0" borderId="0" xfId="52" applyFont="1"/>
    <xf numFmtId="0" fontId="98" fillId="0" borderId="0" xfId="52" applyFont="1"/>
    <xf numFmtId="3" fontId="72" fillId="0" borderId="10" xfId="52" quotePrefix="1" applyNumberFormat="1" applyFont="1" applyBorder="1" applyAlignment="1">
      <alignment horizontal="center" vertical="center" wrapText="1"/>
    </xf>
    <xf numFmtId="4" fontId="72" fillId="0" borderId="11" xfId="52" applyNumberFormat="1" applyFont="1" applyBorder="1" applyAlignment="1">
      <alignment horizontal="center" vertical="center" wrapText="1"/>
    </xf>
    <xf numFmtId="3" fontId="72" fillId="0" borderId="12" xfId="52" applyNumberFormat="1" applyFont="1" applyBorder="1" applyAlignment="1">
      <alignment horizontal="center" vertical="center" wrapText="1"/>
    </xf>
    <xf numFmtId="0" fontId="72" fillId="0" borderId="13" xfId="52" quotePrefix="1" applyFont="1" applyBorder="1" applyAlignment="1">
      <alignment horizontal="center" vertical="center" wrapText="1"/>
    </xf>
    <xf numFmtId="0" fontId="96" fillId="0" borderId="14" xfId="52" applyFont="1" applyBorder="1" applyAlignment="1">
      <alignment horizontal="left" vertical="center" wrapText="1"/>
    </xf>
    <xf numFmtId="3" fontId="66" fillId="0" borderId="10" xfId="52" applyNumberFormat="1" applyFont="1" applyBorder="1" applyAlignment="1">
      <alignment horizontal="center" vertical="center" wrapText="1"/>
    </xf>
    <xf numFmtId="3" fontId="66" fillId="0" borderId="11" xfId="52" applyNumberFormat="1" applyFont="1" applyBorder="1" applyAlignment="1">
      <alignment horizontal="center" vertical="center" wrapText="1"/>
    </xf>
    <xf numFmtId="3" fontId="66" fillId="0" borderId="12" xfId="52" applyNumberFormat="1" applyFont="1" applyBorder="1" applyAlignment="1">
      <alignment horizontal="center" vertical="center" wrapText="1"/>
    </xf>
    <xf numFmtId="167" fontId="79" fillId="0" borderId="10" xfId="52" applyNumberFormat="1" applyFont="1" applyBorder="1" applyAlignment="1">
      <alignment horizontal="center" vertical="center" wrapText="1"/>
    </xf>
    <xf numFmtId="167" fontId="79" fillId="0" borderId="11" xfId="52" applyNumberFormat="1" applyFont="1" applyBorder="1" applyAlignment="1">
      <alignment horizontal="center" vertical="center" wrapText="1"/>
    </xf>
    <xf numFmtId="0" fontId="72" fillId="0" borderId="14" xfId="52" applyFont="1" applyBorder="1" applyAlignment="1">
      <alignment horizontal="center" vertical="center" wrapText="1"/>
    </xf>
    <xf numFmtId="3" fontId="72" fillId="0" borderId="17" xfId="52" applyNumberFormat="1" applyFont="1" applyBorder="1" applyAlignment="1">
      <alignment horizontal="center" vertical="center" wrapText="1"/>
    </xf>
    <xf numFmtId="3" fontId="72" fillId="0" borderId="18" xfId="52" applyNumberFormat="1" applyFont="1" applyBorder="1" applyAlignment="1">
      <alignment horizontal="center" vertical="center" wrapText="1"/>
    </xf>
    <xf numFmtId="3" fontId="72" fillId="0" borderId="19" xfId="52" applyNumberFormat="1" applyFont="1" applyBorder="1" applyAlignment="1">
      <alignment horizontal="center" vertical="center" wrapText="1"/>
    </xf>
    <xf numFmtId="167" fontId="72" fillId="0" borderId="17" xfId="52" applyNumberFormat="1" applyFont="1" applyBorder="1" applyAlignment="1">
      <alignment horizontal="center" vertical="center" wrapText="1"/>
    </xf>
    <xf numFmtId="0" fontId="88" fillId="0" borderId="0" xfId="52" applyFont="1"/>
    <xf numFmtId="0" fontId="66" fillId="0" borderId="111" xfId="0" applyFont="1" applyBorder="1"/>
    <xf numFmtId="0" fontId="83" fillId="0" borderId="0" xfId="0" quotePrefix="1" applyFont="1"/>
    <xf numFmtId="0" fontId="83" fillId="0" borderId="0" xfId="0" applyFont="1"/>
    <xf numFmtId="0" fontId="96" fillId="0" borderId="0" xfId="0" applyFont="1"/>
    <xf numFmtId="0" fontId="99" fillId="0" borderId="0" xfId="0" applyFont="1"/>
    <xf numFmtId="0" fontId="83" fillId="0" borderId="123" xfId="0" applyFont="1" applyBorder="1" applyAlignment="1">
      <alignment horizontal="center" vertical="center" wrapText="1"/>
    </xf>
    <xf numFmtId="0" fontId="96" fillId="0" borderId="121" xfId="0" applyFont="1" applyBorder="1" applyAlignment="1">
      <alignment horizontal="left" vertical="center"/>
    </xf>
    <xf numFmtId="166" fontId="96" fillId="0" borderId="121" xfId="0" applyNumberFormat="1" applyFont="1" applyBorder="1" applyAlignment="1">
      <alignment horizontal="center" wrapText="1"/>
    </xf>
    <xf numFmtId="3" fontId="96" fillId="0" borderId="0" xfId="0" applyNumberFormat="1" applyFont="1" applyAlignment="1">
      <alignment vertical="center"/>
    </xf>
    <xf numFmtId="1" fontId="96" fillId="0" borderId="0" xfId="56" applyNumberFormat="1" applyFont="1" applyFill="1"/>
    <xf numFmtId="0" fontId="112" fillId="0" borderId="0" xfId="0" applyFont="1"/>
    <xf numFmtId="0" fontId="83" fillId="0" borderId="116" xfId="0" applyFont="1" applyBorder="1" applyAlignment="1">
      <alignment horizontal="center"/>
    </xf>
    <xf numFmtId="0" fontId="83" fillId="0" borderId="33" xfId="0" applyFont="1" applyBorder="1"/>
    <xf numFmtId="0" fontId="83" fillId="0" borderId="120" xfId="0" applyFont="1" applyBorder="1"/>
    <xf numFmtId="0" fontId="83" fillId="0" borderId="130" xfId="0" applyFont="1" applyBorder="1"/>
    <xf numFmtId="0" fontId="83" fillId="0" borderId="131" xfId="0" applyFont="1" applyBorder="1"/>
    <xf numFmtId="0" fontId="83" fillId="0" borderId="130" xfId="0" applyFont="1" applyBorder="1" applyAlignment="1">
      <alignment wrapText="1"/>
    </xf>
    <xf numFmtId="0" fontId="83" fillId="0" borderId="131" xfId="0" applyFont="1" applyBorder="1" applyAlignment="1">
      <alignment wrapText="1"/>
    </xf>
    <xf numFmtId="166" fontId="83" fillId="0" borderId="116" xfId="0" applyNumberFormat="1" applyFont="1" applyBorder="1" applyAlignment="1">
      <alignment horizontal="center" wrapText="1"/>
    </xf>
    <xf numFmtId="10" fontId="96" fillId="0" borderId="0" xfId="56" applyNumberFormat="1" applyFont="1" applyFill="1"/>
    <xf numFmtId="0" fontId="83" fillId="0" borderId="0" xfId="0" applyFont="1" applyAlignment="1">
      <alignment horizontal="center"/>
    </xf>
    <xf numFmtId="0" fontId="83" fillId="0" borderId="0" xfId="0" applyFont="1" applyAlignment="1">
      <alignment horizontal="center" wrapText="1"/>
    </xf>
    <xf numFmtId="166" fontId="83" fillId="0" borderId="0" xfId="0" applyNumberFormat="1" applyFont="1" applyAlignment="1">
      <alignment horizontal="center" wrapText="1"/>
    </xf>
    <xf numFmtId="0" fontId="96" fillId="0" borderId="0" xfId="0" applyFont="1" applyAlignment="1">
      <alignment horizontal="center"/>
    </xf>
    <xf numFmtId="0" fontId="83" fillId="0" borderId="124" xfId="0" applyFont="1" applyBorder="1" applyAlignment="1">
      <alignment vertical="center" wrapText="1"/>
    </xf>
    <xf numFmtId="0" fontId="83" fillId="0" borderId="105" xfId="0" applyFont="1" applyBorder="1"/>
    <xf numFmtId="0" fontId="83" fillId="0" borderId="137" xfId="0" applyFont="1" applyBorder="1"/>
    <xf numFmtId="0" fontId="66" fillId="0" borderId="137" xfId="0" applyFont="1" applyBorder="1"/>
    <xf numFmtId="0" fontId="83" fillId="0" borderId="124" xfId="0" applyFont="1" applyBorder="1" applyAlignment="1">
      <alignment horizontal="center"/>
    </xf>
    <xf numFmtId="0" fontId="83" fillId="0" borderId="126" xfId="0" applyFont="1" applyBorder="1" applyAlignment="1">
      <alignment vertical="center" wrapText="1"/>
    </xf>
    <xf numFmtId="0" fontId="83" fillId="0" borderId="106" xfId="0" applyFont="1" applyBorder="1" applyAlignment="1">
      <alignment horizontal="center"/>
    </xf>
    <xf numFmtId="0" fontId="83" fillId="0" borderId="125" xfId="0" applyFont="1" applyBorder="1" applyAlignment="1">
      <alignment horizontal="center"/>
    </xf>
    <xf numFmtId="0" fontId="83" fillId="0" borderId="107" xfId="0" applyFont="1" applyBorder="1" applyAlignment="1">
      <alignment horizontal="center"/>
    </xf>
    <xf numFmtId="0" fontId="83" fillId="0" borderId="112" xfId="0" applyFont="1" applyBorder="1" applyAlignment="1">
      <alignment horizontal="center"/>
    </xf>
    <xf numFmtId="0" fontId="83" fillId="0" borderId="126" xfId="0" applyFont="1" applyBorder="1" applyAlignment="1">
      <alignment horizontal="center"/>
    </xf>
    <xf numFmtId="0" fontId="96" fillId="0" borderId="124" xfId="0" applyFont="1" applyBorder="1" applyAlignment="1">
      <alignment horizontal="left" vertical="center"/>
    </xf>
    <xf numFmtId="0" fontId="96" fillId="0" borderId="137" xfId="0" applyFont="1" applyBorder="1" applyAlignment="1">
      <alignment horizontal="center"/>
    </xf>
    <xf numFmtId="0" fontId="96" fillId="0" borderId="95" xfId="0" applyFont="1" applyBorder="1" applyAlignment="1">
      <alignment horizontal="center"/>
    </xf>
    <xf numFmtId="1" fontId="96" fillId="0" borderId="104" xfId="0" applyNumberFormat="1" applyFont="1" applyBorder="1" applyAlignment="1">
      <alignment horizontal="center"/>
    </xf>
    <xf numFmtId="0" fontId="96" fillId="0" borderId="111" xfId="0" applyFont="1" applyBorder="1" applyAlignment="1">
      <alignment horizontal="center"/>
    </xf>
    <xf numFmtId="0" fontId="96" fillId="0" borderId="120" xfId="0" applyFont="1" applyBorder="1" applyAlignment="1">
      <alignment horizontal="center"/>
    </xf>
    <xf numFmtId="0" fontId="83" fillId="0" borderId="92" xfId="0" applyFont="1" applyBorder="1" applyAlignment="1">
      <alignment horizontal="center"/>
    </xf>
    <xf numFmtId="0" fontId="83" fillId="0" borderId="114" xfId="0" applyFont="1" applyBorder="1" applyAlignment="1">
      <alignment horizontal="center"/>
    </xf>
    <xf numFmtId="166" fontId="96" fillId="0" borderId="143" xfId="0" applyNumberFormat="1" applyFont="1" applyBorder="1" applyAlignment="1">
      <alignment horizontal="center"/>
    </xf>
    <xf numFmtId="0" fontId="83" fillId="0" borderId="108" xfId="0" applyFont="1" applyBorder="1" applyAlignment="1">
      <alignment horizontal="center"/>
    </xf>
    <xf numFmtId="166" fontId="96" fillId="0" borderId="109" xfId="0" applyNumberFormat="1" applyFont="1" applyBorder="1" applyAlignment="1">
      <alignment horizontal="center" wrapText="1"/>
    </xf>
    <xf numFmtId="0" fontId="83" fillId="0" borderId="110" xfId="0" applyFont="1" applyBorder="1" applyAlignment="1">
      <alignment horizontal="center" vertical="center" wrapText="1"/>
    </xf>
    <xf numFmtId="0" fontId="83" fillId="0" borderId="115" xfId="0" applyFont="1" applyBorder="1" applyAlignment="1">
      <alignment horizontal="center" vertical="center" wrapText="1"/>
    </xf>
    <xf numFmtId="0" fontId="96" fillId="0" borderId="144" xfId="0" applyFont="1" applyBorder="1" applyAlignment="1">
      <alignment horizontal="left" vertical="center"/>
    </xf>
    <xf numFmtId="3" fontId="96" fillId="0" borderId="0" xfId="0" applyNumberFormat="1" applyFont="1"/>
    <xf numFmtId="9" fontId="96" fillId="0" borderId="0" xfId="56" applyFont="1" applyFill="1"/>
    <xf numFmtId="0" fontId="96" fillId="0" borderId="33" xfId="0" applyFont="1" applyBorder="1" applyAlignment="1">
      <alignment horizontal="left" vertical="center"/>
    </xf>
    <xf numFmtId="3" fontId="88" fillId="0" borderId="33" xfId="0" applyNumberFormat="1" applyFont="1" applyBorder="1"/>
    <xf numFmtId="3" fontId="88" fillId="0" borderId="120" xfId="0" applyNumberFormat="1" applyFont="1" applyBorder="1"/>
    <xf numFmtId="3" fontId="83" fillId="0" borderId="62" xfId="0" applyNumberFormat="1" applyFont="1" applyBorder="1"/>
    <xf numFmtId="3" fontId="83" fillId="0" borderId="115" xfId="0" applyNumberFormat="1" applyFont="1" applyBorder="1"/>
    <xf numFmtId="3" fontId="83" fillId="0" borderId="62" xfId="0" applyNumberFormat="1" applyFont="1" applyBorder="1" applyAlignment="1">
      <alignment wrapText="1"/>
    </xf>
    <xf numFmtId="0" fontId="66" fillId="0" borderId="115" xfId="0" applyFont="1" applyBorder="1"/>
    <xf numFmtId="166" fontId="83" fillId="0" borderId="115" xfId="0" applyNumberFormat="1" applyFont="1" applyBorder="1" applyAlignment="1">
      <alignment horizontal="center" wrapText="1"/>
    </xf>
    <xf numFmtId="0" fontId="95" fillId="0" borderId="0" xfId="37" applyFont="1" applyFill="1" applyAlignment="1" applyProtection="1">
      <alignment horizontal="center" vertical="center"/>
    </xf>
    <xf numFmtId="0" fontId="83" fillId="0" borderId="11" xfId="0" applyFont="1" applyBorder="1" applyAlignment="1">
      <alignment horizontal="center" wrapText="1"/>
    </xf>
    <xf numFmtId="0" fontId="83" fillId="0" borderId="11" xfId="0" applyFont="1" applyBorder="1" applyAlignment="1">
      <alignment horizontal="left" vertical="center"/>
    </xf>
    <xf numFmtId="0" fontId="96" fillId="0" borderId="14" xfId="0" applyFont="1" applyBorder="1"/>
    <xf numFmtId="0" fontId="96" fillId="0" borderId="111" xfId="0" applyFont="1" applyBorder="1"/>
    <xf numFmtId="0" fontId="96" fillId="0" borderId="14" xfId="0" applyFont="1" applyBorder="1" applyAlignment="1">
      <alignment wrapText="1"/>
    </xf>
    <xf numFmtId="166" fontId="96" fillId="0" borderId="11" xfId="0" applyNumberFormat="1" applyFont="1" applyBorder="1" applyAlignment="1">
      <alignment horizontal="center" wrapText="1"/>
    </xf>
    <xf numFmtId="0" fontId="88" fillId="0" borderId="111" xfId="0" applyFont="1" applyBorder="1"/>
    <xf numFmtId="0" fontId="96" fillId="34" borderId="0" xfId="0" applyFont="1" applyFill="1"/>
    <xf numFmtId="0" fontId="83" fillId="0" borderId="11" xfId="0" applyFont="1" applyBorder="1" applyAlignment="1">
      <alignment horizontal="center"/>
    </xf>
    <xf numFmtId="0" fontId="83" fillId="0" borderId="14" xfId="0" applyFont="1" applyBorder="1"/>
    <xf numFmtId="0" fontId="83" fillId="0" borderId="111" xfId="0" applyFont="1" applyBorder="1"/>
    <xf numFmtId="0" fontId="83" fillId="0" borderId="14" xfId="0" applyFont="1" applyBorder="1" applyAlignment="1">
      <alignment wrapText="1"/>
    </xf>
    <xf numFmtId="166" fontId="83" fillId="0" borderId="11" xfId="0" applyNumberFormat="1" applyFont="1" applyBorder="1" applyAlignment="1">
      <alignment horizontal="center" wrapText="1"/>
    </xf>
    <xf numFmtId="0" fontId="83" fillId="0" borderId="23" xfId="0" applyFont="1" applyBorder="1" applyAlignment="1">
      <alignment vertical="center" wrapText="1"/>
    </xf>
    <xf numFmtId="0" fontId="83" fillId="0" borderId="96" xfId="0" applyFont="1" applyBorder="1" applyAlignment="1">
      <alignment vertical="center" wrapText="1"/>
    </xf>
    <xf numFmtId="0" fontId="83" fillId="0" borderId="23" xfId="0" applyFont="1" applyBorder="1" applyAlignment="1">
      <alignment horizontal="center"/>
    </xf>
    <xf numFmtId="0" fontId="96" fillId="0" borderId="14" xfId="0" applyFont="1" applyBorder="1" applyAlignment="1">
      <alignment horizontal="left" vertical="center"/>
    </xf>
    <xf numFmtId="0" fontId="96" fillId="0" borderId="11" xfId="0" applyFont="1" applyBorder="1" applyAlignment="1">
      <alignment horizontal="center"/>
    </xf>
    <xf numFmtId="1" fontId="96" fillId="0" borderId="11" xfId="0" applyNumberFormat="1" applyFont="1" applyBorder="1" applyAlignment="1">
      <alignment horizontal="center"/>
    </xf>
    <xf numFmtId="166" fontId="96" fillId="0" borderId="11" xfId="0" applyNumberFormat="1" applyFont="1" applyBorder="1" applyAlignment="1">
      <alignment horizontal="center"/>
    </xf>
    <xf numFmtId="3" fontId="96" fillId="0" borderId="33" xfId="0" applyNumberFormat="1" applyFont="1" applyBorder="1" applyAlignment="1">
      <alignment wrapText="1"/>
    </xf>
    <xf numFmtId="3" fontId="96" fillId="0" borderId="120" xfId="0" applyNumberFormat="1" applyFont="1" applyBorder="1" applyAlignment="1">
      <alignment wrapText="1"/>
    </xf>
    <xf numFmtId="3" fontId="88" fillId="0" borderId="120" xfId="0" applyNumberFormat="1" applyFont="1" applyBorder="1" applyAlignment="1">
      <alignment horizontal="left"/>
    </xf>
    <xf numFmtId="3" fontId="83" fillId="0" borderId="130" xfId="0" applyNumberFormat="1" applyFont="1" applyBorder="1"/>
    <xf numFmtId="3" fontId="83" fillId="0" borderId="131" xfId="0" applyNumberFormat="1" applyFont="1" applyBorder="1"/>
    <xf numFmtId="3" fontId="96" fillId="0" borderId="130" xfId="0" applyNumberFormat="1" applyFont="1" applyBorder="1" applyAlignment="1">
      <alignment wrapText="1"/>
    </xf>
    <xf numFmtId="3" fontId="96" fillId="0" borderId="131" xfId="0" applyNumberFormat="1" applyFont="1" applyBorder="1" applyAlignment="1">
      <alignment wrapText="1"/>
    </xf>
    <xf numFmtId="0" fontId="105" fillId="0" borderId="0" xfId="0" applyFont="1" applyAlignment="1">
      <alignment horizontal="left" vertical="center"/>
    </xf>
    <xf numFmtId="0" fontId="113" fillId="0" borderId="0" xfId="0" applyFont="1" applyAlignment="1">
      <alignment horizontal="center" vertical="center"/>
    </xf>
    <xf numFmtId="3" fontId="66" fillId="0" borderId="0" xfId="0" applyNumberFormat="1" applyFont="1" applyAlignment="1">
      <alignment horizontal="center" vertical="center"/>
    </xf>
    <xf numFmtId="17" fontId="66" fillId="0" borderId="0" xfId="0" applyNumberFormat="1" applyFont="1" applyAlignment="1">
      <alignment horizontal="center" vertical="center"/>
    </xf>
    <xf numFmtId="0" fontId="67" fillId="0" borderId="33" xfId="0" applyFont="1" applyBorder="1" applyAlignment="1">
      <alignment horizontal="left" vertical="center"/>
    </xf>
    <xf numFmtId="3" fontId="66" fillId="0" borderId="26" xfId="0" applyNumberFormat="1" applyFont="1" applyBorder="1" applyAlignment="1">
      <alignment horizontal="center" vertical="center"/>
    </xf>
    <xf numFmtId="3" fontId="66" fillId="0" borderId="27" xfId="0" applyNumberFormat="1" applyFont="1" applyBorder="1" applyAlignment="1">
      <alignment horizontal="center" vertical="center"/>
    </xf>
    <xf numFmtId="3" fontId="72" fillId="0" borderId="27" xfId="0" applyNumberFormat="1" applyFont="1" applyBorder="1" applyAlignment="1">
      <alignment horizontal="center" vertical="center"/>
    </xf>
    <xf numFmtId="3" fontId="66" fillId="0" borderId="28" xfId="0" applyNumberFormat="1" applyFont="1" applyBorder="1" applyAlignment="1">
      <alignment horizontal="center" vertical="center"/>
    </xf>
    <xf numFmtId="0" fontId="72" fillId="25" borderId="22" xfId="0" applyFont="1" applyFill="1" applyBorder="1" applyAlignment="1">
      <alignment horizontal="center" vertical="center"/>
    </xf>
    <xf numFmtId="0" fontId="72" fillId="25" borderId="23" xfId="0" applyFont="1" applyFill="1" applyBorder="1" applyAlignment="1">
      <alignment horizontal="center" vertical="center"/>
    </xf>
    <xf numFmtId="0" fontId="72" fillId="25" borderId="24" xfId="0" applyFont="1" applyFill="1" applyBorder="1" applyAlignment="1">
      <alignment horizontal="center" vertical="center"/>
    </xf>
    <xf numFmtId="3" fontId="79" fillId="0" borderId="169" xfId="38" applyNumberFormat="1" applyFont="1" applyFill="1" applyBorder="1" applyAlignment="1">
      <alignment horizontal="center" vertical="center"/>
    </xf>
    <xf numFmtId="3" fontId="79" fillId="0" borderId="11" xfId="38" applyNumberFormat="1" applyFont="1" applyFill="1" applyBorder="1" applyAlignment="1">
      <alignment horizontal="center" vertical="center"/>
    </xf>
    <xf numFmtId="3" fontId="79" fillId="0" borderId="170" xfId="38" applyNumberFormat="1" applyFont="1" applyFill="1" applyBorder="1" applyAlignment="1">
      <alignment horizontal="center" vertical="center"/>
    </xf>
    <xf numFmtId="3" fontId="79" fillId="0" borderId="170" xfId="0" applyNumberFormat="1" applyFont="1" applyBorder="1" applyAlignment="1">
      <alignment horizontal="center" vertical="center"/>
    </xf>
    <xf numFmtId="3" fontId="79" fillId="0" borderId="169" xfId="0" applyNumberFormat="1" applyFont="1" applyBorder="1" applyAlignment="1">
      <alignment horizontal="center" vertical="center"/>
    </xf>
    <xf numFmtId="3" fontId="79" fillId="0" borderId="11" xfId="0" applyNumberFormat="1" applyFont="1" applyBorder="1" applyAlignment="1">
      <alignment horizontal="center" vertical="center"/>
    </xf>
    <xf numFmtId="3" fontId="79" fillId="0" borderId="171" xfId="0" applyNumberFormat="1" applyFont="1" applyBorder="1" applyAlignment="1">
      <alignment horizontal="center" vertical="center"/>
    </xf>
    <xf numFmtId="0" fontId="66" fillId="30" borderId="0" xfId="0" applyFont="1" applyFill="1" applyAlignment="1">
      <alignment horizontal="center" vertical="center"/>
    </xf>
    <xf numFmtId="3" fontId="79" fillId="0" borderId="96" xfId="0" applyNumberFormat="1" applyFont="1" applyBorder="1" applyAlignment="1">
      <alignment horizontal="center" vertical="center"/>
    </xf>
    <xf numFmtId="3" fontId="66" fillId="0" borderId="170" xfId="0" applyNumberFormat="1" applyFont="1" applyBorder="1" applyAlignment="1">
      <alignment horizontal="center" vertical="center"/>
    </xf>
    <xf numFmtId="0" fontId="79" fillId="0" borderId="95" xfId="0" applyFont="1" applyBorder="1" applyAlignment="1">
      <alignment horizontal="center" vertical="center"/>
    </xf>
    <xf numFmtId="0" fontId="79" fillId="0" borderId="11" xfId="0" applyFont="1" applyBorder="1" applyAlignment="1">
      <alignment horizontal="center" vertical="center"/>
    </xf>
    <xf numFmtId="3" fontId="70" fillId="26" borderId="30" xfId="0" applyNumberFormat="1" applyFont="1" applyFill="1" applyBorder="1" applyAlignment="1">
      <alignment horizontal="center" vertical="center"/>
    </xf>
    <xf numFmtId="0" fontId="93" fillId="0" borderId="29" xfId="0" applyFont="1" applyBorder="1" applyAlignment="1">
      <alignment horizontal="center" vertical="center"/>
    </xf>
    <xf numFmtId="3" fontId="70" fillId="26" borderId="31" xfId="0" applyNumberFormat="1" applyFont="1" applyFill="1" applyBorder="1" applyAlignment="1">
      <alignment horizontal="center" vertical="center"/>
    </xf>
    <xf numFmtId="3" fontId="70" fillId="26" borderId="32" xfId="0" applyNumberFormat="1" applyFont="1" applyFill="1" applyBorder="1" applyAlignment="1">
      <alignment horizontal="center" vertical="center"/>
    </xf>
    <xf numFmtId="0" fontId="72" fillId="32" borderId="101" xfId="0" applyFont="1" applyFill="1" applyBorder="1" applyAlignment="1">
      <alignment vertical="center"/>
    </xf>
    <xf numFmtId="0" fontId="72" fillId="32" borderId="102" xfId="0" applyFont="1" applyFill="1" applyBorder="1" applyAlignment="1">
      <alignment vertical="center"/>
    </xf>
    <xf numFmtId="0" fontId="72" fillId="32" borderId="103" xfId="0" applyFont="1" applyFill="1" applyBorder="1" applyAlignment="1">
      <alignment vertical="center"/>
    </xf>
    <xf numFmtId="0" fontId="70" fillId="0" borderId="0" xfId="0" applyFont="1" applyAlignment="1">
      <alignment horizontal="center" vertical="center"/>
    </xf>
    <xf numFmtId="0" fontId="94" fillId="0" borderId="0" xfId="0" applyFont="1" applyAlignment="1">
      <alignment horizontal="center" vertical="center"/>
    </xf>
    <xf numFmtId="0" fontId="72" fillId="0" borderId="0" xfId="0" applyFont="1" applyAlignment="1">
      <alignment horizontal="center" vertical="center"/>
    </xf>
    <xf numFmtId="3" fontId="94" fillId="0" borderId="0" xfId="0" applyNumberFormat="1" applyFont="1" applyAlignment="1">
      <alignment horizontal="center" vertical="center"/>
    </xf>
    <xf numFmtId="3" fontId="70" fillId="0" borderId="0" xfId="0" applyNumberFormat="1" applyFont="1" applyAlignment="1">
      <alignment horizontal="center" vertical="center"/>
    </xf>
    <xf numFmtId="0" fontId="66" fillId="24" borderId="0" xfId="0" applyFont="1" applyFill="1" applyAlignment="1">
      <alignment horizontal="center" vertical="center"/>
    </xf>
    <xf numFmtId="0" fontId="66" fillId="0" borderId="0" xfId="0" applyFont="1" applyAlignment="1">
      <alignment vertical="center"/>
    </xf>
    <xf numFmtId="0" fontId="72" fillId="25" borderId="25" xfId="0" applyFont="1" applyFill="1" applyBorder="1" applyAlignment="1">
      <alignment horizontal="center" vertical="center"/>
    </xf>
    <xf numFmtId="3" fontId="72" fillId="27" borderId="34" xfId="0" applyNumberFormat="1" applyFont="1" applyFill="1" applyBorder="1" applyAlignment="1">
      <alignment horizontal="center" vertical="center"/>
    </xf>
    <xf numFmtId="0" fontId="70" fillId="26" borderId="29" xfId="0" applyFont="1" applyFill="1" applyBorder="1" applyAlignment="1">
      <alignment horizontal="center" vertical="center"/>
    </xf>
    <xf numFmtId="3" fontId="70" fillId="26" borderId="15" xfId="0" applyNumberFormat="1" applyFont="1" applyFill="1" applyBorder="1" applyAlignment="1">
      <alignment horizontal="center" vertical="center"/>
    </xf>
    <xf numFmtId="0" fontId="94" fillId="33" borderId="0" xfId="0" applyFont="1" applyFill="1" applyAlignment="1">
      <alignment horizontal="center" vertical="center"/>
    </xf>
    <xf numFmtId="0" fontId="72" fillId="25" borderId="47" xfId="0" applyFont="1" applyFill="1" applyBorder="1" applyAlignment="1">
      <alignment horizontal="center" vertical="center"/>
    </xf>
    <xf numFmtId="0" fontId="72" fillId="25" borderId="11" xfId="0" applyFont="1" applyFill="1" applyBorder="1" applyAlignment="1">
      <alignment horizontal="center" vertical="center"/>
    </xf>
    <xf numFmtId="166" fontId="66" fillId="0" borderId="26" xfId="0" applyNumberFormat="1" applyFont="1" applyBorder="1" applyAlignment="1">
      <alignment horizontal="center" vertical="center"/>
    </xf>
    <xf numFmtId="166" fontId="66" fillId="0" borderId="27" xfId="0" applyNumberFormat="1" applyFont="1" applyBorder="1" applyAlignment="1">
      <alignment horizontal="center" vertical="center"/>
    </xf>
    <xf numFmtId="166" fontId="72" fillId="0" borderId="27" xfId="0" applyNumberFormat="1" applyFont="1" applyBorder="1" applyAlignment="1">
      <alignment horizontal="center" vertical="center"/>
    </xf>
    <xf numFmtId="166" fontId="66" fillId="0" borderId="28" xfId="0" applyNumberFormat="1" applyFont="1" applyBorder="1" applyAlignment="1">
      <alignment horizontal="center" vertical="center"/>
    </xf>
    <xf numFmtId="167" fontId="72" fillId="27" borderId="35" xfId="0" applyNumberFormat="1" applyFont="1" applyFill="1" applyBorder="1" applyAlignment="1">
      <alignment horizontal="center" vertical="center"/>
    </xf>
    <xf numFmtId="167" fontId="72" fillId="27" borderId="48" xfId="0" applyNumberFormat="1" applyFont="1" applyFill="1" applyBorder="1" applyAlignment="1">
      <alignment horizontal="center" vertical="center"/>
    </xf>
    <xf numFmtId="167" fontId="72" fillId="27" borderId="51" xfId="0" applyNumberFormat="1" applyFont="1" applyFill="1" applyBorder="1" applyAlignment="1">
      <alignment horizontal="center" vertical="center"/>
    </xf>
    <xf numFmtId="167" fontId="66" fillId="0" borderId="0" xfId="0" applyNumberFormat="1" applyFont="1" applyAlignment="1">
      <alignment horizontal="center" vertical="center"/>
    </xf>
    <xf numFmtId="166" fontId="66" fillId="0" borderId="0" xfId="0" applyNumberFormat="1" applyFont="1" applyAlignment="1">
      <alignment horizontal="center" vertical="center"/>
    </xf>
    <xf numFmtId="167" fontId="72" fillId="27" borderId="38" xfId="0" applyNumberFormat="1" applyFont="1" applyFill="1" applyBorder="1" applyAlignment="1">
      <alignment horizontal="center" vertical="center"/>
    </xf>
    <xf numFmtId="167" fontId="72" fillId="27" borderId="49" xfId="0" applyNumberFormat="1" applyFont="1" applyFill="1" applyBorder="1" applyAlignment="1">
      <alignment horizontal="center" vertical="center"/>
    </xf>
    <xf numFmtId="167" fontId="72" fillId="27" borderId="52" xfId="0" applyNumberFormat="1" applyFont="1" applyFill="1" applyBorder="1" applyAlignment="1">
      <alignment horizontal="center" vertical="center"/>
    </xf>
    <xf numFmtId="167" fontId="66" fillId="0" borderId="26" xfId="0" applyNumberFormat="1" applyFont="1" applyBorder="1" applyAlignment="1">
      <alignment horizontal="center" vertical="center"/>
    </xf>
    <xf numFmtId="167" fontId="66" fillId="0" borderId="27" xfId="0" applyNumberFormat="1" applyFont="1" applyBorder="1" applyAlignment="1">
      <alignment horizontal="center" vertical="center"/>
    </xf>
    <xf numFmtId="167" fontId="66" fillId="0" borderId="28" xfId="0" applyNumberFormat="1" applyFont="1" applyBorder="1" applyAlignment="1">
      <alignment horizontal="center" vertical="center"/>
    </xf>
    <xf numFmtId="167" fontId="72" fillId="0" borderId="27" xfId="0" applyNumberFormat="1" applyFont="1" applyBorder="1" applyAlignment="1">
      <alignment horizontal="center" vertical="center"/>
    </xf>
    <xf numFmtId="0" fontId="67" fillId="0" borderId="0" xfId="0" applyFont="1" applyAlignment="1">
      <alignment horizontal="left" vertical="center"/>
    </xf>
    <xf numFmtId="166" fontId="70" fillId="26" borderId="30" xfId="0" applyNumberFormat="1" applyFont="1" applyFill="1" applyBorder="1" applyAlignment="1">
      <alignment horizontal="center" vertical="center"/>
    </xf>
    <xf numFmtId="166" fontId="70" fillId="26" borderId="31" xfId="0" applyNumberFormat="1" applyFont="1" applyFill="1" applyBorder="1" applyAlignment="1">
      <alignment horizontal="center" vertical="center"/>
    </xf>
    <xf numFmtId="166" fontId="70" fillId="26" borderId="32" xfId="0" applyNumberFormat="1" applyFont="1" applyFill="1" applyBorder="1" applyAlignment="1">
      <alignment horizontal="center" vertical="center"/>
    </xf>
    <xf numFmtId="167" fontId="70" fillId="26" borderId="30" xfId="0" applyNumberFormat="1" applyFont="1" applyFill="1" applyBorder="1" applyAlignment="1">
      <alignment horizontal="center" vertical="center"/>
    </xf>
    <xf numFmtId="3" fontId="109" fillId="0" borderId="0" xfId="0" applyNumberFormat="1" applyFont="1" applyAlignment="1">
      <alignment horizontal="right" vertical="top" wrapText="1"/>
    </xf>
    <xf numFmtId="166" fontId="67" fillId="0" borderId="33" xfId="0" applyNumberFormat="1" applyFont="1" applyBorder="1" applyAlignment="1">
      <alignment horizontal="left" vertical="center"/>
    </xf>
    <xf numFmtId="166" fontId="72" fillId="27" borderId="38" xfId="0" applyNumberFormat="1" applyFont="1" applyFill="1" applyBorder="1" applyAlignment="1">
      <alignment horizontal="center" vertical="center"/>
    </xf>
    <xf numFmtId="166" fontId="79" fillId="0" borderId="26" xfId="0" applyNumberFormat="1" applyFont="1" applyBorder="1" applyAlignment="1">
      <alignment horizontal="center" vertical="center"/>
    </xf>
    <xf numFmtId="166" fontId="79" fillId="0" borderId="27" xfId="0" applyNumberFormat="1" applyFont="1" applyBorder="1" applyAlignment="1">
      <alignment horizontal="center" vertical="center"/>
    </xf>
    <xf numFmtId="166" fontId="79" fillId="0" borderId="28" xfId="0" applyNumberFormat="1" applyFont="1" applyBorder="1" applyAlignment="1">
      <alignment horizontal="center" vertical="center"/>
    </xf>
    <xf numFmtId="173" fontId="70" fillId="26" borderId="31" xfId="0" applyNumberFormat="1" applyFont="1" applyFill="1" applyBorder="1" applyAlignment="1">
      <alignment horizontal="center" vertical="center"/>
    </xf>
    <xf numFmtId="173" fontId="70" fillId="26" borderId="32" xfId="0" applyNumberFormat="1" applyFont="1" applyFill="1" applyBorder="1" applyAlignment="1">
      <alignment horizontal="center" vertical="center"/>
    </xf>
    <xf numFmtId="173" fontId="70" fillId="26" borderId="30" xfId="0" applyNumberFormat="1" applyFont="1" applyFill="1" applyBorder="1" applyAlignment="1">
      <alignment horizontal="center" vertical="center"/>
    </xf>
    <xf numFmtId="176" fontId="70" fillId="26" borderId="30" xfId="0" applyNumberFormat="1" applyFont="1" applyFill="1" applyBorder="1" applyAlignment="1">
      <alignment horizontal="center" vertical="center"/>
    </xf>
    <xf numFmtId="173" fontId="66" fillId="0" borderId="0" xfId="0" applyNumberFormat="1" applyFont="1" applyAlignment="1">
      <alignment horizontal="center" vertical="center"/>
    </xf>
    <xf numFmtId="176" fontId="66" fillId="0" borderId="0" xfId="0" applyNumberFormat="1" applyFont="1" applyAlignment="1">
      <alignment horizontal="center" vertical="center"/>
    </xf>
    <xf numFmtId="0" fontId="109" fillId="0" borderId="0" xfId="0" applyFont="1" applyAlignment="1">
      <alignment horizontal="right" vertical="top" wrapText="1"/>
    </xf>
    <xf numFmtId="3" fontId="109" fillId="0" borderId="0" xfId="0" applyNumberFormat="1" applyFont="1"/>
    <xf numFmtId="0" fontId="66" fillId="0" borderId="46" xfId="0" applyFont="1" applyBorder="1" applyAlignment="1">
      <alignment vertical="center"/>
    </xf>
    <xf numFmtId="166" fontId="72" fillId="0" borderId="28" xfId="0" applyNumberFormat="1" applyFont="1" applyBorder="1" applyAlignment="1">
      <alignment horizontal="center" vertical="center"/>
    </xf>
    <xf numFmtId="167" fontId="72" fillId="27" borderId="36" xfId="0" applyNumberFormat="1" applyFont="1" applyFill="1" applyBorder="1" applyAlignment="1">
      <alignment horizontal="center" vertical="center"/>
    </xf>
    <xf numFmtId="167" fontId="72" fillId="27" borderId="39" xfId="0" applyNumberFormat="1" applyFont="1" applyFill="1" applyBorder="1" applyAlignment="1">
      <alignment horizontal="center" vertical="center"/>
    </xf>
    <xf numFmtId="167" fontId="70" fillId="26" borderId="31" xfId="0" applyNumberFormat="1" applyFont="1" applyFill="1" applyBorder="1" applyAlignment="1">
      <alignment horizontal="center" vertical="center"/>
    </xf>
    <xf numFmtId="167" fontId="70" fillId="26" borderId="15" xfId="0" applyNumberFormat="1" applyFont="1" applyFill="1" applyBorder="1" applyAlignment="1">
      <alignment horizontal="center" vertical="center"/>
    </xf>
    <xf numFmtId="176" fontId="66" fillId="0" borderId="26" xfId="0" applyNumberFormat="1" applyFont="1" applyBorder="1" applyAlignment="1">
      <alignment horizontal="center" vertical="center"/>
    </xf>
    <xf numFmtId="4" fontId="108" fillId="0" borderId="0" xfId="0" applyNumberFormat="1" applyFont="1" applyAlignment="1">
      <alignment horizontal="center"/>
    </xf>
    <xf numFmtId="4" fontId="66" fillId="0" borderId="0" xfId="0" applyNumberFormat="1" applyFont="1" applyAlignment="1">
      <alignment horizontal="center" vertical="center"/>
    </xf>
    <xf numFmtId="2" fontId="66" fillId="0" borderId="0" xfId="0" applyNumberFormat="1" applyFont="1" applyAlignment="1">
      <alignment horizontal="center" vertical="center"/>
    </xf>
    <xf numFmtId="0" fontId="93" fillId="0" borderId="0" xfId="0" applyFont="1" applyAlignment="1">
      <alignment horizontal="center" vertical="center"/>
    </xf>
    <xf numFmtId="167" fontId="93" fillId="0" borderId="0" xfId="0" applyNumberFormat="1" applyFont="1" applyAlignment="1">
      <alignment horizontal="center" vertical="center"/>
    </xf>
    <xf numFmtId="167" fontId="94" fillId="0" borderId="0" xfId="0" applyNumberFormat="1" applyFont="1" applyAlignment="1">
      <alignment horizontal="center" vertical="center"/>
    </xf>
    <xf numFmtId="0" fontId="78" fillId="0" borderId="0" xfId="0" applyFont="1" applyAlignment="1">
      <alignment horizontal="left" vertical="center"/>
    </xf>
    <xf numFmtId="0" fontId="79" fillId="0" borderId="0" xfId="0" applyFont="1" applyAlignment="1">
      <alignment horizontal="center" vertical="center"/>
    </xf>
    <xf numFmtId="174" fontId="79" fillId="0" borderId="0" xfId="0" applyNumberFormat="1" applyFont="1" applyAlignment="1">
      <alignment horizontal="center" vertical="center"/>
    </xf>
    <xf numFmtId="0" fontId="78" fillId="0" borderId="0" xfId="0" applyFont="1" applyAlignment="1">
      <alignment horizontal="center" vertical="center"/>
    </xf>
    <xf numFmtId="166" fontId="72" fillId="27" borderId="42" xfId="0" applyNumberFormat="1" applyFont="1" applyFill="1" applyBorder="1" applyAlignment="1">
      <alignment horizontal="center" vertical="center"/>
    </xf>
    <xf numFmtId="166" fontId="72" fillId="27" borderId="43" xfId="0" applyNumberFormat="1" applyFont="1" applyFill="1" applyBorder="1" applyAlignment="1">
      <alignment horizontal="center" vertical="center"/>
    </xf>
    <xf numFmtId="166" fontId="72" fillId="27" borderId="53" xfId="0" applyNumberFormat="1" applyFont="1" applyFill="1" applyBorder="1" applyAlignment="1">
      <alignment horizontal="center" vertical="center"/>
    </xf>
    <xf numFmtId="166" fontId="72" fillId="27" borderId="44" xfId="0" applyNumberFormat="1" applyFont="1" applyFill="1" applyBorder="1" applyAlignment="1">
      <alignment horizontal="center" vertical="center"/>
    </xf>
    <xf numFmtId="166" fontId="72" fillId="27" borderId="54" xfId="0" applyNumberFormat="1" applyFont="1" applyFill="1" applyBorder="1" applyAlignment="1">
      <alignment horizontal="center" vertical="center"/>
    </xf>
    <xf numFmtId="166" fontId="70" fillId="26" borderId="15" xfId="0" applyNumberFormat="1" applyFont="1" applyFill="1" applyBorder="1" applyAlignment="1">
      <alignment horizontal="center" vertical="center"/>
    </xf>
    <xf numFmtId="166" fontId="70" fillId="26" borderId="55" xfId="0" applyNumberFormat="1" applyFont="1" applyFill="1" applyBorder="1" applyAlignment="1">
      <alignment horizontal="center" vertical="center"/>
    </xf>
    <xf numFmtId="167" fontId="79" fillId="0" borderId="0" xfId="0" applyNumberFormat="1" applyFont="1" applyAlignment="1">
      <alignment horizontal="center" vertical="center"/>
    </xf>
    <xf numFmtId="0" fontId="109" fillId="0" borderId="0" xfId="0" applyFont="1"/>
    <xf numFmtId="167" fontId="70" fillId="26" borderId="32" xfId="0" applyNumberFormat="1" applyFont="1" applyFill="1" applyBorder="1" applyAlignment="1">
      <alignment horizontal="center" vertical="center"/>
    </xf>
    <xf numFmtId="0" fontId="105" fillId="45" borderId="0" xfId="0" quotePrefix="1" applyFont="1" applyFill="1" applyAlignment="1">
      <alignment horizontal="center" vertical="center" wrapText="1"/>
    </xf>
    <xf numFmtId="0" fontId="105" fillId="0" borderId="0" xfId="0" quotePrefix="1" applyFont="1" applyAlignment="1">
      <alignment horizontal="center" vertical="center" wrapText="1"/>
    </xf>
    <xf numFmtId="0" fontId="105" fillId="0" borderId="0" xfId="0" applyFont="1" applyAlignment="1">
      <alignment horizontal="center" vertical="center" wrapText="1"/>
    </xf>
    <xf numFmtId="0" fontId="78" fillId="24" borderId="0" xfId="0" applyFont="1" applyFill="1" applyAlignment="1">
      <alignment horizontal="center" vertical="center" wrapText="1"/>
    </xf>
    <xf numFmtId="0" fontId="72" fillId="0" borderId="133" xfId="0" applyFont="1" applyBorder="1" applyAlignment="1">
      <alignment vertical="center" wrapText="1"/>
    </xf>
    <xf numFmtId="0" fontId="72" fillId="45" borderId="0" xfId="0" applyFont="1" applyFill="1" applyAlignment="1">
      <alignment horizontal="center" vertical="center" wrapText="1"/>
    </xf>
    <xf numFmtId="0" fontId="72" fillId="0" borderId="174" xfId="0" applyFont="1" applyBorder="1" applyAlignment="1">
      <alignment horizontal="center" vertical="center" wrapText="1"/>
    </xf>
    <xf numFmtId="0" fontId="72" fillId="0" borderId="175" xfId="0" applyFont="1" applyBorder="1" applyAlignment="1">
      <alignment horizontal="center" vertical="center" wrapText="1"/>
    </xf>
    <xf numFmtId="0" fontId="72" fillId="0" borderId="176" xfId="0" applyFont="1" applyBorder="1" applyAlignment="1">
      <alignment horizontal="center" vertical="center" wrapText="1"/>
    </xf>
    <xf numFmtId="0" fontId="93" fillId="24" borderId="0" xfId="0" applyFont="1" applyFill="1" applyAlignment="1">
      <alignment horizontal="center" vertical="center" wrapText="1"/>
    </xf>
    <xf numFmtId="0" fontId="72" fillId="0" borderId="134" xfId="0" applyFont="1" applyBorder="1" applyAlignment="1">
      <alignment vertical="center" wrapText="1"/>
    </xf>
    <xf numFmtId="0" fontId="72" fillId="0" borderId="134" xfId="0" applyFont="1" applyBorder="1" applyAlignment="1">
      <alignment horizontal="center" vertical="center" wrapText="1"/>
    </xf>
    <xf numFmtId="0" fontId="72" fillId="0" borderId="90" xfId="0" applyFont="1" applyBorder="1" applyAlignment="1">
      <alignment horizontal="center" vertical="center" wrapText="1"/>
    </xf>
    <xf numFmtId="0" fontId="72" fillId="0" borderId="91" xfId="0" applyFont="1" applyBorder="1" applyAlignment="1">
      <alignment horizontal="center" vertical="center" wrapText="1"/>
    </xf>
    <xf numFmtId="0" fontId="72" fillId="0" borderId="84" xfId="0" applyFont="1" applyBorder="1" applyAlignment="1">
      <alignment horizontal="center" vertical="center" wrapText="1"/>
    </xf>
    <xf numFmtId="0" fontId="72" fillId="0" borderId="84" xfId="0" applyFont="1" applyBorder="1" applyAlignment="1">
      <alignment vertical="center" wrapText="1"/>
    </xf>
    <xf numFmtId="169" fontId="72" fillId="0" borderId="86" xfId="0" applyNumberFormat="1" applyFont="1" applyBorder="1" applyAlignment="1">
      <alignment horizontal="center" vertical="center" wrapText="1"/>
    </xf>
    <xf numFmtId="169" fontId="72" fillId="0" borderId="87" xfId="0" applyNumberFormat="1" applyFont="1" applyBorder="1" applyAlignment="1">
      <alignment horizontal="center" vertical="center" wrapText="1"/>
    </xf>
    <xf numFmtId="169" fontId="72" fillId="0" borderId="88" xfId="0" applyNumberFormat="1" applyFont="1" applyBorder="1" applyAlignment="1">
      <alignment horizontal="center" vertical="center" wrapText="1"/>
    </xf>
    <xf numFmtId="169" fontId="72" fillId="45" borderId="0" xfId="0" applyNumberFormat="1" applyFont="1" applyFill="1" applyAlignment="1">
      <alignment horizontal="center" vertical="center" wrapText="1"/>
    </xf>
    <xf numFmtId="169" fontId="72" fillId="0" borderId="0" xfId="0" applyNumberFormat="1" applyFont="1" applyAlignment="1">
      <alignment horizontal="center" vertical="center" wrapText="1"/>
    </xf>
    <xf numFmtId="169" fontId="93" fillId="24" borderId="0" xfId="0" applyNumberFormat="1" applyFont="1" applyFill="1" applyAlignment="1">
      <alignment horizontal="center" vertical="center" wrapText="1"/>
    </xf>
    <xf numFmtId="0" fontId="79" fillId="0" borderId="82" xfId="0" applyFont="1" applyBorder="1" applyAlignment="1">
      <alignment vertical="center" wrapText="1"/>
    </xf>
    <xf numFmtId="3" fontId="86" fillId="0" borderId="90" xfId="0" applyNumberFormat="1" applyFont="1" applyBorder="1" applyAlignment="1">
      <alignment horizontal="center" vertical="center" wrapText="1"/>
    </xf>
    <xf numFmtId="3" fontId="66" fillId="0" borderId="84" xfId="0" applyNumberFormat="1" applyFont="1" applyBorder="1" applyAlignment="1">
      <alignment horizontal="center" vertical="center" wrapText="1"/>
    </xf>
    <xf numFmtId="3" fontId="86" fillId="0" borderId="135" xfId="0" applyNumberFormat="1" applyFont="1" applyBorder="1" applyAlignment="1">
      <alignment horizontal="center" vertical="center" wrapText="1"/>
    </xf>
    <xf numFmtId="3" fontId="86" fillId="0" borderId="136" xfId="0" applyNumberFormat="1" applyFont="1" applyBorder="1" applyAlignment="1">
      <alignment horizontal="center" vertical="center" wrapText="1"/>
    </xf>
    <xf numFmtId="3" fontId="66" fillId="0" borderId="149" xfId="0" applyNumberFormat="1" applyFont="1" applyBorder="1" applyAlignment="1">
      <alignment horizontal="center" vertical="center" wrapText="1"/>
    </xf>
    <xf numFmtId="0" fontId="79" fillId="24" borderId="82" xfId="0" applyFont="1" applyFill="1" applyBorder="1" applyAlignment="1">
      <alignment vertical="center" wrapText="1"/>
    </xf>
    <xf numFmtId="3" fontId="86" fillId="24" borderId="84" xfId="0" applyNumberFormat="1" applyFont="1" applyFill="1" applyBorder="1" applyAlignment="1">
      <alignment horizontal="center" vertical="center" wrapText="1"/>
    </xf>
    <xf numFmtId="3" fontId="86" fillId="45" borderId="0" xfId="0" applyNumberFormat="1" applyFont="1" applyFill="1" applyAlignment="1">
      <alignment horizontal="center" vertical="center" wrapText="1"/>
    </xf>
    <xf numFmtId="3" fontId="86" fillId="0" borderId="0" xfId="0" applyNumberFormat="1" applyFont="1" applyAlignment="1">
      <alignment horizontal="center" vertical="center" wrapText="1"/>
    </xf>
    <xf numFmtId="3" fontId="79" fillId="24" borderId="0" xfId="0" applyNumberFormat="1" applyFont="1" applyFill="1" applyAlignment="1">
      <alignment horizontal="center" vertical="center" wrapText="1"/>
    </xf>
    <xf numFmtId="3" fontId="86" fillId="24" borderId="90" xfId="0" applyNumberFormat="1" applyFont="1" applyFill="1" applyBorder="1" applyAlignment="1">
      <alignment horizontal="center" vertical="center" wrapText="1"/>
    </xf>
    <xf numFmtId="3" fontId="86" fillId="24" borderId="91" xfId="0" applyNumberFormat="1" applyFont="1" applyFill="1" applyBorder="1" applyAlignment="1">
      <alignment horizontal="center" vertical="center" wrapText="1"/>
    </xf>
    <xf numFmtId="0" fontId="66" fillId="0" borderId="82" xfId="0" applyFont="1" applyBorder="1" applyAlignment="1">
      <alignment vertical="center" wrapText="1"/>
    </xf>
    <xf numFmtId="3" fontId="66" fillId="24" borderId="61" xfId="0" applyNumberFormat="1" applyFont="1" applyFill="1" applyBorder="1" applyAlignment="1">
      <alignment horizontal="center" vertical="center" wrapText="1"/>
    </xf>
    <xf numFmtId="167" fontId="86" fillId="0" borderId="0" xfId="0" applyNumberFormat="1" applyFont="1" applyAlignment="1">
      <alignment horizontal="center" vertical="center" wrapText="1"/>
    </xf>
    <xf numFmtId="0" fontId="94" fillId="0" borderId="0" xfId="0" applyFont="1" applyAlignment="1">
      <alignment vertical="center" wrapText="1"/>
    </xf>
    <xf numFmtId="3" fontId="66" fillId="0" borderId="3" xfId="0" applyNumberFormat="1" applyFont="1" applyBorder="1" applyAlignment="1">
      <alignment horizontal="center" vertical="center" wrapText="1"/>
    </xf>
    <xf numFmtId="0" fontId="72" fillId="29" borderId="82" xfId="0" applyFont="1" applyFill="1" applyBorder="1" applyAlignment="1">
      <alignment horizontal="center" vertical="center" wrapText="1"/>
    </xf>
    <xf numFmtId="3" fontId="72" fillId="29" borderId="67" xfId="0" applyNumberFormat="1" applyFont="1" applyFill="1" applyBorder="1" applyAlignment="1">
      <alignment horizontal="center" vertical="center" wrapText="1"/>
    </xf>
    <xf numFmtId="1" fontId="114" fillId="29" borderId="122" xfId="0" applyNumberFormat="1" applyFont="1" applyFill="1" applyBorder="1" applyAlignment="1">
      <alignment horizontal="center" vertical="center" wrapText="1"/>
    </xf>
    <xf numFmtId="3" fontId="72" fillId="29" borderId="66" xfId="38" applyNumberFormat="1" applyFont="1" applyFill="1" applyBorder="1" applyAlignment="1">
      <alignment horizontal="center" vertical="center" wrapText="1"/>
    </xf>
    <xf numFmtId="3" fontId="67" fillId="29" borderId="86" xfId="0" applyNumberFormat="1" applyFont="1" applyFill="1" applyBorder="1" applyAlignment="1">
      <alignment horizontal="center" vertical="center" wrapText="1"/>
    </xf>
    <xf numFmtId="3" fontId="67" fillId="29" borderId="87" xfId="0" applyNumberFormat="1" applyFont="1" applyFill="1" applyBorder="1" applyAlignment="1">
      <alignment horizontal="center" vertical="center" wrapText="1"/>
    </xf>
    <xf numFmtId="3" fontId="67" fillId="29" borderId="88" xfId="0" applyNumberFormat="1" applyFont="1" applyFill="1" applyBorder="1" applyAlignment="1">
      <alignment horizontal="center" vertical="center" wrapText="1"/>
    </xf>
    <xf numFmtId="3" fontId="67" fillId="45" borderId="0" xfId="0" applyNumberFormat="1" applyFont="1" applyFill="1" applyAlignment="1">
      <alignment horizontal="center" vertical="center" wrapText="1"/>
    </xf>
    <xf numFmtId="3" fontId="67" fillId="0" borderId="0" xfId="0" applyNumberFormat="1" applyFont="1" applyAlignment="1">
      <alignment horizontal="center" vertical="center" wrapText="1"/>
    </xf>
    <xf numFmtId="3" fontId="93" fillId="24" borderId="0" xfId="0" applyNumberFormat="1" applyFont="1" applyFill="1" applyAlignment="1">
      <alignment horizontal="center" vertical="center" wrapText="1"/>
    </xf>
    <xf numFmtId="3" fontId="94" fillId="0" borderId="0" xfId="0" applyNumberFormat="1" applyFont="1" applyAlignment="1">
      <alignment vertical="center" wrapText="1"/>
    </xf>
    <xf numFmtId="3" fontId="94" fillId="45" borderId="0" xfId="0" applyNumberFormat="1" applyFont="1" applyFill="1" applyAlignment="1">
      <alignment vertical="center" wrapText="1"/>
    </xf>
    <xf numFmtId="0" fontId="93" fillId="24" borderId="0" xfId="0" applyFont="1" applyFill="1" applyAlignment="1">
      <alignment vertical="center" wrapText="1"/>
    </xf>
    <xf numFmtId="3" fontId="93" fillId="24" borderId="0" xfId="0" applyNumberFormat="1" applyFont="1" applyFill="1" applyAlignment="1">
      <alignment vertical="center" wrapText="1"/>
    </xf>
    <xf numFmtId="0" fontId="72" fillId="45" borderId="0" xfId="0" applyFont="1" applyFill="1" applyAlignment="1">
      <alignment vertical="center" wrapText="1"/>
    </xf>
    <xf numFmtId="0" fontId="117" fillId="0" borderId="0" xfId="0" applyFont="1" applyAlignment="1">
      <alignment horizontal="right" vertical="top" wrapText="1"/>
    </xf>
    <xf numFmtId="4" fontId="116" fillId="0" borderId="0" xfId="0" applyNumberFormat="1" applyFont="1" applyAlignment="1">
      <alignment horizontal="right" vertical="top" wrapText="1"/>
    </xf>
    <xf numFmtId="0" fontId="110" fillId="0" borderId="0" xfId="0" applyFont="1" applyAlignment="1">
      <alignment horizontal="right" vertical="top" wrapText="1"/>
    </xf>
    <xf numFmtId="0" fontId="117" fillId="0" borderId="0" xfId="0" applyFont="1"/>
    <xf numFmtId="0" fontId="116" fillId="0" borderId="0" xfId="0" applyFont="1" applyAlignment="1">
      <alignment horizontal="right" vertical="top" wrapText="1"/>
    </xf>
    <xf numFmtId="0" fontId="66" fillId="45" borderId="0" xfId="0" applyFont="1" applyFill="1" applyAlignment="1">
      <alignment vertical="center"/>
    </xf>
    <xf numFmtId="0" fontId="116" fillId="0" borderId="0" xfId="0" applyFont="1"/>
    <xf numFmtId="4" fontId="109" fillId="0" borderId="0" xfId="0" applyNumberFormat="1" applyFont="1" applyAlignment="1">
      <alignment horizontal="right" vertical="top" wrapText="1"/>
    </xf>
    <xf numFmtId="4" fontId="66" fillId="0" borderId="0" xfId="0" applyNumberFormat="1" applyFont="1" applyAlignment="1">
      <alignment vertical="center"/>
    </xf>
    <xf numFmtId="0" fontId="66" fillId="24" borderId="0" xfId="0" applyFont="1" applyFill="1" applyAlignment="1">
      <alignment vertical="center"/>
    </xf>
    <xf numFmtId="0" fontId="72" fillId="0" borderId="86" xfId="0" applyFont="1" applyBorder="1" applyAlignment="1">
      <alignment horizontal="center" vertical="center" wrapText="1"/>
    </xf>
    <xf numFmtId="0" fontId="72" fillId="0" borderId="87" xfId="0" applyFont="1" applyBorder="1" applyAlignment="1">
      <alignment horizontal="center" vertical="center" wrapText="1"/>
    </xf>
    <xf numFmtId="3" fontId="66" fillId="24" borderId="0" xfId="0" applyNumberFormat="1" applyFont="1" applyFill="1" applyAlignment="1">
      <alignment vertical="center"/>
    </xf>
    <xf numFmtId="3" fontId="66" fillId="0" borderId="90" xfId="0" applyNumberFormat="1" applyFont="1" applyBorder="1" applyAlignment="1">
      <alignment horizontal="center" vertical="center" wrapText="1"/>
    </xf>
    <xf numFmtId="3" fontId="72" fillId="24" borderId="84" xfId="38" applyNumberFormat="1" applyFont="1" applyFill="1" applyBorder="1" applyAlignment="1">
      <alignment horizontal="center" vertical="center" wrapText="1"/>
    </xf>
    <xf numFmtId="3" fontId="67" fillId="0" borderId="90" xfId="0" applyNumberFormat="1" applyFont="1" applyBorder="1" applyAlignment="1">
      <alignment horizontal="center" vertical="center" wrapText="1"/>
    </xf>
    <xf numFmtId="3" fontId="67" fillId="0" borderId="91" xfId="0" applyNumberFormat="1" applyFont="1" applyBorder="1" applyAlignment="1">
      <alignment horizontal="center" vertical="center" wrapText="1"/>
    </xf>
    <xf numFmtId="3" fontId="67" fillId="0" borderId="84" xfId="0" applyNumberFormat="1" applyFont="1" applyBorder="1" applyAlignment="1">
      <alignment horizontal="center" vertical="center" wrapText="1"/>
    </xf>
    <xf numFmtId="3" fontId="72" fillId="24" borderId="61" xfId="38" applyNumberFormat="1" applyFont="1" applyFill="1" applyBorder="1" applyAlignment="1">
      <alignment horizontal="center" vertical="center" wrapText="1"/>
    </xf>
    <xf numFmtId="166" fontId="66" fillId="0" borderId="0" xfId="0" applyNumberFormat="1" applyFont="1" applyAlignment="1">
      <alignment vertical="center"/>
    </xf>
    <xf numFmtId="3" fontId="72" fillId="0" borderId="61" xfId="38" applyNumberFormat="1" applyFont="1" applyFill="1" applyBorder="1" applyAlignment="1">
      <alignment horizontal="center" vertical="center" wrapText="1"/>
    </xf>
    <xf numFmtId="0" fontId="93" fillId="29" borderId="82" xfId="0" applyFont="1" applyFill="1" applyBorder="1" applyAlignment="1">
      <alignment vertical="center" wrapText="1"/>
    </xf>
    <xf numFmtId="3" fontId="72" fillId="29" borderId="86" xfId="38" applyNumberFormat="1" applyFont="1" applyFill="1" applyBorder="1" applyAlignment="1">
      <alignment horizontal="center" vertical="center" wrapText="1"/>
    </xf>
    <xf numFmtId="3" fontId="72" fillId="29" borderId="87" xfId="38" applyNumberFormat="1" applyFont="1" applyFill="1" applyBorder="1" applyAlignment="1">
      <alignment horizontal="center" vertical="center" wrapText="1"/>
    </xf>
    <xf numFmtId="3" fontId="72" fillId="29" borderId="88" xfId="38" applyNumberFormat="1" applyFont="1" applyFill="1" applyBorder="1" applyAlignment="1">
      <alignment horizontal="center" vertical="center" wrapText="1"/>
    </xf>
    <xf numFmtId="3" fontId="66" fillId="0" borderId="0" xfId="0" applyNumberFormat="1" applyFont="1"/>
    <xf numFmtId="3" fontId="66" fillId="45" borderId="0" xfId="0" applyNumberFormat="1" applyFont="1" applyFill="1" applyAlignment="1">
      <alignment vertical="center"/>
    </xf>
    <xf numFmtId="1" fontId="66" fillId="0" borderId="0" xfId="0" applyNumberFormat="1" applyFont="1" applyAlignment="1">
      <alignment vertical="center"/>
    </xf>
    <xf numFmtId="0" fontId="72" fillId="0" borderId="0" xfId="0" applyFont="1" applyAlignment="1">
      <alignment horizontal="right" vertical="center" wrapText="1"/>
    </xf>
    <xf numFmtId="0" fontId="93" fillId="0" borderId="0" xfId="0" applyFont="1" applyAlignment="1">
      <alignment horizontal="right" vertical="center" wrapText="1"/>
    </xf>
    <xf numFmtId="0" fontId="72" fillId="45" borderId="0" xfId="0" applyFont="1" applyFill="1" applyAlignment="1">
      <alignment horizontal="right" vertical="center" wrapText="1"/>
    </xf>
    <xf numFmtId="0" fontId="72" fillId="24" borderId="0" xfId="0" applyFont="1" applyFill="1" applyAlignment="1">
      <alignment horizontal="right" vertical="center" wrapText="1"/>
    </xf>
    <xf numFmtId="0" fontId="93" fillId="45" borderId="0" xfId="0" applyFont="1" applyFill="1" applyAlignment="1">
      <alignment horizontal="right" vertical="center" wrapText="1"/>
    </xf>
    <xf numFmtId="0" fontId="93" fillId="24" borderId="0" xfId="0" applyFont="1" applyFill="1" applyAlignment="1">
      <alignment horizontal="right" vertical="center" wrapText="1"/>
    </xf>
    <xf numFmtId="0" fontId="79" fillId="45" borderId="0" xfId="0" applyFont="1" applyFill="1" applyAlignment="1">
      <alignment vertical="center" wrapText="1"/>
    </xf>
    <xf numFmtId="0" fontId="91" fillId="45" borderId="0" xfId="0" applyFont="1" applyFill="1" applyAlignment="1">
      <alignment vertical="center" wrapText="1"/>
    </xf>
    <xf numFmtId="3" fontId="91" fillId="0" borderId="0" xfId="0" applyNumberFormat="1" applyFont="1" applyAlignment="1">
      <alignment vertical="center" wrapText="1"/>
    </xf>
    <xf numFmtId="3" fontId="91" fillId="45" borderId="0" xfId="0" applyNumberFormat="1" applyFont="1" applyFill="1" applyAlignment="1">
      <alignment vertical="center" wrapText="1"/>
    </xf>
    <xf numFmtId="0" fontId="95" fillId="0" borderId="0" xfId="37" applyFont="1" applyBorder="1" applyAlignment="1" applyProtection="1">
      <alignment horizontal="center" vertical="center" wrapText="1"/>
    </xf>
    <xf numFmtId="0" fontId="86" fillId="45" borderId="0" xfId="0" applyFont="1" applyFill="1" applyAlignment="1">
      <alignment vertical="center" wrapText="1"/>
    </xf>
    <xf numFmtId="0" fontId="86" fillId="24" borderId="0" xfId="0" applyFont="1" applyFill="1" applyAlignment="1">
      <alignment vertical="center" wrapText="1"/>
    </xf>
    <xf numFmtId="0" fontId="95" fillId="45" borderId="0" xfId="37" applyFont="1" applyFill="1" applyBorder="1" applyAlignment="1" applyProtection="1">
      <alignment horizontal="center" vertical="center" wrapText="1"/>
    </xf>
    <xf numFmtId="0" fontId="95" fillId="0" borderId="0" xfId="37" applyFont="1" applyFill="1" applyBorder="1" applyAlignment="1" applyProtection="1">
      <alignment horizontal="center" vertical="center" wrapText="1"/>
    </xf>
    <xf numFmtId="0" fontId="95" fillId="24" borderId="0" xfId="37" applyFont="1" applyFill="1" applyBorder="1" applyAlignment="1" applyProtection="1">
      <alignment horizontal="center" vertical="center" wrapText="1"/>
    </xf>
    <xf numFmtId="0" fontId="66" fillId="45" borderId="0" xfId="0" applyFont="1" applyFill="1" applyAlignment="1">
      <alignment vertical="center" wrapText="1"/>
    </xf>
    <xf numFmtId="0" fontId="95" fillId="0" borderId="56" xfId="37" applyFont="1" applyBorder="1" applyAlignment="1" applyProtection="1">
      <alignment horizontal="center" vertical="center" wrapText="1"/>
    </xf>
    <xf numFmtId="0" fontId="91" fillId="38" borderId="82" xfId="0" applyFont="1" applyFill="1" applyBorder="1" applyAlignment="1">
      <alignment vertical="center" wrapText="1"/>
    </xf>
    <xf numFmtId="4" fontId="66" fillId="0" borderId="152" xfId="0" applyNumberFormat="1" applyFont="1" applyBorder="1" applyAlignment="1">
      <alignment horizontal="center" vertical="center" wrapText="1"/>
    </xf>
    <xf numFmtId="3" fontId="66" fillId="0" borderId="152" xfId="0" applyNumberFormat="1" applyFont="1" applyBorder="1" applyAlignment="1">
      <alignment horizontal="center" vertical="center" wrapText="1"/>
    </xf>
    <xf numFmtId="0" fontId="91" fillId="39" borderId="82" xfId="0" applyFont="1" applyFill="1" applyBorder="1" applyAlignment="1">
      <alignment vertical="center" wrapText="1"/>
    </xf>
    <xf numFmtId="0" fontId="91" fillId="40" borderId="82" xfId="0" applyFont="1" applyFill="1" applyBorder="1" applyAlignment="1">
      <alignment vertical="center" wrapText="1"/>
    </xf>
    <xf numFmtId="4" fontId="118" fillId="0" borderId="152" xfId="0" applyNumberFormat="1" applyFont="1" applyBorder="1" applyAlignment="1">
      <alignment horizontal="center" vertical="center" wrapText="1"/>
    </xf>
    <xf numFmtId="3" fontId="118" fillId="0" borderId="152" xfId="0" applyNumberFormat="1" applyFont="1" applyBorder="1" applyAlignment="1">
      <alignment horizontal="center" vertical="center" wrapText="1"/>
    </xf>
    <xf numFmtId="0" fontId="70" fillId="31" borderId="82" xfId="0" applyFont="1" applyFill="1" applyBorder="1" applyAlignment="1">
      <alignment horizontal="center" vertical="center" wrapText="1"/>
    </xf>
    <xf numFmtId="4" fontId="90" fillId="31" borderId="152" xfId="0" quotePrefix="1" applyNumberFormat="1" applyFont="1" applyFill="1" applyBorder="1" applyAlignment="1">
      <alignment horizontal="center" vertical="center" wrapText="1"/>
    </xf>
    <xf numFmtId="3" fontId="90" fillId="31" borderId="152" xfId="0" quotePrefix="1" applyNumberFormat="1" applyFont="1" applyFill="1" applyBorder="1" applyAlignment="1">
      <alignment horizontal="center" vertical="center" wrapText="1"/>
    </xf>
    <xf numFmtId="0" fontId="90" fillId="0" borderId="0" xfId="52" applyFont="1" applyAlignment="1">
      <alignment vertical="center" wrapText="1"/>
    </xf>
    <xf numFmtId="0" fontId="72" fillId="0" borderId="14" xfId="52" quotePrefix="1" applyFont="1" applyBorder="1" applyAlignment="1">
      <alignment horizontal="center" vertical="center" wrapText="1"/>
    </xf>
    <xf numFmtId="0" fontId="72" fillId="0" borderId="12" xfId="52" applyFont="1" applyBorder="1" applyAlignment="1">
      <alignment horizontal="center" vertical="center" wrapText="1"/>
    </xf>
    <xf numFmtId="167" fontId="66" fillId="0" borderId="12" xfId="52" applyNumberFormat="1" applyFont="1" applyBorder="1" applyAlignment="1">
      <alignment horizontal="center" vertical="center" wrapText="1"/>
    </xf>
    <xf numFmtId="3" fontId="96" fillId="0" borderId="0" xfId="52" applyNumberFormat="1" applyFont="1"/>
    <xf numFmtId="167" fontId="72" fillId="0" borderId="18" xfId="52" applyNumberFormat="1" applyFont="1" applyBorder="1" applyAlignment="1">
      <alignment horizontal="center" vertical="center" wrapText="1"/>
    </xf>
    <xf numFmtId="167" fontId="72" fillId="0" borderId="19" xfId="52" applyNumberFormat="1" applyFont="1" applyBorder="1" applyAlignment="1">
      <alignment horizontal="center" vertical="center" wrapText="1"/>
    </xf>
    <xf numFmtId="3" fontId="81" fillId="0" borderId="0" xfId="52" quotePrefix="1" applyNumberFormat="1" applyFont="1" applyAlignment="1">
      <alignment vertical="center"/>
    </xf>
    <xf numFmtId="4" fontId="66" fillId="0" borderId="0" xfId="52" applyNumberFormat="1" applyFont="1" applyAlignment="1">
      <alignment horizontal="center" vertical="center"/>
    </xf>
    <xf numFmtId="0" fontId="112" fillId="0" borderId="0" xfId="52" applyFont="1"/>
    <xf numFmtId="0" fontId="98" fillId="0" borderId="0" xfId="52" applyFont="1" applyAlignment="1">
      <alignment horizontal="left" vertical="center" wrapText="1"/>
    </xf>
    <xf numFmtId="1" fontId="98" fillId="0" borderId="0" xfId="52" applyNumberFormat="1" applyFont="1"/>
    <xf numFmtId="3" fontId="79" fillId="0" borderId="0" xfId="0" applyNumberFormat="1" applyFont="1" applyAlignment="1">
      <alignment horizontal="center" vertical="center"/>
    </xf>
    <xf numFmtId="171" fontId="66" fillId="0" borderId="0" xfId="0" applyNumberFormat="1" applyFont="1" applyAlignment="1">
      <alignment horizontal="center" vertical="center"/>
    </xf>
    <xf numFmtId="3" fontId="72" fillId="32" borderId="101" xfId="0" applyNumberFormat="1" applyFont="1" applyFill="1" applyBorder="1" applyAlignment="1">
      <alignment vertical="center"/>
    </xf>
    <xf numFmtId="0" fontId="66" fillId="0" borderId="102" xfId="0" applyFont="1" applyBorder="1"/>
    <xf numFmtId="0" fontId="66" fillId="0" borderId="103" xfId="0" applyFont="1" applyBorder="1"/>
    <xf numFmtId="3" fontId="72" fillId="25" borderId="22" xfId="0" applyNumberFormat="1" applyFont="1" applyFill="1" applyBorder="1" applyAlignment="1">
      <alignment horizontal="center" vertical="center"/>
    </xf>
    <xf numFmtId="3" fontId="72" fillId="25" borderId="23" xfId="0" applyNumberFormat="1" applyFont="1" applyFill="1" applyBorder="1" applyAlignment="1">
      <alignment horizontal="center" vertical="center"/>
    </xf>
    <xf numFmtId="3" fontId="72" fillId="25" borderId="24" xfId="0" applyNumberFormat="1" applyFont="1" applyFill="1" applyBorder="1" applyAlignment="1">
      <alignment horizontal="center" vertical="center"/>
    </xf>
    <xf numFmtId="3" fontId="93" fillId="0" borderId="0" xfId="0" applyNumberFormat="1" applyFont="1" applyAlignment="1">
      <alignment horizontal="center" vertical="center"/>
    </xf>
    <xf numFmtId="3" fontId="77" fillId="0" borderId="0" xfId="0" applyNumberFormat="1" applyFont="1" applyAlignment="1">
      <alignment horizontal="center" vertical="center"/>
    </xf>
    <xf numFmtId="168" fontId="97" fillId="0" borderId="94" xfId="0" applyNumberFormat="1" applyFont="1" applyBorder="1" applyAlignment="1">
      <alignment horizontal="center"/>
    </xf>
    <xf numFmtId="0" fontId="66" fillId="0" borderId="46" xfId="0" applyFont="1" applyBorder="1" applyAlignment="1">
      <alignment horizontal="center" vertical="center"/>
    </xf>
    <xf numFmtId="167" fontId="72" fillId="27" borderId="50" xfId="0" applyNumberFormat="1" applyFont="1" applyFill="1" applyBorder="1" applyAlignment="1">
      <alignment horizontal="center" vertical="center"/>
    </xf>
    <xf numFmtId="167" fontId="72" fillId="27" borderId="40" xfId="0" applyNumberFormat="1" applyFont="1" applyFill="1" applyBorder="1" applyAlignment="1">
      <alignment horizontal="center" vertical="center"/>
    </xf>
    <xf numFmtId="177" fontId="66" fillId="0" borderId="0" xfId="0" applyNumberFormat="1" applyFont="1" applyAlignment="1">
      <alignment horizontal="center" vertical="center"/>
    </xf>
    <xf numFmtId="166" fontId="72" fillId="27" borderId="40" xfId="0" applyNumberFormat="1" applyFont="1" applyFill="1" applyBorder="1" applyAlignment="1">
      <alignment horizontal="center" vertical="center"/>
    </xf>
    <xf numFmtId="0" fontId="105" fillId="0" borderId="0" xfId="0" applyFont="1" applyAlignment="1">
      <alignment vertical="center"/>
    </xf>
    <xf numFmtId="2" fontId="72" fillId="35" borderId="39" xfId="0" applyNumberFormat="1" applyFont="1" applyFill="1" applyBorder="1" applyAlignment="1">
      <alignment horizontal="center" vertical="center"/>
    </xf>
    <xf numFmtId="166" fontId="66" fillId="24" borderId="26" xfId="0" applyNumberFormat="1" applyFont="1" applyFill="1" applyBorder="1" applyAlignment="1">
      <alignment horizontal="center" vertical="center"/>
    </xf>
    <xf numFmtId="179" fontId="66" fillId="0" borderId="26" xfId="0" applyNumberFormat="1" applyFont="1" applyBorder="1" applyAlignment="1">
      <alignment horizontal="center" vertical="center"/>
    </xf>
    <xf numFmtId="178" fontId="66" fillId="0" borderId="26" xfId="0" applyNumberFormat="1" applyFont="1" applyBorder="1" applyAlignment="1">
      <alignment horizontal="center" vertical="center"/>
    </xf>
    <xf numFmtId="2" fontId="72" fillId="33" borderId="39" xfId="0" applyNumberFormat="1" applyFont="1" applyFill="1" applyBorder="1" applyAlignment="1">
      <alignment horizontal="center" vertical="center"/>
    </xf>
    <xf numFmtId="179" fontId="70" fillId="26" borderId="30" xfId="0" applyNumberFormat="1" applyFont="1" applyFill="1" applyBorder="1" applyAlignment="1">
      <alignment horizontal="center" vertical="center"/>
    </xf>
    <xf numFmtId="2" fontId="70" fillId="26" borderId="15" xfId="0" applyNumberFormat="1" applyFont="1" applyFill="1" applyBorder="1" applyAlignment="1">
      <alignment horizontal="center" vertical="center"/>
    </xf>
    <xf numFmtId="0" fontId="72" fillId="25" borderId="23" xfId="0" applyFont="1" applyFill="1" applyBorder="1" applyAlignment="1">
      <alignment horizontal="center" vertical="center" wrapText="1"/>
    </xf>
    <xf numFmtId="0" fontId="72" fillId="25" borderId="161" xfId="0" applyFont="1" applyFill="1" applyBorder="1" applyAlignment="1">
      <alignment horizontal="center" vertical="center"/>
    </xf>
    <xf numFmtId="167" fontId="72" fillId="0" borderId="0" xfId="0" applyNumberFormat="1" applyFont="1" applyAlignment="1">
      <alignment horizontal="center" vertical="center"/>
    </xf>
    <xf numFmtId="173" fontId="66" fillId="0" borderId="26" xfId="0" applyNumberFormat="1" applyFont="1" applyBorder="1" applyAlignment="1">
      <alignment horizontal="center" vertical="center"/>
    </xf>
    <xf numFmtId="0" fontId="67" fillId="24" borderId="0" xfId="0" applyFont="1" applyFill="1" applyAlignment="1">
      <alignment horizontal="left" vertical="center"/>
    </xf>
    <xf numFmtId="0" fontId="67" fillId="24" borderId="33" xfId="0" applyFont="1" applyFill="1" applyBorder="1" applyAlignment="1">
      <alignment horizontal="left" vertical="center"/>
    </xf>
    <xf numFmtId="166" fontId="66" fillId="24" borderId="27" xfId="0" applyNumberFormat="1" applyFont="1" applyFill="1" applyBorder="1" applyAlignment="1">
      <alignment horizontal="center" vertical="center"/>
    </xf>
    <xf numFmtId="166" fontId="72" fillId="24" borderId="27" xfId="0" applyNumberFormat="1" applyFont="1" applyFill="1" applyBorder="1" applyAlignment="1">
      <alignment horizontal="center" vertical="center"/>
    </xf>
    <xf numFmtId="166" fontId="66" fillId="24" borderId="28" xfId="0" applyNumberFormat="1" applyFont="1" applyFill="1" applyBorder="1" applyAlignment="1">
      <alignment horizontal="center" vertical="center"/>
    </xf>
    <xf numFmtId="173" fontId="66" fillId="24" borderId="26" xfId="0" applyNumberFormat="1" applyFont="1" applyFill="1" applyBorder="1" applyAlignment="1">
      <alignment horizontal="center" vertical="center"/>
    </xf>
    <xf numFmtId="166" fontId="72" fillId="0" borderId="0" xfId="0" applyNumberFormat="1" applyFont="1" applyAlignment="1">
      <alignment horizontal="center" vertical="center"/>
    </xf>
    <xf numFmtId="176" fontId="72" fillId="0" borderId="0" xfId="0" applyNumberFormat="1" applyFont="1" applyAlignment="1">
      <alignment horizontal="center" vertical="center"/>
    </xf>
    <xf numFmtId="166" fontId="79" fillId="0" borderId="0" xfId="0" applyNumberFormat="1" applyFont="1" applyAlignment="1">
      <alignment horizontal="center" vertical="center"/>
    </xf>
    <xf numFmtId="166" fontId="72" fillId="27" borderId="41" xfId="0" applyNumberFormat="1" applyFont="1" applyFill="1" applyBorder="1" applyAlignment="1">
      <alignment horizontal="center" vertical="center"/>
    </xf>
    <xf numFmtId="166" fontId="70" fillId="26" borderId="45" xfId="0" applyNumberFormat="1" applyFont="1" applyFill="1" applyBorder="1" applyAlignment="1">
      <alignment horizontal="center" vertical="center"/>
    </xf>
    <xf numFmtId="0" fontId="92" fillId="0" borderId="0" xfId="0" applyFont="1" applyAlignment="1">
      <alignment horizontal="center" vertical="center"/>
    </xf>
    <xf numFmtId="164" fontId="66" fillId="0" borderId="0" xfId="38" applyFont="1" applyAlignment="1">
      <alignment horizontal="center" vertical="center"/>
    </xf>
    <xf numFmtId="0" fontId="66" fillId="29" borderId="0" xfId="0" applyFont="1" applyFill="1" applyAlignment="1">
      <alignment horizontal="center" vertical="center"/>
    </xf>
    <xf numFmtId="166" fontId="109" fillId="0" borderId="0" xfId="0" applyNumberFormat="1" applyFont="1" applyAlignment="1">
      <alignment horizontal="right" vertical="top" wrapText="1"/>
    </xf>
    <xf numFmtId="0" fontId="119" fillId="0" borderId="0" xfId="0" applyFont="1" applyAlignment="1">
      <alignment vertical="center"/>
    </xf>
    <xf numFmtId="0" fontId="66" fillId="0" borderId="3" xfId="0" applyFont="1" applyBorder="1" applyAlignment="1">
      <alignment horizontal="center" vertical="center" wrapText="1"/>
    </xf>
    <xf numFmtId="167" fontId="72" fillId="0" borderId="3" xfId="0" applyNumberFormat="1" applyFont="1" applyBorder="1" applyAlignment="1">
      <alignment horizontal="center" vertical="center" wrapText="1"/>
    </xf>
    <xf numFmtId="3" fontId="72" fillId="0" borderId="3" xfId="0" applyNumberFormat="1" applyFont="1" applyBorder="1" applyAlignment="1">
      <alignment horizontal="center" vertical="center" wrapText="1"/>
    </xf>
    <xf numFmtId="0" fontId="93" fillId="29" borderId="66" xfId="0" applyFont="1" applyFill="1" applyBorder="1" applyAlignment="1">
      <alignment horizontal="center" vertical="center" wrapText="1"/>
    </xf>
    <xf numFmtId="3" fontId="72" fillId="29" borderId="85" xfId="38" applyNumberFormat="1" applyFont="1" applyFill="1" applyBorder="1" applyAlignment="1">
      <alignment horizontal="center" vertical="center" wrapText="1"/>
    </xf>
    <xf numFmtId="167" fontId="72" fillId="29" borderId="85" xfId="0" applyNumberFormat="1" applyFont="1" applyFill="1" applyBorder="1" applyAlignment="1">
      <alignment horizontal="center" vertical="center" wrapText="1"/>
    </xf>
    <xf numFmtId="167" fontId="72" fillId="29" borderId="122" xfId="0" applyNumberFormat="1" applyFont="1" applyFill="1" applyBorder="1" applyAlignment="1">
      <alignment horizontal="center" vertical="center" wrapText="1"/>
    </xf>
    <xf numFmtId="3" fontId="72" fillId="29" borderId="122" xfId="0" applyNumberFormat="1" applyFont="1" applyFill="1" applyBorder="1" applyAlignment="1">
      <alignment horizontal="center" vertical="center" wrapText="1"/>
    </xf>
    <xf numFmtId="0" fontId="105" fillId="0" borderId="0" xfId="0" applyFont="1" applyAlignment="1">
      <alignment vertical="center" wrapText="1"/>
    </xf>
    <xf numFmtId="0" fontId="103" fillId="0" borderId="3" xfId="0" applyFont="1" applyBorder="1" applyAlignment="1">
      <alignment horizontal="center" vertical="center" wrapText="1"/>
    </xf>
    <xf numFmtId="0" fontId="66" fillId="0" borderId="3" xfId="0" applyFont="1" applyBorder="1" applyAlignment="1">
      <alignment horizontal="left" vertical="center" wrapText="1"/>
    </xf>
    <xf numFmtId="166" fontId="72" fillId="0" borderId="3" xfId="0" applyNumberFormat="1" applyFont="1" applyBorder="1" applyAlignment="1">
      <alignment horizontal="center" vertical="center" wrapText="1"/>
    </xf>
    <xf numFmtId="166" fontId="72" fillId="29" borderId="85" xfId="0" applyNumberFormat="1" applyFont="1" applyFill="1" applyBorder="1" applyAlignment="1">
      <alignment horizontal="center" vertical="center" wrapText="1"/>
    </xf>
    <xf numFmtId="167" fontId="72" fillId="29" borderId="67" xfId="0" applyNumberFormat="1" applyFont="1" applyFill="1" applyBorder="1" applyAlignment="1">
      <alignment horizontal="center" vertical="center" wrapText="1"/>
    </xf>
    <xf numFmtId="3" fontId="67" fillId="29" borderId="85" xfId="38" applyNumberFormat="1" applyFont="1" applyFill="1" applyBorder="1" applyAlignment="1">
      <alignment horizontal="center" vertical="center" wrapText="1"/>
    </xf>
    <xf numFmtId="3" fontId="72" fillId="29" borderId="85" xfId="0" applyNumberFormat="1" applyFont="1" applyFill="1" applyBorder="1" applyAlignment="1">
      <alignment horizontal="center" vertical="center" wrapText="1"/>
    </xf>
    <xf numFmtId="3" fontId="72" fillId="0" borderId="0" xfId="38" applyNumberFormat="1" applyFont="1" applyFill="1" applyBorder="1" applyAlignment="1">
      <alignment horizontal="center" vertical="center" wrapText="1"/>
    </xf>
    <xf numFmtId="0" fontId="66" fillId="0" borderId="0" xfId="0" applyFont="1" applyAlignment="1">
      <alignment horizontal="center" vertical="center" wrapText="1"/>
    </xf>
    <xf numFmtId="0" fontId="93" fillId="0" borderId="0" xfId="0" applyFont="1" applyAlignment="1">
      <alignment horizontal="center" vertical="center" wrapText="1"/>
    </xf>
    <xf numFmtId="4" fontId="120" fillId="0" borderId="142" xfId="0" applyNumberFormat="1" applyFont="1" applyBorder="1" applyAlignment="1">
      <alignment horizontal="center" vertical="center" wrapText="1" readingOrder="1"/>
    </xf>
    <xf numFmtId="0" fontId="121" fillId="0" borderId="0" xfId="0" applyFont="1" applyAlignment="1">
      <alignment vertical="center"/>
    </xf>
    <xf numFmtId="3" fontId="79" fillId="0" borderId="91" xfId="0" applyNumberFormat="1" applyFont="1" applyBorder="1" applyAlignment="1">
      <alignment horizontal="center" vertical="center" wrapText="1"/>
    </xf>
    <xf numFmtId="166" fontId="93" fillId="0" borderId="3" xfId="0" applyNumberFormat="1" applyFont="1" applyBorder="1" applyAlignment="1">
      <alignment horizontal="center" vertical="center" wrapText="1"/>
    </xf>
    <xf numFmtId="167" fontId="93" fillId="0" borderId="3" xfId="0" applyNumberFormat="1" applyFont="1" applyBorder="1" applyAlignment="1">
      <alignment horizontal="center" vertical="center" wrapText="1"/>
    </xf>
    <xf numFmtId="0" fontId="79" fillId="0" borderId="3" xfId="0" applyFont="1" applyBorder="1" applyAlignment="1">
      <alignment horizontal="left" vertical="center" wrapText="1"/>
    </xf>
    <xf numFmtId="3" fontId="93" fillId="0" borderId="3" xfId="0" applyNumberFormat="1" applyFont="1" applyBorder="1" applyAlignment="1">
      <alignment horizontal="center" vertical="center" wrapText="1"/>
    </xf>
    <xf numFmtId="0" fontId="120" fillId="0" borderId="142" xfId="0" applyFont="1" applyBorder="1" applyAlignment="1">
      <alignment horizontal="center" vertical="center" wrapText="1" readingOrder="1"/>
    </xf>
    <xf numFmtId="3" fontId="79" fillId="0" borderId="3" xfId="0" applyNumberFormat="1" applyFont="1" applyBorder="1" applyAlignment="1">
      <alignment horizontal="center" vertical="center" wrapText="1"/>
    </xf>
    <xf numFmtId="3" fontId="93" fillId="29" borderId="85" xfId="38" applyNumberFormat="1" applyFont="1" applyFill="1" applyBorder="1" applyAlignment="1">
      <alignment horizontal="center" vertical="center" wrapText="1"/>
    </xf>
    <xf numFmtId="167" fontId="93" fillId="29" borderId="85" xfId="38" applyNumberFormat="1" applyFont="1" applyFill="1" applyBorder="1" applyAlignment="1">
      <alignment horizontal="center" vertical="center" wrapText="1"/>
    </xf>
    <xf numFmtId="166" fontId="93" fillId="29" borderId="85" xfId="0" applyNumberFormat="1" applyFont="1" applyFill="1" applyBorder="1" applyAlignment="1">
      <alignment horizontal="center" vertical="center" wrapText="1"/>
    </xf>
    <xf numFmtId="167" fontId="93" fillId="29" borderId="67" xfId="0" applyNumberFormat="1" applyFont="1" applyFill="1" applyBorder="1" applyAlignment="1">
      <alignment horizontal="center" vertical="center" wrapText="1"/>
    </xf>
    <xf numFmtId="3" fontId="93" fillId="29" borderId="85" xfId="0" applyNumberFormat="1" applyFont="1" applyFill="1" applyBorder="1" applyAlignment="1">
      <alignment horizontal="center" vertical="center" wrapText="1"/>
    </xf>
    <xf numFmtId="3" fontId="93" fillId="29" borderId="122" xfId="0" applyNumberFormat="1" applyFont="1" applyFill="1" applyBorder="1" applyAlignment="1">
      <alignment horizontal="center" vertical="center" wrapText="1"/>
    </xf>
    <xf numFmtId="0" fontId="72" fillId="0" borderId="108" xfId="0" applyFont="1" applyBorder="1" applyAlignment="1">
      <alignment horizontal="center"/>
    </xf>
    <xf numFmtId="0" fontId="72" fillId="0" borderId="141" xfId="0" applyFont="1" applyBorder="1" applyAlignment="1">
      <alignment horizontal="center"/>
    </xf>
    <xf numFmtId="0" fontId="72" fillId="0" borderId="109" xfId="0" applyFont="1" applyBorder="1" applyAlignment="1">
      <alignment horizontal="center"/>
    </xf>
    <xf numFmtId="0" fontId="66" fillId="27" borderId="105" xfId="0" applyFont="1" applyFill="1" applyBorder="1"/>
    <xf numFmtId="167" fontId="66" fillId="0" borderId="172" xfId="0" applyNumberFormat="1" applyFont="1" applyBorder="1" applyAlignment="1">
      <alignment horizontal="center"/>
    </xf>
    <xf numFmtId="167" fontId="66" fillId="0" borderId="96" xfId="0" applyNumberFormat="1" applyFont="1" applyBorder="1" applyAlignment="1">
      <alignment horizontal="center"/>
    </xf>
    <xf numFmtId="166" fontId="66" fillId="0" borderId="173" xfId="0" applyNumberFormat="1" applyFont="1" applyBorder="1" applyAlignment="1">
      <alignment horizontal="center"/>
    </xf>
    <xf numFmtId="0" fontId="66" fillId="27" borderId="33" xfId="0" applyFont="1" applyFill="1" applyBorder="1"/>
    <xf numFmtId="166" fontId="66" fillId="0" borderId="95" xfId="0" applyNumberFormat="1" applyFont="1" applyBorder="1" applyAlignment="1">
      <alignment horizontal="center"/>
    </xf>
    <xf numFmtId="166" fontId="66" fillId="0" borderId="11" xfId="0" applyNumberFormat="1" applyFont="1" applyBorder="1" applyAlignment="1">
      <alignment horizontal="center"/>
    </xf>
    <xf numFmtId="166" fontId="66" fillId="0" borderId="104" xfId="0" applyNumberFormat="1" applyFont="1" applyBorder="1" applyAlignment="1">
      <alignment horizontal="center"/>
    </xf>
    <xf numFmtId="167" fontId="66" fillId="0" borderId="95" xfId="0" applyNumberFormat="1" applyFont="1" applyBorder="1" applyAlignment="1">
      <alignment horizontal="center" vertical="center"/>
    </xf>
    <xf numFmtId="167" fontId="66" fillId="0" borderId="11" xfId="0" applyNumberFormat="1" applyFont="1" applyBorder="1" applyAlignment="1">
      <alignment horizontal="center" vertical="center"/>
    </xf>
    <xf numFmtId="167" fontId="66" fillId="0" borderId="95" xfId="0" applyNumberFormat="1" applyFont="1" applyBorder="1" applyAlignment="1">
      <alignment horizontal="center"/>
    </xf>
    <xf numFmtId="167" fontId="66" fillId="0" borderId="11" xfId="0" applyNumberFormat="1" applyFont="1" applyBorder="1" applyAlignment="1">
      <alignment horizontal="center"/>
    </xf>
    <xf numFmtId="0" fontId="79" fillId="0" borderId="0" xfId="0" applyFont="1"/>
    <xf numFmtId="167" fontId="79" fillId="0" borderId="95" xfId="0" applyNumberFormat="1" applyFont="1" applyBorder="1" applyAlignment="1">
      <alignment horizontal="center"/>
    </xf>
    <xf numFmtId="167" fontId="79" fillId="0" borderId="11" xfId="0" applyNumberFormat="1" applyFont="1" applyBorder="1" applyAlignment="1">
      <alignment horizontal="center"/>
    </xf>
    <xf numFmtId="167" fontId="66" fillId="0" borderId="14" xfId="0" applyNumberFormat="1" applyFont="1" applyBorder="1" applyAlignment="1">
      <alignment horizontal="center"/>
    </xf>
    <xf numFmtId="167" fontId="66" fillId="24" borderId="95" xfId="0" applyNumberFormat="1" applyFont="1" applyFill="1" applyBorder="1" applyAlignment="1">
      <alignment horizontal="center"/>
    </xf>
    <xf numFmtId="167" fontId="66" fillId="24" borderId="11" xfId="0" applyNumberFormat="1" applyFont="1" applyFill="1" applyBorder="1" applyAlignment="1">
      <alignment horizontal="center"/>
    </xf>
    <xf numFmtId="167" fontId="66" fillId="24" borderId="14" xfId="0" applyNumberFormat="1" applyFont="1" applyFill="1" applyBorder="1" applyAlignment="1">
      <alignment horizontal="center"/>
    </xf>
    <xf numFmtId="0" fontId="72" fillId="27" borderId="62" xfId="0" applyFont="1" applyFill="1" applyBorder="1"/>
    <xf numFmtId="167" fontId="72" fillId="0" borderId="108" xfId="0" applyNumberFormat="1" applyFont="1" applyBorder="1" applyAlignment="1">
      <alignment horizontal="center"/>
    </xf>
    <xf numFmtId="167" fontId="72" fillId="0" borderId="141" xfId="0" applyNumberFormat="1" applyFont="1" applyBorder="1" applyAlignment="1">
      <alignment horizontal="center"/>
    </xf>
    <xf numFmtId="167" fontId="72" fillId="0" borderId="143" xfId="0" applyNumberFormat="1" applyFont="1" applyBorder="1" applyAlignment="1">
      <alignment horizontal="center"/>
    </xf>
    <xf numFmtId="166" fontId="72" fillId="0" borderId="109" xfId="0" applyNumberFormat="1" applyFont="1" applyBorder="1" applyAlignment="1">
      <alignment horizontal="center"/>
    </xf>
    <xf numFmtId="0" fontId="72" fillId="0" borderId="0" xfId="0" applyFont="1"/>
    <xf numFmtId="0" fontId="122" fillId="0" borderId="0" xfId="0" applyFont="1"/>
    <xf numFmtId="164" fontId="66" fillId="0" borderId="0" xfId="38" applyFont="1"/>
    <xf numFmtId="164" fontId="66" fillId="0" borderId="0" xfId="0" applyNumberFormat="1" applyFont="1"/>
    <xf numFmtId="0" fontId="123" fillId="0" borderId="3" xfId="0" quotePrefix="1" applyFont="1" applyBorder="1" applyAlignment="1">
      <alignment horizontal="center" vertical="center" wrapText="1"/>
    </xf>
    <xf numFmtId="3" fontId="124" fillId="0" borderId="3" xfId="0" applyNumberFormat="1" applyFont="1" applyBorder="1" applyAlignment="1">
      <alignment horizontal="center" vertical="center" wrapText="1"/>
    </xf>
    <xf numFmtId="0" fontId="94" fillId="24" borderId="3" xfId="0" applyFont="1" applyFill="1" applyBorder="1" applyAlignment="1">
      <alignment vertical="center" wrapText="1"/>
    </xf>
    <xf numFmtId="3" fontId="94" fillId="0" borderId="3" xfId="0" applyNumberFormat="1" applyFont="1" applyBorder="1" applyAlignment="1">
      <alignment horizontal="center" vertical="center" wrapText="1"/>
    </xf>
    <xf numFmtId="3" fontId="123" fillId="0" borderId="0" xfId="38" applyNumberFormat="1" applyFont="1" applyFill="1" applyBorder="1" applyAlignment="1">
      <alignment horizontal="center" vertical="center" wrapText="1"/>
    </xf>
    <xf numFmtId="4" fontId="123" fillId="0" borderId="0" xfId="38" applyNumberFormat="1" applyFont="1" applyFill="1" applyBorder="1" applyAlignment="1">
      <alignment horizontal="center" vertical="center" wrapText="1"/>
    </xf>
    <xf numFmtId="0" fontId="94" fillId="24" borderId="93" xfId="0" applyFont="1" applyFill="1" applyBorder="1" applyAlignment="1">
      <alignment vertical="center" wrapText="1"/>
    </xf>
    <xf numFmtId="1" fontId="94" fillId="0" borderId="93" xfId="0" applyNumberFormat="1" applyFont="1" applyBorder="1" applyAlignment="1">
      <alignment horizontal="center" vertical="center" wrapText="1"/>
    </xf>
    <xf numFmtId="166" fontId="72" fillId="0" borderId="93" xfId="0" applyNumberFormat="1" applyFont="1" applyBorder="1" applyAlignment="1">
      <alignment horizontal="center" vertical="center" wrapText="1"/>
    </xf>
    <xf numFmtId="167" fontId="72" fillId="0" borderId="93" xfId="0" applyNumberFormat="1" applyFont="1" applyBorder="1" applyAlignment="1">
      <alignment horizontal="center" vertical="center" wrapText="1"/>
    </xf>
    <xf numFmtId="0" fontId="94" fillId="0" borderId="93" xfId="0" applyFont="1" applyBorder="1" applyAlignment="1">
      <alignment horizontal="center" vertical="center" wrapText="1"/>
    </xf>
    <xf numFmtId="166" fontId="72" fillId="29" borderId="67" xfId="0" applyNumberFormat="1" applyFont="1" applyFill="1" applyBorder="1" applyAlignment="1">
      <alignment horizontal="center" vertical="center" wrapText="1"/>
    </xf>
    <xf numFmtId="0" fontId="111" fillId="0" borderId="0" xfId="0" quotePrefix="1" applyFont="1" applyAlignment="1">
      <alignment horizontal="left" vertical="center"/>
    </xf>
    <xf numFmtId="0" fontId="125" fillId="24" borderId="93" xfId="0" applyFont="1" applyFill="1" applyBorder="1" applyAlignment="1">
      <alignment horizontal="center" vertical="center" wrapText="1"/>
    </xf>
    <xf numFmtId="1" fontId="72" fillId="0" borderId="3" xfId="0" applyNumberFormat="1" applyFont="1" applyBorder="1" applyAlignment="1">
      <alignment horizontal="center" vertical="center" wrapText="1"/>
    </xf>
    <xf numFmtId="2" fontId="66" fillId="0" borderId="0" xfId="0" applyNumberFormat="1" applyFont="1" applyAlignment="1">
      <alignment vertical="center"/>
    </xf>
    <xf numFmtId="3" fontId="94" fillId="0" borderId="93" xfId="0" applyNumberFormat="1" applyFont="1" applyBorder="1" applyAlignment="1">
      <alignment horizontal="center" vertical="center" wrapText="1"/>
    </xf>
    <xf numFmtId="4" fontId="72" fillId="29" borderId="85" xfId="38" applyNumberFormat="1" applyFont="1" applyFill="1" applyBorder="1" applyAlignment="1">
      <alignment horizontal="center" vertical="center" wrapText="1"/>
    </xf>
    <xf numFmtId="1" fontId="72" fillId="29" borderId="67" xfId="0" applyNumberFormat="1" applyFont="1" applyFill="1" applyBorder="1" applyAlignment="1">
      <alignment horizontal="center" vertical="center" wrapText="1"/>
    </xf>
    <xf numFmtId="0" fontId="72" fillId="0" borderId="66" xfId="0" applyFont="1" applyBorder="1" applyAlignment="1">
      <alignment horizontal="center" vertical="center" wrapText="1"/>
    </xf>
    <xf numFmtId="3" fontId="72" fillId="0" borderId="85" xfId="0" applyNumberFormat="1" applyFont="1" applyBorder="1" applyAlignment="1">
      <alignment horizontal="center" vertical="center" wrapText="1"/>
    </xf>
    <xf numFmtId="1" fontId="72" fillId="0" borderId="85" xfId="0" applyNumberFormat="1" applyFont="1" applyBorder="1" applyAlignment="1">
      <alignment horizontal="center" vertical="center" wrapText="1"/>
    </xf>
    <xf numFmtId="1" fontId="72" fillId="0" borderId="67" xfId="0" applyNumberFormat="1" applyFont="1" applyBorder="1" applyAlignment="1">
      <alignment horizontal="center" vertical="center" wrapText="1"/>
    </xf>
    <xf numFmtId="0" fontId="91" fillId="24" borderId="0" xfId="0" applyFont="1" applyFill="1" applyAlignment="1">
      <alignment vertical="center"/>
    </xf>
    <xf numFmtId="0" fontId="72" fillId="0" borderId="157" xfId="0" applyFont="1" applyBorder="1" applyAlignment="1">
      <alignment horizontal="center" vertical="center" wrapText="1"/>
    </xf>
    <xf numFmtId="0" fontId="72" fillId="0" borderId="158" xfId="0" applyFont="1" applyBorder="1" applyAlignment="1">
      <alignment horizontal="center" vertical="center" wrapText="1"/>
    </xf>
    <xf numFmtId="0" fontId="72" fillId="0" borderId="159" xfId="0" applyFont="1" applyBorder="1" applyAlignment="1">
      <alignment horizontal="center" vertical="center" wrapText="1"/>
    </xf>
    <xf numFmtId="0" fontId="72" fillId="0" borderId="85" xfId="0" applyFont="1" applyBorder="1" applyAlignment="1">
      <alignment horizontal="center" vertical="center" wrapText="1"/>
    </xf>
    <xf numFmtId="0" fontId="72" fillId="0" borderId="67" xfId="0" applyFont="1" applyBorder="1" applyAlignment="1">
      <alignment horizontal="center" vertical="center" wrapText="1"/>
    </xf>
    <xf numFmtId="0" fontId="72" fillId="0" borderId="11" xfId="0" applyFont="1" applyBorder="1" applyAlignment="1">
      <alignment horizontal="center" vertical="center"/>
    </xf>
    <xf numFmtId="3" fontId="66" fillId="0" borderId="83" xfId="0" applyNumberFormat="1" applyFont="1" applyBorder="1" applyAlignment="1">
      <alignment horizontal="center" vertical="center" wrapText="1"/>
    </xf>
    <xf numFmtId="3" fontId="72" fillId="0" borderId="84" xfId="0" applyNumberFormat="1" applyFont="1" applyBorder="1" applyAlignment="1">
      <alignment horizontal="center" vertical="center" wrapText="1"/>
    </xf>
    <xf numFmtId="166" fontId="72" fillId="0" borderId="98" xfId="0" applyNumberFormat="1" applyFont="1" applyBorder="1" applyAlignment="1">
      <alignment horizontal="center" vertical="center" wrapText="1"/>
    </xf>
    <xf numFmtId="166" fontId="66" fillId="0" borderId="90" xfId="0" applyNumberFormat="1" applyFont="1" applyBorder="1" applyAlignment="1">
      <alignment horizontal="center" vertical="center" wrapText="1"/>
    </xf>
    <xf numFmtId="166" fontId="66" fillId="0" borderId="91" xfId="0" applyNumberFormat="1" applyFont="1" applyBorder="1" applyAlignment="1">
      <alignment horizontal="center" vertical="center"/>
    </xf>
    <xf numFmtId="166" fontId="72" fillId="0" borderId="84" xfId="0" applyNumberFormat="1" applyFont="1" applyBorder="1" applyAlignment="1">
      <alignment horizontal="center" vertical="center"/>
    </xf>
    <xf numFmtId="166" fontId="66" fillId="0" borderId="11" xfId="0" applyNumberFormat="1" applyFont="1" applyBorder="1" applyAlignment="1">
      <alignment horizontal="center" vertical="center"/>
    </xf>
    <xf numFmtId="3" fontId="91" fillId="0" borderId="0" xfId="0" applyNumberFormat="1" applyFont="1" applyAlignment="1">
      <alignment vertical="center"/>
    </xf>
    <xf numFmtId="0" fontId="91" fillId="0" borderId="0" xfId="0" applyFont="1" applyAlignment="1">
      <alignment vertical="center"/>
    </xf>
    <xf numFmtId="3" fontId="72" fillId="0" borderId="61" xfId="0" applyNumberFormat="1" applyFont="1" applyBorder="1" applyAlignment="1">
      <alignment horizontal="center" vertical="center" wrapText="1"/>
    </xf>
    <xf numFmtId="166" fontId="72" fillId="0" borderId="89" xfId="0" applyNumberFormat="1" applyFont="1" applyBorder="1" applyAlignment="1">
      <alignment horizontal="center" vertical="center" wrapText="1"/>
    </xf>
    <xf numFmtId="166" fontId="66" fillId="0" borderId="60" xfId="0" applyNumberFormat="1" applyFont="1" applyBorder="1" applyAlignment="1">
      <alignment horizontal="center" vertical="center" wrapText="1"/>
    </xf>
    <xf numFmtId="166" fontId="66" fillId="0" borderId="3" xfId="0" applyNumberFormat="1" applyFont="1" applyBorder="1" applyAlignment="1">
      <alignment horizontal="center" vertical="center"/>
    </xf>
    <xf numFmtId="166" fontId="72" fillId="0" borderId="61" xfId="0" applyNumberFormat="1" applyFont="1" applyBorder="1" applyAlignment="1">
      <alignment horizontal="center" vertical="center"/>
    </xf>
    <xf numFmtId="0" fontId="93" fillId="29" borderId="62" xfId="0" applyFont="1" applyFill="1" applyBorder="1" applyAlignment="1">
      <alignment vertical="center" wrapText="1"/>
    </xf>
    <xf numFmtId="3" fontId="72" fillId="29" borderId="92" xfId="38" applyNumberFormat="1" applyFont="1" applyFill="1" applyBorder="1" applyAlignment="1">
      <alignment horizontal="center" vertical="center" wrapText="1"/>
    </xf>
    <xf numFmtId="3" fontId="72" fillId="29" borderId="67" xfId="38" applyNumberFormat="1" applyFont="1" applyFill="1" applyBorder="1" applyAlignment="1">
      <alignment horizontal="center" vertical="center" wrapText="1"/>
    </xf>
    <xf numFmtId="166" fontId="72" fillId="29" borderId="94" xfId="0" applyNumberFormat="1" applyFont="1" applyFill="1" applyBorder="1" applyAlignment="1">
      <alignment horizontal="center" vertical="center" wrapText="1"/>
    </xf>
    <xf numFmtId="166" fontId="72" fillId="29" borderId="66" xfId="0" applyNumberFormat="1" applyFont="1" applyFill="1" applyBorder="1" applyAlignment="1">
      <alignment horizontal="center" vertical="center" wrapText="1"/>
    </xf>
    <xf numFmtId="167" fontId="72" fillId="29" borderId="85" xfId="38" applyNumberFormat="1" applyFont="1" applyFill="1" applyBorder="1" applyAlignment="1">
      <alignment horizontal="center" vertical="center" wrapText="1"/>
    </xf>
    <xf numFmtId="167" fontId="72" fillId="29" borderId="67" xfId="38" applyNumberFormat="1" applyFont="1" applyFill="1" applyBorder="1" applyAlignment="1">
      <alignment horizontal="center" vertical="center" wrapText="1"/>
    </xf>
    <xf numFmtId="166" fontId="72" fillId="29" borderId="11" xfId="0" applyNumberFormat="1" applyFont="1" applyFill="1" applyBorder="1" applyAlignment="1">
      <alignment horizontal="center" vertical="center"/>
    </xf>
    <xf numFmtId="167" fontId="66" fillId="0" borderId="0" xfId="0" applyNumberFormat="1" applyFont="1" applyAlignment="1">
      <alignment vertical="center"/>
    </xf>
    <xf numFmtId="3" fontId="66" fillId="0" borderId="99" xfId="0" applyNumberFormat="1" applyFont="1" applyBorder="1" applyAlignment="1">
      <alignment horizontal="center" vertical="center" wrapText="1"/>
    </xf>
    <xf numFmtId="3" fontId="86" fillId="0" borderId="84" xfId="0" applyNumberFormat="1" applyFont="1" applyBorder="1" applyAlignment="1">
      <alignment horizontal="center" vertical="center" wrapText="1"/>
    </xf>
    <xf numFmtId="167" fontId="66" fillId="0" borderId="90" xfId="0" applyNumberFormat="1" applyFont="1" applyBorder="1" applyAlignment="1">
      <alignment horizontal="center" vertical="center" wrapText="1"/>
    </xf>
    <xf numFmtId="167" fontId="66" fillId="0" borderId="91" xfId="0" applyNumberFormat="1" applyFont="1" applyBorder="1" applyAlignment="1">
      <alignment horizontal="center" vertical="center" wrapText="1"/>
    </xf>
    <xf numFmtId="167" fontId="72" fillId="0" borderId="84" xfId="0" applyNumberFormat="1" applyFont="1" applyBorder="1" applyAlignment="1">
      <alignment horizontal="center" vertical="center" wrapText="1"/>
    </xf>
    <xf numFmtId="3" fontId="86" fillId="0" borderId="61" xfId="0" applyNumberFormat="1" applyFont="1" applyBorder="1" applyAlignment="1">
      <alignment horizontal="center" vertical="center" wrapText="1"/>
    </xf>
    <xf numFmtId="167" fontId="66" fillId="0" borderId="60" xfId="0" applyNumberFormat="1" applyFont="1" applyBorder="1" applyAlignment="1">
      <alignment horizontal="center" vertical="center" wrapText="1"/>
    </xf>
    <xf numFmtId="167" fontId="66" fillId="0" borderId="3" xfId="0" applyNumberFormat="1" applyFont="1" applyBorder="1" applyAlignment="1">
      <alignment horizontal="center" vertical="center" wrapText="1"/>
    </xf>
    <xf numFmtId="167" fontId="72" fillId="0" borderId="61" xfId="0" applyNumberFormat="1" applyFont="1" applyBorder="1" applyAlignment="1">
      <alignment horizontal="center" vertical="center" wrapText="1"/>
    </xf>
    <xf numFmtId="2" fontId="72" fillId="29" borderId="94" xfId="0" applyNumberFormat="1" applyFont="1" applyFill="1" applyBorder="1" applyAlignment="1">
      <alignment horizontal="center" vertical="center" wrapText="1"/>
    </xf>
    <xf numFmtId="167" fontId="72" fillId="29" borderId="66" xfId="38" applyNumberFormat="1" applyFont="1" applyFill="1" applyBorder="1" applyAlignment="1">
      <alignment horizontal="center" vertical="center" wrapText="1"/>
    </xf>
    <xf numFmtId="167" fontId="72" fillId="0" borderId="0" xfId="38" applyNumberFormat="1" applyFont="1" applyBorder="1" applyAlignment="1">
      <alignment horizontal="center" vertical="center"/>
    </xf>
    <xf numFmtId="0" fontId="92" fillId="0" borderId="3" xfId="0" applyFont="1" applyBorder="1" applyAlignment="1">
      <alignment horizontal="left" vertical="center" wrapText="1"/>
    </xf>
    <xf numFmtId="0" fontId="107" fillId="24" borderId="0" xfId="0" applyFont="1" applyFill="1" applyAlignment="1">
      <alignment vertical="center"/>
    </xf>
    <xf numFmtId="0" fontId="93" fillId="29" borderId="3" xfId="0" applyFont="1" applyFill="1" applyBorder="1" applyAlignment="1">
      <alignment vertical="center" wrapText="1"/>
    </xf>
    <xf numFmtId="167" fontId="72" fillId="29" borderId="3" xfId="38" applyNumberFormat="1" applyFont="1" applyFill="1" applyBorder="1" applyAlignment="1">
      <alignment horizontal="center" vertical="center" wrapText="1"/>
    </xf>
    <xf numFmtId="0" fontId="66" fillId="24" borderId="3" xfId="0" applyFont="1" applyFill="1" applyBorder="1" applyAlignment="1">
      <alignment horizontal="left" vertical="center" wrapText="1"/>
    </xf>
    <xf numFmtId="0" fontId="72" fillId="0" borderId="3" xfId="0" applyFont="1" applyBorder="1" applyAlignment="1">
      <alignment horizontal="left" vertical="center" wrapText="1"/>
    </xf>
    <xf numFmtId="171" fontId="70" fillId="26" borderId="30" xfId="38" applyNumberFormat="1" applyFont="1" applyFill="1" applyBorder="1" applyAlignment="1">
      <alignment horizontal="center" vertical="center"/>
    </xf>
    <xf numFmtId="0" fontId="66" fillId="0" borderId="26" xfId="0" applyFont="1" applyBorder="1" applyAlignment="1">
      <alignment horizontal="center" vertical="center"/>
    </xf>
    <xf numFmtId="0" fontId="66" fillId="0" borderId="27" xfId="0" applyFont="1" applyBorder="1" applyAlignment="1">
      <alignment horizontal="center" vertical="center"/>
    </xf>
    <xf numFmtId="0" fontId="72" fillId="0" borderId="27" xfId="0" applyFont="1" applyBorder="1" applyAlignment="1">
      <alignment horizontal="center" vertical="center"/>
    </xf>
    <xf numFmtId="0" fontId="70" fillId="26" borderId="30" xfId="0" applyFont="1" applyFill="1" applyBorder="1" applyAlignment="1">
      <alignment horizontal="center" vertical="center"/>
    </xf>
    <xf numFmtId="0" fontId="70" fillId="26" borderId="31" xfId="0" applyFont="1" applyFill="1" applyBorder="1" applyAlignment="1">
      <alignment horizontal="center" vertical="center"/>
    </xf>
    <xf numFmtId="0" fontId="70" fillId="26" borderId="32" xfId="0" applyFont="1" applyFill="1" applyBorder="1" applyAlignment="1">
      <alignment horizontal="center" vertical="center"/>
    </xf>
    <xf numFmtId="3" fontId="72" fillId="27" borderId="35" xfId="0" applyNumberFormat="1" applyFont="1" applyFill="1" applyBorder="1" applyAlignment="1">
      <alignment horizontal="center" vertical="center"/>
    </xf>
    <xf numFmtId="3" fontId="72" fillId="27" borderId="36" xfId="0" applyNumberFormat="1" applyFont="1" applyFill="1" applyBorder="1" applyAlignment="1">
      <alignment horizontal="center" vertical="center"/>
    </xf>
    <xf numFmtId="3" fontId="72" fillId="27" borderId="37" xfId="0" applyNumberFormat="1" applyFont="1" applyFill="1" applyBorder="1" applyAlignment="1">
      <alignment horizontal="center" vertical="center"/>
    </xf>
    <xf numFmtId="3" fontId="72" fillId="27" borderId="38" xfId="0" applyNumberFormat="1" applyFont="1" applyFill="1" applyBorder="1" applyAlignment="1">
      <alignment horizontal="center" vertical="center"/>
    </xf>
    <xf numFmtId="3" fontId="72" fillId="27" borderId="39" xfId="0" applyNumberFormat="1" applyFont="1" applyFill="1" applyBorder="1" applyAlignment="1">
      <alignment horizontal="center" vertical="center"/>
    </xf>
    <xf numFmtId="167" fontId="72" fillId="27" borderId="34" xfId="0" applyNumberFormat="1" applyFont="1" applyFill="1" applyBorder="1" applyAlignment="1">
      <alignment horizontal="center" vertical="center"/>
    </xf>
    <xf numFmtId="167" fontId="72" fillId="27" borderId="37" xfId="0" applyNumberFormat="1" applyFont="1" applyFill="1" applyBorder="1" applyAlignment="1">
      <alignment horizontal="center" vertical="center"/>
    </xf>
    <xf numFmtId="166" fontId="66" fillId="30" borderId="26" xfId="0" applyNumberFormat="1" applyFont="1" applyFill="1" applyBorder="1" applyAlignment="1">
      <alignment horizontal="center" vertical="center"/>
    </xf>
    <xf numFmtId="167" fontId="66" fillId="30" borderId="26" xfId="38" applyNumberFormat="1" applyFont="1" applyFill="1" applyBorder="1" applyAlignment="1">
      <alignment horizontal="center" vertical="center"/>
    </xf>
    <xf numFmtId="167" fontId="66" fillId="0" borderId="26" xfId="38" applyNumberFormat="1" applyFont="1" applyBorder="1" applyAlignment="1">
      <alignment horizontal="center" vertical="center"/>
    </xf>
    <xf numFmtId="167" fontId="66" fillId="24" borderId="26" xfId="0" applyNumberFormat="1" applyFont="1" applyFill="1" applyBorder="1" applyAlignment="1">
      <alignment horizontal="center" vertical="center"/>
    </xf>
    <xf numFmtId="167" fontId="72" fillId="27" borderId="41" xfId="0" applyNumberFormat="1" applyFont="1" applyFill="1" applyBorder="1" applyAlignment="1">
      <alignment horizontal="center" vertical="center"/>
    </xf>
    <xf numFmtId="167" fontId="72" fillId="27" borderId="42" xfId="0" applyNumberFormat="1" applyFont="1" applyFill="1" applyBorder="1" applyAlignment="1">
      <alignment horizontal="center" vertical="center"/>
    </xf>
    <xf numFmtId="167" fontId="72" fillId="27" borderId="43" xfId="0" applyNumberFormat="1" applyFont="1" applyFill="1" applyBorder="1" applyAlignment="1">
      <alignment horizontal="center" vertical="center"/>
    </xf>
    <xf numFmtId="167" fontId="72" fillId="27" borderId="53" xfId="0" applyNumberFormat="1" applyFont="1" applyFill="1" applyBorder="1" applyAlignment="1">
      <alignment horizontal="center" vertical="center"/>
    </xf>
    <xf numFmtId="167" fontId="72" fillId="27" borderId="44" xfId="0" applyNumberFormat="1" applyFont="1" applyFill="1" applyBorder="1" applyAlignment="1">
      <alignment horizontal="center" vertical="center"/>
    </xf>
    <xf numFmtId="167" fontId="72" fillId="27" borderId="54" xfId="0" applyNumberFormat="1" applyFont="1" applyFill="1" applyBorder="1" applyAlignment="1">
      <alignment horizontal="center" vertical="center"/>
    </xf>
    <xf numFmtId="167" fontId="79" fillId="0" borderId="26" xfId="0" applyNumberFormat="1" applyFont="1" applyBorder="1" applyAlignment="1">
      <alignment horizontal="center" vertical="center"/>
    </xf>
    <xf numFmtId="167" fontId="79" fillId="0" borderId="27" xfId="0" applyNumberFormat="1" applyFont="1" applyBorder="1" applyAlignment="1">
      <alignment horizontal="center" vertical="center"/>
    </xf>
    <xf numFmtId="167" fontId="79" fillId="0" borderId="28" xfId="0" applyNumberFormat="1" applyFont="1" applyBorder="1" applyAlignment="1">
      <alignment horizontal="center" vertical="center"/>
    </xf>
    <xf numFmtId="167" fontId="70" fillId="26" borderId="45" xfId="0" applyNumberFormat="1" applyFont="1" applyFill="1" applyBorder="1" applyAlignment="1">
      <alignment horizontal="center" vertical="center"/>
    </xf>
    <xf numFmtId="167" fontId="70" fillId="26" borderId="55" xfId="0" applyNumberFormat="1" applyFont="1" applyFill="1" applyBorder="1" applyAlignment="1">
      <alignment horizontal="center" vertical="center"/>
    </xf>
    <xf numFmtId="167" fontId="72" fillId="25" borderId="23" xfId="0" applyNumberFormat="1" applyFont="1" applyFill="1" applyBorder="1" applyAlignment="1">
      <alignment horizontal="center" vertical="center"/>
    </xf>
    <xf numFmtId="167" fontId="72" fillId="25" borderId="25" xfId="0" applyNumberFormat="1" applyFont="1" applyFill="1" applyBorder="1" applyAlignment="1">
      <alignment horizontal="center" vertical="center"/>
    </xf>
    <xf numFmtId="167" fontId="72" fillId="25" borderId="24" xfId="0" applyNumberFormat="1" applyFont="1" applyFill="1" applyBorder="1" applyAlignment="1">
      <alignment horizontal="center" vertical="center"/>
    </xf>
    <xf numFmtId="3" fontId="66" fillId="51" borderId="238" xfId="0" applyNumberFormat="1" applyFont="1" applyFill="1" applyBorder="1"/>
    <xf numFmtId="4" fontId="66" fillId="51" borderId="238" xfId="0" applyNumberFormat="1" applyFont="1" applyFill="1" applyBorder="1"/>
    <xf numFmtId="4" fontId="66" fillId="51" borderId="240" xfId="0" applyNumberFormat="1" applyFont="1" applyFill="1" applyBorder="1"/>
    <xf numFmtId="3" fontId="66" fillId="53" borderId="239" xfId="0" applyNumberFormat="1" applyFont="1" applyFill="1" applyBorder="1"/>
    <xf numFmtId="4" fontId="66" fillId="53" borderId="239" xfId="0" applyNumberFormat="1" applyFont="1" applyFill="1" applyBorder="1"/>
    <xf numFmtId="3" fontId="126" fillId="0" borderId="91" xfId="0" applyNumberFormat="1" applyFont="1" applyBorder="1" applyAlignment="1">
      <alignment horizontal="center" vertical="center" wrapText="1"/>
    </xf>
    <xf numFmtId="3" fontId="126" fillId="0" borderId="3" xfId="0" applyNumberFormat="1" applyFont="1" applyBorder="1" applyAlignment="1">
      <alignment horizontal="center" vertical="center" wrapText="1"/>
    </xf>
    <xf numFmtId="0" fontId="75" fillId="0" borderId="0" xfId="0" applyFont="1"/>
    <xf numFmtId="0" fontId="66" fillId="51" borderId="0" xfId="0" applyFont="1" applyFill="1" applyAlignment="1">
      <alignment horizontal="center" vertical="center"/>
    </xf>
    <xf numFmtId="0" fontId="66" fillId="51" borderId="0" xfId="0" applyFont="1" applyFill="1"/>
    <xf numFmtId="4" fontId="66" fillId="45" borderId="0" xfId="0" applyNumberFormat="1" applyFont="1" applyFill="1" applyAlignment="1">
      <alignment vertical="center"/>
    </xf>
    <xf numFmtId="165" fontId="72" fillId="0" borderId="11" xfId="43" applyFont="1" applyBorder="1" applyAlignment="1">
      <alignment horizontal="center"/>
    </xf>
    <xf numFmtId="1" fontId="67" fillId="0" borderId="11" xfId="0" applyNumberFormat="1" applyFont="1" applyBorder="1" applyAlignment="1">
      <alignment horizontal="center"/>
    </xf>
    <xf numFmtId="0" fontId="72" fillId="51" borderId="11" xfId="0" applyFont="1" applyFill="1" applyBorder="1" applyAlignment="1">
      <alignment horizontal="center" vertical="center"/>
    </xf>
    <xf numFmtId="171" fontId="66" fillId="0" borderId="11" xfId="38" applyNumberFormat="1" applyFont="1" applyBorder="1" applyAlignment="1"/>
    <xf numFmtId="171" fontId="72" fillId="46" borderId="11" xfId="38" applyNumberFormat="1" applyFont="1" applyFill="1" applyBorder="1" applyAlignment="1">
      <alignment horizontal="center"/>
    </xf>
    <xf numFmtId="1" fontId="67" fillId="46" borderId="11" xfId="0" applyNumberFormat="1" applyFont="1" applyFill="1" applyBorder="1" applyAlignment="1">
      <alignment horizontal="center"/>
    </xf>
    <xf numFmtId="0" fontId="129" fillId="0" borderId="0" xfId="0" applyFont="1" applyAlignment="1">
      <alignment horizontal="center"/>
    </xf>
    <xf numFmtId="0" fontId="121" fillId="0" borderId="0" xfId="0" applyFont="1"/>
    <xf numFmtId="3" fontId="121" fillId="0" borderId="0" xfId="0" applyNumberFormat="1" applyFont="1"/>
    <xf numFmtId="0" fontId="130" fillId="0" borderId="0" xfId="0" applyFont="1"/>
    <xf numFmtId="0" fontId="131" fillId="0" borderId="0" xfId="0" applyFont="1"/>
    <xf numFmtId="0" fontId="121" fillId="0" borderId="166" xfId="0" applyFont="1" applyBorder="1"/>
    <xf numFmtId="0" fontId="121" fillId="0" borderId="167" xfId="0" applyFont="1" applyBorder="1"/>
    <xf numFmtId="164" fontId="121" fillId="0" borderId="167" xfId="0" applyNumberFormat="1" applyFont="1" applyBorder="1"/>
    <xf numFmtId="4" fontId="121" fillId="0" borderId="167" xfId="0" applyNumberFormat="1" applyFont="1" applyBorder="1"/>
    <xf numFmtId="1" fontId="121" fillId="0" borderId="168" xfId="0" applyNumberFormat="1" applyFont="1" applyBorder="1"/>
    <xf numFmtId="0" fontId="121" fillId="0" borderId="140" xfId="0" applyFont="1" applyBorder="1"/>
    <xf numFmtId="0" fontId="129" fillId="0" borderId="145" xfId="0" applyFont="1" applyBorder="1" applyAlignment="1">
      <alignment horizontal="center"/>
    </xf>
    <xf numFmtId="0" fontId="97" fillId="0" borderId="14" xfId="0" applyFont="1" applyBorder="1" applyAlignment="1">
      <alignment horizontal="center" vertical="center"/>
    </xf>
    <xf numFmtId="0" fontId="97" fillId="0" borderId="162" xfId="0" applyFont="1" applyBorder="1" applyAlignment="1">
      <alignment horizontal="center" vertical="center"/>
    </xf>
    <xf numFmtId="0" fontId="97" fillId="0" borderId="140" xfId="0" applyFont="1" applyBorder="1" applyAlignment="1">
      <alignment horizontal="center" vertical="center"/>
    </xf>
    <xf numFmtId="4" fontId="97" fillId="0" borderId="140" xfId="0" applyNumberFormat="1" applyFont="1" applyBorder="1" applyAlignment="1">
      <alignment horizontal="center" vertical="center"/>
    </xf>
    <xf numFmtId="1" fontId="97" fillId="0" borderId="163" xfId="0" applyNumberFormat="1" applyFont="1" applyBorder="1" applyAlignment="1">
      <alignment horizontal="center" vertical="center" wrapText="1"/>
    </xf>
    <xf numFmtId="0" fontId="97" fillId="0" borderId="140" xfId="0" applyFont="1" applyBorder="1" applyAlignment="1">
      <alignment horizontal="center" vertical="center" wrapText="1"/>
    </xf>
    <xf numFmtId="0" fontId="129" fillId="0" borderId="145" xfId="0" applyFont="1" applyBorder="1" applyAlignment="1">
      <alignment horizontal="center" vertical="center"/>
    </xf>
    <xf numFmtId="0" fontId="97" fillId="0" borderId="162" xfId="0" applyFont="1" applyBorder="1" applyAlignment="1">
      <alignment horizontal="center" vertical="center" wrapText="1"/>
    </xf>
    <xf numFmtId="3" fontId="97" fillId="0" borderId="163" xfId="0" applyNumberFormat="1" applyFont="1" applyBorder="1" applyAlignment="1">
      <alignment horizontal="center" vertical="center" wrapText="1"/>
    </xf>
    <xf numFmtId="0" fontId="130" fillId="0" borderId="162" xfId="0" quotePrefix="1" applyFont="1" applyBorder="1" applyAlignment="1">
      <alignment horizontal="center" vertical="center"/>
    </xf>
    <xf numFmtId="0" fontId="130" fillId="0" borderId="140" xfId="0" applyFont="1" applyBorder="1" applyAlignment="1">
      <alignment horizontal="center" vertical="center"/>
    </xf>
    <xf numFmtId="0" fontId="130" fillId="0" borderId="163" xfId="0" applyFont="1" applyBorder="1" applyAlignment="1">
      <alignment horizontal="center" vertical="center"/>
    </xf>
    <xf numFmtId="0" fontId="121" fillId="0" borderId="162" xfId="0" applyFont="1" applyBorder="1"/>
    <xf numFmtId="2" fontId="97" fillId="0" borderId="140" xfId="43" applyNumberFormat="1" applyFont="1" applyFill="1" applyBorder="1" applyAlignment="1">
      <alignment horizontal="center"/>
    </xf>
    <xf numFmtId="2" fontId="121" fillId="0" borderId="140" xfId="43" applyNumberFormat="1" applyFont="1" applyFill="1" applyBorder="1" applyAlignment="1">
      <alignment horizontal="center"/>
    </xf>
    <xf numFmtId="2" fontId="97" fillId="0" borderId="140" xfId="0" applyNumberFormat="1" applyFont="1" applyBorder="1" applyAlignment="1">
      <alignment horizontal="center"/>
    </xf>
    <xf numFmtId="1" fontId="132" fillId="0" borderId="163" xfId="0" applyNumberFormat="1" applyFont="1" applyBorder="1" applyAlignment="1">
      <alignment horizontal="center"/>
    </xf>
    <xf numFmtId="168" fontId="121" fillId="0" borderId="140" xfId="0" applyNumberFormat="1" applyFont="1" applyBorder="1"/>
    <xf numFmtId="165" fontId="97" fillId="0" borderId="162" xfId="43" applyFont="1" applyFill="1" applyBorder="1" applyAlignment="1">
      <alignment horizontal="center"/>
    </xf>
    <xf numFmtId="1" fontId="97" fillId="0" borderId="140" xfId="0" applyNumberFormat="1" applyFont="1" applyBorder="1" applyAlignment="1">
      <alignment horizontal="center"/>
    </xf>
    <xf numFmtId="3" fontId="132" fillId="0" borderId="163" xfId="0" applyNumberFormat="1" applyFont="1" applyBorder="1" applyAlignment="1">
      <alignment horizontal="center"/>
    </xf>
    <xf numFmtId="165" fontId="130" fillId="0" borderId="162" xfId="43" applyFont="1" applyBorder="1" applyAlignment="1">
      <alignment horizontal="center"/>
    </xf>
    <xf numFmtId="1" fontId="130" fillId="0" borderId="140" xfId="0" applyNumberFormat="1" applyFont="1" applyBorder="1" applyAlignment="1">
      <alignment horizontal="center"/>
    </xf>
    <xf numFmtId="1" fontId="130" fillId="0" borderId="163" xfId="0" applyNumberFormat="1" applyFont="1" applyBorder="1" applyAlignment="1">
      <alignment horizontal="center"/>
    </xf>
    <xf numFmtId="164" fontId="121" fillId="0" borderId="0" xfId="0" applyNumberFormat="1" applyFont="1"/>
    <xf numFmtId="165" fontId="130" fillId="0" borderId="162" xfId="43" applyFont="1" applyFill="1" applyBorder="1" applyAlignment="1">
      <alignment horizontal="center"/>
    </xf>
    <xf numFmtId="0" fontId="97" fillId="33" borderId="162" xfId="0" applyFont="1" applyFill="1" applyBorder="1" applyAlignment="1">
      <alignment horizontal="left"/>
    </xf>
    <xf numFmtId="2" fontId="97" fillId="33" borderId="140" xfId="43" applyNumberFormat="1" applyFont="1" applyFill="1" applyBorder="1" applyAlignment="1">
      <alignment horizontal="center"/>
    </xf>
    <xf numFmtId="2" fontId="97" fillId="33" borderId="140" xfId="0" applyNumberFormat="1" applyFont="1" applyFill="1" applyBorder="1" applyAlignment="1">
      <alignment horizontal="center"/>
    </xf>
    <xf numFmtId="1" fontId="132" fillId="33" borderId="163" xfId="0" applyNumberFormat="1" applyFont="1" applyFill="1" applyBorder="1" applyAlignment="1">
      <alignment horizontal="center"/>
    </xf>
    <xf numFmtId="0" fontId="133" fillId="36" borderId="145" xfId="0" applyFont="1" applyFill="1" applyBorder="1" applyAlignment="1">
      <alignment horizontal="center"/>
    </xf>
    <xf numFmtId="182" fontId="97" fillId="34" borderId="140" xfId="43" applyNumberFormat="1" applyFont="1" applyFill="1" applyBorder="1" applyAlignment="1">
      <alignment horizontal="center"/>
    </xf>
    <xf numFmtId="1" fontId="97" fillId="34" borderId="140" xfId="0" applyNumberFormat="1" applyFont="1" applyFill="1" applyBorder="1" applyAlignment="1">
      <alignment horizontal="center"/>
    </xf>
    <xf numFmtId="3" fontId="132" fillId="34" borderId="140" xfId="0" applyNumberFormat="1" applyFont="1" applyFill="1" applyBorder="1" applyAlignment="1">
      <alignment horizontal="center"/>
    </xf>
    <xf numFmtId="165" fontId="130" fillId="34" borderId="162" xfId="43" applyFont="1" applyFill="1" applyBorder="1" applyAlignment="1">
      <alignment horizontal="center"/>
    </xf>
    <xf numFmtId="1" fontId="130" fillId="34" borderId="140" xfId="0" applyNumberFormat="1" applyFont="1" applyFill="1" applyBorder="1" applyAlignment="1">
      <alignment horizontal="center"/>
    </xf>
    <xf numFmtId="1" fontId="130" fillId="34" borderId="163" xfId="0" applyNumberFormat="1" applyFont="1" applyFill="1" applyBorder="1" applyAlignment="1">
      <alignment horizontal="center"/>
    </xf>
    <xf numFmtId="165" fontId="130" fillId="24" borderId="162" xfId="43" applyFont="1" applyFill="1" applyBorder="1" applyAlignment="1">
      <alignment horizontal="center"/>
    </xf>
    <xf numFmtId="1" fontId="130" fillId="24" borderId="140" xfId="0" applyNumberFormat="1" applyFont="1" applyFill="1" applyBorder="1" applyAlignment="1">
      <alignment horizontal="center"/>
    </xf>
    <xf numFmtId="1" fontId="130" fillId="24" borderId="163" xfId="0" applyNumberFormat="1" applyFont="1" applyFill="1" applyBorder="1" applyAlignment="1">
      <alignment horizontal="center"/>
    </xf>
    <xf numFmtId="172" fontId="97" fillId="33" borderId="140" xfId="43" applyNumberFormat="1" applyFont="1" applyFill="1" applyBorder="1" applyAlignment="1">
      <alignment horizontal="center"/>
    </xf>
    <xf numFmtId="168" fontId="97" fillId="0" borderId="140" xfId="0" applyNumberFormat="1" applyFont="1" applyBorder="1"/>
    <xf numFmtId="165" fontId="97" fillId="34" borderId="162" xfId="43" applyFont="1" applyFill="1" applyBorder="1" applyAlignment="1">
      <alignment horizontal="center"/>
    </xf>
    <xf numFmtId="3" fontId="132" fillId="34" borderId="163" xfId="0" applyNumberFormat="1" applyFont="1" applyFill="1" applyBorder="1" applyAlignment="1">
      <alignment horizontal="center"/>
    </xf>
    <xf numFmtId="165" fontId="97" fillId="24" borderId="162" xfId="43" applyFont="1" applyFill="1" applyBorder="1" applyAlignment="1"/>
    <xf numFmtId="2" fontId="120" fillId="0" borderId="140" xfId="43" applyNumberFormat="1" applyFont="1" applyFill="1" applyBorder="1" applyAlignment="1">
      <alignment horizontal="center"/>
    </xf>
    <xf numFmtId="1" fontId="121" fillId="0" borderId="0" xfId="0" applyNumberFormat="1" applyFont="1"/>
    <xf numFmtId="0" fontId="121" fillId="24" borderId="162" xfId="0" applyFont="1" applyFill="1" applyBorder="1"/>
    <xf numFmtId="2" fontId="97" fillId="24" borderId="140" xfId="43" applyNumberFormat="1" applyFont="1" applyFill="1" applyBorder="1" applyAlignment="1">
      <alignment horizontal="center"/>
    </xf>
    <xf numFmtId="2" fontId="121" fillId="24" borderId="140" xfId="43" applyNumberFormat="1" applyFont="1" applyFill="1" applyBorder="1" applyAlignment="1">
      <alignment horizontal="center"/>
    </xf>
    <xf numFmtId="2" fontId="97" fillId="24" borderId="140" xfId="0" applyNumberFormat="1" applyFont="1" applyFill="1" applyBorder="1" applyAlignment="1">
      <alignment horizontal="center"/>
    </xf>
    <xf numFmtId="1" fontId="132" fillId="24" borderId="163" xfId="0" applyNumberFormat="1" applyFont="1" applyFill="1" applyBorder="1" applyAlignment="1">
      <alignment horizontal="center"/>
    </xf>
    <xf numFmtId="165" fontId="130" fillId="44" borderId="162" xfId="43" applyFont="1" applyFill="1" applyBorder="1" applyAlignment="1">
      <alignment horizontal="center"/>
    </xf>
    <xf numFmtId="1" fontId="130" fillId="44" borderId="140" xfId="0" applyNumberFormat="1" applyFont="1" applyFill="1" applyBorder="1" applyAlignment="1">
      <alignment horizontal="center"/>
    </xf>
    <xf numFmtId="1" fontId="130" fillId="44" borderId="163" xfId="0" applyNumberFormat="1" applyFont="1" applyFill="1" applyBorder="1" applyAlignment="1">
      <alignment horizontal="center"/>
    </xf>
    <xf numFmtId="2" fontId="97" fillId="45" borderId="140" xfId="43" applyNumberFormat="1" applyFont="1" applyFill="1" applyBorder="1" applyAlignment="1">
      <alignment horizontal="center"/>
    </xf>
    <xf numFmtId="2" fontId="97" fillId="45" borderId="140" xfId="0" applyNumberFormat="1" applyFont="1" applyFill="1" applyBorder="1" applyAlignment="1">
      <alignment horizontal="center"/>
    </xf>
    <xf numFmtId="1" fontId="132" fillId="45" borderId="163" xfId="0" applyNumberFormat="1" applyFont="1" applyFill="1" applyBorder="1" applyAlignment="1">
      <alignment horizontal="center"/>
    </xf>
    <xf numFmtId="0" fontId="121" fillId="0" borderId="46" xfId="0" applyFont="1" applyBorder="1"/>
    <xf numFmtId="4" fontId="97" fillId="0" borderId="0" xfId="0" applyNumberFormat="1" applyFont="1"/>
    <xf numFmtId="1" fontId="97" fillId="0" borderId="0" xfId="0" applyNumberFormat="1" applyFont="1" applyAlignment="1">
      <alignment horizontal="center"/>
    </xf>
    <xf numFmtId="1" fontId="97" fillId="0" borderId="164" xfId="0" applyNumberFormat="1" applyFont="1" applyBorder="1" applyAlignment="1">
      <alignment horizontal="center"/>
    </xf>
    <xf numFmtId="168" fontId="121" fillId="0" borderId="0" xfId="0" applyNumberFormat="1" applyFont="1"/>
    <xf numFmtId="2" fontId="97" fillId="0" borderId="46" xfId="0" applyNumberFormat="1" applyFont="1" applyBorder="1"/>
    <xf numFmtId="3" fontId="97" fillId="0" borderId="164" xfId="0" applyNumberFormat="1" applyFont="1" applyBorder="1" applyAlignment="1">
      <alignment horizontal="center"/>
    </xf>
    <xf numFmtId="2" fontId="130" fillId="0" borderId="46" xfId="0" applyNumberFormat="1" applyFont="1" applyBorder="1"/>
    <xf numFmtId="1" fontId="130" fillId="0" borderId="0" xfId="0" applyNumberFormat="1" applyFont="1" applyAlignment="1">
      <alignment horizontal="center"/>
    </xf>
    <xf numFmtId="1" fontId="130" fillId="0" borderId="164" xfId="0" applyNumberFormat="1" applyFont="1" applyBorder="1" applyAlignment="1">
      <alignment horizontal="center"/>
    </xf>
    <xf numFmtId="0" fontId="97" fillId="0" borderId="108" xfId="0" applyFont="1" applyBorder="1" applyAlignment="1">
      <alignment horizontal="center"/>
    </xf>
    <xf numFmtId="165" fontId="97" fillId="0" borderId="141" xfId="0" applyNumberFormat="1" applyFont="1" applyBorder="1" applyAlignment="1">
      <alignment horizontal="center"/>
    </xf>
    <xf numFmtId="1" fontId="132" fillId="0" borderId="92" xfId="0" applyNumberFormat="1" applyFont="1" applyBorder="1" applyAlignment="1">
      <alignment horizontal="center"/>
    </xf>
    <xf numFmtId="3" fontId="97" fillId="0" borderId="141" xfId="0" applyNumberFormat="1" applyFont="1" applyBorder="1" applyAlignment="1">
      <alignment horizontal="center"/>
    </xf>
    <xf numFmtId="165" fontId="130" fillId="0" borderId="92" xfId="0" applyNumberFormat="1" applyFont="1" applyBorder="1" applyAlignment="1">
      <alignment horizontal="center"/>
    </xf>
    <xf numFmtId="1" fontId="130" fillId="0" borderId="94" xfId="0" applyNumberFormat="1" applyFont="1" applyBorder="1" applyAlignment="1">
      <alignment horizontal="center"/>
    </xf>
    <xf numFmtId="1" fontId="130" fillId="0" borderId="92" xfId="0" applyNumberFormat="1" applyFont="1" applyBorder="1" applyAlignment="1">
      <alignment horizontal="center"/>
    </xf>
    <xf numFmtId="2" fontId="130" fillId="0" borderId="0" xfId="0" applyNumberFormat="1" applyFont="1"/>
    <xf numFmtId="4" fontId="121" fillId="0" borderId="0" xfId="0" applyNumberFormat="1" applyFont="1"/>
    <xf numFmtId="0" fontId="72" fillId="0" borderId="0" xfId="0" applyFont="1" applyAlignment="1">
      <alignment horizontal="left" vertical="center"/>
    </xf>
    <xf numFmtId="175" fontId="70" fillId="26" borderId="15" xfId="0" applyNumberFormat="1" applyFont="1" applyFill="1" applyBorder="1" applyAlignment="1">
      <alignment horizontal="center" vertical="center"/>
    </xf>
    <xf numFmtId="0" fontId="72" fillId="0" borderId="0" xfId="0" quotePrefix="1" applyFont="1" applyAlignment="1">
      <alignment horizontal="left" vertical="center"/>
    </xf>
    <xf numFmtId="175" fontId="66" fillId="0" borderId="0" xfId="0" applyNumberFormat="1" applyFont="1" applyAlignment="1">
      <alignment horizontal="center" vertical="center"/>
    </xf>
    <xf numFmtId="175" fontId="70" fillId="49" borderId="15" xfId="0" applyNumberFormat="1" applyFont="1" applyFill="1" applyBorder="1" applyAlignment="1">
      <alignment horizontal="center" vertical="center"/>
    </xf>
    <xf numFmtId="167" fontId="70" fillId="49" borderId="15" xfId="0" applyNumberFormat="1" applyFont="1" applyFill="1" applyBorder="1" applyAlignment="1">
      <alignment horizontal="center" vertical="center"/>
    </xf>
    <xf numFmtId="167" fontId="123" fillId="55" borderId="241" xfId="0" applyNumberFormat="1" applyFont="1" applyFill="1" applyBorder="1" applyAlignment="1">
      <alignment horizontal="center" vertical="center"/>
    </xf>
    <xf numFmtId="167" fontId="123" fillId="55" borderId="242" xfId="0" applyNumberFormat="1" applyFont="1" applyFill="1" applyBorder="1" applyAlignment="1">
      <alignment horizontal="center" vertical="center"/>
    </xf>
    <xf numFmtId="167" fontId="123" fillId="55" borderId="37" xfId="0" applyNumberFormat="1" applyFont="1" applyFill="1" applyBorder="1" applyAlignment="1">
      <alignment horizontal="center" vertical="center"/>
    </xf>
    <xf numFmtId="167" fontId="123" fillId="55" borderId="38" xfId="0" applyNumberFormat="1" applyFont="1" applyFill="1" applyBorder="1" applyAlignment="1">
      <alignment horizontal="center" vertical="center"/>
    </xf>
    <xf numFmtId="0" fontId="66" fillId="51" borderId="228" xfId="0" applyFont="1" applyFill="1" applyBorder="1" applyAlignment="1">
      <alignment horizontal="center" vertical="center"/>
    </xf>
    <xf numFmtId="0" fontId="72" fillId="51" borderId="228" xfId="0" applyFont="1" applyFill="1" applyBorder="1" applyAlignment="1">
      <alignment horizontal="center" vertical="center"/>
    </xf>
    <xf numFmtId="167" fontId="72" fillId="57" borderId="241" xfId="0" applyNumberFormat="1" applyFont="1" applyFill="1" applyBorder="1" applyAlignment="1">
      <alignment horizontal="center" vertical="center"/>
    </xf>
    <xf numFmtId="167" fontId="72" fillId="57" borderId="242" xfId="0" applyNumberFormat="1" applyFont="1" applyFill="1" applyBorder="1" applyAlignment="1">
      <alignment horizontal="center" vertical="center"/>
    </xf>
    <xf numFmtId="167" fontId="72" fillId="57" borderId="37" xfId="0" applyNumberFormat="1" applyFont="1" applyFill="1" applyBorder="1" applyAlignment="1">
      <alignment horizontal="center" vertical="center"/>
    </xf>
    <xf numFmtId="167" fontId="72" fillId="57" borderId="38" xfId="0" applyNumberFormat="1" applyFont="1" applyFill="1" applyBorder="1" applyAlignment="1">
      <alignment horizontal="center" vertical="center"/>
    </xf>
    <xf numFmtId="171" fontId="79" fillId="0" borderId="11" xfId="38" applyNumberFormat="1" applyFont="1" applyFill="1" applyBorder="1" applyAlignment="1">
      <alignment vertical="center"/>
    </xf>
    <xf numFmtId="171" fontId="93" fillId="0" borderId="11" xfId="38" applyNumberFormat="1" applyFont="1" applyFill="1" applyBorder="1" applyAlignment="1">
      <alignment vertical="center"/>
    </xf>
    <xf numFmtId="171" fontId="93" fillId="0" borderId="11" xfId="38" applyNumberFormat="1" applyFont="1" applyFill="1" applyBorder="1" applyAlignment="1">
      <alignment horizontal="center" vertical="center"/>
    </xf>
    <xf numFmtId="0" fontId="69" fillId="49" borderId="23" xfId="0" applyFont="1" applyFill="1" applyBorder="1" applyAlignment="1">
      <alignment horizontal="center" vertical="center"/>
    </xf>
    <xf numFmtId="3" fontId="74" fillId="0" borderId="0" xfId="49" applyNumberFormat="1" applyFont="1" applyAlignment="1">
      <alignment vertical="center" wrapText="1"/>
    </xf>
    <xf numFmtId="0" fontId="142" fillId="6" borderId="226" xfId="63" applyFont="1" applyFill="1"/>
    <xf numFmtId="0" fontId="142" fillId="0" borderId="226" xfId="63" applyFont="1" applyFill="1" applyAlignment="1">
      <alignment horizontal="center" vertical="center" wrapText="1"/>
    </xf>
    <xf numFmtId="0" fontId="79" fillId="4" borderId="0" xfId="5" applyFont="1"/>
    <xf numFmtId="183" fontId="79" fillId="0" borderId="0" xfId="41" applyNumberFormat="1" applyFont="1" applyFill="1"/>
    <xf numFmtId="181" fontId="79" fillId="0" borderId="0" xfId="3" applyNumberFormat="1" applyFont="1" applyFill="1"/>
    <xf numFmtId="183" fontId="142" fillId="0" borderId="0" xfId="41" applyNumberFormat="1" applyFont="1" applyFill="1" applyBorder="1" applyAlignment="1">
      <alignment horizontal="right"/>
    </xf>
    <xf numFmtId="183" fontId="79" fillId="0" borderId="0" xfId="1" applyNumberFormat="1" applyFont="1" applyFill="1" applyAlignment="1">
      <alignment horizontal="right"/>
    </xf>
    <xf numFmtId="183" fontId="79" fillId="0" borderId="0" xfId="11" applyNumberFormat="1" applyFont="1" applyFill="1" applyAlignment="1">
      <alignment horizontal="right"/>
    </xf>
    <xf numFmtId="181" fontId="79" fillId="0" borderId="0" xfId="50" applyNumberFormat="1" applyFont="1"/>
    <xf numFmtId="164" fontId="142" fillId="0" borderId="0" xfId="41" applyFont="1" applyFill="1" applyBorder="1"/>
    <xf numFmtId="0" fontId="93" fillId="6" borderId="227" xfId="66" applyFont="1" applyFill="1"/>
    <xf numFmtId="183" fontId="93" fillId="0" borderId="227" xfId="66" applyNumberFormat="1" applyFont="1" applyFill="1"/>
    <xf numFmtId="181" fontId="93" fillId="0" borderId="227" xfId="66" applyNumberFormat="1" applyFont="1" applyFill="1"/>
    <xf numFmtId="183" fontId="93" fillId="0" borderId="227" xfId="66" applyNumberFormat="1" applyFont="1" applyFill="1" applyAlignment="1">
      <alignment horizontal="right"/>
    </xf>
    <xf numFmtId="164" fontId="93" fillId="0" borderId="177" xfId="66" applyNumberFormat="1" applyFont="1" applyFill="1" applyBorder="1"/>
    <xf numFmtId="171" fontId="93" fillId="0" borderId="177" xfId="66" applyNumberFormat="1" applyFont="1" applyFill="1" applyBorder="1"/>
    <xf numFmtId="0" fontId="143" fillId="0" borderId="0" xfId="0" applyFont="1" applyAlignment="1">
      <alignment vertical="center" wrapText="1"/>
    </xf>
    <xf numFmtId="0" fontId="144" fillId="0" borderId="230" xfId="0" applyFont="1" applyBorder="1" applyAlignment="1">
      <alignment horizontal="center" vertical="center" wrapText="1" readingOrder="1"/>
    </xf>
    <xf numFmtId="0" fontId="145" fillId="0" borderId="230" xfId="0" applyFont="1" applyBorder="1" applyAlignment="1">
      <alignment horizontal="center" vertical="center" wrapText="1" readingOrder="1"/>
    </xf>
    <xf numFmtId="0" fontId="146" fillId="0" borderId="230" xfId="0" applyFont="1" applyBorder="1" applyAlignment="1">
      <alignment horizontal="center" vertical="center" wrapText="1" readingOrder="1"/>
    </xf>
    <xf numFmtId="0" fontId="143" fillId="0" borderId="231" xfId="0" applyFont="1" applyBorder="1" applyAlignment="1">
      <alignment vertical="center" wrapText="1"/>
    </xf>
    <xf numFmtId="0" fontId="143" fillId="0" borderId="230" xfId="0" applyFont="1" applyBorder="1" applyAlignment="1">
      <alignment horizontal="left" vertical="center" wrapText="1" readingOrder="1"/>
    </xf>
    <xf numFmtId="167" fontId="147" fillId="0" borderId="230" xfId="0" applyNumberFormat="1" applyFont="1" applyBorder="1" applyAlignment="1">
      <alignment horizontal="center" vertical="center" wrapText="1" readingOrder="1"/>
    </xf>
    <xf numFmtId="167" fontId="143" fillId="0" borderId="230" xfId="0" applyNumberFormat="1" applyFont="1" applyBorder="1" applyAlignment="1">
      <alignment horizontal="center" vertical="center" wrapText="1" readingOrder="1"/>
    </xf>
    <xf numFmtId="167" fontId="146" fillId="0" borderId="230" xfId="0" applyNumberFormat="1" applyFont="1" applyBorder="1" applyAlignment="1">
      <alignment horizontal="center" vertical="center" wrapText="1" readingOrder="1"/>
    </xf>
    <xf numFmtId="3" fontId="147" fillId="0" borderId="230" xfId="0" applyNumberFormat="1" applyFont="1" applyBorder="1" applyAlignment="1">
      <alignment horizontal="center" vertical="center" wrapText="1" readingOrder="1"/>
    </xf>
    <xf numFmtId="181" fontId="143" fillId="0" borderId="230" xfId="0" applyNumberFormat="1" applyFont="1" applyBorder="1" applyAlignment="1">
      <alignment horizontal="center" vertical="center" wrapText="1" readingOrder="1"/>
    </xf>
    <xf numFmtId="181" fontId="146" fillId="0" borderId="230" xfId="0" applyNumberFormat="1" applyFont="1" applyBorder="1" applyAlignment="1">
      <alignment horizontal="center" vertical="center" wrapText="1" readingOrder="1"/>
    </xf>
    <xf numFmtId="3" fontId="143" fillId="0" borderId="230" xfId="0" applyNumberFormat="1" applyFont="1" applyBorder="1" applyAlignment="1">
      <alignment horizontal="center" vertical="center" wrapText="1" readingOrder="1"/>
    </xf>
    <xf numFmtId="3" fontId="146" fillId="0" borderId="230" xfId="0" applyNumberFormat="1" applyFont="1" applyBorder="1" applyAlignment="1">
      <alignment horizontal="center" vertical="center" wrapText="1" readingOrder="1"/>
    </xf>
    <xf numFmtId="0" fontId="146" fillId="50" borderId="232" xfId="0" applyFont="1" applyFill="1" applyBorder="1" applyAlignment="1">
      <alignment horizontal="center" vertical="center" wrapText="1" readingOrder="1"/>
    </xf>
    <xf numFmtId="167" fontId="146" fillId="50" borderId="233" xfId="0" applyNumberFormat="1" applyFont="1" applyFill="1" applyBorder="1" applyAlignment="1">
      <alignment horizontal="center" vertical="center" wrapText="1" readingOrder="1"/>
    </xf>
    <xf numFmtId="167" fontId="146" fillId="50" borderId="235" xfId="0" applyNumberFormat="1" applyFont="1" applyFill="1" applyBorder="1" applyAlignment="1">
      <alignment horizontal="center" vertical="center" wrapText="1" readingOrder="1"/>
    </xf>
    <xf numFmtId="0" fontId="143" fillId="0" borderId="234" xfId="0" applyFont="1" applyBorder="1" applyAlignment="1">
      <alignment vertical="center" wrapText="1"/>
    </xf>
    <xf numFmtId="3" fontId="145" fillId="50" borderId="233" xfId="0" applyNumberFormat="1" applyFont="1" applyFill="1" applyBorder="1" applyAlignment="1">
      <alignment horizontal="center" vertical="center" wrapText="1" readingOrder="1"/>
    </xf>
    <xf numFmtId="3" fontId="146" fillId="50" borderId="233" xfId="0" applyNumberFormat="1" applyFont="1" applyFill="1" applyBorder="1" applyAlignment="1">
      <alignment horizontal="center" vertical="center" wrapText="1" readingOrder="1"/>
    </xf>
    <xf numFmtId="3" fontId="146" fillId="50" borderId="236" xfId="0" applyNumberFormat="1" applyFont="1" applyFill="1" applyBorder="1" applyAlignment="1">
      <alignment horizontal="center" vertical="center" wrapText="1" readingOrder="1"/>
    </xf>
    <xf numFmtId="0" fontId="74" fillId="0" borderId="0" xfId="50" applyFont="1"/>
    <xf numFmtId="1" fontId="74" fillId="0" borderId="0" xfId="50" applyNumberFormat="1" applyFont="1"/>
    <xf numFmtId="0" fontId="148" fillId="6" borderId="226" xfId="63" applyFont="1" applyFill="1"/>
    <xf numFmtId="0" fontId="148" fillId="6" borderId="226" xfId="63" applyFont="1" applyFill="1" applyAlignment="1">
      <alignment horizontal="center" vertical="center" wrapText="1"/>
    </xf>
    <xf numFmtId="0" fontId="74" fillId="4" borderId="0" xfId="5" applyFont="1"/>
    <xf numFmtId="164" fontId="79" fillId="5" borderId="0" xfId="41" applyFont="1" applyFill="1"/>
    <xf numFmtId="164" fontId="79" fillId="7" borderId="0" xfId="41" applyFont="1" applyFill="1"/>
    <xf numFmtId="171" fontId="74" fillId="3" borderId="0" xfId="3" applyNumberFormat="1" applyFont="1"/>
    <xf numFmtId="164" fontId="79" fillId="8" borderId="0" xfId="41" applyFont="1" applyFill="1"/>
    <xf numFmtId="164" fontId="74" fillId="2" borderId="0" xfId="1" applyNumberFormat="1" applyFont="1"/>
    <xf numFmtId="164" fontId="79" fillId="9" borderId="0" xfId="41" applyFont="1" applyFill="1"/>
    <xf numFmtId="164" fontId="74" fillId="43" borderId="0" xfId="11" applyNumberFormat="1" applyFont="1"/>
    <xf numFmtId="164" fontId="149" fillId="9" borderId="0" xfId="41" applyFont="1" applyFill="1"/>
    <xf numFmtId="164" fontId="150" fillId="9" borderId="0" xfId="41" applyFont="1" applyFill="1"/>
    <xf numFmtId="0" fontId="76" fillId="6" borderId="227" xfId="66" applyFont="1" applyFill="1"/>
    <xf numFmtId="164" fontId="76" fillId="6" borderId="227" xfId="66" applyNumberFormat="1" applyFont="1" applyFill="1"/>
    <xf numFmtId="171" fontId="76" fillId="6" borderId="227" xfId="66" applyNumberFormat="1" applyFont="1" applyFill="1"/>
    <xf numFmtId="0" fontId="79" fillId="0" borderId="0" xfId="50" applyFont="1"/>
    <xf numFmtId="0" fontId="142" fillId="6" borderId="226" xfId="63" applyFont="1" applyFill="1" applyAlignment="1">
      <alignment horizontal="center" vertical="center" wrapText="1"/>
    </xf>
    <xf numFmtId="171" fontId="79" fillId="3" borderId="0" xfId="3" applyNumberFormat="1" applyFont="1"/>
    <xf numFmtId="164" fontId="79" fillId="2" borderId="0" xfId="1" applyNumberFormat="1" applyFont="1"/>
    <xf numFmtId="164" fontId="91" fillId="9" borderId="0" xfId="41" applyFont="1" applyFill="1"/>
    <xf numFmtId="164" fontId="79" fillId="43" borderId="0" xfId="11" applyNumberFormat="1" applyFont="1"/>
    <xf numFmtId="164" fontId="93" fillId="6" borderId="227" xfId="66" applyNumberFormat="1" applyFont="1" applyFill="1"/>
    <xf numFmtId="171" fontId="93" fillId="6" borderId="227" xfId="66" applyNumberFormat="1" applyFont="1" applyFill="1"/>
    <xf numFmtId="0" fontId="151" fillId="34" borderId="0" xfId="50" applyFont="1" applyFill="1"/>
    <xf numFmtId="0" fontId="151" fillId="0" borderId="0" xfId="50" applyFont="1"/>
    <xf numFmtId="0" fontId="74" fillId="0" borderId="0" xfId="50" applyFont="1" applyAlignment="1">
      <alignment horizontal="center"/>
    </xf>
    <xf numFmtId="164" fontId="74" fillId="0" borderId="0" xfId="50" applyNumberFormat="1" applyFont="1"/>
    <xf numFmtId="0" fontId="79" fillId="0" borderId="11" xfId="50" applyFont="1" applyBorder="1"/>
    <xf numFmtId="0" fontId="142" fillId="0" borderId="11" xfId="63" applyFont="1" applyFill="1" applyBorder="1" applyAlignment="1">
      <alignment horizontal="center" vertical="center" wrapText="1"/>
    </xf>
    <xf numFmtId="0" fontId="93" fillId="0" borderId="11" xfId="50" applyFont="1" applyBorder="1"/>
    <xf numFmtId="4" fontId="74" fillId="0" borderId="11" xfId="50" applyNumberFormat="1" applyFont="1" applyBorder="1"/>
    <xf numFmtId="4" fontId="79" fillId="0" borderId="11" xfId="0" applyNumberFormat="1" applyFont="1" applyBorder="1" applyAlignment="1">
      <alignment horizontal="right" vertical="top" wrapText="1"/>
    </xf>
    <xf numFmtId="3" fontId="79" fillId="0" borderId="11" xfId="50" applyNumberFormat="1" applyFont="1" applyBorder="1"/>
    <xf numFmtId="3" fontId="93" fillId="0" borderId="11" xfId="50" applyNumberFormat="1" applyFont="1" applyBorder="1" applyAlignment="1">
      <alignment horizontal="center"/>
    </xf>
    <xf numFmtId="3" fontId="93" fillId="0" borderId="11" xfId="51" applyNumberFormat="1" applyFont="1" applyBorder="1" applyAlignment="1">
      <alignment horizontal="center"/>
    </xf>
    <xf numFmtId="0" fontId="93" fillId="0" borderId="11" xfId="51" applyFont="1" applyBorder="1"/>
    <xf numFmtId="0" fontId="93" fillId="0" borderId="0" xfId="51" applyFont="1"/>
    <xf numFmtId="164" fontId="93" fillId="0" borderId="11" xfId="51" applyNumberFormat="1" applyFont="1" applyBorder="1"/>
    <xf numFmtId="171" fontId="93" fillId="0" borderId="11" xfId="51" applyNumberFormat="1" applyFont="1" applyBorder="1"/>
    <xf numFmtId="1" fontId="93" fillId="0" borderId="11" xfId="51" applyNumberFormat="1" applyFont="1" applyBorder="1" applyAlignment="1">
      <alignment horizontal="center"/>
    </xf>
    <xf numFmtId="0" fontId="66" fillId="0" borderId="0" xfId="0" applyFont="1" applyAlignment="1">
      <alignment horizontal="center"/>
    </xf>
    <xf numFmtId="0" fontId="72" fillId="51" borderId="11" xfId="0" applyFont="1" applyFill="1" applyBorder="1" applyAlignment="1">
      <alignment horizontal="center"/>
    </xf>
    <xf numFmtId="0" fontId="69" fillId="49" borderId="23" xfId="0" applyFont="1" applyFill="1" applyBorder="1" applyAlignment="1">
      <alignment horizontal="center"/>
    </xf>
    <xf numFmtId="0" fontId="66" fillId="51" borderId="0" xfId="0" applyFont="1" applyFill="1" applyAlignment="1">
      <alignment horizontal="center"/>
    </xf>
    <xf numFmtId="171" fontId="66" fillId="0" borderId="11" xfId="38" applyNumberFormat="1" applyFont="1" applyBorder="1" applyAlignment="1">
      <alignment horizontal="center"/>
    </xf>
    <xf numFmtId="171" fontId="93" fillId="0" borderId="11" xfId="38" applyNumberFormat="1" applyFont="1" applyFill="1" applyBorder="1" applyAlignment="1">
      <alignment horizontal="center"/>
    </xf>
    <xf numFmtId="176" fontId="72" fillId="27" borderId="38" xfId="0" applyNumberFormat="1" applyFont="1" applyFill="1" applyBorder="1" applyAlignment="1">
      <alignment horizontal="center" vertical="center"/>
    </xf>
    <xf numFmtId="176" fontId="70" fillId="26" borderId="15" xfId="0" applyNumberFormat="1" applyFont="1" applyFill="1" applyBorder="1" applyAlignment="1">
      <alignment horizontal="center" vertical="center"/>
    </xf>
    <xf numFmtId="181" fontId="77" fillId="0" borderId="0" xfId="3" applyNumberFormat="1" applyFont="1" applyFill="1"/>
    <xf numFmtId="181" fontId="75" fillId="0" borderId="0" xfId="3" applyNumberFormat="1" applyFont="1" applyFill="1"/>
    <xf numFmtId="4" fontId="66" fillId="53" borderId="239" xfId="0" applyNumberFormat="1" applyFont="1" applyFill="1" applyBorder="1" applyAlignment="1">
      <alignment horizontal="right"/>
    </xf>
    <xf numFmtId="0" fontId="121" fillId="0" borderId="165" xfId="0" applyFont="1" applyBorder="1"/>
    <xf numFmtId="168" fontId="97" fillId="0" borderId="165" xfId="43" applyNumberFormat="1" applyFont="1" applyFill="1" applyBorder="1" applyAlignment="1">
      <alignment horizontal="center" vertical="center"/>
    </xf>
    <xf numFmtId="168" fontId="121" fillId="0" borderId="165" xfId="43" applyNumberFormat="1" applyFont="1" applyFill="1" applyBorder="1" applyAlignment="1"/>
    <xf numFmtId="168" fontId="121" fillId="0" borderId="165" xfId="43" applyNumberFormat="1" applyFont="1" applyFill="1" applyBorder="1" applyAlignment="1">
      <alignment horizontal="center"/>
    </xf>
    <xf numFmtId="176" fontId="70" fillId="0" borderId="0" xfId="0" applyNumberFormat="1" applyFont="1" applyAlignment="1">
      <alignment horizontal="center" vertical="center"/>
    </xf>
    <xf numFmtId="176" fontId="72" fillId="25" borderId="23" xfId="0" applyNumberFormat="1" applyFont="1" applyFill="1" applyBorder="1" applyAlignment="1">
      <alignment horizontal="center" vertical="center"/>
    </xf>
    <xf numFmtId="176" fontId="72" fillId="27" borderId="34" xfId="0" applyNumberFormat="1" applyFont="1" applyFill="1" applyBorder="1" applyAlignment="1">
      <alignment horizontal="center" vertical="center"/>
    </xf>
    <xf numFmtId="176" fontId="72" fillId="25" borderId="11" xfId="0" applyNumberFormat="1" applyFont="1" applyFill="1" applyBorder="1" applyAlignment="1">
      <alignment horizontal="center" vertical="center"/>
    </xf>
    <xf numFmtId="176" fontId="72" fillId="27" borderId="50" xfId="0" applyNumberFormat="1" applyFont="1" applyFill="1" applyBorder="1" applyAlignment="1">
      <alignment horizontal="center" vertical="center"/>
    </xf>
    <xf numFmtId="176" fontId="72" fillId="27" borderId="40" xfId="0" applyNumberFormat="1" applyFont="1" applyFill="1" applyBorder="1" applyAlignment="1">
      <alignment horizontal="center" vertical="center"/>
    </xf>
    <xf numFmtId="176" fontId="72" fillId="25" borderId="22" xfId="0" applyNumberFormat="1" applyFont="1" applyFill="1" applyBorder="1" applyAlignment="1">
      <alignment horizontal="center" vertical="center"/>
    </xf>
    <xf numFmtId="176" fontId="72" fillId="27" borderId="37" xfId="0" applyNumberFormat="1" applyFont="1" applyFill="1" applyBorder="1" applyAlignment="1">
      <alignment horizontal="center" vertical="center"/>
    </xf>
    <xf numFmtId="176" fontId="93" fillId="0" borderId="0" xfId="0" applyNumberFormat="1" applyFont="1" applyAlignment="1">
      <alignment horizontal="center" vertical="center"/>
    </xf>
    <xf numFmtId="176" fontId="79" fillId="0" borderId="0" xfId="0" applyNumberFormat="1" applyFont="1" applyAlignment="1">
      <alignment horizontal="center" vertical="center"/>
    </xf>
    <xf numFmtId="176" fontId="72" fillId="27" borderId="41" xfId="0" applyNumberFormat="1" applyFont="1" applyFill="1" applyBorder="1" applyAlignment="1">
      <alignment horizontal="center" vertical="center"/>
    </xf>
    <xf numFmtId="176" fontId="70" fillId="26" borderId="45" xfId="0" applyNumberFormat="1" applyFont="1" applyFill="1" applyBorder="1" applyAlignment="1">
      <alignment horizontal="center" vertical="center"/>
    </xf>
    <xf numFmtId="176" fontId="94" fillId="0" borderId="0" xfId="0" applyNumberFormat="1" applyFont="1" applyAlignment="1">
      <alignment horizontal="center" vertical="center"/>
    </xf>
    <xf numFmtId="176" fontId="109" fillId="0" borderId="0" xfId="0" applyNumberFormat="1" applyFont="1"/>
    <xf numFmtId="4" fontId="79" fillId="0" borderId="91" xfId="0" applyNumberFormat="1" applyFont="1" applyBorder="1" applyAlignment="1">
      <alignment horizontal="center" vertical="center" wrapText="1"/>
    </xf>
    <xf numFmtId="4" fontId="66" fillId="24" borderId="0" xfId="0" applyNumberFormat="1" applyFont="1" applyFill="1" applyAlignment="1">
      <alignment vertical="center" wrapText="1"/>
    </xf>
    <xf numFmtId="4" fontId="91" fillId="24" borderId="0" xfId="0" applyNumberFormat="1" applyFont="1" applyFill="1" applyAlignment="1">
      <alignment vertical="center" wrapText="1"/>
    </xf>
    <xf numFmtId="4" fontId="79" fillId="0" borderId="0" xfId="0" applyNumberFormat="1" applyFont="1" applyAlignment="1">
      <alignment vertical="center" wrapText="1"/>
    </xf>
    <xf numFmtId="4" fontId="91" fillId="0" borderId="0" xfId="0" applyNumberFormat="1" applyFont="1" applyAlignment="1">
      <alignment vertical="center" wrapText="1"/>
    </xf>
    <xf numFmtId="166" fontId="106" fillId="51" borderId="26" xfId="0" applyNumberFormat="1" applyFont="1" applyFill="1" applyBorder="1" applyAlignment="1">
      <alignment horizontal="center" vertical="center"/>
    </xf>
    <xf numFmtId="166" fontId="106" fillId="51" borderId="27" xfId="0" applyNumberFormat="1" applyFont="1" applyFill="1" applyBorder="1" applyAlignment="1">
      <alignment horizontal="center" vertical="center"/>
    </xf>
    <xf numFmtId="166" fontId="106" fillId="51" borderId="28" xfId="0" applyNumberFormat="1" applyFont="1" applyFill="1" applyBorder="1" applyAlignment="1">
      <alignment horizontal="center" vertical="center"/>
    </xf>
    <xf numFmtId="167" fontId="77" fillId="55" borderId="241" xfId="0" applyNumberFormat="1" applyFont="1" applyFill="1" applyBorder="1" applyAlignment="1">
      <alignment horizontal="center" vertical="center"/>
    </xf>
    <xf numFmtId="167" fontId="77" fillId="55" borderId="242" xfId="0" applyNumberFormat="1" applyFont="1" applyFill="1" applyBorder="1" applyAlignment="1">
      <alignment horizontal="center" vertical="center"/>
    </xf>
    <xf numFmtId="167" fontId="77" fillId="55" borderId="37" xfId="0" applyNumberFormat="1" applyFont="1" applyFill="1" applyBorder="1" applyAlignment="1">
      <alignment horizontal="center" vertical="center"/>
    </xf>
    <xf numFmtId="167" fontId="77" fillId="55" borderId="38" xfId="0" applyNumberFormat="1" applyFont="1" applyFill="1" applyBorder="1" applyAlignment="1">
      <alignment horizontal="center" vertical="center"/>
    </xf>
    <xf numFmtId="0" fontId="69" fillId="49" borderId="198" xfId="0" applyFont="1" applyFill="1" applyBorder="1" applyAlignment="1">
      <alignment horizontal="center" vertical="center"/>
    </xf>
    <xf numFmtId="0" fontId="69" fillId="49" borderId="25" xfId="0" applyFont="1" applyFill="1" applyBorder="1" applyAlignment="1">
      <alignment horizontal="center" vertical="center"/>
    </xf>
    <xf numFmtId="171" fontId="79" fillId="0" borderId="95" xfId="38" applyNumberFormat="1" applyFont="1" applyFill="1" applyBorder="1" applyAlignment="1">
      <alignment vertical="center"/>
    </xf>
    <xf numFmtId="171" fontId="93" fillId="0" borderId="104" xfId="38" applyNumberFormat="1" applyFont="1" applyFill="1" applyBorder="1" applyAlignment="1">
      <alignment horizontal="center" vertical="center"/>
    </xf>
    <xf numFmtId="166" fontId="106" fillId="0" borderId="26" xfId="0" applyNumberFormat="1" applyFont="1" applyBorder="1" applyAlignment="1">
      <alignment horizontal="center" vertical="center"/>
    </xf>
    <xf numFmtId="166" fontId="106" fillId="0" borderId="27" xfId="0" applyNumberFormat="1" applyFont="1" applyBorder="1" applyAlignment="1">
      <alignment horizontal="center" vertical="center"/>
    </xf>
    <xf numFmtId="166" fontId="106" fillId="0" borderId="28" xfId="0" applyNumberFormat="1" applyFont="1" applyBorder="1" applyAlignment="1">
      <alignment horizontal="center" vertical="center"/>
    </xf>
    <xf numFmtId="176" fontId="72" fillId="27" borderId="49" xfId="0" applyNumberFormat="1" applyFont="1" applyFill="1" applyBorder="1" applyAlignment="1">
      <alignment horizontal="center" vertical="center"/>
    </xf>
    <xf numFmtId="173" fontId="66" fillId="0" borderId="28" xfId="0" applyNumberFormat="1" applyFont="1" applyBorder="1" applyAlignment="1">
      <alignment horizontal="center" vertical="center"/>
    </xf>
    <xf numFmtId="184" fontId="66" fillId="0" borderId="0" xfId="0" applyNumberFormat="1" applyFont="1" applyAlignment="1">
      <alignment horizontal="center" vertical="center"/>
    </xf>
    <xf numFmtId="173" fontId="66" fillId="0" borderId="27" xfId="0" applyNumberFormat="1" applyFont="1" applyBorder="1" applyAlignment="1">
      <alignment horizontal="center" vertical="center"/>
    </xf>
    <xf numFmtId="179" fontId="66" fillId="0" borderId="0" xfId="0" applyNumberFormat="1" applyFont="1" applyAlignment="1">
      <alignment horizontal="center" vertical="center"/>
    </xf>
    <xf numFmtId="175" fontId="72" fillId="29" borderId="85" xfId="38" applyNumberFormat="1" applyFont="1" applyFill="1" applyBorder="1" applyAlignment="1">
      <alignment horizontal="center" vertical="center" wrapText="1"/>
    </xf>
    <xf numFmtId="176" fontId="70" fillId="26" borderId="29" xfId="0" applyNumberFormat="1" applyFont="1" applyFill="1" applyBorder="1" applyAlignment="1">
      <alignment horizontal="center" vertical="center"/>
    </xf>
    <xf numFmtId="176" fontId="70" fillId="26" borderId="31" xfId="0" applyNumberFormat="1" applyFont="1" applyFill="1" applyBorder="1" applyAlignment="1">
      <alignment horizontal="center" vertical="center"/>
    </xf>
    <xf numFmtId="176" fontId="70" fillId="26" borderId="32" xfId="0" applyNumberFormat="1" applyFont="1" applyFill="1" applyBorder="1" applyAlignment="1">
      <alignment horizontal="center" vertical="center"/>
    </xf>
    <xf numFmtId="176" fontId="72" fillId="27" borderId="35" xfId="0" applyNumberFormat="1" applyFont="1" applyFill="1" applyBorder="1" applyAlignment="1">
      <alignment horizontal="center" vertical="center"/>
    </xf>
    <xf numFmtId="176" fontId="72" fillId="27" borderId="48" xfId="0" applyNumberFormat="1" applyFont="1" applyFill="1" applyBorder="1" applyAlignment="1">
      <alignment horizontal="center" vertical="center"/>
    </xf>
    <xf numFmtId="2" fontId="66" fillId="0" borderId="26" xfId="0" applyNumberFormat="1" applyFont="1" applyBorder="1" applyAlignment="1">
      <alignment horizontal="center" vertical="center"/>
    </xf>
    <xf numFmtId="168" fontId="121" fillId="0" borderId="245" xfId="43" applyNumberFormat="1" applyFont="1" applyFill="1" applyBorder="1" applyAlignment="1">
      <alignment horizontal="center"/>
    </xf>
    <xf numFmtId="176" fontId="72" fillId="27" borderId="51" xfId="0" applyNumberFormat="1" applyFont="1" applyFill="1" applyBorder="1" applyAlignment="1">
      <alignment horizontal="center" vertical="center"/>
    </xf>
    <xf numFmtId="176" fontId="72" fillId="27" borderId="52" xfId="0" applyNumberFormat="1" applyFont="1" applyFill="1" applyBorder="1" applyAlignment="1">
      <alignment horizontal="center" vertical="center"/>
    </xf>
    <xf numFmtId="168" fontId="97" fillId="0" borderId="0" xfId="0" applyNumberFormat="1" applyFont="1" applyAlignment="1">
      <alignment horizontal="center"/>
    </xf>
    <xf numFmtId="168" fontId="66" fillId="0" borderId="0" xfId="0" applyNumberFormat="1" applyFont="1" applyAlignment="1">
      <alignment horizontal="center" vertical="center"/>
    </xf>
    <xf numFmtId="176" fontId="109" fillId="0" borderId="0" xfId="0" applyNumberFormat="1" applyFont="1" applyAlignment="1">
      <alignment horizontal="right" vertical="top" wrapText="1"/>
    </xf>
    <xf numFmtId="184" fontId="72" fillId="25" borderId="22" xfId="0" applyNumberFormat="1" applyFont="1" applyFill="1" applyBorder="1" applyAlignment="1">
      <alignment horizontal="center" vertical="center"/>
    </xf>
    <xf numFmtId="184" fontId="66" fillId="0" borderId="26" xfId="0" applyNumberFormat="1" applyFont="1" applyBorder="1" applyAlignment="1">
      <alignment horizontal="center" vertical="center"/>
    </xf>
    <xf numFmtId="184" fontId="70" fillId="26" borderId="30" xfId="0" applyNumberFormat="1" applyFont="1" applyFill="1" applyBorder="1" applyAlignment="1">
      <alignment horizontal="center" vertical="center"/>
    </xf>
    <xf numFmtId="184" fontId="93" fillId="0" borderId="0" xfId="0" applyNumberFormat="1" applyFont="1" applyAlignment="1">
      <alignment horizontal="center" vertical="center"/>
    </xf>
    <xf numFmtId="184" fontId="70" fillId="0" borderId="0" xfId="0" applyNumberFormat="1" applyFont="1" applyAlignment="1">
      <alignment horizontal="center" vertical="center"/>
    </xf>
    <xf numFmtId="184" fontId="109" fillId="0" borderId="0" xfId="0" applyNumberFormat="1" applyFont="1" applyAlignment="1">
      <alignment horizontal="right" vertical="top" wrapText="1"/>
    </xf>
    <xf numFmtId="184" fontId="72" fillId="0" borderId="0" xfId="0" applyNumberFormat="1" applyFont="1" applyAlignment="1">
      <alignment horizontal="center" vertical="center"/>
    </xf>
    <xf numFmtId="184" fontId="79" fillId="0" borderId="0" xfId="0" applyNumberFormat="1" applyFont="1" applyAlignment="1">
      <alignment horizontal="center" vertical="center"/>
    </xf>
    <xf numFmtId="167" fontId="72" fillId="62" borderId="0" xfId="38" applyNumberFormat="1" applyFont="1" applyFill="1" applyBorder="1" applyAlignment="1">
      <alignment horizontal="center" vertical="center" wrapText="1"/>
    </xf>
    <xf numFmtId="1" fontId="66" fillId="0" borderId="26" xfId="0" applyNumberFormat="1" applyFont="1" applyBorder="1" applyAlignment="1">
      <alignment horizontal="center" vertical="center"/>
    </xf>
    <xf numFmtId="1" fontId="70" fillId="26" borderId="30" xfId="0" applyNumberFormat="1" applyFont="1" applyFill="1" applyBorder="1" applyAlignment="1">
      <alignment horizontal="center" vertical="center"/>
    </xf>
    <xf numFmtId="164" fontId="66" fillId="51" borderId="238" xfId="38" applyFont="1" applyFill="1" applyBorder="1"/>
    <xf numFmtId="164" fontId="66" fillId="51" borderId="238" xfId="38" applyFont="1" applyFill="1" applyBorder="1" applyAlignment="1">
      <alignment horizontal="center"/>
    </xf>
    <xf numFmtId="164" fontId="66" fillId="51" borderId="240" xfId="38" applyFont="1" applyFill="1" applyBorder="1"/>
    <xf numFmtId="164" fontId="66" fillId="53" borderId="239" xfId="38" applyFont="1" applyFill="1" applyBorder="1"/>
    <xf numFmtId="171" fontId="66" fillId="0" borderId="11" xfId="38" applyNumberFormat="1" applyFont="1" applyFill="1" applyBorder="1" applyAlignment="1"/>
    <xf numFmtId="171" fontId="66" fillId="0" borderId="11" xfId="38" applyNumberFormat="1" applyFont="1" applyFill="1" applyBorder="1" applyAlignment="1">
      <alignment horizontal="center"/>
    </xf>
    <xf numFmtId="165" fontId="72" fillId="0" borderId="11" xfId="43" applyFont="1" applyFill="1" applyBorder="1" applyAlignment="1">
      <alignment horizontal="center"/>
    </xf>
    <xf numFmtId="171" fontId="72" fillId="0" borderId="11" xfId="38" applyNumberFormat="1" applyFont="1" applyFill="1" applyBorder="1" applyAlignment="1">
      <alignment horizontal="center"/>
    </xf>
    <xf numFmtId="173" fontId="72" fillId="0" borderId="27" xfId="0" applyNumberFormat="1" applyFont="1" applyBorder="1" applyAlignment="1">
      <alignment horizontal="center" vertical="center"/>
    </xf>
    <xf numFmtId="171" fontId="79" fillId="0" borderId="11" xfId="38" applyNumberFormat="1" applyFont="1" applyFill="1" applyBorder="1" applyAlignment="1">
      <alignment horizontal="center" vertical="center"/>
    </xf>
    <xf numFmtId="176" fontId="105" fillId="0" borderId="0" xfId="0" applyNumberFormat="1" applyFont="1" applyAlignment="1">
      <alignment vertical="center"/>
    </xf>
    <xf numFmtId="0" fontId="129" fillId="0" borderId="0" xfId="47" applyFont="1" applyAlignment="1">
      <alignment horizontal="center"/>
    </xf>
    <xf numFmtId="0" fontId="129" fillId="0" borderId="145" xfId="47" applyFont="1" applyBorder="1" applyAlignment="1">
      <alignment horizontal="center"/>
    </xf>
    <xf numFmtId="0" fontId="68" fillId="49" borderId="246" xfId="47" applyFont="1" applyFill="1" applyBorder="1"/>
    <xf numFmtId="0" fontId="68" fillId="49" borderId="247" xfId="47" applyFont="1" applyFill="1" applyBorder="1"/>
    <xf numFmtId="0" fontId="68" fillId="49" borderId="252" xfId="47" applyFont="1" applyFill="1" applyBorder="1" applyAlignment="1">
      <alignment horizontal="center" vertical="center" wrapText="1"/>
    </xf>
    <xf numFmtId="0" fontId="68" fillId="49" borderId="253" xfId="47" applyFont="1" applyFill="1" applyBorder="1" applyAlignment="1">
      <alignment horizontal="center" vertical="center" wrapText="1"/>
    </xf>
    <xf numFmtId="0" fontId="129" fillId="0" borderId="145" xfId="47" applyFont="1" applyBorder="1" applyAlignment="1">
      <alignment horizontal="center" vertical="center"/>
    </xf>
    <xf numFmtId="0" fontId="69" fillId="49" borderId="246" xfId="47" applyFont="1" applyFill="1" applyBorder="1" applyAlignment="1">
      <alignment horizontal="center" vertical="center"/>
    </xf>
    <xf numFmtId="0" fontId="69" fillId="49" borderId="247" xfId="47" applyFont="1" applyFill="1" applyBorder="1" applyAlignment="1">
      <alignment horizontal="center" vertical="center"/>
    </xf>
    <xf numFmtId="0" fontId="69" fillId="49" borderId="254" xfId="47" applyFont="1" applyFill="1" applyBorder="1" applyAlignment="1">
      <alignment horizontal="center"/>
    </xf>
    <xf numFmtId="0" fontId="69" fillId="49" borderId="246" xfId="47" applyFont="1" applyFill="1" applyBorder="1" applyAlignment="1">
      <alignment horizontal="center"/>
    </xf>
    <xf numFmtId="0" fontId="69" fillId="49" borderId="255" xfId="47" applyFont="1" applyFill="1" applyBorder="1" applyAlignment="1">
      <alignment horizontal="center"/>
    </xf>
    <xf numFmtId="0" fontId="69" fillId="49" borderId="256" xfId="47" applyFont="1" applyFill="1" applyBorder="1" applyAlignment="1">
      <alignment horizontal="center"/>
    </xf>
    <xf numFmtId="0" fontId="69" fillId="49" borderId="257" xfId="47" applyFont="1" applyFill="1" applyBorder="1" applyAlignment="1">
      <alignment horizontal="center"/>
    </xf>
    <xf numFmtId="0" fontId="69" fillId="49" borderId="258" xfId="47" applyFont="1" applyFill="1" applyBorder="1" applyAlignment="1">
      <alignment horizontal="center"/>
    </xf>
    <xf numFmtId="0" fontId="68" fillId="49" borderId="259" xfId="47" applyFont="1" applyFill="1" applyBorder="1" applyAlignment="1">
      <alignment horizontal="center"/>
    </xf>
    <xf numFmtId="0" fontId="68" fillId="49" borderId="246" xfId="47" applyFont="1" applyFill="1" applyBorder="1" applyAlignment="1">
      <alignment horizontal="center"/>
    </xf>
    <xf numFmtId="0" fontId="68" fillId="49" borderId="255" xfId="47" applyFont="1" applyFill="1" applyBorder="1" applyAlignment="1">
      <alignment horizontal="center"/>
    </xf>
    <xf numFmtId="0" fontId="68" fillId="49" borderId="254" xfId="47" applyFont="1" applyFill="1" applyBorder="1" applyAlignment="1">
      <alignment horizontal="center"/>
    </xf>
    <xf numFmtId="0" fontId="68" fillId="49" borderId="260" xfId="47" applyFont="1" applyFill="1" applyBorder="1" applyAlignment="1">
      <alignment horizontal="center"/>
    </xf>
    <xf numFmtId="0" fontId="66" fillId="0" borderId="247" xfId="47" applyFont="1" applyBorder="1"/>
    <xf numFmtId="4" fontId="74" fillId="0" borderId="254" xfId="47" applyNumberFormat="1" applyFont="1" applyBorder="1"/>
    <xf numFmtId="4" fontId="74" fillId="0" borderId="246" xfId="47" applyNumberFormat="1" applyFont="1" applyBorder="1"/>
    <xf numFmtId="4" fontId="74" fillId="0" borderId="255" xfId="47" applyNumberFormat="1" applyFont="1" applyBorder="1"/>
    <xf numFmtId="4" fontId="74" fillId="0" borderId="256" xfId="47" applyNumberFormat="1" applyFont="1" applyBorder="1"/>
    <xf numFmtId="4" fontId="74" fillId="0" borderId="257" xfId="47" applyNumberFormat="1" applyFont="1" applyBorder="1"/>
    <xf numFmtId="4" fontId="74" fillId="0" borderId="258" xfId="47" applyNumberFormat="1" applyFont="1" applyBorder="1"/>
    <xf numFmtId="167" fontId="66" fillId="0" borderId="254" xfId="47" applyNumberFormat="1" applyFont="1" applyBorder="1"/>
    <xf numFmtId="167" fontId="66" fillId="0" borderId="246" xfId="47" applyNumberFormat="1" applyFont="1" applyBorder="1"/>
    <xf numFmtId="167" fontId="66" fillId="0" borderId="255" xfId="47" applyNumberFormat="1" applyFont="1" applyBorder="1"/>
    <xf numFmtId="167" fontId="66" fillId="0" borderId="260" xfId="47" applyNumberFormat="1" applyFont="1" applyBorder="1"/>
    <xf numFmtId="0" fontId="133" fillId="36" borderId="145" xfId="47" applyFont="1" applyFill="1" applyBorder="1" applyAlignment="1">
      <alignment horizontal="center"/>
    </xf>
    <xf numFmtId="0" fontId="69" fillId="49" borderId="247" xfId="47" applyFont="1" applyFill="1" applyBorder="1" applyAlignment="1">
      <alignment horizontal="left"/>
    </xf>
    <xf numFmtId="4" fontId="68" fillId="49" borderId="254" xfId="47" applyNumberFormat="1" applyFont="1" applyFill="1" applyBorder="1"/>
    <xf numFmtId="4" fontId="68" fillId="49" borderId="246" xfId="47" applyNumberFormat="1" applyFont="1" applyFill="1" applyBorder="1"/>
    <xf numFmtId="4" fontId="68" fillId="49" borderId="255" xfId="47" applyNumberFormat="1" applyFont="1" applyFill="1" applyBorder="1"/>
    <xf numFmtId="4" fontId="68" fillId="49" borderId="256" xfId="47" applyNumberFormat="1" applyFont="1" applyFill="1" applyBorder="1"/>
    <xf numFmtId="4" fontId="68" fillId="49" borderId="257" xfId="47" applyNumberFormat="1" applyFont="1" applyFill="1" applyBorder="1"/>
    <xf numFmtId="4" fontId="68" fillId="49" borderId="258" xfId="47" applyNumberFormat="1" applyFont="1" applyFill="1" applyBorder="1"/>
    <xf numFmtId="4" fontId="68" fillId="49" borderId="260" xfId="47" applyNumberFormat="1" applyFont="1" applyFill="1" applyBorder="1"/>
    <xf numFmtId="167" fontId="68" fillId="49" borderId="254" xfId="47" applyNumberFormat="1" applyFont="1" applyFill="1" applyBorder="1"/>
    <xf numFmtId="167" fontId="68" fillId="49" borderId="246" xfId="47" applyNumberFormat="1" applyFont="1" applyFill="1" applyBorder="1"/>
    <xf numFmtId="167" fontId="68" fillId="49" borderId="255" xfId="47" applyNumberFormat="1" applyFont="1" applyFill="1" applyBorder="1"/>
    <xf numFmtId="0" fontId="121" fillId="0" borderId="247" xfId="47" applyFont="1" applyBorder="1"/>
    <xf numFmtId="4" fontId="74" fillId="0" borderId="260" xfId="47" applyNumberFormat="1" applyFont="1" applyBorder="1"/>
    <xf numFmtId="0" fontId="121" fillId="55" borderId="247" xfId="47" applyFont="1" applyFill="1" applyBorder="1"/>
    <xf numFmtId="4" fontId="74" fillId="51" borderId="254" xfId="47" applyNumberFormat="1" applyFont="1" applyFill="1" applyBorder="1"/>
    <xf numFmtId="4" fontId="74" fillId="51" borderId="246" xfId="47" applyNumberFormat="1" applyFont="1" applyFill="1" applyBorder="1"/>
    <xf numFmtId="0" fontId="121" fillId="24" borderId="247" xfId="47" applyFont="1" applyFill="1" applyBorder="1"/>
    <xf numFmtId="0" fontId="121" fillId="0" borderId="0" xfId="47" applyFont="1"/>
    <xf numFmtId="0" fontId="121" fillId="0" borderId="46" xfId="47" applyFont="1" applyBorder="1"/>
    <xf numFmtId="0" fontId="66" fillId="0" borderId="268" xfId="47" applyFont="1" applyBorder="1"/>
    <xf numFmtId="0" fontId="66" fillId="0" borderId="269" xfId="47" applyFont="1" applyBorder="1"/>
    <xf numFmtId="0" fontId="97" fillId="0" borderId="62" xfId="47" applyFont="1" applyBorder="1" applyAlignment="1">
      <alignment horizontal="center"/>
    </xf>
    <xf numFmtId="4" fontId="68" fillId="49" borderId="270" xfId="47" applyNumberFormat="1" applyFont="1" applyFill="1" applyBorder="1"/>
    <xf numFmtId="4" fontId="68" fillId="49" borderId="271" xfId="47" applyNumberFormat="1" applyFont="1" applyFill="1" applyBorder="1"/>
    <xf numFmtId="4" fontId="68" fillId="49" borderId="272" xfId="47" applyNumberFormat="1" applyFont="1" applyFill="1" applyBorder="1"/>
    <xf numFmtId="4" fontId="68" fillId="49" borderId="273" xfId="47" applyNumberFormat="1" applyFont="1" applyFill="1" applyBorder="1"/>
    <xf numFmtId="4" fontId="68" fillId="49" borderId="274" xfId="47" applyNumberFormat="1" applyFont="1" applyFill="1" applyBorder="1"/>
    <xf numFmtId="4" fontId="68" fillId="49" borderId="275" xfId="47" applyNumberFormat="1" applyFont="1" applyFill="1" applyBorder="1"/>
    <xf numFmtId="4" fontId="68" fillId="58" borderId="257" xfId="47" applyNumberFormat="1" applyFont="1" applyFill="1" applyBorder="1"/>
    <xf numFmtId="2" fontId="146" fillId="0" borderId="276" xfId="47" applyNumberFormat="1" applyFont="1" applyBorder="1" applyAlignment="1">
      <alignment horizontal="center" vertical="center" wrapText="1"/>
    </xf>
    <xf numFmtId="2" fontId="146" fillId="0" borderId="277" xfId="47" applyNumberFormat="1" applyFont="1" applyBorder="1" applyAlignment="1">
      <alignment horizontal="center" vertical="center" wrapText="1"/>
    </xf>
    <xf numFmtId="0" fontId="121" fillId="44" borderId="247" xfId="47" applyFont="1" applyFill="1" applyBorder="1"/>
    <xf numFmtId="2" fontId="146" fillId="0" borderId="278" xfId="47" applyNumberFormat="1" applyFont="1" applyBorder="1" applyAlignment="1">
      <alignment horizontal="center" vertical="center" wrapText="1"/>
    </xf>
    <xf numFmtId="2" fontId="66" fillId="0" borderId="0" xfId="47" applyNumberFormat="1" applyFont="1"/>
    <xf numFmtId="4" fontId="74" fillId="0" borderId="259" xfId="47" applyNumberFormat="1" applyFont="1" applyBorder="1"/>
    <xf numFmtId="3" fontId="72" fillId="0" borderId="0" xfId="0" applyNumberFormat="1" applyFont="1"/>
    <xf numFmtId="166" fontId="72" fillId="24" borderId="282" xfId="0" applyNumberFormat="1" applyFont="1" applyFill="1" applyBorder="1" applyAlignment="1">
      <alignment horizontal="center" vertical="center" wrapText="1"/>
    </xf>
    <xf numFmtId="166" fontId="72" fillId="24" borderId="283" xfId="0" applyNumberFormat="1" applyFont="1" applyFill="1" applyBorder="1" applyAlignment="1">
      <alignment horizontal="center" vertical="center" wrapText="1"/>
    </xf>
    <xf numFmtId="0" fontId="34" fillId="0" borderId="0" xfId="0" applyFont="1" applyAlignment="1">
      <alignment vertical="center"/>
    </xf>
    <xf numFmtId="0" fontId="35" fillId="0" borderId="0" xfId="0" applyFont="1" applyAlignment="1">
      <alignment horizontal="center" vertical="center" wrapText="1"/>
    </xf>
    <xf numFmtId="0" fontId="97" fillId="0" borderId="140" xfId="47" applyFont="1" applyBorder="1" applyAlignment="1">
      <alignment horizontal="center" vertical="center"/>
    </xf>
    <xf numFmtId="2" fontId="97" fillId="33" borderId="140" xfId="47" applyNumberFormat="1" applyFont="1" applyFill="1" applyBorder="1" applyAlignment="1">
      <alignment horizontal="center"/>
    </xf>
    <xf numFmtId="4" fontId="97" fillId="0" borderId="0" xfId="47" applyNumberFormat="1" applyFont="1"/>
    <xf numFmtId="4" fontId="97" fillId="0" borderId="114" xfId="47" applyNumberFormat="1" applyFont="1" applyBorder="1" applyAlignment="1">
      <alignment horizontal="center"/>
    </xf>
    <xf numFmtId="164" fontId="121" fillId="0" borderId="0" xfId="47" applyNumberFormat="1" applyFont="1"/>
    <xf numFmtId="0" fontId="81" fillId="24" borderId="0" xfId="0" applyFont="1" applyFill="1" applyAlignment="1">
      <alignment horizontal="center" vertical="center" wrapText="1"/>
    </xf>
    <xf numFmtId="166" fontId="72" fillId="24" borderId="284" xfId="0" applyNumberFormat="1" applyFont="1" applyFill="1" applyBorder="1" applyAlignment="1">
      <alignment horizontal="center" vertical="center" wrapText="1"/>
    </xf>
    <xf numFmtId="0" fontId="72" fillId="24" borderId="11" xfId="0" quotePrefix="1" applyFont="1" applyFill="1" applyBorder="1" applyAlignment="1">
      <alignment horizontal="center" vertical="center" wrapText="1"/>
    </xf>
    <xf numFmtId="0" fontId="72" fillId="24" borderId="128" xfId="0" applyFont="1" applyFill="1" applyBorder="1" applyAlignment="1">
      <alignment horizontal="center" vertical="center" wrapText="1"/>
    </xf>
    <xf numFmtId="166" fontId="72" fillId="24" borderId="75" xfId="0" applyNumberFormat="1" applyFont="1" applyFill="1" applyBorder="1" applyAlignment="1">
      <alignment horizontal="center" vertical="center" wrapText="1"/>
    </xf>
    <xf numFmtId="166" fontId="72" fillId="24" borderId="65" xfId="0" applyNumberFormat="1" applyFont="1" applyFill="1" applyBorder="1" applyAlignment="1">
      <alignment horizontal="center" vertical="center" wrapText="1"/>
    </xf>
    <xf numFmtId="0" fontId="72" fillId="24" borderId="95" xfId="0" quotePrefix="1" applyFont="1" applyFill="1" applyBorder="1" applyAlignment="1">
      <alignment horizontal="center" vertical="center" wrapText="1"/>
    </xf>
    <xf numFmtId="0" fontId="105" fillId="0" borderId="0" xfId="167" applyFont="1"/>
    <xf numFmtId="0" fontId="17" fillId="0" borderId="0" xfId="167"/>
    <xf numFmtId="1" fontId="17" fillId="0" borderId="0" xfId="167" applyNumberFormat="1" applyAlignment="1">
      <alignment horizontal="center"/>
    </xf>
    <xf numFmtId="0" fontId="159" fillId="0" borderId="0" xfId="167" applyFont="1"/>
    <xf numFmtId="169" fontId="106" fillId="0" borderId="11" xfId="167" applyNumberFormat="1" applyFont="1" applyBorder="1" applyAlignment="1">
      <alignment horizontal="center" vertical="center"/>
    </xf>
    <xf numFmtId="14" fontId="106" fillId="0" borderId="11" xfId="167" applyNumberFormat="1" applyFont="1" applyBorder="1" applyAlignment="1">
      <alignment horizontal="center" vertical="center"/>
    </xf>
    <xf numFmtId="1" fontId="106" fillId="54" borderId="11" xfId="167" applyNumberFormat="1" applyFont="1" applyFill="1" applyBorder="1" applyAlignment="1">
      <alignment horizontal="center" vertical="center"/>
    </xf>
    <xf numFmtId="0" fontId="108" fillId="0" borderId="11" xfId="167" applyFont="1" applyBorder="1" applyAlignment="1">
      <alignment horizontal="center" vertical="center"/>
    </xf>
    <xf numFmtId="167" fontId="108" fillId="0" borderId="11" xfId="167" applyNumberFormat="1" applyFont="1" applyBorder="1" applyAlignment="1">
      <alignment horizontal="right" vertical="center"/>
    </xf>
    <xf numFmtId="167" fontId="108" fillId="45" borderId="11" xfId="167" applyNumberFormat="1" applyFont="1" applyFill="1" applyBorder="1" applyAlignment="1">
      <alignment horizontal="right" vertical="center"/>
    </xf>
    <xf numFmtId="0" fontId="106" fillId="0" borderId="11" xfId="167" applyFont="1" applyBorder="1" applyAlignment="1">
      <alignment horizontal="center" vertical="center"/>
    </xf>
    <xf numFmtId="0" fontId="106" fillId="53" borderId="11" xfId="167" applyFont="1" applyFill="1" applyBorder="1" applyAlignment="1">
      <alignment vertical="center"/>
    </xf>
    <xf numFmtId="167" fontId="106" fillId="53" borderId="11" xfId="167" applyNumberFormat="1" applyFont="1" applyFill="1" applyBorder="1" applyAlignment="1">
      <alignment horizontal="right" vertical="center"/>
    </xf>
    <xf numFmtId="1" fontId="106" fillId="53" borderId="11" xfId="167" applyNumberFormat="1" applyFont="1" applyFill="1" applyBorder="1" applyAlignment="1">
      <alignment horizontal="center" vertical="center"/>
    </xf>
    <xf numFmtId="1" fontId="17" fillId="63" borderId="11" xfId="167" applyNumberFormat="1" applyFill="1" applyBorder="1" applyAlignment="1">
      <alignment horizontal="center"/>
    </xf>
    <xf numFmtId="0" fontId="106" fillId="44" borderId="11" xfId="167" applyFont="1" applyFill="1" applyBorder="1" applyAlignment="1">
      <alignment vertical="center"/>
    </xf>
    <xf numFmtId="167" fontId="106" fillId="44" borderId="11" xfId="167" applyNumberFormat="1" applyFont="1" applyFill="1" applyBorder="1" applyAlignment="1">
      <alignment horizontal="right" vertical="center"/>
    </xf>
    <xf numFmtId="0" fontId="90" fillId="31" borderId="11" xfId="167" applyFont="1" applyFill="1" applyBorder="1" applyAlignment="1">
      <alignment horizontal="center" vertical="center"/>
    </xf>
    <xf numFmtId="4" fontId="90" fillId="31" borderId="11" xfId="167" applyNumberFormat="1" applyFont="1" applyFill="1" applyBorder="1" applyAlignment="1">
      <alignment horizontal="right" vertical="center"/>
    </xf>
    <xf numFmtId="167" fontId="17" fillId="0" borderId="0" xfId="167" applyNumberFormat="1"/>
    <xf numFmtId="166" fontId="72" fillId="0" borderId="75" xfId="0" applyNumberFormat="1" applyFont="1" applyBorder="1" applyAlignment="1">
      <alignment horizontal="center" vertical="center" wrapText="1"/>
    </xf>
    <xf numFmtId="166" fontId="72" fillId="0" borderId="282" xfId="0" applyNumberFormat="1" applyFont="1" applyBorder="1" applyAlignment="1">
      <alignment horizontal="center" vertical="center" wrapText="1"/>
    </xf>
    <xf numFmtId="4" fontId="72" fillId="45" borderId="0" xfId="167" applyNumberFormat="1" applyFont="1" applyFill="1" applyAlignment="1">
      <alignment horizontal="right" vertical="center"/>
    </xf>
    <xf numFmtId="4" fontId="66" fillId="0" borderId="26" xfId="0" applyNumberFormat="1" applyFont="1" applyBorder="1" applyAlignment="1">
      <alignment horizontal="center" vertical="center"/>
    </xf>
    <xf numFmtId="4" fontId="66" fillId="0" borderId="27" xfId="0" applyNumberFormat="1" applyFont="1" applyBorder="1" applyAlignment="1">
      <alignment horizontal="center" vertical="center"/>
    </xf>
    <xf numFmtId="4" fontId="72" fillId="0" borderId="27" xfId="0" applyNumberFormat="1" applyFont="1" applyBorder="1" applyAlignment="1">
      <alignment horizontal="center" vertical="center"/>
    </xf>
    <xf numFmtId="4" fontId="66" fillId="0" borderId="28" xfId="0" applyNumberFormat="1" applyFont="1" applyBorder="1" applyAlignment="1">
      <alignment horizontal="center" vertical="center"/>
    </xf>
    <xf numFmtId="176" fontId="72" fillId="27" borderId="44" xfId="0" applyNumberFormat="1" applyFont="1" applyFill="1" applyBorder="1" applyAlignment="1">
      <alignment horizontal="center" vertical="center"/>
    </xf>
    <xf numFmtId="2" fontId="72" fillId="0" borderId="75" xfId="0" applyNumberFormat="1" applyFont="1" applyBorder="1" applyAlignment="1">
      <alignment horizontal="center" vertical="center" wrapText="1"/>
    </xf>
    <xf numFmtId="0" fontId="72" fillId="0" borderId="295" xfId="0" applyFont="1" applyBorder="1" applyAlignment="1">
      <alignment vertical="center"/>
    </xf>
    <xf numFmtId="3" fontId="66" fillId="57" borderId="0" xfId="0" applyNumberFormat="1" applyFont="1" applyFill="1" applyAlignment="1">
      <alignment horizontal="center" vertical="center"/>
    </xf>
    <xf numFmtId="166" fontId="158" fillId="0" borderId="3" xfId="0" applyNumberFormat="1" applyFont="1" applyBorder="1" applyAlignment="1">
      <alignment horizontal="center" vertical="center" wrapText="1"/>
    </xf>
    <xf numFmtId="167" fontId="158" fillId="0" borderId="3" xfId="0" applyNumberFormat="1" applyFont="1" applyBorder="1" applyAlignment="1">
      <alignment horizontal="center" vertical="center" wrapText="1"/>
    </xf>
    <xf numFmtId="171" fontId="66" fillId="0" borderId="26" xfId="38" applyNumberFormat="1" applyFont="1" applyBorder="1" applyAlignment="1">
      <alignment horizontal="center" vertical="center"/>
    </xf>
    <xf numFmtId="166" fontId="66" fillId="44" borderId="28" xfId="0" applyNumberFormat="1" applyFont="1" applyFill="1" applyBorder="1" applyAlignment="1">
      <alignment horizontal="center" vertical="center"/>
    </xf>
    <xf numFmtId="180" fontId="66" fillId="0" borderId="0" xfId="0" applyNumberFormat="1" applyFont="1" applyAlignment="1">
      <alignment vertical="center"/>
    </xf>
    <xf numFmtId="179" fontId="66" fillId="0" borderId="0" xfId="47" applyNumberFormat="1" applyFont="1"/>
    <xf numFmtId="167" fontId="93" fillId="24" borderId="3" xfId="0" applyNumberFormat="1" applyFont="1" applyFill="1" applyBorder="1" applyAlignment="1">
      <alignment horizontal="center" vertical="center" wrapText="1"/>
    </xf>
    <xf numFmtId="176" fontId="72" fillId="27" borderId="43" xfId="0" applyNumberFormat="1" applyFont="1" applyFill="1" applyBorder="1" applyAlignment="1">
      <alignment horizontal="center" vertical="center"/>
    </xf>
    <xf numFmtId="167" fontId="86" fillId="24" borderId="135" xfId="0" applyNumberFormat="1" applyFont="1" applyFill="1" applyBorder="1" applyAlignment="1">
      <alignment horizontal="center" vertical="center" wrapText="1"/>
    </xf>
    <xf numFmtId="167" fontId="86" fillId="24" borderId="136" xfId="0" applyNumberFormat="1" applyFont="1" applyFill="1" applyBorder="1" applyAlignment="1">
      <alignment horizontal="center" vertical="center" wrapText="1"/>
    </xf>
    <xf numFmtId="167" fontId="86" fillId="0" borderId="136" xfId="0" applyNumberFormat="1" applyFont="1" applyBorder="1" applyAlignment="1">
      <alignment horizontal="center" vertical="center" wrapText="1"/>
    </xf>
    <xf numFmtId="167" fontId="86" fillId="24" borderId="84" xfId="0" applyNumberFormat="1" applyFont="1" applyFill="1" applyBorder="1" applyAlignment="1">
      <alignment horizontal="center" vertical="center" wrapText="1"/>
    </xf>
    <xf numFmtId="167" fontId="86" fillId="24" borderId="90" xfId="0" applyNumberFormat="1" applyFont="1" applyFill="1" applyBorder="1" applyAlignment="1">
      <alignment horizontal="center" vertical="center" wrapText="1"/>
    </xf>
    <xf numFmtId="167" fontId="86" fillId="24" borderId="91" xfId="0" applyNumberFormat="1" applyFont="1" applyFill="1" applyBorder="1" applyAlignment="1">
      <alignment horizontal="center" vertical="center" wrapText="1"/>
    </xf>
    <xf numFmtId="167" fontId="86" fillId="0" borderId="90" xfId="0" applyNumberFormat="1" applyFont="1" applyBorder="1" applyAlignment="1">
      <alignment horizontal="center" vertical="center" wrapText="1"/>
    </xf>
    <xf numFmtId="167" fontId="86" fillId="0" borderId="91" xfId="0" applyNumberFormat="1" applyFont="1" applyBorder="1" applyAlignment="1">
      <alignment horizontal="center" vertical="center" wrapText="1"/>
    </xf>
    <xf numFmtId="167" fontId="86" fillId="0" borderId="60" xfId="0" applyNumberFormat="1" applyFont="1" applyBorder="1" applyAlignment="1">
      <alignment horizontal="center" vertical="center" wrapText="1"/>
    </xf>
    <xf numFmtId="167" fontId="86" fillId="0" borderId="3" xfId="0" applyNumberFormat="1" applyFont="1" applyBorder="1" applyAlignment="1">
      <alignment horizontal="center" vertical="center" wrapText="1"/>
    </xf>
    <xf numFmtId="167" fontId="86" fillId="24" borderId="3" xfId="0" applyNumberFormat="1" applyFont="1" applyFill="1" applyBorder="1" applyAlignment="1">
      <alignment horizontal="center" vertical="center" wrapText="1"/>
    </xf>
    <xf numFmtId="4" fontId="118" fillId="0" borderId="0" xfId="0" applyNumberFormat="1" applyFont="1" applyAlignment="1">
      <alignment horizontal="center" vertical="center" wrapText="1"/>
    </xf>
    <xf numFmtId="3" fontId="118" fillId="0" borderId="0" xfId="0" applyNumberFormat="1" applyFont="1" applyAlignment="1">
      <alignment horizontal="center" vertical="center" wrapText="1"/>
    </xf>
    <xf numFmtId="0" fontId="70" fillId="0" borderId="0" xfId="0" applyFont="1" applyAlignment="1">
      <alignment horizontal="center" vertical="center" wrapText="1"/>
    </xf>
    <xf numFmtId="4" fontId="70" fillId="0" borderId="0" xfId="0" quotePrefix="1" applyNumberFormat="1" applyFont="1" applyAlignment="1">
      <alignment horizontal="center" vertical="center" wrapText="1"/>
    </xf>
    <xf numFmtId="3" fontId="70" fillId="0" borderId="0" xfId="0" quotePrefix="1" applyNumberFormat="1" applyFont="1" applyAlignment="1">
      <alignment horizontal="center" vertical="center" wrapText="1"/>
    </xf>
    <xf numFmtId="0" fontId="165" fillId="0" borderId="276" xfId="0" applyFont="1" applyBorder="1" applyAlignment="1">
      <alignment horizontal="center" vertical="center" wrapText="1" readingOrder="1"/>
    </xf>
    <xf numFmtId="1" fontId="17" fillId="0" borderId="11" xfId="167" applyNumberFormat="1" applyBorder="1" applyAlignment="1">
      <alignment horizontal="center"/>
    </xf>
    <xf numFmtId="3" fontId="66" fillId="0" borderId="0" xfId="0" applyNumberFormat="1" applyFont="1" applyAlignment="1">
      <alignment horizontal="center"/>
    </xf>
    <xf numFmtId="1" fontId="106" fillId="44" borderId="11" xfId="167" applyNumberFormat="1" applyFont="1" applyFill="1" applyBorder="1" applyAlignment="1">
      <alignment horizontal="center" vertical="center"/>
    </xf>
    <xf numFmtId="1" fontId="15" fillId="0" borderId="11" xfId="167" applyNumberFormat="1" applyFont="1" applyBorder="1" applyAlignment="1">
      <alignment horizontal="center"/>
    </xf>
    <xf numFmtId="0" fontId="108" fillId="56" borderId="11" xfId="167" applyFont="1" applyFill="1" applyBorder="1" applyAlignment="1">
      <alignment horizontal="center" vertical="center"/>
    </xf>
    <xf numFmtId="167" fontId="166" fillId="56" borderId="11" xfId="167" applyNumberFormat="1" applyFont="1" applyFill="1" applyBorder="1" applyAlignment="1">
      <alignment horizontal="right" vertical="center"/>
    </xf>
    <xf numFmtId="167" fontId="90" fillId="31" borderId="11" xfId="167" applyNumberFormat="1" applyFont="1" applyFill="1" applyBorder="1" applyAlignment="1">
      <alignment horizontal="right" vertical="center"/>
    </xf>
    <xf numFmtId="0" fontId="77" fillId="0" borderId="0" xfId="0" applyFont="1" applyAlignment="1">
      <alignment horizontal="center" vertical="center"/>
    </xf>
    <xf numFmtId="0" fontId="75" fillId="0" borderId="0" xfId="0" applyFont="1" applyAlignment="1">
      <alignment horizontal="center" vertical="center"/>
    </xf>
    <xf numFmtId="167" fontId="72" fillId="0" borderId="11" xfId="455" applyNumberFormat="1" applyFont="1" applyBorder="1" applyAlignment="1">
      <alignment horizontal="center"/>
    </xf>
    <xf numFmtId="1" fontId="108" fillId="0" borderId="11" xfId="455" applyNumberFormat="1" applyFont="1" applyBorder="1" applyAlignment="1">
      <alignment horizontal="center"/>
    </xf>
    <xf numFmtId="4" fontId="79" fillId="24" borderId="1" xfId="38" applyNumberFormat="1" applyFont="1" applyFill="1" applyBorder="1" applyAlignment="1">
      <alignment horizontal="center" vertical="center" wrapText="1"/>
    </xf>
    <xf numFmtId="172" fontId="121" fillId="0" borderId="0" xfId="0" applyNumberFormat="1" applyFont="1"/>
    <xf numFmtId="1" fontId="132" fillId="0" borderId="0" xfId="0" applyNumberFormat="1" applyFont="1" applyAlignment="1">
      <alignment horizontal="center"/>
    </xf>
    <xf numFmtId="1" fontId="173" fillId="0" borderId="0" xfId="0" applyNumberFormat="1" applyFont="1" applyAlignment="1">
      <alignment horizontal="left" vertical="top" wrapText="1" readingOrder="1"/>
    </xf>
    <xf numFmtId="1" fontId="173" fillId="0" borderId="0" xfId="0" applyNumberFormat="1" applyFont="1" applyAlignment="1">
      <alignment horizontal="center" vertical="top" wrapText="1" readingOrder="1"/>
    </xf>
    <xf numFmtId="166" fontId="35" fillId="0" borderId="0" xfId="53" applyNumberFormat="1" applyFont="1" applyBorder="1" applyAlignment="1">
      <alignment horizontal="center" vertical="center"/>
    </xf>
    <xf numFmtId="9" fontId="34" fillId="0" borderId="0" xfId="53" applyFont="1" applyBorder="1" applyAlignment="1">
      <alignment vertical="center"/>
    </xf>
    <xf numFmtId="0" fontId="136" fillId="0" borderId="0" xfId="0" applyFont="1" applyAlignment="1">
      <alignment vertical="center"/>
    </xf>
    <xf numFmtId="0" fontId="137" fillId="0" borderId="0" xfId="0" quotePrefix="1" applyFont="1" applyAlignment="1">
      <alignment horizontal="center" vertical="center"/>
    </xf>
    <xf numFmtId="0" fontId="137" fillId="0" borderId="0" xfId="0" applyFont="1" applyAlignment="1">
      <alignment horizontal="center" vertical="center"/>
    </xf>
    <xf numFmtId="49" fontId="138" fillId="0" borderId="0" xfId="0" applyNumberFormat="1" applyFont="1" applyAlignment="1">
      <alignment horizontal="center" vertical="center"/>
    </xf>
    <xf numFmtId="0" fontId="34" fillId="0" borderId="0" xfId="0" applyFont="1" applyAlignment="1">
      <alignment horizontal="center" vertical="center"/>
    </xf>
    <xf numFmtId="0" fontId="35" fillId="0" borderId="0" xfId="0" applyFont="1" applyAlignment="1">
      <alignment horizontal="center" vertical="center"/>
    </xf>
    <xf numFmtId="0" fontId="139" fillId="0" borderId="0" xfId="0" applyFont="1" applyAlignment="1">
      <alignment vertical="center"/>
    </xf>
    <xf numFmtId="0" fontId="167" fillId="0" borderId="11" xfId="0" applyFont="1" applyBorder="1" applyAlignment="1">
      <alignment horizontal="center" vertical="center" wrapText="1"/>
    </xf>
    <xf numFmtId="0" fontId="167" fillId="0" borderId="14" xfId="0" applyFont="1" applyBorder="1" applyAlignment="1">
      <alignment horizontal="center" vertical="center" wrapText="1"/>
    </xf>
    <xf numFmtId="0" fontId="167" fillId="0" borderId="111" xfId="0" applyFont="1" applyBorder="1" applyAlignment="1">
      <alignment horizontal="center" vertical="center" wrapText="1"/>
    </xf>
    <xf numFmtId="17" fontId="167" fillId="0" borderId="11" xfId="0" applyNumberFormat="1" applyFont="1" applyBorder="1" applyAlignment="1">
      <alignment horizontal="center" vertical="center" wrapText="1"/>
    </xf>
    <xf numFmtId="0" fontId="140" fillId="0" borderId="0" xfId="0" applyFont="1" applyAlignment="1">
      <alignment vertical="center"/>
    </xf>
    <xf numFmtId="17" fontId="34" fillId="0" borderId="0" xfId="0" applyNumberFormat="1" applyFont="1" applyAlignment="1">
      <alignment horizontal="left" vertical="center"/>
    </xf>
    <xf numFmtId="0" fontId="168" fillId="0" borderId="0" xfId="0" applyFont="1" applyAlignment="1">
      <alignment vertical="center"/>
    </xf>
    <xf numFmtId="0" fontId="170" fillId="0" borderId="11" xfId="0" applyFont="1" applyBorder="1" applyAlignment="1">
      <alignment horizontal="center" vertical="center" wrapText="1"/>
    </xf>
    <xf numFmtId="17" fontId="170" fillId="0" borderId="11" xfId="0" applyNumberFormat="1" applyFont="1" applyBorder="1" applyAlignment="1">
      <alignment horizontal="center" vertical="center" wrapText="1"/>
    </xf>
    <xf numFmtId="0" fontId="171" fillId="0" borderId="111" xfId="0" applyFont="1" applyBorder="1" applyAlignment="1">
      <alignment horizontal="left" vertical="center"/>
    </xf>
    <xf numFmtId="0" fontId="172" fillId="0" borderId="0" xfId="0" applyFont="1" applyAlignment="1">
      <alignment vertical="center"/>
    </xf>
    <xf numFmtId="0" fontId="141" fillId="0" borderId="0" xfId="0" applyFont="1" applyAlignment="1">
      <alignment vertical="center"/>
    </xf>
    <xf numFmtId="0" fontId="34" fillId="0" borderId="0" xfId="0" applyFont="1" applyAlignment="1">
      <alignment horizontal="left" vertical="center"/>
    </xf>
    <xf numFmtId="14" fontId="35" fillId="0" borderId="0" xfId="0" applyNumberFormat="1" applyFont="1" applyAlignment="1">
      <alignment horizontal="center" vertical="center" wrapText="1"/>
    </xf>
    <xf numFmtId="0" fontId="34" fillId="0" borderId="0" xfId="0" applyFont="1" applyAlignment="1">
      <alignment horizontal="left" vertical="center" wrapText="1"/>
    </xf>
    <xf numFmtId="171" fontId="34" fillId="0" borderId="0" xfId="38" applyNumberFormat="1" applyFont="1" applyBorder="1" applyAlignment="1">
      <alignment vertical="center"/>
    </xf>
    <xf numFmtId="0" fontId="65" fillId="0" borderId="0" xfId="0" applyFont="1" applyAlignment="1">
      <alignment vertical="center"/>
    </xf>
    <xf numFmtId="0" fontId="64" fillId="0" borderId="0" xfId="0" applyFont="1" applyAlignment="1">
      <alignment vertical="center"/>
    </xf>
    <xf numFmtId="4" fontId="67" fillId="29" borderId="88" xfId="0" applyNumberFormat="1" applyFont="1" applyFill="1" applyBorder="1" applyAlignment="1">
      <alignment horizontal="center" vertical="center" wrapText="1"/>
    </xf>
    <xf numFmtId="175" fontId="66" fillId="0" borderId="26" xfId="0" applyNumberFormat="1" applyFont="1" applyBorder="1" applyAlignment="1">
      <alignment horizontal="center" vertical="center"/>
    </xf>
    <xf numFmtId="0" fontId="108" fillId="55" borderId="11" xfId="167" applyFont="1" applyFill="1" applyBorder="1" applyAlignment="1">
      <alignment horizontal="center" vertical="center"/>
    </xf>
    <xf numFmtId="167" fontId="108" fillId="55" borderId="11" xfId="167" applyNumberFormat="1" applyFont="1" applyFill="1" applyBorder="1" applyAlignment="1">
      <alignment horizontal="right" vertical="center"/>
    </xf>
    <xf numFmtId="1" fontId="17" fillId="55" borderId="11" xfId="167" applyNumberFormat="1" applyFill="1" applyBorder="1" applyAlignment="1">
      <alignment horizontal="center"/>
    </xf>
    <xf numFmtId="167" fontId="79" fillId="0" borderId="0" xfId="0" applyNumberFormat="1" applyFont="1" applyAlignment="1">
      <alignment vertical="center" wrapText="1"/>
    </xf>
    <xf numFmtId="166" fontId="77" fillId="0" borderId="0" xfId="0" applyNumberFormat="1" applyFont="1" applyAlignment="1">
      <alignment horizontal="center" vertical="center" wrapText="1"/>
    </xf>
    <xf numFmtId="1" fontId="14" fillId="0" borderId="11" xfId="455" applyNumberFormat="1" applyBorder="1" applyAlignment="1">
      <alignment horizontal="center"/>
    </xf>
    <xf numFmtId="0" fontId="66" fillId="0" borderId="82" xfId="0" applyFont="1" applyBorder="1" applyAlignment="1">
      <alignment horizontal="left" vertical="center" wrapText="1"/>
    </xf>
    <xf numFmtId="3" fontId="66" fillId="0" borderId="11" xfId="0" applyNumberFormat="1" applyFont="1" applyBorder="1" applyAlignment="1">
      <alignment horizontal="center" vertical="center" wrapText="1"/>
    </xf>
    <xf numFmtId="167" fontId="72" fillId="0" borderId="11" xfId="0" applyNumberFormat="1" applyFont="1" applyBorder="1" applyAlignment="1">
      <alignment horizontal="center" vertical="center" wrapText="1"/>
    </xf>
    <xf numFmtId="3" fontId="72" fillId="0" borderId="11" xfId="0" applyNumberFormat="1" applyFont="1" applyBorder="1" applyAlignment="1">
      <alignment horizontal="center" vertical="center" wrapText="1"/>
    </xf>
    <xf numFmtId="0" fontId="66" fillId="0" borderId="14" xfId="0" applyFont="1" applyBorder="1" applyAlignment="1">
      <alignment vertical="center" wrapText="1"/>
    </xf>
    <xf numFmtId="0" fontId="79" fillId="0" borderId="14" xfId="0" applyFont="1" applyBorder="1" applyAlignment="1">
      <alignment vertical="center" wrapText="1"/>
    </xf>
    <xf numFmtId="3" fontId="72" fillId="0" borderId="96" xfId="0" applyNumberFormat="1" applyFont="1" applyBorder="1" applyAlignment="1">
      <alignment horizontal="center" vertical="center" wrapText="1"/>
    </xf>
    <xf numFmtId="167" fontId="72" fillId="0" borderId="96" xfId="0" applyNumberFormat="1" applyFont="1" applyBorder="1" applyAlignment="1">
      <alignment horizontal="center" vertical="center" wrapText="1"/>
    </xf>
    <xf numFmtId="3" fontId="66" fillId="0" borderId="95" xfId="0" applyNumberFormat="1" applyFont="1" applyBorder="1" applyAlignment="1">
      <alignment horizontal="center" vertical="center" wrapText="1"/>
    </xf>
    <xf numFmtId="167" fontId="72" fillId="0" borderId="104" xfId="0" applyNumberFormat="1" applyFont="1" applyBorder="1" applyAlignment="1">
      <alignment horizontal="center" vertical="center" wrapText="1"/>
    </xf>
    <xf numFmtId="3" fontId="66" fillId="0" borderId="244" xfId="0" applyNumberFormat="1" applyFont="1" applyBorder="1" applyAlignment="1">
      <alignment horizontal="center" vertical="center" wrapText="1"/>
    </xf>
    <xf numFmtId="167" fontId="72" fillId="0" borderId="107" xfId="0" applyNumberFormat="1" applyFont="1" applyBorder="1" applyAlignment="1">
      <alignment horizontal="center" vertical="center" wrapText="1"/>
    </xf>
    <xf numFmtId="0" fontId="66" fillId="0" borderId="47" xfId="0" applyFont="1" applyBorder="1" applyAlignment="1">
      <alignment vertical="center" wrapText="1"/>
    </xf>
    <xf numFmtId="3" fontId="66" fillId="0" borderId="23" xfId="0" applyNumberFormat="1" applyFont="1" applyBorder="1" applyAlignment="1">
      <alignment horizontal="center" vertical="center" wrapText="1"/>
    </xf>
    <xf numFmtId="167" fontId="72" fillId="0" borderId="23" xfId="0" applyNumberFormat="1" applyFont="1" applyBorder="1" applyAlignment="1">
      <alignment horizontal="center" vertical="center" wrapText="1"/>
    </xf>
    <xf numFmtId="167" fontId="72" fillId="0" borderId="25" xfId="0" applyNumberFormat="1" applyFont="1" applyBorder="1" applyAlignment="1">
      <alignment horizontal="center" vertical="center" wrapText="1"/>
    </xf>
    <xf numFmtId="3" fontId="72" fillId="0" borderId="141" xfId="0" applyNumberFormat="1" applyFont="1" applyBorder="1" applyAlignment="1">
      <alignment horizontal="center" vertical="center" wrapText="1"/>
    </xf>
    <xf numFmtId="167" fontId="72" fillId="0" borderId="141" xfId="0" applyNumberFormat="1" applyFont="1" applyBorder="1" applyAlignment="1">
      <alignment horizontal="center" vertical="center" wrapText="1"/>
    </xf>
    <xf numFmtId="167" fontId="72" fillId="0" borderId="109" xfId="0" applyNumberFormat="1" applyFont="1" applyBorder="1" applyAlignment="1">
      <alignment horizontal="center" vertical="center" wrapText="1"/>
    </xf>
    <xf numFmtId="3" fontId="72" fillId="0" borderId="23" xfId="0" applyNumberFormat="1" applyFont="1" applyBorder="1" applyAlignment="1">
      <alignment horizontal="center" vertical="center" wrapText="1"/>
    </xf>
    <xf numFmtId="3" fontId="72" fillId="0" borderId="108" xfId="0" applyNumberFormat="1" applyFont="1" applyBorder="1" applyAlignment="1">
      <alignment horizontal="center" vertical="center" wrapText="1"/>
    </xf>
    <xf numFmtId="0" fontId="72" fillId="46" borderId="14" xfId="0" applyFont="1" applyFill="1" applyBorder="1" applyAlignment="1">
      <alignment horizontal="center" vertical="center" wrapText="1"/>
    </xf>
    <xf numFmtId="167" fontId="72" fillId="0" borderId="14" xfId="0" applyNumberFormat="1" applyFont="1" applyBorder="1" applyAlignment="1">
      <alignment horizontal="center" vertical="center" wrapText="1"/>
    </xf>
    <xf numFmtId="167" fontId="72" fillId="0" borderId="47" xfId="0" applyNumberFormat="1" applyFont="1" applyBorder="1" applyAlignment="1">
      <alignment horizontal="center" vertical="center" wrapText="1"/>
    </xf>
    <xf numFmtId="167" fontId="72" fillId="0" borderId="95" xfId="0" applyNumberFormat="1" applyFont="1" applyBorder="1" applyAlignment="1">
      <alignment horizontal="center" vertical="center" wrapText="1"/>
    </xf>
    <xf numFmtId="167" fontId="72" fillId="0" borderId="106" xfId="0" applyNumberFormat="1" applyFont="1" applyBorder="1" applyAlignment="1">
      <alignment horizontal="center" vertical="center" wrapText="1"/>
    </xf>
    <xf numFmtId="167" fontId="72" fillId="0" borderId="108" xfId="0" applyNumberFormat="1" applyFont="1" applyBorder="1" applyAlignment="1">
      <alignment horizontal="center" vertical="center" wrapText="1"/>
    </xf>
    <xf numFmtId="3" fontId="66" fillId="0" borderId="172" xfId="0" applyNumberFormat="1" applyFont="1" applyBorder="1" applyAlignment="1">
      <alignment horizontal="center" vertical="center" wrapText="1"/>
    </xf>
    <xf numFmtId="3" fontId="66" fillId="0" borderId="96" xfId="0" applyNumberFormat="1" applyFont="1" applyBorder="1" applyAlignment="1">
      <alignment horizontal="center" vertical="center" wrapText="1"/>
    </xf>
    <xf numFmtId="167" fontId="72" fillId="0" borderId="155" xfId="0" applyNumberFormat="1" applyFont="1" applyBorder="1" applyAlignment="1">
      <alignment horizontal="center" vertical="center" wrapText="1"/>
    </xf>
    <xf numFmtId="167" fontId="72" fillId="0" borderId="172" xfId="0" applyNumberFormat="1" applyFont="1" applyBorder="1" applyAlignment="1">
      <alignment horizontal="center" vertical="center" wrapText="1"/>
    </xf>
    <xf numFmtId="167" fontId="72" fillId="0" borderId="173" xfId="0" applyNumberFormat="1" applyFont="1" applyBorder="1" applyAlignment="1">
      <alignment horizontal="center" vertical="center" wrapText="1"/>
    </xf>
    <xf numFmtId="17" fontId="72" fillId="46" borderId="244" xfId="0" applyNumberFormat="1" applyFont="1" applyFill="1" applyBorder="1" applyAlignment="1">
      <alignment horizontal="center" vertical="center" wrapText="1"/>
    </xf>
    <xf numFmtId="17" fontId="72" fillId="46" borderId="125" xfId="0" applyNumberFormat="1" applyFont="1" applyFill="1" applyBorder="1" applyAlignment="1">
      <alignment horizontal="center" vertical="center" wrapText="1"/>
    </xf>
    <xf numFmtId="0" fontId="72" fillId="54" borderId="11" xfId="0" applyFont="1" applyFill="1" applyBorder="1" applyAlignment="1">
      <alignment horizontal="center" vertical="center" wrapText="1"/>
    </xf>
    <xf numFmtId="17" fontId="72" fillId="54" borderId="244" xfId="0" applyNumberFormat="1" applyFont="1" applyFill="1" applyBorder="1" applyAlignment="1">
      <alignment horizontal="center" vertical="center" wrapText="1"/>
    </xf>
    <xf numFmtId="17" fontId="72" fillId="62" borderId="106" xfId="0" applyNumberFormat="1" applyFont="1" applyFill="1" applyBorder="1" applyAlignment="1">
      <alignment horizontal="center" vertical="center" wrapText="1"/>
    </xf>
    <xf numFmtId="17" fontId="72" fillId="62" borderId="244" xfId="0" applyNumberFormat="1" applyFont="1" applyFill="1" applyBorder="1" applyAlignment="1">
      <alignment horizontal="center" vertical="center" wrapText="1"/>
    </xf>
    <xf numFmtId="17" fontId="72" fillId="66" borderId="106" xfId="0" applyNumberFormat="1" applyFont="1" applyFill="1" applyBorder="1" applyAlignment="1">
      <alignment horizontal="center" vertical="center" wrapText="1"/>
    </xf>
    <xf numFmtId="17" fontId="72" fillId="66" borderId="244" xfId="0" applyNumberFormat="1" applyFont="1" applyFill="1" applyBorder="1" applyAlignment="1">
      <alignment horizontal="center" vertical="center" wrapText="1"/>
    </xf>
    <xf numFmtId="167" fontId="66" fillId="0" borderId="14" xfId="0" applyNumberFormat="1" applyFont="1" applyBorder="1" applyAlignment="1">
      <alignment horizontal="center" vertical="center" wrapText="1"/>
    </xf>
    <xf numFmtId="4" fontId="70" fillId="49" borderId="15" xfId="0" applyNumberFormat="1" applyFont="1" applyFill="1" applyBorder="1" applyAlignment="1">
      <alignment horizontal="center" vertical="center"/>
    </xf>
    <xf numFmtId="0" fontId="83" fillId="0" borderId="14" xfId="0" applyFont="1" applyBorder="1" applyAlignment="1">
      <alignment horizontal="center"/>
    </xf>
    <xf numFmtId="0" fontId="83" fillId="0" borderId="111" xfId="0" applyFont="1" applyBorder="1" applyAlignment="1">
      <alignment horizontal="center"/>
    </xf>
    <xf numFmtId="0" fontId="66" fillId="0" borderId="111" xfId="0" applyFont="1" applyBorder="1" applyAlignment="1">
      <alignment horizontal="center"/>
    </xf>
    <xf numFmtId="3" fontId="108" fillId="55" borderId="11" xfId="167" applyNumberFormat="1" applyFont="1" applyFill="1" applyBorder="1" applyAlignment="1">
      <alignment horizontal="center" vertical="center"/>
    </xf>
    <xf numFmtId="2" fontId="66" fillId="0" borderId="58" xfId="0" applyNumberFormat="1" applyFont="1" applyBorder="1" applyAlignment="1">
      <alignment horizontal="center" vertical="center" wrapText="1"/>
    </xf>
    <xf numFmtId="2" fontId="66" fillId="0" borderId="1" xfId="0" applyNumberFormat="1" applyFont="1" applyBorder="1" applyAlignment="1">
      <alignment horizontal="center" vertical="center" wrapText="1"/>
    </xf>
    <xf numFmtId="2" fontId="72" fillId="0" borderId="59" xfId="0" applyNumberFormat="1" applyFont="1" applyBorder="1" applyAlignment="1">
      <alignment horizontal="center" vertical="center" wrapText="1"/>
    </xf>
    <xf numFmtId="2" fontId="72" fillId="0" borderId="63" xfId="0" applyNumberFormat="1" applyFont="1" applyBorder="1" applyAlignment="1">
      <alignment horizontal="center" vertical="center" wrapText="1"/>
    </xf>
    <xf numFmtId="2" fontId="72" fillId="0" borderId="64" xfId="0" applyNumberFormat="1" applyFont="1" applyBorder="1" applyAlignment="1">
      <alignment horizontal="center" vertical="center" wrapText="1"/>
    </xf>
    <xf numFmtId="2" fontId="72" fillId="0" borderId="65" xfId="0" applyNumberFormat="1" applyFont="1" applyBorder="1" applyAlignment="1">
      <alignment horizontal="center" vertical="center" wrapText="1"/>
    </xf>
    <xf numFmtId="2" fontId="72" fillId="24" borderId="62" xfId="0" applyNumberFormat="1" applyFont="1" applyFill="1" applyBorder="1" applyAlignment="1">
      <alignment horizontal="center" vertical="center" wrapText="1"/>
    </xf>
    <xf numFmtId="2" fontId="72" fillId="24" borderId="283" xfId="0" applyNumberFormat="1" applyFont="1" applyFill="1" applyBorder="1" applyAlignment="1">
      <alignment horizontal="center" vertical="center" wrapText="1"/>
    </xf>
    <xf numFmtId="2" fontId="72" fillId="24" borderId="65" xfId="0" applyNumberFormat="1" applyFont="1" applyFill="1" applyBorder="1" applyAlignment="1">
      <alignment horizontal="center" vertical="center" wrapText="1"/>
    </xf>
    <xf numFmtId="3" fontId="177" fillId="0" borderId="120" xfId="0" applyNumberFormat="1" applyFont="1" applyBorder="1" applyAlignment="1">
      <alignment wrapText="1"/>
    </xf>
    <xf numFmtId="2" fontId="70" fillId="26" borderId="32" xfId="0" applyNumberFormat="1" applyFont="1" applyFill="1" applyBorder="1" applyAlignment="1">
      <alignment horizontal="center" vertical="center"/>
    </xf>
    <xf numFmtId="17" fontId="34" fillId="0" borderId="11" xfId="0" applyNumberFormat="1" applyFont="1" applyBorder="1" applyAlignment="1">
      <alignment horizontal="left" vertical="center"/>
    </xf>
    <xf numFmtId="167" fontId="72" fillId="45" borderId="0" xfId="167" applyNumberFormat="1" applyFont="1" applyFill="1" applyAlignment="1">
      <alignment horizontal="right" vertical="center"/>
    </xf>
    <xf numFmtId="167" fontId="72" fillId="29" borderId="86" xfId="38" applyNumberFormat="1" applyFont="1" applyFill="1" applyBorder="1" applyAlignment="1">
      <alignment horizontal="center" vertical="center" wrapText="1"/>
    </xf>
    <xf numFmtId="166" fontId="72" fillId="0" borderId="285" xfId="0" applyNumberFormat="1" applyFont="1" applyBorder="1" applyAlignment="1">
      <alignment horizontal="center" vertical="center" wrapText="1"/>
    </xf>
    <xf numFmtId="166" fontId="72" fillId="0" borderId="286" xfId="0" applyNumberFormat="1" applyFont="1" applyBorder="1" applyAlignment="1">
      <alignment horizontal="center" vertical="center" wrapText="1"/>
    </xf>
    <xf numFmtId="2" fontId="72" fillId="0" borderId="287" xfId="0" applyNumberFormat="1" applyFont="1" applyBorder="1" applyAlignment="1">
      <alignment horizontal="center" vertical="center" wrapText="1"/>
    </xf>
    <xf numFmtId="2" fontId="72" fillId="0" borderId="282" xfId="0" applyNumberFormat="1" applyFont="1" applyBorder="1" applyAlignment="1">
      <alignment horizontal="center" vertical="center" wrapText="1"/>
    </xf>
    <xf numFmtId="167" fontId="67" fillId="29" borderId="85" xfId="38" applyNumberFormat="1" applyFont="1" applyFill="1" applyBorder="1" applyAlignment="1">
      <alignment horizontal="center" vertical="center" wrapText="1"/>
    </xf>
    <xf numFmtId="176" fontId="68" fillId="49" borderId="254" xfId="47" applyNumberFormat="1" applyFont="1" applyFill="1" applyBorder="1"/>
    <xf numFmtId="17" fontId="72" fillId="0" borderId="3" xfId="0" applyNumberFormat="1" applyFont="1" applyBorder="1" applyAlignment="1">
      <alignment horizontal="center" vertical="center" wrapText="1"/>
    </xf>
    <xf numFmtId="2" fontId="66" fillId="0" borderId="0" xfId="0" applyNumberFormat="1" applyFont="1" applyAlignment="1">
      <alignment vertical="center" wrapText="1"/>
    </xf>
    <xf numFmtId="2" fontId="94" fillId="0" borderId="0" xfId="0" applyNumberFormat="1" applyFont="1" applyAlignment="1">
      <alignment horizontal="left" vertical="center" wrapText="1"/>
    </xf>
    <xf numFmtId="2" fontId="75" fillId="0" borderId="0" xfId="0" applyNumberFormat="1" applyFont="1" applyAlignment="1">
      <alignment vertical="center" wrapText="1"/>
    </xf>
    <xf numFmtId="166" fontId="77" fillId="0" borderId="0" xfId="0" applyNumberFormat="1" applyFont="1" applyAlignment="1">
      <alignment horizontal="center" vertical="center"/>
    </xf>
    <xf numFmtId="166" fontId="109" fillId="0" borderId="0" xfId="0" applyNumberFormat="1" applyFont="1"/>
    <xf numFmtId="2" fontId="66" fillId="0" borderId="27" xfId="0" applyNumberFormat="1" applyFont="1" applyBorder="1" applyAlignment="1">
      <alignment horizontal="center" vertical="center"/>
    </xf>
    <xf numFmtId="2" fontId="72" fillId="0" borderId="27" xfId="0" applyNumberFormat="1" applyFont="1" applyBorder="1" applyAlignment="1">
      <alignment horizontal="center" vertical="center"/>
    </xf>
    <xf numFmtId="2" fontId="72" fillId="0" borderId="0" xfId="0" applyNumberFormat="1" applyFont="1" applyAlignment="1">
      <alignment horizontal="center" vertical="center"/>
    </xf>
    <xf numFmtId="4" fontId="72" fillId="57" borderId="242" xfId="0" applyNumberFormat="1" applyFont="1" applyFill="1" applyBorder="1" applyAlignment="1">
      <alignment horizontal="center" vertical="center"/>
    </xf>
    <xf numFmtId="4" fontId="72" fillId="57" borderId="38" xfId="0" applyNumberFormat="1" applyFont="1" applyFill="1" applyBorder="1" applyAlignment="1">
      <alignment horizontal="center" vertical="center"/>
    </xf>
    <xf numFmtId="0" fontId="72" fillId="45" borderId="0" xfId="167" applyFont="1" applyFill="1" applyAlignment="1">
      <alignment horizontal="center" vertical="center"/>
    </xf>
    <xf numFmtId="1" fontId="108" fillId="45" borderId="0" xfId="167" applyNumberFormat="1" applyFont="1" applyFill="1" applyAlignment="1">
      <alignment horizontal="center"/>
    </xf>
    <xf numFmtId="0" fontId="108" fillId="45" borderId="0" xfId="167" applyFont="1" applyFill="1"/>
    <xf numFmtId="0" fontId="174" fillId="0" borderId="324" xfId="0" applyFont="1" applyBorder="1" applyAlignment="1">
      <alignment wrapText="1"/>
    </xf>
    <xf numFmtId="0" fontId="165" fillId="0" borderId="277" xfId="0" applyFont="1" applyBorder="1" applyAlignment="1">
      <alignment horizontal="center" vertical="center" wrapText="1" readingOrder="1"/>
    </xf>
    <xf numFmtId="0" fontId="165" fillId="0" borderId="278" xfId="0" applyFont="1" applyBorder="1" applyAlignment="1">
      <alignment horizontal="center" vertical="center" wrapText="1" readingOrder="1"/>
    </xf>
    <xf numFmtId="0" fontId="165" fillId="68" borderId="276" xfId="0" applyFont="1" applyFill="1" applyBorder="1" applyAlignment="1">
      <alignment horizontal="center" vertical="center" wrapText="1" readingOrder="1"/>
    </xf>
    <xf numFmtId="17" fontId="165" fillId="0" borderId="276" xfId="0" applyNumberFormat="1" applyFont="1" applyBorder="1" applyAlignment="1">
      <alignment horizontal="center" vertical="center" wrapText="1" readingOrder="1"/>
    </xf>
    <xf numFmtId="0" fontId="179" fillId="0" borderId="276" xfId="0" applyFont="1" applyBorder="1" applyAlignment="1">
      <alignment horizontal="left" vertical="center" wrapText="1" readingOrder="1"/>
    </xf>
    <xf numFmtId="0" fontId="179" fillId="68" borderId="276" xfId="0" applyFont="1" applyFill="1" applyBorder="1" applyAlignment="1">
      <alignment horizontal="center" vertical="center" wrapText="1" readingOrder="1"/>
    </xf>
    <xf numFmtId="0" fontId="180" fillId="68" borderId="276" xfId="0" applyFont="1" applyFill="1" applyBorder="1" applyAlignment="1">
      <alignment horizontal="center" vertical="center" wrapText="1" readingOrder="1"/>
    </xf>
    <xf numFmtId="0" fontId="180" fillId="0" borderId="276" xfId="0" applyFont="1" applyBorder="1" applyAlignment="1">
      <alignment horizontal="center" vertical="center" wrapText="1" readingOrder="1"/>
    </xf>
    <xf numFmtId="166" fontId="180" fillId="0" borderId="276" xfId="0" applyNumberFormat="1" applyFont="1" applyBorder="1" applyAlignment="1">
      <alignment horizontal="center" wrapText="1" readingOrder="1"/>
    </xf>
    <xf numFmtId="0" fontId="180" fillId="68" borderId="276" xfId="0" applyFont="1" applyFill="1" applyBorder="1" applyAlignment="1">
      <alignment horizontal="center" wrapText="1" readingOrder="1"/>
    </xf>
    <xf numFmtId="0" fontId="180" fillId="0" borderId="276" xfId="0" applyFont="1" applyBorder="1" applyAlignment="1">
      <alignment horizontal="center" wrapText="1" readingOrder="1"/>
    </xf>
    <xf numFmtId="0" fontId="152" fillId="68" borderId="276" xfId="0" applyFont="1" applyFill="1" applyBorder="1" applyAlignment="1">
      <alignment horizontal="center" wrapText="1" readingOrder="1"/>
    </xf>
    <xf numFmtId="3" fontId="152" fillId="68" borderId="276" xfId="0" applyNumberFormat="1" applyFont="1" applyFill="1" applyBorder="1" applyAlignment="1">
      <alignment horizontal="center" wrapText="1" readingOrder="1"/>
    </xf>
    <xf numFmtId="3" fontId="152" fillId="0" borderId="276" xfId="0" applyNumberFormat="1" applyFont="1" applyBorder="1" applyAlignment="1">
      <alignment horizontal="center" wrapText="1" readingOrder="1"/>
    </xf>
    <xf numFmtId="0" fontId="152" fillId="0" borderId="276" xfId="0" applyFont="1" applyBorder="1" applyAlignment="1">
      <alignment horizontal="center" wrapText="1" readingOrder="1"/>
    </xf>
    <xf numFmtId="0" fontId="156" fillId="0" borderId="0" xfId="0" applyFont="1"/>
    <xf numFmtId="0" fontId="175" fillId="68" borderId="276" xfId="0" applyFont="1" applyFill="1" applyBorder="1" applyAlignment="1">
      <alignment horizontal="center" vertical="center" wrapText="1" readingOrder="1"/>
    </xf>
    <xf numFmtId="0" fontId="176" fillId="0" borderId="276" xfId="0" applyFont="1" applyBorder="1" applyAlignment="1">
      <alignment horizontal="left" vertical="center" wrapText="1" readingOrder="1"/>
    </xf>
    <xf numFmtId="0" fontId="176" fillId="68" borderId="276" xfId="0" applyFont="1" applyFill="1" applyBorder="1" applyAlignment="1">
      <alignment horizontal="center" vertical="center" wrapText="1" readingOrder="1"/>
    </xf>
    <xf numFmtId="0" fontId="176" fillId="0" borderId="276" xfId="0" applyFont="1" applyBorder="1" applyAlignment="1">
      <alignment horizontal="center" vertical="center" wrapText="1" readingOrder="1"/>
    </xf>
    <xf numFmtId="2" fontId="176" fillId="0" borderId="276" xfId="0" applyNumberFormat="1" applyFont="1" applyBorder="1" applyAlignment="1">
      <alignment horizontal="center" wrapText="1" readingOrder="1"/>
    </xf>
    <xf numFmtId="0" fontId="176" fillId="0" borderId="276" xfId="0" applyFont="1" applyBorder="1" applyAlignment="1">
      <alignment horizontal="center" wrapText="1" readingOrder="1"/>
    </xf>
    <xf numFmtId="0" fontId="175" fillId="0" borderId="276" xfId="0" applyFont="1" applyBorder="1" applyAlignment="1">
      <alignment horizontal="center" wrapText="1" readingOrder="1"/>
    </xf>
    <xf numFmtId="3" fontId="175" fillId="68" borderId="276" xfId="0" applyNumberFormat="1" applyFont="1" applyFill="1" applyBorder="1" applyAlignment="1">
      <alignment horizontal="center" wrapText="1" readingOrder="1"/>
    </xf>
    <xf numFmtId="3" fontId="175" fillId="0" borderId="276" xfId="0" applyNumberFormat="1" applyFont="1" applyBorder="1" applyAlignment="1">
      <alignment horizontal="center" wrapText="1" readingOrder="1"/>
    </xf>
    <xf numFmtId="2" fontId="175" fillId="0" borderId="276" xfId="0" applyNumberFormat="1" applyFont="1" applyBorder="1" applyAlignment="1">
      <alignment horizontal="center" wrapText="1" readingOrder="1"/>
    </xf>
    <xf numFmtId="166" fontId="176" fillId="0" borderId="276" xfId="0" applyNumberFormat="1" applyFont="1" applyBorder="1" applyAlignment="1">
      <alignment horizontal="center" wrapText="1" readingOrder="1"/>
    </xf>
    <xf numFmtId="166" fontId="175" fillId="0" borderId="276" xfId="0" applyNumberFormat="1" applyFont="1" applyBorder="1" applyAlignment="1">
      <alignment horizontal="center" wrapText="1" readingOrder="1"/>
    </xf>
    <xf numFmtId="170" fontId="69" fillId="49" borderId="254" xfId="47" applyNumberFormat="1" applyFont="1" applyFill="1" applyBorder="1" applyAlignment="1">
      <alignment horizontal="center"/>
    </xf>
    <xf numFmtId="170" fontId="69" fillId="49" borderId="246" xfId="47" applyNumberFormat="1" applyFont="1" applyFill="1" applyBorder="1" applyAlignment="1">
      <alignment horizontal="center"/>
    </xf>
    <xf numFmtId="170" fontId="66" fillId="0" borderId="0" xfId="47" applyNumberFormat="1" applyFont="1" applyAlignment="1">
      <alignment horizontal="center"/>
    </xf>
    <xf numFmtId="170" fontId="68" fillId="49" borderId="254" xfId="38" applyNumberFormat="1" applyFont="1" applyFill="1" applyBorder="1" applyAlignment="1">
      <alignment horizontal="center"/>
    </xf>
    <xf numFmtId="170" fontId="68" fillId="49" borderId="246" xfId="38" applyNumberFormat="1" applyFont="1" applyFill="1" applyBorder="1" applyAlignment="1">
      <alignment horizontal="center"/>
    </xf>
    <xf numFmtId="170" fontId="74" fillId="0" borderId="254" xfId="38" applyNumberFormat="1" applyFont="1" applyFill="1" applyBorder="1" applyAlignment="1">
      <alignment horizontal="center"/>
    </xf>
    <xf numFmtId="170" fontId="74" fillId="0" borderId="246" xfId="38" applyNumberFormat="1" applyFont="1" applyFill="1" applyBorder="1" applyAlignment="1">
      <alignment horizontal="center"/>
    </xf>
    <xf numFmtId="170" fontId="66" fillId="0" borderId="0" xfId="38" applyNumberFormat="1" applyFont="1" applyFill="1" applyAlignment="1">
      <alignment horizontal="center"/>
    </xf>
    <xf numFmtId="170" fontId="68" fillId="49" borderId="274" xfId="38" applyNumberFormat="1" applyFont="1" applyFill="1" applyBorder="1" applyAlignment="1">
      <alignment horizontal="center"/>
    </xf>
    <xf numFmtId="0" fontId="72" fillId="25" borderId="330" xfId="0" applyFont="1" applyFill="1" applyBorder="1" applyAlignment="1">
      <alignment horizontal="center" vertical="center"/>
    </xf>
    <xf numFmtId="0" fontId="67" fillId="0" borderId="330" xfId="0" applyFont="1" applyBorder="1" applyAlignment="1">
      <alignment horizontal="left" vertical="center"/>
    </xf>
    <xf numFmtId="1" fontId="66" fillId="0" borderId="330" xfId="0" applyNumberFormat="1" applyFont="1" applyBorder="1" applyAlignment="1">
      <alignment horizontal="center" vertical="center"/>
    </xf>
    <xf numFmtId="171" fontId="66" fillId="0" borderId="330" xfId="38" applyNumberFormat="1" applyFont="1" applyBorder="1" applyAlignment="1">
      <alignment horizontal="center" vertical="center"/>
    </xf>
    <xf numFmtId="0" fontId="70" fillId="26" borderId="330" xfId="0" applyFont="1" applyFill="1" applyBorder="1" applyAlignment="1">
      <alignment horizontal="center" vertical="center"/>
    </xf>
    <xf numFmtId="1" fontId="70" fillId="26" borderId="330" xfId="0" applyNumberFormat="1" applyFont="1" applyFill="1" applyBorder="1" applyAlignment="1">
      <alignment horizontal="center" vertical="center"/>
    </xf>
    <xf numFmtId="171" fontId="70" fillId="26" borderId="330" xfId="38" applyNumberFormat="1" applyFont="1" applyFill="1" applyBorder="1" applyAlignment="1">
      <alignment horizontal="center" vertical="center"/>
    </xf>
    <xf numFmtId="0" fontId="80" fillId="0" borderId="0" xfId="0" applyFont="1"/>
    <xf numFmtId="171" fontId="72" fillId="27" borderId="330" xfId="38" applyNumberFormat="1" applyFont="1" applyFill="1" applyBorder="1" applyAlignment="1">
      <alignment horizontal="center" vertical="center"/>
    </xf>
    <xf numFmtId="0" fontId="181" fillId="0" borderId="0" xfId="0" applyFont="1" applyAlignment="1">
      <alignment horizontal="left" vertical="center"/>
    </xf>
    <xf numFmtId="0" fontId="182" fillId="0" borderId="0" xfId="0" applyFont="1" applyAlignment="1">
      <alignment vertical="center"/>
    </xf>
    <xf numFmtId="0" fontId="75" fillId="45" borderId="0" xfId="47" applyFont="1" applyFill="1"/>
    <xf numFmtId="167" fontId="79" fillId="0" borderId="91" xfId="0" applyNumberFormat="1" applyFont="1" applyBorder="1" applyAlignment="1">
      <alignment horizontal="center" vertical="center" wrapText="1"/>
    </xf>
    <xf numFmtId="167" fontId="126" fillId="0" borderId="91" xfId="0" applyNumberFormat="1" applyFont="1" applyBorder="1" applyAlignment="1">
      <alignment horizontal="center" vertical="center" wrapText="1"/>
    </xf>
    <xf numFmtId="167" fontId="79" fillId="0" borderId="3" xfId="0" applyNumberFormat="1" applyFont="1" applyBorder="1" applyAlignment="1">
      <alignment horizontal="center" vertical="center" wrapText="1"/>
    </xf>
    <xf numFmtId="180" fontId="70" fillId="26" borderId="15" xfId="0" applyNumberFormat="1" applyFont="1" applyFill="1" applyBorder="1" applyAlignment="1">
      <alignment horizontal="center" vertical="center"/>
    </xf>
    <xf numFmtId="1" fontId="161" fillId="0" borderId="121" xfId="0" applyNumberFormat="1" applyFont="1" applyBorder="1" applyAlignment="1">
      <alignment horizontal="center" wrapText="1"/>
    </xf>
    <xf numFmtId="1" fontId="183" fillId="0" borderId="116" xfId="0" applyNumberFormat="1" applyFont="1" applyBorder="1" applyAlignment="1">
      <alignment horizontal="center" wrapText="1"/>
    </xf>
    <xf numFmtId="194" fontId="170" fillId="0" borderId="11" xfId="0" applyNumberFormat="1" applyFont="1" applyBorder="1" applyAlignment="1">
      <alignment horizontal="center" vertical="center" wrapText="1"/>
    </xf>
    <xf numFmtId="2" fontId="178" fillId="0" borderId="20" xfId="0" applyNumberFormat="1" applyFont="1" applyBorder="1" applyAlignment="1">
      <alignment horizontal="center" vertical="center" wrapText="1"/>
    </xf>
    <xf numFmtId="4" fontId="17" fillId="0" borderId="0" xfId="167" applyNumberFormat="1"/>
    <xf numFmtId="4" fontId="70" fillId="26" borderId="15" xfId="0" applyNumberFormat="1" applyFont="1" applyFill="1" applyBorder="1" applyAlignment="1">
      <alignment horizontal="center" vertical="center"/>
    </xf>
    <xf numFmtId="167" fontId="66" fillId="0" borderId="155" xfId="0" applyNumberFormat="1" applyFont="1" applyBorder="1" applyAlignment="1">
      <alignment horizontal="center" vertical="center" wrapText="1"/>
    </xf>
    <xf numFmtId="167" fontId="66" fillId="0" borderId="125" xfId="0" applyNumberFormat="1" applyFont="1" applyBorder="1" applyAlignment="1">
      <alignment horizontal="center" vertical="center" wrapText="1"/>
    </xf>
    <xf numFmtId="167" fontId="72" fillId="0" borderId="143" xfId="0" applyNumberFormat="1" applyFont="1" applyBorder="1" applyAlignment="1">
      <alignment horizontal="center" vertical="center" wrapText="1"/>
    </xf>
    <xf numFmtId="167" fontId="94" fillId="0" borderId="3" xfId="0" applyNumberFormat="1" applyFont="1" applyBorder="1" applyAlignment="1">
      <alignment horizontal="center" vertical="center" wrapText="1"/>
    </xf>
    <xf numFmtId="4" fontId="72" fillId="0" borderId="64" xfId="0" applyNumberFormat="1" applyFont="1" applyBorder="1" applyAlignment="1">
      <alignment horizontal="center" vertical="center" wrapText="1"/>
    </xf>
    <xf numFmtId="194" fontId="34" fillId="0" borderId="11" xfId="0" applyNumberFormat="1" applyFont="1" applyBorder="1" applyAlignment="1">
      <alignment horizontal="left" vertical="center"/>
    </xf>
    <xf numFmtId="0" fontId="170" fillId="0" borderId="14" xfId="0" applyFont="1" applyBorder="1" applyAlignment="1">
      <alignment horizontal="center" vertical="center" wrapText="1"/>
    </xf>
    <xf numFmtId="0" fontId="170" fillId="0" borderId="111" xfId="0" applyFont="1" applyBorder="1" applyAlignment="1">
      <alignment horizontal="center" vertical="center" wrapText="1"/>
    </xf>
    <xf numFmtId="0" fontId="72" fillId="53" borderId="335" xfId="463" applyFont="1" applyFill="1" applyBorder="1" applyAlignment="1">
      <alignment horizontal="center" vertical="center" wrapText="1"/>
    </xf>
    <xf numFmtId="0" fontId="72" fillId="53" borderId="23" xfId="463" applyFont="1" applyFill="1" applyBorder="1" applyAlignment="1">
      <alignment horizontal="center" vertical="center" wrapText="1"/>
    </xf>
    <xf numFmtId="0" fontId="0" fillId="45" borderId="47" xfId="0" applyFill="1" applyBorder="1"/>
    <xf numFmtId="4" fontId="143" fillId="70" borderId="337" xfId="462" applyNumberFormat="1" applyFont="1" applyFill="1" applyBorder="1" applyAlignment="1" applyProtection="1">
      <alignment horizontal="center" vertical="center"/>
    </xf>
    <xf numFmtId="4" fontId="143" fillId="70" borderId="338" xfId="462" applyNumberFormat="1" applyFont="1" applyFill="1" applyBorder="1" applyAlignment="1" applyProtection="1">
      <alignment horizontal="center" vertical="center"/>
    </xf>
    <xf numFmtId="4" fontId="143" fillId="70" borderId="339" xfId="462" applyNumberFormat="1" applyFont="1" applyFill="1" applyBorder="1" applyAlignment="1" applyProtection="1">
      <alignment horizontal="center" vertical="center"/>
    </xf>
    <xf numFmtId="0" fontId="0" fillId="45" borderId="217" xfId="0" applyFill="1" applyBorder="1"/>
    <xf numFmtId="4" fontId="143" fillId="70" borderId="340" xfId="462" applyNumberFormat="1" applyFont="1" applyFill="1" applyBorder="1" applyAlignment="1" applyProtection="1">
      <alignment horizontal="center" vertical="center"/>
    </xf>
    <xf numFmtId="4" fontId="143" fillId="70" borderId="341" xfId="462" applyNumberFormat="1" applyFont="1" applyFill="1" applyBorder="1" applyAlignment="1" applyProtection="1">
      <alignment horizontal="center" vertical="center"/>
    </xf>
    <xf numFmtId="4" fontId="143" fillId="70" borderId="342" xfId="462" applyNumberFormat="1" applyFont="1" applyFill="1" applyBorder="1" applyAlignment="1" applyProtection="1">
      <alignment horizontal="center" vertical="center"/>
    </xf>
    <xf numFmtId="3" fontId="143" fillId="70" borderId="342" xfId="462" applyNumberFormat="1" applyFont="1" applyFill="1" applyBorder="1" applyAlignment="1" applyProtection="1">
      <alignment horizontal="center" vertical="center"/>
    </xf>
    <xf numFmtId="0" fontId="183" fillId="46" borderId="333" xfId="0" applyFont="1" applyFill="1" applyBorder="1"/>
    <xf numFmtId="4" fontId="72" fillId="46" borderId="343" xfId="462" applyNumberFormat="1" applyFont="1" applyFill="1" applyBorder="1" applyAlignment="1" applyProtection="1">
      <alignment horizontal="center" vertical="center"/>
    </xf>
    <xf numFmtId="4" fontId="72" fillId="46" borderId="344" xfId="462" applyNumberFormat="1" applyFont="1" applyFill="1" applyBorder="1" applyAlignment="1" applyProtection="1">
      <alignment horizontal="center" vertical="center"/>
    </xf>
    <xf numFmtId="4" fontId="72" fillId="46" borderId="345" xfId="462" applyNumberFormat="1" applyFont="1" applyFill="1" applyBorder="1" applyAlignment="1" applyProtection="1">
      <alignment horizontal="center" vertical="center"/>
    </xf>
    <xf numFmtId="3" fontId="72" fillId="46" borderId="345" xfId="462" applyNumberFormat="1" applyFont="1" applyFill="1" applyBorder="1" applyAlignment="1" applyProtection="1">
      <alignment horizontal="center" vertical="center"/>
    </xf>
    <xf numFmtId="0" fontId="175" fillId="0" borderId="278" xfId="0" applyFont="1" applyBorder="1" applyAlignment="1">
      <alignment horizontal="center" vertical="center" wrapText="1" readingOrder="1"/>
    </xf>
    <xf numFmtId="0" fontId="175" fillId="0" borderId="325" xfId="0" applyFont="1" applyBorder="1" applyAlignment="1">
      <alignment horizontal="center" vertical="center" wrapText="1" readingOrder="1"/>
    </xf>
    <xf numFmtId="0" fontId="175" fillId="0" borderId="328" xfId="0" applyFont="1" applyBorder="1" applyAlignment="1">
      <alignment horizontal="center" vertical="center" wrapText="1" readingOrder="1"/>
    </xf>
    <xf numFmtId="17" fontId="165" fillId="0" borderId="278" xfId="0" applyNumberFormat="1" applyFont="1" applyBorder="1" applyAlignment="1">
      <alignment horizontal="center" vertical="center" wrapText="1" readingOrder="1"/>
    </xf>
    <xf numFmtId="0" fontId="174" fillId="0" borderId="0" xfId="0" applyFont="1" applyAlignment="1">
      <alignment wrapText="1"/>
    </xf>
    <xf numFmtId="17" fontId="175" fillId="0" borderId="278" xfId="0" applyNumberFormat="1" applyFont="1" applyBorder="1" applyAlignment="1">
      <alignment horizontal="center" vertical="center" wrapText="1" readingOrder="1"/>
    </xf>
    <xf numFmtId="170" fontId="66" fillId="0" borderId="0" xfId="38" applyNumberFormat="1" applyFont="1" applyAlignment="1">
      <alignment horizontal="center"/>
    </xf>
    <xf numFmtId="3" fontId="75" fillId="0" borderId="0" xfId="0" applyNumberFormat="1" applyFont="1" applyAlignment="1">
      <alignment horizontal="center"/>
    </xf>
    <xf numFmtId="170" fontId="66" fillId="51" borderId="238" xfId="38" applyNumberFormat="1" applyFont="1" applyFill="1" applyBorder="1"/>
    <xf numFmtId="170" fontId="66" fillId="51" borderId="240" xfId="38" applyNumberFormat="1" applyFont="1" applyFill="1" applyBorder="1"/>
    <xf numFmtId="4" fontId="102" fillId="29" borderId="69" xfId="38" applyNumberFormat="1" applyFont="1" applyFill="1" applyBorder="1" applyAlignment="1">
      <alignment horizontal="center" vertical="center" wrapText="1"/>
    </xf>
    <xf numFmtId="171" fontId="66" fillId="0" borderId="0" xfId="0" applyNumberFormat="1" applyFont="1"/>
    <xf numFmtId="3" fontId="86" fillId="0" borderId="355" xfId="0" applyNumberFormat="1" applyFont="1" applyBorder="1" applyAlignment="1">
      <alignment horizontal="center" vertical="center" wrapText="1"/>
    </xf>
    <xf numFmtId="3" fontId="86" fillId="0" borderId="356" xfId="0" applyNumberFormat="1" applyFont="1" applyBorder="1" applyAlignment="1">
      <alignment horizontal="center" vertical="center" wrapText="1"/>
    </xf>
    <xf numFmtId="3" fontId="72" fillId="29" borderId="357" xfId="38" applyNumberFormat="1" applyFont="1" applyFill="1" applyBorder="1" applyAlignment="1">
      <alignment horizontal="center" vertical="center" wrapText="1"/>
    </xf>
    <xf numFmtId="3" fontId="72" fillId="29" borderId="358" xfId="38" applyNumberFormat="1" applyFont="1" applyFill="1" applyBorder="1" applyAlignment="1">
      <alignment horizontal="center" vertical="center" wrapText="1"/>
    </xf>
    <xf numFmtId="171" fontId="66" fillId="0" borderId="0" xfId="0" applyNumberFormat="1" applyFont="1" applyAlignment="1">
      <alignment horizontal="center"/>
    </xf>
    <xf numFmtId="167" fontId="116" fillId="0" borderId="0" xfId="0" applyNumberFormat="1" applyFont="1" applyAlignment="1">
      <alignment horizontal="right" vertical="top" wrapText="1"/>
    </xf>
    <xf numFmtId="0" fontId="186" fillId="71" borderId="359" xfId="0" applyFont="1" applyFill="1" applyBorder="1" applyAlignment="1">
      <alignment horizontal="left" vertical="center" wrapText="1" indent="1"/>
    </xf>
    <xf numFmtId="0" fontId="186" fillId="71" borderId="360" xfId="0" applyFont="1" applyFill="1" applyBorder="1" applyAlignment="1">
      <alignment horizontal="left" vertical="center" wrapText="1" indent="1"/>
    </xf>
    <xf numFmtId="0" fontId="186" fillId="71" borderId="0" xfId="0" applyFont="1" applyFill="1" applyAlignment="1">
      <alignment horizontal="left" vertical="center" wrapText="1" indent="1"/>
    </xf>
    <xf numFmtId="0" fontId="21" fillId="71" borderId="362" xfId="0" applyFont="1" applyFill="1" applyBorder="1" applyAlignment="1">
      <alignment horizontal="left" vertical="center" wrapText="1" indent="1"/>
    </xf>
    <xf numFmtId="0" fontId="0" fillId="71" borderId="361" xfId="0" applyFill="1" applyBorder="1" applyAlignment="1">
      <alignment horizontal="left" vertical="center" wrapText="1" indent="1"/>
    </xf>
    <xf numFmtId="0" fontId="174" fillId="0" borderId="307" xfId="0" applyFont="1" applyBorder="1" applyAlignment="1">
      <alignment vertical="center" wrapText="1"/>
    </xf>
    <xf numFmtId="0" fontId="174" fillId="0" borderId="367" xfId="0" applyFont="1" applyBorder="1" applyAlignment="1">
      <alignment vertical="center" wrapText="1"/>
    </xf>
    <xf numFmtId="0" fontId="187" fillId="72" borderId="371" xfId="0" applyFont="1" applyFill="1" applyBorder="1" applyAlignment="1">
      <alignment horizontal="left" vertical="center" wrapText="1" readingOrder="1"/>
    </xf>
    <xf numFmtId="2" fontId="72" fillId="0" borderId="286" xfId="0" applyNumberFormat="1" applyFont="1" applyBorder="1" applyAlignment="1">
      <alignment horizontal="center" vertical="center" wrapText="1"/>
    </xf>
    <xf numFmtId="2" fontId="72" fillId="0" borderId="284" xfId="0" applyNumberFormat="1" applyFont="1" applyBorder="1" applyAlignment="1">
      <alignment horizontal="center" vertical="center" wrapText="1"/>
    </xf>
    <xf numFmtId="190" fontId="77" fillId="0" borderId="0" xfId="0" applyNumberFormat="1" applyFont="1" applyAlignment="1">
      <alignment horizontal="center" vertical="center"/>
    </xf>
    <xf numFmtId="172" fontId="97" fillId="0" borderId="140" xfId="43" applyNumberFormat="1" applyFont="1" applyFill="1" applyBorder="1" applyAlignment="1">
      <alignment horizontal="center"/>
    </xf>
    <xf numFmtId="176" fontId="72" fillId="27" borderId="42" xfId="0" applyNumberFormat="1" applyFont="1" applyFill="1" applyBorder="1" applyAlignment="1">
      <alignment horizontal="center" vertical="center"/>
    </xf>
    <xf numFmtId="180" fontId="66" fillId="0" borderId="28" xfId="0" applyNumberFormat="1" applyFont="1" applyBorder="1" applyAlignment="1">
      <alignment horizontal="center" vertical="center"/>
    </xf>
    <xf numFmtId="195" fontId="66" fillId="0" borderId="28" xfId="0" applyNumberFormat="1" applyFont="1" applyBorder="1" applyAlignment="1">
      <alignment horizontal="center" vertical="center"/>
    </xf>
    <xf numFmtId="0" fontId="66" fillId="0" borderId="0" xfId="74" applyFont="1"/>
    <xf numFmtId="197" fontId="72" fillId="27" borderId="53" xfId="38" applyNumberFormat="1" applyFont="1" applyFill="1" applyBorder="1" applyAlignment="1">
      <alignment horizontal="center" vertical="center"/>
    </xf>
    <xf numFmtId="176" fontId="72" fillId="0" borderId="27" xfId="0" applyNumberFormat="1" applyFont="1" applyBorder="1" applyAlignment="1">
      <alignment horizontal="center" vertical="center"/>
    </xf>
    <xf numFmtId="166" fontId="79" fillId="0" borderId="0" xfId="0" applyNumberFormat="1" applyFont="1" applyAlignment="1">
      <alignment vertical="center" wrapText="1"/>
    </xf>
    <xf numFmtId="3" fontId="94" fillId="33" borderId="0" xfId="0" applyNumberFormat="1" applyFont="1" applyFill="1" applyAlignment="1">
      <alignment horizontal="center" vertical="center"/>
    </xf>
    <xf numFmtId="176" fontId="66" fillId="0" borderId="0" xfId="0" applyNumberFormat="1" applyFont="1" applyAlignment="1">
      <alignment vertical="center" wrapText="1"/>
    </xf>
    <xf numFmtId="176" fontId="72" fillId="27" borderId="54" xfId="0" applyNumberFormat="1" applyFont="1" applyFill="1" applyBorder="1" applyAlignment="1">
      <alignment horizontal="center" vertical="center"/>
    </xf>
    <xf numFmtId="176" fontId="66" fillId="0" borderId="28" xfId="0" applyNumberFormat="1" applyFont="1" applyBorder="1" applyAlignment="1">
      <alignment horizontal="center" vertical="center"/>
    </xf>
    <xf numFmtId="0" fontId="189" fillId="47" borderId="0" xfId="0" applyFont="1" applyFill="1" applyAlignment="1">
      <alignment horizontal="center" vertical="center"/>
    </xf>
    <xf numFmtId="0" fontId="110" fillId="47" borderId="11" xfId="0" applyFont="1" applyFill="1" applyBorder="1" applyAlignment="1">
      <alignment horizontal="left" vertical="center"/>
    </xf>
    <xf numFmtId="0" fontId="189" fillId="51" borderId="0" xfId="0" applyFont="1" applyFill="1" applyAlignment="1">
      <alignment horizontal="center" vertical="center"/>
    </xf>
    <xf numFmtId="0" fontId="110" fillId="51" borderId="11" xfId="0" applyFont="1" applyFill="1" applyBorder="1" applyAlignment="1">
      <alignment horizontal="left" vertical="center"/>
    </xf>
    <xf numFmtId="0" fontId="189" fillId="46" borderId="0" xfId="0" applyFont="1" applyFill="1" applyAlignment="1">
      <alignment horizontal="center" vertical="center"/>
    </xf>
    <xf numFmtId="0" fontId="110" fillId="46" borderId="11" xfId="0" applyFont="1" applyFill="1" applyBorder="1" applyAlignment="1">
      <alignment horizontal="left" vertical="center"/>
    </xf>
    <xf numFmtId="0" fontId="106" fillId="46" borderId="0" xfId="0" applyFont="1" applyFill="1" applyAlignment="1">
      <alignment horizontal="left" vertical="center"/>
    </xf>
    <xf numFmtId="0" fontId="108" fillId="46" borderId="0" xfId="0" applyFont="1" applyFill="1" applyAlignment="1">
      <alignment horizontal="center" vertical="center"/>
    </xf>
    <xf numFmtId="0" fontId="108" fillId="0" borderId="0" xfId="0" applyFont="1" applyAlignment="1">
      <alignment horizontal="center" vertical="center"/>
    </xf>
    <xf numFmtId="0" fontId="110" fillId="46" borderId="11" xfId="0" applyFont="1" applyFill="1" applyBorder="1" applyAlignment="1">
      <alignment horizontal="center" vertical="center" wrapText="1"/>
    </xf>
    <xf numFmtId="0" fontId="107" fillId="46" borderId="11" xfId="0" applyFont="1" applyFill="1" applyBorder="1" applyAlignment="1">
      <alignment horizontal="center" vertical="center" wrapText="1"/>
    </xf>
    <xf numFmtId="0" fontId="108" fillId="46" borderId="0" xfId="0" applyFont="1" applyFill="1" applyAlignment="1">
      <alignment horizontal="center" vertical="center" wrapText="1"/>
    </xf>
    <xf numFmtId="171" fontId="110" fillId="46" borderId="11" xfId="38" applyNumberFormat="1" applyFont="1" applyFill="1" applyBorder="1" applyAlignment="1">
      <alignment horizontal="center" vertical="center"/>
    </xf>
    <xf numFmtId="171" fontId="107" fillId="46" borderId="11" xfId="0" applyNumberFormat="1" applyFont="1" applyFill="1" applyBorder="1" applyAlignment="1">
      <alignment horizontal="center" vertical="center"/>
    </xf>
    <xf numFmtId="0" fontId="109" fillId="0" borderId="0" xfId="0" applyFont="1" applyAlignment="1">
      <alignment horizontal="center" vertical="center"/>
    </xf>
    <xf numFmtId="0" fontId="106" fillId="47" borderId="0" xfId="0" applyFont="1" applyFill="1" applyAlignment="1">
      <alignment horizontal="left" vertical="center"/>
    </xf>
    <xf numFmtId="0" fontId="108" fillId="47" borderId="0" xfId="0" applyFont="1" applyFill="1" applyAlignment="1">
      <alignment horizontal="center" vertical="center"/>
    </xf>
    <xf numFmtId="0" fontId="109" fillId="47" borderId="0" xfId="0" applyFont="1" applyFill="1" applyAlignment="1">
      <alignment horizontal="center" vertical="center"/>
    </xf>
    <xf numFmtId="0" fontId="110" fillId="47" borderId="11" xfId="0" applyFont="1" applyFill="1" applyBorder="1" applyAlignment="1">
      <alignment horizontal="center" vertical="center" wrapText="1"/>
    </xf>
    <xf numFmtId="0" fontId="107" fillId="47" borderId="11" xfId="0" applyFont="1" applyFill="1" applyBorder="1" applyAlignment="1">
      <alignment horizontal="center" vertical="center" wrapText="1"/>
    </xf>
    <xf numFmtId="0" fontId="108" fillId="47" borderId="0" xfId="0" applyFont="1" applyFill="1" applyAlignment="1">
      <alignment horizontal="center" vertical="center" wrapText="1"/>
    </xf>
    <xf numFmtId="171" fontId="110" fillId="47" borderId="11" xfId="38" applyNumberFormat="1" applyFont="1" applyFill="1" applyBorder="1" applyAlignment="1">
      <alignment horizontal="center" vertical="center"/>
    </xf>
    <xf numFmtId="171" fontId="107" fillId="47" borderId="11" xfId="0" applyNumberFormat="1" applyFont="1" applyFill="1" applyBorder="1" applyAlignment="1">
      <alignment horizontal="center" vertical="center"/>
    </xf>
    <xf numFmtId="0" fontId="106" fillId="51" borderId="0" xfId="0" applyFont="1" applyFill="1" applyAlignment="1">
      <alignment horizontal="left" vertical="center"/>
    </xf>
    <xf numFmtId="0" fontId="108" fillId="51" borderId="0" xfId="0" applyFont="1" applyFill="1" applyAlignment="1">
      <alignment horizontal="center" vertical="center"/>
    </xf>
    <xf numFmtId="0" fontId="109" fillId="51" borderId="0" xfId="0" applyFont="1" applyFill="1" applyAlignment="1">
      <alignment horizontal="center" vertical="center"/>
    </xf>
    <xf numFmtId="0" fontId="110" fillId="51" borderId="11" xfId="0" applyFont="1" applyFill="1" applyBorder="1" applyAlignment="1">
      <alignment horizontal="center" vertical="center" wrapText="1"/>
    </xf>
    <xf numFmtId="0" fontId="107" fillId="51" borderId="11" xfId="0" applyFont="1" applyFill="1" applyBorder="1" applyAlignment="1">
      <alignment horizontal="center" vertical="center" wrapText="1"/>
    </xf>
    <xf numFmtId="0" fontId="108" fillId="51" borderId="0" xfId="0" applyFont="1" applyFill="1" applyAlignment="1">
      <alignment horizontal="center" vertical="center" wrapText="1"/>
    </xf>
    <xf numFmtId="171" fontId="110" fillId="51" borderId="11" xfId="38" applyNumberFormat="1" applyFont="1" applyFill="1" applyBorder="1" applyAlignment="1">
      <alignment horizontal="center" vertical="center"/>
    </xf>
    <xf numFmtId="171" fontId="107" fillId="51" borderId="11" xfId="0" applyNumberFormat="1" applyFont="1" applyFill="1" applyBorder="1" applyAlignment="1">
      <alignment horizontal="center" vertical="center"/>
    </xf>
    <xf numFmtId="171" fontId="190" fillId="47" borderId="11" xfId="38" applyNumberFormat="1" applyFont="1" applyFill="1" applyBorder="1" applyAlignment="1">
      <alignment horizontal="center" vertical="center"/>
    </xf>
    <xf numFmtId="0" fontId="127" fillId="67" borderId="0" xfId="0" applyFont="1" applyFill="1" applyAlignment="1">
      <alignment wrapText="1"/>
    </xf>
    <xf numFmtId="0" fontId="127" fillId="67" borderId="307" xfId="0" applyFont="1" applyFill="1" applyBorder="1" applyAlignment="1">
      <alignment wrapText="1"/>
    </xf>
    <xf numFmtId="0" fontId="127" fillId="67" borderId="313" xfId="0" applyFont="1" applyFill="1" applyBorder="1" applyAlignment="1">
      <alignment wrapText="1"/>
    </xf>
    <xf numFmtId="0" fontId="191" fillId="67" borderId="311" xfId="0" applyFont="1" applyFill="1" applyBorder="1" applyAlignment="1">
      <alignment horizontal="center" vertical="center" wrapText="1" readingOrder="1"/>
    </xf>
    <xf numFmtId="0" fontId="191" fillId="67" borderId="314" xfId="0" applyFont="1" applyFill="1" applyBorder="1" applyAlignment="1">
      <alignment horizontal="center" vertical="center" wrapText="1" readingOrder="1"/>
    </xf>
    <xf numFmtId="0" fontId="191" fillId="67" borderId="315" xfId="0" applyFont="1" applyFill="1" applyBorder="1" applyAlignment="1">
      <alignment horizontal="center" vertical="center" wrapText="1" readingOrder="1"/>
    </xf>
    <xf numFmtId="0" fontId="192" fillId="0" borderId="315" xfId="0" applyFont="1" applyBorder="1" applyAlignment="1">
      <alignment horizontal="left" vertical="center" wrapText="1" readingOrder="1"/>
    </xf>
    <xf numFmtId="3" fontId="192" fillId="0" borderId="311" xfId="0" applyNumberFormat="1" applyFont="1" applyBorder="1" applyAlignment="1">
      <alignment horizontal="center" vertical="center" wrapText="1" readingOrder="1"/>
    </xf>
    <xf numFmtId="3" fontId="192" fillId="0" borderId="314" xfId="0" applyNumberFormat="1" applyFont="1" applyBorder="1" applyAlignment="1">
      <alignment horizontal="center" vertical="center" wrapText="1" readingOrder="1"/>
    </xf>
    <xf numFmtId="3" fontId="192" fillId="0" borderId="315" xfId="0" applyNumberFormat="1" applyFont="1" applyBorder="1" applyAlignment="1">
      <alignment horizontal="center" vertical="center" wrapText="1" readingOrder="1"/>
    </xf>
    <xf numFmtId="0" fontId="192" fillId="0" borderId="314" xfId="0" applyFont="1" applyBorder="1" applyAlignment="1">
      <alignment horizontal="center" vertical="center" wrapText="1" readingOrder="1"/>
    </xf>
    <xf numFmtId="166" fontId="192" fillId="0" borderId="311" xfId="0" applyNumberFormat="1" applyFont="1" applyBorder="1" applyAlignment="1">
      <alignment horizontal="center" vertical="center" wrapText="1" readingOrder="1"/>
    </xf>
    <xf numFmtId="166" fontId="192" fillId="0" borderId="314" xfId="0" applyNumberFormat="1" applyFont="1" applyBorder="1" applyAlignment="1">
      <alignment horizontal="center" vertical="center" wrapText="1" readingOrder="1"/>
    </xf>
    <xf numFmtId="0" fontId="192" fillId="0" borderId="311" xfId="0" applyFont="1" applyBorder="1" applyAlignment="1">
      <alignment horizontal="center" vertical="center" wrapText="1" readingOrder="1"/>
    </xf>
    <xf numFmtId="0" fontId="192" fillId="0" borderId="315" xfId="0" applyFont="1" applyBorder="1" applyAlignment="1">
      <alignment horizontal="center" vertical="center" wrapText="1" readingOrder="1"/>
    </xf>
    <xf numFmtId="0" fontId="191" fillId="67" borderId="316" xfId="0" applyFont="1" applyFill="1" applyBorder="1" applyAlignment="1">
      <alignment horizontal="center" vertical="center" wrapText="1" readingOrder="1"/>
    </xf>
    <xf numFmtId="3" fontId="191" fillId="67" borderId="317" xfId="0" applyNumberFormat="1" applyFont="1" applyFill="1" applyBorder="1" applyAlignment="1">
      <alignment horizontal="center" vertical="center" wrapText="1" readingOrder="1"/>
    </xf>
    <xf numFmtId="0" fontId="191" fillId="67" borderId="317" xfId="0" applyFont="1" applyFill="1" applyBorder="1" applyAlignment="1">
      <alignment horizontal="center" vertical="center" wrapText="1" readingOrder="1"/>
    </xf>
    <xf numFmtId="166" fontId="191" fillId="67" borderId="317" xfId="0" applyNumberFormat="1" applyFont="1" applyFill="1" applyBorder="1" applyAlignment="1">
      <alignment horizontal="center" vertical="center" wrapText="1" readingOrder="1"/>
    </xf>
    <xf numFmtId="0" fontId="127" fillId="54" borderId="0" xfId="0" applyFont="1" applyFill="1" applyAlignment="1">
      <alignment wrapText="1"/>
    </xf>
    <xf numFmtId="0" fontId="127" fillId="54" borderId="307" xfId="0" applyFont="1" applyFill="1" applyBorder="1" applyAlignment="1">
      <alignment wrapText="1"/>
    </xf>
    <xf numFmtId="0" fontId="191" fillId="54" borderId="311" xfId="0" applyFont="1" applyFill="1" applyBorder="1" applyAlignment="1">
      <alignment horizontal="center" vertical="center" wrapText="1" readingOrder="1"/>
    </xf>
    <xf numFmtId="0" fontId="191" fillId="54" borderId="314" xfId="0" applyFont="1" applyFill="1" applyBorder="1" applyAlignment="1">
      <alignment horizontal="center" vertical="center" wrapText="1" readingOrder="1"/>
    </xf>
    <xf numFmtId="0" fontId="191" fillId="54" borderId="315" xfId="0" applyFont="1" applyFill="1" applyBorder="1" applyAlignment="1">
      <alignment horizontal="center" vertical="center" wrapText="1" readingOrder="1"/>
    </xf>
    <xf numFmtId="0" fontId="191" fillId="54" borderId="316" xfId="0" applyFont="1" applyFill="1" applyBorder="1" applyAlignment="1">
      <alignment horizontal="center" vertical="center" wrapText="1" readingOrder="1"/>
    </xf>
    <xf numFmtId="3" fontId="191" fillId="54" borderId="317" xfId="0" applyNumberFormat="1" applyFont="1" applyFill="1" applyBorder="1" applyAlignment="1">
      <alignment horizontal="center" vertical="center" wrapText="1" readingOrder="1"/>
    </xf>
    <xf numFmtId="0" fontId="191" fillId="54" borderId="317" xfId="0" applyFont="1" applyFill="1" applyBorder="1" applyAlignment="1">
      <alignment horizontal="center" vertical="center" wrapText="1" readingOrder="1"/>
    </xf>
    <xf numFmtId="166" fontId="191" fillId="54" borderId="317" xfId="0" applyNumberFormat="1" applyFont="1" applyFill="1" applyBorder="1" applyAlignment="1">
      <alignment horizontal="center" vertical="center" wrapText="1" readingOrder="1"/>
    </xf>
    <xf numFmtId="0" fontId="66" fillId="46" borderId="0" xfId="0" applyFont="1" applyFill="1"/>
    <xf numFmtId="0" fontId="66" fillId="46" borderId="228" xfId="0" applyFont="1" applyFill="1" applyBorder="1" applyAlignment="1">
      <alignment horizontal="center" vertical="center"/>
    </xf>
    <xf numFmtId="0" fontId="66" fillId="46" borderId="293" xfId="0" applyFont="1" applyFill="1" applyBorder="1" applyAlignment="1">
      <alignment horizontal="left" vertical="center"/>
    </xf>
    <xf numFmtId="0" fontId="66" fillId="46" borderId="228" xfId="0" applyFont="1" applyFill="1" applyBorder="1" applyAlignment="1">
      <alignment horizontal="center"/>
    </xf>
    <xf numFmtId="0" fontId="66" fillId="47" borderId="0" xfId="0" applyFont="1" applyFill="1"/>
    <xf numFmtId="0" fontId="66" fillId="47" borderId="228" xfId="0" applyFont="1" applyFill="1" applyBorder="1" applyAlignment="1">
      <alignment horizontal="center" vertical="center"/>
    </xf>
    <xf numFmtId="0" fontId="66" fillId="47" borderId="293" xfId="0" applyFont="1" applyFill="1" applyBorder="1" applyAlignment="1">
      <alignment horizontal="left" vertical="center"/>
    </xf>
    <xf numFmtId="0" fontId="66" fillId="47" borderId="228" xfId="0" applyFont="1" applyFill="1" applyBorder="1" applyAlignment="1">
      <alignment horizontal="center"/>
    </xf>
    <xf numFmtId="0" fontId="77" fillId="0" borderId="0" xfId="0" applyFont="1"/>
    <xf numFmtId="17" fontId="72" fillId="24" borderId="21" xfId="0" applyNumberFormat="1" applyFont="1" applyFill="1" applyBorder="1" applyAlignment="1">
      <alignment horizontal="center" vertical="center" wrapText="1"/>
    </xf>
    <xf numFmtId="0" fontId="72" fillId="24" borderId="113" xfId="0" quotePrefix="1" applyFont="1" applyFill="1" applyBorder="1" applyAlignment="1">
      <alignment vertical="center" wrapText="1"/>
    </xf>
    <xf numFmtId="2" fontId="72" fillId="0" borderId="380" xfId="0" applyNumberFormat="1" applyFont="1" applyBorder="1" applyAlignment="1">
      <alignment horizontal="center" vertical="center" wrapText="1"/>
    </xf>
    <xf numFmtId="2" fontId="72" fillId="0" borderId="294" xfId="0" applyNumberFormat="1" applyFont="1" applyBorder="1" applyAlignment="1">
      <alignment horizontal="center" vertical="center" wrapText="1"/>
    </xf>
    <xf numFmtId="17" fontId="72" fillId="24" borderId="381" xfId="0" applyNumberFormat="1" applyFont="1" applyFill="1" applyBorder="1" applyAlignment="1">
      <alignment horizontal="center" vertical="center" wrapText="1"/>
    </xf>
    <xf numFmtId="17" fontId="76" fillId="24" borderId="382" xfId="0" applyNumberFormat="1" applyFont="1" applyFill="1" applyBorder="1" applyAlignment="1">
      <alignment horizontal="center" vertical="center" wrapText="1"/>
    </xf>
    <xf numFmtId="2" fontId="66" fillId="0" borderId="383" xfId="0" applyNumberFormat="1" applyFont="1" applyBorder="1" applyAlignment="1">
      <alignment horizontal="center" vertical="center" wrapText="1"/>
    </xf>
    <xf numFmtId="2" fontId="66" fillId="24" borderId="384" xfId="0" applyNumberFormat="1" applyFont="1" applyFill="1" applyBorder="1" applyAlignment="1">
      <alignment horizontal="center" vertical="center" wrapText="1"/>
    </xf>
    <xf numFmtId="2" fontId="66" fillId="0" borderId="384" xfId="0" applyNumberFormat="1" applyFont="1" applyBorder="1" applyAlignment="1">
      <alignment horizontal="center" vertical="center" wrapText="1"/>
    </xf>
    <xf numFmtId="0" fontId="12" fillId="64" borderId="0" xfId="464" applyFill="1"/>
    <xf numFmtId="0" fontId="12" fillId="45" borderId="0" xfId="464" applyFill="1"/>
    <xf numFmtId="0" fontId="193" fillId="45" borderId="0" xfId="464" applyFont="1" applyFill="1"/>
    <xf numFmtId="0" fontId="194" fillId="64" borderId="0" xfId="464" applyFont="1" applyFill="1"/>
    <xf numFmtId="0" fontId="83" fillId="45" borderId="0" xfId="464" applyFont="1" applyFill="1"/>
    <xf numFmtId="0" fontId="161" fillId="58" borderId="228" xfId="464" applyFont="1" applyFill="1" applyBorder="1" applyAlignment="1">
      <alignment horizontal="center" vertical="center"/>
    </xf>
    <xf numFmtId="0" fontId="196" fillId="64" borderId="0" xfId="464" applyFont="1" applyFill="1" applyAlignment="1">
      <alignment horizontal="center" vertical="center"/>
    </xf>
    <xf numFmtId="0" fontId="183" fillId="58" borderId="291" xfId="464" applyFont="1" applyFill="1" applyBorder="1"/>
    <xf numFmtId="0" fontId="157" fillId="58" borderId="291" xfId="464" applyFont="1" applyFill="1" applyBorder="1" applyAlignment="1">
      <alignment horizontal="center" vertical="center"/>
    </xf>
    <xf numFmtId="2" fontId="157" fillId="58" borderId="291" xfId="464" applyNumberFormat="1" applyFont="1" applyFill="1" applyBorder="1" applyAlignment="1">
      <alignment horizontal="center" vertical="center"/>
    </xf>
    <xf numFmtId="0" fontId="195" fillId="64" borderId="0" xfId="464" applyFont="1" applyFill="1"/>
    <xf numFmtId="3" fontId="194" fillId="64" borderId="0" xfId="464" applyNumberFormat="1" applyFont="1" applyFill="1" applyAlignment="1">
      <alignment vertical="center"/>
    </xf>
    <xf numFmtId="0" fontId="12" fillId="45" borderId="293" xfId="464" applyFill="1" applyBorder="1" applyAlignment="1">
      <alignment horizontal="left" vertical="center" indent="1"/>
    </xf>
    <xf numFmtId="0" fontId="12" fillId="45" borderId="293" xfId="464" applyFill="1" applyBorder="1" applyAlignment="1">
      <alignment horizontal="center" vertical="center"/>
    </xf>
    <xf numFmtId="2" fontId="12" fillId="58" borderId="293" xfId="464" applyNumberFormat="1" applyFill="1" applyBorder="1" applyAlignment="1">
      <alignment horizontal="center" vertical="center"/>
    </xf>
    <xf numFmtId="0" fontId="194" fillId="64" borderId="0" xfId="464" applyFont="1" applyFill="1" applyAlignment="1">
      <alignment vertical="center"/>
    </xf>
    <xf numFmtId="0" fontId="12" fillId="45" borderId="292" xfId="464" applyFill="1" applyBorder="1" applyAlignment="1">
      <alignment horizontal="left" vertical="center" indent="1"/>
    </xf>
    <xf numFmtId="0" fontId="12" fillId="45" borderId="292" xfId="464" applyFill="1" applyBorder="1" applyAlignment="1">
      <alignment horizontal="center" vertical="center"/>
    </xf>
    <xf numFmtId="2" fontId="12" fillId="58" borderId="292" xfId="464" applyNumberFormat="1" applyFill="1" applyBorder="1" applyAlignment="1">
      <alignment horizontal="center" vertical="center"/>
    </xf>
    <xf numFmtId="0" fontId="183" fillId="45" borderId="378" xfId="464" applyFont="1" applyFill="1" applyBorder="1" applyAlignment="1">
      <alignment vertical="center"/>
    </xf>
    <xf numFmtId="0" fontId="183" fillId="45" borderId="378" xfId="464" applyFont="1" applyFill="1" applyBorder="1"/>
    <xf numFmtId="0" fontId="183" fillId="58" borderId="228" xfId="464" applyFont="1" applyFill="1" applyBorder="1" applyAlignment="1">
      <alignment horizontal="center" vertical="center"/>
    </xf>
    <xf numFmtId="0" fontId="198" fillId="58" borderId="228" xfId="464" applyFont="1" applyFill="1" applyBorder="1" applyAlignment="1">
      <alignment horizontal="center" vertical="center"/>
    </xf>
    <xf numFmtId="0" fontId="83" fillId="56" borderId="228" xfId="464" applyFont="1" applyFill="1" applyBorder="1" applyAlignment="1">
      <alignment horizontal="center" vertical="center"/>
    </xf>
    <xf numFmtId="0" fontId="198" fillId="56" borderId="228" xfId="464" applyFont="1" applyFill="1" applyBorder="1" applyAlignment="1">
      <alignment horizontal="center" vertical="center"/>
    </xf>
    <xf numFmtId="0" fontId="12" fillId="45" borderId="293" xfId="464" applyFill="1" applyBorder="1" applyAlignment="1">
      <alignment horizontal="left" vertical="center"/>
    </xf>
    <xf numFmtId="3" fontId="12" fillId="45" borderId="293" xfId="464" applyNumberFormat="1" applyFill="1" applyBorder="1" applyAlignment="1">
      <alignment horizontal="center" vertical="center"/>
    </xf>
    <xf numFmtId="3" fontId="200" fillId="45" borderId="293" xfId="464" applyNumberFormat="1" applyFont="1" applyFill="1" applyBorder="1" applyAlignment="1">
      <alignment horizontal="center" vertical="center"/>
    </xf>
    <xf numFmtId="3" fontId="12" fillId="56" borderId="293" xfId="464" applyNumberFormat="1" applyFill="1" applyBorder="1" applyAlignment="1">
      <alignment horizontal="center" vertical="center"/>
    </xf>
    <xf numFmtId="3" fontId="200" fillId="56" borderId="293" xfId="464" applyNumberFormat="1" applyFont="1" applyFill="1" applyBorder="1" applyAlignment="1">
      <alignment horizontal="center" vertical="center"/>
    </xf>
    <xf numFmtId="0" fontId="12" fillId="58" borderId="228" xfId="464" applyFill="1" applyBorder="1" applyAlignment="1">
      <alignment horizontal="center"/>
    </xf>
    <xf numFmtId="3" fontId="12" fillId="58" borderId="228" xfId="464" applyNumberFormat="1" applyFill="1" applyBorder="1" applyAlignment="1">
      <alignment horizontal="center" vertical="center"/>
    </xf>
    <xf numFmtId="3" fontId="157" fillId="58" borderId="228" xfId="464" applyNumberFormat="1" applyFont="1" applyFill="1" applyBorder="1" applyAlignment="1">
      <alignment horizontal="center" vertical="center"/>
    </xf>
    <xf numFmtId="3" fontId="200" fillId="58" borderId="228" xfId="464" applyNumberFormat="1" applyFont="1" applyFill="1" applyBorder="1" applyAlignment="1">
      <alignment horizontal="center" vertical="center"/>
    </xf>
    <xf numFmtId="0" fontId="183" fillId="45" borderId="389" xfId="464" applyFont="1" applyFill="1" applyBorder="1" applyAlignment="1">
      <alignment vertical="center"/>
    </xf>
    <xf numFmtId="0" fontId="183" fillId="45" borderId="389" xfId="464" applyFont="1" applyFill="1" applyBorder="1"/>
    <xf numFmtId="0" fontId="12" fillId="58" borderId="228" xfId="464" applyFill="1" applyBorder="1" applyAlignment="1">
      <alignment horizontal="center" vertical="center"/>
    </xf>
    <xf numFmtId="0" fontId="12" fillId="56" borderId="228" xfId="464" applyFill="1" applyBorder="1" applyAlignment="1">
      <alignment horizontal="center" vertical="center"/>
    </xf>
    <xf numFmtId="3" fontId="12" fillId="58" borderId="293" xfId="464" applyNumberFormat="1" applyFill="1" applyBorder="1" applyAlignment="1">
      <alignment horizontal="center" vertical="center"/>
    </xf>
    <xf numFmtId="0" fontId="12" fillId="58" borderId="228" xfId="464" applyFill="1" applyBorder="1"/>
    <xf numFmtId="0" fontId="12" fillId="0" borderId="0" xfId="464"/>
    <xf numFmtId="0" fontId="157" fillId="0" borderId="0" xfId="464" applyFont="1"/>
    <xf numFmtId="0" fontId="12" fillId="58" borderId="291" xfId="464" applyFill="1" applyBorder="1" applyAlignment="1">
      <alignment horizontal="center" vertical="center"/>
    </xf>
    <xf numFmtId="2" fontId="12" fillId="58" borderId="291" xfId="464" applyNumberFormat="1" applyFill="1" applyBorder="1" applyAlignment="1">
      <alignment horizontal="center" vertical="center"/>
    </xf>
    <xf numFmtId="0" fontId="12" fillId="45" borderId="293" xfId="464" applyFill="1" applyBorder="1"/>
    <xf numFmtId="0" fontId="12" fillId="45" borderId="385" xfId="464" applyFill="1" applyBorder="1" applyAlignment="1">
      <alignment horizontal="center"/>
    </xf>
    <xf numFmtId="0" fontId="183" fillId="45" borderId="0" xfId="464" applyFont="1" applyFill="1"/>
    <xf numFmtId="3" fontId="183" fillId="45" borderId="0" xfId="464" applyNumberFormat="1" applyFont="1" applyFill="1"/>
    <xf numFmtId="0" fontId="12" fillId="58" borderId="293" xfId="464" applyFill="1" applyBorder="1" applyAlignment="1">
      <alignment horizontal="center" vertical="center"/>
    </xf>
    <xf numFmtId="0" fontId="183" fillId="45" borderId="378" xfId="464" applyFont="1" applyFill="1" applyBorder="1" applyAlignment="1">
      <alignment horizontal="center" vertical="center"/>
    </xf>
    <xf numFmtId="171" fontId="12" fillId="45" borderId="293" xfId="38" applyNumberFormat="1" applyFont="1" applyFill="1" applyBorder="1" applyAlignment="1">
      <alignment horizontal="center" vertical="center"/>
    </xf>
    <xf numFmtId="171" fontId="12" fillId="58" borderId="293" xfId="38" applyNumberFormat="1" applyFont="1" applyFill="1" applyBorder="1" applyAlignment="1">
      <alignment horizontal="center" vertical="center"/>
    </xf>
    <xf numFmtId="171" fontId="12" fillId="56" borderId="293" xfId="38" applyNumberFormat="1" applyFont="1" applyFill="1" applyBorder="1" applyAlignment="1">
      <alignment horizontal="center" vertical="center"/>
    </xf>
    <xf numFmtId="171" fontId="12" fillId="58" borderId="228" xfId="38" applyNumberFormat="1" applyFont="1" applyFill="1" applyBorder="1" applyAlignment="1">
      <alignment horizontal="center" vertical="center"/>
    </xf>
    <xf numFmtId="0" fontId="108" fillId="0" borderId="0" xfId="0" applyFont="1"/>
    <xf numFmtId="4" fontId="66" fillId="0" borderId="0" xfId="0" applyNumberFormat="1" applyFont="1" applyAlignment="1">
      <alignment horizontal="center" vertical="center" wrapText="1"/>
    </xf>
    <xf numFmtId="4" fontId="90" fillId="0" borderId="0" xfId="0" quotePrefix="1" applyNumberFormat="1" applyFont="1" applyAlignment="1">
      <alignment horizontal="center" vertical="center" wrapText="1"/>
    </xf>
    <xf numFmtId="3" fontId="90" fillId="0" borderId="0" xfId="0" quotePrefix="1" applyNumberFormat="1" applyFont="1" applyAlignment="1">
      <alignment horizontal="center" vertical="center" wrapText="1"/>
    </xf>
    <xf numFmtId="167" fontId="77" fillId="24" borderId="91" xfId="0" applyNumberFormat="1" applyFont="1" applyFill="1" applyBorder="1" applyAlignment="1">
      <alignment horizontal="center" vertical="center" wrapText="1"/>
    </xf>
    <xf numFmtId="0" fontId="157" fillId="58" borderId="291" xfId="0" applyFont="1" applyFill="1" applyBorder="1" applyAlignment="1">
      <alignment horizontal="center" vertical="center"/>
    </xf>
    <xf numFmtId="2" fontId="157" fillId="58" borderId="291" xfId="0" applyNumberFormat="1" applyFont="1" applyFill="1" applyBorder="1" applyAlignment="1">
      <alignment horizontal="center" vertical="center"/>
    </xf>
    <xf numFmtId="1" fontId="157" fillId="58" borderId="291" xfId="0" applyNumberFormat="1" applyFont="1" applyFill="1" applyBorder="1" applyAlignment="1">
      <alignment horizontal="center" vertical="center"/>
    </xf>
    <xf numFmtId="0" fontId="0" fillId="45" borderId="293" xfId="0" applyFill="1" applyBorder="1" applyAlignment="1">
      <alignment horizontal="center" vertical="center"/>
    </xf>
    <xf numFmtId="2" fontId="0" fillId="58" borderId="293" xfId="0" applyNumberFormat="1" applyFill="1" applyBorder="1" applyAlignment="1">
      <alignment horizontal="center" vertical="center"/>
    </xf>
    <xf numFmtId="0" fontId="0" fillId="45" borderId="292" xfId="0" applyFill="1" applyBorder="1" applyAlignment="1">
      <alignment horizontal="center" vertical="center"/>
    </xf>
    <xf numFmtId="2" fontId="0" fillId="58" borderId="292" xfId="0" applyNumberFormat="1" applyFill="1" applyBorder="1" applyAlignment="1">
      <alignment horizontal="center" vertical="center"/>
    </xf>
    <xf numFmtId="1" fontId="0" fillId="45" borderId="293" xfId="0" applyNumberFormat="1" applyFill="1" applyBorder="1" applyAlignment="1">
      <alignment horizontal="center" vertical="center"/>
    </xf>
    <xf numFmtId="181" fontId="12" fillId="45" borderId="293" xfId="38" applyNumberFormat="1" applyFont="1" applyFill="1" applyBorder="1" applyAlignment="1">
      <alignment horizontal="center" vertical="center"/>
    </xf>
    <xf numFmtId="14" fontId="66" fillId="0" borderId="0" xfId="0" applyNumberFormat="1" applyFont="1" applyAlignment="1">
      <alignment horizontal="center" vertical="center"/>
    </xf>
    <xf numFmtId="1" fontId="83" fillId="0" borderId="92" xfId="0" applyNumberFormat="1" applyFont="1" applyBorder="1" applyAlignment="1">
      <alignment horizontal="center"/>
    </xf>
    <xf numFmtId="4" fontId="74" fillId="0" borderId="254" xfId="47" applyNumberFormat="1" applyFont="1" applyBorder="1" applyAlignment="1">
      <alignment vertical="center"/>
    </xf>
    <xf numFmtId="4" fontId="74" fillId="0" borderId="246" xfId="47" applyNumberFormat="1" applyFont="1" applyBorder="1" applyAlignment="1">
      <alignment vertical="center"/>
    </xf>
    <xf numFmtId="4" fontId="74" fillId="0" borderId="318" xfId="47" applyNumberFormat="1" applyFont="1" applyBorder="1" applyAlignment="1">
      <alignment vertical="center"/>
    </xf>
    <xf numFmtId="4" fontId="74" fillId="0" borderId="261" xfId="47" applyNumberFormat="1" applyFont="1" applyBorder="1" applyAlignment="1">
      <alignment vertical="center"/>
    </xf>
    <xf numFmtId="4" fontId="74" fillId="0" borderId="321" xfId="47" applyNumberFormat="1" applyFont="1" applyBorder="1" applyAlignment="1">
      <alignment vertical="center"/>
    </xf>
    <xf numFmtId="4" fontId="74" fillId="0" borderId="319" xfId="47" applyNumberFormat="1" applyFont="1" applyBorder="1" applyAlignment="1">
      <alignment vertical="center"/>
    </xf>
    <xf numFmtId="4" fontId="74" fillId="0" borderId="262" xfId="47" applyNumberFormat="1" applyFont="1" applyBorder="1" applyAlignment="1">
      <alignment vertical="center"/>
    </xf>
    <xf numFmtId="4" fontId="74" fillId="0" borderId="322" xfId="47" applyNumberFormat="1" applyFont="1" applyBorder="1" applyAlignment="1">
      <alignment vertical="center"/>
    </xf>
    <xf numFmtId="4" fontId="74" fillId="0" borderId="320" xfId="47" applyNumberFormat="1" applyFont="1" applyBorder="1" applyAlignment="1">
      <alignment vertical="center"/>
    </xf>
    <xf numFmtId="4" fontId="74" fillId="0" borderId="263" xfId="47" applyNumberFormat="1" applyFont="1" applyBorder="1" applyAlignment="1">
      <alignment vertical="center"/>
    </xf>
    <xf numFmtId="4" fontId="74" fillId="0" borderId="323" xfId="47" applyNumberFormat="1" applyFont="1" applyBorder="1" applyAlignment="1">
      <alignment vertical="center"/>
    </xf>
    <xf numFmtId="2" fontId="76" fillId="24" borderId="100" xfId="0" applyNumberFormat="1" applyFont="1" applyFill="1" applyBorder="1" applyAlignment="1">
      <alignment horizontal="center" vertical="center" wrapText="1"/>
    </xf>
    <xf numFmtId="2" fontId="76" fillId="24" borderId="94" xfId="0" applyNumberFormat="1" applyFont="1" applyFill="1" applyBorder="1" applyAlignment="1">
      <alignment horizontal="center" vertical="center" wrapText="1"/>
    </xf>
    <xf numFmtId="164" fontId="72" fillId="27" borderId="41" xfId="38" applyFont="1" applyFill="1" applyBorder="1" applyAlignment="1">
      <alignment horizontal="center" vertical="center"/>
    </xf>
    <xf numFmtId="164" fontId="72" fillId="27" borderId="42" xfId="38" applyFont="1" applyFill="1" applyBorder="1" applyAlignment="1">
      <alignment horizontal="center" vertical="center"/>
    </xf>
    <xf numFmtId="164" fontId="72" fillId="27" borderId="43" xfId="38" applyFont="1" applyFill="1" applyBorder="1" applyAlignment="1">
      <alignment horizontal="center" vertical="center"/>
    </xf>
    <xf numFmtId="164" fontId="72" fillId="27" borderId="40" xfId="38" applyFont="1" applyFill="1" applyBorder="1" applyAlignment="1">
      <alignment horizontal="center" vertical="center"/>
    </xf>
    <xf numFmtId="164" fontId="72" fillId="27" borderId="38" xfId="38" applyFont="1" applyFill="1" applyBorder="1" applyAlignment="1">
      <alignment horizontal="center" vertical="center"/>
    </xf>
    <xf numFmtId="164" fontId="72" fillId="27" borderId="44" xfId="38" applyFont="1" applyFill="1" applyBorder="1" applyAlignment="1">
      <alignment horizontal="center" vertical="center"/>
    </xf>
    <xf numFmtId="164" fontId="72" fillId="27" borderId="54" xfId="38" applyFont="1" applyFill="1" applyBorder="1" applyAlignment="1">
      <alignment horizontal="center" vertical="center"/>
    </xf>
    <xf numFmtId="164" fontId="72" fillId="44" borderId="44" xfId="38" applyFont="1" applyFill="1" applyBorder="1" applyAlignment="1">
      <alignment horizontal="center" vertical="center"/>
    </xf>
    <xf numFmtId="164" fontId="70" fillId="26" borderId="45" xfId="0" applyNumberFormat="1" applyFont="1" applyFill="1" applyBorder="1" applyAlignment="1">
      <alignment horizontal="center" vertical="center"/>
    </xf>
    <xf numFmtId="164" fontId="70" fillId="26" borderId="15" xfId="0" applyNumberFormat="1" applyFont="1" applyFill="1" applyBorder="1" applyAlignment="1">
      <alignment horizontal="center" vertical="center"/>
    </xf>
    <xf numFmtId="164" fontId="70" fillId="26" borderId="55" xfId="0" applyNumberFormat="1" applyFont="1" applyFill="1" applyBorder="1" applyAlignment="1">
      <alignment horizontal="center" vertical="center"/>
    </xf>
    <xf numFmtId="1" fontId="72" fillId="0" borderId="27" xfId="0" applyNumberFormat="1" applyFont="1" applyBorder="1" applyAlignment="1">
      <alignment horizontal="center" vertical="center"/>
    </xf>
    <xf numFmtId="0" fontId="97" fillId="0" borderId="261" xfId="47" applyFont="1" applyBorder="1" applyAlignment="1">
      <alignment vertical="center"/>
    </xf>
    <xf numFmtId="0" fontId="97" fillId="0" borderId="262" xfId="47" applyFont="1" applyBorder="1" applyAlignment="1">
      <alignment vertical="center"/>
    </xf>
    <xf numFmtId="0" fontId="97" fillId="0" borderId="263" xfId="47" applyFont="1" applyBorder="1" applyAlignment="1">
      <alignment vertical="center"/>
    </xf>
    <xf numFmtId="0" fontId="68" fillId="49" borderId="248" xfId="47" applyFont="1" applyFill="1" applyBorder="1" applyAlignment="1">
      <alignment vertical="center" wrapText="1"/>
    </xf>
    <xf numFmtId="0" fontId="68" fillId="49" borderId="250" xfId="47" applyFont="1" applyFill="1" applyBorder="1" applyAlignment="1">
      <alignment vertical="center" wrapText="1"/>
    </xf>
    <xf numFmtId="0" fontId="66" fillId="0" borderId="251" xfId="47" applyFont="1" applyBorder="1"/>
    <xf numFmtId="164" fontId="134" fillId="24" borderId="11" xfId="489" applyFont="1" applyFill="1" applyBorder="1" applyAlignment="1">
      <alignment horizontal="center" vertical="center"/>
    </xf>
    <xf numFmtId="196" fontId="201" fillId="0" borderId="173" xfId="164" applyNumberFormat="1" applyFont="1" applyBorder="1" applyAlignment="1">
      <alignment horizontal="center" vertical="center"/>
    </xf>
    <xf numFmtId="164" fontId="134" fillId="55" borderId="244" xfId="489" applyFont="1" applyFill="1" applyBorder="1" applyAlignment="1">
      <alignment horizontal="center" vertical="center"/>
    </xf>
    <xf numFmtId="10" fontId="201" fillId="55" borderId="304" xfId="164" applyNumberFormat="1" applyFont="1" applyFill="1" applyBorder="1" applyAlignment="1">
      <alignment horizontal="center" vertical="center"/>
    </xf>
    <xf numFmtId="2" fontId="146" fillId="0" borderId="0" xfId="47" applyNumberFormat="1" applyFont="1" applyAlignment="1">
      <alignment horizontal="center" vertical="center" wrapText="1"/>
    </xf>
    <xf numFmtId="4" fontId="74" fillId="0" borderId="407" xfId="47" applyNumberFormat="1" applyFont="1" applyBorder="1" applyAlignment="1">
      <alignment vertical="center"/>
    </xf>
    <xf numFmtId="4" fontId="74" fillId="0" borderId="269" xfId="47" applyNumberFormat="1" applyFont="1" applyBorder="1" applyAlignment="1">
      <alignment vertical="center"/>
    </xf>
    <xf numFmtId="4" fontId="74" fillId="0" borderId="408" xfId="47" applyNumberFormat="1" applyFont="1" applyBorder="1" applyAlignment="1">
      <alignment vertical="center"/>
    </xf>
    <xf numFmtId="176" fontId="68" fillId="49" borderId="258" xfId="47" applyNumberFormat="1" applyFont="1" applyFill="1" applyBorder="1"/>
    <xf numFmtId="0" fontId="69" fillId="49" borderId="47" xfId="0" applyFont="1" applyFill="1" applyBorder="1" applyAlignment="1">
      <alignment horizontal="center" vertical="center"/>
    </xf>
    <xf numFmtId="171" fontId="93" fillId="0" borderId="14" xfId="38" applyNumberFormat="1" applyFont="1" applyFill="1" applyBorder="1" applyAlignment="1">
      <alignment horizontal="center" vertical="center"/>
    </xf>
    <xf numFmtId="0" fontId="69" fillId="49" borderId="331" xfId="0" applyFont="1" applyFill="1" applyBorder="1" applyAlignment="1">
      <alignment horizontal="center" vertical="center"/>
    </xf>
    <xf numFmtId="171" fontId="79" fillId="0" borderId="111" xfId="38" applyNumberFormat="1" applyFont="1" applyFill="1" applyBorder="1" applyAlignment="1">
      <alignment vertical="center"/>
    </xf>
    <xf numFmtId="0" fontId="69" fillId="49" borderId="415" xfId="0" applyFont="1" applyFill="1" applyBorder="1" applyAlignment="1">
      <alignment horizontal="center" vertical="center"/>
    </xf>
    <xf numFmtId="0" fontId="69" fillId="49" borderId="401" xfId="0" applyFont="1" applyFill="1" applyBorder="1" applyAlignment="1">
      <alignment horizontal="center" vertical="center"/>
    </xf>
    <xf numFmtId="0" fontId="69" fillId="49" borderId="416" xfId="0" applyFont="1" applyFill="1" applyBorder="1" applyAlignment="1">
      <alignment horizontal="center" vertical="center"/>
    </xf>
    <xf numFmtId="171" fontId="79" fillId="0" borderId="417" xfId="38" applyNumberFormat="1" applyFont="1" applyFill="1" applyBorder="1" applyAlignment="1">
      <alignment vertical="center"/>
    </xf>
    <xf numFmtId="171" fontId="93" fillId="0" borderId="418" xfId="38" applyNumberFormat="1" applyFont="1" applyFill="1" applyBorder="1" applyAlignment="1">
      <alignment horizontal="center" vertical="center"/>
    </xf>
    <xf numFmtId="164" fontId="134" fillId="24" borderId="11" xfId="38" applyFont="1" applyFill="1" applyBorder="1" applyAlignment="1">
      <alignment horizontal="center" vertical="center"/>
    </xf>
    <xf numFmtId="164" fontId="134" fillId="55" borderId="244" xfId="38" applyFont="1" applyFill="1" applyBorder="1" applyAlignment="1">
      <alignment horizontal="center" vertical="center"/>
    </xf>
    <xf numFmtId="196" fontId="201" fillId="55" borderId="304" xfId="164" applyNumberFormat="1" applyFont="1" applyFill="1" applyBorder="1" applyAlignment="1">
      <alignment horizontal="center" vertical="center"/>
    </xf>
    <xf numFmtId="164" fontId="134" fillId="0" borderId="11" xfId="38" applyFont="1" applyFill="1" applyBorder="1" applyAlignment="1">
      <alignment horizontal="center" vertical="center"/>
    </xf>
    <xf numFmtId="196" fontId="201" fillId="0" borderId="173" xfId="164" applyNumberFormat="1" applyFont="1" applyFill="1" applyBorder="1" applyAlignment="1">
      <alignment horizontal="center" vertical="center"/>
    </xf>
    <xf numFmtId="170" fontId="134" fillId="24" borderId="11" xfId="38" applyNumberFormat="1" applyFont="1" applyFill="1" applyBorder="1" applyAlignment="1">
      <alignment horizontal="center" vertical="center"/>
    </xf>
    <xf numFmtId="164" fontId="134" fillId="24" borderId="11" xfId="38" applyFont="1" applyFill="1" applyBorder="1" applyAlignment="1">
      <alignment horizontal="center"/>
    </xf>
    <xf numFmtId="10" fontId="201" fillId="44" borderId="304" xfId="164" applyNumberFormat="1" applyFont="1" applyFill="1" applyBorder="1" applyAlignment="1">
      <alignment horizontal="center" vertical="center"/>
    </xf>
    <xf numFmtId="164" fontId="134" fillId="44" borderId="244" xfId="38" applyFont="1" applyFill="1" applyBorder="1" applyAlignment="1">
      <alignment horizontal="center" vertical="center"/>
    </xf>
    <xf numFmtId="10" fontId="201" fillId="0" borderId="173" xfId="164" applyNumberFormat="1" applyFont="1" applyBorder="1" applyAlignment="1">
      <alignment horizontal="center" vertical="center"/>
    </xf>
    <xf numFmtId="10" fontId="232" fillId="44" borderId="11" xfId="164" applyNumberFormat="1" applyFont="1" applyFill="1" applyBorder="1" applyAlignment="1">
      <alignment horizontal="center"/>
    </xf>
    <xf numFmtId="164" fontId="97" fillId="44" borderId="11" xfId="39" applyFont="1" applyFill="1" applyBorder="1" applyAlignment="1">
      <alignment horizontal="center"/>
    </xf>
    <xf numFmtId="2" fontId="201" fillId="0" borderId="96" xfId="164" applyNumberFormat="1" applyFont="1" applyBorder="1" applyAlignment="1">
      <alignment horizontal="center"/>
    </xf>
    <xf numFmtId="196" fontId="201" fillId="0" borderId="96" xfId="164" applyNumberFormat="1" applyFont="1" applyBorder="1" applyAlignment="1">
      <alignment horizontal="center"/>
    </xf>
    <xf numFmtId="10" fontId="201" fillId="44" borderId="11" xfId="164" applyNumberFormat="1" applyFont="1" applyFill="1" applyBorder="1" applyAlignment="1">
      <alignment horizontal="center" vertical="center"/>
    </xf>
    <xf numFmtId="201" fontId="201" fillId="44" borderId="11" xfId="164" applyNumberFormat="1" applyFont="1" applyFill="1" applyBorder="1" applyAlignment="1">
      <alignment horizontal="center" vertical="center"/>
    </xf>
    <xf numFmtId="10" fontId="201" fillId="0" borderId="96" xfId="164" applyNumberFormat="1" applyFont="1" applyFill="1" applyBorder="1" applyAlignment="1">
      <alignment horizontal="center"/>
    </xf>
    <xf numFmtId="196" fontId="201" fillId="0" borderId="96" xfId="164" applyNumberFormat="1" applyFont="1" applyFill="1" applyBorder="1" applyAlignment="1">
      <alignment horizontal="center"/>
    </xf>
    <xf numFmtId="10" fontId="201" fillId="0" borderId="11" xfId="164" applyNumberFormat="1" applyFont="1" applyFill="1" applyBorder="1" applyAlignment="1">
      <alignment horizontal="center"/>
    </xf>
    <xf numFmtId="196" fontId="201" fillId="0" borderId="173" xfId="164" applyNumberFormat="1" applyFont="1" applyBorder="1" applyAlignment="1">
      <alignment vertical="center"/>
    </xf>
    <xf numFmtId="196" fontId="201" fillId="0" borderId="243" xfId="164" applyNumberFormat="1" applyFont="1" applyBorder="1" applyAlignment="1">
      <alignment vertical="center"/>
    </xf>
    <xf numFmtId="164" fontId="134" fillId="24" borderId="153" xfId="38" applyFont="1" applyFill="1" applyBorder="1" applyAlignment="1">
      <alignment vertical="center"/>
    </xf>
    <xf numFmtId="196" fontId="201" fillId="0" borderId="402" xfId="164" applyNumberFormat="1" applyFont="1" applyBorder="1" applyAlignment="1">
      <alignment vertical="center"/>
    </xf>
    <xf numFmtId="164" fontId="134" fillId="24" borderId="96" xfId="38" applyFont="1" applyFill="1" applyBorder="1" applyAlignment="1">
      <alignment vertical="center"/>
    </xf>
    <xf numFmtId="10" fontId="201" fillId="0" borderId="11" xfId="164" applyNumberFormat="1" applyFont="1" applyBorder="1" applyAlignment="1">
      <alignment vertical="center"/>
    </xf>
    <xf numFmtId="164" fontId="134" fillId="24" borderId="401" xfId="38" applyFont="1" applyFill="1" applyBorder="1" applyAlignment="1">
      <alignment vertical="center"/>
    </xf>
    <xf numFmtId="196" fontId="201" fillId="44" borderId="11" xfId="164" applyNumberFormat="1" applyFont="1" applyFill="1" applyBorder="1" applyAlignment="1">
      <alignment horizontal="center"/>
    </xf>
    <xf numFmtId="164" fontId="134" fillId="44" borderId="11" xfId="38" applyFont="1" applyFill="1" applyBorder="1" applyAlignment="1">
      <alignment horizontal="center"/>
    </xf>
    <xf numFmtId="196" fontId="201" fillId="0" borderId="11" xfId="164" applyNumberFormat="1" applyFont="1" applyBorder="1" applyAlignment="1">
      <alignment horizontal="center"/>
    </xf>
    <xf numFmtId="164" fontId="88" fillId="0" borderId="0" xfId="38" applyFont="1" applyFill="1" applyBorder="1" applyAlignment="1">
      <alignment horizontal="center" vertical="center"/>
    </xf>
    <xf numFmtId="196" fontId="201" fillId="0" borderId="96" xfId="164" applyNumberFormat="1" applyFont="1" applyBorder="1" applyAlignment="1">
      <alignment horizontal="center" vertical="center"/>
    </xf>
    <xf numFmtId="196" fontId="201" fillId="55" borderId="305" xfId="164" applyNumberFormat="1" applyFont="1" applyFill="1" applyBorder="1" applyAlignment="1">
      <alignment horizontal="center" vertical="center"/>
    </xf>
    <xf numFmtId="196" fontId="201" fillId="0" borderId="11" xfId="164" applyNumberFormat="1" applyFont="1" applyBorder="1" applyAlignment="1">
      <alignment horizontal="center" vertical="center"/>
    </xf>
    <xf numFmtId="164" fontId="134" fillId="55" borderId="11" xfId="38" applyFont="1" applyFill="1" applyBorder="1" applyAlignment="1">
      <alignment horizontal="center" vertical="center"/>
    </xf>
    <xf numFmtId="196" fontId="201" fillId="55" borderId="11" xfId="164" applyNumberFormat="1" applyFont="1" applyFill="1" applyBorder="1" applyAlignment="1">
      <alignment horizontal="center" vertical="center"/>
    </xf>
    <xf numFmtId="0" fontId="121" fillId="0" borderId="247" xfId="47" applyFont="1" applyBorder="1" applyAlignment="1">
      <alignment vertical="center"/>
    </xf>
    <xf numFmtId="4" fontId="74" fillId="0" borderId="258" xfId="47" applyNumberFormat="1" applyFont="1" applyBorder="1" applyAlignment="1">
      <alignment vertical="center"/>
    </xf>
    <xf numFmtId="4" fontId="74" fillId="0" borderId="255" xfId="47" applyNumberFormat="1" applyFont="1" applyBorder="1" applyAlignment="1">
      <alignment vertical="center"/>
    </xf>
    <xf numFmtId="0" fontId="133" fillId="36" borderId="145" xfId="47" applyFont="1" applyFill="1" applyBorder="1" applyAlignment="1">
      <alignment horizontal="center" vertical="center"/>
    </xf>
    <xf numFmtId="0" fontId="69" fillId="49" borderId="247" xfId="47" applyFont="1" applyFill="1" applyBorder="1" applyAlignment="1">
      <alignment horizontal="left" vertical="center"/>
    </xf>
    <xf numFmtId="4" fontId="68" fillId="49" borderId="264" xfId="47" applyNumberFormat="1" applyFont="1" applyFill="1" applyBorder="1" applyAlignment="1">
      <alignment vertical="center"/>
    </xf>
    <xf numFmtId="4" fontId="68" fillId="49" borderId="267" xfId="47" applyNumberFormat="1" applyFont="1" applyFill="1" applyBorder="1" applyAlignment="1">
      <alignment vertical="center"/>
    </xf>
    <xf numFmtId="4" fontId="68" fillId="49" borderId="266" xfId="47" applyNumberFormat="1" applyFont="1" applyFill="1" applyBorder="1" applyAlignment="1">
      <alignment vertical="center"/>
    </xf>
    <xf numFmtId="4" fontId="68" fillId="49" borderId="265" xfId="47" applyNumberFormat="1" applyFont="1" applyFill="1" applyBorder="1" applyAlignment="1">
      <alignment vertical="center"/>
    </xf>
    <xf numFmtId="0" fontId="68" fillId="0" borderId="269" xfId="47" applyFont="1" applyBorder="1"/>
    <xf numFmtId="3" fontId="88" fillId="54" borderId="33" xfId="0" applyNumberFormat="1" applyFont="1" applyFill="1" applyBorder="1"/>
    <xf numFmtId="3" fontId="96" fillId="54" borderId="14" xfId="0" applyNumberFormat="1" applyFont="1" applyFill="1" applyBorder="1"/>
    <xf numFmtId="0" fontId="83" fillId="54" borderId="14" xfId="0" applyFont="1" applyFill="1" applyBorder="1"/>
    <xf numFmtId="3" fontId="83" fillId="54" borderId="130" xfId="0" applyNumberFormat="1" applyFont="1" applyFill="1" applyBorder="1"/>
    <xf numFmtId="3" fontId="162" fillId="0" borderId="0" xfId="0" applyNumberFormat="1" applyFont="1" applyAlignment="1">
      <alignment horizontal="center" vertical="center"/>
    </xf>
    <xf numFmtId="0" fontId="72" fillId="24" borderId="47" xfId="0" applyFont="1" applyFill="1" applyBorder="1" applyAlignment="1">
      <alignment vertical="center" wrapText="1"/>
    </xf>
    <xf numFmtId="0" fontId="72" fillId="24" borderId="181" xfId="0" applyFont="1" applyFill="1" applyBorder="1" applyAlignment="1">
      <alignment vertical="center" wrapText="1"/>
    </xf>
    <xf numFmtId="0" fontId="66" fillId="0" borderId="178" xfId="0" applyFont="1" applyBorder="1" applyAlignment="1">
      <alignment vertical="center" wrapText="1"/>
    </xf>
    <xf numFmtId="17" fontId="72" fillId="24" borderId="58" xfId="0" applyNumberFormat="1" applyFont="1" applyFill="1" applyBorder="1" applyAlignment="1">
      <alignment horizontal="center" vertical="center" wrapText="1"/>
    </xf>
    <xf numFmtId="17" fontId="72" fillId="24" borderId="398" xfId="0" applyNumberFormat="1" applyFont="1" applyFill="1" applyBorder="1" applyAlignment="1">
      <alignment horizontal="center" vertical="center" wrapText="1"/>
    </xf>
    <xf numFmtId="17" fontId="76" fillId="24" borderId="398" xfId="0" applyNumberFormat="1" applyFont="1" applyFill="1" applyBorder="1" applyAlignment="1">
      <alignment horizontal="center" vertical="center" wrapText="1"/>
    </xf>
    <xf numFmtId="2" fontId="66" fillId="24" borderId="71" xfId="0" applyNumberFormat="1" applyFont="1" applyFill="1" applyBorder="1" applyAlignment="1">
      <alignment horizontal="center" vertical="center" wrapText="1"/>
    </xf>
    <xf numFmtId="2" fontId="66" fillId="0" borderId="71" xfId="0" applyNumberFormat="1" applyFont="1" applyBorder="1" applyAlignment="1">
      <alignment horizontal="center" vertical="center" wrapText="1"/>
    </xf>
    <xf numFmtId="166" fontId="97" fillId="0" borderId="143" xfId="0" applyNumberFormat="1" applyFont="1" applyBorder="1" applyAlignment="1">
      <alignment horizontal="center"/>
    </xf>
    <xf numFmtId="0" fontId="175" fillId="103" borderId="419" xfId="0" applyFont="1" applyFill="1" applyBorder="1" applyAlignment="1">
      <alignment horizontal="center" vertical="center" wrapText="1" readingOrder="1"/>
    </xf>
    <xf numFmtId="10" fontId="201" fillId="0" borderId="11" xfId="53" applyNumberFormat="1" applyFont="1" applyBorder="1" applyAlignment="1">
      <alignment horizontal="center"/>
    </xf>
    <xf numFmtId="10" fontId="201" fillId="44" borderId="96" xfId="164" applyNumberFormat="1" applyFont="1" applyFill="1" applyBorder="1" applyAlignment="1">
      <alignment horizontal="center"/>
    </xf>
    <xf numFmtId="4" fontId="77" fillId="45" borderId="0" xfId="47" applyNumberFormat="1" applyFont="1" applyFill="1"/>
    <xf numFmtId="0" fontId="96" fillId="54" borderId="33" xfId="0" applyFont="1" applyFill="1" applyBorder="1"/>
    <xf numFmtId="171" fontId="110" fillId="44" borderId="11" xfId="38" applyNumberFormat="1" applyFont="1" applyFill="1" applyBorder="1" applyAlignment="1">
      <alignment horizontal="center" vertical="center"/>
    </xf>
    <xf numFmtId="165" fontId="66" fillId="0" borderId="0" xfId="0" applyNumberFormat="1" applyFont="1"/>
    <xf numFmtId="4" fontId="66" fillId="24" borderId="59" xfId="38" applyNumberFormat="1" applyFont="1" applyFill="1" applyBorder="1" applyAlignment="1">
      <alignment horizontal="center" vertical="center" wrapText="1"/>
    </xf>
    <xf numFmtId="4" fontId="93" fillId="29" borderId="70" xfId="38" applyNumberFormat="1" applyFont="1" applyFill="1" applyBorder="1" applyAlignment="1">
      <alignment horizontal="center" vertical="center" wrapText="1"/>
    </xf>
    <xf numFmtId="176" fontId="72" fillId="0" borderId="0" xfId="0" applyNumberFormat="1" applyFont="1" applyAlignment="1">
      <alignment horizontal="center" vertical="center" wrapText="1"/>
    </xf>
    <xf numFmtId="171" fontId="96" fillId="61" borderId="0" xfId="38" applyNumberFormat="1" applyFont="1" applyFill="1"/>
    <xf numFmtId="171" fontId="77" fillId="0" borderId="111" xfId="38" applyNumberFormat="1" applyFont="1" applyFill="1" applyBorder="1" applyAlignment="1">
      <alignment vertical="center"/>
    </xf>
    <xf numFmtId="4" fontId="66" fillId="0" borderId="3" xfId="0" applyNumberFormat="1" applyFont="1" applyBorder="1" applyAlignment="1">
      <alignment horizontal="center" vertical="center" wrapText="1"/>
    </xf>
    <xf numFmtId="2" fontId="70" fillId="26" borderId="31" xfId="0" applyNumberFormat="1" applyFont="1" applyFill="1" applyBorder="1" applyAlignment="1">
      <alignment horizontal="center" vertical="center"/>
    </xf>
    <xf numFmtId="4" fontId="74" fillId="0" borderId="409" xfId="47" applyNumberFormat="1" applyFont="1" applyBorder="1" applyAlignment="1">
      <alignment vertical="center"/>
    </xf>
    <xf numFmtId="167" fontId="79" fillId="0" borderId="0" xfId="0" applyNumberFormat="1" applyFont="1" applyAlignment="1">
      <alignment vertical="center"/>
    </xf>
    <xf numFmtId="4" fontId="75" fillId="0" borderId="0" xfId="0" applyNumberFormat="1" applyFont="1" applyAlignment="1">
      <alignment horizontal="center" vertical="center" wrapText="1"/>
    </xf>
    <xf numFmtId="3" fontId="72" fillId="27" borderId="40" xfId="0" applyNumberFormat="1" applyFont="1" applyFill="1" applyBorder="1" applyAlignment="1">
      <alignment horizontal="center" vertical="center"/>
    </xf>
    <xf numFmtId="0" fontId="137" fillId="57" borderId="371" xfId="0" applyFont="1" applyFill="1" applyBorder="1" applyAlignment="1">
      <alignment horizontal="center" vertical="center" wrapText="1" readingOrder="1"/>
    </xf>
    <xf numFmtId="202" fontId="175" fillId="103" borderId="419" xfId="0" applyNumberFormat="1" applyFont="1" applyFill="1" applyBorder="1" applyAlignment="1">
      <alignment horizontal="center" vertical="center" wrapText="1" readingOrder="1"/>
    </xf>
    <xf numFmtId="167" fontId="93" fillId="29" borderId="193" xfId="49" applyNumberFormat="1" applyFont="1" applyFill="1" applyBorder="1" applyAlignment="1">
      <alignment horizontal="center" vertical="center" wrapText="1"/>
    </xf>
    <xf numFmtId="3" fontId="83" fillId="46" borderId="228" xfId="0" applyNumberFormat="1" applyFont="1" applyFill="1" applyBorder="1" applyAlignment="1">
      <alignment horizontal="center" vertical="center"/>
    </xf>
    <xf numFmtId="167" fontId="83" fillId="46" borderId="228" xfId="0" applyNumberFormat="1" applyFont="1" applyFill="1" applyBorder="1" applyAlignment="1">
      <alignment horizontal="center" vertical="center"/>
    </xf>
    <xf numFmtId="4" fontId="72" fillId="0" borderId="96" xfId="0" applyNumberFormat="1" applyFont="1" applyBorder="1" applyAlignment="1">
      <alignment horizontal="center" vertical="center" wrapText="1"/>
    </xf>
    <xf numFmtId="4" fontId="72" fillId="0" borderId="11" xfId="0" applyNumberFormat="1" applyFont="1" applyBorder="1" applyAlignment="1">
      <alignment horizontal="center" vertical="center" wrapText="1"/>
    </xf>
    <xf numFmtId="1" fontId="83" fillId="47" borderId="228" xfId="0" applyNumberFormat="1" applyFont="1" applyFill="1" applyBorder="1" applyAlignment="1">
      <alignment horizontal="center" vertical="center"/>
    </xf>
    <xf numFmtId="166" fontId="83" fillId="47" borderId="228" xfId="0" applyNumberFormat="1" applyFont="1" applyFill="1" applyBorder="1" applyAlignment="1">
      <alignment horizontal="center" vertical="center"/>
    </xf>
    <xf numFmtId="0" fontId="72" fillId="0" borderId="356" xfId="0" quotePrefix="1" applyFont="1" applyBorder="1" applyAlignment="1">
      <alignment horizontal="center" vertical="center" wrapText="1"/>
    </xf>
    <xf numFmtId="4" fontId="66" fillId="0" borderId="356" xfId="0" applyNumberFormat="1" applyFont="1" applyBorder="1" applyAlignment="1">
      <alignment horizontal="center" vertical="center" wrapText="1"/>
    </xf>
    <xf numFmtId="0" fontId="72" fillId="0" borderId="356" xfId="0" applyFont="1" applyBorder="1" applyAlignment="1">
      <alignment horizontal="center" vertical="center" wrapText="1"/>
    </xf>
    <xf numFmtId="167" fontId="66" fillId="0" borderId="356" xfId="0" applyNumberFormat="1" applyFont="1" applyBorder="1" applyAlignment="1">
      <alignment horizontal="center" vertical="center" wrapText="1"/>
    </xf>
    <xf numFmtId="167" fontId="126" fillId="0" borderId="356" xfId="0" applyNumberFormat="1" applyFont="1" applyBorder="1" applyAlignment="1">
      <alignment horizontal="center" vertical="center" wrapText="1"/>
    </xf>
    <xf numFmtId="3" fontId="79" fillId="0" borderId="356" xfId="0" applyNumberFormat="1" applyFont="1" applyBorder="1" applyAlignment="1">
      <alignment horizontal="center" vertical="center" wrapText="1"/>
    </xf>
    <xf numFmtId="167" fontId="79" fillId="0" borderId="356" xfId="0" applyNumberFormat="1" applyFont="1" applyBorder="1" applyAlignment="1">
      <alignment horizontal="center" vertical="center" wrapText="1"/>
    </xf>
    <xf numFmtId="175" fontId="79" fillId="0" borderId="16" xfId="38" applyNumberFormat="1" applyFont="1" applyFill="1" applyBorder="1" applyAlignment="1">
      <alignment horizontal="center" vertical="center" wrapText="1"/>
    </xf>
    <xf numFmtId="180" fontId="79" fillId="24" borderId="16" xfId="38" applyNumberFormat="1" applyFont="1" applyFill="1" applyBorder="1" applyAlignment="1">
      <alignment horizontal="center" vertical="center" wrapText="1"/>
    </xf>
    <xf numFmtId="0" fontId="68" fillId="49" borderId="256" xfId="47" applyFont="1" applyFill="1" applyBorder="1" applyAlignment="1">
      <alignment horizontal="center"/>
    </xf>
    <xf numFmtId="167" fontId="66" fillId="0" borderId="256" xfId="47" applyNumberFormat="1" applyFont="1" applyBorder="1"/>
    <xf numFmtId="4" fontId="74" fillId="0" borderId="403" xfId="47" applyNumberFormat="1" applyFont="1" applyBorder="1" applyAlignment="1">
      <alignment vertical="center"/>
    </xf>
    <xf numFmtId="4" fontId="74" fillId="0" borderId="268" xfId="47" applyNumberFormat="1" applyFont="1" applyBorder="1" applyAlignment="1">
      <alignment vertical="center"/>
    </xf>
    <xf numFmtId="4" fontId="68" fillId="58" borderId="0" xfId="47" applyNumberFormat="1" applyFont="1" applyFill="1"/>
    <xf numFmtId="171" fontId="109" fillId="46" borderId="0" xfId="0" applyNumberFormat="1" applyFont="1" applyFill="1" applyAlignment="1">
      <alignment horizontal="center" vertical="center"/>
    </xf>
    <xf numFmtId="1" fontId="96" fillId="0" borderId="120" xfId="0" applyNumberFormat="1" applyFont="1" applyBorder="1" applyAlignment="1">
      <alignment horizontal="center"/>
    </xf>
    <xf numFmtId="185" fontId="105" fillId="0" borderId="0" xfId="0" applyNumberFormat="1" applyFont="1" applyAlignment="1">
      <alignment vertical="center"/>
    </xf>
    <xf numFmtId="190" fontId="66" fillId="0" borderId="0" xfId="47" applyNumberFormat="1" applyFont="1" applyAlignment="1">
      <alignment horizontal="center"/>
    </xf>
    <xf numFmtId="190" fontId="69" fillId="49" borderId="246" xfId="47" applyNumberFormat="1" applyFont="1" applyFill="1" applyBorder="1" applyAlignment="1">
      <alignment horizontal="center"/>
    </xf>
    <xf numFmtId="190" fontId="68" fillId="49" borderId="246" xfId="38" applyNumberFormat="1" applyFont="1" applyFill="1" applyBorder="1" applyAlignment="1">
      <alignment horizontal="center"/>
    </xf>
    <xf numFmtId="190" fontId="74" fillId="0" borderId="246" xfId="38" applyNumberFormat="1" applyFont="1" applyFill="1" applyBorder="1" applyAlignment="1">
      <alignment horizontal="center"/>
    </xf>
    <xf numFmtId="190" fontId="66" fillId="0" borderId="0" xfId="38" applyNumberFormat="1" applyFont="1" applyFill="1" applyAlignment="1">
      <alignment horizontal="center"/>
    </xf>
    <xf numFmtId="184" fontId="66" fillId="0" borderId="27" xfId="0" applyNumberFormat="1" applyFont="1" applyBorder="1" applyAlignment="1">
      <alignment horizontal="center" vertical="center"/>
    </xf>
    <xf numFmtId="0" fontId="69" fillId="49" borderId="259" xfId="47" applyFont="1" applyFill="1" applyBorder="1" applyAlignment="1">
      <alignment horizontal="center"/>
    </xf>
    <xf numFmtId="4" fontId="74" fillId="0" borderId="405" xfId="47" applyNumberFormat="1" applyFont="1" applyBorder="1" applyAlignment="1">
      <alignment vertical="center"/>
    </xf>
    <xf numFmtId="4" fontId="74" fillId="0" borderId="0" xfId="47" applyNumberFormat="1" applyFont="1" applyAlignment="1">
      <alignment vertical="center"/>
    </xf>
    <xf numFmtId="4" fontId="74" fillId="0" borderId="406" xfId="47" applyNumberFormat="1" applyFont="1" applyBorder="1" applyAlignment="1">
      <alignment vertical="center"/>
    </xf>
    <xf numFmtId="0" fontId="66" fillId="51" borderId="238" xfId="0" applyFont="1" applyFill="1" applyBorder="1" applyAlignment="1">
      <alignment horizontal="center"/>
    </xf>
    <xf numFmtId="0" fontId="66" fillId="51" borderId="240" xfId="0" applyFont="1" applyFill="1" applyBorder="1" applyAlignment="1">
      <alignment horizontal="center"/>
    </xf>
    <xf numFmtId="0" fontId="66" fillId="53" borderId="239" xfId="0" applyFont="1" applyFill="1" applyBorder="1" applyAlignment="1">
      <alignment horizontal="center"/>
    </xf>
    <xf numFmtId="0" fontId="69" fillId="49" borderId="247" xfId="47" applyFont="1" applyFill="1" applyBorder="1" applyAlignment="1">
      <alignment horizontal="center"/>
    </xf>
    <xf numFmtId="4" fontId="74" fillId="0" borderId="247" xfId="47" applyNumberFormat="1" applyFont="1" applyBorder="1"/>
    <xf numFmtId="4" fontId="68" fillId="49" borderId="247" xfId="47" applyNumberFormat="1" applyFont="1" applyFill="1" applyBorder="1"/>
    <xf numFmtId="4" fontId="74" fillId="0" borderId="444" xfId="47" applyNumberFormat="1" applyFont="1" applyBorder="1" applyAlignment="1">
      <alignment vertical="center"/>
    </xf>
    <xf numFmtId="4" fontId="74" fillId="0" borderId="445" xfId="47" applyNumberFormat="1" applyFont="1" applyBorder="1" applyAlignment="1">
      <alignment vertical="center"/>
    </xf>
    <xf numFmtId="4" fontId="74" fillId="0" borderId="446" xfId="47" applyNumberFormat="1" applyFont="1" applyBorder="1" applyAlignment="1">
      <alignment vertical="center"/>
    </xf>
    <xf numFmtId="4" fontId="74" fillId="0" borderId="404" xfId="47" applyNumberFormat="1" applyFont="1" applyBorder="1" applyAlignment="1">
      <alignment vertical="center"/>
    </xf>
    <xf numFmtId="2" fontId="66" fillId="0" borderId="0" xfId="0" applyNumberFormat="1" applyFont="1"/>
    <xf numFmtId="167" fontId="72" fillId="0" borderId="0" xfId="0" applyNumberFormat="1" applyFont="1" applyAlignment="1">
      <alignment vertical="center" wrapText="1"/>
    </xf>
    <xf numFmtId="167" fontId="86" fillId="47" borderId="135" xfId="0" applyNumberFormat="1" applyFont="1" applyFill="1" applyBorder="1" applyAlignment="1">
      <alignment horizontal="center" vertical="center" wrapText="1"/>
    </xf>
    <xf numFmtId="167" fontId="86" fillId="47" borderId="136" xfId="0" applyNumberFormat="1" applyFont="1" applyFill="1" applyBorder="1" applyAlignment="1">
      <alignment horizontal="center" vertical="center" wrapText="1"/>
    </xf>
    <xf numFmtId="167" fontId="86" fillId="47" borderId="84" xfId="0" applyNumberFormat="1" applyFont="1" applyFill="1" applyBorder="1" applyAlignment="1">
      <alignment horizontal="center" vertical="center" wrapText="1"/>
    </xf>
    <xf numFmtId="167" fontId="86" fillId="47" borderId="90" xfId="0" applyNumberFormat="1" applyFont="1" applyFill="1" applyBorder="1" applyAlignment="1">
      <alignment horizontal="center" vertical="center" wrapText="1"/>
    </xf>
    <xf numFmtId="167" fontId="86" fillId="47" borderId="91" xfId="0" applyNumberFormat="1" applyFont="1" applyFill="1" applyBorder="1" applyAlignment="1">
      <alignment horizontal="center" vertical="center" wrapText="1"/>
    </xf>
    <xf numFmtId="0" fontId="66" fillId="105" borderId="0" xfId="0" applyFont="1" applyFill="1" applyAlignment="1">
      <alignment horizontal="center" vertical="center"/>
    </xf>
    <xf numFmtId="0" fontId="234" fillId="0" borderId="0" xfId="0" applyFont="1" applyAlignment="1">
      <alignment horizontal="right" vertical="top" wrapText="1"/>
    </xf>
    <xf numFmtId="167" fontId="211" fillId="0" borderId="0" xfId="0" applyNumberFormat="1" applyFont="1" applyAlignment="1">
      <alignment horizontal="right" vertical="center"/>
    </xf>
    <xf numFmtId="167" fontId="190" fillId="0" borderId="0" xfId="0" applyNumberFormat="1" applyFont="1" applyAlignment="1">
      <alignment horizontal="right" vertical="center"/>
    </xf>
    <xf numFmtId="4" fontId="75" fillId="0" borderId="0" xfId="0" applyNumberFormat="1" applyFont="1" applyAlignment="1">
      <alignment horizontal="center" vertical="center"/>
    </xf>
    <xf numFmtId="0" fontId="83" fillId="0" borderId="0" xfId="0" applyFont="1" applyAlignment="1">
      <alignment horizontal="center" vertical="center"/>
    </xf>
    <xf numFmtId="4" fontId="83" fillId="0" borderId="0" xfId="43" applyNumberFormat="1" applyFont="1" applyFill="1" applyBorder="1" applyAlignment="1">
      <alignment horizontal="center"/>
    </xf>
    <xf numFmtId="1" fontId="235" fillId="0" borderId="0" xfId="0" applyNumberFormat="1" applyFont="1" applyAlignment="1">
      <alignment horizontal="center"/>
    </xf>
    <xf numFmtId="3" fontId="83" fillId="0" borderId="0" xfId="43" applyNumberFormat="1" applyFont="1" applyFill="1" applyBorder="1" applyAlignment="1">
      <alignment horizontal="center"/>
    </xf>
    <xf numFmtId="0" fontId="236" fillId="0" borderId="0" xfId="0" applyFont="1" applyAlignment="1">
      <alignment vertical="center" wrapText="1"/>
    </xf>
    <xf numFmtId="4" fontId="236" fillId="0" borderId="0" xfId="0" applyNumberFormat="1" applyFont="1" applyAlignment="1">
      <alignment horizontal="center" vertical="center" wrapText="1"/>
    </xf>
    <xf numFmtId="3" fontId="236" fillId="0" borderId="0" xfId="0" applyNumberFormat="1" applyFont="1" applyAlignment="1">
      <alignment horizontal="center" vertical="center" wrapText="1"/>
    </xf>
    <xf numFmtId="0" fontId="237" fillId="0" borderId="0" xfId="0" applyFont="1" applyAlignment="1">
      <alignment vertical="center" wrapText="1"/>
    </xf>
    <xf numFmtId="0" fontId="238" fillId="0" borderId="0" xfId="0" applyFont="1" applyAlignment="1">
      <alignment horizontal="center" vertical="center" wrapText="1"/>
    </xf>
    <xf numFmtId="4" fontId="238" fillId="0" borderId="0" xfId="0" quotePrefix="1" applyNumberFormat="1" applyFont="1" applyAlignment="1">
      <alignment horizontal="center" vertical="center" wrapText="1"/>
    </xf>
    <xf numFmtId="3" fontId="238" fillId="0" borderId="0" xfId="0" quotePrefix="1" applyNumberFormat="1" applyFont="1" applyAlignment="1">
      <alignment horizontal="center" vertical="center" wrapText="1"/>
    </xf>
    <xf numFmtId="0" fontId="236" fillId="0" borderId="0" xfId="0" applyFont="1"/>
    <xf numFmtId="176" fontId="66" fillId="56" borderId="26" xfId="0" applyNumberFormat="1" applyFont="1" applyFill="1" applyBorder="1" applyAlignment="1">
      <alignment horizontal="center" vertical="center"/>
    </xf>
    <xf numFmtId="203" fontId="68" fillId="49" borderId="246" xfId="38" applyNumberFormat="1" applyFont="1" applyFill="1" applyBorder="1" applyAlignment="1">
      <alignment horizontal="center"/>
    </xf>
    <xf numFmtId="2" fontId="178" fillId="0" borderId="151" xfId="0" applyNumberFormat="1" applyFont="1" applyBorder="1" applyAlignment="1">
      <alignment horizontal="center" vertical="center" wrapText="1"/>
    </xf>
    <xf numFmtId="177" fontId="66" fillId="0" borderId="26" xfId="0" applyNumberFormat="1" applyFont="1" applyBorder="1" applyAlignment="1">
      <alignment horizontal="center" vertical="center"/>
    </xf>
    <xf numFmtId="4" fontId="86" fillId="47" borderId="91" xfId="0" applyNumberFormat="1" applyFont="1" applyFill="1" applyBorder="1" applyAlignment="1">
      <alignment horizontal="center" vertical="center" wrapText="1"/>
    </xf>
    <xf numFmtId="17" fontId="72" fillId="46" borderId="11" xfId="0" applyNumberFormat="1" applyFont="1" applyFill="1" applyBorder="1" applyAlignment="1">
      <alignment horizontal="center" vertical="center" wrapText="1"/>
    </xf>
    <xf numFmtId="17" fontId="72" fillId="54" borderId="11" xfId="0" applyNumberFormat="1" applyFont="1" applyFill="1" applyBorder="1" applyAlignment="1">
      <alignment horizontal="center" vertical="center" wrapText="1"/>
    </xf>
    <xf numFmtId="17" fontId="72" fillId="46" borderId="95" xfId="0" applyNumberFormat="1" applyFont="1" applyFill="1" applyBorder="1" applyAlignment="1">
      <alignment horizontal="center" vertical="center" wrapText="1"/>
    </xf>
    <xf numFmtId="17" fontId="72" fillId="54" borderId="95" xfId="0" applyNumberFormat="1" applyFont="1" applyFill="1" applyBorder="1" applyAlignment="1">
      <alignment horizontal="center" vertical="center" wrapText="1"/>
    </xf>
    <xf numFmtId="0" fontId="72" fillId="0" borderId="21" xfId="0" applyFont="1" applyBorder="1" applyAlignment="1">
      <alignment horizontal="center" vertical="center" wrapText="1"/>
    </xf>
    <xf numFmtId="3" fontId="72" fillId="0" borderId="56" xfId="0" applyNumberFormat="1" applyFont="1" applyBorder="1" applyAlignment="1">
      <alignment vertical="center" wrapText="1"/>
    </xf>
    <xf numFmtId="171" fontId="93" fillId="0" borderId="112" xfId="38" applyNumberFormat="1" applyFont="1" applyFill="1" applyBorder="1" applyAlignment="1">
      <alignment vertical="center"/>
    </xf>
    <xf numFmtId="164" fontId="68" fillId="49" borderId="254" xfId="38" applyFont="1" applyFill="1" applyBorder="1" applyAlignment="1">
      <alignment horizontal="center"/>
    </xf>
    <xf numFmtId="164" fontId="68" fillId="49" borderId="246" xfId="38" applyFont="1" applyFill="1" applyBorder="1" applyAlignment="1">
      <alignment horizontal="center"/>
    </xf>
    <xf numFmtId="2" fontId="106" fillId="51" borderId="27" xfId="0" applyNumberFormat="1" applyFont="1" applyFill="1" applyBorder="1" applyAlignment="1">
      <alignment horizontal="center" vertical="center"/>
    </xf>
    <xf numFmtId="173" fontId="97" fillId="33" borderId="140" xfId="43" applyNumberFormat="1" applyFont="1" applyFill="1" applyBorder="1" applyAlignment="1">
      <alignment horizontal="center"/>
    </xf>
    <xf numFmtId="4" fontId="72" fillId="0" borderId="63" xfId="0" applyNumberFormat="1" applyFont="1" applyBorder="1" applyAlignment="1">
      <alignment horizontal="center" vertical="center" wrapText="1"/>
    </xf>
    <xf numFmtId="3" fontId="96" fillId="0" borderId="58" xfId="0" applyNumberFormat="1" applyFont="1" applyBorder="1" applyAlignment="1">
      <alignment horizontal="center" vertical="center" wrapText="1"/>
    </xf>
    <xf numFmtId="3" fontId="96" fillId="0" borderId="1" xfId="0" applyNumberFormat="1" applyFont="1" applyBorder="1" applyAlignment="1">
      <alignment horizontal="center" vertical="center" wrapText="1"/>
    </xf>
    <xf numFmtId="3" fontId="96" fillId="0" borderId="59" xfId="0" applyNumberFormat="1" applyFont="1" applyBorder="1" applyAlignment="1">
      <alignment horizontal="center" vertical="center" wrapText="1"/>
    </xf>
    <xf numFmtId="167" fontId="96" fillId="0" borderId="58" xfId="0" applyNumberFormat="1" applyFont="1" applyBorder="1" applyAlignment="1">
      <alignment horizontal="center" vertical="center" wrapText="1"/>
    </xf>
    <xf numFmtId="167" fontId="96" fillId="0" borderId="1" xfId="0" applyNumberFormat="1" applyFont="1" applyBorder="1" applyAlignment="1">
      <alignment horizontal="center" vertical="center" wrapText="1"/>
    </xf>
    <xf numFmtId="167" fontId="96" fillId="0" borderId="59" xfId="0" applyNumberFormat="1" applyFont="1" applyBorder="1" applyAlignment="1">
      <alignment horizontal="center" vertical="center" wrapText="1"/>
    </xf>
    <xf numFmtId="3" fontId="83" fillId="29" borderId="63" xfId="0" applyNumberFormat="1" applyFont="1" applyFill="1" applyBorder="1" applyAlignment="1">
      <alignment horizontal="center" vertical="center" wrapText="1"/>
    </xf>
    <xf numFmtId="3" fontId="83" fillId="29" borderId="64" xfId="0" applyNumberFormat="1" applyFont="1" applyFill="1" applyBorder="1" applyAlignment="1">
      <alignment horizontal="center" vertical="center" wrapText="1"/>
    </xf>
    <xf numFmtId="3" fontId="83" fillId="29" borderId="65" xfId="0" applyNumberFormat="1" applyFont="1" applyFill="1" applyBorder="1" applyAlignment="1">
      <alignment horizontal="center" vertical="center" wrapText="1"/>
    </xf>
    <xf numFmtId="167" fontId="83" fillId="29" borderId="63" xfId="0" applyNumberFormat="1" applyFont="1" applyFill="1" applyBorder="1" applyAlignment="1">
      <alignment horizontal="center" vertical="center" wrapText="1"/>
    </xf>
    <xf numFmtId="167" fontId="83" fillId="29" borderId="64" xfId="0" applyNumberFormat="1" applyFont="1" applyFill="1" applyBorder="1" applyAlignment="1">
      <alignment horizontal="center" vertical="center" wrapText="1"/>
    </xf>
    <xf numFmtId="167" fontId="83" fillId="29" borderId="65" xfId="0" applyNumberFormat="1" applyFont="1" applyFill="1" applyBorder="1" applyAlignment="1">
      <alignment horizontal="center" vertical="center" wrapText="1"/>
    </xf>
    <xf numFmtId="4" fontId="72" fillId="27" borderId="39" xfId="0" applyNumberFormat="1" applyFont="1" applyFill="1" applyBorder="1" applyAlignment="1">
      <alignment horizontal="center" vertical="center"/>
    </xf>
    <xf numFmtId="4" fontId="79" fillId="0" borderId="16" xfId="38" applyNumberFormat="1" applyFont="1" applyFill="1" applyBorder="1" applyAlignment="1">
      <alignment horizontal="center" vertical="center" wrapText="1"/>
    </xf>
    <xf numFmtId="4" fontId="79" fillId="24" borderId="75" xfId="38" applyNumberFormat="1" applyFont="1" applyFill="1" applyBorder="1" applyAlignment="1">
      <alignment horizontal="center" vertical="center" wrapText="1"/>
    </xf>
    <xf numFmtId="0" fontId="34" fillId="0" borderId="11" xfId="0" applyFont="1" applyBorder="1" applyAlignment="1">
      <alignment vertical="center" wrapText="1"/>
    </xf>
    <xf numFmtId="169" fontId="170" fillId="0" borderId="11" xfId="0" applyNumberFormat="1" applyFont="1" applyBorder="1" applyAlignment="1">
      <alignment horizontal="center" vertical="center" wrapText="1"/>
    </xf>
    <xf numFmtId="169" fontId="72" fillId="53" borderId="335" xfId="463" applyNumberFormat="1" applyFont="1" applyFill="1" applyBorder="1" applyAlignment="1">
      <alignment horizontal="center" vertical="center" wrapText="1"/>
    </xf>
    <xf numFmtId="176" fontId="72" fillId="27" borderId="53" xfId="0" applyNumberFormat="1" applyFont="1" applyFill="1" applyBorder="1" applyAlignment="1">
      <alignment horizontal="center" vertical="center"/>
    </xf>
    <xf numFmtId="195" fontId="70" fillId="59" borderId="30" xfId="0" applyNumberFormat="1" applyFont="1" applyFill="1" applyBorder="1" applyAlignment="1">
      <alignment horizontal="center" vertical="center"/>
    </xf>
    <xf numFmtId="195" fontId="70" fillId="26" borderId="30" xfId="0" applyNumberFormat="1" applyFont="1" applyFill="1" applyBorder="1" applyAlignment="1">
      <alignment horizontal="center" vertical="center"/>
    </xf>
    <xf numFmtId="204" fontId="66" fillId="0" borderId="0" xfId="38" applyNumberFormat="1" applyFont="1" applyAlignment="1">
      <alignment horizontal="center"/>
    </xf>
    <xf numFmtId="4" fontId="188" fillId="0" borderId="372" xfId="0" applyNumberFormat="1" applyFont="1" applyBorder="1" applyAlignment="1">
      <alignment horizontal="center" vertical="center" wrapText="1" readingOrder="1"/>
    </xf>
    <xf numFmtId="4" fontId="188" fillId="0" borderId="373" xfId="0" applyNumberFormat="1" applyFont="1" applyBorder="1" applyAlignment="1">
      <alignment horizontal="center" vertical="center" wrapText="1" readingOrder="1"/>
    </xf>
    <xf numFmtId="4" fontId="188" fillId="0" borderId="374" xfId="0" applyNumberFormat="1" applyFont="1" applyBorder="1" applyAlignment="1">
      <alignment horizontal="center" vertical="center" wrapText="1" readingOrder="1"/>
    </xf>
    <xf numFmtId="4" fontId="188" fillId="0" borderId="438" xfId="0" applyNumberFormat="1" applyFont="1" applyBorder="1" applyAlignment="1">
      <alignment horizontal="center" vertical="center" wrapText="1" readingOrder="1"/>
    </xf>
    <xf numFmtId="4" fontId="188" fillId="0" borderId="440" xfId="0" applyNumberFormat="1" applyFont="1" applyBorder="1" applyAlignment="1">
      <alignment horizontal="center" vertical="center" wrapText="1" readingOrder="1"/>
    </xf>
    <xf numFmtId="4" fontId="137" fillId="57" borderId="375" xfId="0" applyNumberFormat="1" applyFont="1" applyFill="1" applyBorder="1" applyAlignment="1">
      <alignment horizontal="center" vertical="center" wrapText="1" readingOrder="1"/>
    </xf>
    <xf numFmtId="4" fontId="137" fillId="57" borderId="376" xfId="0" applyNumberFormat="1" applyFont="1" applyFill="1" applyBorder="1" applyAlignment="1">
      <alignment horizontal="center" vertical="center" wrapText="1" readingOrder="1"/>
    </xf>
    <xf numFmtId="4" fontId="137" fillId="57" borderId="439" xfId="0" applyNumberFormat="1" applyFont="1" applyFill="1" applyBorder="1" applyAlignment="1">
      <alignment horizontal="center" vertical="center" wrapText="1" readingOrder="1"/>
    </xf>
    <xf numFmtId="4" fontId="137" fillId="57" borderId="441" xfId="0" applyNumberFormat="1" applyFont="1" applyFill="1" applyBorder="1" applyAlignment="1">
      <alignment horizontal="center" vertical="center" wrapText="1" readingOrder="1"/>
    </xf>
    <xf numFmtId="4" fontId="137" fillId="57" borderId="377" xfId="0" applyNumberFormat="1" applyFont="1" applyFill="1" applyBorder="1" applyAlignment="1">
      <alignment horizontal="center" vertical="center" wrapText="1" readingOrder="1"/>
    </xf>
    <xf numFmtId="205" fontId="66" fillId="0" borderId="0" xfId="0" applyNumberFormat="1" applyFont="1"/>
    <xf numFmtId="180" fontId="68" fillId="49" borderId="254" xfId="47" applyNumberFormat="1" applyFont="1" applyFill="1" applyBorder="1"/>
    <xf numFmtId="206" fontId="66" fillId="0" borderId="0" xfId="0" applyNumberFormat="1" applyFont="1"/>
    <xf numFmtId="176" fontId="106" fillId="53" borderId="11" xfId="167" applyNumberFormat="1" applyFont="1" applyFill="1" applyBorder="1" applyAlignment="1">
      <alignment horizontal="right" vertical="center"/>
    </xf>
    <xf numFmtId="176" fontId="68" fillId="49" borderId="246" xfId="47" applyNumberFormat="1" applyFont="1" applyFill="1" applyBorder="1"/>
    <xf numFmtId="0" fontId="66" fillId="0" borderId="454" xfId="0" applyFont="1" applyBorder="1" applyAlignment="1">
      <alignment vertical="center" wrapText="1"/>
    </xf>
    <xf numFmtId="167" fontId="101" fillId="24" borderId="398" xfId="38" applyNumberFormat="1" applyFont="1" applyFill="1" applyBorder="1" applyAlignment="1">
      <alignment horizontal="center" vertical="center" wrapText="1"/>
    </xf>
    <xf numFmtId="167" fontId="100" fillId="24" borderId="455" xfId="38" applyNumberFormat="1" applyFont="1" applyFill="1" applyBorder="1" applyAlignment="1">
      <alignment horizontal="center" vertical="center" wrapText="1"/>
    </xf>
    <xf numFmtId="0" fontId="97" fillId="0" borderId="92" xfId="0" applyFont="1" applyBorder="1"/>
    <xf numFmtId="171" fontId="66" fillId="0" borderId="453" xfId="38" applyNumberFormat="1" applyFont="1" applyBorder="1" applyAlignment="1"/>
    <xf numFmtId="171" fontId="66" fillId="0" borderId="453" xfId="38" applyNumberFormat="1" applyFont="1" applyBorder="1" applyAlignment="1">
      <alignment horizontal="center"/>
    </xf>
    <xf numFmtId="165" fontId="72" fillId="0" borderId="453" xfId="43" applyFont="1" applyBorder="1" applyAlignment="1">
      <alignment horizontal="center"/>
    </xf>
    <xf numFmtId="1" fontId="67" fillId="0" borderId="453" xfId="0" applyNumberFormat="1" applyFont="1" applyBorder="1" applyAlignment="1">
      <alignment horizontal="center"/>
    </xf>
    <xf numFmtId="0" fontId="21" fillId="45" borderId="217" xfId="0" applyFont="1" applyFill="1" applyBorder="1"/>
    <xf numFmtId="0" fontId="66" fillId="0" borderId="379" xfId="0" applyFont="1" applyBorder="1"/>
    <xf numFmtId="164" fontId="66" fillId="0" borderId="379" xfId="38" applyFont="1" applyFill="1" applyBorder="1"/>
    <xf numFmtId="164" fontId="66" fillId="0" borderId="379" xfId="0" applyNumberFormat="1" applyFont="1" applyBorder="1"/>
    <xf numFmtId="164" fontId="72" fillId="0" borderId="379" xfId="0" applyNumberFormat="1" applyFont="1" applyBorder="1"/>
    <xf numFmtId="0" fontId="83" fillId="0" borderId="0" xfId="0" applyFont="1" applyAlignment="1">
      <alignment horizontal="center" vertical="center" wrapText="1"/>
    </xf>
    <xf numFmtId="167" fontId="66" fillId="0" borderId="0" xfId="38" applyNumberFormat="1" applyFont="1" applyFill="1" applyBorder="1" applyAlignment="1">
      <alignment horizontal="center" vertical="center" wrapText="1"/>
    </xf>
    <xf numFmtId="2" fontId="77" fillId="0" borderId="20" xfId="0" applyNumberFormat="1" applyFont="1" applyBorder="1" applyAlignment="1">
      <alignment horizontal="center" vertical="center" wrapText="1"/>
    </xf>
    <xf numFmtId="202" fontId="176" fillId="0" borderId="368" xfId="0" applyNumberFormat="1" applyFont="1" applyBorder="1" applyAlignment="1">
      <alignment horizontal="center" wrapText="1" readingOrder="1"/>
    </xf>
    <xf numFmtId="17" fontId="176" fillId="0" borderId="369" xfId="0" applyNumberFormat="1" applyFont="1" applyBorder="1" applyAlignment="1">
      <alignment horizontal="center" wrapText="1" readingOrder="1"/>
    </xf>
    <xf numFmtId="202" fontId="176" fillId="0" borderId="369" xfId="0" applyNumberFormat="1" applyFont="1" applyBorder="1" applyAlignment="1">
      <alignment horizontal="center" wrapText="1" readingOrder="1"/>
    </xf>
    <xf numFmtId="4" fontId="93" fillId="29" borderId="69" xfId="38" applyNumberFormat="1" applyFont="1" applyFill="1" applyBorder="1" applyAlignment="1">
      <alignment horizontal="center" vertical="center" wrapText="1"/>
    </xf>
    <xf numFmtId="0" fontId="72" fillId="53" borderId="401" xfId="463" applyFont="1" applyFill="1" applyBorder="1" applyAlignment="1">
      <alignment horizontal="center" vertical="center" wrapText="1"/>
    </xf>
    <xf numFmtId="167" fontId="94" fillId="0" borderId="93" xfId="0" applyNumberFormat="1" applyFont="1" applyBorder="1" applyAlignment="1">
      <alignment horizontal="center" vertical="center" wrapText="1"/>
    </xf>
    <xf numFmtId="4" fontId="106" fillId="53" borderId="11" xfId="167" applyNumberFormat="1" applyFont="1" applyFill="1" applyBorder="1" applyAlignment="1">
      <alignment horizontal="right" vertical="center"/>
    </xf>
    <xf numFmtId="4" fontId="106" fillId="44" borderId="11" xfId="167" applyNumberFormat="1" applyFont="1" applyFill="1" applyBorder="1" applyAlignment="1">
      <alignment horizontal="right" vertical="center"/>
    </xf>
    <xf numFmtId="4" fontId="93" fillId="29" borderId="85" xfId="38" applyNumberFormat="1" applyFont="1" applyFill="1" applyBorder="1" applyAlignment="1">
      <alignment horizontal="center" vertical="center" wrapText="1"/>
    </xf>
    <xf numFmtId="0" fontId="97" fillId="24" borderId="104" xfId="0" quotePrefix="1" applyFont="1" applyFill="1" applyBorder="1" applyAlignment="1">
      <alignment horizontal="center" vertical="center" wrapText="1"/>
    </xf>
    <xf numFmtId="0" fontId="72" fillId="24" borderId="111" xfId="0" applyFont="1" applyFill="1" applyBorder="1" applyAlignment="1">
      <alignment horizontal="center" vertical="center" wrapText="1"/>
    </xf>
    <xf numFmtId="175" fontId="77" fillId="0" borderId="0" xfId="0" applyNumberFormat="1" applyFont="1" applyAlignment="1">
      <alignment horizontal="center" vertical="center"/>
    </xf>
    <xf numFmtId="4" fontId="188" fillId="0" borderId="460" xfId="0" applyNumberFormat="1" applyFont="1" applyBorder="1" applyAlignment="1">
      <alignment horizontal="center" vertical="center" wrapText="1" readingOrder="1"/>
    </xf>
    <xf numFmtId="0" fontId="175" fillId="0" borderId="369" xfId="0" applyFont="1" applyBorder="1" applyAlignment="1">
      <alignment horizontal="center" vertical="center" wrapText="1" readingOrder="1"/>
    </xf>
    <xf numFmtId="0" fontId="175" fillId="0" borderId="370" xfId="0" applyFont="1" applyBorder="1" applyAlignment="1">
      <alignment horizontal="center" vertical="center" wrapText="1" readingOrder="1"/>
    </xf>
    <xf numFmtId="4" fontId="79" fillId="24" borderId="58" xfId="38" applyNumberFormat="1" applyFont="1" applyFill="1" applyBorder="1" applyAlignment="1">
      <alignment horizontal="center" vertical="center" wrapText="1"/>
    </xf>
    <xf numFmtId="4" fontId="66" fillId="24" borderId="117" xfId="38" applyNumberFormat="1" applyFont="1" applyFill="1" applyBorder="1" applyAlignment="1">
      <alignment horizontal="center" vertical="center" wrapText="1"/>
    </xf>
    <xf numFmtId="4" fontId="93" fillId="29" borderId="68" xfId="38" applyNumberFormat="1" applyFont="1" applyFill="1" applyBorder="1" applyAlignment="1">
      <alignment horizontal="center" vertical="center" wrapText="1"/>
    </xf>
    <xf numFmtId="4" fontId="93" fillId="29" borderId="118" xfId="38" applyNumberFormat="1" applyFont="1" applyFill="1" applyBorder="1" applyAlignment="1">
      <alignment horizontal="center" vertical="center" wrapText="1"/>
    </xf>
    <xf numFmtId="4" fontId="126" fillId="0" borderId="3" xfId="0" applyNumberFormat="1" applyFont="1" applyBorder="1" applyAlignment="1">
      <alignment horizontal="center" vertical="center" wrapText="1"/>
    </xf>
    <xf numFmtId="4" fontId="94" fillId="0" borderId="3" xfId="0" applyNumberFormat="1" applyFont="1" applyBorder="1" applyAlignment="1">
      <alignment horizontal="center" vertical="center" wrapText="1"/>
    </xf>
    <xf numFmtId="2" fontId="72" fillId="0" borderId="28" xfId="0" applyNumberFormat="1" applyFont="1" applyBorder="1" applyAlignment="1">
      <alignment horizontal="center" vertical="center"/>
    </xf>
    <xf numFmtId="0" fontId="65" fillId="0" borderId="0" xfId="0" applyFont="1"/>
    <xf numFmtId="0" fontId="34" fillId="0" borderId="82" xfId="0" applyFont="1" applyBorder="1"/>
    <xf numFmtId="167" fontId="34" fillId="0" borderId="3" xfId="0" applyNumberFormat="1" applyFont="1" applyBorder="1" applyAlignment="1">
      <alignment horizontal="center"/>
    </xf>
    <xf numFmtId="167" fontId="34" fillId="0" borderId="61" xfId="0" applyNumberFormat="1" applyFont="1" applyBorder="1" applyAlignment="1">
      <alignment horizontal="center"/>
    </xf>
    <xf numFmtId="167" fontId="34" fillId="0" borderId="60" xfId="0" applyNumberFormat="1" applyFont="1" applyBorder="1" applyAlignment="1">
      <alignment horizontal="center"/>
    </xf>
    <xf numFmtId="4" fontId="34" fillId="0" borderId="60" xfId="0" applyNumberFormat="1" applyFont="1" applyBorder="1" applyAlignment="1">
      <alignment horizontal="center"/>
    </xf>
    <xf numFmtId="4" fontId="34" fillId="0" borderId="3" xfId="0" applyNumberFormat="1" applyFont="1" applyBorder="1" applyAlignment="1">
      <alignment horizontal="center"/>
    </xf>
    <xf numFmtId="0" fontId="245" fillId="27" borderId="82" xfId="0" applyFont="1" applyFill="1" applyBorder="1"/>
    <xf numFmtId="3" fontId="34" fillId="0" borderId="86" xfId="0" applyNumberFormat="1" applyFont="1" applyBorder="1"/>
    <xf numFmtId="167" fontId="245" fillId="27" borderId="87" xfId="0" applyNumberFormat="1" applyFont="1" applyFill="1" applyBorder="1" applyAlignment="1">
      <alignment horizontal="center"/>
    </xf>
    <xf numFmtId="167" fontId="245" fillId="27" borderId="88" xfId="0" applyNumberFormat="1" applyFont="1" applyFill="1" applyBorder="1" applyAlignment="1">
      <alignment horizontal="center"/>
    </xf>
    <xf numFmtId="3" fontId="245" fillId="27" borderId="86" xfId="0" applyNumberFormat="1" applyFont="1" applyFill="1" applyBorder="1"/>
    <xf numFmtId="167" fontId="245" fillId="27" borderId="86" xfId="0" applyNumberFormat="1" applyFont="1" applyFill="1" applyBorder="1" applyAlignment="1">
      <alignment horizontal="center"/>
    </xf>
    <xf numFmtId="4" fontId="245" fillId="27" borderId="86" xfId="0" applyNumberFormat="1" applyFont="1" applyFill="1" applyBorder="1" applyAlignment="1">
      <alignment horizontal="center"/>
    </xf>
    <xf numFmtId="4" fontId="245" fillId="27" borderId="87" xfId="0" applyNumberFormat="1" applyFont="1" applyFill="1" applyBorder="1" applyAlignment="1">
      <alignment horizontal="center"/>
    </xf>
    <xf numFmtId="167" fontId="34" fillId="0" borderId="3" xfId="0" applyNumberFormat="1" applyFont="1" applyBorder="1" applyAlignment="1">
      <alignment horizontal="right"/>
    </xf>
    <xf numFmtId="3" fontId="245" fillId="56" borderId="86" xfId="0" applyNumberFormat="1" applyFont="1" applyFill="1" applyBorder="1" applyAlignment="1">
      <alignment horizontal="center"/>
    </xf>
    <xf numFmtId="3" fontId="245" fillId="56" borderId="196" xfId="0" applyNumberFormat="1" applyFont="1" applyFill="1" applyBorder="1" applyAlignment="1">
      <alignment horizontal="center"/>
    </xf>
    <xf numFmtId="3" fontId="245" fillId="56" borderId="87" xfId="0" applyNumberFormat="1" applyFont="1" applyFill="1" applyBorder="1" applyAlignment="1">
      <alignment horizontal="center"/>
    </xf>
    <xf numFmtId="3" fontId="245" fillId="56" borderId="197" xfId="0" applyNumberFormat="1" applyFont="1" applyFill="1" applyBorder="1" applyAlignment="1">
      <alignment horizontal="center"/>
    </xf>
    <xf numFmtId="167" fontId="245" fillId="27" borderId="86" xfId="0" applyNumberFormat="1" applyFont="1" applyFill="1" applyBorder="1"/>
    <xf numFmtId="167" fontId="245" fillId="27" borderId="87" xfId="0" applyNumberFormat="1" applyFont="1" applyFill="1" applyBorder="1" applyAlignment="1">
      <alignment horizontal="right"/>
    </xf>
    <xf numFmtId="167" fontId="245" fillId="27" borderId="87" xfId="0" applyNumberFormat="1" applyFont="1" applyFill="1" applyBorder="1"/>
    <xf numFmtId="167" fontId="34" fillId="24" borderId="60" xfId="0" applyNumberFormat="1" applyFont="1" applyFill="1" applyBorder="1" applyAlignment="1">
      <alignment horizontal="center"/>
    </xf>
    <xf numFmtId="167" fontId="34" fillId="24" borderId="3" xfId="0" applyNumberFormat="1" applyFont="1" applyFill="1" applyBorder="1" applyAlignment="1">
      <alignment horizontal="center"/>
    </xf>
    <xf numFmtId="167" fontId="34" fillId="24" borderId="61" xfId="0" applyNumberFormat="1" applyFont="1" applyFill="1" applyBorder="1" applyAlignment="1">
      <alignment horizontal="center"/>
    </xf>
    <xf numFmtId="17" fontId="233" fillId="0" borderId="0" xfId="6837" applyNumberFormat="1" applyFont="1"/>
    <xf numFmtId="0" fontId="166" fillId="0" borderId="330" xfId="6837" applyFont="1" applyBorder="1" applyAlignment="1">
      <alignment horizontal="center" vertical="center"/>
    </xf>
    <xf numFmtId="0" fontId="166" fillId="51" borderId="330" xfId="6837" applyFont="1" applyFill="1" applyBorder="1" applyAlignment="1">
      <alignment horizontal="center" vertical="center"/>
    </xf>
    <xf numFmtId="0" fontId="192" fillId="0" borderId="330" xfId="74" applyFont="1" applyBorder="1" applyAlignment="1">
      <alignment horizontal="left" vertical="center" wrapText="1" readingOrder="1"/>
    </xf>
    <xf numFmtId="4" fontId="66" fillId="0" borderId="330" xfId="74" applyNumberFormat="1" applyFont="1" applyBorder="1" applyAlignment="1">
      <alignment horizontal="center" vertical="center" readingOrder="1"/>
    </xf>
    <xf numFmtId="4" fontId="66" fillId="51" borderId="330" xfId="74" applyNumberFormat="1" applyFont="1" applyFill="1" applyBorder="1" applyAlignment="1">
      <alignment horizontal="center" vertical="center" readingOrder="1"/>
    </xf>
    <xf numFmtId="0" fontId="239" fillId="55" borderId="330" xfId="74" applyFont="1" applyFill="1" applyBorder="1" applyAlignment="1">
      <alignment horizontal="center" vertical="center" wrapText="1" readingOrder="1"/>
    </xf>
    <xf numFmtId="4" fontId="148" fillId="55" borderId="330" xfId="74" applyNumberFormat="1" applyFont="1" applyFill="1" applyBorder="1" applyAlignment="1">
      <alignment horizontal="center" vertical="center" readingOrder="1"/>
    </xf>
    <xf numFmtId="4" fontId="148" fillId="51" borderId="330" xfId="74" applyNumberFormat="1" applyFont="1" applyFill="1" applyBorder="1" applyAlignment="1">
      <alignment horizontal="center" vertical="center" readingOrder="1"/>
    </xf>
    <xf numFmtId="0" fontId="233" fillId="0" borderId="0" xfId="6837" applyFont="1"/>
    <xf numFmtId="0" fontId="66" fillId="0" borderId="0" xfId="74" applyFont="1" applyAlignment="1">
      <alignment horizontal="center" wrapText="1"/>
    </xf>
    <xf numFmtId="2" fontId="66" fillId="0" borderId="0" xfId="74" applyNumberFormat="1" applyFont="1"/>
    <xf numFmtId="4" fontId="66" fillId="44" borderId="330" xfId="74" applyNumberFormat="1" applyFont="1" applyFill="1" applyBorder="1" applyAlignment="1">
      <alignment horizontal="center" vertical="center" readingOrder="1"/>
    </xf>
    <xf numFmtId="4" fontId="66" fillId="0" borderId="0" xfId="74" applyNumberFormat="1" applyFont="1"/>
    <xf numFmtId="0" fontId="240" fillId="0" borderId="0" xfId="74" applyFont="1"/>
    <xf numFmtId="0" fontId="241" fillId="0" borderId="0" xfId="74" applyFont="1"/>
    <xf numFmtId="0" fontId="242" fillId="0" borderId="330" xfId="6837" applyFont="1" applyBorder="1" applyAlignment="1">
      <alignment horizontal="center" vertical="center"/>
    </xf>
    <xf numFmtId="0" fontId="243" fillId="0" borderId="330" xfId="74" applyFont="1" applyBorder="1" applyAlignment="1">
      <alignment horizontal="left" vertical="center" wrapText="1" readingOrder="1"/>
    </xf>
    <xf numFmtId="4" fontId="240" fillId="0" borderId="330" xfId="74" applyNumberFormat="1" applyFont="1" applyBorder="1" applyAlignment="1">
      <alignment horizontal="center" vertical="center" readingOrder="1"/>
    </xf>
    <xf numFmtId="4" fontId="240" fillId="51" borderId="330" xfId="74" applyNumberFormat="1" applyFont="1" applyFill="1" applyBorder="1" applyAlignment="1">
      <alignment horizontal="center" vertical="center" readingOrder="1"/>
    </xf>
    <xf numFmtId="0" fontId="243" fillId="55" borderId="330" xfId="74" applyFont="1" applyFill="1" applyBorder="1" applyAlignment="1">
      <alignment horizontal="center" vertical="center" wrapText="1" readingOrder="1"/>
    </xf>
    <xf numFmtId="4" fontId="240" fillId="55" borderId="330" xfId="74" applyNumberFormat="1" applyFont="1" applyFill="1" applyBorder="1" applyAlignment="1">
      <alignment horizontal="center" vertical="center" readingOrder="1"/>
    </xf>
    <xf numFmtId="0" fontId="244" fillId="0" borderId="0" xfId="74" applyFont="1"/>
    <xf numFmtId="0" fontId="243" fillId="0" borderId="330" xfId="6837" applyFont="1" applyBorder="1" applyAlignment="1">
      <alignment horizontal="center" vertical="center"/>
    </xf>
    <xf numFmtId="0" fontId="244" fillId="0" borderId="330" xfId="74" applyFont="1" applyBorder="1" applyAlignment="1">
      <alignment horizontal="left" vertical="center" wrapText="1" readingOrder="1"/>
    </xf>
    <xf numFmtId="3" fontId="244" fillId="0" borderId="330" xfId="74" applyNumberFormat="1" applyFont="1" applyBorder="1" applyAlignment="1">
      <alignment horizontal="center" vertical="center" readingOrder="1"/>
    </xf>
    <xf numFmtId="4" fontId="244" fillId="51" borderId="330" xfId="74" applyNumberFormat="1" applyFont="1" applyFill="1" applyBorder="1" applyAlignment="1">
      <alignment horizontal="center" vertical="center" readingOrder="1"/>
    </xf>
    <xf numFmtId="3" fontId="244" fillId="44" borderId="330" xfId="74" applyNumberFormat="1" applyFont="1" applyFill="1" applyBorder="1" applyAlignment="1">
      <alignment horizontal="center" vertical="center" readingOrder="1"/>
    </xf>
    <xf numFmtId="3" fontId="243" fillId="55" borderId="330" xfId="74" applyNumberFormat="1" applyFont="1" applyFill="1" applyBorder="1" applyAlignment="1">
      <alignment horizontal="center" vertical="center" readingOrder="1"/>
    </xf>
    <xf numFmtId="4" fontId="243" fillId="51" borderId="330" xfId="74" applyNumberFormat="1" applyFont="1" applyFill="1" applyBorder="1" applyAlignment="1">
      <alignment horizontal="center" vertical="center" readingOrder="1"/>
    </xf>
    <xf numFmtId="0" fontId="5" fillId="0" borderId="0" xfId="6837"/>
    <xf numFmtId="0" fontId="157" fillId="44" borderId="96" xfId="6837" applyFont="1" applyFill="1" applyBorder="1"/>
    <xf numFmtId="0" fontId="157" fillId="44" borderId="173" xfId="6837" applyFont="1" applyFill="1" applyBorder="1"/>
    <xf numFmtId="0" fontId="246" fillId="45" borderId="14" xfId="0" applyFont="1" applyFill="1" applyBorder="1"/>
    <xf numFmtId="167" fontId="5" fillId="0" borderId="95" xfId="6837" applyNumberFormat="1" applyBorder="1"/>
    <xf numFmtId="167" fontId="5" fillId="0" borderId="11" xfId="6837" applyNumberFormat="1" applyBorder="1"/>
    <xf numFmtId="167" fontId="5" fillId="0" borderId="104" xfId="6837" applyNumberFormat="1" applyBorder="1"/>
    <xf numFmtId="0" fontId="183" fillId="46" borderId="14" xfId="0" applyFont="1" applyFill="1" applyBorder="1"/>
    <xf numFmtId="167" fontId="5" fillId="0" borderId="106" xfId="6837" applyNumberFormat="1" applyBorder="1"/>
    <xf numFmtId="167" fontId="5" fillId="44" borderId="244" xfId="6837" applyNumberFormat="1" applyFill="1" applyBorder="1"/>
    <xf numFmtId="167" fontId="5" fillId="44" borderId="107" xfId="6837" applyNumberFormat="1" applyFill="1" applyBorder="1"/>
    <xf numFmtId="167" fontId="5" fillId="44" borderId="106" xfId="6837" applyNumberFormat="1" applyFill="1" applyBorder="1"/>
    <xf numFmtId="4" fontId="108" fillId="0" borderId="11" xfId="167" applyNumberFormat="1" applyFont="1" applyBorder="1" applyAlignment="1">
      <alignment horizontal="right" vertical="center"/>
    </xf>
    <xf numFmtId="4" fontId="108" fillId="45" borderId="11" xfId="167" applyNumberFormat="1" applyFont="1" applyFill="1" applyBorder="1" applyAlignment="1">
      <alignment horizontal="right" vertical="center"/>
    </xf>
    <xf numFmtId="17" fontId="157" fillId="44" borderId="172" xfId="6837" applyNumberFormat="1" applyFont="1" applyFill="1" applyBorder="1"/>
    <xf numFmtId="171" fontId="108" fillId="47" borderId="0" xfId="0" applyNumberFormat="1" applyFont="1" applyFill="1" applyAlignment="1">
      <alignment horizontal="center" vertical="center"/>
    </xf>
    <xf numFmtId="4" fontId="100" fillId="24" borderId="59" xfId="38" applyNumberFormat="1" applyFont="1" applyFill="1" applyBorder="1" applyAlignment="1">
      <alignment horizontal="center" vertical="center" wrapText="1"/>
    </xf>
    <xf numFmtId="4" fontId="101" fillId="24" borderId="1" xfId="38" applyNumberFormat="1" applyFont="1" applyFill="1" applyBorder="1" applyAlignment="1">
      <alignment horizontal="center" vertical="center" wrapText="1"/>
    </xf>
    <xf numFmtId="3" fontId="90" fillId="31" borderId="11" xfId="167" applyNumberFormat="1" applyFont="1" applyFill="1" applyBorder="1" applyAlignment="1">
      <alignment horizontal="right" vertical="center"/>
    </xf>
    <xf numFmtId="4" fontId="72" fillId="27" borderId="38" xfId="0" applyNumberFormat="1" applyFont="1" applyFill="1" applyBorder="1" applyAlignment="1">
      <alignment horizontal="center" vertical="center"/>
    </xf>
    <xf numFmtId="2" fontId="66" fillId="0" borderId="28" xfId="0" applyNumberFormat="1" applyFont="1" applyBorder="1" applyAlignment="1">
      <alignment horizontal="center" vertical="center"/>
    </xf>
    <xf numFmtId="166" fontId="243" fillId="0" borderId="330" xfId="6837" applyNumberFormat="1" applyFont="1" applyBorder="1" applyAlignment="1">
      <alignment horizontal="center" vertical="center"/>
    </xf>
    <xf numFmtId="1" fontId="243" fillId="0" borderId="330" xfId="6837" applyNumberFormat="1" applyFont="1" applyBorder="1" applyAlignment="1">
      <alignment horizontal="center" vertical="center"/>
    </xf>
    <xf numFmtId="4" fontId="72" fillId="27" borderId="36" xfId="0" applyNumberFormat="1" applyFont="1" applyFill="1" applyBorder="1" applyAlignment="1">
      <alignment horizontal="center" vertical="center"/>
    </xf>
    <xf numFmtId="180" fontId="17" fillId="0" borderId="0" xfId="167" applyNumberFormat="1"/>
    <xf numFmtId="3" fontId="66" fillId="24" borderId="0" xfId="0" applyNumberFormat="1" applyFont="1" applyFill="1" applyAlignment="1">
      <alignment horizontal="center" vertical="center"/>
    </xf>
    <xf numFmtId="172" fontId="70" fillId="26" borderId="32" xfId="0" applyNumberFormat="1" applyFont="1" applyFill="1" applyBorder="1" applyAlignment="1">
      <alignment horizontal="center" vertical="center"/>
    </xf>
    <xf numFmtId="177" fontId="70" fillId="26" borderId="31" xfId="0" applyNumberFormat="1" applyFont="1" applyFill="1" applyBorder="1" applyAlignment="1">
      <alignment horizontal="center" vertical="center"/>
    </xf>
    <xf numFmtId="178" fontId="70" fillId="26" borderId="32" xfId="0" applyNumberFormat="1" applyFont="1" applyFill="1" applyBorder="1" applyAlignment="1">
      <alignment horizontal="center" vertical="center"/>
    </xf>
    <xf numFmtId="179" fontId="72" fillId="0" borderId="28" xfId="0" applyNumberFormat="1" applyFont="1" applyBorder="1" applyAlignment="1">
      <alignment horizontal="center" vertical="center"/>
    </xf>
    <xf numFmtId="3" fontId="66" fillId="0" borderId="465" xfId="0" applyNumberFormat="1" applyFont="1" applyBorder="1" applyAlignment="1">
      <alignment horizontal="center" vertical="center"/>
    </xf>
    <xf numFmtId="3" fontId="66" fillId="0" borderId="466" xfId="0" applyNumberFormat="1" applyFont="1" applyBorder="1" applyAlignment="1">
      <alignment horizontal="center" vertical="center"/>
    </xf>
    <xf numFmtId="171" fontId="108" fillId="0" borderId="0" xfId="0" applyNumberFormat="1" applyFont="1" applyAlignment="1">
      <alignment horizontal="center" vertical="center"/>
    </xf>
    <xf numFmtId="171" fontId="109" fillId="0" borderId="0" xfId="0" applyNumberFormat="1" applyFont="1" applyAlignment="1">
      <alignment horizontal="center" vertical="center"/>
    </xf>
    <xf numFmtId="0" fontId="66" fillId="0" borderId="21" xfId="49" applyFont="1" applyBorder="1" applyAlignment="1">
      <alignment vertical="center" wrapText="1"/>
    </xf>
    <xf numFmtId="0" fontId="96" fillId="0" borderId="467" xfId="0" applyFont="1" applyBorder="1" applyAlignment="1">
      <alignment horizontal="center"/>
    </xf>
    <xf numFmtId="0" fontId="96" fillId="0" borderId="123" xfId="0" applyFont="1" applyBorder="1" applyAlignment="1">
      <alignment horizontal="center"/>
    </xf>
    <xf numFmtId="0" fontId="96" fillId="0" borderId="468" xfId="0" applyFont="1" applyBorder="1" applyAlignment="1">
      <alignment horizontal="center"/>
    </xf>
    <xf numFmtId="164" fontId="66" fillId="44" borderId="0" xfId="38" applyFont="1" applyFill="1"/>
    <xf numFmtId="167" fontId="108" fillId="61" borderId="11" xfId="167" applyNumberFormat="1" applyFont="1" applyFill="1" applyBorder="1" applyAlignment="1">
      <alignment horizontal="right" vertical="center"/>
    </xf>
    <xf numFmtId="166" fontId="66" fillId="66" borderId="0" xfId="0" applyNumberFormat="1" applyFont="1" applyFill="1"/>
    <xf numFmtId="167" fontId="66" fillId="66" borderId="0" xfId="0" applyNumberFormat="1" applyFont="1" applyFill="1"/>
    <xf numFmtId="4" fontId="66" fillId="24" borderId="26" xfId="0" applyNumberFormat="1" applyFont="1" applyFill="1" applyBorder="1" applyAlignment="1">
      <alignment horizontal="center" vertical="center"/>
    </xf>
    <xf numFmtId="203" fontId="74" fillId="0" borderId="246" xfId="38" applyNumberFormat="1" applyFont="1" applyFill="1" applyBorder="1" applyAlignment="1">
      <alignment horizontal="center"/>
    </xf>
    <xf numFmtId="164" fontId="74" fillId="0" borderId="254" xfId="47" applyNumberFormat="1" applyFont="1" applyBorder="1"/>
    <xf numFmtId="164" fontId="74" fillId="0" borderId="246" xfId="47" applyNumberFormat="1" applyFont="1" applyBorder="1"/>
    <xf numFmtId="4" fontId="72" fillId="0" borderId="0" xfId="0" applyNumberFormat="1" applyFont="1"/>
    <xf numFmtId="164" fontId="74" fillId="0" borderId="246" xfId="38" applyFont="1" applyFill="1" applyBorder="1" applyAlignment="1">
      <alignment horizontal="center"/>
    </xf>
    <xf numFmtId="9" fontId="72" fillId="45" borderId="0" xfId="53" applyFont="1" applyFill="1" applyBorder="1" applyAlignment="1">
      <alignment horizontal="right" vertical="center"/>
    </xf>
    <xf numFmtId="196" fontId="72" fillId="45" borderId="0" xfId="53" applyNumberFormat="1" applyFont="1" applyFill="1" applyBorder="1" applyAlignment="1">
      <alignment horizontal="right" vertical="center"/>
    </xf>
    <xf numFmtId="0" fontId="247" fillId="0" borderId="0" xfId="0" applyFont="1"/>
    <xf numFmtId="4" fontId="102" fillId="29" borderId="70" xfId="38" applyNumberFormat="1" applyFont="1" applyFill="1" applyBorder="1" applyAlignment="1">
      <alignment horizontal="center" vertical="center" wrapText="1"/>
    </xf>
    <xf numFmtId="176" fontId="79" fillId="24" borderId="1" xfId="38" applyNumberFormat="1" applyFont="1" applyFill="1" applyBorder="1" applyAlignment="1">
      <alignment horizontal="center" vertical="center" wrapText="1"/>
    </xf>
    <xf numFmtId="176" fontId="101" fillId="24" borderId="1" xfId="38" applyNumberFormat="1" applyFont="1" applyFill="1" applyBorder="1" applyAlignment="1">
      <alignment horizontal="center" vertical="center" wrapText="1"/>
    </xf>
    <xf numFmtId="167" fontId="72" fillId="0" borderId="11" xfId="455" applyNumberFormat="1" applyFont="1" applyBorder="1" applyAlignment="1">
      <alignment horizontal="center" vertical="center"/>
    </xf>
    <xf numFmtId="170" fontId="175" fillId="103" borderId="419" xfId="38" applyNumberFormat="1" applyFont="1" applyFill="1" applyBorder="1" applyAlignment="1">
      <alignment horizontal="center" vertical="center" wrapText="1"/>
    </xf>
    <xf numFmtId="164" fontId="175" fillId="103" borderId="419" xfId="38" applyFont="1" applyFill="1" applyBorder="1" applyAlignment="1">
      <alignment horizontal="center" vertical="center" wrapText="1"/>
    </xf>
    <xf numFmtId="1" fontId="175" fillId="103" borderId="419" xfId="0" applyNumberFormat="1" applyFont="1" applyFill="1" applyBorder="1" applyAlignment="1">
      <alignment horizontal="center" vertical="center" wrapText="1"/>
    </xf>
    <xf numFmtId="4" fontId="106" fillId="25" borderId="469" xfId="0" applyNumberFormat="1" applyFont="1" applyFill="1" applyBorder="1" applyAlignment="1">
      <alignment horizontal="center" vertical="center" wrapText="1"/>
    </xf>
    <xf numFmtId="171" fontId="106" fillId="0" borderId="0" xfId="5367" applyNumberFormat="1" applyFont="1" applyFill="1" applyAlignment="1">
      <alignment horizontal="center" vertical="center"/>
    </xf>
    <xf numFmtId="0" fontId="108" fillId="0" borderId="469" xfId="0" applyFont="1" applyBorder="1" applyAlignment="1">
      <alignment horizontal="left" vertical="center"/>
    </xf>
    <xf numFmtId="167" fontId="108" fillId="0" borderId="469" xfId="0" applyNumberFormat="1" applyFont="1" applyBorder="1" applyAlignment="1">
      <alignment horizontal="right" vertical="center"/>
    </xf>
    <xf numFmtId="167" fontId="108" fillId="0" borderId="469" xfId="0" applyNumberFormat="1" applyFont="1" applyBorder="1" applyAlignment="1">
      <alignment horizontal="center" vertical="center"/>
    </xf>
    <xf numFmtId="0" fontId="108" fillId="0" borderId="469" xfId="0" applyFont="1" applyBorder="1" applyAlignment="1">
      <alignment horizontal="center" vertical="center"/>
    </xf>
    <xf numFmtId="0" fontId="106" fillId="0" borderId="469" xfId="0" applyFont="1" applyBorder="1" applyAlignment="1">
      <alignment horizontal="left" vertical="center"/>
    </xf>
    <xf numFmtId="167" fontId="109" fillId="0" borderId="469" xfId="0" applyNumberFormat="1" applyFont="1" applyBorder="1" applyAlignment="1">
      <alignment horizontal="right" vertical="center"/>
    </xf>
    <xf numFmtId="167" fontId="109" fillId="0" borderId="469" xfId="0" applyNumberFormat="1" applyFont="1" applyBorder="1" applyAlignment="1">
      <alignment horizontal="center" vertical="center"/>
    </xf>
    <xf numFmtId="167" fontId="110" fillId="0" borderId="469" xfId="0" applyNumberFormat="1" applyFont="1" applyBorder="1" applyAlignment="1">
      <alignment horizontal="right" vertical="center"/>
    </xf>
    <xf numFmtId="167" fontId="107" fillId="0" borderId="469" xfId="0" applyNumberFormat="1" applyFont="1" applyBorder="1" applyAlignment="1">
      <alignment horizontal="center" vertical="center"/>
    </xf>
    <xf numFmtId="0" fontId="248" fillId="31" borderId="469" xfId="0" applyFont="1" applyFill="1" applyBorder="1" applyAlignment="1">
      <alignment horizontal="center" vertical="center"/>
    </xf>
    <xf numFmtId="167" fontId="248" fillId="31" borderId="469" xfId="0" applyNumberFormat="1" applyFont="1" applyFill="1" applyBorder="1" applyAlignment="1">
      <alignment horizontal="center" vertical="center"/>
    </xf>
    <xf numFmtId="4" fontId="155" fillId="59" borderId="469" xfId="0" applyNumberFormat="1" applyFont="1" applyFill="1" applyBorder="1" applyAlignment="1">
      <alignment horizontal="center" vertical="center" wrapText="1"/>
    </xf>
    <xf numFmtId="164" fontId="75" fillId="44" borderId="0" xfId="47" applyNumberFormat="1" applyFont="1" applyFill="1"/>
    <xf numFmtId="164" fontId="77" fillId="44" borderId="0" xfId="38" applyFont="1" applyFill="1"/>
    <xf numFmtId="164" fontId="66" fillId="44" borderId="0" xfId="74" applyNumberFormat="1" applyFont="1" applyFill="1"/>
    <xf numFmtId="0" fontId="106" fillId="53" borderId="11" xfId="167" applyFont="1" applyFill="1" applyBorder="1" applyAlignment="1">
      <alignment horizontal="right" vertical="center"/>
    </xf>
    <xf numFmtId="0" fontId="90" fillId="31" borderId="11" xfId="167" applyFont="1" applyFill="1" applyBorder="1" applyAlignment="1">
      <alignment horizontal="center" vertical="center" wrapText="1"/>
    </xf>
    <xf numFmtId="0" fontId="72" fillId="0" borderId="0" xfId="74" applyFont="1" applyAlignment="1">
      <alignment horizontal="center"/>
    </xf>
    <xf numFmtId="0" fontId="240" fillId="0" borderId="0" xfId="74" applyFont="1" applyAlignment="1">
      <alignment horizontal="center"/>
    </xf>
    <xf numFmtId="0" fontId="243" fillId="0" borderId="0" xfId="74" applyFont="1" applyAlignment="1">
      <alignment horizontal="center"/>
    </xf>
    <xf numFmtId="3" fontId="66" fillId="0" borderId="330" xfId="74" applyNumberFormat="1" applyFont="1" applyBorder="1" applyAlignment="1">
      <alignment horizontal="center" vertical="center" readingOrder="1"/>
    </xf>
    <xf numFmtId="3" fontId="148" fillId="55" borderId="330" xfId="74" applyNumberFormat="1" applyFont="1" applyFill="1" applyBorder="1" applyAlignment="1">
      <alignment horizontal="center" vertical="center" readingOrder="1"/>
    </xf>
    <xf numFmtId="9" fontId="66" fillId="0" borderId="330" xfId="53" applyFont="1" applyBorder="1" applyAlignment="1">
      <alignment horizontal="center" vertical="center" readingOrder="1"/>
    </xf>
    <xf numFmtId="9" fontId="66" fillId="51" borderId="330" xfId="53" applyFont="1" applyFill="1" applyBorder="1" applyAlignment="1">
      <alignment horizontal="center" vertical="center" readingOrder="1"/>
    </xf>
    <xf numFmtId="9" fontId="148" fillId="55" borderId="330" xfId="53" applyFont="1" applyFill="1" applyBorder="1" applyAlignment="1">
      <alignment horizontal="center" vertical="center" readingOrder="1"/>
    </xf>
    <xf numFmtId="9" fontId="148" fillId="51" borderId="330" xfId="53" applyFont="1" applyFill="1" applyBorder="1" applyAlignment="1">
      <alignment horizontal="center" vertical="center" readingOrder="1"/>
    </xf>
    <xf numFmtId="167" fontId="72" fillId="46" borderId="109" xfId="0" applyNumberFormat="1" applyFont="1" applyFill="1" applyBorder="1" applyAlignment="1">
      <alignment horizontal="center" vertical="center" wrapText="1"/>
    </xf>
    <xf numFmtId="167" fontId="72" fillId="56" borderId="109" xfId="0" applyNumberFormat="1" applyFont="1" applyFill="1" applyBorder="1" applyAlignment="1">
      <alignment horizontal="center" vertical="center" wrapText="1"/>
    </xf>
    <xf numFmtId="0" fontId="121" fillId="0" borderId="0" xfId="0" applyFont="1" applyAlignment="1">
      <alignment horizontal="center"/>
    </xf>
    <xf numFmtId="0" fontId="249" fillId="0" borderId="0" xfId="167" applyFont="1"/>
    <xf numFmtId="0" fontId="72" fillId="53" borderId="476" xfId="463" applyFont="1" applyFill="1" applyBorder="1" applyAlignment="1">
      <alignment horizontal="center" vertical="center" wrapText="1"/>
    </xf>
    <xf numFmtId="0" fontId="0" fillId="45" borderId="469" xfId="0" applyFill="1" applyBorder="1"/>
    <xf numFmtId="4" fontId="143" fillId="70" borderId="469" xfId="462" applyNumberFormat="1" applyFont="1" applyFill="1" applyBorder="1" applyAlignment="1" applyProtection="1">
      <alignment horizontal="center" vertical="center"/>
    </xf>
    <xf numFmtId="0" fontId="0" fillId="45" borderId="480" xfId="0" applyFill="1" applyBorder="1"/>
    <xf numFmtId="4" fontId="143" fillId="70" borderId="481" xfId="462" applyNumberFormat="1" applyFont="1" applyFill="1" applyBorder="1" applyAlignment="1" applyProtection="1">
      <alignment horizontal="center" vertical="center"/>
    </xf>
    <xf numFmtId="4" fontId="143" fillId="70" borderId="482" xfId="462" applyNumberFormat="1" applyFont="1" applyFill="1" applyBorder="1" applyAlignment="1" applyProtection="1">
      <alignment horizontal="center" vertical="center"/>
    </xf>
    <xf numFmtId="4" fontId="143" fillId="70" borderId="483" xfId="462" applyNumberFormat="1" applyFont="1" applyFill="1" applyBorder="1" applyAlignment="1" applyProtection="1">
      <alignment horizontal="center" vertical="center"/>
    </xf>
    <xf numFmtId="4" fontId="143" fillId="70" borderId="484" xfId="462" applyNumberFormat="1" applyFont="1" applyFill="1" applyBorder="1" applyAlignment="1" applyProtection="1">
      <alignment horizontal="center" vertical="center"/>
    </xf>
    <xf numFmtId="0" fontId="0" fillId="45" borderId="155" xfId="0" applyFill="1" applyBorder="1"/>
    <xf numFmtId="4" fontId="143" fillId="70" borderId="485" xfId="462" applyNumberFormat="1" applyFont="1" applyFill="1" applyBorder="1" applyAlignment="1" applyProtection="1">
      <alignment horizontal="center" vertical="center"/>
    </xf>
    <xf numFmtId="4" fontId="143" fillId="70" borderId="486" xfId="462" applyNumberFormat="1" applyFont="1" applyFill="1" applyBorder="1" applyAlignment="1" applyProtection="1">
      <alignment horizontal="center" vertical="center"/>
    </xf>
    <xf numFmtId="4" fontId="143" fillId="70" borderId="487" xfId="462" applyNumberFormat="1" applyFont="1" applyFill="1" applyBorder="1" applyAlignment="1" applyProtection="1">
      <alignment horizontal="center" vertical="center"/>
    </xf>
    <xf numFmtId="4" fontId="143" fillId="70" borderId="488" xfId="462" applyNumberFormat="1" applyFont="1" applyFill="1" applyBorder="1" applyAlignment="1" applyProtection="1">
      <alignment horizontal="center" vertical="center"/>
    </xf>
    <xf numFmtId="4" fontId="143" fillId="70" borderId="489" xfId="462" applyNumberFormat="1" applyFont="1" applyFill="1" applyBorder="1" applyAlignment="1" applyProtection="1">
      <alignment horizontal="center" vertical="center"/>
    </xf>
    <xf numFmtId="0" fontId="183" fillId="46" borderId="155" xfId="0" applyFont="1" applyFill="1" applyBorder="1"/>
    <xf numFmtId="4" fontId="72" fillId="46" borderId="490" xfId="462" applyNumberFormat="1" applyFont="1" applyFill="1" applyBorder="1" applyAlignment="1" applyProtection="1">
      <alignment horizontal="center" vertical="center"/>
    </xf>
    <xf numFmtId="4" fontId="72" fillId="46" borderId="491" xfId="462" applyNumberFormat="1" applyFont="1" applyFill="1" applyBorder="1" applyAlignment="1" applyProtection="1">
      <alignment horizontal="center" vertical="center"/>
    </xf>
    <xf numFmtId="0" fontId="21" fillId="45" borderId="469" xfId="0" applyFont="1" applyFill="1" applyBorder="1"/>
    <xf numFmtId="4" fontId="190" fillId="61" borderId="11" xfId="167" applyNumberFormat="1" applyFont="1" applyFill="1" applyBorder="1" applyAlignment="1">
      <alignment horizontal="right" vertical="center"/>
    </xf>
    <xf numFmtId="175" fontId="66" fillId="0" borderId="330" xfId="74" applyNumberFormat="1" applyFont="1" applyBorder="1" applyAlignment="1">
      <alignment horizontal="center" vertical="center" readingOrder="1"/>
    </xf>
    <xf numFmtId="10" fontId="66" fillId="0" borderId="330" xfId="53" applyNumberFormat="1" applyFont="1" applyBorder="1" applyAlignment="1">
      <alignment horizontal="center" vertical="center" readingOrder="1"/>
    </xf>
    <xf numFmtId="10" fontId="148" fillId="55" borderId="330" xfId="53" applyNumberFormat="1" applyFont="1" applyFill="1" applyBorder="1" applyAlignment="1">
      <alignment horizontal="center" vertical="center" readingOrder="1"/>
    </xf>
    <xf numFmtId="172" fontId="178" fillId="0" borderId="20" xfId="0" applyNumberFormat="1" applyFont="1" applyBorder="1" applyAlignment="1">
      <alignment horizontal="center" vertical="center" wrapText="1"/>
    </xf>
    <xf numFmtId="176" fontId="66" fillId="24" borderId="59" xfId="38" applyNumberFormat="1" applyFont="1" applyFill="1" applyBorder="1" applyAlignment="1">
      <alignment horizontal="center" vertical="center" wrapText="1"/>
    </xf>
    <xf numFmtId="180" fontId="100" fillId="0" borderId="59" xfId="38" applyNumberFormat="1" applyFont="1" applyFill="1" applyBorder="1" applyAlignment="1">
      <alignment horizontal="center" vertical="center" wrapText="1"/>
    </xf>
    <xf numFmtId="175" fontId="66" fillId="51" borderId="238" xfId="0" applyNumberFormat="1" applyFont="1" applyFill="1" applyBorder="1"/>
    <xf numFmtId="175" fontId="66" fillId="53" borderId="239" xfId="0" applyNumberFormat="1" applyFont="1" applyFill="1" applyBorder="1"/>
    <xf numFmtId="179" fontId="66" fillId="0" borderId="27" xfId="0" applyNumberFormat="1" applyFont="1" applyBorder="1" applyAlignment="1">
      <alignment horizontal="center" vertical="center"/>
    </xf>
    <xf numFmtId="4" fontId="250" fillId="0" borderId="0" xfId="0" applyNumberFormat="1" applyFont="1" applyAlignment="1">
      <alignment horizontal="center" vertical="center" readingOrder="1"/>
    </xf>
    <xf numFmtId="4" fontId="250" fillId="0" borderId="0" xfId="0" applyNumberFormat="1" applyFont="1"/>
    <xf numFmtId="180" fontId="66" fillId="0" borderId="330" xfId="74" applyNumberFormat="1" applyFont="1" applyBorder="1" applyAlignment="1">
      <alignment horizontal="center" vertical="center" readingOrder="1"/>
    </xf>
    <xf numFmtId="167" fontId="251" fillId="0" borderId="0" xfId="0" applyNumberFormat="1" applyFont="1" applyAlignment="1">
      <alignment vertical="center"/>
    </xf>
    <xf numFmtId="4" fontId="70" fillId="26" borderId="31" xfId="0" applyNumberFormat="1" applyFont="1" applyFill="1" applyBorder="1" applyAlignment="1">
      <alignment horizontal="center" vertical="center"/>
    </xf>
    <xf numFmtId="2" fontId="96" fillId="0" borderId="0" xfId="0" applyNumberFormat="1" applyFont="1"/>
    <xf numFmtId="2" fontId="72" fillId="0" borderId="0" xfId="0" applyNumberFormat="1" applyFont="1" applyAlignment="1">
      <alignment vertical="center" wrapText="1"/>
    </xf>
    <xf numFmtId="168" fontId="121" fillId="44" borderId="165" xfId="43" applyNumberFormat="1" applyFont="1" applyFill="1" applyBorder="1" applyAlignment="1">
      <alignment horizontal="center"/>
    </xf>
    <xf numFmtId="168" fontId="121" fillId="44" borderId="245" xfId="43" applyNumberFormat="1" applyFont="1" applyFill="1" applyBorder="1" applyAlignment="1">
      <alignment horizontal="center"/>
    </xf>
    <xf numFmtId="175" fontId="101" fillId="24" borderId="1" xfId="38" applyNumberFormat="1" applyFont="1" applyFill="1" applyBorder="1" applyAlignment="1">
      <alignment horizontal="center" vertical="center" wrapText="1"/>
    </xf>
    <xf numFmtId="2" fontId="17" fillId="0" borderId="0" xfId="167" applyNumberFormat="1" applyAlignment="1">
      <alignment horizontal="center"/>
    </xf>
    <xf numFmtId="1" fontId="252" fillId="0" borderId="0" xfId="167" applyNumberFormat="1" applyFont="1" applyAlignment="1">
      <alignment horizontal="center"/>
    </xf>
    <xf numFmtId="1" fontId="253" fillId="0" borderId="0" xfId="167" applyNumberFormat="1" applyFont="1" applyAlignment="1">
      <alignment horizontal="center"/>
    </xf>
    <xf numFmtId="173" fontId="66" fillId="24" borderId="27" xfId="0" applyNumberFormat="1" applyFont="1" applyFill="1" applyBorder="1" applyAlignment="1">
      <alignment horizontal="center" vertical="center"/>
    </xf>
    <xf numFmtId="176" fontId="102" fillId="29" borderId="69" xfId="38" applyNumberFormat="1" applyFont="1" applyFill="1" applyBorder="1" applyAlignment="1">
      <alignment horizontal="center" vertical="center" wrapText="1"/>
    </xf>
    <xf numFmtId="176" fontId="102" fillId="29" borderId="70" xfId="38" applyNumberFormat="1" applyFont="1" applyFill="1" applyBorder="1" applyAlignment="1">
      <alignment horizontal="center" vertical="center" wrapText="1"/>
    </xf>
    <xf numFmtId="176" fontId="93" fillId="29" borderId="70" xfId="38" applyNumberFormat="1" applyFont="1" applyFill="1" applyBorder="1" applyAlignment="1">
      <alignment horizontal="center" vertical="center" wrapText="1"/>
    </xf>
    <xf numFmtId="176" fontId="79" fillId="29" borderId="80" xfId="38" applyNumberFormat="1" applyFont="1" applyFill="1" applyBorder="1" applyAlignment="1">
      <alignment horizontal="center" vertical="center" wrapText="1"/>
    </xf>
    <xf numFmtId="176" fontId="79" fillId="29" borderId="79" xfId="38" applyNumberFormat="1" applyFont="1" applyFill="1" applyBorder="1" applyAlignment="1">
      <alignment horizontal="center" vertical="center" wrapText="1"/>
    </xf>
    <xf numFmtId="176" fontId="79" fillId="29" borderId="76" xfId="38" applyNumberFormat="1" applyFont="1" applyFill="1" applyBorder="1" applyAlignment="1">
      <alignment horizontal="center" vertical="center" wrapText="1"/>
    </xf>
    <xf numFmtId="4" fontId="72" fillId="0" borderId="0" xfId="74" applyNumberFormat="1" applyFont="1" applyAlignment="1">
      <alignment horizontal="center"/>
    </xf>
    <xf numFmtId="167" fontId="110" fillId="44" borderId="469" xfId="0" applyNumberFormat="1" applyFont="1" applyFill="1" applyBorder="1" applyAlignment="1">
      <alignment horizontal="right" vertical="center"/>
    </xf>
    <xf numFmtId="197" fontId="70" fillId="26" borderId="15" xfId="0" applyNumberFormat="1" applyFont="1" applyFill="1" applyBorder="1" applyAlignment="1">
      <alignment horizontal="center" vertical="center"/>
    </xf>
    <xf numFmtId="166" fontId="75" fillId="0" borderId="0" xfId="0" applyNumberFormat="1" applyFont="1" applyAlignment="1">
      <alignment vertical="center" wrapText="1"/>
    </xf>
    <xf numFmtId="2" fontId="75" fillId="24" borderId="0" xfId="0" applyNumberFormat="1" applyFont="1" applyFill="1" applyAlignment="1">
      <alignment vertical="center" wrapText="1"/>
    </xf>
    <xf numFmtId="4" fontId="79" fillId="0" borderId="75" xfId="38" applyNumberFormat="1" applyFont="1" applyFill="1" applyBorder="1" applyAlignment="1">
      <alignment horizontal="center" vertical="center" wrapText="1"/>
    </xf>
    <xf numFmtId="4" fontId="79" fillId="0" borderId="81" xfId="38" applyNumberFormat="1" applyFont="1" applyFill="1" applyBorder="1" applyAlignment="1">
      <alignment horizontal="center" vertical="center" wrapText="1"/>
    </xf>
    <xf numFmtId="0" fontId="66" fillId="106" borderId="0" xfId="74" applyFont="1" applyFill="1"/>
    <xf numFmtId="204" fontId="75" fillId="44" borderId="0" xfId="38" applyNumberFormat="1" applyFont="1" applyFill="1" applyAlignment="1">
      <alignment horizontal="center"/>
    </xf>
    <xf numFmtId="2" fontId="66" fillId="24" borderId="27" xfId="0" applyNumberFormat="1" applyFont="1" applyFill="1" applyBorder="1" applyAlignment="1">
      <alignment horizontal="center" vertical="center"/>
    </xf>
    <xf numFmtId="166" fontId="72" fillId="0" borderId="100" xfId="0" applyNumberFormat="1" applyFont="1" applyBorder="1" applyAlignment="1">
      <alignment horizontal="center" vertical="center" wrapText="1"/>
    </xf>
    <xf numFmtId="4" fontId="79" fillId="29" borderId="79" xfId="38" applyNumberFormat="1" applyFont="1" applyFill="1" applyBorder="1" applyAlignment="1">
      <alignment horizontal="center" vertical="center" wrapText="1"/>
    </xf>
    <xf numFmtId="176" fontId="93" fillId="29" borderId="69" xfId="38" applyNumberFormat="1" applyFont="1" applyFill="1" applyBorder="1" applyAlignment="1">
      <alignment horizontal="center" vertical="center" wrapText="1"/>
    </xf>
    <xf numFmtId="0" fontId="68" fillId="49" borderId="248" xfId="47" applyFont="1" applyFill="1" applyBorder="1" applyAlignment="1">
      <alignment horizontal="center" vertical="center" wrapText="1"/>
    </xf>
    <xf numFmtId="0" fontId="68" fillId="49" borderId="249" xfId="47" applyFont="1" applyFill="1" applyBorder="1" applyAlignment="1">
      <alignment horizontal="center" vertical="center" wrapText="1"/>
    </xf>
    <xf numFmtId="2" fontId="68" fillId="49" borderId="248" xfId="47" applyNumberFormat="1" applyFont="1" applyFill="1" applyBorder="1" applyAlignment="1">
      <alignment horizontal="center" vertical="center" wrapText="1"/>
    </xf>
    <xf numFmtId="2" fontId="68" fillId="0" borderId="0" xfId="0" applyNumberFormat="1" applyFont="1" applyAlignment="1">
      <alignment horizontal="center" vertical="center" wrapText="1"/>
    </xf>
    <xf numFmtId="2" fontId="69" fillId="0" borderId="0" xfId="0" applyNumberFormat="1" applyFont="1" applyAlignment="1">
      <alignment horizontal="center" vertical="center" wrapText="1"/>
    </xf>
    <xf numFmtId="2" fontId="69" fillId="24" borderId="0" xfId="0" applyNumberFormat="1" applyFont="1" applyFill="1" applyAlignment="1">
      <alignment horizontal="center" vertical="center" wrapText="1"/>
    </xf>
    <xf numFmtId="166" fontId="68" fillId="24" borderId="0" xfId="0" applyNumberFormat="1" applyFont="1" applyFill="1" applyAlignment="1">
      <alignment horizontal="center" vertical="center" wrapText="1"/>
    </xf>
    <xf numFmtId="166" fontId="69" fillId="24" borderId="0" xfId="0" applyNumberFormat="1" applyFont="1" applyFill="1" applyAlignment="1">
      <alignment horizontal="center" vertical="center" wrapText="1"/>
    </xf>
    <xf numFmtId="0" fontId="68" fillId="24" borderId="0" xfId="0" applyFont="1" applyFill="1" applyAlignment="1">
      <alignment vertical="center" wrapText="1"/>
    </xf>
    <xf numFmtId="2" fontId="68" fillId="0" borderId="0" xfId="0" applyNumberFormat="1" applyFont="1" applyAlignment="1">
      <alignment vertical="center" wrapText="1"/>
    </xf>
    <xf numFmtId="0" fontId="68" fillId="24" borderId="0" xfId="0" applyFont="1" applyFill="1" applyAlignment="1">
      <alignment horizontal="center" vertical="center" wrapText="1"/>
    </xf>
    <xf numFmtId="166" fontId="68" fillId="0" borderId="0" xfId="0" applyNumberFormat="1" applyFont="1" applyAlignment="1">
      <alignment vertical="center" wrapText="1"/>
    </xf>
    <xf numFmtId="166" fontId="68" fillId="24" borderId="0" xfId="0" applyNumberFormat="1" applyFont="1" applyFill="1" applyAlignment="1">
      <alignment vertical="center" wrapText="1"/>
    </xf>
    <xf numFmtId="2" fontId="68" fillId="24" borderId="0" xfId="0" applyNumberFormat="1" applyFont="1" applyFill="1" applyAlignment="1">
      <alignment vertical="center" wrapText="1"/>
    </xf>
    <xf numFmtId="0" fontId="72" fillId="25" borderId="506" xfId="0" applyFont="1" applyFill="1" applyBorder="1" applyAlignment="1">
      <alignment horizontal="center" vertical="center"/>
    </xf>
    <xf numFmtId="0" fontId="70" fillId="31" borderId="506" xfId="0" applyFont="1" applyFill="1" applyBorder="1" applyAlignment="1">
      <alignment horizontal="center" vertical="center"/>
    </xf>
    <xf numFmtId="167" fontId="70" fillId="31" borderId="506" xfId="0" applyNumberFormat="1" applyFont="1" applyFill="1" applyBorder="1" applyAlignment="1">
      <alignment horizontal="center" vertical="center"/>
    </xf>
    <xf numFmtId="0" fontId="106" fillId="25" borderId="506" xfId="0" applyFont="1" applyFill="1" applyBorder="1" applyAlignment="1">
      <alignment horizontal="center" vertical="center"/>
    </xf>
    <xf numFmtId="3" fontId="106" fillId="0" borderId="506" xfId="43" applyNumberFormat="1" applyFont="1" applyFill="1" applyBorder="1" applyAlignment="1">
      <alignment horizontal="center"/>
    </xf>
    <xf numFmtId="194" fontId="106" fillId="25" borderId="506" xfId="0" applyNumberFormat="1" applyFont="1" applyFill="1" applyBorder="1" applyAlignment="1">
      <alignment horizontal="center" vertical="center"/>
    </xf>
    <xf numFmtId="0" fontId="96" fillId="0" borderId="507" xfId="0" applyFont="1" applyBorder="1"/>
    <xf numFmtId="3" fontId="96" fillId="0" borderId="506" xfId="5367" applyNumberFormat="1" applyFont="1" applyFill="1" applyBorder="1" applyAlignment="1">
      <alignment horizontal="center"/>
    </xf>
    <xf numFmtId="3" fontId="96" fillId="0" borderId="506" xfId="38" applyNumberFormat="1" applyFont="1" applyFill="1" applyBorder="1" applyAlignment="1">
      <alignment horizontal="center" vertical="center"/>
    </xf>
    <xf numFmtId="3" fontId="83" fillId="0" borderId="506" xfId="43" applyNumberFormat="1" applyFont="1" applyFill="1" applyBorder="1" applyAlignment="1">
      <alignment horizontal="center"/>
    </xf>
    <xf numFmtId="0" fontId="66" fillId="0" borderId="506" xfId="0" applyFont="1" applyBorder="1"/>
    <xf numFmtId="4" fontId="72" fillId="0" borderId="506" xfId="38" applyNumberFormat="1" applyFont="1" applyFill="1" applyBorder="1" applyAlignment="1">
      <alignment horizontal="center"/>
    </xf>
    <xf numFmtId="0" fontId="66" fillId="0" borderId="506" xfId="0" applyFont="1" applyBorder="1" applyAlignment="1">
      <alignment horizontal="center" vertical="center"/>
    </xf>
    <xf numFmtId="4" fontId="66" fillId="0" borderId="506" xfId="38" applyNumberFormat="1" applyFont="1" applyFill="1" applyBorder="1" applyAlignment="1">
      <alignment horizontal="center" vertical="center"/>
    </xf>
    <xf numFmtId="4" fontId="108" fillId="55" borderId="11" xfId="167" applyNumberFormat="1" applyFont="1" applyFill="1" applyBorder="1" applyAlignment="1">
      <alignment horizontal="right" vertical="center"/>
    </xf>
    <xf numFmtId="0" fontId="254" fillId="0" borderId="0" xfId="0" applyFont="1"/>
    <xf numFmtId="164" fontId="128" fillId="0" borderId="0" xfId="38" applyFont="1"/>
    <xf numFmtId="164" fontId="127" fillId="51" borderId="0" xfId="38" applyFont="1" applyFill="1"/>
    <xf numFmtId="164" fontId="66" fillId="51" borderId="0" xfId="38" applyFont="1" applyFill="1"/>
    <xf numFmtId="164" fontId="127" fillId="105" borderId="0" xfId="38" applyFont="1" applyFill="1"/>
    <xf numFmtId="164" fontId="66" fillId="105" borderId="0" xfId="38" applyFont="1" applyFill="1"/>
    <xf numFmtId="164" fontId="72" fillId="51" borderId="11" xfId="38" applyFont="1" applyFill="1" applyBorder="1" applyAlignment="1">
      <alignment horizontal="center" vertical="center"/>
    </xf>
    <xf numFmtId="164" fontId="66" fillId="0" borderId="95" xfId="38" applyFont="1" applyBorder="1"/>
    <xf numFmtId="164" fontId="72" fillId="46" borderId="11" xfId="38" applyFont="1" applyFill="1" applyBorder="1" applyAlignment="1">
      <alignment horizontal="left"/>
    </xf>
    <xf numFmtId="164" fontId="66" fillId="0" borderId="111" xfId="38" applyFont="1" applyBorder="1"/>
    <xf numFmtId="164" fontId="66" fillId="0" borderId="11" xfId="38" applyFont="1" applyBorder="1"/>
    <xf numFmtId="164" fontId="66" fillId="0" borderId="456" xfId="38" applyFont="1" applyBorder="1"/>
    <xf numFmtId="164" fontId="66" fillId="0" borderId="457" xfId="38" applyFont="1" applyBorder="1"/>
    <xf numFmtId="164" fontId="66" fillId="0" borderId="14" xfId="38" applyFont="1" applyBorder="1"/>
    <xf numFmtId="2" fontId="77" fillId="0" borderId="0" xfId="0" applyNumberFormat="1" applyFont="1" applyAlignment="1">
      <alignment horizontal="center" vertical="center"/>
    </xf>
    <xf numFmtId="0" fontId="233" fillId="0" borderId="0" xfId="6840" applyFont="1"/>
    <xf numFmtId="0" fontId="72" fillId="0" borderId="330" xfId="6841" applyFont="1" applyBorder="1" applyAlignment="1">
      <alignment horizontal="left" vertical="center"/>
    </xf>
    <xf numFmtId="167" fontId="72" fillId="0" borderId="330" xfId="6841" applyNumberFormat="1" applyFont="1" applyBorder="1" applyAlignment="1">
      <alignment horizontal="center" vertical="center"/>
    </xf>
    <xf numFmtId="0" fontId="166" fillId="51" borderId="330" xfId="6840" applyFont="1" applyFill="1" applyBorder="1" applyAlignment="1">
      <alignment horizontal="center" vertical="center"/>
    </xf>
    <xf numFmtId="0" fontId="72" fillId="47" borderId="330" xfId="6841" applyFont="1" applyFill="1" applyBorder="1" applyAlignment="1">
      <alignment horizontal="left" vertical="center"/>
    </xf>
    <xf numFmtId="0" fontId="255" fillId="0" borderId="0" xfId="0" applyFont="1"/>
    <xf numFmtId="0" fontId="256" fillId="0" borderId="0" xfId="0" applyFont="1"/>
    <xf numFmtId="0" fontId="257" fillId="0" borderId="330" xfId="0" applyFont="1" applyBorder="1"/>
    <xf numFmtId="0" fontId="258" fillId="58" borderId="330" xfId="0" applyFont="1" applyFill="1" applyBorder="1" applyAlignment="1">
      <alignment horizontal="center" vertical="center" wrapText="1"/>
    </xf>
    <xf numFmtId="1" fontId="161" fillId="0" borderId="330" xfId="0" applyNumberFormat="1" applyFont="1" applyBorder="1" applyAlignment="1">
      <alignment horizontal="center"/>
    </xf>
    <xf numFmtId="1" fontId="183" fillId="0" borderId="330" xfId="0" applyNumberFormat="1" applyFont="1" applyBorder="1" applyAlignment="1">
      <alignment horizontal="center"/>
    </xf>
    <xf numFmtId="43" fontId="183" fillId="0" borderId="330" xfId="0" applyNumberFormat="1" applyFont="1" applyBorder="1"/>
    <xf numFmtId="176" fontId="79" fillId="24" borderId="75" xfId="38" applyNumberFormat="1" applyFont="1" applyFill="1" applyBorder="1" applyAlignment="1">
      <alignment horizontal="center" vertical="center" wrapText="1"/>
    </xf>
    <xf numFmtId="3" fontId="261" fillId="0" borderId="509" xfId="0" applyNumberFormat="1" applyFont="1" applyBorder="1" applyAlignment="1">
      <alignment horizontal="center"/>
    </xf>
    <xf numFmtId="0" fontId="260" fillId="0" borderId="509" xfId="0" applyFont="1" applyBorder="1" applyAlignment="1">
      <alignment horizontal="left" vertical="center"/>
    </xf>
    <xf numFmtId="0" fontId="260" fillId="0" borderId="509" xfId="0" applyFont="1" applyBorder="1" applyAlignment="1">
      <alignment horizontal="center"/>
    </xf>
    <xf numFmtId="171" fontId="259" fillId="0" borderId="509" xfId="38" applyNumberFormat="1" applyFont="1" applyBorder="1" applyAlignment="1">
      <alignment vertical="center" wrapText="1"/>
    </xf>
    <xf numFmtId="171" fontId="260" fillId="0" borderId="509" xfId="38" applyNumberFormat="1" applyFont="1" applyBorder="1" applyAlignment="1">
      <alignment vertical="center" wrapText="1"/>
    </xf>
    <xf numFmtId="171" fontId="259" fillId="0" borderId="510" xfId="38" applyNumberFormat="1" applyFont="1" applyBorder="1" applyAlignment="1">
      <alignment vertical="center" wrapText="1"/>
    </xf>
    <xf numFmtId="171" fontId="260" fillId="0" borderId="510" xfId="38" applyNumberFormat="1" applyFont="1" applyBorder="1" applyAlignment="1">
      <alignment vertical="center" wrapText="1"/>
    </xf>
    <xf numFmtId="171" fontId="88" fillId="0" borderId="506" xfId="38" applyNumberFormat="1" applyFont="1" applyFill="1" applyBorder="1" applyAlignment="1">
      <alignment horizontal="center" vertical="center"/>
    </xf>
    <xf numFmtId="2" fontId="121" fillId="0" borderId="0" xfId="0" applyNumberFormat="1" applyFont="1"/>
    <xf numFmtId="0" fontId="263" fillId="0" borderId="524" xfId="38" applyNumberFormat="1" applyFont="1" applyFill="1" applyBorder="1" applyAlignment="1" applyProtection="1">
      <alignment horizontal="center"/>
    </xf>
    <xf numFmtId="171" fontId="87" fillId="0" borderId="525" xfId="38" applyNumberFormat="1" applyFont="1" applyFill="1" applyBorder="1" applyAlignment="1">
      <alignment vertical="center"/>
    </xf>
    <xf numFmtId="171" fontId="88" fillId="0" borderId="525" xfId="38" applyNumberFormat="1" applyFont="1" applyFill="1" applyBorder="1" applyAlignment="1">
      <alignment vertical="center"/>
    </xf>
    <xf numFmtId="171" fontId="83" fillId="24" borderId="525" xfId="38" applyNumberFormat="1" applyFont="1" applyFill="1" applyBorder="1" applyAlignment="1">
      <alignment vertical="center"/>
    </xf>
    <xf numFmtId="171" fontId="83" fillId="24" borderId="525" xfId="38" applyNumberFormat="1" applyFont="1" applyFill="1" applyBorder="1" applyAlignment="1">
      <alignment horizontal="center" vertical="center"/>
    </xf>
    <xf numFmtId="3" fontId="264" fillId="107" borderId="276" xfId="0" applyNumberFormat="1" applyFont="1" applyFill="1" applyBorder="1" applyAlignment="1">
      <alignment horizontal="center" vertical="center" wrapText="1"/>
    </xf>
    <xf numFmtId="3" fontId="24" fillId="0" borderId="506" xfId="0" applyNumberFormat="1" applyFont="1" applyBorder="1" applyAlignment="1">
      <alignment horizontal="center" vertical="center"/>
    </xf>
    <xf numFmtId="171" fontId="96" fillId="0" borderId="525" xfId="38" applyNumberFormat="1" applyFont="1" applyFill="1" applyBorder="1" applyAlignment="1">
      <alignment horizontal="center" vertical="center"/>
    </xf>
    <xf numFmtId="3" fontId="74" fillId="45" borderId="71" xfId="49" applyNumberFormat="1" applyFont="1" applyFill="1" applyBorder="1" applyAlignment="1">
      <alignment horizontal="center" vertical="center" wrapText="1"/>
    </xf>
    <xf numFmtId="3" fontId="74" fillId="45" borderId="191" xfId="49" applyNumberFormat="1" applyFont="1" applyFill="1" applyBorder="1" applyAlignment="1">
      <alignment horizontal="center" vertical="center" wrapText="1"/>
    </xf>
    <xf numFmtId="3" fontId="74" fillId="45" borderId="192" xfId="49" applyNumberFormat="1" applyFont="1" applyFill="1" applyBorder="1" applyAlignment="1">
      <alignment horizontal="center" vertical="center" wrapText="1"/>
    </xf>
    <xf numFmtId="167" fontId="74" fillId="45" borderId="192" xfId="49" applyNumberFormat="1" applyFont="1" applyFill="1" applyBorder="1" applyAlignment="1">
      <alignment horizontal="center" vertical="center" wrapText="1"/>
    </xf>
    <xf numFmtId="3" fontId="74" fillId="45" borderId="75" xfId="49" applyNumberFormat="1" applyFont="1" applyFill="1" applyBorder="1" applyAlignment="1">
      <alignment horizontal="center" vertical="center" wrapText="1"/>
    </xf>
    <xf numFmtId="3" fontId="74" fillId="45" borderId="188" xfId="49" applyNumberFormat="1" applyFont="1" applyFill="1" applyBorder="1" applyAlignment="1">
      <alignment horizontal="center" vertical="center" wrapText="1"/>
    </xf>
    <xf numFmtId="3" fontId="74" fillId="45" borderId="189" xfId="49" applyNumberFormat="1" applyFont="1" applyFill="1" applyBorder="1" applyAlignment="1">
      <alignment horizontal="center" vertical="center" wrapText="1"/>
    </xf>
    <xf numFmtId="3" fontId="74" fillId="45" borderId="0" xfId="49" applyNumberFormat="1" applyFont="1" applyFill="1" applyAlignment="1">
      <alignment vertical="center" wrapText="1"/>
    </xf>
    <xf numFmtId="3" fontId="74" fillId="45" borderId="190" xfId="49" applyNumberFormat="1" applyFont="1" applyFill="1" applyBorder="1" applyAlignment="1">
      <alignment horizontal="center" vertical="center" wrapText="1"/>
    </xf>
    <xf numFmtId="0" fontId="88" fillId="45" borderId="33" xfId="0" applyFont="1" applyFill="1" applyBorder="1" applyAlignment="1">
      <alignment wrapText="1"/>
    </xf>
    <xf numFmtId="0" fontId="88" fillId="45" borderId="120" xfId="0" applyFont="1" applyFill="1" applyBorder="1" applyAlignment="1">
      <alignment wrapText="1"/>
    </xf>
    <xf numFmtId="0" fontId="88" fillId="45" borderId="33" xfId="0" applyFont="1" applyFill="1" applyBorder="1"/>
    <xf numFmtId="0" fontId="88" fillId="45" borderId="120" xfId="0" applyFont="1" applyFill="1" applyBorder="1"/>
    <xf numFmtId="166" fontId="88" fillId="45" borderId="121" xfId="0" applyNumberFormat="1" applyFont="1" applyFill="1" applyBorder="1" applyAlignment="1">
      <alignment horizontal="center" wrapText="1"/>
    </xf>
    <xf numFmtId="3" fontId="96" fillId="45" borderId="0" xfId="0" applyNumberFormat="1" applyFont="1" applyFill="1" applyAlignment="1">
      <alignment vertical="center"/>
    </xf>
    <xf numFmtId="0" fontId="96" fillId="45" borderId="0" xfId="0" applyFont="1" applyFill="1"/>
    <xf numFmtId="1" fontId="161" fillId="45" borderId="121" xfId="0" applyNumberFormat="1" applyFont="1" applyFill="1" applyBorder="1" applyAlignment="1">
      <alignment horizontal="center" wrapText="1"/>
    </xf>
    <xf numFmtId="0" fontId="96" fillId="45" borderId="95" xfId="0" applyFont="1" applyFill="1" applyBorder="1" applyAlignment="1">
      <alignment horizontal="center"/>
    </xf>
    <xf numFmtId="1" fontId="96" fillId="45" borderId="104" xfId="0" applyNumberFormat="1" applyFont="1" applyFill="1" applyBorder="1" applyAlignment="1">
      <alignment horizontal="center"/>
    </xf>
    <xf numFmtId="0" fontId="96" fillId="45" borderId="111" xfId="0" applyFont="1" applyFill="1" applyBorder="1" applyAlignment="1">
      <alignment horizontal="center"/>
    </xf>
    <xf numFmtId="0" fontId="96" fillId="45" borderId="120" xfId="0" applyFont="1" applyFill="1" applyBorder="1" applyAlignment="1">
      <alignment horizontal="center"/>
    </xf>
    <xf numFmtId="171" fontId="259" fillId="0" borderId="509" xfId="38" applyNumberFormat="1" applyFont="1" applyFill="1" applyBorder="1" applyAlignment="1">
      <alignment vertical="center" wrapText="1"/>
    </xf>
    <xf numFmtId="0" fontId="96" fillId="0" borderId="0" xfId="0" applyFont="1" applyAlignment="1">
      <alignment horizontal="left" vertical="center"/>
    </xf>
    <xf numFmtId="167" fontId="96" fillId="0" borderId="0" xfId="0" applyNumberFormat="1" applyFont="1" applyAlignment="1">
      <alignment horizontal="center" vertical="center"/>
    </xf>
    <xf numFmtId="0" fontId="96" fillId="0" borderId="0" xfId="0" applyFont="1" applyAlignment="1">
      <alignment horizontal="center" vertical="center"/>
    </xf>
    <xf numFmtId="0" fontId="83" fillId="0" borderId="0" xfId="0" applyFont="1" applyAlignment="1">
      <alignment horizontal="left" vertical="center"/>
    </xf>
    <xf numFmtId="167" fontId="88" fillId="0" borderId="0" xfId="0" applyNumberFormat="1" applyFont="1" applyAlignment="1">
      <alignment horizontal="right" vertical="center"/>
    </xf>
    <xf numFmtId="4" fontId="83" fillId="0" borderId="0" xfId="0" applyNumberFormat="1" applyFont="1" applyAlignment="1">
      <alignment horizontal="center" vertical="center" wrapText="1"/>
    </xf>
    <xf numFmtId="167" fontId="96" fillId="0" borderId="0" xfId="0" applyNumberFormat="1" applyFont="1" applyAlignment="1">
      <alignment horizontal="right" vertical="center"/>
    </xf>
    <xf numFmtId="0" fontId="90" fillId="0" borderId="0" xfId="0" applyFont="1" applyAlignment="1">
      <alignment horizontal="center" vertical="center"/>
    </xf>
    <xf numFmtId="4" fontId="269" fillId="0" borderId="0" xfId="0" applyNumberFormat="1" applyFont="1" applyAlignment="1">
      <alignment horizontal="center" vertical="center" wrapText="1"/>
    </xf>
    <xf numFmtId="0" fontId="108" fillId="0" borderId="0" xfId="0" applyFont="1" applyAlignment="1">
      <alignment horizontal="left" vertical="center"/>
    </xf>
    <xf numFmtId="167" fontId="108" fillId="0" borderId="0" xfId="0" applyNumberFormat="1" applyFont="1" applyAlignment="1">
      <alignment horizontal="right" vertical="center"/>
    </xf>
    <xf numFmtId="0" fontId="106" fillId="0" borderId="0" xfId="0" applyFont="1" applyAlignment="1">
      <alignment horizontal="left" vertical="center"/>
    </xf>
    <xf numFmtId="167" fontId="109" fillId="0" borderId="0" xfId="0" applyNumberFormat="1" applyFont="1" applyAlignment="1">
      <alignment horizontal="right" vertical="center"/>
    </xf>
    <xf numFmtId="167" fontId="107" fillId="0" borderId="0" xfId="0" applyNumberFormat="1" applyFont="1" applyAlignment="1">
      <alignment horizontal="center" vertical="center"/>
    </xf>
    <xf numFmtId="4" fontId="106" fillId="0" borderId="0" xfId="0" applyNumberFormat="1" applyFont="1" applyAlignment="1">
      <alignment horizontal="center" vertical="center" wrapText="1"/>
    </xf>
    <xf numFmtId="167" fontId="108" fillId="0" borderId="0" xfId="0" applyNumberFormat="1" applyFont="1" applyAlignment="1">
      <alignment horizontal="center" vertical="center"/>
    </xf>
    <xf numFmtId="167" fontId="109" fillId="0" borderId="0" xfId="0" applyNumberFormat="1" applyFont="1" applyAlignment="1">
      <alignment horizontal="center" vertical="center"/>
    </xf>
    <xf numFmtId="0" fontId="248" fillId="0" borderId="0" xfId="0" applyFont="1" applyAlignment="1">
      <alignment horizontal="center" vertical="center"/>
    </xf>
    <xf numFmtId="4" fontId="155" fillId="0" borderId="0" xfId="0" applyNumberFormat="1" applyFont="1" applyAlignment="1">
      <alignment horizontal="center" vertical="center" wrapText="1"/>
    </xf>
    <xf numFmtId="4" fontId="66" fillId="66" borderId="330" xfId="74" applyNumberFormat="1" applyFont="1" applyFill="1" applyBorder="1" applyAlignment="1">
      <alignment horizontal="center" vertical="center" readingOrder="1"/>
    </xf>
    <xf numFmtId="0" fontId="91" fillId="38" borderId="528" xfId="0" applyFont="1" applyFill="1" applyBorder="1" applyAlignment="1">
      <alignment vertical="center" wrapText="1"/>
    </xf>
    <xf numFmtId="4" fontId="118" fillId="0" borderId="529" xfId="0" applyNumberFormat="1" applyFont="1" applyBorder="1" applyAlignment="1">
      <alignment horizontal="center" vertical="center" wrapText="1"/>
    </xf>
    <xf numFmtId="3" fontId="118" fillId="0" borderId="529" xfId="0" applyNumberFormat="1" applyFont="1" applyBorder="1" applyAlignment="1">
      <alignment horizontal="center" vertical="center" wrapText="1"/>
    </xf>
    <xf numFmtId="0" fontId="91" fillId="39" borderId="528" xfId="0" applyFont="1" applyFill="1" applyBorder="1" applyAlignment="1">
      <alignment vertical="center" wrapText="1"/>
    </xf>
    <xf numFmtId="4" fontId="66" fillId="0" borderId="529" xfId="0" applyNumberFormat="1" applyFont="1" applyBorder="1" applyAlignment="1">
      <alignment horizontal="center" vertical="center" wrapText="1"/>
    </xf>
    <xf numFmtId="3" fontId="66" fillId="0" borderId="529" xfId="0" applyNumberFormat="1" applyFont="1" applyBorder="1" applyAlignment="1">
      <alignment horizontal="center" vertical="center" wrapText="1"/>
    </xf>
    <xf numFmtId="0" fontId="91" fillId="40" borderId="528" xfId="0" applyFont="1" applyFill="1" applyBorder="1" applyAlignment="1">
      <alignment vertical="center" wrapText="1"/>
    </xf>
    <xf numFmtId="0" fontId="70" fillId="31" borderId="528" xfId="0" applyFont="1" applyFill="1" applyBorder="1" applyAlignment="1">
      <alignment horizontal="center" vertical="center" wrapText="1"/>
    </xf>
    <xf numFmtId="4" fontId="90" fillId="31" borderId="529" xfId="0" quotePrefix="1" applyNumberFormat="1" applyFont="1" applyFill="1" applyBorder="1" applyAlignment="1">
      <alignment horizontal="center" vertical="center" wrapText="1"/>
    </xf>
    <xf numFmtId="3" fontId="90" fillId="31" borderId="529" xfId="0" quotePrefix="1" applyNumberFormat="1" applyFont="1" applyFill="1" applyBorder="1" applyAlignment="1">
      <alignment horizontal="center" vertical="center" wrapText="1"/>
    </xf>
    <xf numFmtId="0" fontId="265" fillId="0" borderId="0" xfId="0" applyFont="1" applyAlignment="1">
      <alignment horizontal="left" vertical="center"/>
    </xf>
    <xf numFmtId="0" fontId="265" fillId="0" borderId="0" xfId="0" applyFont="1" applyAlignment="1">
      <alignment horizontal="center" vertical="center"/>
    </xf>
    <xf numFmtId="0" fontId="89" fillId="0" borderId="0" xfId="0" applyFont="1" applyAlignment="1">
      <alignment horizontal="left" vertical="center"/>
    </xf>
    <xf numFmtId="167" fontId="267" fillId="0" borderId="0" xfId="0" applyNumberFormat="1" applyFont="1" applyAlignment="1">
      <alignment horizontal="center" vertical="center"/>
    </xf>
    <xf numFmtId="167" fontId="268" fillId="0" borderId="0" xfId="0" applyNumberFormat="1" applyFont="1" applyAlignment="1">
      <alignment horizontal="center" vertical="center"/>
    </xf>
    <xf numFmtId="4" fontId="89" fillId="0" borderId="0" xfId="0" applyNumberFormat="1" applyFont="1" applyAlignment="1">
      <alignment horizontal="center" vertical="center" wrapText="1"/>
    </xf>
    <xf numFmtId="167" fontId="265" fillId="0" borderId="0" xfId="0" applyNumberFormat="1" applyFont="1" applyAlignment="1">
      <alignment horizontal="center" vertical="center"/>
    </xf>
    <xf numFmtId="0" fontId="266" fillId="0" borderId="0" xfId="0" applyFont="1" applyAlignment="1">
      <alignment horizontal="center" vertical="center"/>
    </xf>
    <xf numFmtId="4" fontId="262" fillId="0" borderId="0" xfId="0" applyNumberFormat="1" applyFont="1" applyAlignment="1">
      <alignment horizontal="center" vertical="center" wrapText="1"/>
    </xf>
    <xf numFmtId="171" fontId="66" fillId="0" borderId="0" xfId="38" applyNumberFormat="1" applyFont="1"/>
    <xf numFmtId="164" fontId="66" fillId="0" borderId="530" xfId="38" applyFont="1" applyFill="1" applyBorder="1"/>
    <xf numFmtId="0" fontId="66" fillId="0" borderId="531" xfId="0" applyFont="1" applyBorder="1"/>
    <xf numFmtId="164" fontId="66" fillId="0" borderId="531" xfId="38" applyFont="1" applyFill="1" applyBorder="1"/>
    <xf numFmtId="164" fontId="66" fillId="0" borderId="531" xfId="0" applyNumberFormat="1" applyFont="1" applyBorder="1"/>
    <xf numFmtId="164" fontId="66" fillId="0" borderId="0" xfId="38" applyFont="1" applyFill="1" applyBorder="1"/>
    <xf numFmtId="202" fontId="191" fillId="103" borderId="330" xfId="0" applyNumberFormat="1" applyFont="1" applyFill="1" applyBorder="1" applyAlignment="1">
      <alignment horizontal="center" vertical="center" wrapText="1" readingOrder="1"/>
    </xf>
    <xf numFmtId="9" fontId="66" fillId="0" borderId="0" xfId="6842" applyFont="1"/>
    <xf numFmtId="9" fontId="66" fillId="46" borderId="0" xfId="6842" applyFont="1" applyFill="1"/>
    <xf numFmtId="164" fontId="191" fillId="103" borderId="330" xfId="6843" applyFont="1" applyFill="1" applyBorder="1" applyAlignment="1">
      <alignment horizontal="center" vertical="center" wrapText="1"/>
    </xf>
    <xf numFmtId="196" fontId="66" fillId="46" borderId="0" xfId="6842" applyNumberFormat="1" applyFont="1" applyFill="1"/>
    <xf numFmtId="196" fontId="66" fillId="0" borderId="0" xfId="6842" applyNumberFormat="1" applyFont="1"/>
    <xf numFmtId="196" fontId="66" fillId="0" borderId="330" xfId="6842" applyNumberFormat="1" applyFont="1" applyFill="1" applyBorder="1" applyAlignment="1">
      <alignment horizontal="center"/>
    </xf>
    <xf numFmtId="0" fontId="191" fillId="46" borderId="330" xfId="0" applyFont="1" applyFill="1" applyBorder="1" applyAlignment="1">
      <alignment horizontal="center" vertical="center" wrapText="1" readingOrder="1"/>
    </xf>
    <xf numFmtId="196" fontId="66" fillId="46" borderId="330" xfId="6842" applyNumberFormat="1" applyFont="1" applyFill="1" applyBorder="1" applyAlignment="1">
      <alignment horizontal="center"/>
    </xf>
    <xf numFmtId="176" fontId="148" fillId="55" borderId="330" xfId="74" applyNumberFormat="1" applyFont="1" applyFill="1" applyBorder="1" applyAlignment="1">
      <alignment horizontal="center" vertical="center" readingOrder="1"/>
    </xf>
    <xf numFmtId="172" fontId="66" fillId="0" borderId="28" xfId="0" applyNumberFormat="1" applyFont="1" applyBorder="1" applyAlignment="1">
      <alignment horizontal="center" vertical="center"/>
    </xf>
    <xf numFmtId="178" fontId="66" fillId="0" borderId="28" xfId="0" applyNumberFormat="1" applyFont="1" applyBorder="1" applyAlignment="1">
      <alignment horizontal="center" vertical="center"/>
    </xf>
    <xf numFmtId="180" fontId="72" fillId="0" borderId="27" xfId="0" applyNumberFormat="1" applyFont="1" applyBorder="1" applyAlignment="1">
      <alignment horizontal="center" vertical="center"/>
    </xf>
    <xf numFmtId="179" fontId="66" fillId="0" borderId="28" xfId="0" applyNumberFormat="1" applyFont="1" applyBorder="1" applyAlignment="1">
      <alignment horizontal="center" vertical="center"/>
    </xf>
    <xf numFmtId="178" fontId="72" fillId="0" borderId="27" xfId="0" applyNumberFormat="1" applyFont="1" applyBorder="1" applyAlignment="1">
      <alignment horizontal="center" vertical="center"/>
    </xf>
    <xf numFmtId="177" fontId="66" fillId="0" borderId="28" xfId="0" applyNumberFormat="1" applyFont="1" applyBorder="1" applyAlignment="1">
      <alignment horizontal="center" vertical="center"/>
    </xf>
    <xf numFmtId="196" fontId="66" fillId="47" borderId="330" xfId="6842" applyNumberFormat="1" applyFont="1" applyFill="1" applyBorder="1" applyAlignment="1">
      <alignment horizontal="center"/>
    </xf>
    <xf numFmtId="175" fontId="66" fillId="0" borderId="28" xfId="0" applyNumberFormat="1" applyFont="1" applyBorder="1" applyAlignment="1">
      <alignment horizontal="center" vertical="center"/>
    </xf>
    <xf numFmtId="1" fontId="66" fillId="0" borderId="0" xfId="49" applyNumberFormat="1" applyFont="1"/>
    <xf numFmtId="171" fontId="72" fillId="0" borderId="111" xfId="38" applyNumberFormat="1" applyFont="1" applyFill="1" applyBorder="1" applyAlignment="1">
      <alignment vertical="center"/>
    </xf>
    <xf numFmtId="171" fontId="66" fillId="0" borderId="11" xfId="38" applyNumberFormat="1" applyFont="1" applyFill="1" applyBorder="1" applyAlignment="1">
      <alignment vertical="center"/>
    </xf>
    <xf numFmtId="171" fontId="72" fillId="0" borderId="11" xfId="38" applyNumberFormat="1" applyFont="1" applyFill="1" applyBorder="1" applyAlignment="1">
      <alignment vertical="center"/>
    </xf>
    <xf numFmtId="171" fontId="72" fillId="0" borderId="11" xfId="38" applyNumberFormat="1" applyFont="1" applyFill="1" applyBorder="1" applyAlignment="1">
      <alignment horizontal="center" vertical="center"/>
    </xf>
    <xf numFmtId="171" fontId="72" fillId="0" borderId="104" xfId="38" applyNumberFormat="1" applyFont="1" applyFill="1" applyBorder="1" applyAlignment="1">
      <alignment horizontal="center" vertical="center"/>
    </xf>
    <xf numFmtId="204" fontId="72" fillId="46" borderId="11" xfId="38" applyNumberFormat="1" applyFont="1" applyFill="1" applyBorder="1" applyAlignment="1">
      <alignment horizontal="center"/>
    </xf>
    <xf numFmtId="207" fontId="66" fillId="0" borderId="0" xfId="0" applyNumberFormat="1" applyFont="1"/>
    <xf numFmtId="167" fontId="72" fillId="45" borderId="0" xfId="167" applyNumberFormat="1" applyFont="1" applyFill="1" applyAlignment="1">
      <alignment horizontal="center" vertical="center"/>
    </xf>
    <xf numFmtId="171" fontId="66" fillId="0" borderId="0" xfId="0" applyNumberFormat="1" applyFont="1" applyAlignment="1">
      <alignment vertical="center" wrapText="1"/>
    </xf>
    <xf numFmtId="0" fontId="35" fillId="0" borderId="11" xfId="0" applyFont="1" applyBorder="1" applyAlignment="1">
      <alignment horizontal="center" vertical="center" wrapText="1"/>
    </xf>
    <xf numFmtId="0" fontId="270" fillId="0" borderId="11" xfId="0" applyFont="1" applyBorder="1" applyAlignment="1">
      <alignment horizontal="center" vertical="center" wrapText="1"/>
    </xf>
    <xf numFmtId="0" fontId="270" fillId="0" borderId="11" xfId="0" applyFont="1" applyBorder="1" applyAlignment="1">
      <alignment vertical="center" wrapText="1"/>
    </xf>
    <xf numFmtId="9" fontId="261" fillId="0" borderId="521" xfId="53" applyFont="1" applyBorder="1" applyAlignment="1">
      <alignment vertical="center" wrapText="1"/>
    </xf>
    <xf numFmtId="9" fontId="261" fillId="0" borderId="522" xfId="53" applyFont="1" applyBorder="1" applyAlignment="1">
      <alignment vertical="center" wrapText="1"/>
    </xf>
    <xf numFmtId="9" fontId="261" fillId="0" borderId="523" xfId="53" applyFont="1" applyBorder="1" applyAlignment="1">
      <alignment vertical="center" wrapText="1"/>
    </xf>
    <xf numFmtId="0" fontId="261" fillId="0" borderId="516" xfId="0" applyFont="1" applyBorder="1"/>
    <xf numFmtId="0" fontId="261" fillId="0" borderId="517" xfId="0" applyFont="1" applyBorder="1"/>
    <xf numFmtId="0" fontId="261" fillId="0" borderId="520" xfId="0" applyFont="1" applyBorder="1"/>
    <xf numFmtId="3" fontId="0" fillId="45" borderId="293" xfId="0" applyNumberFormat="1" applyFill="1" applyBorder="1" applyAlignment="1">
      <alignment horizontal="center" vertical="center"/>
    </xf>
    <xf numFmtId="3" fontId="12" fillId="45" borderId="292" xfId="464" applyNumberFormat="1" applyFill="1" applyBorder="1" applyAlignment="1">
      <alignment horizontal="center" vertical="center"/>
    </xf>
    <xf numFmtId="17" fontId="72" fillId="24" borderId="95" xfId="0" quotePrefix="1" applyNumberFormat="1" applyFont="1" applyFill="1" applyBorder="1" applyAlignment="1">
      <alignment horizontal="center" vertical="center" wrapText="1"/>
    </xf>
    <xf numFmtId="17" fontId="72" fillId="24" borderId="11" xfId="0" quotePrefix="1" applyNumberFormat="1" applyFont="1" applyFill="1" applyBorder="1" applyAlignment="1">
      <alignment horizontal="center" vertical="center" wrapText="1"/>
    </xf>
    <xf numFmtId="0" fontId="108" fillId="0" borderId="506" xfId="0" applyFont="1" applyBorder="1" applyAlignment="1">
      <alignment horizontal="left" vertical="center"/>
    </xf>
    <xf numFmtId="167" fontId="110" fillId="0" borderId="506" xfId="0" applyNumberFormat="1" applyFont="1" applyBorder="1" applyAlignment="1">
      <alignment horizontal="right" vertical="center"/>
    </xf>
    <xf numFmtId="167" fontId="109" fillId="0" borderId="506" xfId="0" applyNumberFormat="1" applyFont="1" applyBorder="1" applyAlignment="1">
      <alignment horizontal="right" vertical="center"/>
    </xf>
    <xf numFmtId="167" fontId="107" fillId="0" borderId="506" xfId="0" applyNumberFormat="1" applyFont="1" applyBorder="1" applyAlignment="1">
      <alignment horizontal="center" vertical="center"/>
    </xf>
    <xf numFmtId="0" fontId="243" fillId="0" borderId="463" xfId="6837" applyFont="1" applyBorder="1" applyAlignment="1">
      <alignment vertical="center"/>
    </xf>
    <xf numFmtId="0" fontId="243" fillId="0" borderId="464" xfId="6837" applyFont="1" applyBorder="1" applyAlignment="1">
      <alignment vertical="center"/>
    </xf>
    <xf numFmtId="0" fontId="166" fillId="0" borderId="0" xfId="6837" applyFont="1" applyAlignment="1">
      <alignment horizontal="center" vertical="center" wrapText="1"/>
    </xf>
    <xf numFmtId="4" fontId="66" fillId="0" borderId="0" xfId="74" applyNumberFormat="1" applyFont="1" applyAlignment="1">
      <alignment horizontal="center" vertical="center" readingOrder="1"/>
    </xf>
    <xf numFmtId="4" fontId="148" fillId="55" borderId="0" xfId="74" applyNumberFormat="1" applyFont="1" applyFill="1" applyAlignment="1">
      <alignment horizontal="center" vertical="center" readingOrder="1"/>
    </xf>
    <xf numFmtId="4" fontId="66" fillId="44" borderId="529" xfId="0" applyNumberFormat="1" applyFont="1" applyFill="1" applyBorder="1" applyAlignment="1">
      <alignment horizontal="center" vertical="center" wrapText="1"/>
    </xf>
    <xf numFmtId="4" fontId="118" fillId="44" borderId="529" xfId="0" applyNumberFormat="1" applyFont="1" applyFill="1" applyBorder="1" applyAlignment="1">
      <alignment horizontal="center" vertical="center" wrapText="1"/>
    </xf>
    <xf numFmtId="0" fontId="261" fillId="58" borderId="509" xfId="0" applyFont="1" applyFill="1" applyBorder="1"/>
    <xf numFmtId="3" fontId="261" fillId="58" borderId="509" xfId="0" applyNumberFormat="1" applyFont="1" applyFill="1" applyBorder="1" applyAlignment="1">
      <alignment horizontal="center"/>
    </xf>
    <xf numFmtId="171" fontId="259" fillId="58" borderId="509" xfId="38" applyNumberFormat="1" applyFont="1" applyFill="1" applyBorder="1" applyAlignment="1">
      <alignment vertical="center" wrapText="1"/>
    </xf>
    <xf numFmtId="171" fontId="260" fillId="58" borderId="509" xfId="38" applyNumberFormat="1" applyFont="1" applyFill="1" applyBorder="1" applyAlignment="1">
      <alignment vertical="center" wrapText="1"/>
    </xf>
    <xf numFmtId="0" fontId="108" fillId="0" borderId="506" xfId="167" applyFont="1" applyBorder="1" applyAlignment="1">
      <alignment horizontal="center" vertical="center"/>
    </xf>
    <xf numFmtId="1" fontId="17" fillId="0" borderId="506" xfId="167" applyNumberFormat="1" applyBorder="1" applyAlignment="1">
      <alignment horizontal="center"/>
    </xf>
    <xf numFmtId="167" fontId="108" fillId="0" borderId="506" xfId="167" applyNumberFormat="1" applyFont="1" applyBorder="1" applyAlignment="1">
      <alignment horizontal="right" vertical="center"/>
    </xf>
    <xf numFmtId="3" fontId="66" fillId="44" borderId="330" xfId="74" applyNumberFormat="1" applyFont="1" applyFill="1" applyBorder="1" applyAlignment="1">
      <alignment horizontal="center" vertical="center" readingOrder="1"/>
    </xf>
    <xf numFmtId="3" fontId="66" fillId="44" borderId="529" xfId="0" applyNumberFormat="1" applyFont="1" applyFill="1" applyBorder="1" applyAlignment="1">
      <alignment horizontal="center" vertical="center" wrapText="1"/>
    </xf>
    <xf numFmtId="3" fontId="118" fillId="44" borderId="529" xfId="0" applyNumberFormat="1" applyFont="1" applyFill="1" applyBorder="1" applyAlignment="1">
      <alignment horizontal="center" vertical="center" wrapText="1"/>
    </xf>
    <xf numFmtId="0" fontId="243" fillId="0" borderId="330" xfId="6837" applyFont="1" applyBorder="1" applyAlignment="1">
      <alignment horizontal="center" vertical="center" wrapText="1"/>
    </xf>
    <xf numFmtId="4" fontId="72" fillId="0" borderId="0" xfId="74" applyNumberFormat="1" applyFont="1"/>
    <xf numFmtId="17" fontId="72" fillId="0" borderId="534" xfId="49" applyNumberFormat="1" applyFont="1" applyBorder="1" applyAlignment="1">
      <alignment horizontal="center" vertical="center" wrapText="1"/>
    </xf>
    <xf numFmtId="3" fontId="93" fillId="29" borderId="535" xfId="49" applyNumberFormat="1" applyFont="1" applyFill="1" applyBorder="1" applyAlignment="1">
      <alignment horizontal="center" vertical="center" wrapText="1"/>
    </xf>
    <xf numFmtId="0" fontId="271" fillId="108" borderId="536" xfId="0" applyFont="1" applyFill="1" applyBorder="1" applyAlignment="1">
      <alignment horizontal="center" vertical="center" wrapText="1" readingOrder="1"/>
    </xf>
    <xf numFmtId="2" fontId="161" fillId="0" borderId="330" xfId="0" applyNumberFormat="1" applyFont="1" applyBorder="1" applyAlignment="1">
      <alignment horizontal="center"/>
    </xf>
    <xf numFmtId="0" fontId="2" fillId="0" borderId="0" xfId="6844"/>
    <xf numFmtId="0" fontId="175" fillId="46" borderId="539" xfId="6844" applyFont="1" applyFill="1" applyBorder="1" applyAlignment="1">
      <alignment horizontal="center" vertical="center" wrapText="1" readingOrder="1"/>
    </xf>
    <xf numFmtId="4" fontId="175" fillId="46" borderId="543" xfId="6844" applyNumberFormat="1" applyFont="1" applyFill="1" applyBorder="1" applyAlignment="1">
      <alignment horizontal="center" vertical="center" wrapText="1" readingOrder="1"/>
    </xf>
    <xf numFmtId="14" fontId="175" fillId="46" borderId="545" xfId="6844" applyNumberFormat="1" applyFont="1" applyFill="1" applyBorder="1" applyAlignment="1">
      <alignment horizontal="center" vertical="center" wrapText="1" readingOrder="1"/>
    </xf>
    <xf numFmtId="0" fontId="175" fillId="46" borderId="545" xfId="6844" applyFont="1" applyFill="1" applyBorder="1" applyAlignment="1">
      <alignment horizontal="center" vertical="center" wrapText="1" readingOrder="1"/>
    </xf>
    <xf numFmtId="4" fontId="175" fillId="46" borderId="547" xfId="6844" applyNumberFormat="1" applyFont="1" applyFill="1" applyBorder="1" applyAlignment="1">
      <alignment horizontal="center" vertical="center" wrapText="1" readingOrder="1"/>
    </xf>
    <xf numFmtId="0" fontId="176" fillId="0" borderId="548" xfId="6844" applyFont="1" applyBorder="1" applyAlignment="1">
      <alignment horizontal="left" vertical="center" wrapText="1" readingOrder="1"/>
    </xf>
    <xf numFmtId="167" fontId="175" fillId="0" borderId="549" xfId="6844" applyNumberFormat="1" applyFont="1" applyBorder="1" applyAlignment="1">
      <alignment horizontal="center" vertical="center" wrapText="1" readingOrder="1"/>
    </xf>
    <xf numFmtId="167" fontId="176" fillId="0" borderId="549" xfId="6844" applyNumberFormat="1" applyFont="1" applyBorder="1" applyAlignment="1">
      <alignment horizontal="center" vertical="center" wrapText="1" readingOrder="1"/>
    </xf>
    <xf numFmtId="167" fontId="176" fillId="0" borderId="550" xfId="6844" applyNumberFormat="1" applyFont="1" applyBorder="1" applyAlignment="1">
      <alignment horizontal="center" vertical="center" wrapText="1" readingOrder="1"/>
    </xf>
    <xf numFmtId="3" fontId="136" fillId="0" borderId="551" xfId="6844" applyNumberFormat="1" applyFont="1" applyBorder="1" applyAlignment="1">
      <alignment horizontal="center" vertical="center" wrapText="1" readingOrder="1"/>
    </xf>
    <xf numFmtId="9" fontId="176" fillId="0" borderId="549" xfId="6845" applyFont="1" applyBorder="1" applyAlignment="1">
      <alignment horizontal="center" vertical="center" wrapText="1" readingOrder="1"/>
    </xf>
    <xf numFmtId="3" fontId="176" fillId="0" borderId="549" xfId="6844" applyNumberFormat="1" applyFont="1" applyBorder="1" applyAlignment="1">
      <alignment horizontal="center" vertical="center" wrapText="1" readingOrder="1"/>
    </xf>
    <xf numFmtId="4" fontId="176" fillId="0" borderId="552" xfId="6844" applyNumberFormat="1" applyFont="1" applyBorder="1" applyAlignment="1">
      <alignment horizontal="center" vertical="center" wrapText="1" readingOrder="1"/>
    </xf>
    <xf numFmtId="0" fontId="175" fillId="0" borderId="548" xfId="6844" applyFont="1" applyBorder="1" applyAlignment="1">
      <alignment horizontal="right" vertical="center" wrapText="1" readingOrder="1"/>
    </xf>
    <xf numFmtId="9" fontId="176" fillId="0" borderId="549" xfId="6845" applyFont="1" applyFill="1" applyBorder="1" applyAlignment="1">
      <alignment horizontal="center" vertical="center" wrapText="1" readingOrder="1"/>
    </xf>
    <xf numFmtId="0" fontId="175" fillId="46" borderId="548" xfId="6844" applyFont="1" applyFill="1" applyBorder="1" applyAlignment="1">
      <alignment horizontal="left" vertical="center" wrapText="1" readingOrder="1"/>
    </xf>
    <xf numFmtId="167" fontId="175" fillId="46" borderId="549" xfId="6844" applyNumberFormat="1" applyFont="1" applyFill="1" applyBorder="1" applyAlignment="1">
      <alignment horizontal="center" vertical="center" wrapText="1" readingOrder="1"/>
    </xf>
    <xf numFmtId="167" fontId="175" fillId="46" borderId="550" xfId="6844" applyNumberFormat="1" applyFont="1" applyFill="1" applyBorder="1" applyAlignment="1">
      <alignment horizontal="center" vertical="center" wrapText="1" readingOrder="1"/>
    </xf>
    <xf numFmtId="3" fontId="137" fillId="46" borderId="551" xfId="6844" applyNumberFormat="1" applyFont="1" applyFill="1" applyBorder="1" applyAlignment="1">
      <alignment horizontal="center" vertical="center" wrapText="1" readingOrder="1"/>
    </xf>
    <xf numFmtId="9" fontId="175" fillId="46" borderId="549" xfId="6845" applyFont="1" applyFill="1" applyBorder="1" applyAlignment="1">
      <alignment horizontal="center" vertical="center" wrapText="1" readingOrder="1"/>
    </xf>
    <xf numFmtId="3" fontId="175" fillId="46" borderId="549" xfId="6844" applyNumberFormat="1" applyFont="1" applyFill="1" applyBorder="1" applyAlignment="1">
      <alignment horizontal="center" vertical="center" wrapText="1" readingOrder="1"/>
    </xf>
    <xf numFmtId="4" fontId="175" fillId="46" borderId="552" xfId="6846" applyNumberFormat="1" applyFont="1" applyFill="1" applyBorder="1" applyAlignment="1">
      <alignment horizontal="center" vertical="center" wrapText="1"/>
    </xf>
    <xf numFmtId="0" fontId="175" fillId="0" borderId="548" xfId="6844" applyFont="1" applyBorder="1" applyAlignment="1">
      <alignment horizontal="left" vertical="center" wrapText="1" readingOrder="1"/>
    </xf>
    <xf numFmtId="167" fontId="176" fillId="44" borderId="549" xfId="6844" applyNumberFormat="1" applyFont="1" applyFill="1" applyBorder="1" applyAlignment="1">
      <alignment horizontal="center" vertical="center" wrapText="1" readingOrder="1"/>
    </xf>
    <xf numFmtId="167" fontId="2" fillId="0" borderId="0" xfId="6844" applyNumberFormat="1"/>
    <xf numFmtId="167" fontId="176" fillId="0" borderId="553" xfId="6844" applyNumberFormat="1" applyFont="1" applyBorder="1" applyAlignment="1">
      <alignment horizontal="center" vertical="center" wrapText="1" readingOrder="1"/>
    </xf>
    <xf numFmtId="167" fontId="176" fillId="0" borderId="554" xfId="6844" applyNumberFormat="1" applyFont="1" applyBorder="1" applyAlignment="1">
      <alignment horizontal="center" vertical="center" wrapText="1" readingOrder="1"/>
    </xf>
    <xf numFmtId="3" fontId="136" fillId="0" borderId="555" xfId="6844" applyNumberFormat="1" applyFont="1" applyBorder="1" applyAlignment="1">
      <alignment horizontal="center" vertical="center" wrapText="1" readingOrder="1"/>
    </xf>
    <xf numFmtId="9" fontId="176" fillId="0" borderId="553" xfId="6845" applyFont="1" applyBorder="1" applyAlignment="1">
      <alignment horizontal="center" vertical="center" wrapText="1" readingOrder="1"/>
    </xf>
    <xf numFmtId="3" fontId="176" fillId="0" borderId="553" xfId="6844" applyNumberFormat="1" applyFont="1" applyBorder="1" applyAlignment="1">
      <alignment horizontal="center" vertical="center" wrapText="1" readingOrder="1"/>
    </xf>
    <xf numFmtId="4" fontId="176" fillId="0" borderId="556" xfId="6844" applyNumberFormat="1" applyFont="1" applyBorder="1" applyAlignment="1">
      <alignment horizontal="center" vertical="center" wrapText="1" readingOrder="1"/>
    </xf>
    <xf numFmtId="0" fontId="175" fillId="46" borderId="557" xfId="6844" applyFont="1" applyFill="1" applyBorder="1" applyAlignment="1">
      <alignment horizontal="left" vertical="center" wrapText="1" readingOrder="1"/>
    </xf>
    <xf numFmtId="167" fontId="175" fillId="46" borderId="553" xfId="6844" applyNumberFormat="1" applyFont="1" applyFill="1" applyBorder="1" applyAlignment="1">
      <alignment horizontal="center" vertical="center" wrapText="1" readingOrder="1"/>
    </xf>
    <xf numFmtId="167" fontId="175" fillId="46" borderId="554" xfId="6844" applyNumberFormat="1" applyFont="1" applyFill="1" applyBorder="1" applyAlignment="1">
      <alignment horizontal="center" vertical="center" wrapText="1" readingOrder="1"/>
    </xf>
    <xf numFmtId="3" fontId="137" fillId="46" borderId="555" xfId="6844" applyNumberFormat="1" applyFont="1" applyFill="1" applyBorder="1" applyAlignment="1">
      <alignment horizontal="center" vertical="center" wrapText="1" readingOrder="1"/>
    </xf>
    <xf numFmtId="9" fontId="175" fillId="46" borderId="553" xfId="6845" applyFont="1" applyFill="1" applyBorder="1" applyAlignment="1">
      <alignment horizontal="center" vertical="center" wrapText="1" readingOrder="1"/>
    </xf>
    <xf numFmtId="3" fontId="175" fillId="46" borderId="553" xfId="6844" applyNumberFormat="1" applyFont="1" applyFill="1" applyBorder="1" applyAlignment="1">
      <alignment horizontal="center" vertical="center" wrapText="1" readingOrder="1"/>
    </xf>
    <xf numFmtId="4" fontId="175" fillId="46" borderId="556" xfId="6846" applyNumberFormat="1" applyFont="1" applyFill="1" applyBorder="1" applyAlignment="1">
      <alignment horizontal="center" vertical="center" wrapText="1"/>
    </xf>
    <xf numFmtId="0" fontId="175" fillId="109" borderId="558" xfId="6844" applyFont="1" applyFill="1" applyBorder="1" applyAlignment="1">
      <alignment horizontal="left" vertical="center" wrapText="1" readingOrder="1"/>
    </xf>
    <xf numFmtId="167" fontId="175" fillId="109" borderId="559" xfId="6844" applyNumberFormat="1" applyFont="1" applyFill="1" applyBorder="1" applyAlignment="1">
      <alignment horizontal="center" vertical="center" wrapText="1" readingOrder="1"/>
    </xf>
    <xf numFmtId="167" fontId="175" fillId="109" borderId="560" xfId="6844" applyNumberFormat="1" applyFont="1" applyFill="1" applyBorder="1" applyAlignment="1">
      <alignment horizontal="center" vertical="center" wrapText="1" readingOrder="1"/>
    </xf>
    <xf numFmtId="3" fontId="137" fillId="109" borderId="561" xfId="6844" applyNumberFormat="1" applyFont="1" applyFill="1" applyBorder="1" applyAlignment="1">
      <alignment horizontal="center" vertical="center" wrapText="1" readingOrder="1"/>
    </xf>
    <xf numFmtId="9" fontId="175" fillId="109" borderId="559" xfId="6845" applyFont="1" applyFill="1" applyBorder="1" applyAlignment="1">
      <alignment horizontal="center" vertical="center" wrapText="1" readingOrder="1"/>
    </xf>
    <xf numFmtId="3" fontId="175" fillId="109" borderId="559" xfId="6844" applyNumberFormat="1" applyFont="1" applyFill="1" applyBorder="1" applyAlignment="1">
      <alignment horizontal="center" vertical="center" wrapText="1" readingOrder="1"/>
    </xf>
    <xf numFmtId="4" fontId="175" fillId="109" borderId="562" xfId="6846" applyNumberFormat="1" applyFont="1" applyFill="1" applyBorder="1" applyAlignment="1">
      <alignment horizontal="center" vertical="center" wrapText="1"/>
    </xf>
    <xf numFmtId="164" fontId="176" fillId="0" borderId="549" xfId="6846" applyFont="1" applyBorder="1" applyAlignment="1">
      <alignment horizontal="center" vertical="center" wrapText="1" readingOrder="1"/>
    </xf>
    <xf numFmtId="4" fontId="175" fillId="46" borderId="553" xfId="6844" applyNumberFormat="1" applyFont="1" applyFill="1" applyBorder="1" applyAlignment="1">
      <alignment horizontal="center" vertical="center" wrapText="1" readingOrder="1"/>
    </xf>
    <xf numFmtId="164" fontId="175" fillId="46" borderId="553" xfId="6846" applyFont="1" applyFill="1" applyBorder="1" applyAlignment="1">
      <alignment horizontal="center" vertical="center" wrapText="1" readingOrder="1"/>
    </xf>
    <xf numFmtId="4" fontId="175" fillId="109" borderId="559" xfId="6844" applyNumberFormat="1" applyFont="1" applyFill="1" applyBorder="1" applyAlignment="1">
      <alignment horizontal="center" vertical="center" wrapText="1" readingOrder="1"/>
    </xf>
    <xf numFmtId="0" fontId="176" fillId="0" borderId="544" xfId="6844" applyFont="1" applyBorder="1" applyAlignment="1">
      <alignment horizontal="left" vertical="center" wrapText="1" readingOrder="1"/>
    </xf>
    <xf numFmtId="167" fontId="175" fillId="0" borderId="545" xfId="6844" applyNumberFormat="1" applyFont="1" applyBorder="1" applyAlignment="1">
      <alignment horizontal="center" vertical="center" wrapText="1" readingOrder="1"/>
    </xf>
    <xf numFmtId="167" fontId="176" fillId="0" borderId="545" xfId="6844" applyNumberFormat="1" applyFont="1" applyBorder="1" applyAlignment="1">
      <alignment horizontal="center" vertical="center" wrapText="1" readingOrder="1"/>
    </xf>
    <xf numFmtId="167" fontId="175" fillId="0" borderId="164" xfId="6844" applyNumberFormat="1" applyFont="1" applyBorder="1" applyAlignment="1">
      <alignment horizontal="center" vertical="center" wrapText="1" readingOrder="1"/>
    </xf>
    <xf numFmtId="167" fontId="176" fillId="0" borderId="563" xfId="6844" applyNumberFormat="1" applyFont="1" applyBorder="1" applyAlignment="1">
      <alignment horizontal="center" vertical="center" wrapText="1" readingOrder="1"/>
    </xf>
    <xf numFmtId="9" fontId="175" fillId="0" borderId="564" xfId="6845" applyFont="1" applyFill="1" applyBorder="1" applyAlignment="1">
      <alignment horizontal="center" vertical="center" wrapText="1" readingOrder="1"/>
    </xf>
    <xf numFmtId="3" fontId="176" fillId="0" borderId="545" xfId="6844" applyNumberFormat="1" applyFont="1" applyBorder="1" applyAlignment="1">
      <alignment horizontal="center" vertical="center" wrapText="1" readingOrder="1"/>
    </xf>
    <xf numFmtId="4" fontId="176" fillId="0" borderId="547" xfId="6846" applyNumberFormat="1" applyFont="1" applyBorder="1" applyAlignment="1">
      <alignment horizontal="center" vertical="center" wrapText="1"/>
    </xf>
    <xf numFmtId="0" fontId="272" fillId="47" borderId="476" xfId="6844" applyFont="1" applyFill="1" applyBorder="1" applyAlignment="1">
      <alignment horizontal="right" vertical="center" wrapText="1" readingOrder="1"/>
    </xf>
    <xf numFmtId="167" fontId="272" fillId="47" borderId="476" xfId="6844" applyNumberFormat="1" applyFont="1" applyFill="1" applyBorder="1" applyAlignment="1">
      <alignment horizontal="center" vertical="center" wrapText="1" readingOrder="1"/>
    </xf>
    <xf numFmtId="0" fontId="175" fillId="110" borderId="108" xfId="6844" applyFont="1" applyFill="1" applyBorder="1" applyAlignment="1">
      <alignment horizontal="center" vertical="center" wrapText="1" readingOrder="1"/>
    </xf>
    <xf numFmtId="167" fontId="175" fillId="110" borderId="141" xfId="6844" applyNumberFormat="1" applyFont="1" applyFill="1" applyBorder="1" applyAlignment="1">
      <alignment horizontal="center" vertical="center" wrapText="1" readingOrder="1"/>
    </xf>
    <xf numFmtId="167" fontId="175" fillId="110" borderId="109" xfId="6844" applyNumberFormat="1" applyFont="1" applyFill="1" applyBorder="1" applyAlignment="1">
      <alignment horizontal="center" vertical="center" wrapText="1" readingOrder="1"/>
    </xf>
    <xf numFmtId="0" fontId="272" fillId="51" borderId="506" xfId="6844" applyFont="1" applyFill="1" applyBorder="1" applyAlignment="1">
      <alignment horizontal="right" vertical="center" wrapText="1" readingOrder="1"/>
    </xf>
    <xf numFmtId="167" fontId="272" fillId="51" borderId="506" xfId="6844" applyNumberFormat="1" applyFont="1" applyFill="1" applyBorder="1" applyAlignment="1">
      <alignment horizontal="center" vertical="center" wrapText="1" readingOrder="1"/>
    </xf>
    <xf numFmtId="0" fontId="175" fillId="48" borderId="506" xfId="6844" applyFont="1" applyFill="1" applyBorder="1" applyAlignment="1">
      <alignment horizontal="left" vertical="center" wrapText="1" readingOrder="1"/>
    </xf>
    <xf numFmtId="4" fontId="175" fillId="48" borderId="506" xfId="6844" applyNumberFormat="1" applyFont="1" applyFill="1" applyBorder="1" applyAlignment="1">
      <alignment horizontal="center" vertical="center" wrapText="1" readingOrder="1"/>
    </xf>
    <xf numFmtId="167" fontId="175" fillId="48" borderId="506" xfId="6844" applyNumberFormat="1" applyFont="1" applyFill="1" applyBorder="1" applyAlignment="1">
      <alignment horizontal="center" vertical="center" wrapText="1" readingOrder="1"/>
    </xf>
    <xf numFmtId="0" fontId="272" fillId="51" borderId="476" xfId="6844" applyFont="1" applyFill="1" applyBorder="1" applyAlignment="1">
      <alignment horizontal="right" vertical="center" wrapText="1" readingOrder="1"/>
    </xf>
    <xf numFmtId="167" fontId="272" fillId="51" borderId="476" xfId="6844" applyNumberFormat="1" applyFont="1" applyFill="1" applyBorder="1" applyAlignment="1">
      <alignment horizontal="center" vertical="center" wrapText="1" readingOrder="1"/>
    </xf>
    <xf numFmtId="0" fontId="175" fillId="48" borderId="108" xfId="6844" applyFont="1" applyFill="1" applyBorder="1" applyAlignment="1">
      <alignment horizontal="left" vertical="center" wrapText="1" readingOrder="1"/>
    </xf>
    <xf numFmtId="4" fontId="175" fillId="48" borderId="141" xfId="6844" applyNumberFormat="1" applyFont="1" applyFill="1" applyBorder="1" applyAlignment="1">
      <alignment horizontal="center" vertical="center" wrapText="1" readingOrder="1"/>
    </xf>
    <xf numFmtId="167" fontId="175" fillId="48" borderId="109" xfId="6844" applyNumberFormat="1" applyFont="1" applyFill="1" applyBorder="1" applyAlignment="1">
      <alignment horizontal="center" vertical="center" wrapText="1" readingOrder="1"/>
    </xf>
    <xf numFmtId="167" fontId="265" fillId="0" borderId="0" xfId="0" applyNumberFormat="1" applyFont="1" applyAlignment="1">
      <alignment horizontal="left" vertical="center"/>
    </xf>
    <xf numFmtId="17" fontId="72" fillId="0" borderId="565" xfId="49" applyNumberFormat="1" applyFont="1" applyBorder="1" applyAlignment="1">
      <alignment horizontal="center" vertical="center" wrapText="1"/>
    </xf>
    <xf numFmtId="17" fontId="72" fillId="0" borderId="566" xfId="49" applyNumberFormat="1" applyFont="1" applyBorder="1" applyAlignment="1">
      <alignment horizontal="center" vertical="center" wrapText="1"/>
    </xf>
    <xf numFmtId="17" fontId="72" fillId="0" borderId="567" xfId="49" applyNumberFormat="1" applyFont="1" applyBorder="1" applyAlignment="1">
      <alignment horizontal="center" vertical="center" wrapText="1"/>
    </xf>
    <xf numFmtId="3" fontId="74" fillId="45" borderId="568" xfId="49" applyNumberFormat="1" applyFont="1" applyFill="1" applyBorder="1" applyAlignment="1">
      <alignment horizontal="center" vertical="center" wrapText="1"/>
    </xf>
    <xf numFmtId="3" fontId="74" fillId="45" borderId="569" xfId="49" applyNumberFormat="1" applyFont="1" applyFill="1" applyBorder="1" applyAlignment="1">
      <alignment horizontal="center" vertical="center" wrapText="1"/>
    </xf>
    <xf numFmtId="3" fontId="74" fillId="45" borderId="570" xfId="49" applyNumberFormat="1" applyFont="1" applyFill="1" applyBorder="1" applyAlignment="1">
      <alignment horizontal="center" vertical="center" wrapText="1"/>
    </xf>
    <xf numFmtId="3" fontId="74" fillId="45" borderId="571" xfId="49" applyNumberFormat="1" applyFont="1" applyFill="1" applyBorder="1" applyAlignment="1">
      <alignment horizontal="center" vertical="center" wrapText="1"/>
    </xf>
    <xf numFmtId="3" fontId="74" fillId="0" borderId="568" xfId="49" applyNumberFormat="1" applyFont="1" applyBorder="1" applyAlignment="1">
      <alignment horizontal="center" vertical="center" wrapText="1"/>
    </xf>
    <xf numFmtId="3" fontId="74" fillId="0" borderId="569" xfId="49" applyNumberFormat="1" applyFont="1" applyBorder="1" applyAlignment="1">
      <alignment horizontal="center" vertical="center" wrapText="1"/>
    </xf>
    <xf numFmtId="3" fontId="74" fillId="0" borderId="570" xfId="49" applyNumberFormat="1" applyFont="1" applyBorder="1" applyAlignment="1">
      <alignment horizontal="center" vertical="center" wrapText="1"/>
    </xf>
    <xf numFmtId="3" fontId="74" fillId="0" borderId="571" xfId="49" applyNumberFormat="1" applyFont="1" applyBorder="1" applyAlignment="1">
      <alignment horizontal="center" vertical="center" wrapText="1"/>
    </xf>
    <xf numFmtId="3" fontId="93" fillId="29" borderId="572" xfId="49" applyNumberFormat="1" applyFont="1" applyFill="1" applyBorder="1" applyAlignment="1">
      <alignment horizontal="center" vertical="center" wrapText="1"/>
    </xf>
    <xf numFmtId="3" fontId="93" fillId="29" borderId="573" xfId="49" applyNumberFormat="1" applyFont="1" applyFill="1" applyBorder="1" applyAlignment="1">
      <alignment horizontal="center" vertical="center" wrapText="1"/>
    </xf>
    <xf numFmtId="3" fontId="93" fillId="29" borderId="574" xfId="49" applyNumberFormat="1" applyFont="1" applyFill="1" applyBorder="1" applyAlignment="1">
      <alignment horizontal="center" vertical="center" wrapText="1"/>
    </xf>
    <xf numFmtId="3" fontId="74" fillId="45" borderId="575" xfId="49" applyNumberFormat="1" applyFont="1" applyFill="1" applyBorder="1" applyAlignment="1">
      <alignment horizontal="center" vertical="center" wrapText="1"/>
    </xf>
    <xf numFmtId="3" fontId="74" fillId="0" borderId="575" xfId="49" applyNumberFormat="1" applyFont="1" applyBorder="1" applyAlignment="1">
      <alignment horizontal="center" vertical="center" wrapText="1"/>
    </xf>
    <xf numFmtId="4" fontId="2" fillId="0" borderId="0" xfId="6844" applyNumberFormat="1"/>
    <xf numFmtId="171" fontId="79" fillId="45" borderId="95" xfId="38" applyNumberFormat="1" applyFont="1" applyFill="1" applyBorder="1" applyAlignment="1">
      <alignment vertical="center"/>
    </xf>
    <xf numFmtId="171" fontId="79" fillId="45" borderId="11" xfId="38" applyNumberFormat="1" applyFont="1" applyFill="1" applyBorder="1" applyAlignment="1">
      <alignment horizontal="center" vertical="center"/>
    </xf>
    <xf numFmtId="171" fontId="93" fillId="45" borderId="11" xfId="38" applyNumberFormat="1" applyFont="1" applyFill="1" applyBorder="1" applyAlignment="1">
      <alignment horizontal="center"/>
    </xf>
    <xf numFmtId="171" fontId="93" fillId="45" borderId="11" xfId="38" applyNumberFormat="1" applyFont="1" applyFill="1" applyBorder="1" applyAlignment="1">
      <alignment horizontal="center" vertical="center"/>
    </xf>
    <xf numFmtId="171" fontId="93" fillId="45" borderId="104" xfId="38" applyNumberFormat="1" applyFont="1" applyFill="1" applyBorder="1" applyAlignment="1">
      <alignment horizontal="center" vertical="center"/>
    </xf>
    <xf numFmtId="0" fontId="96" fillId="45" borderId="33" xfId="0" applyFont="1" applyFill="1" applyBorder="1" applyAlignment="1">
      <alignment wrapText="1"/>
    </xf>
    <xf numFmtId="0" fontId="96" fillId="45" borderId="120" xfId="0" applyFont="1" applyFill="1" applyBorder="1" applyAlignment="1">
      <alignment wrapText="1"/>
    </xf>
    <xf numFmtId="0" fontId="96" fillId="45" borderId="33" xfId="0" applyFont="1" applyFill="1" applyBorder="1"/>
    <xf numFmtId="0" fontId="96" fillId="45" borderId="120" xfId="0" applyFont="1" applyFill="1" applyBorder="1"/>
    <xf numFmtId="166" fontId="96" fillId="45" borderId="121" xfId="0" applyNumberFormat="1" applyFont="1" applyFill="1" applyBorder="1" applyAlignment="1">
      <alignment horizontal="center" wrapText="1"/>
    </xf>
    <xf numFmtId="0" fontId="96" fillId="45" borderId="127" xfId="0" applyFont="1" applyFill="1" applyBorder="1" applyAlignment="1">
      <alignment horizontal="center"/>
    </xf>
    <xf numFmtId="1" fontId="96" fillId="45" borderId="128" xfId="0" applyNumberFormat="1" applyFont="1" applyFill="1" applyBorder="1" applyAlignment="1">
      <alignment horizontal="center"/>
    </xf>
    <xf numFmtId="0" fontId="96" fillId="45" borderId="113" xfId="0" applyFont="1" applyFill="1" applyBorder="1" applyAlignment="1">
      <alignment horizontal="center"/>
    </xf>
    <xf numFmtId="0" fontId="96" fillId="45" borderId="137" xfId="0" applyFont="1" applyFill="1" applyBorder="1" applyAlignment="1">
      <alignment horizontal="center"/>
    </xf>
    <xf numFmtId="0" fontId="96" fillId="45" borderId="105" xfId="0" applyFont="1" applyFill="1" applyBorder="1"/>
    <xf numFmtId="0" fontId="96" fillId="45" borderId="137" xfId="0" applyFont="1" applyFill="1" applyBorder="1"/>
    <xf numFmtId="3" fontId="96" fillId="45" borderId="105" xfId="0" applyNumberFormat="1" applyFont="1" applyFill="1" applyBorder="1" applyAlignment="1">
      <alignment wrapText="1"/>
    </xf>
    <xf numFmtId="3" fontId="96" fillId="45" borderId="137" xfId="0" applyNumberFormat="1" applyFont="1" applyFill="1" applyBorder="1" applyAlignment="1">
      <alignment wrapText="1"/>
    </xf>
    <xf numFmtId="3" fontId="88" fillId="45" borderId="105" xfId="0" applyNumberFormat="1" applyFont="1" applyFill="1" applyBorder="1" applyAlignment="1">
      <alignment horizontal="right" wrapText="1"/>
    </xf>
    <xf numFmtId="3" fontId="88" fillId="45" borderId="137" xfId="0" applyNumberFormat="1" applyFont="1" applyFill="1" applyBorder="1" applyAlignment="1">
      <alignment wrapText="1"/>
    </xf>
    <xf numFmtId="166" fontId="96" fillId="45" borderId="137" xfId="0" applyNumberFormat="1" applyFont="1" applyFill="1" applyBorder="1" applyAlignment="1">
      <alignment horizontal="center" wrapText="1"/>
    </xf>
    <xf numFmtId="0" fontId="96" fillId="45" borderId="11" xfId="0" applyFont="1" applyFill="1" applyBorder="1" applyAlignment="1">
      <alignment horizontal="center"/>
    </xf>
    <xf numFmtId="1" fontId="96" fillId="45" borderId="11" xfId="0" applyNumberFormat="1" applyFont="1" applyFill="1" applyBorder="1" applyAlignment="1">
      <alignment horizontal="center"/>
    </xf>
    <xf numFmtId="0" fontId="66" fillId="45" borderId="0" xfId="0" applyFont="1" applyFill="1"/>
    <xf numFmtId="3" fontId="88" fillId="45" borderId="33" xfId="0" applyNumberFormat="1" applyFont="1" applyFill="1" applyBorder="1"/>
    <xf numFmtId="3" fontId="88" fillId="45" borderId="120" xfId="0" applyNumberFormat="1" applyFont="1" applyFill="1" applyBorder="1"/>
    <xf numFmtId="3" fontId="88" fillId="45" borderId="33" xfId="0" applyNumberFormat="1" applyFont="1" applyFill="1" applyBorder="1" applyAlignment="1">
      <alignment horizontal="right" wrapText="1"/>
    </xf>
    <xf numFmtId="3" fontId="88" fillId="45" borderId="120" xfId="0" applyNumberFormat="1" applyFont="1" applyFill="1" applyBorder="1" applyAlignment="1">
      <alignment wrapText="1"/>
    </xf>
    <xf numFmtId="166" fontId="88" fillId="45" borderId="120" xfId="0" applyNumberFormat="1" applyFont="1" applyFill="1" applyBorder="1" applyAlignment="1">
      <alignment horizontal="center" wrapText="1"/>
    </xf>
    <xf numFmtId="0" fontId="96" fillId="45" borderId="14" xfId="0" applyFont="1" applyFill="1" applyBorder="1"/>
    <xf numFmtId="0" fontId="96" fillId="45" borderId="111" xfId="0" applyFont="1" applyFill="1" applyBorder="1"/>
    <xf numFmtId="0" fontId="88" fillId="45" borderId="111" xfId="0" applyFont="1" applyFill="1" applyBorder="1"/>
    <xf numFmtId="0" fontId="96" fillId="45" borderId="14" xfId="0" applyFont="1" applyFill="1" applyBorder="1" applyAlignment="1">
      <alignment wrapText="1"/>
    </xf>
    <xf numFmtId="0" fontId="66" fillId="45" borderId="111" xfId="0" applyFont="1" applyFill="1" applyBorder="1"/>
    <xf numFmtId="166" fontId="96" fillId="45" borderId="11" xfId="0" applyNumberFormat="1" applyFont="1" applyFill="1" applyBorder="1" applyAlignment="1">
      <alignment horizontal="center" wrapText="1"/>
    </xf>
    <xf numFmtId="3" fontId="88" fillId="45" borderId="120" xfId="0" applyNumberFormat="1" applyFont="1" applyFill="1" applyBorder="1" applyAlignment="1">
      <alignment horizontal="left"/>
    </xf>
    <xf numFmtId="3" fontId="96" fillId="45" borderId="33" xfId="0" applyNumberFormat="1" applyFont="1" applyFill="1" applyBorder="1" applyAlignment="1">
      <alignment wrapText="1"/>
    </xf>
    <xf numFmtId="3" fontId="96" fillId="45" borderId="120" xfId="0" applyNumberFormat="1" applyFont="1" applyFill="1" applyBorder="1" applyAlignment="1">
      <alignment wrapText="1"/>
    </xf>
    <xf numFmtId="3" fontId="88" fillId="45" borderId="120" xfId="0" applyNumberFormat="1" applyFont="1" applyFill="1" applyBorder="1" applyAlignment="1">
      <alignment horizontal="center" wrapText="1"/>
    </xf>
    <xf numFmtId="0" fontId="112" fillId="45" borderId="111" xfId="0" applyFont="1" applyFill="1" applyBorder="1"/>
    <xf numFmtId="3" fontId="88" fillId="45" borderId="120" xfId="0" applyNumberFormat="1" applyFont="1" applyFill="1" applyBorder="1" applyAlignment="1">
      <alignment horizontal="left" wrapText="1"/>
    </xf>
    <xf numFmtId="0" fontId="79" fillId="45" borderId="0" xfId="49" applyFont="1" applyFill="1" applyAlignment="1">
      <alignment vertical="center" wrapText="1"/>
    </xf>
    <xf numFmtId="0" fontId="66" fillId="45" borderId="0" xfId="49" applyFont="1" applyFill="1" applyAlignment="1">
      <alignment vertical="center" wrapText="1"/>
    </xf>
    <xf numFmtId="3" fontId="88" fillId="45" borderId="120" xfId="0" applyNumberFormat="1" applyFont="1" applyFill="1" applyBorder="1" applyAlignment="1">
      <alignment vertical="top" wrapText="1"/>
    </xf>
    <xf numFmtId="3" fontId="88" fillId="45" borderId="33" xfId="0" applyNumberFormat="1" applyFont="1" applyFill="1" applyBorder="1" applyAlignment="1">
      <alignment vertical="top" wrapText="1"/>
    </xf>
    <xf numFmtId="3" fontId="88" fillId="45" borderId="120" xfId="0" applyNumberFormat="1" applyFont="1" applyFill="1" applyBorder="1" applyAlignment="1">
      <alignment horizontal="left" vertical="top" wrapText="1"/>
    </xf>
    <xf numFmtId="171" fontId="79" fillId="44" borderId="11" xfId="38" applyNumberFormat="1" applyFont="1" applyFill="1" applyBorder="1" applyAlignment="1">
      <alignment vertical="center"/>
    </xf>
    <xf numFmtId="171" fontId="93" fillId="44" borderId="104" xfId="38" applyNumberFormat="1" applyFont="1" applyFill="1" applyBorder="1" applyAlignment="1">
      <alignment horizontal="center" vertical="center"/>
    </xf>
    <xf numFmtId="0" fontId="66" fillId="45" borderId="0" xfId="0" applyFont="1" applyFill="1" applyAlignment="1">
      <alignment horizontal="center"/>
    </xf>
    <xf numFmtId="171" fontId="79" fillId="44" borderId="95" xfId="38" applyNumberFormat="1" applyFont="1" applyFill="1" applyBorder="1" applyAlignment="1">
      <alignment vertical="center"/>
    </xf>
    <xf numFmtId="171" fontId="79" fillId="44" borderId="11" xfId="38" applyNumberFormat="1" applyFont="1" applyFill="1" applyBorder="1" applyAlignment="1">
      <alignment horizontal="center" vertical="center"/>
    </xf>
    <xf numFmtId="171" fontId="93" fillId="44" borderId="11" xfId="38" applyNumberFormat="1" applyFont="1" applyFill="1" applyBorder="1" applyAlignment="1">
      <alignment horizontal="center"/>
    </xf>
    <xf numFmtId="171" fontId="93" fillId="44" borderId="11" xfId="38" applyNumberFormat="1" applyFont="1" applyFill="1" applyBorder="1" applyAlignment="1">
      <alignment horizontal="center" vertical="center"/>
    </xf>
    <xf numFmtId="171" fontId="93" fillId="44" borderId="11" xfId="38" applyNumberFormat="1" applyFont="1" applyFill="1" applyBorder="1" applyAlignment="1">
      <alignment vertical="center"/>
    </xf>
    <xf numFmtId="3" fontId="96" fillId="45" borderId="506" xfId="515" applyNumberFormat="1" applyFont="1" applyFill="1" applyBorder="1" applyAlignment="1">
      <alignment horizontal="center" vertical="center"/>
    </xf>
    <xf numFmtId="171" fontId="66" fillId="44" borderId="11" xfId="38" applyNumberFormat="1" applyFont="1" applyFill="1" applyBorder="1" applyAlignment="1"/>
    <xf numFmtId="1" fontId="67" fillId="44" borderId="11" xfId="0" applyNumberFormat="1" applyFont="1" applyFill="1" applyBorder="1" applyAlignment="1">
      <alignment horizontal="center"/>
    </xf>
    <xf numFmtId="171" fontId="66" fillId="44" borderId="453" xfId="38" applyNumberFormat="1" applyFont="1" applyFill="1" applyBorder="1" applyAlignment="1"/>
    <xf numFmtId="1" fontId="67" fillId="44" borderId="453" xfId="0" applyNumberFormat="1" applyFont="1" applyFill="1" applyBorder="1" applyAlignment="1">
      <alignment horizontal="center"/>
    </xf>
    <xf numFmtId="0" fontId="76" fillId="0" borderId="0" xfId="0" applyFont="1" applyAlignment="1">
      <alignment horizontal="center" vertical="center"/>
    </xf>
    <xf numFmtId="175" fontId="79" fillId="0" borderId="0" xfId="0" applyNumberFormat="1" applyFont="1" applyAlignment="1">
      <alignment horizontal="center" vertical="center"/>
    </xf>
    <xf numFmtId="0" fontId="191" fillId="103" borderId="330" xfId="0" applyFont="1" applyFill="1" applyBorder="1" applyAlignment="1">
      <alignment horizontal="center" vertical="center" wrapText="1" readingOrder="1"/>
    </xf>
    <xf numFmtId="3" fontId="66" fillId="61" borderId="238" xfId="0" applyNumberFormat="1" applyFont="1" applyFill="1" applyBorder="1"/>
    <xf numFmtId="4" fontId="66" fillId="61" borderId="238" xfId="0" applyNumberFormat="1" applyFont="1" applyFill="1" applyBorder="1"/>
    <xf numFmtId="4" fontId="66" fillId="61" borderId="240" xfId="0" applyNumberFormat="1" applyFont="1" applyFill="1" applyBorder="1"/>
    <xf numFmtId="0" fontId="273" fillId="0" borderId="0" xfId="167" applyFont="1"/>
    <xf numFmtId="0" fontId="274" fillId="0" borderId="0" xfId="167" applyFont="1"/>
    <xf numFmtId="1" fontId="274" fillId="0" borderId="0" xfId="167" applyNumberFormat="1" applyFont="1" applyAlignment="1">
      <alignment horizontal="center"/>
    </xf>
    <xf numFmtId="0" fontId="100" fillId="0" borderId="0" xfId="167" applyFont="1"/>
    <xf numFmtId="167" fontId="274" fillId="0" borderId="0" xfId="167" applyNumberFormat="1" applyFont="1"/>
    <xf numFmtId="4" fontId="274" fillId="0" borderId="0" xfId="167" applyNumberFormat="1" applyFont="1"/>
    <xf numFmtId="0" fontId="273" fillId="37" borderId="23" xfId="167" applyFont="1" applyFill="1" applyBorder="1" applyAlignment="1">
      <alignment vertical="center"/>
    </xf>
    <xf numFmtId="0" fontId="273" fillId="0" borderId="14" xfId="167" applyFont="1" applyBorder="1" applyAlignment="1">
      <alignment vertical="center"/>
    </xf>
    <xf numFmtId="0" fontId="273" fillId="0" borderId="154" xfId="167" applyFont="1" applyBorder="1" applyAlignment="1">
      <alignment vertical="center"/>
    </xf>
    <xf numFmtId="0" fontId="273" fillId="0" borderId="111" xfId="167" applyFont="1" applyBorder="1" applyAlignment="1">
      <alignment vertical="center"/>
    </xf>
    <xf numFmtId="14" fontId="273" fillId="0" borderId="14" xfId="167" applyNumberFormat="1" applyFont="1" applyBorder="1" applyAlignment="1">
      <alignment vertical="center"/>
    </xf>
    <xf numFmtId="14" fontId="273" fillId="0" borderId="111" xfId="167" applyNumberFormat="1" applyFont="1" applyBorder="1" applyAlignment="1">
      <alignment vertical="center"/>
    </xf>
    <xf numFmtId="0" fontId="273" fillId="0" borderId="14" xfId="167" applyFont="1" applyBorder="1"/>
    <xf numFmtId="0" fontId="273" fillId="0" borderId="111" xfId="167" applyFont="1" applyBorder="1"/>
    <xf numFmtId="1" fontId="274" fillId="0" borderId="14" xfId="167" applyNumberFormat="1" applyFont="1" applyBorder="1"/>
    <xf numFmtId="1" fontId="274" fillId="0" borderId="154" xfId="167" applyNumberFormat="1" applyFont="1" applyBorder="1"/>
    <xf numFmtId="1" fontId="274" fillId="0" borderId="111" xfId="167" applyNumberFormat="1" applyFont="1" applyBorder="1"/>
    <xf numFmtId="0" fontId="274" fillId="0" borderId="96" xfId="167" applyFont="1" applyBorder="1" applyAlignment="1">
      <alignment vertical="center"/>
    </xf>
    <xf numFmtId="169" fontId="273" fillId="0" borderId="11" xfId="167" applyNumberFormat="1" applyFont="1" applyBorder="1" applyAlignment="1">
      <alignment horizontal="center" vertical="center"/>
    </xf>
    <xf numFmtId="14" fontId="273" fillId="0" borderId="11" xfId="167" applyNumberFormat="1" applyFont="1" applyBorder="1" applyAlignment="1">
      <alignment horizontal="center" vertical="center"/>
    </xf>
    <xf numFmtId="1" fontId="274" fillId="0" borderId="11" xfId="167" applyNumberFormat="1" applyFont="1" applyBorder="1" applyAlignment="1">
      <alignment horizontal="center"/>
    </xf>
    <xf numFmtId="0" fontId="273" fillId="54" borderId="11" xfId="167" applyFont="1" applyFill="1" applyBorder="1" applyAlignment="1">
      <alignment vertical="center"/>
    </xf>
    <xf numFmtId="4" fontId="273" fillId="54" borderId="11" xfId="167" applyNumberFormat="1" applyFont="1" applyFill="1" applyBorder="1" applyAlignment="1">
      <alignment horizontal="right" vertical="center"/>
    </xf>
    <xf numFmtId="1" fontId="273" fillId="54" borderId="11" xfId="167" applyNumberFormat="1" applyFont="1" applyFill="1" applyBorder="1" applyAlignment="1">
      <alignment horizontal="center" vertical="center"/>
    </xf>
    <xf numFmtId="0" fontId="100" fillId="0" borderId="11" xfId="167" applyFont="1" applyBorder="1" applyAlignment="1">
      <alignment horizontal="center" vertical="center"/>
    </xf>
    <xf numFmtId="4" fontId="100" fillId="0" borderId="11" xfId="167" applyNumberFormat="1" applyFont="1" applyBorder="1" applyAlignment="1">
      <alignment horizontal="right" vertical="center"/>
    </xf>
    <xf numFmtId="0" fontId="100" fillId="45" borderId="11" xfId="167" applyFont="1" applyFill="1" applyBorder="1" applyAlignment="1">
      <alignment horizontal="center"/>
    </xf>
    <xf numFmtId="4" fontId="100" fillId="45" borderId="11" xfId="167" applyNumberFormat="1" applyFont="1" applyFill="1" applyBorder="1" applyAlignment="1">
      <alignment horizontal="right" vertical="center"/>
    </xf>
    <xf numFmtId="0" fontId="100" fillId="54" borderId="11" xfId="167" applyFont="1" applyFill="1" applyBorder="1" applyAlignment="1">
      <alignment vertical="center"/>
    </xf>
    <xf numFmtId="0" fontId="273" fillId="0" borderId="11" xfId="167" applyFont="1" applyBorder="1" applyAlignment="1">
      <alignment horizontal="center" vertical="center"/>
    </xf>
    <xf numFmtId="0" fontId="100" fillId="0" borderId="506" xfId="167" applyFont="1" applyBorder="1" applyAlignment="1">
      <alignment horizontal="center" vertical="center"/>
    </xf>
    <xf numFmtId="1" fontId="274" fillId="0" borderId="506" xfId="167" applyNumberFormat="1" applyFont="1" applyBorder="1" applyAlignment="1">
      <alignment horizontal="center"/>
    </xf>
    <xf numFmtId="4" fontId="273" fillId="45" borderId="11" xfId="167" applyNumberFormat="1" applyFont="1" applyFill="1" applyBorder="1" applyAlignment="1">
      <alignment horizontal="right" vertical="center"/>
    </xf>
    <xf numFmtId="1" fontId="274" fillId="44" borderId="11" xfId="167" applyNumberFormat="1" applyFont="1" applyFill="1" applyBorder="1" applyAlignment="1">
      <alignment horizontal="center"/>
    </xf>
    <xf numFmtId="0" fontId="100" fillId="45" borderId="11" xfId="167" applyFont="1" applyFill="1" applyBorder="1" applyAlignment="1">
      <alignment horizontal="center" vertical="center"/>
    </xf>
    <xf numFmtId="4" fontId="273" fillId="45" borderId="453" xfId="167" applyNumberFormat="1" applyFont="1" applyFill="1" applyBorder="1" applyAlignment="1">
      <alignment horizontal="right" vertical="center"/>
    </xf>
    <xf numFmtId="1" fontId="274" fillId="0" borderId="453" xfId="167" applyNumberFormat="1" applyFont="1" applyBorder="1" applyAlignment="1">
      <alignment horizontal="center"/>
    </xf>
    <xf numFmtId="0" fontId="273" fillId="53" borderId="11" xfId="167" applyFont="1" applyFill="1" applyBorder="1" applyAlignment="1">
      <alignment vertical="center"/>
    </xf>
    <xf numFmtId="4" fontId="273" fillId="53" borderId="11" xfId="167" applyNumberFormat="1" applyFont="1" applyFill="1" applyBorder="1" applyAlignment="1">
      <alignment horizontal="right" vertical="center"/>
    </xf>
    <xf numFmtId="1" fontId="273" fillId="53" borderId="11" xfId="167" applyNumberFormat="1" applyFont="1" applyFill="1" applyBorder="1" applyAlignment="1">
      <alignment horizontal="center" vertical="center"/>
    </xf>
    <xf numFmtId="1" fontId="274" fillId="63" borderId="11" xfId="167" applyNumberFormat="1" applyFont="1" applyFill="1" applyBorder="1" applyAlignment="1">
      <alignment horizontal="center"/>
    </xf>
    <xf numFmtId="4" fontId="100" fillId="24" borderId="11" xfId="167" applyNumberFormat="1" applyFont="1" applyFill="1" applyBorder="1" applyAlignment="1">
      <alignment horizontal="right" vertical="center"/>
    </xf>
    <xf numFmtId="0" fontId="273" fillId="44" borderId="11" xfId="167" applyFont="1" applyFill="1" applyBorder="1" applyAlignment="1">
      <alignment vertical="center"/>
    </xf>
    <xf numFmtId="4" fontId="273" fillId="44" borderId="11" xfId="167" applyNumberFormat="1" applyFont="1" applyFill="1" applyBorder="1" applyAlignment="1">
      <alignment horizontal="right" vertical="center"/>
    </xf>
    <xf numFmtId="0" fontId="275" fillId="31" borderId="11" xfId="167" applyFont="1" applyFill="1" applyBorder="1" applyAlignment="1">
      <alignment horizontal="center" vertical="center"/>
    </xf>
    <xf numFmtId="4" fontId="275" fillId="31" borderId="11" xfId="167" applyNumberFormat="1" applyFont="1" applyFill="1" applyBorder="1" applyAlignment="1">
      <alignment horizontal="right" vertical="center"/>
    </xf>
    <xf numFmtId="167" fontId="275" fillId="31" borderId="11" xfId="167" applyNumberFormat="1" applyFont="1" applyFill="1" applyBorder="1" applyAlignment="1">
      <alignment horizontal="right" vertical="center"/>
    </xf>
    <xf numFmtId="0" fontId="275" fillId="45" borderId="0" xfId="167" applyFont="1" applyFill="1" applyAlignment="1">
      <alignment horizontal="center" vertical="center"/>
    </xf>
    <xf numFmtId="4" fontId="273" fillId="45" borderId="0" xfId="167" applyNumberFormat="1" applyFont="1" applyFill="1" applyAlignment="1">
      <alignment horizontal="right" vertical="center"/>
    </xf>
    <xf numFmtId="4" fontId="276" fillId="45" borderId="0" xfId="167" applyNumberFormat="1" applyFont="1" applyFill="1" applyAlignment="1">
      <alignment horizontal="right" vertical="center"/>
    </xf>
    <xf numFmtId="167" fontId="275" fillId="45" borderId="0" xfId="167" applyNumberFormat="1" applyFont="1" applyFill="1" applyAlignment="1">
      <alignment horizontal="right" vertical="center"/>
    </xf>
    <xf numFmtId="1" fontId="274" fillId="45" borderId="0" xfId="167" applyNumberFormat="1" applyFont="1" applyFill="1" applyAlignment="1">
      <alignment horizontal="center"/>
    </xf>
    <xf numFmtId="0" fontId="274" fillId="45" borderId="0" xfId="167" applyFont="1" applyFill="1"/>
    <xf numFmtId="167" fontId="273" fillId="45" borderId="0" xfId="167" applyNumberFormat="1" applyFont="1" applyFill="1" applyAlignment="1">
      <alignment horizontal="right" vertical="center"/>
    </xf>
    <xf numFmtId="167" fontId="276" fillId="45" borderId="0" xfId="167" applyNumberFormat="1" applyFont="1" applyFill="1" applyAlignment="1">
      <alignment horizontal="right" vertical="center"/>
    </xf>
    <xf numFmtId="3" fontId="274" fillId="45" borderId="0" xfId="167" applyNumberFormat="1" applyFont="1" applyFill="1" applyAlignment="1">
      <alignment horizontal="center"/>
    </xf>
    <xf numFmtId="0" fontId="273" fillId="48" borderId="11" xfId="167" applyFont="1" applyFill="1" applyBorder="1" applyAlignment="1">
      <alignment vertical="center"/>
    </xf>
    <xf numFmtId="167" fontId="273" fillId="48" borderId="11" xfId="167" applyNumberFormat="1" applyFont="1" applyFill="1" applyBorder="1" applyAlignment="1">
      <alignment horizontal="right" vertical="center"/>
    </xf>
    <xf numFmtId="4" fontId="273" fillId="48" borderId="11" xfId="167" applyNumberFormat="1" applyFont="1" applyFill="1" applyBorder="1" applyAlignment="1">
      <alignment vertical="center"/>
    </xf>
    <xf numFmtId="4" fontId="273" fillId="48" borderId="11" xfId="167" applyNumberFormat="1" applyFont="1" applyFill="1" applyBorder="1" applyAlignment="1">
      <alignment horizontal="center" vertical="center"/>
    </xf>
    <xf numFmtId="1" fontId="273" fillId="48" borderId="11" xfId="167" applyNumberFormat="1" applyFont="1" applyFill="1" applyBorder="1" applyAlignment="1">
      <alignment horizontal="center" vertical="center"/>
    </xf>
    <xf numFmtId="0" fontId="100" fillId="0" borderId="11" xfId="167" applyFont="1" applyBorder="1" applyAlignment="1">
      <alignment vertical="center"/>
    </xf>
    <xf numFmtId="167" fontId="100" fillId="0" borderId="11" xfId="167" applyNumberFormat="1" applyFont="1" applyBorder="1" applyAlignment="1">
      <alignment horizontal="right" vertical="center"/>
    </xf>
    <xf numFmtId="4" fontId="100" fillId="0" borderId="11" xfId="167" applyNumberFormat="1" applyFont="1" applyBorder="1" applyAlignment="1">
      <alignment vertical="center"/>
    </xf>
    <xf numFmtId="4" fontId="100" fillId="45" borderId="11" xfId="167" applyNumberFormat="1" applyFont="1" applyFill="1" applyBorder="1" applyAlignment="1">
      <alignment horizontal="center" vertical="center"/>
    </xf>
    <xf numFmtId="0" fontId="100" fillId="48" borderId="11" xfId="167" applyFont="1" applyFill="1" applyBorder="1" applyAlignment="1">
      <alignment vertical="center"/>
    </xf>
    <xf numFmtId="167" fontId="100" fillId="0" borderId="506" xfId="167" applyNumberFormat="1" applyFont="1" applyBorder="1" applyAlignment="1">
      <alignment horizontal="right" vertical="center"/>
    </xf>
    <xf numFmtId="4" fontId="100" fillId="0" borderId="506" xfId="167" applyNumberFormat="1" applyFont="1" applyBorder="1" applyAlignment="1">
      <alignment vertical="center"/>
    </xf>
    <xf numFmtId="4" fontId="100" fillId="45" borderId="506" xfId="167" applyNumberFormat="1" applyFont="1" applyFill="1" applyBorder="1" applyAlignment="1">
      <alignment horizontal="center" vertical="center"/>
    </xf>
    <xf numFmtId="167" fontId="100" fillId="33" borderId="11" xfId="167" applyNumberFormat="1" applyFont="1" applyFill="1" applyBorder="1" applyAlignment="1">
      <alignment horizontal="right" vertical="center"/>
    </xf>
    <xf numFmtId="4" fontId="100" fillId="48" borderId="11" xfId="167" applyNumberFormat="1" applyFont="1" applyFill="1" applyBorder="1" applyAlignment="1">
      <alignment vertical="center"/>
    </xf>
    <xf numFmtId="4" fontId="100" fillId="48" borderId="11" xfId="167" applyNumberFormat="1" applyFont="1" applyFill="1" applyBorder="1" applyAlignment="1">
      <alignment horizontal="center" vertical="center"/>
    </xf>
    <xf numFmtId="0" fontId="100" fillId="54" borderId="11" xfId="167" applyFont="1" applyFill="1" applyBorder="1" applyAlignment="1">
      <alignment horizontal="center" vertical="center"/>
    </xf>
    <xf numFmtId="167" fontId="100" fillId="54" borderId="11" xfId="167" applyNumberFormat="1" applyFont="1" applyFill="1" applyBorder="1" applyAlignment="1">
      <alignment horizontal="right" vertical="center"/>
    </xf>
    <xf numFmtId="4" fontId="100" fillId="54" borderId="11" xfId="167" applyNumberFormat="1" applyFont="1" applyFill="1" applyBorder="1" applyAlignment="1">
      <alignment vertical="center"/>
    </xf>
    <xf numFmtId="167" fontId="100" fillId="54" borderId="11" xfId="167" applyNumberFormat="1" applyFont="1" applyFill="1" applyBorder="1" applyAlignment="1">
      <alignment horizontal="center" vertical="center"/>
    </xf>
    <xf numFmtId="167" fontId="100" fillId="0" borderId="11" xfId="167" applyNumberFormat="1" applyFont="1" applyBorder="1" applyAlignment="1">
      <alignment horizontal="center" vertical="center"/>
    </xf>
    <xf numFmtId="167" fontId="100" fillId="0" borderId="453" xfId="167" applyNumberFormat="1" applyFont="1" applyBorder="1" applyAlignment="1">
      <alignment horizontal="right" vertical="center"/>
    </xf>
    <xf numFmtId="4" fontId="100" fillId="0" borderId="453" xfId="167" applyNumberFormat="1" applyFont="1" applyBorder="1" applyAlignment="1">
      <alignment vertical="center"/>
    </xf>
    <xf numFmtId="167" fontId="100" fillId="0" borderId="453" xfId="167" applyNumberFormat="1" applyFont="1" applyBorder="1" applyAlignment="1">
      <alignment horizontal="center" vertical="center"/>
    </xf>
    <xf numFmtId="0" fontId="277" fillId="48" borderId="11" xfId="167" applyFont="1" applyFill="1" applyBorder="1" applyAlignment="1">
      <alignment vertical="center"/>
    </xf>
    <xf numFmtId="167" fontId="277" fillId="48" borderId="11" xfId="167" applyNumberFormat="1" applyFont="1" applyFill="1" applyBorder="1" applyAlignment="1">
      <alignment horizontal="right" vertical="center"/>
    </xf>
    <xf numFmtId="0" fontId="277" fillId="0" borderId="11" xfId="167" applyFont="1" applyBorder="1" applyAlignment="1">
      <alignment horizontal="center" vertical="center"/>
    </xf>
    <xf numFmtId="167" fontId="277" fillId="0" borderId="11" xfId="167" applyNumberFormat="1" applyFont="1" applyBorder="1" applyAlignment="1">
      <alignment horizontal="center" vertical="center"/>
    </xf>
    <xf numFmtId="0" fontId="277" fillId="0" borderId="11" xfId="167" applyFont="1" applyBorder="1" applyAlignment="1">
      <alignment vertical="center"/>
    </xf>
    <xf numFmtId="167" fontId="277" fillId="0" borderId="11" xfId="167" applyNumberFormat="1" applyFont="1" applyBorder="1" applyAlignment="1">
      <alignment horizontal="right" vertical="center"/>
    </xf>
    <xf numFmtId="0" fontId="273" fillId="48" borderId="11" xfId="167" applyFont="1" applyFill="1" applyBorder="1" applyAlignment="1">
      <alignment horizontal="left" vertical="center"/>
    </xf>
    <xf numFmtId="4" fontId="100" fillId="0" borderId="11" xfId="167" applyNumberFormat="1" applyFont="1" applyBorder="1"/>
    <xf numFmtId="167" fontId="100" fillId="0" borderId="11" xfId="167" applyNumberFormat="1" applyFont="1" applyBorder="1" applyAlignment="1">
      <alignment horizontal="center"/>
    </xf>
    <xf numFmtId="4" fontId="275" fillId="31" borderId="11" xfId="167" applyNumberFormat="1" applyFont="1" applyFill="1" applyBorder="1"/>
    <xf numFmtId="4" fontId="275" fillId="31" borderId="11" xfId="167" applyNumberFormat="1" applyFont="1" applyFill="1" applyBorder="1" applyAlignment="1">
      <alignment horizontal="center"/>
    </xf>
    <xf numFmtId="3" fontId="274" fillId="0" borderId="0" xfId="167" applyNumberFormat="1" applyFont="1" applyAlignment="1">
      <alignment horizontal="center"/>
    </xf>
    <xf numFmtId="4" fontId="273" fillId="48" borderId="11" xfId="167" applyNumberFormat="1" applyFont="1" applyFill="1" applyBorder="1" applyAlignment="1">
      <alignment horizontal="right" vertical="center"/>
    </xf>
    <xf numFmtId="0" fontId="278" fillId="103" borderId="419" xfId="0" applyFont="1" applyFill="1" applyBorder="1" applyAlignment="1">
      <alignment horizontal="center" vertical="center" wrapText="1" readingOrder="1"/>
    </xf>
    <xf numFmtId="202" fontId="278" fillId="103" borderId="419" xfId="0" applyNumberFormat="1" applyFont="1" applyFill="1" applyBorder="1" applyAlignment="1">
      <alignment horizontal="center" vertical="center" wrapText="1" readingOrder="1"/>
    </xf>
    <xf numFmtId="0" fontId="273" fillId="0" borderId="11" xfId="455" applyFont="1" applyBorder="1" applyAlignment="1">
      <alignment horizontal="center" vertical="center"/>
    </xf>
    <xf numFmtId="167" fontId="273" fillId="0" borderId="11" xfId="455" applyNumberFormat="1" applyFont="1" applyBorder="1" applyAlignment="1">
      <alignment horizontal="center" vertical="center"/>
    </xf>
    <xf numFmtId="167" fontId="273" fillId="0" borderId="11" xfId="455" applyNumberFormat="1" applyFont="1" applyBorder="1" applyAlignment="1">
      <alignment horizontal="center"/>
    </xf>
    <xf numFmtId="1" fontId="100" fillId="0" borderId="11" xfId="455" applyNumberFormat="1" applyFont="1" applyBorder="1" applyAlignment="1">
      <alignment horizontal="center"/>
    </xf>
    <xf numFmtId="1" fontId="274" fillId="0" borderId="11" xfId="455" applyNumberFormat="1" applyFont="1" applyBorder="1" applyAlignment="1">
      <alignment horizontal="center"/>
    </xf>
    <xf numFmtId="170" fontId="278" fillId="103" borderId="419" xfId="38" applyNumberFormat="1" applyFont="1" applyFill="1" applyBorder="1" applyAlignment="1">
      <alignment horizontal="center" vertical="center" wrapText="1"/>
    </xf>
    <xf numFmtId="164" fontId="278" fillId="103" borderId="419" xfId="38" applyFont="1" applyFill="1" applyBorder="1" applyAlignment="1">
      <alignment horizontal="center" vertical="center" wrapText="1"/>
    </xf>
    <xf numFmtId="171" fontId="278" fillId="103" borderId="419" xfId="38" applyNumberFormat="1" applyFont="1" applyFill="1" applyBorder="1" applyAlignment="1">
      <alignment horizontal="center" vertical="center" wrapText="1"/>
    </xf>
    <xf numFmtId="1" fontId="278" fillId="103" borderId="419" xfId="0" applyNumberFormat="1" applyFont="1" applyFill="1" applyBorder="1" applyAlignment="1">
      <alignment horizontal="center" vertical="center" wrapText="1"/>
    </xf>
    <xf numFmtId="164" fontId="274" fillId="0" borderId="0" xfId="167" applyNumberFormat="1" applyFont="1"/>
    <xf numFmtId="2" fontId="274" fillId="44" borderId="0" xfId="167" applyNumberFormat="1" applyFont="1" applyFill="1" applyAlignment="1">
      <alignment horizontal="center"/>
    </xf>
    <xf numFmtId="1" fontId="274" fillId="44" borderId="0" xfId="167" applyNumberFormat="1" applyFont="1" applyFill="1" applyAlignment="1">
      <alignment horizontal="center"/>
    </xf>
    <xf numFmtId="0" fontId="279" fillId="0" borderId="0" xfId="6837" applyFont="1"/>
    <xf numFmtId="0" fontId="274" fillId="0" borderId="0" xfId="6837" applyFont="1"/>
    <xf numFmtId="1" fontId="274" fillId="0" borderId="0" xfId="6837" applyNumberFormat="1" applyFont="1" applyAlignment="1">
      <alignment horizontal="center"/>
    </xf>
    <xf numFmtId="1" fontId="274" fillId="44" borderId="0" xfId="6837" applyNumberFormat="1" applyFont="1" applyFill="1" applyAlignment="1">
      <alignment horizontal="center"/>
    </xf>
    <xf numFmtId="0" fontId="281" fillId="0" borderId="419" xfId="0" applyFont="1" applyBorder="1" applyAlignment="1">
      <alignment horizontal="left" vertical="center" wrapText="1" readingOrder="1"/>
    </xf>
    <xf numFmtId="4" fontId="281" fillId="0" borderId="419" xfId="0" applyNumberFormat="1" applyFont="1" applyBorder="1" applyAlignment="1">
      <alignment horizontal="center" vertical="center" wrapText="1" readingOrder="1"/>
    </xf>
    <xf numFmtId="166" fontId="281" fillId="0" borderId="419" xfId="0" applyNumberFormat="1" applyFont="1" applyBorder="1" applyAlignment="1">
      <alignment horizontal="center" vertical="center" wrapText="1" readingOrder="1"/>
    </xf>
    <xf numFmtId="166" fontId="282" fillId="0" borderId="419" xfId="0" applyNumberFormat="1" applyFont="1" applyBorder="1" applyAlignment="1">
      <alignment horizontal="center" vertical="center" wrapText="1" readingOrder="1"/>
    </xf>
    <xf numFmtId="167" fontId="281" fillId="0" borderId="419" xfId="0" applyNumberFormat="1" applyFont="1" applyBorder="1" applyAlignment="1">
      <alignment horizontal="center" vertical="center" wrapText="1" readingOrder="1"/>
    </xf>
    <xf numFmtId="0" fontId="278" fillId="0" borderId="419" xfId="0" applyFont="1" applyBorder="1" applyAlignment="1">
      <alignment horizontal="center" vertical="center" wrapText="1" readingOrder="1"/>
    </xf>
    <xf numFmtId="4" fontId="278" fillId="0" borderId="419" xfId="0" applyNumberFormat="1" applyFont="1" applyBorder="1" applyAlignment="1">
      <alignment horizontal="center" vertical="center" wrapText="1" readingOrder="1"/>
    </xf>
    <xf numFmtId="167" fontId="274" fillId="0" borderId="0" xfId="6837" applyNumberFormat="1" applyFont="1"/>
    <xf numFmtId="164" fontId="274" fillId="0" borderId="0" xfId="6837" applyNumberFormat="1" applyFont="1"/>
    <xf numFmtId="0" fontId="278" fillId="44" borderId="419" xfId="0" applyFont="1" applyFill="1" applyBorder="1" applyAlignment="1">
      <alignment horizontal="center" vertical="center" wrapText="1" readingOrder="1"/>
    </xf>
    <xf numFmtId="0" fontId="281" fillId="103" borderId="419" xfId="0" applyFont="1" applyFill="1" applyBorder="1" applyAlignment="1">
      <alignment horizontal="center" wrapText="1" readingOrder="1"/>
    </xf>
    <xf numFmtId="3" fontId="281" fillId="0" borderId="419" xfId="0" applyNumberFormat="1" applyFont="1" applyBorder="1" applyAlignment="1">
      <alignment horizontal="center" wrapText="1" readingOrder="1"/>
    </xf>
    <xf numFmtId="3" fontId="281" fillId="44" borderId="419" xfId="0" applyNumberFormat="1" applyFont="1" applyFill="1" applyBorder="1" applyAlignment="1">
      <alignment horizontal="center" wrapText="1" readingOrder="1"/>
    </xf>
    <xf numFmtId="1" fontId="281" fillId="0" borderId="419" xfId="0" applyNumberFormat="1" applyFont="1" applyBorder="1" applyAlignment="1">
      <alignment horizontal="center" wrapText="1" readingOrder="1"/>
    </xf>
    <xf numFmtId="3" fontId="278" fillId="0" borderId="419" xfId="0" applyNumberFormat="1" applyFont="1" applyBorder="1" applyAlignment="1">
      <alignment horizontal="center" vertical="center" wrapText="1" readingOrder="1"/>
    </xf>
    <xf numFmtId="3" fontId="278" fillId="44" borderId="419" xfId="0" applyNumberFormat="1" applyFont="1" applyFill="1" applyBorder="1" applyAlignment="1">
      <alignment horizontal="center" vertical="center" wrapText="1" readingOrder="1"/>
    </xf>
    <xf numFmtId="1" fontId="278" fillId="0" borderId="419" xfId="0" applyNumberFormat="1" applyFont="1" applyBorder="1" applyAlignment="1">
      <alignment horizontal="center" vertical="center" wrapText="1" readingOrder="1"/>
    </xf>
    <xf numFmtId="167" fontId="278" fillId="0" borderId="419" xfId="0" applyNumberFormat="1" applyFont="1" applyBorder="1" applyAlignment="1">
      <alignment horizontal="center" vertical="center" wrapText="1" readingOrder="1"/>
    </xf>
    <xf numFmtId="166" fontId="278" fillId="0" borderId="419" xfId="0" applyNumberFormat="1" applyFont="1" applyBorder="1" applyAlignment="1">
      <alignment horizontal="center" vertical="center" wrapText="1" readingOrder="1"/>
    </xf>
    <xf numFmtId="1" fontId="278" fillId="44" borderId="419" xfId="0" applyNumberFormat="1" applyFont="1" applyFill="1" applyBorder="1" applyAlignment="1">
      <alignment horizontal="center" vertical="center" wrapText="1" readingOrder="1"/>
    </xf>
    <xf numFmtId="166" fontId="283" fillId="0" borderId="419" xfId="0" applyNumberFormat="1" applyFont="1" applyBorder="1" applyAlignment="1">
      <alignment horizontal="center" vertical="center" wrapText="1" readingOrder="1"/>
    </xf>
    <xf numFmtId="0" fontId="284" fillId="103" borderId="419" xfId="0" applyFont="1" applyFill="1" applyBorder="1" applyAlignment="1">
      <alignment horizontal="center" vertical="center" wrapText="1" readingOrder="1"/>
    </xf>
    <xf numFmtId="0" fontId="284" fillId="44" borderId="419" xfId="0" applyFont="1" applyFill="1" applyBorder="1" applyAlignment="1">
      <alignment horizontal="center" vertical="center" wrapText="1" readingOrder="1"/>
    </xf>
    <xf numFmtId="0" fontId="285" fillId="103" borderId="419" xfId="0" applyFont="1" applyFill="1" applyBorder="1" applyAlignment="1">
      <alignment horizontal="center" wrapText="1" readingOrder="1"/>
    </xf>
    <xf numFmtId="0" fontId="285" fillId="0" borderId="419" xfId="0" applyFont="1" applyBorder="1" applyAlignment="1">
      <alignment horizontal="left" vertical="center" wrapText="1" readingOrder="1"/>
    </xf>
    <xf numFmtId="167" fontId="285" fillId="0" borderId="419" xfId="0" applyNumberFormat="1" applyFont="1" applyBorder="1" applyAlignment="1">
      <alignment horizontal="center" vertical="center" wrapText="1" readingOrder="1"/>
    </xf>
    <xf numFmtId="166" fontId="285" fillId="0" borderId="419" xfId="0" applyNumberFormat="1" applyFont="1" applyBorder="1" applyAlignment="1">
      <alignment horizontal="center" vertical="center" wrapText="1" readingOrder="1"/>
    </xf>
    <xf numFmtId="166" fontId="276" fillId="0" borderId="419" xfId="0" applyNumberFormat="1" applyFont="1" applyBorder="1" applyAlignment="1">
      <alignment horizontal="center" vertical="center" wrapText="1" readingOrder="1"/>
    </xf>
    <xf numFmtId="3" fontId="285" fillId="0" borderId="419" xfId="0" applyNumberFormat="1" applyFont="1" applyBorder="1" applyAlignment="1">
      <alignment horizontal="center" wrapText="1" readingOrder="1"/>
    </xf>
    <xf numFmtId="3" fontId="285" fillId="44" borderId="419" xfId="0" applyNumberFormat="1" applyFont="1" applyFill="1" applyBorder="1" applyAlignment="1">
      <alignment horizontal="center" wrapText="1" readingOrder="1"/>
    </xf>
    <xf numFmtId="1" fontId="285" fillId="0" borderId="419" xfId="0" applyNumberFormat="1" applyFont="1" applyBorder="1" applyAlignment="1">
      <alignment horizontal="center" wrapText="1" readingOrder="1"/>
    </xf>
    <xf numFmtId="0" fontId="284" fillId="0" borderId="419" xfId="0" applyFont="1" applyBorder="1" applyAlignment="1">
      <alignment horizontal="center" vertical="center" wrapText="1" readingOrder="1"/>
    </xf>
    <xf numFmtId="4" fontId="284" fillId="0" borderId="419" xfId="0" applyNumberFormat="1" applyFont="1" applyBorder="1" applyAlignment="1">
      <alignment horizontal="center" vertical="center" wrapText="1" readingOrder="1"/>
    </xf>
    <xf numFmtId="166" fontId="284" fillId="0" borderId="419" xfId="0" applyNumberFormat="1" applyFont="1" applyBorder="1" applyAlignment="1">
      <alignment horizontal="center" vertical="center" wrapText="1" readingOrder="1"/>
    </xf>
    <xf numFmtId="167" fontId="284" fillId="0" borderId="419" xfId="0" applyNumberFormat="1" applyFont="1" applyBorder="1" applyAlignment="1">
      <alignment horizontal="center" vertical="center" wrapText="1" readingOrder="1"/>
    </xf>
    <xf numFmtId="1" fontId="284" fillId="0" borderId="419" xfId="0" applyNumberFormat="1" applyFont="1" applyBorder="1" applyAlignment="1">
      <alignment horizontal="center" vertical="center" wrapText="1" readingOrder="1"/>
    </xf>
    <xf numFmtId="1" fontId="284" fillId="44" borderId="419" xfId="0" applyNumberFormat="1" applyFont="1" applyFill="1" applyBorder="1" applyAlignment="1">
      <alignment horizontal="center" vertical="center" wrapText="1" readingOrder="1"/>
    </xf>
    <xf numFmtId="4" fontId="274" fillId="0" borderId="0" xfId="6837" applyNumberFormat="1" applyFont="1"/>
    <xf numFmtId="1" fontId="286" fillId="0" borderId="0" xfId="6837" applyNumberFormat="1" applyFont="1" applyAlignment="1">
      <alignment horizontal="center" vertical="center" readingOrder="1"/>
    </xf>
    <xf numFmtId="0" fontId="278" fillId="104" borderId="419" xfId="0" applyFont="1" applyFill="1" applyBorder="1" applyAlignment="1">
      <alignment horizontal="center" vertical="center" wrapText="1" readingOrder="1"/>
    </xf>
    <xf numFmtId="1" fontId="286" fillId="0" borderId="0" xfId="6837" applyNumberFormat="1" applyFont="1" applyAlignment="1">
      <alignment horizontal="center"/>
    </xf>
    <xf numFmtId="167" fontId="281" fillId="44" borderId="419" xfId="0" applyNumberFormat="1" applyFont="1" applyFill="1" applyBorder="1" applyAlignment="1">
      <alignment horizontal="center" vertical="center" wrapText="1" readingOrder="1"/>
    </xf>
    <xf numFmtId="166" fontId="287" fillId="0" borderId="419" xfId="0" applyNumberFormat="1" applyFont="1" applyBorder="1" applyAlignment="1">
      <alignment horizontal="center" vertical="center" wrapText="1" readingOrder="1"/>
    </xf>
    <xf numFmtId="0" fontId="278" fillId="71" borderId="419" xfId="0" applyFont="1" applyFill="1" applyBorder="1" applyAlignment="1">
      <alignment horizontal="center" vertical="center" wrapText="1" readingOrder="1"/>
    </xf>
    <xf numFmtId="4" fontId="278" fillId="71" borderId="419" xfId="0" applyNumberFormat="1" applyFont="1" applyFill="1" applyBorder="1" applyAlignment="1">
      <alignment horizontal="center" vertical="center" wrapText="1" readingOrder="1"/>
    </xf>
    <xf numFmtId="166" fontId="278" fillId="71" borderId="419" xfId="0" applyNumberFormat="1" applyFont="1" applyFill="1" applyBorder="1" applyAlignment="1">
      <alignment horizontal="center" vertical="center" wrapText="1" readingOrder="1"/>
    </xf>
    <xf numFmtId="166" fontId="282" fillId="71" borderId="419" xfId="0" applyNumberFormat="1" applyFont="1" applyFill="1" applyBorder="1" applyAlignment="1">
      <alignment horizontal="center" vertical="center" wrapText="1" readingOrder="1"/>
    </xf>
    <xf numFmtId="167" fontId="278" fillId="71" borderId="419" xfId="0" applyNumberFormat="1" applyFont="1" applyFill="1" applyBorder="1" applyAlignment="1">
      <alignment horizontal="center" vertical="center" wrapText="1" readingOrder="1"/>
    </xf>
    <xf numFmtId="0" fontId="278" fillId="71" borderId="419" xfId="0" applyFont="1" applyFill="1" applyBorder="1" applyAlignment="1">
      <alignment horizontal="left" vertical="center" wrapText="1" readingOrder="1"/>
    </xf>
    <xf numFmtId="167" fontId="278" fillId="44" borderId="419" xfId="0" applyNumberFormat="1" applyFont="1" applyFill="1" applyBorder="1" applyAlignment="1">
      <alignment horizontal="center" vertical="center" wrapText="1" readingOrder="1"/>
    </xf>
    <xf numFmtId="166" fontId="274" fillId="0" borderId="0" xfId="6837" applyNumberFormat="1" applyFont="1" applyAlignment="1">
      <alignment horizontal="center"/>
    </xf>
    <xf numFmtId="0" fontId="1" fillId="0" borderId="0" xfId="6841" applyFont="1"/>
    <xf numFmtId="164" fontId="1" fillId="0" borderId="0" xfId="6841" applyNumberFormat="1" applyFont="1"/>
    <xf numFmtId="0" fontId="72" fillId="59" borderId="0" xfId="0" applyFont="1" applyFill="1" applyAlignment="1">
      <alignment horizontal="center" vertical="center"/>
    </xf>
    <xf numFmtId="184" fontId="274" fillId="0" borderId="0" xfId="167" applyNumberFormat="1" applyFont="1"/>
    <xf numFmtId="3" fontId="83" fillId="54" borderId="62" xfId="0" applyNumberFormat="1" applyFont="1" applyFill="1" applyBorder="1"/>
    <xf numFmtId="0" fontId="75" fillId="45" borderId="0" xfId="47" applyFont="1" applyFill="1" applyAlignment="1">
      <alignment horizontal="center"/>
    </xf>
    <xf numFmtId="164" fontId="66" fillId="0" borderId="0" xfId="74" applyNumberFormat="1" applyFont="1"/>
    <xf numFmtId="0" fontId="176" fillId="44" borderId="548" xfId="6844" applyFont="1" applyFill="1" applyBorder="1" applyAlignment="1">
      <alignment horizontal="left" vertical="center" wrapText="1" readingOrder="1"/>
    </xf>
    <xf numFmtId="167" fontId="175" fillId="44" borderId="549" xfId="6844" applyNumberFormat="1" applyFont="1" applyFill="1" applyBorder="1" applyAlignment="1">
      <alignment horizontal="center" vertical="center" wrapText="1" readingOrder="1"/>
    </xf>
    <xf numFmtId="0" fontId="175" fillId="44" borderId="548" xfId="6844" applyFont="1" applyFill="1" applyBorder="1" applyAlignment="1">
      <alignment horizontal="right" vertical="center" wrapText="1" readingOrder="1"/>
    </xf>
    <xf numFmtId="0" fontId="175" fillId="44" borderId="548" xfId="6844" applyFont="1" applyFill="1" applyBorder="1" applyAlignment="1">
      <alignment horizontal="left" vertical="center" wrapText="1" readingOrder="1"/>
    </xf>
    <xf numFmtId="0" fontId="166" fillId="0" borderId="461" xfId="6837" applyFont="1" applyBorder="1" applyAlignment="1">
      <alignment horizontal="center" vertical="center" wrapText="1"/>
    </xf>
    <xf numFmtId="0" fontId="166" fillId="0" borderId="462" xfId="6837" applyFont="1" applyBorder="1" applyAlignment="1">
      <alignment horizontal="center" vertical="center" wrapText="1"/>
    </xf>
    <xf numFmtId="167" fontId="96" fillId="0" borderId="0" xfId="0" applyNumberFormat="1" applyFont="1" applyAlignment="1">
      <alignment horizontal="left" vertical="center"/>
    </xf>
    <xf numFmtId="4" fontId="83" fillId="25" borderId="469" xfId="0" applyNumberFormat="1" applyFont="1" applyFill="1" applyBorder="1" applyAlignment="1">
      <alignment horizontal="center" vertical="center" wrapText="1"/>
    </xf>
    <xf numFmtId="4" fontId="96" fillId="0" borderId="469" xfId="0" applyNumberFormat="1" applyFont="1" applyBorder="1" applyAlignment="1">
      <alignment horizontal="center" vertical="center"/>
    </xf>
    <xf numFmtId="4" fontId="83" fillId="0" borderId="469" xfId="0" applyNumberFormat="1" applyFont="1" applyBorder="1" applyAlignment="1">
      <alignment horizontal="center" vertical="center"/>
    </xf>
    <xf numFmtId="4" fontId="96" fillId="0" borderId="506" xfId="0" applyNumberFormat="1" applyFont="1" applyBorder="1" applyAlignment="1">
      <alignment horizontal="center" vertical="center"/>
    </xf>
    <xf numFmtId="4" fontId="90" fillId="31" borderId="469" xfId="0" applyNumberFormat="1" applyFont="1" applyFill="1" applyBorder="1" applyAlignment="1">
      <alignment horizontal="center" vertical="center"/>
    </xf>
    <xf numFmtId="4" fontId="66" fillId="0" borderId="529" xfId="74" applyNumberFormat="1" applyFont="1" applyBorder="1" applyAlignment="1">
      <alignment horizontal="center" vertical="center" wrapText="1"/>
    </xf>
    <xf numFmtId="208" fontId="66" fillId="0" borderId="0" xfId="74" applyNumberFormat="1" applyFont="1"/>
    <xf numFmtId="180" fontId="148" fillId="55" borderId="330" xfId="74" applyNumberFormat="1" applyFont="1" applyFill="1" applyBorder="1" applyAlignment="1">
      <alignment horizontal="center" vertical="center" readingOrder="1"/>
    </xf>
    <xf numFmtId="197" fontId="66" fillId="0" borderId="0" xfId="38" applyNumberFormat="1" applyFont="1" applyAlignment="1">
      <alignment horizontal="center"/>
    </xf>
    <xf numFmtId="176" fontId="70" fillId="26" borderId="55" xfId="0" applyNumberFormat="1" applyFont="1" applyFill="1" applyBorder="1" applyAlignment="1">
      <alignment horizontal="center" vertical="center"/>
    </xf>
    <xf numFmtId="172" fontId="70" fillId="26" borderId="31" xfId="0" applyNumberFormat="1" applyFont="1" applyFill="1" applyBorder="1" applyAlignment="1">
      <alignment horizontal="center" vertical="center"/>
    </xf>
    <xf numFmtId="3" fontId="96" fillId="54" borderId="33" xfId="0" applyNumberFormat="1" applyFont="1" applyFill="1" applyBorder="1"/>
    <xf numFmtId="167" fontId="72" fillId="0" borderId="330" xfId="6104" applyNumberFormat="1" applyFont="1" applyBorder="1" applyAlignment="1">
      <alignment horizontal="center" vertical="center"/>
    </xf>
    <xf numFmtId="164" fontId="66" fillId="0" borderId="527" xfId="38" applyFont="1" applyBorder="1"/>
    <xf numFmtId="171" fontId="66" fillId="0" borderId="506" xfId="38" applyNumberFormat="1" applyFont="1" applyFill="1" applyBorder="1" applyAlignment="1"/>
    <xf numFmtId="171" fontId="66" fillId="0" borderId="506" xfId="38" applyNumberFormat="1" applyFont="1" applyFill="1" applyBorder="1" applyAlignment="1">
      <alignment horizontal="center"/>
    </xf>
    <xf numFmtId="165" fontId="72" fillId="0" borderId="506" xfId="43" applyFont="1" applyFill="1" applyBorder="1" applyAlignment="1">
      <alignment horizontal="center"/>
    </xf>
    <xf numFmtId="1" fontId="67" fillId="0" borderId="506" xfId="0" applyNumberFormat="1" applyFont="1" applyBorder="1" applyAlignment="1">
      <alignment horizontal="center"/>
    </xf>
    <xf numFmtId="2" fontId="96" fillId="0" borderId="0" xfId="0" applyNumberFormat="1" applyFont="1" applyAlignment="1">
      <alignment horizontal="center"/>
    </xf>
    <xf numFmtId="164" fontId="191" fillId="103" borderId="330" xfId="6843" applyFont="1" applyFill="1" applyBorder="1" applyAlignment="1">
      <alignment vertical="center" wrapText="1"/>
    </xf>
    <xf numFmtId="0" fontId="288" fillId="69" borderId="537" xfId="0" applyFont="1" applyFill="1" applyBorder="1" applyAlignment="1">
      <alignment horizontal="right" vertical="center" wrapText="1" readingOrder="1"/>
    </xf>
    <xf numFmtId="4" fontId="288" fillId="69" borderId="537" xfId="0" applyNumberFormat="1" applyFont="1" applyFill="1" applyBorder="1" applyAlignment="1">
      <alignment horizontal="right" vertical="center" wrapText="1" readingOrder="1"/>
    </xf>
    <xf numFmtId="194" fontId="35" fillId="0" borderId="11" xfId="0" applyNumberFormat="1" applyFont="1" applyBorder="1" applyAlignment="1">
      <alignment horizontal="center" vertical="center" wrapText="1"/>
    </xf>
    <xf numFmtId="165" fontId="97" fillId="54" borderId="162" xfId="43" applyFont="1" applyFill="1" applyBorder="1" applyAlignment="1">
      <alignment horizontal="center"/>
    </xf>
    <xf numFmtId="1" fontId="97" fillId="54" borderId="140" xfId="0" applyNumberFormat="1" applyFont="1" applyFill="1" applyBorder="1" applyAlignment="1">
      <alignment horizontal="center"/>
    </xf>
    <xf numFmtId="3" fontId="132" fillId="54" borderId="163" xfId="0" applyNumberFormat="1" applyFont="1" applyFill="1" applyBorder="1" applyAlignment="1">
      <alignment horizontal="center"/>
    </xf>
    <xf numFmtId="2" fontId="97" fillId="54" borderId="140" xfId="43" applyNumberFormat="1" applyFont="1" applyFill="1" applyBorder="1" applyAlignment="1">
      <alignment horizontal="center"/>
    </xf>
    <xf numFmtId="4" fontId="66" fillId="45" borderId="330" xfId="74" applyNumberFormat="1" applyFont="1" applyFill="1" applyBorder="1" applyAlignment="1">
      <alignment horizontal="center" vertical="center" readingOrder="1"/>
    </xf>
    <xf numFmtId="4" fontId="66" fillId="45" borderId="529" xfId="74" applyNumberFormat="1" applyFont="1" applyFill="1" applyBorder="1" applyAlignment="1">
      <alignment horizontal="center" vertical="center" wrapText="1"/>
    </xf>
    <xf numFmtId="4" fontId="118" fillId="45" borderId="529" xfId="74" applyNumberFormat="1" applyFont="1" applyFill="1" applyBorder="1" applyAlignment="1">
      <alignment horizontal="center" vertical="center" wrapText="1"/>
    </xf>
    <xf numFmtId="167" fontId="176" fillId="51" borderId="549" xfId="6844" applyNumberFormat="1" applyFont="1" applyFill="1" applyBorder="1" applyAlignment="1">
      <alignment horizontal="center" vertical="center" wrapText="1" readingOrder="1"/>
    </xf>
    <xf numFmtId="0" fontId="138" fillId="25" borderId="527" xfId="0" applyFont="1" applyFill="1" applyBorder="1" applyAlignment="1">
      <alignment horizontal="center" vertical="center"/>
    </xf>
    <xf numFmtId="0" fontId="138" fillId="25" borderId="506" xfId="0" applyFont="1" applyFill="1" applyBorder="1" applyAlignment="1">
      <alignment horizontal="center" vertical="center"/>
    </xf>
    <xf numFmtId="167" fontId="138" fillId="25" borderId="527" xfId="0" applyNumberFormat="1" applyFont="1" applyFill="1" applyBorder="1" applyAlignment="1">
      <alignment horizontal="center" vertical="center"/>
    </xf>
    <xf numFmtId="4" fontId="72" fillId="0" borderId="3" xfId="0" applyNumberFormat="1" applyFont="1" applyBorder="1" applyAlignment="1">
      <alignment horizontal="center" vertical="center" wrapText="1"/>
    </xf>
    <xf numFmtId="4" fontId="66" fillId="45" borderId="0" xfId="74" applyNumberFormat="1" applyFont="1" applyFill="1" applyAlignment="1">
      <alignment horizontal="center" vertical="center" readingOrder="1"/>
    </xf>
    <xf numFmtId="17" fontId="72" fillId="0" borderId="3" xfId="0" quotePrefix="1" applyNumberFormat="1" applyFont="1" applyBorder="1" applyAlignment="1">
      <alignment horizontal="center" vertical="center" wrapText="1"/>
    </xf>
    <xf numFmtId="168" fontId="121" fillId="0" borderId="245" xfId="43" applyNumberFormat="1" applyFont="1" applyFill="1" applyBorder="1" applyAlignment="1"/>
    <xf numFmtId="165" fontId="130" fillId="0" borderId="165" xfId="43" applyFont="1" applyFill="1" applyBorder="1" applyAlignment="1">
      <alignment horizontal="center"/>
    </xf>
    <xf numFmtId="171" fontId="66" fillId="0" borderId="506" xfId="38" applyNumberFormat="1" applyFont="1" applyBorder="1" applyAlignment="1"/>
    <xf numFmtId="171" fontId="66" fillId="0" borderId="506" xfId="38" applyNumberFormat="1" applyFont="1" applyBorder="1" applyAlignment="1">
      <alignment horizontal="center"/>
    </xf>
    <xf numFmtId="165" fontId="72" fillId="0" borderId="506" xfId="43" applyFont="1" applyBorder="1" applyAlignment="1">
      <alignment horizontal="center"/>
    </xf>
    <xf numFmtId="0" fontId="96" fillId="0" borderId="506" xfId="0" applyFont="1" applyBorder="1"/>
    <xf numFmtId="0" fontId="0" fillId="0" borderId="577" xfId="0" applyBorder="1"/>
    <xf numFmtId="0" fontId="0" fillId="0" borderId="578" xfId="0" applyBorder="1"/>
    <xf numFmtId="0" fontId="0" fillId="0" borderId="579" xfId="0" applyBorder="1"/>
    <xf numFmtId="0" fontId="157" fillId="44" borderId="62" xfId="0" applyFont="1" applyFill="1" applyBorder="1"/>
    <xf numFmtId="209" fontId="0" fillId="45" borderId="580" xfId="0" applyNumberFormat="1" applyFill="1" applyBorder="1"/>
    <xf numFmtId="209" fontId="0" fillId="45" borderId="581" xfId="38" applyNumberFormat="1" applyFont="1" applyFill="1" applyBorder="1"/>
    <xf numFmtId="209" fontId="0" fillId="45" borderId="582" xfId="38" applyNumberFormat="1" applyFont="1" applyFill="1" applyBorder="1"/>
    <xf numFmtId="209" fontId="157" fillId="44" borderId="115" xfId="0" applyNumberFormat="1" applyFont="1" applyFill="1" applyBorder="1"/>
    <xf numFmtId="2" fontId="178" fillId="0" borderId="583" xfId="0" applyNumberFormat="1" applyFont="1" applyBorder="1" applyAlignment="1">
      <alignment horizontal="center" vertical="center" wrapText="1"/>
    </xf>
    <xf numFmtId="2" fontId="178" fillId="0" borderId="584" xfId="0" applyNumberFormat="1" applyFont="1" applyBorder="1" applyAlignment="1">
      <alignment horizontal="center" vertical="center" wrapText="1"/>
    </xf>
    <xf numFmtId="2" fontId="77" fillId="0" borderId="584" xfId="0" applyNumberFormat="1" applyFont="1" applyBorder="1" applyAlignment="1">
      <alignment horizontal="center" vertical="center" wrapText="1"/>
    </xf>
    <xf numFmtId="2" fontId="178" fillId="0" borderId="585" xfId="0" applyNumberFormat="1" applyFont="1" applyBorder="1" applyAlignment="1">
      <alignment horizontal="center" vertical="center" wrapText="1"/>
    </xf>
    <xf numFmtId="4" fontId="74" fillId="0" borderId="330" xfId="74" applyNumberFormat="1" applyFont="1" applyBorder="1" applyAlignment="1">
      <alignment horizontal="center" vertical="center" readingOrder="1"/>
    </xf>
    <xf numFmtId="4" fontId="76" fillId="55" borderId="330" xfId="74" applyNumberFormat="1" applyFont="1" applyFill="1" applyBorder="1" applyAlignment="1">
      <alignment horizontal="center" vertical="center" readingOrder="1"/>
    </xf>
    <xf numFmtId="0" fontId="289" fillId="0" borderId="0" xfId="74" applyFont="1" applyAlignment="1">
      <alignment horizontal="center"/>
    </xf>
    <xf numFmtId="0" fontId="189" fillId="0" borderId="330" xfId="6837" applyFont="1" applyBorder="1" applyAlignment="1">
      <alignment horizontal="center" vertical="center"/>
    </xf>
    <xf numFmtId="0" fontId="290" fillId="0" borderId="0" xfId="6837" applyFont="1"/>
    <xf numFmtId="0" fontId="83" fillId="55" borderId="330" xfId="74" applyFont="1" applyFill="1" applyBorder="1" applyAlignment="1">
      <alignment horizontal="center" vertical="center" wrapText="1" readingOrder="1"/>
    </xf>
    <xf numFmtId="4" fontId="72" fillId="55" borderId="330" xfId="74" applyNumberFormat="1" applyFont="1" applyFill="1" applyBorder="1" applyAlignment="1">
      <alignment horizontal="center" vertical="center" readingOrder="1"/>
    </xf>
    <xf numFmtId="0" fontId="96" fillId="0" borderId="330" xfId="74" applyFont="1" applyBorder="1" applyAlignment="1">
      <alignment horizontal="left" vertical="center" wrapText="1" readingOrder="1"/>
    </xf>
    <xf numFmtId="0" fontId="78" fillId="0" borderId="0" xfId="0" applyFont="1" applyAlignment="1">
      <alignment horizontal="left" vertical="center" wrapText="1"/>
    </xf>
    <xf numFmtId="0" fontId="81" fillId="37" borderId="0" xfId="37" applyFont="1" applyFill="1" applyBorder="1" applyAlignment="1" applyProtection="1">
      <alignment horizontal="center" vertical="center" wrapText="1"/>
    </xf>
    <xf numFmtId="0" fontId="85" fillId="0" borderId="0" xfId="0" applyFont="1" applyAlignment="1">
      <alignment horizontal="center"/>
    </xf>
    <xf numFmtId="0" fontId="84" fillId="0" borderId="0" xfId="0" applyFont="1" applyAlignment="1">
      <alignment horizontal="center"/>
    </xf>
    <xf numFmtId="0" fontId="80" fillId="0" borderId="0" xfId="0" quotePrefix="1" applyFont="1" applyAlignment="1">
      <alignment horizontal="center" vertical="center" wrapText="1"/>
    </xf>
    <xf numFmtId="0" fontId="80" fillId="0" borderId="0" xfId="0" applyFont="1" applyAlignment="1">
      <alignment horizontal="center" vertical="center" wrapText="1"/>
    </xf>
    <xf numFmtId="0" fontId="39" fillId="0" borderId="0" xfId="0" applyFont="1" applyAlignment="1">
      <alignment horizontal="center"/>
    </xf>
    <xf numFmtId="17" fontId="40" fillId="0" borderId="158" xfId="0" applyNumberFormat="1" applyFont="1" applyBorder="1" applyAlignment="1">
      <alignment horizontal="center"/>
    </xf>
    <xf numFmtId="17" fontId="40" fillId="0" borderId="0" xfId="0" applyNumberFormat="1" applyFont="1" applyAlignment="1">
      <alignment horizontal="center"/>
    </xf>
    <xf numFmtId="0" fontId="35" fillId="0" borderId="66" xfId="0" applyFont="1" applyBorder="1" applyAlignment="1">
      <alignment horizontal="center" vertical="center"/>
    </xf>
    <xf numFmtId="0" fontId="35" fillId="0" borderId="85" xfId="0" applyFont="1" applyBorder="1" applyAlignment="1">
      <alignment horizontal="center" vertical="center"/>
    </xf>
    <xf numFmtId="0" fontId="35" fillId="0" borderId="122" xfId="0" applyFont="1" applyBorder="1" applyAlignment="1">
      <alignment horizontal="center" vertical="center"/>
    </xf>
    <xf numFmtId="0" fontId="35" fillId="0" borderId="135" xfId="0" applyFont="1" applyBorder="1" applyAlignment="1">
      <alignment horizontal="center"/>
    </xf>
    <xf numFmtId="0" fontId="35" fillId="0" borderId="136" xfId="0" applyFont="1" applyBorder="1" applyAlignment="1">
      <alignment horizontal="center"/>
    </xf>
    <xf numFmtId="0" fontId="35" fillId="0" borderId="149" xfId="0" applyFont="1" applyBorder="1" applyAlignment="1">
      <alignment horizontal="center"/>
    </xf>
    <xf numFmtId="0" fontId="35" fillId="0" borderId="62" xfId="0" applyFont="1" applyBorder="1" applyAlignment="1">
      <alignment horizontal="center" vertical="center"/>
    </xf>
    <xf numFmtId="0" fontId="35" fillId="0" borderId="94" xfId="0" applyFont="1" applyBorder="1" applyAlignment="1">
      <alignment horizontal="center" vertical="center"/>
    </xf>
    <xf numFmtId="0" fontId="35" fillId="0" borderId="115" xfId="0" applyFont="1" applyBorder="1" applyAlignment="1">
      <alignment horizontal="center" vertical="center"/>
    </xf>
    <xf numFmtId="0" fontId="35" fillId="0" borderId="201" xfId="0" applyFont="1" applyBorder="1" applyAlignment="1">
      <alignment horizontal="center" vertical="center" wrapText="1"/>
    </xf>
    <xf numFmtId="0" fontId="35" fillId="0" borderId="148" xfId="0" applyFont="1" applyBorder="1" applyAlignment="1">
      <alignment horizontal="center" vertical="center" wrapText="1"/>
    </xf>
    <xf numFmtId="0" fontId="35" fillId="0" borderId="202" xfId="0" applyFont="1" applyBorder="1" applyAlignment="1">
      <alignment horizontal="center" vertical="center" wrapText="1"/>
    </xf>
    <xf numFmtId="0" fontId="35" fillId="0" borderId="201" xfId="0" applyFont="1" applyBorder="1" applyAlignment="1">
      <alignment horizontal="center"/>
    </xf>
    <xf numFmtId="0" fontId="35" fillId="0" borderId="148" xfId="0" applyFont="1" applyBorder="1" applyAlignment="1">
      <alignment horizontal="center"/>
    </xf>
    <xf numFmtId="0" fontId="35" fillId="0" borderId="202" xfId="0" applyFont="1" applyBorder="1" applyAlignment="1">
      <alignment horizontal="center"/>
    </xf>
    <xf numFmtId="0" fontId="35" fillId="0" borderId="82" xfId="0" applyFont="1" applyBorder="1" applyAlignment="1">
      <alignment horizontal="center"/>
    </xf>
    <xf numFmtId="0" fontId="35" fillId="0" borderId="195" xfId="0" applyFont="1" applyBorder="1" applyAlignment="1">
      <alignment horizontal="center"/>
    </xf>
    <xf numFmtId="0" fontId="35" fillId="0" borderId="200" xfId="0" applyFont="1" applyBorder="1" applyAlignment="1">
      <alignment horizontal="center"/>
    </xf>
    <xf numFmtId="0" fontId="35" fillId="0" borderId="129" xfId="0" applyFont="1" applyBorder="1" applyAlignment="1">
      <alignment horizontal="center"/>
    </xf>
    <xf numFmtId="0" fontId="270" fillId="0" borderId="11" xfId="0" applyFont="1" applyBorder="1" applyAlignment="1">
      <alignment horizontal="center" vertical="center" wrapText="1"/>
    </xf>
    <xf numFmtId="0" fontId="270" fillId="0" borderId="526" xfId="0" applyFont="1" applyBorder="1" applyAlignment="1">
      <alignment horizontal="center" vertical="center" wrapText="1"/>
    </xf>
    <xf numFmtId="0" fontId="270" fillId="0" borderId="527" xfId="0" applyFont="1" applyBorder="1" applyAlignment="1">
      <alignment horizontal="center" vertical="center" wrapText="1"/>
    </xf>
    <xf numFmtId="0" fontId="35" fillId="0" borderId="14" xfId="0" applyFont="1" applyBorder="1" applyAlignment="1">
      <alignment horizontal="center" vertical="center" wrapText="1"/>
    </xf>
    <xf numFmtId="0" fontId="35" fillId="0" borderId="111" xfId="0" applyFont="1" applyBorder="1" applyAlignment="1">
      <alignment horizontal="center" vertical="center" wrapText="1"/>
    </xf>
    <xf numFmtId="0" fontId="167" fillId="0" borderId="14" xfId="0" applyFont="1" applyBorder="1" applyAlignment="1">
      <alignment horizontal="center" vertical="center" wrapText="1"/>
    </xf>
    <xf numFmtId="0" fontId="167" fillId="0" borderId="443" xfId="0" applyFont="1" applyBorder="1" applyAlignment="1">
      <alignment horizontal="center" vertical="center" wrapText="1"/>
    </xf>
    <xf numFmtId="0" fontId="141" fillId="0" borderId="14" xfId="0" applyFont="1" applyBorder="1" applyAlignment="1">
      <alignment horizontal="left" vertical="center"/>
    </xf>
    <xf numFmtId="0" fontId="141" fillId="0" borderId="111" xfId="0" applyFont="1" applyBorder="1" applyAlignment="1">
      <alignment horizontal="left" vertical="center"/>
    </xf>
    <xf numFmtId="0" fontId="169" fillId="0" borderId="14" xfId="0" applyFont="1" applyBorder="1" applyAlignment="1">
      <alignment horizontal="left" vertical="center"/>
    </xf>
    <xf numFmtId="0" fontId="169" fillId="0" borderId="111" xfId="0" applyFont="1" applyBorder="1" applyAlignment="1">
      <alignment horizontal="left" vertical="center"/>
    </xf>
    <xf numFmtId="0" fontId="170" fillId="0" borderId="14" xfId="0" applyFont="1" applyBorder="1" applyAlignment="1">
      <alignment horizontal="center" vertical="center" wrapText="1"/>
    </xf>
    <xf numFmtId="0" fontId="170" fillId="0" borderId="111" xfId="0" applyFont="1" applyBorder="1" applyAlignment="1">
      <alignment horizontal="center" vertical="center" wrapText="1"/>
    </xf>
    <xf numFmtId="0" fontId="169" fillId="0" borderId="14" xfId="0" applyFont="1" applyBorder="1" applyAlignment="1">
      <alignment vertical="center"/>
    </xf>
    <xf numFmtId="0" fontId="169" fillId="0" borderId="111" xfId="0" applyFont="1" applyBorder="1" applyAlignment="1">
      <alignment vertical="center"/>
    </xf>
    <xf numFmtId="0" fontId="72" fillId="25" borderId="105" xfId="0" applyFont="1" applyFill="1" applyBorder="1" applyAlignment="1">
      <alignment horizontal="center" vertical="center"/>
    </xf>
    <xf numFmtId="0" fontId="72" fillId="25" borderId="33" xfId="0" applyFont="1" applyFill="1" applyBorder="1" applyAlignment="1">
      <alignment horizontal="center" vertical="center"/>
    </xf>
    <xf numFmtId="0" fontId="72" fillId="35" borderId="218" xfId="0" applyFont="1" applyFill="1" applyBorder="1" applyAlignment="1">
      <alignment horizontal="center" vertical="center"/>
    </xf>
    <xf numFmtId="0" fontId="72" fillId="35" borderId="219" xfId="0" applyFont="1" applyFill="1" applyBorder="1" applyAlignment="1">
      <alignment horizontal="center" vertical="center"/>
    </xf>
    <xf numFmtId="0" fontId="72" fillId="29" borderId="218" xfId="0" applyFont="1" applyFill="1" applyBorder="1" applyAlignment="1">
      <alignment horizontal="center" vertical="center"/>
    </xf>
    <xf numFmtId="0" fontId="72" fillId="29" borderId="219" xfId="0" applyFont="1" applyFill="1" applyBorder="1" applyAlignment="1">
      <alignment horizontal="center" vertical="center"/>
    </xf>
    <xf numFmtId="0" fontId="72" fillId="42" borderId="218" xfId="0" applyFont="1" applyFill="1" applyBorder="1" applyAlignment="1">
      <alignment horizontal="center" vertical="center"/>
    </xf>
    <xf numFmtId="0" fontId="72" fillId="42" borderId="219" xfId="0" applyFont="1" applyFill="1" applyBorder="1" applyAlignment="1">
      <alignment horizontal="center" vertical="center"/>
    </xf>
    <xf numFmtId="0" fontId="72" fillId="32" borderId="218" xfId="0" applyFont="1" applyFill="1" applyBorder="1" applyAlignment="1">
      <alignment horizontal="center" vertical="center"/>
    </xf>
    <xf numFmtId="0" fontId="72" fillId="32" borderId="219" xfId="0" applyFont="1" applyFill="1" applyBorder="1" applyAlignment="1">
      <alignment horizontal="center" vertical="center"/>
    </xf>
    <xf numFmtId="0" fontId="72" fillId="25" borderId="221" xfId="0" applyFont="1" applyFill="1" applyBorder="1" applyAlignment="1">
      <alignment horizontal="center" vertical="center"/>
    </xf>
    <xf numFmtId="0" fontId="72" fillId="25" borderId="199" xfId="0" applyFont="1" applyFill="1" applyBorder="1" applyAlignment="1">
      <alignment horizontal="center" vertical="center"/>
    </xf>
    <xf numFmtId="0" fontId="72" fillId="30" borderId="218" xfId="0" applyFont="1" applyFill="1" applyBorder="1" applyAlignment="1">
      <alignment horizontal="center" vertical="center"/>
    </xf>
    <xf numFmtId="0" fontId="72" fillId="30" borderId="219" xfId="0" applyFont="1" applyFill="1" applyBorder="1" applyAlignment="1">
      <alignment horizontal="center" vertical="center"/>
    </xf>
    <xf numFmtId="0" fontId="72" fillId="25" borderId="218" xfId="0" applyFont="1" applyFill="1" applyBorder="1" applyAlignment="1">
      <alignment horizontal="center" vertical="center"/>
    </xf>
    <xf numFmtId="0" fontId="72" fillId="25" borderId="219" xfId="0" applyFont="1" applyFill="1" applyBorder="1" applyAlignment="1">
      <alignment horizontal="center" vertical="center"/>
    </xf>
    <xf numFmtId="0" fontId="72" fillId="0" borderId="0" xfId="0" applyFont="1" applyAlignment="1">
      <alignment horizontal="center" vertical="center"/>
    </xf>
    <xf numFmtId="3" fontId="72" fillId="32" borderId="218" xfId="0" applyNumberFormat="1" applyFont="1" applyFill="1" applyBorder="1" applyAlignment="1">
      <alignment horizontal="center" vertical="center"/>
    </xf>
    <xf numFmtId="3" fontId="72" fillId="32" borderId="219" xfId="0" applyNumberFormat="1" applyFont="1" applyFill="1" applyBorder="1" applyAlignment="1">
      <alignment horizontal="center" vertical="center"/>
    </xf>
    <xf numFmtId="0" fontId="93" fillId="0" borderId="105" xfId="0" applyFont="1" applyBorder="1" applyAlignment="1">
      <alignment horizontal="center" vertical="center"/>
    </xf>
    <xf numFmtId="0" fontId="93" fillId="0" borderId="33" xfId="0" applyFont="1" applyBorder="1" applyAlignment="1">
      <alignment horizontal="center" vertical="center"/>
    </xf>
    <xf numFmtId="0" fontId="96" fillId="47" borderId="291" xfId="0" applyFont="1" applyFill="1" applyBorder="1" applyAlignment="1">
      <alignment horizontal="center" vertical="center"/>
    </xf>
    <xf numFmtId="0" fontId="96" fillId="47" borderId="293" xfId="0" applyFont="1" applyFill="1" applyBorder="1" applyAlignment="1">
      <alignment horizontal="center" vertical="center"/>
    </xf>
    <xf numFmtId="0" fontId="96" fillId="47" borderId="292" xfId="0" applyFont="1" applyFill="1" applyBorder="1" applyAlignment="1">
      <alignment horizontal="center" vertical="center"/>
    </xf>
    <xf numFmtId="0" fontId="161" fillId="47" borderId="291" xfId="0" applyFont="1" applyFill="1" applyBorder="1" applyAlignment="1">
      <alignment horizontal="center" vertical="center"/>
    </xf>
    <xf numFmtId="0" fontId="161" fillId="47" borderId="293" xfId="0" applyFont="1" applyFill="1" applyBorder="1" applyAlignment="1">
      <alignment horizontal="center" vertical="center"/>
    </xf>
    <xf numFmtId="0" fontId="161" fillId="47" borderId="292" xfId="0" applyFont="1" applyFill="1" applyBorder="1" applyAlignment="1">
      <alignment horizontal="center" vertical="center"/>
    </xf>
    <xf numFmtId="17" fontId="161" fillId="47" borderId="291" xfId="0" applyNumberFormat="1" applyFont="1" applyFill="1" applyBorder="1" applyAlignment="1">
      <alignment horizontal="center" vertical="center"/>
    </xf>
    <xf numFmtId="0" fontId="191" fillId="54" borderId="308" xfId="0" applyFont="1" applyFill="1" applyBorder="1" applyAlignment="1">
      <alignment horizontal="center" vertical="center" wrapText="1" readingOrder="1"/>
    </xf>
    <xf numFmtId="0" fontId="191" fillId="54" borderId="309" xfId="0" applyFont="1" applyFill="1" applyBorder="1" applyAlignment="1">
      <alignment horizontal="center" vertical="center" wrapText="1" readingOrder="1"/>
    </xf>
    <xf numFmtId="0" fontId="191" fillId="54" borderId="310" xfId="0" applyFont="1" applyFill="1" applyBorder="1" applyAlignment="1">
      <alignment horizontal="center" vertical="center" wrapText="1" readingOrder="1"/>
    </xf>
    <xf numFmtId="0" fontId="191" fillId="54" borderId="312" xfId="0" applyFont="1" applyFill="1" applyBorder="1" applyAlignment="1">
      <alignment horizontal="center" vertical="center" wrapText="1" readingOrder="1"/>
    </xf>
    <xf numFmtId="0" fontId="191" fillId="67" borderId="306" xfId="0" applyFont="1" applyFill="1" applyBorder="1" applyAlignment="1">
      <alignment horizontal="center" vertical="center" wrapText="1" readingOrder="1"/>
    </xf>
    <xf numFmtId="0" fontId="191" fillId="67" borderId="308" xfId="0" applyFont="1" applyFill="1" applyBorder="1" applyAlignment="1">
      <alignment horizontal="center" vertical="center" wrapText="1" readingOrder="1"/>
    </xf>
    <xf numFmtId="0" fontId="191" fillId="67" borderId="309" xfId="0" applyFont="1" applyFill="1" applyBorder="1" applyAlignment="1">
      <alignment horizontal="center" vertical="center" wrapText="1" readingOrder="1"/>
    </xf>
    <xf numFmtId="0" fontId="191" fillId="67" borderId="310" xfId="0" applyFont="1" applyFill="1" applyBorder="1" applyAlignment="1">
      <alignment horizontal="center" vertical="center" wrapText="1" readingOrder="1"/>
    </xf>
    <xf numFmtId="17" fontId="191" fillId="67" borderId="308" xfId="0" applyNumberFormat="1" applyFont="1" applyFill="1" applyBorder="1" applyAlignment="1">
      <alignment horizontal="center" vertical="center" wrapText="1" readingOrder="1"/>
    </xf>
    <xf numFmtId="0" fontId="191" fillId="67" borderId="312" xfId="0" applyFont="1" applyFill="1" applyBorder="1" applyAlignment="1">
      <alignment horizontal="center" vertical="center" wrapText="1" readingOrder="1"/>
    </xf>
    <xf numFmtId="0" fontId="191" fillId="54" borderId="306" xfId="0" applyFont="1" applyFill="1" applyBorder="1" applyAlignment="1">
      <alignment horizontal="center" vertical="center" wrapText="1" readingOrder="1"/>
    </xf>
    <xf numFmtId="0" fontId="96" fillId="46" borderId="291" xfId="0" applyFont="1" applyFill="1" applyBorder="1" applyAlignment="1">
      <alignment horizontal="center" vertical="center"/>
    </xf>
    <xf numFmtId="0" fontId="96" fillId="46" borderId="293" xfId="0" applyFont="1" applyFill="1" applyBorder="1" applyAlignment="1">
      <alignment horizontal="center" vertical="center"/>
    </xf>
    <xf numFmtId="0" fontId="96" fillId="46" borderId="292" xfId="0" applyFont="1" applyFill="1" applyBorder="1" applyAlignment="1">
      <alignment horizontal="center" vertical="center"/>
    </xf>
    <xf numFmtId="17" fontId="66" fillId="46" borderId="291" xfId="0" applyNumberFormat="1" applyFont="1" applyFill="1" applyBorder="1" applyAlignment="1">
      <alignment horizontal="center" vertical="center"/>
    </xf>
    <xf numFmtId="0" fontId="66" fillId="46" borderId="293" xfId="0" applyFont="1" applyFill="1" applyBorder="1" applyAlignment="1">
      <alignment horizontal="center" vertical="center"/>
    </xf>
    <xf numFmtId="0" fontId="66" fillId="46" borderId="292" xfId="0" applyFont="1" applyFill="1" applyBorder="1" applyAlignment="1">
      <alignment horizontal="center" vertical="center"/>
    </xf>
    <xf numFmtId="17" fontId="161" fillId="46" borderId="288" xfId="0" applyNumberFormat="1" applyFont="1" applyFill="1" applyBorder="1" applyAlignment="1">
      <alignment horizontal="center" vertical="center"/>
    </xf>
    <xf numFmtId="17" fontId="161" fillId="46" borderId="289" xfId="0" applyNumberFormat="1" applyFont="1" applyFill="1" applyBorder="1" applyAlignment="1">
      <alignment horizontal="center" vertical="center"/>
    </xf>
    <xf numFmtId="17" fontId="161" fillId="46" borderId="290" xfId="0" applyNumberFormat="1" applyFont="1" applyFill="1" applyBorder="1" applyAlignment="1">
      <alignment horizontal="center" vertical="center"/>
    </xf>
    <xf numFmtId="17" fontId="161" fillId="46" borderId="437" xfId="0" applyNumberFormat="1" applyFont="1" applyFill="1" applyBorder="1" applyAlignment="1">
      <alignment horizontal="center" vertical="center"/>
    </xf>
    <xf numFmtId="0" fontId="66" fillId="46" borderId="291" xfId="0" applyFont="1" applyFill="1" applyBorder="1" applyAlignment="1">
      <alignment horizontal="center" vertical="center"/>
    </xf>
    <xf numFmtId="17" fontId="66" fillId="46" borderId="433" xfId="0" applyNumberFormat="1" applyFont="1" applyFill="1" applyBorder="1" applyAlignment="1">
      <alignment horizontal="center" vertical="center" wrapText="1"/>
    </xf>
    <xf numFmtId="17" fontId="66" fillId="46" borderId="434" xfId="0" applyNumberFormat="1" applyFont="1" applyFill="1" applyBorder="1" applyAlignment="1">
      <alignment horizontal="center" vertical="center" wrapText="1"/>
    </xf>
    <xf numFmtId="0" fontId="161" fillId="46" borderId="435" xfId="0" applyFont="1" applyFill="1" applyBorder="1" applyAlignment="1">
      <alignment horizontal="center" vertical="center"/>
    </xf>
    <xf numFmtId="0" fontId="161" fillId="46" borderId="389" xfId="0" applyFont="1" applyFill="1" applyBorder="1" applyAlignment="1">
      <alignment horizontal="center" vertical="center"/>
    </xf>
    <xf numFmtId="0" fontId="161" fillId="46" borderId="436" xfId="0" applyFont="1" applyFill="1" applyBorder="1" applyAlignment="1">
      <alignment horizontal="center" vertical="center"/>
    </xf>
    <xf numFmtId="0" fontId="161" fillId="46" borderId="288" xfId="0" applyFont="1" applyFill="1" applyBorder="1" applyAlignment="1">
      <alignment horizontal="center" vertical="center"/>
    </xf>
    <xf numFmtId="0" fontId="161" fillId="46" borderId="289" xfId="0" applyFont="1" applyFill="1" applyBorder="1" applyAlignment="1">
      <alignment horizontal="center" vertical="center"/>
    </xf>
    <xf numFmtId="0" fontId="161" fillId="46" borderId="290" xfId="0" applyFont="1" applyFill="1" applyBorder="1" applyAlignment="1">
      <alignment horizontal="center" vertical="center"/>
    </xf>
    <xf numFmtId="0" fontId="183" fillId="46" borderId="378" xfId="0" applyFont="1" applyFill="1" applyBorder="1" applyAlignment="1">
      <alignment horizontal="center"/>
    </xf>
    <xf numFmtId="0" fontId="72" fillId="46" borderId="105" xfId="0" applyFont="1" applyFill="1" applyBorder="1" applyAlignment="1">
      <alignment horizontal="center" vertical="center" wrapText="1"/>
    </xf>
    <xf numFmtId="0" fontId="72" fillId="46" borderId="199" xfId="0" applyFont="1" applyFill="1" applyBorder="1" applyAlignment="1">
      <alignment horizontal="center" vertical="center" wrapText="1"/>
    </xf>
    <xf numFmtId="0" fontId="72" fillId="46" borderId="127" xfId="0" applyFont="1" applyFill="1" applyBorder="1" applyAlignment="1">
      <alignment horizontal="center" vertical="center" wrapText="1"/>
    </xf>
    <xf numFmtId="0" fontId="72" fillId="46" borderId="97" xfId="0" applyFont="1" applyFill="1" applyBorder="1" applyAlignment="1">
      <alignment horizontal="center" vertical="center" wrapText="1"/>
    </xf>
    <xf numFmtId="0" fontId="72" fillId="46" borderId="298" xfId="0" applyFont="1" applyFill="1" applyBorder="1" applyAlignment="1">
      <alignment horizontal="center" vertical="center" wrapText="1"/>
    </xf>
    <xf numFmtId="17" fontId="72" fillId="62" borderId="95" xfId="0" applyNumberFormat="1" applyFont="1" applyFill="1" applyBorder="1" applyAlignment="1">
      <alignment horizontal="center" vertical="center" wrapText="1"/>
    </xf>
    <xf numFmtId="17" fontId="72" fillId="62" borderId="11" xfId="0" applyNumberFormat="1" applyFont="1" applyFill="1" applyBorder="1" applyAlignment="1">
      <alignment horizontal="center" vertical="center" wrapText="1"/>
    </xf>
    <xf numFmtId="17" fontId="72" fillId="46" borderId="11" xfId="0" applyNumberFormat="1" applyFont="1" applyFill="1" applyBorder="1" applyAlignment="1">
      <alignment horizontal="center" vertical="center" wrapText="1"/>
    </xf>
    <xf numFmtId="0" fontId="83" fillId="54" borderId="158" xfId="0" applyFont="1" applyFill="1" applyBorder="1" applyAlignment="1">
      <alignment horizontal="center" vertical="center" wrapText="1"/>
    </xf>
    <xf numFmtId="0" fontId="72" fillId="54" borderId="97" xfId="0" applyFont="1" applyFill="1" applyBorder="1" applyAlignment="1">
      <alignment horizontal="center" vertical="center" wrapText="1"/>
    </xf>
    <xf numFmtId="0" fontId="72" fillId="54" borderId="300" xfId="0" applyFont="1" applyFill="1" applyBorder="1" applyAlignment="1">
      <alignment horizontal="center" vertical="center" wrapText="1"/>
    </xf>
    <xf numFmtId="0" fontId="72" fillId="54" borderId="243" xfId="0" applyFont="1" applyFill="1" applyBorder="1" applyAlignment="1">
      <alignment horizontal="center" vertical="center" wrapText="1"/>
    </xf>
    <xf numFmtId="0" fontId="72" fillId="54" borderId="304" xfId="0" applyFont="1" applyFill="1" applyBorder="1" applyAlignment="1">
      <alignment horizontal="center" vertical="center" wrapText="1"/>
    </xf>
    <xf numFmtId="17" fontId="72" fillId="66" borderId="95" xfId="0" applyNumberFormat="1" applyFont="1" applyFill="1" applyBorder="1" applyAlignment="1">
      <alignment horizontal="center" vertical="center" wrapText="1"/>
    </xf>
    <xf numFmtId="17" fontId="72" fillId="66" borderId="11" xfId="0" applyNumberFormat="1" applyFont="1" applyFill="1" applyBorder="1" applyAlignment="1">
      <alignment horizontal="center" vertical="center" wrapText="1"/>
    </xf>
    <xf numFmtId="17" fontId="72" fillId="54" borderId="11" xfId="0" applyNumberFormat="1" applyFont="1" applyFill="1" applyBorder="1" applyAlignment="1">
      <alignment horizontal="center" vertical="center" wrapText="1"/>
    </xf>
    <xf numFmtId="0" fontId="72" fillId="54" borderId="299" xfId="0" quotePrefix="1" applyFont="1" applyFill="1" applyBorder="1" applyAlignment="1">
      <alignment horizontal="center" vertical="center" wrapText="1"/>
    </xf>
    <xf numFmtId="0" fontId="72" fillId="54" borderId="153" xfId="0" quotePrefix="1" applyFont="1" applyFill="1" applyBorder="1" applyAlignment="1">
      <alignment horizontal="center" vertical="center" wrapText="1"/>
    </xf>
    <xf numFmtId="0" fontId="72" fillId="54" borderId="305" xfId="0" quotePrefix="1" applyFont="1" applyFill="1" applyBorder="1" applyAlignment="1">
      <alignment horizontal="center" vertical="center" wrapText="1"/>
    </xf>
    <xf numFmtId="0" fontId="72" fillId="54" borderId="127" xfId="0" applyFont="1" applyFill="1" applyBorder="1" applyAlignment="1">
      <alignment horizontal="center" vertical="center" wrapText="1"/>
    </xf>
    <xf numFmtId="17" fontId="72" fillId="46" borderId="14" xfId="0" applyNumberFormat="1" applyFont="1" applyFill="1" applyBorder="1" applyAlignment="1">
      <alignment horizontal="center" vertical="center" wrapText="1"/>
    </xf>
    <xf numFmtId="17" fontId="72" fillId="54" borderId="95" xfId="0" applyNumberFormat="1" applyFont="1" applyFill="1" applyBorder="1" applyAlignment="1">
      <alignment horizontal="center" vertical="center" wrapText="1"/>
    </xf>
    <xf numFmtId="0" fontId="183" fillId="47" borderId="378" xfId="0" applyFont="1" applyFill="1" applyBorder="1" applyAlignment="1">
      <alignment horizontal="center"/>
    </xf>
    <xf numFmtId="0" fontId="161" fillId="47" borderId="288" xfId="0" applyFont="1" applyFill="1" applyBorder="1" applyAlignment="1">
      <alignment horizontal="center" vertical="center"/>
    </xf>
    <xf numFmtId="0" fontId="161" fillId="47" borderId="289" xfId="0" applyFont="1" applyFill="1" applyBorder="1" applyAlignment="1">
      <alignment horizontal="center" vertical="center"/>
    </xf>
    <xf numFmtId="0" fontId="161" fillId="47" borderId="290" xfId="0" applyFont="1" applyFill="1" applyBorder="1" applyAlignment="1">
      <alignment horizontal="center" vertical="center"/>
    </xf>
    <xf numFmtId="17" fontId="161" fillId="47" borderId="288" xfId="0" applyNumberFormat="1" applyFont="1" applyFill="1" applyBorder="1" applyAlignment="1">
      <alignment horizontal="center" vertical="center"/>
    </xf>
    <xf numFmtId="17" fontId="161" fillId="47" borderId="289" xfId="0" applyNumberFormat="1" applyFont="1" applyFill="1" applyBorder="1" applyAlignment="1">
      <alignment horizontal="center" vertical="center"/>
    </xf>
    <xf numFmtId="17" fontId="161" fillId="47" borderId="290" xfId="0" applyNumberFormat="1" applyFont="1" applyFill="1" applyBorder="1" applyAlignment="1">
      <alignment horizontal="center" vertical="center"/>
    </xf>
    <xf numFmtId="17" fontId="72" fillId="54" borderId="97" xfId="0" applyNumberFormat="1" applyFont="1" applyFill="1" applyBorder="1" applyAlignment="1">
      <alignment horizontal="center" vertical="center" wrapText="1"/>
    </xf>
    <xf numFmtId="17" fontId="72" fillId="46" borderId="301" xfId="0" applyNumberFormat="1" applyFont="1" applyFill="1" applyBorder="1" applyAlignment="1">
      <alignment horizontal="center" vertical="center" wrapText="1"/>
    </xf>
    <xf numFmtId="17" fontId="72" fillId="46" borderId="302" xfId="0" applyNumberFormat="1" applyFont="1" applyFill="1" applyBorder="1" applyAlignment="1">
      <alignment horizontal="center" vertical="center" wrapText="1"/>
    </xf>
    <xf numFmtId="17" fontId="72" fillId="46" borderId="303" xfId="0" applyNumberFormat="1" applyFont="1" applyFill="1" applyBorder="1" applyAlignment="1">
      <alignment horizontal="center" vertical="center" wrapText="1"/>
    </xf>
    <xf numFmtId="0" fontId="72" fillId="46" borderId="300" xfId="0" applyFont="1" applyFill="1" applyBorder="1" applyAlignment="1">
      <alignment horizontal="center" vertical="center" wrapText="1"/>
    </xf>
    <xf numFmtId="0" fontId="72" fillId="46" borderId="243" xfId="0" applyFont="1" applyFill="1" applyBorder="1" applyAlignment="1">
      <alignment horizontal="center" vertical="center" wrapText="1"/>
    </xf>
    <xf numFmtId="0" fontId="72" fillId="46" borderId="304" xfId="0" applyFont="1" applyFill="1" applyBorder="1" applyAlignment="1">
      <alignment horizontal="center" vertical="center" wrapText="1"/>
    </xf>
    <xf numFmtId="0" fontId="89" fillId="25" borderId="0" xfId="0" applyFont="1" applyFill="1" applyAlignment="1">
      <alignment horizontal="center" vertical="center" wrapText="1"/>
    </xf>
    <xf numFmtId="17" fontId="72" fillId="0" borderId="203" xfId="0" quotePrefix="1" applyNumberFormat="1" applyFont="1" applyBorder="1" applyAlignment="1">
      <alignment horizontal="center" vertical="center" wrapText="1"/>
    </xf>
    <xf numFmtId="17" fontId="72" fillId="0" borderId="184" xfId="0" applyNumberFormat="1" applyFont="1" applyBorder="1" applyAlignment="1">
      <alignment horizontal="center" vertical="center" wrapText="1"/>
    </xf>
    <xf numFmtId="17" fontId="72" fillId="0" borderId="204" xfId="0" applyNumberFormat="1" applyFont="1" applyBorder="1" applyAlignment="1">
      <alignment horizontal="center" vertical="center" wrapText="1"/>
    </xf>
    <xf numFmtId="169" fontId="72" fillId="0" borderId="203" xfId="0" quotePrefix="1" applyNumberFormat="1" applyFont="1" applyBorder="1" applyAlignment="1">
      <alignment horizontal="center" vertical="center" wrapText="1"/>
    </xf>
    <xf numFmtId="169" fontId="72" fillId="0" borderId="184" xfId="0" quotePrefix="1" applyNumberFormat="1" applyFont="1" applyBorder="1" applyAlignment="1">
      <alignment horizontal="center" vertical="center" wrapText="1"/>
    </xf>
    <xf numFmtId="169" fontId="72" fillId="0" borderId="204" xfId="0" quotePrefix="1" applyNumberFormat="1" applyFont="1" applyBorder="1" applyAlignment="1">
      <alignment horizontal="center" vertical="center" wrapText="1"/>
    </xf>
    <xf numFmtId="0" fontId="72" fillId="0" borderId="203" xfId="0" applyFont="1" applyBorder="1" applyAlignment="1">
      <alignment horizontal="center" vertical="center" wrapText="1"/>
    </xf>
    <xf numFmtId="0" fontId="72" fillId="0" borderId="184" xfId="0" applyFont="1" applyBorder="1" applyAlignment="1">
      <alignment horizontal="center" vertical="center" wrapText="1"/>
    </xf>
    <xf numFmtId="0" fontId="72" fillId="0" borderId="204" xfId="0" applyFont="1" applyBorder="1" applyAlignment="1">
      <alignment horizontal="center" vertical="center" wrapText="1"/>
    </xf>
    <xf numFmtId="17" fontId="72" fillId="0" borderId="203" xfId="0" applyNumberFormat="1" applyFont="1" applyBorder="1" applyAlignment="1">
      <alignment horizontal="center" vertical="center" wrapText="1"/>
    </xf>
    <xf numFmtId="0" fontId="83" fillId="46" borderId="158" xfId="0" applyFont="1" applyFill="1" applyBorder="1" applyAlignment="1">
      <alignment horizontal="center" vertical="center" wrapText="1"/>
    </xf>
    <xf numFmtId="0" fontId="83" fillId="46" borderId="0" xfId="0" applyFont="1" applyFill="1" applyAlignment="1">
      <alignment horizontal="center" vertical="center" wrapText="1"/>
    </xf>
    <xf numFmtId="17" fontId="72" fillId="46" borderId="97" xfId="0" applyNumberFormat="1" applyFont="1" applyFill="1" applyBorder="1" applyAlignment="1">
      <alignment horizontal="center" vertical="center" wrapText="1"/>
    </xf>
    <xf numFmtId="17" fontId="72" fillId="46" borderId="95" xfId="0" applyNumberFormat="1" applyFont="1" applyFill="1" applyBorder="1" applyAlignment="1">
      <alignment horizontal="center" vertical="center" wrapText="1"/>
    </xf>
    <xf numFmtId="0" fontId="72" fillId="46" borderId="128" xfId="0" applyFont="1" applyFill="1" applyBorder="1" applyAlignment="1">
      <alignment horizontal="center" vertical="center" wrapText="1"/>
    </xf>
    <xf numFmtId="0" fontId="72" fillId="46" borderId="104" xfId="0" applyFont="1" applyFill="1" applyBorder="1" applyAlignment="1">
      <alignment horizontal="center" vertical="center" wrapText="1"/>
    </xf>
    <xf numFmtId="0" fontId="72" fillId="54" borderId="128" xfId="0" applyFont="1" applyFill="1" applyBorder="1" applyAlignment="1">
      <alignment horizontal="center" vertical="center" wrapText="1"/>
    </xf>
    <xf numFmtId="0" fontId="72" fillId="54" borderId="104" xfId="0" applyFont="1" applyFill="1" applyBorder="1" applyAlignment="1">
      <alignment horizontal="center" vertical="center" wrapText="1"/>
    </xf>
    <xf numFmtId="0" fontId="83" fillId="54" borderId="23" xfId="0" applyFont="1" applyFill="1" applyBorder="1" applyAlignment="1">
      <alignment horizontal="center" vertical="center" wrapText="1"/>
    </xf>
    <xf numFmtId="0" fontId="261" fillId="0" borderId="510" xfId="0" applyFont="1" applyBorder="1" applyAlignment="1">
      <alignment horizontal="center" vertical="center" wrapText="1"/>
    </xf>
    <xf numFmtId="0" fontId="261" fillId="0" borderId="511" xfId="0" applyFont="1" applyBorder="1" applyAlignment="1">
      <alignment horizontal="center" vertical="center" wrapText="1"/>
    </xf>
    <xf numFmtId="0" fontId="261" fillId="0" borderId="512" xfId="0" applyFont="1" applyBorder="1" applyAlignment="1">
      <alignment horizontal="center" vertical="center" wrapText="1"/>
    </xf>
    <xf numFmtId="0" fontId="261" fillId="0" borderId="513" xfId="0" applyFont="1" applyBorder="1" applyAlignment="1">
      <alignment horizontal="center" vertical="center"/>
    </xf>
    <xf numFmtId="0" fontId="261" fillId="0" borderId="514" xfId="0" applyFont="1" applyBorder="1" applyAlignment="1">
      <alignment horizontal="center" vertical="center"/>
    </xf>
    <xf numFmtId="0" fontId="261" fillId="0" borderId="515" xfId="0" applyFont="1" applyBorder="1" applyAlignment="1">
      <alignment horizontal="center" vertical="center"/>
    </xf>
    <xf numFmtId="0" fontId="261" fillId="0" borderId="509" xfId="0" applyFont="1" applyBorder="1" applyAlignment="1">
      <alignment horizontal="center"/>
    </xf>
    <xf numFmtId="0" fontId="261" fillId="0" borderId="518" xfId="0" applyFont="1" applyBorder="1" applyAlignment="1">
      <alignment horizontal="center"/>
    </xf>
    <xf numFmtId="0" fontId="261" fillId="0" borderId="519" xfId="0" applyFont="1" applyBorder="1" applyAlignment="1">
      <alignment horizontal="center"/>
    </xf>
    <xf numFmtId="9" fontId="261" fillId="0" borderId="521" xfId="53" applyFont="1" applyBorder="1" applyAlignment="1">
      <alignment horizontal="center" vertical="center" wrapText="1"/>
    </xf>
    <xf numFmtId="9" fontId="261" fillId="0" borderId="522" xfId="53" applyFont="1" applyBorder="1" applyAlignment="1">
      <alignment horizontal="center" vertical="center" wrapText="1"/>
    </xf>
    <xf numFmtId="9" fontId="261" fillId="0" borderId="523" xfId="53" applyFont="1" applyBorder="1" applyAlignment="1">
      <alignment horizontal="center" vertical="center" wrapText="1"/>
    </xf>
    <xf numFmtId="0" fontId="261" fillId="0" borderId="516" xfId="0" applyFont="1" applyBorder="1" applyAlignment="1">
      <alignment horizontal="center"/>
    </xf>
    <xf numFmtId="0" fontId="261" fillId="0" borderId="520" xfId="0" applyFont="1" applyBorder="1" applyAlignment="1">
      <alignment horizontal="center"/>
    </xf>
    <xf numFmtId="0" fontId="261" fillId="0" borderId="517" xfId="0" applyFont="1" applyBorder="1" applyAlignment="1">
      <alignment horizontal="center"/>
    </xf>
    <xf numFmtId="0" fontId="96" fillId="58" borderId="291" xfId="464" applyFont="1" applyFill="1" applyBorder="1" applyAlignment="1">
      <alignment horizontal="center" vertical="center"/>
    </xf>
    <xf numFmtId="0" fontId="96" fillId="58" borderId="293" xfId="464" applyFont="1" applyFill="1" applyBorder="1" applyAlignment="1">
      <alignment horizontal="center" vertical="center"/>
    </xf>
    <xf numFmtId="0" fontId="96" fillId="58" borderId="292" xfId="464" applyFont="1" applyFill="1" applyBorder="1" applyAlignment="1">
      <alignment horizontal="center" vertical="center"/>
    </xf>
    <xf numFmtId="0" fontId="161" fillId="58" borderId="288" xfId="464" applyFont="1" applyFill="1" applyBorder="1" applyAlignment="1">
      <alignment horizontal="center" vertical="center"/>
    </xf>
    <xf numFmtId="0" fontId="161" fillId="58" borderId="289" xfId="464" applyFont="1" applyFill="1" applyBorder="1" applyAlignment="1">
      <alignment horizontal="center" vertical="center"/>
    </xf>
    <xf numFmtId="0" fontId="161" fillId="56" borderId="288" xfId="464" applyFont="1" applyFill="1" applyBorder="1" applyAlignment="1">
      <alignment horizontal="center" vertical="center"/>
    </xf>
    <xf numFmtId="0" fontId="161" fillId="56" borderId="289" xfId="464" applyFont="1" applyFill="1" applyBorder="1" applyAlignment="1">
      <alignment horizontal="center" vertical="center"/>
    </xf>
    <xf numFmtId="0" fontId="161" fillId="56" borderId="290" xfId="464" applyFont="1" applyFill="1" applyBorder="1" applyAlignment="1">
      <alignment horizontal="center" vertical="center"/>
    </xf>
    <xf numFmtId="0" fontId="12" fillId="58" borderId="291" xfId="464" applyFill="1" applyBorder="1" applyAlignment="1">
      <alignment horizontal="center" vertical="center" wrapText="1"/>
    </xf>
    <xf numFmtId="0" fontId="12" fillId="58" borderId="293" xfId="464" applyFill="1" applyBorder="1" applyAlignment="1">
      <alignment horizontal="center" vertical="center" wrapText="1"/>
    </xf>
    <xf numFmtId="0" fontId="12" fillId="58" borderId="292" xfId="464" applyFill="1" applyBorder="1" applyAlignment="1">
      <alignment horizontal="center" vertical="center" wrapText="1"/>
    </xf>
    <xf numFmtId="0" fontId="161" fillId="58" borderId="290" xfId="464" applyFont="1" applyFill="1" applyBorder="1" applyAlignment="1">
      <alignment horizontal="center" vertical="center"/>
    </xf>
    <xf numFmtId="0" fontId="4" fillId="58" borderId="291" xfId="464" applyFont="1" applyFill="1" applyBorder="1" applyAlignment="1">
      <alignment horizontal="center" vertical="center" wrapText="1"/>
    </xf>
    <xf numFmtId="0" fontId="12" fillId="45" borderId="385" xfId="464" applyFill="1" applyBorder="1" applyAlignment="1">
      <alignment horizontal="center"/>
    </xf>
    <xf numFmtId="0" fontId="198" fillId="58" borderId="288" xfId="464" applyFont="1" applyFill="1" applyBorder="1" applyAlignment="1">
      <alignment horizontal="center" vertical="center"/>
    </xf>
    <xf numFmtId="0" fontId="198" fillId="58" borderId="289" xfId="464" applyFont="1" applyFill="1" applyBorder="1" applyAlignment="1">
      <alignment horizontal="center" vertical="center"/>
    </xf>
    <xf numFmtId="0" fontId="198" fillId="58" borderId="290" xfId="464" applyFont="1" applyFill="1" applyBorder="1" applyAlignment="1">
      <alignment horizontal="center" vertical="center"/>
    </xf>
    <xf numFmtId="0" fontId="199" fillId="56" borderId="288" xfId="464" applyFont="1" applyFill="1" applyBorder="1" applyAlignment="1">
      <alignment horizontal="center" vertical="center"/>
    </xf>
    <xf numFmtId="0" fontId="199" fillId="56" borderId="289" xfId="464" applyFont="1" applyFill="1" applyBorder="1" applyAlignment="1">
      <alignment horizontal="center" vertical="center"/>
    </xf>
    <xf numFmtId="0" fontId="199" fillId="56" borderId="290" xfId="464" applyFont="1" applyFill="1" applyBorder="1" applyAlignment="1">
      <alignment horizontal="center" vertical="center"/>
    </xf>
    <xf numFmtId="0" fontId="161" fillId="58" borderId="228" xfId="464" applyFont="1" applyFill="1" applyBorder="1" applyAlignment="1">
      <alignment horizontal="center" vertical="center"/>
    </xf>
    <xf numFmtId="0" fontId="195" fillId="64" borderId="0" xfId="464" applyFont="1" applyFill="1" applyAlignment="1">
      <alignment horizontal="left" vertical="center"/>
    </xf>
    <xf numFmtId="0" fontId="196" fillId="64" borderId="0" xfId="464" applyFont="1" applyFill="1" applyAlignment="1">
      <alignment horizontal="center" vertical="center"/>
    </xf>
    <xf numFmtId="0" fontId="0" fillId="58" borderId="386" xfId="0" applyFill="1" applyBorder="1" applyAlignment="1">
      <alignment horizontal="center" vertical="center"/>
    </xf>
    <xf numFmtId="0" fontId="0" fillId="58" borderId="387" xfId="0" applyFill="1" applyBorder="1" applyAlignment="1">
      <alignment horizontal="center" vertical="center"/>
    </xf>
    <xf numFmtId="0" fontId="0" fillId="58" borderId="388" xfId="0" applyFill="1" applyBorder="1" applyAlignment="1">
      <alignment horizontal="center" vertical="center"/>
    </xf>
    <xf numFmtId="0" fontId="183" fillId="45" borderId="378" xfId="464" applyFont="1" applyFill="1" applyBorder="1" applyAlignment="1">
      <alignment horizontal="center" vertical="center"/>
    </xf>
    <xf numFmtId="0" fontId="96" fillId="58" borderId="228" xfId="464" applyFont="1" applyFill="1" applyBorder="1" applyAlignment="1">
      <alignment horizontal="center" vertical="center"/>
    </xf>
    <xf numFmtId="0" fontId="161" fillId="58" borderId="228" xfId="464" applyFont="1" applyFill="1" applyBorder="1" applyAlignment="1">
      <alignment horizontal="center" vertical="center" wrapText="1"/>
    </xf>
    <xf numFmtId="0" fontId="8" fillId="58" borderId="291" xfId="464" applyFont="1" applyFill="1" applyBorder="1" applyAlignment="1">
      <alignment horizontal="center" vertical="center" wrapText="1"/>
    </xf>
    <xf numFmtId="0" fontId="12" fillId="58" borderId="386" xfId="464" applyFill="1" applyBorder="1" applyAlignment="1">
      <alignment horizontal="center" vertical="center"/>
    </xf>
    <xf numFmtId="0" fontId="12" fillId="58" borderId="387" xfId="464" applyFill="1" applyBorder="1" applyAlignment="1">
      <alignment horizontal="center" vertical="center"/>
    </xf>
    <xf numFmtId="0" fontId="12" fillId="58" borderId="388" xfId="464" applyFill="1" applyBorder="1" applyAlignment="1">
      <alignment horizontal="center" vertical="center"/>
    </xf>
    <xf numFmtId="0" fontId="183" fillId="45" borderId="0" xfId="464" applyFont="1" applyFill="1" applyAlignment="1">
      <alignment horizontal="center" vertical="center"/>
    </xf>
    <xf numFmtId="0" fontId="72" fillId="0" borderId="62" xfId="49" applyFont="1" applyBorder="1" applyAlignment="1">
      <alignment horizontal="center" vertical="center" wrapText="1"/>
    </xf>
    <xf numFmtId="0" fontId="72" fillId="0" borderId="94" xfId="49" applyFont="1" applyBorder="1" applyAlignment="1">
      <alignment horizontal="center" vertical="center" wrapText="1"/>
    </xf>
    <xf numFmtId="0" fontId="66" fillId="0" borderId="0" xfId="49" applyFont="1" applyAlignment="1">
      <alignment horizontal="center"/>
    </xf>
    <xf numFmtId="0" fontId="89" fillId="25" borderId="0" xfId="49" applyFont="1" applyFill="1" applyAlignment="1">
      <alignment horizontal="center" vertical="center" wrapText="1"/>
    </xf>
    <xf numFmtId="0" fontId="72" fillId="0" borderId="115" xfId="49" applyFont="1" applyBorder="1" applyAlignment="1">
      <alignment horizontal="center" vertical="center" wrapText="1"/>
    </xf>
    <xf numFmtId="0" fontId="72" fillId="0" borderId="203" xfId="49" applyFont="1" applyBorder="1" applyAlignment="1">
      <alignment horizontal="center" vertical="center" wrapText="1"/>
    </xf>
    <xf numFmtId="0" fontId="72" fillId="0" borderId="184" xfId="49" applyFont="1" applyBorder="1" applyAlignment="1">
      <alignment horizontal="center" vertical="center" wrapText="1"/>
    </xf>
    <xf numFmtId="0" fontId="72" fillId="0" borderId="204" xfId="49" applyFont="1" applyBorder="1" applyAlignment="1">
      <alignment horizontal="center" vertical="center" wrapText="1"/>
    </xf>
    <xf numFmtId="0" fontId="72" fillId="0" borderId="144" xfId="49" applyFont="1" applyBorder="1" applyAlignment="1">
      <alignment horizontal="center" vertical="center" wrapText="1"/>
    </xf>
    <xf numFmtId="0" fontId="72" fillId="0" borderId="56" xfId="49" applyFont="1" applyBorder="1" applyAlignment="1">
      <alignment horizontal="center" vertical="center" wrapText="1"/>
    </xf>
    <xf numFmtId="0" fontId="72" fillId="0" borderId="205" xfId="49" applyFont="1" applyBorder="1" applyAlignment="1">
      <alignment horizontal="center" vertical="center" wrapText="1"/>
    </xf>
    <xf numFmtId="0" fontId="83" fillId="0" borderId="124" xfId="0" applyFont="1" applyBorder="1" applyAlignment="1">
      <alignment horizontal="center"/>
    </xf>
    <xf numFmtId="0" fontId="83" fillId="0" borderId="126" xfId="0" applyFont="1" applyBorder="1" applyAlignment="1">
      <alignment horizontal="center"/>
    </xf>
    <xf numFmtId="0" fontId="83" fillId="0" borderId="105" xfId="0" applyFont="1" applyBorder="1" applyAlignment="1">
      <alignment horizontal="center" vertical="center" wrapText="1"/>
    </xf>
    <xf numFmtId="0" fontId="83" fillId="0" borderId="137" xfId="0" applyFont="1" applyBorder="1" applyAlignment="1">
      <alignment horizontal="center" vertical="center" wrapText="1"/>
    </xf>
    <xf numFmtId="0" fontId="83" fillId="0" borderId="62" xfId="0" applyFont="1" applyBorder="1" applyAlignment="1">
      <alignment horizontal="center" vertical="center" wrapText="1"/>
    </xf>
    <xf numFmtId="0" fontId="83" fillId="0" borderId="115" xfId="0" applyFont="1" applyBorder="1" applyAlignment="1">
      <alignment horizontal="center" vertical="center" wrapText="1"/>
    </xf>
    <xf numFmtId="0" fontId="83" fillId="0" borderId="14" xfId="0" quotePrefix="1" applyFont="1" applyBorder="1" applyAlignment="1">
      <alignment horizontal="center" wrapText="1"/>
    </xf>
    <xf numFmtId="0" fontId="83" fillId="0" borderId="111" xfId="0" quotePrefix="1" applyFont="1" applyBorder="1" applyAlignment="1">
      <alignment horizontal="center" wrapText="1"/>
    </xf>
    <xf numFmtId="0" fontId="83" fillId="0" borderId="14" xfId="0" applyFont="1" applyBorder="1" applyAlignment="1">
      <alignment horizontal="center" wrapText="1"/>
    </xf>
    <xf numFmtId="0" fontId="83" fillId="0" borderId="111" xfId="0" applyFont="1" applyBorder="1" applyAlignment="1">
      <alignment horizontal="center" wrapText="1"/>
    </xf>
    <xf numFmtId="0" fontId="83" fillId="0" borderId="14" xfId="0" applyFont="1" applyBorder="1" applyAlignment="1">
      <alignment horizontal="center" vertical="center" wrapText="1"/>
    </xf>
    <xf numFmtId="0" fontId="83" fillId="0" borderId="111" xfId="0" applyFont="1" applyBorder="1" applyAlignment="1">
      <alignment horizontal="center" vertical="center" wrapText="1"/>
    </xf>
    <xf numFmtId="0" fontId="83" fillId="0" borderId="105" xfId="0" quotePrefix="1" applyFont="1" applyBorder="1" applyAlignment="1">
      <alignment horizontal="center" vertical="center" wrapText="1"/>
    </xf>
    <xf numFmtId="0" fontId="83" fillId="0" borderId="137" xfId="0" quotePrefix="1" applyFont="1" applyBorder="1" applyAlignment="1">
      <alignment horizontal="center" vertical="center" wrapText="1"/>
    </xf>
    <xf numFmtId="0" fontId="165" fillId="69" borderId="277" xfId="0" applyFont="1" applyFill="1" applyBorder="1" applyAlignment="1">
      <alignment horizontal="center" vertical="center" wrapText="1" readingOrder="1"/>
    </xf>
    <xf numFmtId="0" fontId="165" fillId="69" borderId="279" xfId="0" applyFont="1" applyFill="1" applyBorder="1" applyAlignment="1">
      <alignment horizontal="center" vertical="center" wrapText="1" readingOrder="1"/>
    </xf>
    <xf numFmtId="0" fontId="165" fillId="0" borderId="296" xfId="0" applyFont="1" applyBorder="1" applyAlignment="1">
      <alignment horizontal="center" wrapText="1" readingOrder="1"/>
    </xf>
    <xf numFmtId="0" fontId="165" fillId="0" borderId="297" xfId="0" applyFont="1" applyBorder="1" applyAlignment="1">
      <alignment horizontal="center" wrapText="1" readingOrder="1"/>
    </xf>
    <xf numFmtId="0" fontId="175" fillId="0" borderId="277" xfId="0" applyFont="1" applyBorder="1" applyAlignment="1">
      <alignment horizontal="center" vertical="center" wrapText="1" readingOrder="1"/>
    </xf>
    <xf numFmtId="0" fontId="175" fillId="0" borderId="279" xfId="0" applyFont="1" applyBorder="1" applyAlignment="1">
      <alignment horizontal="center" vertical="center" wrapText="1" readingOrder="1"/>
    </xf>
    <xf numFmtId="0" fontId="175" fillId="0" borderId="278" xfId="0" applyFont="1" applyBorder="1" applyAlignment="1">
      <alignment horizontal="center" vertical="center" wrapText="1" readingOrder="1"/>
    </xf>
    <xf numFmtId="0" fontId="165" fillId="0" borderId="325" xfId="0" applyFont="1" applyBorder="1" applyAlignment="1">
      <alignment horizontal="center" vertical="center" wrapText="1" readingOrder="1"/>
    </xf>
    <xf numFmtId="0" fontId="165" fillId="0" borderId="326" xfId="0" applyFont="1" applyBorder="1" applyAlignment="1">
      <alignment horizontal="center" vertical="center" wrapText="1" readingOrder="1"/>
    </xf>
    <xf numFmtId="0" fontId="165" fillId="0" borderId="280" xfId="0" applyFont="1" applyBorder="1" applyAlignment="1">
      <alignment horizontal="center" vertical="center" wrapText="1" readingOrder="1"/>
    </xf>
    <xf numFmtId="0" fontId="165" fillId="0" borderId="281" xfId="0" applyFont="1" applyBorder="1" applyAlignment="1">
      <alignment horizontal="center" vertical="center" wrapText="1" readingOrder="1"/>
    </xf>
    <xf numFmtId="0" fontId="165" fillId="0" borderId="328" xfId="0" applyFont="1" applyBorder="1" applyAlignment="1">
      <alignment horizontal="center" vertical="center" wrapText="1" readingOrder="1"/>
    </xf>
    <xf numFmtId="0" fontId="165" fillId="0" borderId="329" xfId="0" applyFont="1" applyBorder="1" applyAlignment="1">
      <alignment horizontal="center" vertical="center" wrapText="1" readingOrder="1"/>
    </xf>
    <xf numFmtId="0" fontId="175" fillId="67" borderId="280" xfId="0" applyFont="1" applyFill="1" applyBorder="1" applyAlignment="1">
      <alignment horizontal="center" vertical="center" wrapText="1" readingOrder="1"/>
    </xf>
    <xf numFmtId="0" fontId="175" fillId="67" borderId="0" xfId="0" applyFont="1" applyFill="1" applyAlignment="1">
      <alignment horizontal="center" vertical="center" wrapText="1" readingOrder="1"/>
    </xf>
    <xf numFmtId="0" fontId="175" fillId="0" borderId="11" xfId="0" applyFont="1" applyBorder="1" applyAlignment="1">
      <alignment horizontal="center" vertical="center" wrapText="1" readingOrder="1"/>
    </xf>
    <xf numFmtId="0" fontId="165" fillId="0" borderId="327" xfId="0" applyFont="1" applyBorder="1" applyAlignment="1">
      <alignment horizontal="center" vertical="center" wrapText="1" readingOrder="1"/>
    </xf>
    <xf numFmtId="0" fontId="165" fillId="0" borderId="324" xfId="0" applyFont="1" applyBorder="1" applyAlignment="1">
      <alignment horizontal="center" vertical="center" wrapText="1" readingOrder="1"/>
    </xf>
    <xf numFmtId="0" fontId="165" fillId="0" borderId="11" xfId="0" applyFont="1" applyBorder="1" applyAlignment="1">
      <alignment horizontal="center" vertical="center" wrapText="1" readingOrder="1"/>
    </xf>
    <xf numFmtId="0" fontId="165" fillId="67" borderId="280" xfId="0" applyFont="1" applyFill="1" applyBorder="1" applyAlignment="1">
      <alignment horizontal="center" vertical="center" wrapText="1" readingOrder="1"/>
    </xf>
    <xf numFmtId="0" fontId="165" fillId="67" borderId="0" xfId="0" applyFont="1" applyFill="1" applyAlignment="1">
      <alignment horizontal="center" vertical="center" wrapText="1" readingOrder="1"/>
    </xf>
    <xf numFmtId="0" fontId="165" fillId="0" borderId="351" xfId="0" applyFont="1" applyBorder="1" applyAlignment="1">
      <alignment horizontal="center" vertical="center" wrapText="1" readingOrder="1"/>
    </xf>
    <xf numFmtId="0" fontId="165" fillId="0" borderId="352" xfId="0" applyFont="1" applyBorder="1" applyAlignment="1">
      <alignment horizontal="center" vertical="center" wrapText="1" readingOrder="1"/>
    </xf>
    <xf numFmtId="0" fontId="165" fillId="0" borderId="353" xfId="0" applyFont="1" applyBorder="1" applyAlignment="1">
      <alignment horizontal="center" vertical="center" wrapText="1" readingOrder="1"/>
    </xf>
    <xf numFmtId="0" fontId="165" fillId="0" borderId="155" xfId="0" applyFont="1" applyBorder="1" applyAlignment="1">
      <alignment horizontal="center" vertical="center" wrapText="1" readingOrder="1"/>
    </xf>
    <xf numFmtId="0" fontId="165" fillId="0" borderId="350" xfId="0" applyFont="1" applyBorder="1" applyAlignment="1">
      <alignment horizontal="center" vertical="center" wrapText="1" readingOrder="1"/>
    </xf>
    <xf numFmtId="0" fontId="165" fillId="0" borderId="354" xfId="0" applyFont="1" applyBorder="1" applyAlignment="1">
      <alignment horizontal="center" vertical="center" wrapText="1" readingOrder="1"/>
    </xf>
    <xf numFmtId="0" fontId="92" fillId="0" borderId="0" xfId="0" applyFont="1" applyAlignment="1">
      <alignment horizontal="left" vertical="center" wrapText="1"/>
    </xf>
    <xf numFmtId="0" fontId="81" fillId="25" borderId="0" xfId="0" applyFont="1" applyFill="1" applyAlignment="1">
      <alignment horizontal="center" vertical="center" wrapText="1"/>
    </xf>
    <xf numFmtId="17" fontId="72" fillId="0" borderId="206" xfId="0" applyNumberFormat="1" applyFont="1" applyBorder="1" applyAlignment="1">
      <alignment horizontal="center" vertical="center" wrapText="1"/>
    </xf>
    <xf numFmtId="17" fontId="72" fillId="0" borderId="207" xfId="0" applyNumberFormat="1" applyFont="1" applyBorder="1" applyAlignment="1">
      <alignment horizontal="center" vertical="center" wrapText="1"/>
    </xf>
    <xf numFmtId="17" fontId="72" fillId="0" borderId="208" xfId="0" applyNumberFormat="1" applyFont="1" applyBorder="1" applyAlignment="1">
      <alignment horizontal="center" vertical="center" wrapText="1"/>
    </xf>
    <xf numFmtId="0" fontId="72" fillId="24" borderId="97" xfId="0" quotePrefix="1" applyFont="1" applyFill="1" applyBorder="1" applyAlignment="1">
      <alignment horizontal="center" vertical="center" wrapText="1"/>
    </xf>
    <xf numFmtId="0" fontId="72" fillId="24" borderId="11" xfId="0" quotePrefix="1" applyFont="1" applyFill="1" applyBorder="1" applyAlignment="1">
      <alignment horizontal="center" vertical="center" wrapText="1"/>
    </xf>
    <xf numFmtId="0" fontId="72" fillId="24" borderId="128" xfId="0" quotePrefix="1" applyFont="1" applyFill="1" applyBorder="1" applyAlignment="1">
      <alignment horizontal="center" vertical="center" wrapText="1"/>
    </xf>
    <xf numFmtId="0" fontId="72" fillId="24" borderId="104" xfId="0" quotePrefix="1" applyFont="1" applyFill="1" applyBorder="1" applyAlignment="1">
      <alignment horizontal="center" vertical="center" wrapText="1"/>
    </xf>
    <xf numFmtId="0" fontId="72" fillId="24" borderId="127" xfId="0" quotePrefix="1" applyFont="1" applyFill="1" applyBorder="1" applyAlignment="1">
      <alignment horizontal="center" vertical="center" wrapText="1"/>
    </xf>
    <xf numFmtId="0" fontId="72" fillId="24" borderId="95" xfId="0" quotePrefix="1" applyFont="1" applyFill="1" applyBorder="1" applyAlignment="1">
      <alignment horizontal="center" vertical="center" wrapText="1"/>
    </xf>
    <xf numFmtId="0" fontId="94" fillId="0" borderId="56" xfId="0" applyFont="1" applyBorder="1" applyAlignment="1">
      <alignment horizontal="left" vertical="center" wrapText="1"/>
    </xf>
    <xf numFmtId="0" fontId="81" fillId="24" borderId="0" xfId="0" applyFont="1" applyFill="1" applyAlignment="1">
      <alignment horizontal="center" vertical="center" wrapText="1"/>
    </xf>
    <xf numFmtId="0" fontId="72" fillId="24" borderId="185" xfId="0" applyFont="1" applyFill="1" applyBorder="1" applyAlignment="1">
      <alignment horizontal="center" vertical="center" wrapText="1"/>
    </xf>
    <xf numFmtId="0" fontId="72" fillId="24" borderId="184" xfId="0" applyFont="1" applyFill="1" applyBorder="1" applyAlignment="1">
      <alignment horizontal="center" vertical="center" wrapText="1"/>
    </xf>
    <xf numFmtId="0" fontId="72" fillId="24" borderId="390" xfId="0" applyFont="1" applyFill="1" applyBorder="1" applyAlignment="1">
      <alignment horizontal="center" vertical="center" wrapText="1"/>
    </xf>
    <xf numFmtId="0" fontId="72" fillId="24" borderId="203" xfId="0" applyFont="1" applyFill="1" applyBorder="1" applyAlignment="1">
      <alignment horizontal="center" vertical="center" wrapText="1"/>
    </xf>
    <xf numFmtId="0" fontId="88" fillId="0" borderId="0" xfId="0" applyFont="1" applyAlignment="1">
      <alignment horizontal="center" vertical="center" wrapText="1"/>
    </xf>
    <xf numFmtId="0" fontId="95" fillId="0" borderId="0" xfId="37" applyFont="1" applyAlignment="1" applyProtection="1">
      <alignment horizontal="center" vertical="center" wrapText="1"/>
    </xf>
    <xf numFmtId="0" fontId="79" fillId="0" borderId="0" xfId="0" applyFont="1" applyAlignment="1">
      <alignment horizontal="center" vertical="center" wrapText="1"/>
    </xf>
    <xf numFmtId="0" fontId="81" fillId="0" borderId="0" xfId="0" applyFont="1" applyAlignment="1">
      <alignment horizontal="center" vertical="center" wrapText="1"/>
    </xf>
    <xf numFmtId="0" fontId="79" fillId="24" borderId="0" xfId="0" applyFont="1" applyFill="1" applyAlignment="1">
      <alignment horizontal="center" vertical="center" wrapText="1"/>
    </xf>
    <xf numFmtId="0" fontId="72" fillId="0" borderId="209" xfId="0" applyFont="1" applyBorder="1" applyAlignment="1">
      <alignment horizontal="center" vertical="center" wrapText="1"/>
    </xf>
    <xf numFmtId="0" fontId="72" fillId="0" borderId="210" xfId="0" applyFont="1" applyBorder="1" applyAlignment="1">
      <alignment horizontal="center" vertical="center" wrapText="1"/>
    </xf>
    <xf numFmtId="0" fontId="72" fillId="0" borderId="186" xfId="0" applyFont="1" applyBorder="1" applyAlignment="1">
      <alignment horizontal="center" vertical="center" wrapText="1"/>
    </xf>
    <xf numFmtId="0" fontId="95" fillId="0" borderId="0" xfId="37" applyFont="1" applyAlignment="1" applyProtection="1">
      <alignment horizontal="center" vertical="center"/>
    </xf>
    <xf numFmtId="0" fontId="72" fillId="0" borderId="21" xfId="0" applyFont="1" applyBorder="1" applyAlignment="1">
      <alignment horizontal="center" vertical="center" wrapText="1"/>
    </xf>
    <xf numFmtId="0" fontId="72" fillId="0" borderId="495" xfId="0" quotePrefix="1" applyFont="1" applyBorder="1" applyAlignment="1">
      <alignment horizontal="center" vertical="center" wrapText="1"/>
    </xf>
    <xf numFmtId="0" fontId="72" fillId="0" borderId="496" xfId="0" quotePrefix="1" applyFont="1" applyBorder="1" applyAlignment="1">
      <alignment horizontal="center" vertical="center" wrapText="1"/>
    </xf>
    <xf numFmtId="0" fontId="83" fillId="0" borderId="0" xfId="0" applyFont="1" applyAlignment="1">
      <alignment horizontal="center" vertical="center" wrapText="1"/>
    </xf>
    <xf numFmtId="0" fontId="72" fillId="0" borderId="72" xfId="0" applyFont="1" applyBorder="1" applyAlignment="1">
      <alignment horizontal="center" vertical="center" wrapText="1"/>
    </xf>
    <xf numFmtId="17" fontId="72" fillId="0" borderId="211" xfId="0" applyNumberFormat="1" applyFont="1" applyBorder="1" applyAlignment="1">
      <alignment horizontal="center" vertical="center" wrapText="1"/>
    </xf>
    <xf numFmtId="17" fontId="72" fillId="0" borderId="212" xfId="0" applyNumberFormat="1" applyFont="1" applyBorder="1" applyAlignment="1">
      <alignment horizontal="center" vertical="center" wrapText="1"/>
    </xf>
    <xf numFmtId="17" fontId="72" fillId="0" borderId="213" xfId="0" applyNumberFormat="1" applyFont="1" applyBorder="1" applyAlignment="1">
      <alignment horizontal="center" vertical="center" wrapText="1"/>
    </xf>
    <xf numFmtId="17" fontId="72" fillId="0" borderId="211" xfId="0" quotePrefix="1" applyNumberFormat="1" applyFont="1" applyBorder="1" applyAlignment="1">
      <alignment horizontal="center" vertical="center" wrapText="1"/>
    </xf>
    <xf numFmtId="0" fontId="130" fillId="0" borderId="166" xfId="0" applyFont="1" applyBorder="1" applyAlignment="1">
      <alignment horizontal="center"/>
    </xf>
    <xf numFmtId="0" fontId="130" fillId="0" borderId="167" xfId="0" applyFont="1" applyBorder="1" applyAlignment="1">
      <alignment horizontal="center"/>
    </xf>
    <xf numFmtId="0" fontId="130" fillId="0" borderId="168" xfId="0" applyFont="1" applyBorder="1" applyAlignment="1">
      <alignment horizontal="center"/>
    </xf>
    <xf numFmtId="0" fontId="97" fillId="0" borderId="47" xfId="0" applyFont="1" applyBorder="1" applyAlignment="1">
      <alignment horizontal="center" vertical="center"/>
    </xf>
    <xf numFmtId="0" fontId="97" fillId="0" borderId="217" xfId="0" applyFont="1" applyBorder="1" applyAlignment="1">
      <alignment horizontal="center" vertical="center"/>
    </xf>
    <xf numFmtId="0" fontId="97" fillId="0" borderId="155" xfId="0" applyFont="1" applyBorder="1" applyAlignment="1">
      <alignment horizontal="center" vertical="center"/>
    </xf>
    <xf numFmtId="0" fontId="135" fillId="0" borderId="0" xfId="37" applyFont="1" applyFill="1" applyAlignment="1" applyProtection="1">
      <alignment horizontal="center" vertical="center" wrapText="1"/>
    </xf>
    <xf numFmtId="0" fontId="97" fillId="0" borderId="0" xfId="0" applyFont="1" applyAlignment="1">
      <alignment horizontal="center"/>
    </xf>
    <xf numFmtId="0" fontId="97" fillId="0" borderId="0" xfId="0" quotePrefix="1" applyFont="1" applyAlignment="1">
      <alignment horizontal="center"/>
    </xf>
    <xf numFmtId="0" fontId="66" fillId="0" borderId="0" xfId="47" applyFont="1" applyAlignment="1">
      <alignment horizontal="center"/>
    </xf>
    <xf numFmtId="170" fontId="68" fillId="49" borderId="248" xfId="47" applyNumberFormat="1" applyFont="1" applyFill="1" applyBorder="1" applyAlignment="1">
      <alignment horizontal="center" vertical="center" wrapText="1"/>
    </xf>
    <xf numFmtId="170" fontId="68" fillId="49" borderId="249" xfId="47" applyNumberFormat="1" applyFont="1" applyFill="1" applyBorder="1" applyAlignment="1">
      <alignment horizontal="center" vertical="center" wrapText="1"/>
    </xf>
    <xf numFmtId="170" fontId="68" fillId="49" borderId="250" xfId="47" applyNumberFormat="1" applyFont="1" applyFill="1" applyBorder="1" applyAlignment="1">
      <alignment horizontal="center" vertical="center" wrapText="1"/>
    </xf>
    <xf numFmtId="2" fontId="68" fillId="49" borderId="248" xfId="47" applyNumberFormat="1" applyFont="1" applyFill="1" applyBorder="1" applyAlignment="1">
      <alignment horizontal="center" vertical="center" wrapText="1"/>
    </xf>
    <xf numFmtId="2" fontId="68" fillId="49" borderId="251" xfId="47" applyNumberFormat="1" applyFont="1" applyFill="1" applyBorder="1" applyAlignment="1">
      <alignment horizontal="center" vertical="center" wrapText="1"/>
    </xf>
    <xf numFmtId="0" fontId="68" fillId="49" borderId="248" xfId="47" applyFont="1" applyFill="1" applyBorder="1" applyAlignment="1">
      <alignment horizontal="center" vertical="center" wrapText="1"/>
    </xf>
    <xf numFmtId="0" fontId="68" fillId="49" borderId="250" xfId="47" applyFont="1" applyFill="1" applyBorder="1" applyAlignment="1">
      <alignment horizontal="center" vertical="center" wrapText="1"/>
    </xf>
    <xf numFmtId="0" fontId="68" fillId="49" borderId="251" xfId="47" applyFont="1" applyFill="1" applyBorder="1" applyAlignment="1">
      <alignment horizontal="center" vertical="center" wrapText="1"/>
    </xf>
    <xf numFmtId="0" fontId="68" fillId="49" borderId="249" xfId="47" applyFont="1" applyFill="1" applyBorder="1" applyAlignment="1">
      <alignment horizontal="center" vertical="center" wrapText="1"/>
    </xf>
    <xf numFmtId="0" fontId="97" fillId="0" borderId="261" xfId="47" applyFont="1" applyBorder="1" applyAlignment="1">
      <alignment horizontal="center" vertical="center"/>
    </xf>
    <xf numFmtId="0" fontId="97" fillId="0" borderId="262" xfId="47" applyFont="1" applyBorder="1" applyAlignment="1">
      <alignment horizontal="center" vertical="center"/>
    </xf>
    <xf numFmtId="0" fontId="97" fillId="0" borderId="263" xfId="47" applyFont="1" applyBorder="1" applyAlignment="1">
      <alignment horizontal="center" vertical="center"/>
    </xf>
    <xf numFmtId="0" fontId="72" fillId="25" borderId="137" xfId="0" applyFont="1" applyFill="1" applyBorder="1" applyAlignment="1">
      <alignment horizontal="center" vertical="center"/>
    </xf>
    <xf numFmtId="0" fontId="72" fillId="32" borderId="220" xfId="0" applyFont="1" applyFill="1" applyBorder="1" applyAlignment="1">
      <alignment horizontal="center" vertical="center"/>
    </xf>
    <xf numFmtId="0" fontId="72" fillId="29" borderId="220" xfId="0" applyFont="1" applyFill="1" applyBorder="1" applyAlignment="1">
      <alignment horizontal="center" vertical="center"/>
    </xf>
    <xf numFmtId="0" fontId="72" fillId="30" borderId="220" xfId="0" applyFont="1" applyFill="1" applyBorder="1" applyAlignment="1">
      <alignment horizontal="center" vertical="center"/>
    </xf>
    <xf numFmtId="3" fontId="72" fillId="32" borderId="220" xfId="0" applyNumberFormat="1" applyFont="1" applyFill="1" applyBorder="1" applyAlignment="1">
      <alignment horizontal="center" vertical="center"/>
    </xf>
    <xf numFmtId="0" fontId="72" fillId="42" borderId="220" xfId="0" applyFont="1" applyFill="1" applyBorder="1" applyAlignment="1">
      <alignment horizontal="center" vertical="center"/>
    </xf>
    <xf numFmtId="0" fontId="72" fillId="35" borderId="220" xfId="0" applyFont="1" applyFill="1" applyBorder="1" applyAlignment="1">
      <alignment horizontal="center" vertical="center"/>
    </xf>
    <xf numFmtId="0" fontId="72" fillId="25" borderId="220" xfId="0" applyFont="1" applyFill="1" applyBorder="1" applyAlignment="1">
      <alignment horizontal="center" vertical="center"/>
    </xf>
    <xf numFmtId="0" fontId="72" fillId="32" borderId="222" xfId="0" applyFont="1" applyFill="1" applyBorder="1" applyAlignment="1">
      <alignment horizontal="center" vertical="center"/>
    </xf>
    <xf numFmtId="0" fontId="72" fillId="25" borderId="101" xfId="0" applyFont="1" applyFill="1" applyBorder="1" applyAlignment="1">
      <alignment horizontal="center" vertical="center"/>
    </xf>
    <xf numFmtId="0" fontId="72" fillId="25" borderId="102" xfId="0" applyFont="1" applyFill="1" applyBorder="1" applyAlignment="1">
      <alignment horizontal="center" vertical="center"/>
    </xf>
    <xf numFmtId="0" fontId="72" fillId="25" borderId="103" xfId="0" applyFont="1" applyFill="1" applyBorder="1" applyAlignment="1">
      <alignment horizontal="center" vertical="center"/>
    </xf>
    <xf numFmtId="0" fontId="72" fillId="35" borderId="101" xfId="0" applyFont="1" applyFill="1" applyBorder="1" applyAlignment="1">
      <alignment horizontal="center" vertical="center"/>
    </xf>
    <xf numFmtId="0" fontId="72" fillId="35" borderId="102" xfId="0" applyFont="1" applyFill="1" applyBorder="1" applyAlignment="1">
      <alignment horizontal="center" vertical="center"/>
    </xf>
    <xf numFmtId="0" fontId="72" fillId="35" borderId="103" xfId="0" applyFont="1" applyFill="1" applyBorder="1" applyAlignment="1">
      <alignment horizontal="center" vertical="center"/>
    </xf>
    <xf numFmtId="0" fontId="72" fillId="29" borderId="101" xfId="0" applyFont="1" applyFill="1" applyBorder="1" applyAlignment="1">
      <alignment horizontal="center" vertical="center"/>
    </xf>
    <xf numFmtId="0" fontId="72" fillId="29" borderId="102" xfId="0" applyFont="1" applyFill="1" applyBorder="1" applyAlignment="1">
      <alignment horizontal="center" vertical="center"/>
    </xf>
    <xf numFmtId="0" fontId="72" fillId="29" borderId="103" xfId="0" applyFont="1" applyFill="1" applyBorder="1" applyAlignment="1">
      <alignment horizontal="center" vertical="center"/>
    </xf>
    <xf numFmtId="0" fontId="72" fillId="42" borderId="101" xfId="0" applyFont="1" applyFill="1" applyBorder="1" applyAlignment="1">
      <alignment horizontal="center" vertical="center"/>
    </xf>
    <xf numFmtId="0" fontId="72" fillId="42" borderId="102" xfId="0" applyFont="1" applyFill="1" applyBorder="1" applyAlignment="1">
      <alignment horizontal="center" vertical="center"/>
    </xf>
    <xf numFmtId="0" fontId="72" fillId="42" borderId="103" xfId="0" applyFont="1" applyFill="1" applyBorder="1" applyAlignment="1">
      <alignment horizontal="center" vertical="center"/>
    </xf>
    <xf numFmtId="0" fontId="72" fillId="32" borderId="101" xfId="0" applyFont="1" applyFill="1" applyBorder="1" applyAlignment="1">
      <alignment horizontal="center" vertical="center"/>
    </xf>
    <xf numFmtId="0" fontId="72" fillId="32" borderId="102" xfId="0" applyFont="1" applyFill="1" applyBorder="1" applyAlignment="1">
      <alignment horizontal="center" vertical="center"/>
    </xf>
    <xf numFmtId="0" fontId="72" fillId="32" borderId="103" xfId="0" applyFont="1" applyFill="1" applyBorder="1" applyAlignment="1">
      <alignment horizontal="center" vertical="center"/>
    </xf>
    <xf numFmtId="0" fontId="66" fillId="0" borderId="0" xfId="0" applyFont="1" applyAlignment="1">
      <alignment horizontal="center" vertical="center"/>
    </xf>
    <xf numFmtId="0" fontId="72" fillId="25" borderId="447" xfId="0" applyFont="1" applyFill="1" applyBorder="1" applyAlignment="1">
      <alignment horizontal="center" vertical="center"/>
    </xf>
    <xf numFmtId="0" fontId="72" fillId="25" borderId="448" xfId="0" applyFont="1" applyFill="1" applyBorder="1" applyAlignment="1">
      <alignment horizontal="center" vertical="center"/>
    </xf>
    <xf numFmtId="0" fontId="72" fillId="30" borderId="101" xfId="0" applyFont="1" applyFill="1" applyBorder="1" applyAlignment="1">
      <alignment horizontal="center" vertical="center"/>
    </xf>
    <xf numFmtId="0" fontId="72" fillId="30" borderId="102" xfId="0" applyFont="1" applyFill="1" applyBorder="1" applyAlignment="1">
      <alignment horizontal="center" vertical="center"/>
    </xf>
    <xf numFmtId="0" fontId="72" fillId="30" borderId="103" xfId="0" applyFont="1" applyFill="1" applyBorder="1" applyAlignment="1">
      <alignment horizontal="center" vertical="center"/>
    </xf>
    <xf numFmtId="0" fontId="105" fillId="25" borderId="98" xfId="0" applyFont="1" applyFill="1" applyBorder="1" applyAlignment="1">
      <alignment horizontal="center" vertical="center" wrapText="1"/>
    </xf>
    <xf numFmtId="0" fontId="176" fillId="0" borderId="458" xfId="0" applyFont="1" applyBorder="1" applyAlignment="1">
      <alignment horizontal="center" vertical="center" wrapText="1" readingOrder="1"/>
    </xf>
    <xf numFmtId="0" fontId="176" fillId="0" borderId="459" xfId="0" applyFont="1" applyBorder="1" applyAlignment="1">
      <alignment horizontal="center" vertical="center" wrapText="1" readingOrder="1"/>
    </xf>
    <xf numFmtId="0" fontId="176" fillId="0" borderId="364" xfId="0" applyFont="1" applyBorder="1" applyAlignment="1">
      <alignment horizontal="center" vertical="center" wrapText="1" readingOrder="1"/>
    </xf>
    <xf numFmtId="0" fontId="176" fillId="0" borderId="365" xfId="0" applyFont="1" applyBorder="1" applyAlignment="1">
      <alignment horizontal="center" vertical="center" wrapText="1" readingOrder="1"/>
    </xf>
    <xf numFmtId="0" fontId="176" fillId="0" borderId="366" xfId="0" applyFont="1" applyBorder="1" applyAlignment="1">
      <alignment horizontal="center" vertical="center" wrapText="1" readingOrder="1"/>
    </xf>
    <xf numFmtId="0" fontId="89" fillId="25" borderId="0" xfId="0" quotePrefix="1" applyFont="1" applyFill="1" applyAlignment="1">
      <alignment horizontal="center"/>
    </xf>
    <xf numFmtId="0" fontId="89" fillId="25" borderId="0" xfId="0" applyFont="1" applyFill="1" applyAlignment="1">
      <alignment horizontal="center"/>
    </xf>
    <xf numFmtId="0" fontId="105" fillId="25" borderId="0" xfId="0" applyFont="1" applyFill="1" applyAlignment="1">
      <alignment horizontal="center" vertical="center" wrapText="1"/>
    </xf>
    <xf numFmtId="0" fontId="105" fillId="0" borderId="164" xfId="0" applyFont="1" applyBorder="1" applyAlignment="1">
      <alignment horizontal="center" vertical="center" wrapText="1"/>
    </xf>
    <xf numFmtId="0" fontId="105" fillId="0" borderId="224" xfId="0" applyFont="1" applyBorder="1" applyAlignment="1">
      <alignment horizontal="center" vertical="center" wrapText="1"/>
    </xf>
    <xf numFmtId="0" fontId="72" fillId="0" borderId="66" xfId="0" applyFont="1" applyBorder="1" applyAlignment="1">
      <alignment horizontal="center" vertical="center" wrapText="1"/>
    </xf>
    <xf numFmtId="0" fontId="72" fillId="0" borderId="85" xfId="0" applyFont="1" applyBorder="1" applyAlignment="1">
      <alignment horizontal="center" vertical="center" wrapText="1"/>
    </xf>
    <xf numFmtId="0" fontId="72" fillId="0" borderId="67" xfId="0" applyFont="1" applyBorder="1" applyAlignment="1">
      <alignment horizontal="center" vertical="center" wrapText="1"/>
    </xf>
    <xf numFmtId="0" fontId="72" fillId="0" borderId="223" xfId="0" applyFont="1" applyBorder="1" applyAlignment="1">
      <alignment horizontal="center" vertical="center" wrapText="1"/>
    </xf>
    <xf numFmtId="0" fontId="72" fillId="0" borderId="83" xfId="0" applyFont="1" applyBorder="1" applyAlignment="1">
      <alignment horizontal="center" vertical="center" wrapText="1"/>
    </xf>
    <xf numFmtId="0" fontId="72" fillId="0" borderId="124" xfId="0" applyFont="1" applyBorder="1" applyAlignment="1">
      <alignment horizontal="center" vertical="center" wrapText="1"/>
    </xf>
    <xf numFmtId="0" fontId="72" fillId="0" borderId="126" xfId="0" applyFont="1" applyBorder="1" applyAlignment="1">
      <alignment horizontal="center" vertical="center" wrapText="1"/>
    </xf>
    <xf numFmtId="0" fontId="72" fillId="0" borderId="3" xfId="0" applyFont="1" applyBorder="1" applyAlignment="1">
      <alignment horizontal="center" vertical="center" wrapText="1"/>
    </xf>
    <xf numFmtId="0" fontId="72" fillId="0" borderId="93" xfId="0" applyFont="1" applyBorder="1" applyAlignment="1">
      <alignment horizontal="center" vertical="center" wrapText="1"/>
    </xf>
    <xf numFmtId="0" fontId="72" fillId="0" borderId="201" xfId="0" applyFont="1" applyBorder="1" applyAlignment="1">
      <alignment horizontal="center" vertical="center" wrapText="1"/>
    </xf>
    <xf numFmtId="0" fontId="72" fillId="0" borderId="148" xfId="0" applyFont="1" applyBorder="1" applyAlignment="1">
      <alignment horizontal="center" vertical="center" wrapText="1"/>
    </xf>
    <xf numFmtId="0" fontId="72" fillId="0" borderId="202" xfId="0" applyFont="1" applyBorder="1" applyAlignment="1">
      <alignment horizontal="center" vertical="center" wrapText="1"/>
    </xf>
    <xf numFmtId="0" fontId="186" fillId="71" borderId="363" xfId="0" applyFont="1" applyFill="1" applyBorder="1" applyAlignment="1">
      <alignment horizontal="left" vertical="center" wrapText="1" indent="1"/>
    </xf>
    <xf numFmtId="0" fontId="186" fillId="71" borderId="0" xfId="0" applyFont="1" applyFill="1" applyAlignment="1">
      <alignment horizontal="left" vertical="center" wrapText="1" indent="1"/>
    </xf>
    <xf numFmtId="0" fontId="186" fillId="71" borderId="361" xfId="0" applyFont="1" applyFill="1" applyBorder="1" applyAlignment="1">
      <alignment horizontal="left" vertical="center" wrapText="1" indent="1"/>
    </xf>
    <xf numFmtId="0" fontId="105" fillId="25" borderId="225" xfId="0" quotePrefix="1" applyFont="1" applyFill="1" applyBorder="1" applyAlignment="1">
      <alignment horizontal="center" vertical="center" wrapText="1"/>
    </xf>
    <xf numFmtId="0" fontId="105" fillId="25" borderId="147" xfId="0" quotePrefix="1" applyFont="1" applyFill="1" applyBorder="1" applyAlignment="1">
      <alignment horizontal="center" vertical="center" wrapText="1"/>
    </xf>
    <xf numFmtId="0" fontId="105" fillId="25" borderId="160" xfId="0" quotePrefix="1" applyFont="1" applyFill="1" applyBorder="1" applyAlignment="1">
      <alignment horizontal="center" vertical="center" wrapText="1"/>
    </xf>
    <xf numFmtId="0" fontId="72" fillId="0" borderId="174" xfId="0" applyFont="1" applyBorder="1" applyAlignment="1">
      <alignment horizontal="center" vertical="center" wrapText="1"/>
    </xf>
    <xf numFmtId="0" fontId="72" fillId="0" borderId="90" xfId="0" applyFont="1" applyBorder="1" applyAlignment="1">
      <alignment horizontal="center" vertical="center" wrapText="1"/>
    </xf>
    <xf numFmtId="0" fontId="72" fillId="0" borderId="175" xfId="0" applyFont="1" applyBorder="1" applyAlignment="1">
      <alignment horizontal="center" vertical="center" wrapText="1"/>
    </xf>
    <xf numFmtId="0" fontId="72" fillId="0" borderId="91" xfId="0" applyFont="1" applyBorder="1" applyAlignment="1">
      <alignment horizontal="center" vertical="center" wrapText="1"/>
    </xf>
    <xf numFmtId="0" fontId="72" fillId="0" borderId="176" xfId="0" applyFont="1" applyBorder="1" applyAlignment="1">
      <alignment horizontal="center" vertical="center" wrapText="1"/>
    </xf>
    <xf numFmtId="0" fontId="72" fillId="0" borderId="84" xfId="0" applyFont="1" applyBorder="1" applyAlignment="1">
      <alignment horizontal="center" vertical="center" wrapText="1"/>
    </xf>
    <xf numFmtId="0" fontId="72" fillId="0" borderId="0" xfId="0" applyFont="1" applyAlignment="1">
      <alignment horizontal="center" vertical="center" wrapText="1"/>
    </xf>
    <xf numFmtId="0" fontId="105" fillId="0" borderId="0" xfId="0" applyFont="1" applyAlignment="1">
      <alignment horizontal="center" vertical="center" wrapText="1"/>
    </xf>
    <xf numFmtId="0" fontId="105" fillId="0" borderId="0" xfId="0" quotePrefix="1" applyFont="1" applyAlignment="1">
      <alignment horizontal="center" vertical="center" wrapText="1"/>
    </xf>
    <xf numFmtId="0" fontId="105" fillId="25" borderId="449" xfId="0" quotePrefix="1" applyFont="1" applyFill="1" applyBorder="1" applyAlignment="1">
      <alignment horizontal="center" vertical="center" wrapText="1"/>
    </xf>
    <xf numFmtId="0" fontId="105" fillId="25" borderId="450" xfId="0" quotePrefix="1" applyFont="1" applyFill="1" applyBorder="1" applyAlignment="1">
      <alignment horizontal="center" vertical="center" wrapText="1"/>
    </xf>
    <xf numFmtId="0" fontId="105" fillId="25" borderId="451" xfId="0" quotePrefix="1" applyFont="1" applyFill="1" applyBorder="1" applyAlignment="1">
      <alignment horizontal="center" vertical="center" wrapText="1"/>
    </xf>
    <xf numFmtId="0" fontId="93" fillId="24" borderId="0" xfId="0" applyFont="1" applyFill="1" applyAlignment="1">
      <alignment horizontal="center" vertical="center" wrapText="1"/>
    </xf>
    <xf numFmtId="0" fontId="105" fillId="25" borderId="3" xfId="0" applyFont="1" applyFill="1" applyBorder="1" applyAlignment="1">
      <alignment horizontal="center" vertical="center" wrapText="1"/>
    </xf>
    <xf numFmtId="0" fontId="105" fillId="25" borderId="93" xfId="0" applyFont="1" applyFill="1" applyBorder="1" applyAlignment="1">
      <alignment horizontal="center" vertical="center" wrapText="1"/>
    </xf>
    <xf numFmtId="0" fontId="72" fillId="0" borderId="135" xfId="0" applyFont="1" applyBorder="1" applyAlignment="1">
      <alignment horizontal="center" vertical="center" wrapText="1"/>
    </xf>
    <xf numFmtId="0" fontId="72" fillId="0" borderId="136" xfId="0" applyFont="1" applyBorder="1" applyAlignment="1">
      <alignment horizontal="center" vertical="center" wrapText="1"/>
    </xf>
    <xf numFmtId="0" fontId="72" fillId="0" borderId="149" xfId="0" applyFont="1" applyBorder="1" applyAlignment="1">
      <alignment horizontal="center" vertical="center" wrapText="1"/>
    </xf>
    <xf numFmtId="0" fontId="72" fillId="0" borderId="98" xfId="0" applyFont="1" applyBorder="1" applyAlignment="1">
      <alignment horizontal="left" vertical="center"/>
    </xf>
    <xf numFmtId="0" fontId="72" fillId="0" borderId="98" xfId="0" applyFont="1" applyBorder="1" applyAlignment="1">
      <alignment horizontal="center" vertical="center" wrapText="1"/>
    </xf>
    <xf numFmtId="0" fontId="72" fillId="0" borderId="82" xfId="0" applyFont="1" applyBorder="1" applyAlignment="1">
      <alignment horizontal="center" vertical="center" wrapText="1"/>
    </xf>
    <xf numFmtId="0" fontId="72" fillId="0" borderId="60" xfId="0" applyFont="1" applyBorder="1" applyAlignment="1">
      <alignment horizontal="center" vertical="center" wrapText="1"/>
    </xf>
    <xf numFmtId="0" fontId="72" fillId="0" borderId="61" xfId="0" applyFont="1" applyBorder="1" applyAlignment="1">
      <alignment horizontal="center" vertical="center" wrapText="1"/>
    </xf>
    <xf numFmtId="0" fontId="78" fillId="24" borderId="0" xfId="0" applyFont="1" applyFill="1" applyAlignment="1">
      <alignment horizontal="center" vertical="center" wrapText="1"/>
    </xf>
    <xf numFmtId="0" fontId="146" fillId="52" borderId="237" xfId="0" applyFont="1" applyFill="1" applyBorder="1" applyAlignment="1">
      <alignment horizontal="center" vertical="center" wrapText="1" readingOrder="1"/>
    </xf>
    <xf numFmtId="0" fontId="278" fillId="103" borderId="429" xfId="0" applyFont="1" applyFill="1" applyBorder="1" applyAlignment="1">
      <alignment horizontal="center" vertical="center" wrapText="1" readingOrder="1"/>
    </xf>
    <xf numFmtId="0" fontId="278" fillId="103" borderId="430" xfId="0" applyFont="1" applyFill="1" applyBorder="1" applyAlignment="1">
      <alignment horizontal="center" vertical="center" wrapText="1" readingOrder="1"/>
    </xf>
    <xf numFmtId="0" fontId="278" fillId="103" borderId="431" xfId="0" applyFont="1" applyFill="1" applyBorder="1" applyAlignment="1">
      <alignment horizontal="center" vertical="center" wrapText="1" readingOrder="1"/>
    </xf>
    <xf numFmtId="0" fontId="278" fillId="103" borderId="420" xfId="0" applyFont="1" applyFill="1" applyBorder="1" applyAlignment="1">
      <alignment horizontal="center" vertical="center" wrapText="1" readingOrder="1"/>
    </xf>
    <xf numFmtId="0" fontId="278" fillId="103" borderId="432" xfId="0" applyFont="1" applyFill="1" applyBorder="1" applyAlignment="1">
      <alignment horizontal="center" vertical="center" wrapText="1" readingOrder="1"/>
    </xf>
    <xf numFmtId="0" fontId="278" fillId="103" borderId="424" xfId="0" applyFont="1" applyFill="1" applyBorder="1" applyAlignment="1">
      <alignment horizontal="center" vertical="center" wrapText="1" readingOrder="1"/>
    </xf>
    <xf numFmtId="0" fontId="278" fillId="103" borderId="156" xfId="0" applyFont="1" applyFill="1" applyBorder="1" applyAlignment="1">
      <alignment horizontal="center" vertical="center" wrapText="1" readingOrder="1"/>
    </xf>
    <xf numFmtId="0" fontId="100" fillId="0" borderId="420" xfId="0" applyFont="1" applyBorder="1" applyAlignment="1">
      <alignment vertical="center" wrapText="1"/>
    </xf>
    <xf numFmtId="0" fontId="100" fillId="0" borderId="422" xfId="0" applyFont="1" applyBorder="1" applyAlignment="1">
      <alignment vertical="center" wrapText="1"/>
    </xf>
    <xf numFmtId="0" fontId="284" fillId="103" borderId="429" xfId="0" applyFont="1" applyFill="1" applyBorder="1" applyAlignment="1">
      <alignment horizontal="center" vertical="center" wrapText="1" readingOrder="1"/>
    </xf>
    <xf numFmtId="0" fontId="284" fillId="103" borderId="430" xfId="0" applyFont="1" applyFill="1" applyBorder="1" applyAlignment="1">
      <alignment horizontal="center" vertical="center" wrapText="1" readingOrder="1"/>
    </xf>
    <xf numFmtId="0" fontId="284" fillId="103" borderId="431" xfId="0" applyFont="1" applyFill="1" applyBorder="1" applyAlignment="1">
      <alignment horizontal="center" vertical="center" wrapText="1" readingOrder="1"/>
    </xf>
    <xf numFmtId="0" fontId="284" fillId="103" borderId="429" xfId="0" applyFont="1" applyFill="1" applyBorder="1" applyAlignment="1">
      <alignment horizontal="center" wrapText="1" readingOrder="1"/>
    </xf>
    <xf numFmtId="0" fontId="284" fillId="103" borderId="431" xfId="0" applyFont="1" applyFill="1" applyBorder="1" applyAlignment="1">
      <alignment horizontal="center" wrapText="1" readingOrder="1"/>
    </xf>
    <xf numFmtId="0" fontId="285" fillId="103" borderId="429" xfId="0" applyFont="1" applyFill="1" applyBorder="1" applyAlignment="1">
      <alignment horizontal="center" wrapText="1" readingOrder="1"/>
    </xf>
    <xf numFmtId="0" fontId="285" fillId="103" borderId="430" xfId="0" applyFont="1" applyFill="1" applyBorder="1" applyAlignment="1">
      <alignment horizontal="center" wrapText="1" readingOrder="1"/>
    </xf>
    <xf numFmtId="0" fontId="285" fillId="103" borderId="431" xfId="0" applyFont="1" applyFill="1" applyBorder="1" applyAlignment="1">
      <alignment horizontal="center" wrapText="1" readingOrder="1"/>
    </xf>
    <xf numFmtId="0" fontId="280" fillId="0" borderId="420" xfId="0" applyFont="1" applyBorder="1" applyAlignment="1">
      <alignment vertical="center" wrapText="1"/>
    </xf>
    <xf numFmtId="0" fontId="280" fillId="0" borderId="422" xfId="0" applyFont="1" applyBorder="1" applyAlignment="1">
      <alignment vertical="center" wrapText="1"/>
    </xf>
    <xf numFmtId="0" fontId="278" fillId="103" borderId="429" xfId="0" applyFont="1" applyFill="1" applyBorder="1" applyAlignment="1">
      <alignment horizontal="center" wrapText="1" readingOrder="1"/>
    </xf>
    <xf numFmtId="0" fontId="278" fillId="103" borderId="431" xfId="0" applyFont="1" applyFill="1" applyBorder="1" applyAlignment="1">
      <alignment horizontal="center" wrapText="1" readingOrder="1"/>
    </xf>
    <xf numFmtId="0" fontId="281" fillId="103" borderId="429" xfId="0" applyFont="1" applyFill="1" applyBorder="1" applyAlignment="1">
      <alignment horizontal="center" wrapText="1" readingOrder="1"/>
    </xf>
    <xf numFmtId="0" fontId="281" fillId="103" borderId="430" xfId="0" applyFont="1" applyFill="1" applyBorder="1" applyAlignment="1">
      <alignment horizontal="center" wrapText="1" readingOrder="1"/>
    </xf>
    <xf numFmtId="0" fontId="281" fillId="103" borderId="431" xfId="0" applyFont="1" applyFill="1" applyBorder="1" applyAlignment="1">
      <alignment horizontal="center" wrapText="1" readingOrder="1"/>
    </xf>
    <xf numFmtId="0" fontId="281" fillId="103" borderId="423" xfId="0" applyFont="1" applyFill="1" applyBorder="1" applyAlignment="1">
      <alignment horizontal="center" wrapText="1" readingOrder="1"/>
    </xf>
    <xf numFmtId="0" fontId="281" fillId="103" borderId="424" xfId="0" applyFont="1" applyFill="1" applyBorder="1" applyAlignment="1">
      <alignment horizontal="center" wrapText="1" readingOrder="1"/>
    </xf>
    <xf numFmtId="0" fontId="281" fillId="103" borderId="425" xfId="0" applyFont="1" applyFill="1" applyBorder="1" applyAlignment="1">
      <alignment horizontal="center" wrapText="1" readingOrder="1"/>
    </xf>
    <xf numFmtId="0" fontId="281" fillId="103" borderId="426" xfId="0" applyFont="1" applyFill="1" applyBorder="1" applyAlignment="1">
      <alignment horizontal="center" wrapText="1" readingOrder="1"/>
    </xf>
    <xf numFmtId="0" fontId="281" fillId="103" borderId="427" xfId="0" applyFont="1" applyFill="1" applyBorder="1" applyAlignment="1">
      <alignment horizontal="center" wrapText="1" readingOrder="1"/>
    </xf>
    <xf numFmtId="0" fontId="281" fillId="103" borderId="428" xfId="0" applyFont="1" applyFill="1" applyBorder="1" applyAlignment="1">
      <alignment horizontal="center" wrapText="1" readingOrder="1"/>
    </xf>
    <xf numFmtId="0" fontId="278" fillId="103" borderId="426" xfId="0" applyFont="1" applyFill="1" applyBorder="1" applyAlignment="1">
      <alignment horizontal="center" wrapText="1" readingOrder="1"/>
    </xf>
    <xf numFmtId="0" fontId="278" fillId="103" borderId="428" xfId="0" applyFont="1" applyFill="1" applyBorder="1" applyAlignment="1">
      <alignment horizontal="center" wrapText="1" readingOrder="1"/>
    </xf>
    <xf numFmtId="0" fontId="278" fillId="103" borderId="423" xfId="0" applyFont="1" applyFill="1" applyBorder="1" applyAlignment="1">
      <alignment horizontal="center" wrapText="1" readingOrder="1"/>
    </xf>
    <xf numFmtId="0" fontId="278" fillId="103" borderId="425" xfId="0" applyFont="1" applyFill="1" applyBorder="1" applyAlignment="1">
      <alignment horizontal="center" wrapText="1" readingOrder="1"/>
    </xf>
    <xf numFmtId="0" fontId="280" fillId="0" borderId="421" xfId="0" applyFont="1" applyBorder="1" applyAlignment="1">
      <alignment vertical="center" wrapText="1"/>
    </xf>
    <xf numFmtId="0" fontId="278" fillId="103" borderId="423" xfId="0" applyFont="1" applyFill="1" applyBorder="1" applyAlignment="1">
      <alignment horizontal="center" vertical="center" wrapText="1" readingOrder="1"/>
    </xf>
    <xf numFmtId="0" fontId="278" fillId="103" borderId="425" xfId="0" applyFont="1" applyFill="1" applyBorder="1" applyAlignment="1">
      <alignment horizontal="center" vertical="center" wrapText="1" readingOrder="1"/>
    </xf>
    <xf numFmtId="0" fontId="278" fillId="103" borderId="426" xfId="0" applyFont="1" applyFill="1" applyBorder="1" applyAlignment="1">
      <alignment horizontal="center" vertical="center" wrapText="1" readingOrder="1"/>
    </xf>
    <xf numFmtId="0" fontId="278" fillId="103" borderId="427" xfId="0" applyFont="1" applyFill="1" applyBorder="1" applyAlignment="1">
      <alignment horizontal="center" vertical="center" wrapText="1" readingOrder="1"/>
    </xf>
    <xf numFmtId="0" fontId="278" fillId="103" borderId="428" xfId="0" applyFont="1" applyFill="1" applyBorder="1" applyAlignment="1">
      <alignment horizontal="center" vertical="center" wrapText="1" readingOrder="1"/>
    </xf>
    <xf numFmtId="0" fontId="273" fillId="0" borderId="14" xfId="167" applyFont="1" applyBorder="1" applyAlignment="1">
      <alignment horizontal="center" vertical="center"/>
    </xf>
    <xf numFmtId="0" fontId="273" fillId="0" borderId="154" xfId="167" applyFont="1" applyBorder="1" applyAlignment="1">
      <alignment horizontal="center" vertical="center"/>
    </xf>
    <xf numFmtId="0" fontId="273" fillId="0" borderId="111" xfId="167" applyFont="1" applyBorder="1" applyAlignment="1">
      <alignment horizontal="center" vertical="center"/>
    </xf>
    <xf numFmtId="0" fontId="273" fillId="0" borderId="14" xfId="167" applyFont="1" applyBorder="1" applyAlignment="1">
      <alignment horizontal="center"/>
    </xf>
    <xf numFmtId="0" fontId="273" fillId="0" borderId="111" xfId="167" applyFont="1" applyBorder="1" applyAlignment="1">
      <alignment horizontal="center"/>
    </xf>
    <xf numFmtId="0" fontId="281" fillId="104" borderId="420" xfId="0" applyFont="1" applyFill="1" applyBorder="1" applyAlignment="1">
      <alignment horizontal="center" vertical="center" wrapText="1" readingOrder="1"/>
    </xf>
    <xf numFmtId="0" fontId="281" fillId="104" borderId="422" xfId="0" applyFont="1" applyFill="1" applyBorder="1" applyAlignment="1">
      <alignment horizontal="center" vertical="center" wrapText="1" readingOrder="1"/>
    </xf>
    <xf numFmtId="0" fontId="278" fillId="104" borderId="429" xfId="0" applyFont="1" applyFill="1" applyBorder="1" applyAlignment="1">
      <alignment horizontal="center" vertical="center" wrapText="1" readingOrder="1"/>
    </xf>
    <xf numFmtId="0" fontId="278" fillId="104" borderId="430" xfId="0" applyFont="1" applyFill="1" applyBorder="1" applyAlignment="1">
      <alignment horizontal="center" vertical="center" wrapText="1" readingOrder="1"/>
    </xf>
    <xf numFmtId="0" fontId="278" fillId="104" borderId="431" xfId="0" applyFont="1" applyFill="1" applyBorder="1" applyAlignment="1">
      <alignment horizontal="center" vertical="center" wrapText="1" readingOrder="1"/>
    </xf>
    <xf numFmtId="0" fontId="72" fillId="53" borderId="478" xfId="463" applyFont="1" applyFill="1" applyBorder="1" applyAlignment="1">
      <alignment horizontal="center" vertical="center" wrapText="1"/>
    </xf>
    <xf numFmtId="0" fontId="72" fillId="53" borderId="479" xfId="463" applyFont="1" applyFill="1" applyBorder="1" applyAlignment="1">
      <alignment horizontal="center" vertical="center" wrapText="1"/>
    </xf>
    <xf numFmtId="0" fontId="72" fillId="53" borderId="346" xfId="463" applyFont="1" applyFill="1" applyBorder="1" applyAlignment="1">
      <alignment horizontal="center" vertical="center" wrapText="1"/>
    </xf>
    <xf numFmtId="0" fontId="72" fillId="53" borderId="492" xfId="463" applyFont="1" applyFill="1" applyBorder="1" applyAlignment="1">
      <alignment horizontal="center" vertical="center" wrapText="1"/>
    </xf>
    <xf numFmtId="0" fontId="72" fillId="53" borderId="493" xfId="463" applyFont="1" applyFill="1" applyBorder="1" applyAlignment="1">
      <alignment horizontal="center" vertical="center" wrapText="1"/>
    </xf>
    <xf numFmtId="0" fontId="72" fillId="53" borderId="494" xfId="463" applyFont="1" applyFill="1" applyBorder="1" applyAlignment="1">
      <alignment horizontal="center" vertical="center" wrapText="1"/>
    </xf>
    <xf numFmtId="194" fontId="185" fillId="53" borderId="471" xfId="0" applyNumberFormat="1" applyFont="1" applyFill="1" applyBorder="1" applyAlignment="1">
      <alignment horizontal="center" vertical="center"/>
    </xf>
    <xf numFmtId="194" fontId="185" fillId="53" borderId="350" xfId="0" applyNumberFormat="1" applyFont="1" applyFill="1" applyBorder="1" applyAlignment="1">
      <alignment horizontal="center" vertical="center"/>
    </xf>
    <xf numFmtId="194" fontId="185" fillId="53" borderId="477" xfId="0" applyNumberFormat="1" applyFont="1" applyFill="1" applyBorder="1" applyAlignment="1">
      <alignment horizontal="center" vertical="center"/>
    </xf>
    <xf numFmtId="0" fontId="185" fillId="53" borderId="471" xfId="0" applyFont="1" applyFill="1" applyBorder="1" applyAlignment="1">
      <alignment horizontal="center" vertical="center"/>
    </xf>
    <xf numFmtId="0" fontId="185" fillId="53" borderId="350" xfId="0" applyFont="1" applyFill="1" applyBorder="1" applyAlignment="1">
      <alignment horizontal="center" vertical="center"/>
    </xf>
    <xf numFmtId="0" fontId="185" fillId="53" borderId="477" xfId="0" applyFont="1" applyFill="1" applyBorder="1" applyAlignment="1">
      <alignment horizontal="center" vertical="center"/>
    </xf>
    <xf numFmtId="0" fontId="72" fillId="53" borderId="472" xfId="463" applyFont="1" applyFill="1" applyBorder="1" applyAlignment="1">
      <alignment horizontal="center" vertical="center"/>
    </xf>
    <xf numFmtId="0" fontId="72" fillId="53" borderId="473" xfId="463" applyFont="1" applyFill="1" applyBorder="1" applyAlignment="1">
      <alignment horizontal="center" vertical="center"/>
    </xf>
    <xf numFmtId="0" fontId="72" fillId="53" borderId="474" xfId="463" applyFont="1" applyFill="1" applyBorder="1" applyAlignment="1">
      <alignment horizontal="center" vertical="center"/>
    </xf>
    <xf numFmtId="0" fontId="72" fillId="53" borderId="475" xfId="463" applyFont="1" applyFill="1" applyBorder="1" applyAlignment="1">
      <alignment horizontal="center" vertical="center"/>
    </xf>
    <xf numFmtId="0" fontId="72" fillId="53" borderId="334" xfId="463" applyFont="1" applyFill="1" applyBorder="1" applyAlignment="1">
      <alignment horizontal="center" vertical="center" wrapText="1"/>
    </xf>
    <xf numFmtId="0" fontId="72" fillId="53" borderId="336" xfId="463" applyFont="1" applyFill="1" applyBorder="1" applyAlignment="1">
      <alignment horizontal="center" vertical="center" wrapText="1"/>
    </xf>
    <xf numFmtId="0" fontId="72" fillId="53" borderId="347" xfId="463" applyFont="1" applyFill="1" applyBorder="1" applyAlignment="1">
      <alignment horizontal="center" vertical="center" wrapText="1"/>
    </xf>
    <xf numFmtId="0" fontId="72" fillId="53" borderId="348" xfId="463" applyFont="1" applyFill="1" applyBorder="1" applyAlignment="1">
      <alignment horizontal="center" vertical="center" wrapText="1"/>
    </xf>
    <xf numFmtId="0" fontId="106" fillId="0" borderId="11" xfId="167" applyFont="1" applyBorder="1" applyAlignment="1">
      <alignment horizontal="center"/>
    </xf>
    <xf numFmtId="1" fontId="17" fillId="0" borderId="11" xfId="167" applyNumberFormat="1" applyBorder="1" applyAlignment="1">
      <alignment horizontal="center"/>
    </xf>
    <xf numFmtId="0" fontId="175" fillId="103" borderId="429" xfId="0" applyFont="1" applyFill="1" applyBorder="1" applyAlignment="1">
      <alignment horizontal="center" vertical="center" wrapText="1" readingOrder="1"/>
    </xf>
    <xf numFmtId="0" fontId="175" fillId="103" borderId="430" xfId="0" applyFont="1" applyFill="1" applyBorder="1" applyAlignment="1">
      <alignment horizontal="center" vertical="center" wrapText="1" readingOrder="1"/>
    </xf>
    <xf numFmtId="0" fontId="175" fillId="103" borderId="431" xfId="0" applyFont="1" applyFill="1" applyBorder="1" applyAlignment="1">
      <alignment horizontal="center" vertical="center" wrapText="1" readingOrder="1"/>
    </xf>
    <xf numFmtId="0" fontId="89" fillId="65" borderId="23" xfId="167" applyFont="1" applyFill="1" applyBorder="1" applyAlignment="1">
      <alignment horizontal="center" vertical="center"/>
    </xf>
    <xf numFmtId="0" fontId="160" fillId="65" borderId="96" xfId="167" applyFont="1" applyFill="1" applyBorder="1" applyAlignment="1">
      <alignment horizontal="center" vertical="center"/>
    </xf>
    <xf numFmtId="0" fontId="106" fillId="0" borderId="14" xfId="167" applyFont="1" applyBorder="1" applyAlignment="1">
      <alignment horizontal="center" vertical="center"/>
    </xf>
    <xf numFmtId="0" fontId="106" fillId="0" borderId="154" xfId="167" applyFont="1" applyBorder="1" applyAlignment="1">
      <alignment horizontal="center" vertical="center"/>
    </xf>
    <xf numFmtId="0" fontId="106" fillId="0" borderId="111" xfId="167" applyFont="1" applyBorder="1" applyAlignment="1">
      <alignment horizontal="center" vertical="center"/>
    </xf>
    <xf numFmtId="14" fontId="106" fillId="0" borderId="14" xfId="167" applyNumberFormat="1" applyFont="1" applyBorder="1" applyAlignment="1">
      <alignment horizontal="center" vertical="center"/>
    </xf>
    <xf numFmtId="14" fontId="106" fillId="0" borderId="111" xfId="167" applyNumberFormat="1" applyFont="1" applyBorder="1" applyAlignment="1">
      <alignment horizontal="center" vertical="center"/>
    </xf>
    <xf numFmtId="169" fontId="72" fillId="53" borderId="452" xfId="463" applyNumberFormat="1" applyFont="1" applyFill="1" applyBorder="1" applyAlignment="1">
      <alignment horizontal="center" vertical="center" wrapText="1"/>
    </xf>
    <xf numFmtId="169" fontId="72" fillId="53" borderId="442" xfId="463" applyNumberFormat="1" applyFont="1" applyFill="1" applyBorder="1" applyAlignment="1">
      <alignment horizontal="center" vertical="center" wrapText="1"/>
    </xf>
    <xf numFmtId="169" fontId="72" fillId="53" borderId="443" xfId="463" applyNumberFormat="1" applyFont="1" applyFill="1" applyBorder="1" applyAlignment="1">
      <alignment horizontal="center" vertical="center" wrapText="1"/>
    </xf>
    <xf numFmtId="0" fontId="185" fillId="53" borderId="349" xfId="0" applyFont="1" applyFill="1" applyBorder="1" applyAlignment="1">
      <alignment horizontal="center" vertical="center"/>
    </xf>
    <xf numFmtId="0" fontId="72" fillId="53" borderId="333" xfId="463" applyFont="1" applyFill="1" applyBorder="1" applyAlignment="1">
      <alignment horizontal="center" vertical="center"/>
    </xf>
    <xf numFmtId="0" fontId="72" fillId="53" borderId="442" xfId="463" applyFont="1" applyFill="1" applyBorder="1" applyAlignment="1">
      <alignment horizontal="center" vertical="center"/>
    </xf>
    <xf numFmtId="0" fontId="72" fillId="53" borderId="154" xfId="463" applyFont="1" applyFill="1" applyBorder="1" applyAlignment="1">
      <alignment horizontal="center" vertical="center"/>
    </xf>
    <xf numFmtId="0" fontId="72" fillId="53" borderId="111" xfId="463" applyFont="1" applyFill="1" applyBorder="1" applyAlignment="1">
      <alignment horizontal="center" vertical="center"/>
    </xf>
    <xf numFmtId="0" fontId="72" fillId="53" borderId="332" xfId="463" applyFont="1" applyFill="1" applyBorder="1" applyAlignment="1">
      <alignment horizontal="center" vertical="center"/>
    </xf>
    <xf numFmtId="0" fontId="5" fillId="0" borderId="108" xfId="6837" applyBorder="1" applyAlignment="1">
      <alignment horizontal="center"/>
    </xf>
    <xf numFmtId="0" fontId="5" fillId="0" borderId="141" xfId="6837" applyBorder="1" applyAlignment="1">
      <alignment horizontal="center"/>
    </xf>
    <xf numFmtId="0" fontId="5" fillId="0" borderId="109" xfId="6837" applyBorder="1" applyAlignment="1">
      <alignment horizontal="center"/>
    </xf>
    <xf numFmtId="0" fontId="72" fillId="53" borderId="23" xfId="463" applyFont="1" applyFill="1" applyBorder="1" applyAlignment="1">
      <alignment horizontal="center" vertical="center" wrapText="1"/>
    </xf>
    <xf numFmtId="0" fontId="72" fillId="53" borderId="96" xfId="463" applyFont="1" applyFill="1" applyBorder="1" applyAlignment="1">
      <alignment horizontal="center" vertical="center" wrapText="1"/>
    </xf>
    <xf numFmtId="202" fontId="191" fillId="103" borderId="463" xfId="0" applyNumberFormat="1" applyFont="1" applyFill="1" applyBorder="1" applyAlignment="1">
      <alignment horizontal="center" vertical="center" wrapText="1" readingOrder="1"/>
    </xf>
    <xf numFmtId="202" fontId="191" fillId="103" borderId="464" xfId="0" applyNumberFormat="1" applyFont="1" applyFill="1" applyBorder="1" applyAlignment="1">
      <alignment horizontal="center" vertical="center" wrapText="1" readingOrder="1"/>
    </xf>
    <xf numFmtId="0" fontId="191" fillId="103" borderId="330" xfId="0" applyFont="1" applyFill="1" applyBorder="1" applyAlignment="1">
      <alignment horizontal="center" vertical="center" wrapText="1" readingOrder="1"/>
    </xf>
    <xf numFmtId="0" fontId="191" fillId="103" borderId="463" xfId="0" applyFont="1" applyFill="1" applyBorder="1" applyAlignment="1">
      <alignment horizontal="center" vertical="center" wrapText="1" readingOrder="1"/>
    </xf>
    <xf numFmtId="0" fontId="191" fillId="103" borderId="464" xfId="0" applyFont="1" applyFill="1" applyBorder="1" applyAlignment="1">
      <alignment horizontal="center" vertical="center" wrapText="1" readingOrder="1"/>
    </xf>
    <xf numFmtId="0" fontId="258" fillId="58" borderId="533" xfId="0" applyFont="1" applyFill="1" applyBorder="1" applyAlignment="1">
      <alignment horizontal="center" vertical="center" wrapText="1"/>
    </xf>
    <xf numFmtId="0" fontId="258" fillId="58" borderId="532" xfId="0" applyFont="1" applyFill="1" applyBorder="1" applyAlignment="1">
      <alignment horizontal="center" vertical="center" wrapText="1"/>
    </xf>
    <xf numFmtId="0" fontId="166" fillId="51" borderId="463" xfId="6840" applyFont="1" applyFill="1" applyBorder="1" applyAlignment="1">
      <alignment horizontal="center" vertical="center"/>
    </xf>
    <xf numFmtId="0" fontId="166" fillId="51" borderId="470" xfId="6840" applyFont="1" applyFill="1" applyBorder="1" applyAlignment="1">
      <alignment horizontal="center" vertical="center"/>
    </xf>
    <xf numFmtId="0" fontId="166" fillId="51" borderId="464" xfId="6840" applyFont="1" applyFill="1" applyBorder="1" applyAlignment="1">
      <alignment horizontal="center" vertical="center"/>
    </xf>
    <xf numFmtId="0" fontId="166" fillId="0" borderId="461" xfId="6837" applyFont="1" applyBorder="1" applyAlignment="1">
      <alignment horizontal="center" vertical="center" wrapText="1"/>
    </xf>
    <xf numFmtId="0" fontId="166" fillId="0" borderId="462" xfId="6837" applyFont="1" applyBorder="1" applyAlignment="1">
      <alignment horizontal="center" vertical="center" wrapText="1"/>
    </xf>
    <xf numFmtId="0" fontId="243" fillId="0" borderId="461" xfId="6837" applyFont="1" applyBorder="1" applyAlignment="1">
      <alignment horizontal="center" vertical="center"/>
    </xf>
    <xf numFmtId="0" fontId="243" fillId="0" borderId="508" xfId="6837" applyFont="1" applyBorder="1" applyAlignment="1">
      <alignment horizontal="center" vertical="center"/>
    </xf>
    <xf numFmtId="0" fontId="244" fillId="0" borderId="461" xfId="74" applyFont="1" applyBorder="1" applyAlignment="1">
      <alignment horizontal="center" vertical="center" wrapText="1"/>
    </xf>
    <xf numFmtId="0" fontId="244" fillId="0" borderId="462" xfId="74" applyFont="1" applyBorder="1" applyAlignment="1">
      <alignment horizontal="center" vertical="center" wrapText="1"/>
    </xf>
    <xf numFmtId="0" fontId="243" fillId="0" borderId="463" xfId="6837" applyFont="1" applyBorder="1" applyAlignment="1">
      <alignment horizontal="center" vertical="center"/>
    </xf>
    <xf numFmtId="0" fontId="243" fillId="0" borderId="464" xfId="6837" applyFont="1" applyBorder="1" applyAlignment="1">
      <alignment horizontal="center" vertical="center"/>
    </xf>
    <xf numFmtId="0" fontId="243" fillId="0" borderId="463" xfId="6837" applyFont="1" applyBorder="1" applyAlignment="1">
      <alignment horizontal="center" vertical="center" wrapText="1"/>
    </xf>
    <xf numFmtId="0" fontId="243" fillId="0" borderId="464" xfId="6837" applyFont="1" applyBorder="1" applyAlignment="1">
      <alignment horizontal="center" vertical="center" wrapText="1"/>
    </xf>
    <xf numFmtId="0" fontId="243" fillId="0" borderId="461" xfId="6837" applyFont="1" applyBorder="1" applyAlignment="1">
      <alignment horizontal="center" vertical="center" wrapText="1"/>
    </xf>
    <xf numFmtId="0" fontId="243" fillId="0" borderId="508" xfId="6837" applyFont="1" applyBorder="1" applyAlignment="1">
      <alignment horizontal="center" vertical="center" wrapText="1"/>
    </xf>
    <xf numFmtId="0" fontId="166" fillId="0" borderId="330" xfId="6837" applyFont="1" applyBorder="1" applyAlignment="1">
      <alignment horizontal="center" vertical="center"/>
    </xf>
    <xf numFmtId="0" fontId="166" fillId="51" borderId="463" xfId="6837" applyFont="1" applyFill="1" applyBorder="1" applyAlignment="1">
      <alignment horizontal="center" vertical="center"/>
    </xf>
    <xf numFmtId="0" fontId="166" fillId="51" borderId="470" xfId="6837" applyFont="1" applyFill="1" applyBorder="1" applyAlignment="1">
      <alignment horizontal="center" vertical="center"/>
    </xf>
    <xf numFmtId="0" fontId="166" fillId="51" borderId="464" xfId="6837" applyFont="1" applyFill="1" applyBorder="1" applyAlignment="1">
      <alignment horizontal="center" vertical="center"/>
    </xf>
    <xf numFmtId="0" fontId="72" fillId="0" borderId="330" xfId="74" applyFont="1" applyBorder="1" applyAlignment="1">
      <alignment horizontal="center"/>
    </xf>
    <xf numFmtId="0" fontId="166" fillId="0" borderId="463" xfId="6837" applyFont="1" applyBorder="1" applyAlignment="1">
      <alignment horizontal="center" vertical="center" wrapText="1"/>
    </xf>
    <xf numFmtId="0" fontId="166" fillId="0" borderId="470" xfId="6837" applyFont="1" applyBorder="1" applyAlignment="1">
      <alignment horizontal="center" vertical="center" wrapText="1"/>
    </xf>
    <xf numFmtId="0" fontId="166" fillId="0" borderId="464" xfId="6837" applyFont="1" applyBorder="1" applyAlignment="1">
      <alignment horizontal="center" vertical="center" wrapText="1"/>
    </xf>
    <xf numFmtId="0" fontId="289" fillId="0" borderId="330" xfId="74" applyFont="1" applyBorder="1" applyAlignment="1">
      <alignment horizontal="center"/>
    </xf>
    <xf numFmtId="0" fontId="189" fillId="0" borderId="330" xfId="6837" applyFont="1" applyBorder="1" applyAlignment="1">
      <alignment horizontal="center" vertical="center"/>
    </xf>
    <xf numFmtId="17" fontId="66" fillId="0" borderId="532" xfId="74" applyNumberFormat="1" applyFont="1" applyBorder="1" applyAlignment="1">
      <alignment horizontal="center"/>
    </xf>
    <xf numFmtId="0" fontId="66" fillId="0" borderId="532" xfId="74" applyFont="1" applyBorder="1" applyAlignment="1">
      <alignment horizontal="center"/>
    </xf>
    <xf numFmtId="0" fontId="166" fillId="0" borderId="330" xfId="6837" applyFont="1" applyBorder="1" applyAlignment="1">
      <alignment horizontal="center" vertical="center" wrapText="1"/>
    </xf>
    <xf numFmtId="0" fontId="189" fillId="0" borderId="461" xfId="6837" applyFont="1" applyBorder="1" applyAlignment="1">
      <alignment horizontal="center" vertical="center" wrapText="1"/>
    </xf>
    <xf numFmtId="0" fontId="189" fillId="0" borderId="462" xfId="6837" applyFont="1" applyBorder="1" applyAlignment="1">
      <alignment horizontal="center" vertical="center" wrapText="1"/>
    </xf>
    <xf numFmtId="1" fontId="66" fillId="0" borderId="532" xfId="74" applyNumberFormat="1" applyFont="1" applyBorder="1" applyAlignment="1">
      <alignment horizontal="center"/>
    </xf>
    <xf numFmtId="0" fontId="243" fillId="0" borderId="330" xfId="6837" applyFont="1" applyBorder="1" applyAlignment="1">
      <alignment horizontal="center" vertical="center" wrapText="1"/>
    </xf>
    <xf numFmtId="0" fontId="243" fillId="0" borderId="330" xfId="6837" applyFont="1" applyBorder="1" applyAlignment="1">
      <alignment horizontal="center" vertical="center"/>
    </xf>
    <xf numFmtId="0" fontId="159" fillId="0" borderId="461" xfId="74" applyFont="1" applyBorder="1" applyAlignment="1">
      <alignment horizontal="center" vertical="center" wrapText="1"/>
    </xf>
    <xf numFmtId="0" fontId="159" fillId="0" borderId="462" xfId="74" applyFont="1" applyBorder="1" applyAlignment="1">
      <alignment horizontal="center" vertical="center" wrapText="1"/>
    </xf>
    <xf numFmtId="0" fontId="242" fillId="0" borderId="330" xfId="6837" applyFont="1" applyBorder="1" applyAlignment="1">
      <alignment horizontal="center" vertical="center"/>
    </xf>
    <xf numFmtId="0" fontId="242" fillId="0" borderId="330" xfId="6837" applyFont="1" applyBorder="1" applyAlignment="1">
      <alignment horizontal="center" vertical="center" wrapText="1"/>
    </xf>
    <xf numFmtId="0" fontId="241" fillId="0" borderId="461" xfId="74" applyFont="1" applyBorder="1" applyAlignment="1">
      <alignment horizontal="center" vertical="center" wrapText="1"/>
    </xf>
    <xf numFmtId="0" fontId="241" fillId="0" borderId="462" xfId="74" applyFont="1" applyBorder="1" applyAlignment="1">
      <alignment horizontal="center" vertical="center" wrapText="1"/>
    </xf>
    <xf numFmtId="0" fontId="243" fillId="0" borderId="330" xfId="74" applyFont="1" applyBorder="1" applyAlignment="1">
      <alignment horizontal="center"/>
    </xf>
    <xf numFmtId="0" fontId="240" fillId="0" borderId="330" xfId="74" applyFont="1" applyBorder="1" applyAlignment="1">
      <alignment horizontal="center"/>
    </xf>
    <xf numFmtId="0" fontId="189" fillId="0" borderId="330" xfId="6837" applyFont="1" applyBorder="1" applyAlignment="1">
      <alignment horizontal="center" vertical="center" wrapText="1"/>
    </xf>
    <xf numFmtId="0" fontId="189" fillId="0" borderId="463" xfId="6837" applyFont="1" applyBorder="1" applyAlignment="1">
      <alignment horizontal="center" vertical="center" wrapText="1"/>
    </xf>
    <xf numFmtId="0" fontId="189" fillId="0" borderId="470" xfId="6837" applyFont="1" applyBorder="1" applyAlignment="1">
      <alignment horizontal="center" vertical="center" wrapText="1"/>
    </xf>
    <xf numFmtId="0" fontId="189" fillId="0" borderId="464" xfId="6837" applyFont="1" applyBorder="1" applyAlignment="1">
      <alignment horizontal="center" vertical="center" wrapText="1"/>
    </xf>
    <xf numFmtId="0" fontId="291" fillId="0" borderId="461" xfId="74" applyFont="1" applyBorder="1" applyAlignment="1">
      <alignment horizontal="center" vertical="center" wrapText="1"/>
    </xf>
    <xf numFmtId="0" fontId="291" fillId="0" borderId="462" xfId="74" applyFont="1" applyBorder="1" applyAlignment="1">
      <alignment horizontal="center" vertical="center" wrapText="1"/>
    </xf>
    <xf numFmtId="0" fontId="175" fillId="46" borderId="542" xfId="6844" applyFont="1" applyFill="1" applyBorder="1" applyAlignment="1">
      <alignment horizontal="center" vertical="center" wrapText="1" readingOrder="1"/>
    </xf>
    <xf numFmtId="0" fontId="175" fillId="46" borderId="545" xfId="6844" applyFont="1" applyFill="1" applyBorder="1" applyAlignment="1">
      <alignment horizontal="center" vertical="center" wrapText="1" readingOrder="1"/>
    </xf>
    <xf numFmtId="0" fontId="175" fillId="46" borderId="538" xfId="6844" applyFont="1" applyFill="1" applyBorder="1" applyAlignment="1">
      <alignment horizontal="center" vertical="center" wrapText="1" readingOrder="1"/>
    </xf>
    <xf numFmtId="0" fontId="175" fillId="46" borderId="544" xfId="6844" applyFont="1" applyFill="1" applyBorder="1" applyAlignment="1">
      <alignment horizontal="center" vertical="center" wrapText="1" readingOrder="1"/>
    </xf>
    <xf numFmtId="0" fontId="175" fillId="46" borderId="539" xfId="6844" applyFont="1" applyFill="1" applyBorder="1" applyAlignment="1">
      <alignment horizontal="center" vertical="center" wrapText="1" readingOrder="1"/>
    </xf>
    <xf numFmtId="0" fontId="175" fillId="46" borderId="540" xfId="6844" applyFont="1" applyFill="1" applyBorder="1" applyAlignment="1">
      <alignment horizontal="center" vertical="center" wrapText="1" readingOrder="1"/>
    </xf>
    <xf numFmtId="0" fontId="175" fillId="46" borderId="546" xfId="6844" applyFont="1" applyFill="1" applyBorder="1" applyAlignment="1">
      <alignment horizontal="center" vertical="center" wrapText="1" readingOrder="1"/>
    </xf>
    <xf numFmtId="0" fontId="137" fillId="46" borderId="541" xfId="6844" applyFont="1" applyFill="1" applyBorder="1" applyAlignment="1">
      <alignment horizontal="center" vertical="center" wrapText="1" readingOrder="1"/>
    </xf>
    <xf numFmtId="0" fontId="137" fillId="46" borderId="544" xfId="6844" applyFont="1" applyFill="1" applyBorder="1" applyAlignment="1">
      <alignment horizontal="center" vertical="center" wrapText="1" readingOrder="1"/>
    </xf>
    <xf numFmtId="0" fontId="90" fillId="41" borderId="0" xfId="52" applyFont="1" applyFill="1" applyAlignment="1">
      <alignment horizontal="center" vertical="center" wrapText="1"/>
    </xf>
    <xf numFmtId="0" fontId="95" fillId="0" borderId="0" xfId="37" applyFont="1" applyFill="1" applyAlignment="1" applyProtection="1">
      <alignment horizontal="center" vertical="center" wrapText="1"/>
    </xf>
    <xf numFmtId="0" fontId="83" fillId="0" borderId="0" xfId="52" applyFont="1" applyAlignment="1">
      <alignment horizontal="center" vertical="center"/>
    </xf>
    <xf numFmtId="0" fontId="72" fillId="29" borderId="214" xfId="52" quotePrefix="1" applyFont="1" applyFill="1" applyBorder="1" applyAlignment="1">
      <alignment horizontal="center" vertical="center" wrapText="1"/>
    </xf>
    <xf numFmtId="0" fontId="72" fillId="29" borderId="215" xfId="52" quotePrefix="1" applyFont="1" applyFill="1" applyBorder="1" applyAlignment="1">
      <alignment horizontal="center" vertical="center" wrapText="1"/>
    </xf>
    <xf numFmtId="0" fontId="72" fillId="29" borderId="216" xfId="52" quotePrefix="1" applyFont="1" applyFill="1" applyBorder="1" applyAlignment="1">
      <alignment horizontal="center" vertical="center" wrapText="1"/>
    </xf>
    <xf numFmtId="3" fontId="81" fillId="0" borderId="0" xfId="52" quotePrefix="1" applyNumberFormat="1" applyFont="1" applyAlignment="1">
      <alignment horizontal="center" vertical="center"/>
    </xf>
    <xf numFmtId="0" fontId="83" fillId="0" borderId="47" xfId="52" applyFont="1" applyBorder="1" applyAlignment="1">
      <alignment horizontal="center" vertical="center" wrapText="1"/>
    </xf>
    <xf numFmtId="0" fontId="83" fillId="0" borderId="155" xfId="52" applyFont="1" applyBorder="1" applyAlignment="1">
      <alignment horizontal="center" vertical="center" wrapText="1"/>
    </xf>
    <xf numFmtId="0" fontId="72" fillId="0" borderId="214" xfId="52" quotePrefix="1" applyFont="1" applyBorder="1" applyAlignment="1">
      <alignment horizontal="center" vertical="center" wrapText="1"/>
    </xf>
    <xf numFmtId="0" fontId="72" fillId="0" borderId="215" xfId="52" quotePrefix="1" applyFont="1" applyBorder="1" applyAlignment="1">
      <alignment horizontal="center" vertical="center" wrapText="1"/>
    </xf>
    <xf numFmtId="0" fontId="72" fillId="0" borderId="216" xfId="52" quotePrefix="1" applyFont="1" applyBorder="1" applyAlignment="1">
      <alignment horizontal="center" vertical="center" wrapText="1"/>
    </xf>
    <xf numFmtId="0" fontId="68" fillId="49" borderId="0" xfId="0" applyFont="1" applyFill="1" applyAlignment="1">
      <alignment horizontal="center"/>
    </xf>
    <xf numFmtId="0" fontId="66" fillId="51" borderId="240" xfId="0" applyFont="1" applyFill="1" applyBorder="1" applyAlignment="1">
      <alignment horizontal="center"/>
    </xf>
    <xf numFmtId="0" fontId="66" fillId="51" borderId="497" xfId="0" applyFont="1" applyFill="1" applyBorder="1" applyAlignment="1">
      <alignment horizontal="center"/>
    </xf>
    <xf numFmtId="0" fontId="66" fillId="51" borderId="498" xfId="0" applyFont="1" applyFill="1" applyBorder="1" applyAlignment="1">
      <alignment horizontal="center"/>
    </xf>
    <xf numFmtId="0" fontId="66" fillId="53" borderId="503" xfId="0" applyFont="1" applyFill="1" applyBorder="1" applyAlignment="1">
      <alignment horizontal="center"/>
    </xf>
    <xf numFmtId="0" fontId="66" fillId="53" borderId="504" xfId="0" applyFont="1" applyFill="1" applyBorder="1" applyAlignment="1">
      <alignment horizontal="center"/>
    </xf>
    <xf numFmtId="0" fontId="66" fillId="53" borderId="505" xfId="0" applyFont="1" applyFill="1" applyBorder="1" applyAlignment="1">
      <alignment horizontal="center"/>
    </xf>
    <xf numFmtId="0" fontId="105" fillId="48" borderId="199" xfId="0" applyFont="1" applyFill="1" applyBorder="1" applyAlignment="1">
      <alignment horizontal="center"/>
    </xf>
    <xf numFmtId="0" fontId="105" fillId="48" borderId="137" xfId="0" applyFont="1" applyFill="1" applyBorder="1" applyAlignment="1">
      <alignment horizontal="center"/>
    </xf>
    <xf numFmtId="0" fontId="72" fillId="55" borderId="154" xfId="0" applyFont="1" applyFill="1" applyBorder="1" applyAlignment="1">
      <alignment horizontal="center" vertical="center"/>
    </xf>
    <xf numFmtId="0" fontId="72" fillId="55" borderId="111" xfId="0" applyFont="1" applyFill="1" applyBorder="1" applyAlignment="1">
      <alignment horizontal="center" vertical="center"/>
    </xf>
    <xf numFmtId="0" fontId="72" fillId="56" borderId="14" xfId="0" applyFont="1" applyFill="1" applyBorder="1" applyAlignment="1">
      <alignment horizontal="center" vertical="center"/>
    </xf>
    <xf numFmtId="0" fontId="72" fillId="56" borderId="154" xfId="0" applyFont="1" applyFill="1" applyBorder="1" applyAlignment="1">
      <alignment horizontal="center" vertical="center"/>
    </xf>
    <xf numFmtId="0" fontId="72" fillId="56" borderId="120" xfId="0" applyFont="1" applyFill="1" applyBorder="1" applyAlignment="1">
      <alignment horizontal="center" vertical="center"/>
    </xf>
    <xf numFmtId="0" fontId="72" fillId="51" borderId="0" xfId="0" applyFont="1" applyFill="1" applyAlignment="1">
      <alignment horizontal="center" vertical="center" wrapText="1"/>
    </xf>
    <xf numFmtId="0" fontId="72" fillId="51" borderId="156" xfId="0" applyFont="1" applyFill="1" applyBorder="1" applyAlignment="1">
      <alignment horizontal="center" vertical="center" wrapText="1"/>
    </xf>
    <xf numFmtId="0" fontId="72" fillId="51" borderId="0" xfId="0" applyFont="1" applyFill="1" applyAlignment="1">
      <alignment horizontal="center" wrapText="1"/>
    </xf>
    <xf numFmtId="0" fontId="66" fillId="51" borderId="499" xfId="0" applyFont="1" applyFill="1" applyBorder="1" applyAlignment="1">
      <alignment horizontal="center"/>
    </xf>
    <xf numFmtId="0" fontId="66" fillId="53" borderId="500" xfId="0" applyFont="1" applyFill="1" applyBorder="1" applyAlignment="1">
      <alignment horizontal="center"/>
    </xf>
    <xf numFmtId="0" fontId="66" fillId="53" borderId="501" xfId="0" applyFont="1" applyFill="1" applyBorder="1" applyAlignment="1">
      <alignment horizontal="center"/>
    </xf>
    <xf numFmtId="0" fontId="66" fillId="53" borderId="502" xfId="0" applyFont="1" applyFill="1" applyBorder="1" applyAlignment="1">
      <alignment horizontal="center"/>
    </xf>
    <xf numFmtId="0" fontId="66" fillId="55" borderId="105" xfId="0" applyFont="1" applyFill="1" applyBorder="1" applyAlignment="1">
      <alignment horizontal="center"/>
    </xf>
    <xf numFmtId="0" fontId="66" fillId="55" borderId="199" xfId="0" applyFont="1" applyFill="1" applyBorder="1" applyAlignment="1">
      <alignment horizontal="center"/>
    </xf>
    <xf numFmtId="0" fontId="66" fillId="55" borderId="137" xfId="0" applyFont="1" applyFill="1" applyBorder="1" applyAlignment="1">
      <alignment horizontal="center"/>
    </xf>
    <xf numFmtId="0" fontId="72" fillId="105" borderId="0" xfId="0" applyFont="1" applyFill="1" applyAlignment="1">
      <alignment horizontal="center" vertical="center" wrapText="1"/>
    </xf>
    <xf numFmtId="0" fontId="72" fillId="105" borderId="156" xfId="0" applyFont="1" applyFill="1" applyBorder="1" applyAlignment="1">
      <alignment horizontal="center" vertical="center" wrapText="1"/>
    </xf>
    <xf numFmtId="0" fontId="72" fillId="105" borderId="0" xfId="0" applyFont="1" applyFill="1" applyAlignment="1">
      <alignment horizontal="center" wrapText="1"/>
    </xf>
    <xf numFmtId="0" fontId="72" fillId="55" borderId="33" xfId="0" applyFont="1" applyFill="1" applyBorder="1" applyAlignment="1">
      <alignment horizontal="center" vertical="center"/>
    </xf>
    <xf numFmtId="4" fontId="106" fillId="25" borderId="217" xfId="0" applyNumberFormat="1" applyFont="1" applyFill="1" applyBorder="1" applyAlignment="1">
      <alignment horizontal="center" vertical="center" wrapText="1"/>
    </xf>
    <xf numFmtId="4" fontId="106" fillId="25" borderId="0" xfId="0" applyNumberFormat="1" applyFont="1" applyFill="1" applyAlignment="1">
      <alignment horizontal="center" vertical="center" wrapText="1"/>
    </xf>
    <xf numFmtId="0" fontId="138" fillId="25" borderId="526" xfId="0" applyFont="1" applyFill="1" applyBorder="1" applyAlignment="1">
      <alignment horizontal="center" vertical="center"/>
    </xf>
    <xf numFmtId="0" fontId="138" fillId="25" borderId="576" xfId="0" applyFont="1" applyFill="1" applyBorder="1" applyAlignment="1">
      <alignment horizontal="center" vertical="center"/>
    </xf>
    <xf numFmtId="0" fontId="138" fillId="25" borderId="527" xfId="0" applyFont="1" applyFill="1" applyBorder="1" applyAlignment="1">
      <alignment horizontal="center" vertical="center"/>
    </xf>
    <xf numFmtId="0" fontId="138" fillId="25" borderId="217" xfId="0" applyFont="1" applyFill="1" applyBorder="1" applyAlignment="1">
      <alignment horizontal="center" vertical="center"/>
    </xf>
    <xf numFmtId="0" fontId="138" fillId="25" borderId="155" xfId="0" applyFont="1" applyFill="1" applyBorder="1" applyAlignment="1">
      <alignment horizontal="center" vertical="center"/>
    </xf>
    <xf numFmtId="0" fontId="138" fillId="25" borderId="0" xfId="0" applyFont="1" applyFill="1" applyAlignment="1">
      <alignment horizontal="center" vertical="center"/>
    </xf>
    <xf numFmtId="0" fontId="138" fillId="25" borderId="156" xfId="0" applyFont="1" applyFill="1" applyBorder="1" applyAlignment="1">
      <alignment horizontal="center" vertical="center"/>
    </xf>
    <xf numFmtId="0" fontId="66" fillId="44" borderId="105" xfId="0" applyFont="1" applyFill="1" applyBorder="1" applyAlignment="1">
      <alignment horizontal="center"/>
    </xf>
    <xf numFmtId="0" fontId="66" fillId="44" borderId="199" xfId="0" applyFont="1" applyFill="1" applyBorder="1" applyAlignment="1">
      <alignment horizontal="center"/>
    </xf>
    <xf numFmtId="0" fontId="66" fillId="44" borderId="137" xfId="0" applyFont="1" applyFill="1" applyBorder="1" applyAlignment="1">
      <alignment horizontal="center"/>
    </xf>
    <xf numFmtId="0" fontId="66" fillId="57" borderId="105" xfId="0" applyFont="1" applyFill="1" applyBorder="1" applyAlignment="1">
      <alignment horizontal="center"/>
    </xf>
    <xf numFmtId="0" fontId="66" fillId="57" borderId="199" xfId="0" applyFont="1" applyFill="1" applyBorder="1" applyAlignment="1">
      <alignment horizontal="center"/>
    </xf>
    <xf numFmtId="0" fontId="66" fillId="57" borderId="137" xfId="0" applyFont="1" applyFill="1" applyBorder="1" applyAlignment="1">
      <alignment horizontal="center"/>
    </xf>
    <xf numFmtId="0" fontId="66" fillId="60" borderId="105" xfId="0" applyFont="1" applyFill="1" applyBorder="1" applyAlignment="1">
      <alignment horizontal="center"/>
    </xf>
    <xf numFmtId="0" fontId="66" fillId="60" borderId="199" xfId="0" applyFont="1" applyFill="1" applyBorder="1" applyAlignment="1">
      <alignment horizontal="center"/>
    </xf>
    <xf numFmtId="0" fontId="66" fillId="60" borderId="137" xfId="0" applyFont="1" applyFill="1" applyBorder="1" applyAlignment="1">
      <alignment horizontal="center"/>
    </xf>
    <xf numFmtId="0" fontId="66" fillId="61" borderId="105" xfId="0" applyFont="1" applyFill="1" applyBorder="1" applyAlignment="1">
      <alignment horizontal="center"/>
    </xf>
    <xf numFmtId="0" fontId="66" fillId="61" borderId="199" xfId="0" applyFont="1" applyFill="1" applyBorder="1" applyAlignment="1">
      <alignment horizontal="center"/>
    </xf>
    <xf numFmtId="0" fontId="66" fillId="61" borderId="137" xfId="0" applyFont="1" applyFill="1" applyBorder="1" applyAlignment="1">
      <alignment horizontal="center"/>
    </xf>
    <xf numFmtId="0" fontId="72" fillId="56" borderId="414" xfId="0" applyFont="1" applyFill="1" applyBorder="1" applyAlignment="1">
      <alignment horizontal="center" vertical="center"/>
    </xf>
    <xf numFmtId="0" fontId="66" fillId="48" borderId="105" xfId="0" applyFont="1" applyFill="1" applyBorder="1" applyAlignment="1">
      <alignment horizontal="center"/>
    </xf>
    <xf numFmtId="0" fontId="66" fillId="48" borderId="199" xfId="0" applyFont="1" applyFill="1" applyBorder="1" applyAlignment="1">
      <alignment horizontal="center"/>
    </xf>
    <xf numFmtId="0" fontId="66" fillId="48" borderId="137" xfId="0" applyFont="1" applyFill="1" applyBorder="1" applyAlignment="1">
      <alignment horizontal="center"/>
    </xf>
    <xf numFmtId="0" fontId="72" fillId="55" borderId="413" xfId="0" applyFont="1" applyFill="1" applyBorder="1" applyAlignment="1">
      <alignment horizontal="center" vertical="center"/>
    </xf>
    <xf numFmtId="0" fontId="66" fillId="61" borderId="410" xfId="0" applyFont="1" applyFill="1" applyBorder="1" applyAlignment="1">
      <alignment horizontal="center"/>
    </xf>
    <xf numFmtId="0" fontId="66" fillId="61" borderId="411" xfId="0" applyFont="1" applyFill="1" applyBorder="1" applyAlignment="1">
      <alignment horizontal="center"/>
    </xf>
    <xf numFmtId="0" fontId="66" fillId="61" borderId="412" xfId="0" applyFont="1" applyFill="1" applyBorder="1" applyAlignment="1">
      <alignment horizontal="center"/>
    </xf>
    <xf numFmtId="202" fontId="261" fillId="0" borderId="510" xfId="0" applyNumberFormat="1" applyFont="1" applyBorder="1" applyAlignment="1">
      <alignment horizontal="center" vertical="center" wrapText="1"/>
    </xf>
    <xf numFmtId="202" fontId="261" fillId="0" borderId="511" xfId="0" applyNumberFormat="1" applyFont="1" applyBorder="1" applyAlignment="1">
      <alignment horizontal="center" vertical="center" wrapText="1"/>
    </xf>
    <xf numFmtId="202" fontId="261" fillId="0" borderId="512" xfId="0" applyNumberFormat="1" applyFont="1" applyBorder="1" applyAlignment="1">
      <alignment horizontal="center" vertical="center" wrapText="1"/>
    </xf>
    <xf numFmtId="0" fontId="261" fillId="58" borderId="509" xfId="0" applyFont="1" applyFill="1" applyBorder="1" applyAlignment="1">
      <alignment horizontal="center"/>
    </xf>
    <xf numFmtId="0" fontId="261" fillId="0" borderId="513" xfId="0" applyFont="1" applyBorder="1" applyAlignment="1">
      <alignment horizontal="center"/>
    </xf>
    <xf numFmtId="0" fontId="261" fillId="0" borderId="515" xfId="0" applyFont="1" applyBorder="1" applyAlignment="1">
      <alignment horizontal="center"/>
    </xf>
    <xf numFmtId="0" fontId="261" fillId="0" borderId="510" xfId="0" applyFont="1" applyBorder="1" applyAlignment="1">
      <alignment horizontal="center"/>
    </xf>
    <xf numFmtId="0" fontId="261" fillId="0" borderId="512" xfId="0" applyFont="1" applyBorder="1" applyAlignment="1">
      <alignment horizontal="center"/>
    </xf>
    <xf numFmtId="202" fontId="261" fillId="58" borderId="510" xfId="0" applyNumberFormat="1" applyFont="1" applyFill="1" applyBorder="1" applyAlignment="1">
      <alignment horizontal="center" vertical="center" wrapText="1"/>
    </xf>
    <xf numFmtId="202" fontId="261" fillId="58" borderId="511" xfId="0" applyNumberFormat="1" applyFont="1" applyFill="1" applyBorder="1" applyAlignment="1">
      <alignment horizontal="center" vertical="center" wrapText="1"/>
    </xf>
    <xf numFmtId="202" fontId="261" fillId="58" borderId="512" xfId="0" applyNumberFormat="1" applyFont="1" applyFill="1" applyBorder="1" applyAlignment="1">
      <alignment horizontal="center" vertical="center" wrapText="1"/>
    </xf>
    <xf numFmtId="0" fontId="66" fillId="51" borderId="228" xfId="0" applyFont="1" applyFill="1" applyBorder="1" applyAlignment="1">
      <alignment horizontal="center" vertical="center"/>
    </xf>
    <xf numFmtId="0" fontId="72" fillId="51" borderId="228" xfId="0" applyFont="1" applyFill="1" applyBorder="1" applyAlignment="1">
      <alignment horizontal="center" vertical="center"/>
    </xf>
    <xf numFmtId="0" fontId="72" fillId="25" borderId="97" xfId="0" applyFont="1" applyFill="1" applyBorder="1" applyAlignment="1">
      <alignment horizontal="center" vertical="center"/>
    </xf>
    <xf numFmtId="0" fontId="72" fillId="25" borderId="128" xfId="0" applyFont="1" applyFill="1" applyBorder="1" applyAlignment="1">
      <alignment horizontal="center" vertical="center"/>
    </xf>
    <xf numFmtId="0" fontId="22" fillId="29" borderId="218" xfId="0" applyFont="1" applyFill="1" applyBorder="1" applyAlignment="1">
      <alignment horizontal="center" vertical="center"/>
    </xf>
    <xf numFmtId="0" fontId="22" fillId="29" borderId="219" xfId="0" applyFont="1" applyFill="1" applyBorder="1" applyAlignment="1">
      <alignment horizontal="center" vertical="center"/>
    </xf>
    <xf numFmtId="0" fontId="22" fillId="29" borderId="220" xfId="0" applyFont="1" applyFill="1" applyBorder="1" applyAlignment="1">
      <alignment horizontal="center" vertical="center"/>
    </xf>
    <xf numFmtId="0" fontId="22" fillId="25" borderId="97" xfId="0" applyFont="1" applyFill="1" applyBorder="1" applyAlignment="1">
      <alignment horizontal="center" vertical="center"/>
    </xf>
    <xf numFmtId="0" fontId="22" fillId="25" borderId="128" xfId="0" applyFont="1" applyFill="1" applyBorder="1" applyAlignment="1">
      <alignment horizontal="center" vertical="center"/>
    </xf>
    <xf numFmtId="0" fontId="22" fillId="35" borderId="218" xfId="0" applyFont="1" applyFill="1" applyBorder="1" applyAlignment="1">
      <alignment horizontal="center" vertical="center"/>
    </xf>
    <xf numFmtId="0" fontId="22" fillId="35" borderId="219" xfId="0" applyFont="1" applyFill="1" applyBorder="1" applyAlignment="1">
      <alignment horizontal="center" vertical="center"/>
    </xf>
    <xf numFmtId="0" fontId="22" fillId="35" borderId="220" xfId="0" applyFont="1" applyFill="1" applyBorder="1" applyAlignment="1">
      <alignment horizontal="center" vertical="center"/>
    </xf>
    <xf numFmtId="0" fontId="22" fillId="30" borderId="218" xfId="0" applyFont="1" applyFill="1" applyBorder="1" applyAlignment="1">
      <alignment horizontal="center" vertical="center"/>
    </xf>
    <xf numFmtId="0" fontId="22" fillId="30" borderId="219" xfId="0" applyFont="1" applyFill="1" applyBorder="1" applyAlignment="1">
      <alignment horizontal="center" vertical="center"/>
    </xf>
    <xf numFmtId="0" fontId="22" fillId="30" borderId="220" xfId="0" applyFont="1" applyFill="1" applyBorder="1" applyAlignment="1">
      <alignment horizontal="center" vertical="center"/>
    </xf>
    <xf numFmtId="0" fontId="22" fillId="25" borderId="218" xfId="0" applyFont="1" applyFill="1" applyBorder="1" applyAlignment="1">
      <alignment horizontal="center" vertical="center"/>
    </xf>
    <xf numFmtId="0" fontId="22" fillId="25" borderId="219" xfId="0" applyFont="1" applyFill="1" applyBorder="1" applyAlignment="1">
      <alignment horizontal="center" vertical="center"/>
    </xf>
    <xf numFmtId="0" fontId="22" fillId="25" borderId="220" xfId="0" applyFont="1" applyFill="1" applyBorder="1" applyAlignment="1">
      <alignment horizontal="center" vertical="center"/>
    </xf>
    <xf numFmtId="0" fontId="22" fillId="25" borderId="105" xfId="0" applyFont="1" applyFill="1" applyBorder="1" applyAlignment="1">
      <alignment horizontal="center" vertical="center"/>
    </xf>
    <xf numFmtId="0" fontId="22" fillId="25" borderId="33" xfId="0" applyFont="1" applyFill="1" applyBorder="1" applyAlignment="1">
      <alignment horizontal="center" vertical="center"/>
    </xf>
    <xf numFmtId="0" fontId="72" fillId="25" borderId="330" xfId="0" applyFont="1" applyFill="1" applyBorder="1" applyAlignment="1">
      <alignment horizontal="center" vertical="center"/>
    </xf>
    <xf numFmtId="0" fontId="72" fillId="30" borderId="330" xfId="0" applyFont="1" applyFill="1" applyBorder="1" applyAlignment="1">
      <alignment horizontal="center" vertical="center"/>
    </xf>
    <xf numFmtId="0" fontId="72" fillId="35" borderId="330" xfId="0" applyFont="1" applyFill="1" applyBorder="1" applyAlignment="1">
      <alignment horizontal="center" vertical="center"/>
    </xf>
    <xf numFmtId="0" fontId="72" fillId="29" borderId="330" xfId="0" applyFont="1" applyFill="1" applyBorder="1" applyAlignment="1">
      <alignment horizontal="center" vertical="center"/>
    </xf>
  </cellXfs>
  <cellStyles count="6847">
    <cellStyle name="20 % - Accent1" xfId="1" builtinId="30"/>
    <cellStyle name="20 % - Accent1 10" xfId="541" xr:uid="{00000000-0005-0000-0000-000001000000}"/>
    <cellStyle name="20 % - Accent1 10 2" xfId="537" xr:uid="{00000000-0005-0000-0000-000002000000}"/>
    <cellStyle name="20 % - Accent1 10 2 2" xfId="6106" xr:uid="{00000000-0005-0000-0000-000003000000}"/>
    <cellStyle name="20 % - Accent1 10 3" xfId="5377" xr:uid="{00000000-0005-0000-0000-000004000000}"/>
    <cellStyle name="20 % - Accent1 11" xfId="542" xr:uid="{00000000-0005-0000-0000-000005000000}"/>
    <cellStyle name="20 % - Accent1 11 2" xfId="470" xr:uid="{00000000-0005-0000-0000-000006000000}"/>
    <cellStyle name="20 % - Accent1 11 2 2" xfId="6107" xr:uid="{00000000-0005-0000-0000-000007000000}"/>
    <cellStyle name="20 % - Accent1 11 3" xfId="5378" xr:uid="{00000000-0005-0000-0000-000008000000}"/>
    <cellStyle name="20 % - Accent1 12" xfId="543" xr:uid="{00000000-0005-0000-0000-000009000000}"/>
    <cellStyle name="20 % - Accent1 12 2" xfId="469" xr:uid="{00000000-0005-0000-0000-00000A000000}"/>
    <cellStyle name="20 % - Accent1 12 2 2" xfId="6108" xr:uid="{00000000-0005-0000-0000-00000B000000}"/>
    <cellStyle name="20 % - Accent1 12 3" xfId="5379" xr:uid="{00000000-0005-0000-0000-00000C000000}"/>
    <cellStyle name="20 % - Accent1 13" xfId="544" xr:uid="{00000000-0005-0000-0000-00000D000000}"/>
    <cellStyle name="20 % - Accent1 13 2" xfId="525" xr:uid="{00000000-0005-0000-0000-00000E000000}"/>
    <cellStyle name="20 % - Accent1 13 2 2" xfId="6109" xr:uid="{00000000-0005-0000-0000-00000F000000}"/>
    <cellStyle name="20 % - Accent1 13 3" xfId="5380" xr:uid="{00000000-0005-0000-0000-000010000000}"/>
    <cellStyle name="20 % - Accent1 14" xfId="545" xr:uid="{00000000-0005-0000-0000-000011000000}"/>
    <cellStyle name="20 % - Accent1 14 2" xfId="467" xr:uid="{00000000-0005-0000-0000-000012000000}"/>
    <cellStyle name="20 % - Accent1 14 2 2" xfId="6110" xr:uid="{00000000-0005-0000-0000-000013000000}"/>
    <cellStyle name="20 % - Accent1 14 3" xfId="5381" xr:uid="{00000000-0005-0000-0000-000014000000}"/>
    <cellStyle name="20 % - Accent1 15" xfId="546" xr:uid="{00000000-0005-0000-0000-000015000000}"/>
    <cellStyle name="20 % - Accent1 15 2" xfId="482" xr:uid="{00000000-0005-0000-0000-000016000000}"/>
    <cellStyle name="20 % - Accent1 15 2 2" xfId="6111" xr:uid="{00000000-0005-0000-0000-000017000000}"/>
    <cellStyle name="20 % - Accent1 15 3" xfId="5382" xr:uid="{00000000-0005-0000-0000-000018000000}"/>
    <cellStyle name="20 % - Accent1 16" xfId="547" xr:uid="{00000000-0005-0000-0000-000019000000}"/>
    <cellStyle name="20 % - Accent1 16 2" xfId="478" xr:uid="{00000000-0005-0000-0000-00001A000000}"/>
    <cellStyle name="20 % - Accent1 16 2 2" xfId="6112" xr:uid="{00000000-0005-0000-0000-00001B000000}"/>
    <cellStyle name="20 % - Accent1 16 3" xfId="5383" xr:uid="{00000000-0005-0000-0000-00001C000000}"/>
    <cellStyle name="20 % - Accent1 17" xfId="548" xr:uid="{00000000-0005-0000-0000-00001D000000}"/>
    <cellStyle name="20 % - Accent1 17 2" xfId="2950" xr:uid="{00000000-0005-0000-0000-00001E000000}"/>
    <cellStyle name="20 % - Accent1 17 2 2" xfId="6113" xr:uid="{00000000-0005-0000-0000-00001F000000}"/>
    <cellStyle name="20 % - Accent1 17 3" xfId="5384" xr:uid="{00000000-0005-0000-0000-000020000000}"/>
    <cellStyle name="20 % - Accent1 18" xfId="549" xr:uid="{00000000-0005-0000-0000-000021000000}"/>
    <cellStyle name="20 % - Accent1 18 2" xfId="2951" xr:uid="{00000000-0005-0000-0000-000022000000}"/>
    <cellStyle name="20 % - Accent1 18 2 2" xfId="6114" xr:uid="{00000000-0005-0000-0000-000023000000}"/>
    <cellStyle name="20 % - Accent1 18 3" xfId="5385" xr:uid="{00000000-0005-0000-0000-000024000000}"/>
    <cellStyle name="20 % - Accent1 19" xfId="550" xr:uid="{00000000-0005-0000-0000-000025000000}"/>
    <cellStyle name="20 % - Accent1 19 2" xfId="2952" xr:uid="{00000000-0005-0000-0000-000026000000}"/>
    <cellStyle name="20 % - Accent1 19 2 2" xfId="6115" xr:uid="{00000000-0005-0000-0000-000027000000}"/>
    <cellStyle name="20 % - Accent1 19 3" xfId="5386" xr:uid="{00000000-0005-0000-0000-000028000000}"/>
    <cellStyle name="20 % - Accent1 2" xfId="2" xr:uid="{00000000-0005-0000-0000-000029000000}"/>
    <cellStyle name="20 % - Accent1 2 2" xfId="551" xr:uid="{00000000-0005-0000-0000-00002A000000}"/>
    <cellStyle name="20 % - Accent1 2 3" xfId="2953" xr:uid="{00000000-0005-0000-0000-00002B000000}"/>
    <cellStyle name="20 % - Accent1 20" xfId="552" xr:uid="{00000000-0005-0000-0000-00002C000000}"/>
    <cellStyle name="20 % - Accent1 20 2" xfId="2954" xr:uid="{00000000-0005-0000-0000-00002D000000}"/>
    <cellStyle name="20 % - Accent1 20 2 2" xfId="6116" xr:uid="{00000000-0005-0000-0000-00002E000000}"/>
    <cellStyle name="20 % - Accent1 20 3" xfId="5387" xr:uid="{00000000-0005-0000-0000-00002F000000}"/>
    <cellStyle name="20 % - Accent1 21" xfId="553" xr:uid="{00000000-0005-0000-0000-000030000000}"/>
    <cellStyle name="20 % - Accent1 21 2" xfId="2955" xr:uid="{00000000-0005-0000-0000-000031000000}"/>
    <cellStyle name="20 % - Accent1 21 2 2" xfId="6117" xr:uid="{00000000-0005-0000-0000-000032000000}"/>
    <cellStyle name="20 % - Accent1 21 3" xfId="5388" xr:uid="{00000000-0005-0000-0000-000033000000}"/>
    <cellStyle name="20 % - Accent1 22" xfId="554" xr:uid="{00000000-0005-0000-0000-000034000000}"/>
    <cellStyle name="20 % - Accent1 22 2" xfId="2956" xr:uid="{00000000-0005-0000-0000-000035000000}"/>
    <cellStyle name="20 % - Accent1 22 2 2" xfId="6118" xr:uid="{00000000-0005-0000-0000-000036000000}"/>
    <cellStyle name="20 % - Accent1 22 3" xfId="5389" xr:uid="{00000000-0005-0000-0000-000037000000}"/>
    <cellStyle name="20 % - Accent1 23" xfId="555" xr:uid="{00000000-0005-0000-0000-000038000000}"/>
    <cellStyle name="20 % - Accent1 23 2" xfId="2957" xr:uid="{00000000-0005-0000-0000-000039000000}"/>
    <cellStyle name="20 % - Accent1 23 2 2" xfId="6119" xr:uid="{00000000-0005-0000-0000-00003A000000}"/>
    <cellStyle name="20 % - Accent1 23 3" xfId="5390" xr:uid="{00000000-0005-0000-0000-00003B000000}"/>
    <cellStyle name="20 % - Accent1 24" xfId="556" xr:uid="{00000000-0005-0000-0000-00003C000000}"/>
    <cellStyle name="20 % - Accent1 24 2" xfId="2958" xr:uid="{00000000-0005-0000-0000-00003D000000}"/>
    <cellStyle name="20 % - Accent1 24 2 2" xfId="6120" xr:uid="{00000000-0005-0000-0000-00003E000000}"/>
    <cellStyle name="20 % - Accent1 24 3" xfId="5391" xr:uid="{00000000-0005-0000-0000-00003F000000}"/>
    <cellStyle name="20 % - Accent1 25" xfId="557" xr:uid="{00000000-0005-0000-0000-000040000000}"/>
    <cellStyle name="20 % - Accent1 25 2" xfId="2959" xr:uid="{00000000-0005-0000-0000-000041000000}"/>
    <cellStyle name="20 % - Accent1 25 2 2" xfId="6121" xr:uid="{00000000-0005-0000-0000-000042000000}"/>
    <cellStyle name="20 % - Accent1 25 3" xfId="5392" xr:uid="{00000000-0005-0000-0000-000043000000}"/>
    <cellStyle name="20 % - Accent1 26" xfId="558" xr:uid="{00000000-0005-0000-0000-000044000000}"/>
    <cellStyle name="20 % - Accent1 26 2" xfId="2960" xr:uid="{00000000-0005-0000-0000-000045000000}"/>
    <cellStyle name="20 % - Accent1 26 2 2" xfId="6122" xr:uid="{00000000-0005-0000-0000-000046000000}"/>
    <cellStyle name="20 % - Accent1 26 3" xfId="5393" xr:uid="{00000000-0005-0000-0000-000047000000}"/>
    <cellStyle name="20 % - Accent1 27" xfId="559" xr:uid="{00000000-0005-0000-0000-000048000000}"/>
    <cellStyle name="20 % - Accent1 27 2" xfId="2961" xr:uid="{00000000-0005-0000-0000-000049000000}"/>
    <cellStyle name="20 % - Accent1 27 2 2" xfId="6123" xr:uid="{00000000-0005-0000-0000-00004A000000}"/>
    <cellStyle name="20 % - Accent1 27 3" xfId="5394" xr:uid="{00000000-0005-0000-0000-00004B000000}"/>
    <cellStyle name="20 % - Accent1 28" xfId="560" xr:uid="{00000000-0005-0000-0000-00004C000000}"/>
    <cellStyle name="20 % - Accent1 28 2" xfId="2962" xr:uid="{00000000-0005-0000-0000-00004D000000}"/>
    <cellStyle name="20 % - Accent1 28 2 2" xfId="6124" xr:uid="{00000000-0005-0000-0000-00004E000000}"/>
    <cellStyle name="20 % - Accent1 28 3" xfId="5395" xr:uid="{00000000-0005-0000-0000-00004F000000}"/>
    <cellStyle name="20 % - Accent1 29" xfId="561" xr:uid="{00000000-0005-0000-0000-000050000000}"/>
    <cellStyle name="20 % - Accent1 29 2" xfId="2963" xr:uid="{00000000-0005-0000-0000-000051000000}"/>
    <cellStyle name="20 % - Accent1 29 2 2" xfId="6125" xr:uid="{00000000-0005-0000-0000-000052000000}"/>
    <cellStyle name="20 % - Accent1 29 3" xfId="5396" xr:uid="{00000000-0005-0000-0000-000053000000}"/>
    <cellStyle name="20 % - Accent1 3" xfId="168" xr:uid="{00000000-0005-0000-0000-000054000000}"/>
    <cellStyle name="20 % - Accent1 3 2" xfId="562" xr:uid="{00000000-0005-0000-0000-000055000000}"/>
    <cellStyle name="20 % - Accent1 3 2 2" xfId="6126" xr:uid="{00000000-0005-0000-0000-000056000000}"/>
    <cellStyle name="20 % - Accent1 3 3" xfId="2964" xr:uid="{00000000-0005-0000-0000-000057000000}"/>
    <cellStyle name="20 % - Accent1 3 4" xfId="5397" xr:uid="{00000000-0005-0000-0000-000058000000}"/>
    <cellStyle name="20 % - Accent1 30" xfId="563" xr:uid="{00000000-0005-0000-0000-000059000000}"/>
    <cellStyle name="20 % - Accent1 30 2" xfId="2965" xr:uid="{00000000-0005-0000-0000-00005A000000}"/>
    <cellStyle name="20 % - Accent1 30 2 2" xfId="6127" xr:uid="{00000000-0005-0000-0000-00005B000000}"/>
    <cellStyle name="20 % - Accent1 30 3" xfId="5398" xr:uid="{00000000-0005-0000-0000-00005C000000}"/>
    <cellStyle name="20 % - Accent1 31" xfId="564" xr:uid="{00000000-0005-0000-0000-00005D000000}"/>
    <cellStyle name="20 % - Accent1 31 2" xfId="2966" xr:uid="{00000000-0005-0000-0000-00005E000000}"/>
    <cellStyle name="20 % - Accent1 31 2 2" xfId="6128" xr:uid="{00000000-0005-0000-0000-00005F000000}"/>
    <cellStyle name="20 % - Accent1 31 3" xfId="5399" xr:uid="{00000000-0005-0000-0000-000060000000}"/>
    <cellStyle name="20 % - Accent1 32" xfId="565" xr:uid="{00000000-0005-0000-0000-000061000000}"/>
    <cellStyle name="20 % - Accent1 32 2" xfId="2967" xr:uid="{00000000-0005-0000-0000-000062000000}"/>
    <cellStyle name="20 % - Accent1 32 2 2" xfId="6129" xr:uid="{00000000-0005-0000-0000-000063000000}"/>
    <cellStyle name="20 % - Accent1 32 3" xfId="5400" xr:uid="{00000000-0005-0000-0000-000064000000}"/>
    <cellStyle name="20 % - Accent1 33" xfId="566" xr:uid="{00000000-0005-0000-0000-000065000000}"/>
    <cellStyle name="20 % - Accent1 33 2" xfId="2968" xr:uid="{00000000-0005-0000-0000-000066000000}"/>
    <cellStyle name="20 % - Accent1 33 2 2" xfId="6130" xr:uid="{00000000-0005-0000-0000-000067000000}"/>
    <cellStyle name="20 % - Accent1 33 3" xfId="5401" xr:uid="{00000000-0005-0000-0000-000068000000}"/>
    <cellStyle name="20 % - Accent1 34" xfId="567" xr:uid="{00000000-0005-0000-0000-000069000000}"/>
    <cellStyle name="20 % - Accent1 34 2" xfId="2969" xr:uid="{00000000-0005-0000-0000-00006A000000}"/>
    <cellStyle name="20 % - Accent1 34 2 2" xfId="6131" xr:uid="{00000000-0005-0000-0000-00006B000000}"/>
    <cellStyle name="20 % - Accent1 34 3" xfId="5402" xr:uid="{00000000-0005-0000-0000-00006C000000}"/>
    <cellStyle name="20 % - Accent1 35" xfId="568" xr:uid="{00000000-0005-0000-0000-00006D000000}"/>
    <cellStyle name="20 % - Accent1 35 2" xfId="2970" xr:uid="{00000000-0005-0000-0000-00006E000000}"/>
    <cellStyle name="20 % - Accent1 35 2 2" xfId="6132" xr:uid="{00000000-0005-0000-0000-00006F000000}"/>
    <cellStyle name="20 % - Accent1 35 3" xfId="5403" xr:uid="{00000000-0005-0000-0000-000070000000}"/>
    <cellStyle name="20 % - Accent1 36" xfId="569" xr:uid="{00000000-0005-0000-0000-000071000000}"/>
    <cellStyle name="20 % - Accent1 36 2" xfId="2971" xr:uid="{00000000-0005-0000-0000-000072000000}"/>
    <cellStyle name="20 % - Accent1 36 2 2" xfId="6133" xr:uid="{00000000-0005-0000-0000-000073000000}"/>
    <cellStyle name="20 % - Accent1 36 3" xfId="5404" xr:uid="{00000000-0005-0000-0000-000074000000}"/>
    <cellStyle name="20 % - Accent1 37" xfId="570" xr:uid="{00000000-0005-0000-0000-000075000000}"/>
    <cellStyle name="20 % - Accent1 37 2" xfId="2972" xr:uid="{00000000-0005-0000-0000-000076000000}"/>
    <cellStyle name="20 % - Accent1 37 2 2" xfId="6134" xr:uid="{00000000-0005-0000-0000-000077000000}"/>
    <cellStyle name="20 % - Accent1 37 3" xfId="5405" xr:uid="{00000000-0005-0000-0000-000078000000}"/>
    <cellStyle name="20 % - Accent1 38" xfId="571" xr:uid="{00000000-0005-0000-0000-000079000000}"/>
    <cellStyle name="20 % - Accent1 38 2" xfId="2973" xr:uid="{00000000-0005-0000-0000-00007A000000}"/>
    <cellStyle name="20 % - Accent1 38 2 2" xfId="6135" xr:uid="{00000000-0005-0000-0000-00007B000000}"/>
    <cellStyle name="20 % - Accent1 38 3" xfId="5406" xr:uid="{00000000-0005-0000-0000-00007C000000}"/>
    <cellStyle name="20 % - Accent1 39" xfId="572" xr:uid="{00000000-0005-0000-0000-00007D000000}"/>
    <cellStyle name="20 % - Accent1 39 2" xfId="2974" xr:uid="{00000000-0005-0000-0000-00007E000000}"/>
    <cellStyle name="20 % - Accent1 39 2 2" xfId="6136" xr:uid="{00000000-0005-0000-0000-00007F000000}"/>
    <cellStyle name="20 % - Accent1 39 3" xfId="5407" xr:uid="{00000000-0005-0000-0000-000080000000}"/>
    <cellStyle name="20 % - Accent1 4" xfId="169" xr:uid="{00000000-0005-0000-0000-000081000000}"/>
    <cellStyle name="20 % - Accent1 4 2" xfId="573" xr:uid="{00000000-0005-0000-0000-000082000000}"/>
    <cellStyle name="20 % - Accent1 4 2 2" xfId="6137" xr:uid="{00000000-0005-0000-0000-000083000000}"/>
    <cellStyle name="20 % - Accent1 4 3" xfId="2975" xr:uid="{00000000-0005-0000-0000-000084000000}"/>
    <cellStyle name="20 % - Accent1 4 4" xfId="5408" xr:uid="{00000000-0005-0000-0000-000085000000}"/>
    <cellStyle name="20 % - Accent1 40" xfId="574" xr:uid="{00000000-0005-0000-0000-000086000000}"/>
    <cellStyle name="20 % - Accent1 40 2" xfId="2976" xr:uid="{00000000-0005-0000-0000-000087000000}"/>
    <cellStyle name="20 % - Accent1 40 2 2" xfId="6138" xr:uid="{00000000-0005-0000-0000-000088000000}"/>
    <cellStyle name="20 % - Accent1 40 3" xfId="5409" xr:uid="{00000000-0005-0000-0000-000089000000}"/>
    <cellStyle name="20 % - Accent1 41" xfId="575" xr:uid="{00000000-0005-0000-0000-00008A000000}"/>
    <cellStyle name="20 % - Accent1 41 2" xfId="2977" xr:uid="{00000000-0005-0000-0000-00008B000000}"/>
    <cellStyle name="20 % - Accent1 41 2 2" xfId="6139" xr:uid="{00000000-0005-0000-0000-00008C000000}"/>
    <cellStyle name="20 % - Accent1 41 3" xfId="5410" xr:uid="{00000000-0005-0000-0000-00008D000000}"/>
    <cellStyle name="20 % - Accent1 42" xfId="576" xr:uid="{00000000-0005-0000-0000-00008E000000}"/>
    <cellStyle name="20 % - Accent1 42 2" xfId="2978" xr:uid="{00000000-0005-0000-0000-00008F000000}"/>
    <cellStyle name="20 % - Accent1 42 2 2" xfId="6140" xr:uid="{00000000-0005-0000-0000-000090000000}"/>
    <cellStyle name="20 % - Accent1 42 3" xfId="5411" xr:uid="{00000000-0005-0000-0000-000091000000}"/>
    <cellStyle name="20 % - Accent1 43" xfId="577" xr:uid="{00000000-0005-0000-0000-000092000000}"/>
    <cellStyle name="20 % - Accent1 43 2" xfId="2979" xr:uid="{00000000-0005-0000-0000-000093000000}"/>
    <cellStyle name="20 % - Accent1 43 2 2" xfId="6141" xr:uid="{00000000-0005-0000-0000-000094000000}"/>
    <cellStyle name="20 % - Accent1 43 3" xfId="5412" xr:uid="{00000000-0005-0000-0000-000095000000}"/>
    <cellStyle name="20 % - Accent1 44" xfId="578" xr:uid="{00000000-0005-0000-0000-000096000000}"/>
    <cellStyle name="20 % - Accent1 44 2" xfId="2980" xr:uid="{00000000-0005-0000-0000-000097000000}"/>
    <cellStyle name="20 % - Accent1 44 2 2" xfId="6142" xr:uid="{00000000-0005-0000-0000-000098000000}"/>
    <cellStyle name="20 % - Accent1 44 3" xfId="5413" xr:uid="{00000000-0005-0000-0000-000099000000}"/>
    <cellStyle name="20 % - Accent1 45" xfId="579" xr:uid="{00000000-0005-0000-0000-00009A000000}"/>
    <cellStyle name="20 % - Accent1 45 2" xfId="2981" xr:uid="{00000000-0005-0000-0000-00009B000000}"/>
    <cellStyle name="20 % - Accent1 45 2 2" xfId="6143" xr:uid="{00000000-0005-0000-0000-00009C000000}"/>
    <cellStyle name="20 % - Accent1 45 3" xfId="5414" xr:uid="{00000000-0005-0000-0000-00009D000000}"/>
    <cellStyle name="20 % - Accent1 46" xfId="580" xr:uid="{00000000-0005-0000-0000-00009E000000}"/>
    <cellStyle name="20 % - Accent1 46 2" xfId="2982" xr:uid="{00000000-0005-0000-0000-00009F000000}"/>
    <cellStyle name="20 % - Accent1 46 2 2" xfId="6144" xr:uid="{00000000-0005-0000-0000-0000A0000000}"/>
    <cellStyle name="20 % - Accent1 46 3" xfId="5415" xr:uid="{00000000-0005-0000-0000-0000A1000000}"/>
    <cellStyle name="20 % - Accent1 47" xfId="581" xr:uid="{00000000-0005-0000-0000-0000A2000000}"/>
    <cellStyle name="20 % - Accent1 47 2" xfId="2983" xr:uid="{00000000-0005-0000-0000-0000A3000000}"/>
    <cellStyle name="20 % - Accent1 47 2 2" xfId="6145" xr:uid="{00000000-0005-0000-0000-0000A4000000}"/>
    <cellStyle name="20 % - Accent1 47 3" xfId="5416" xr:uid="{00000000-0005-0000-0000-0000A5000000}"/>
    <cellStyle name="20 % - Accent1 48" xfId="582" xr:uid="{00000000-0005-0000-0000-0000A6000000}"/>
    <cellStyle name="20 % - Accent1 48 2" xfId="2984" xr:uid="{00000000-0005-0000-0000-0000A7000000}"/>
    <cellStyle name="20 % - Accent1 48 2 2" xfId="6146" xr:uid="{00000000-0005-0000-0000-0000A8000000}"/>
    <cellStyle name="20 % - Accent1 48 3" xfId="5417" xr:uid="{00000000-0005-0000-0000-0000A9000000}"/>
    <cellStyle name="20 % - Accent1 49" xfId="583" xr:uid="{00000000-0005-0000-0000-0000AA000000}"/>
    <cellStyle name="20 % - Accent1 49 2" xfId="2985" xr:uid="{00000000-0005-0000-0000-0000AB000000}"/>
    <cellStyle name="20 % - Accent1 49 2 2" xfId="6147" xr:uid="{00000000-0005-0000-0000-0000AC000000}"/>
    <cellStyle name="20 % - Accent1 49 3" xfId="5418" xr:uid="{00000000-0005-0000-0000-0000AD000000}"/>
    <cellStyle name="20 % - Accent1 5" xfId="170" xr:uid="{00000000-0005-0000-0000-0000AE000000}"/>
    <cellStyle name="20 % - Accent1 5 2" xfId="584" xr:uid="{00000000-0005-0000-0000-0000AF000000}"/>
    <cellStyle name="20 % - Accent1 5 2 2" xfId="6148" xr:uid="{00000000-0005-0000-0000-0000B0000000}"/>
    <cellStyle name="20 % - Accent1 5 3" xfId="2986" xr:uid="{00000000-0005-0000-0000-0000B1000000}"/>
    <cellStyle name="20 % - Accent1 5 4" xfId="5419" xr:uid="{00000000-0005-0000-0000-0000B2000000}"/>
    <cellStyle name="20 % - Accent1 50" xfId="585" xr:uid="{00000000-0005-0000-0000-0000B3000000}"/>
    <cellStyle name="20 % - Accent1 50 2" xfId="2987" xr:uid="{00000000-0005-0000-0000-0000B4000000}"/>
    <cellStyle name="20 % - Accent1 50 2 2" xfId="6149" xr:uid="{00000000-0005-0000-0000-0000B5000000}"/>
    <cellStyle name="20 % - Accent1 50 3" xfId="5420" xr:uid="{00000000-0005-0000-0000-0000B6000000}"/>
    <cellStyle name="20 % - Accent1 51" xfId="586" xr:uid="{00000000-0005-0000-0000-0000B7000000}"/>
    <cellStyle name="20 % - Accent1 51 2" xfId="2988" xr:uid="{00000000-0005-0000-0000-0000B8000000}"/>
    <cellStyle name="20 % - Accent1 51 2 2" xfId="6150" xr:uid="{00000000-0005-0000-0000-0000B9000000}"/>
    <cellStyle name="20 % - Accent1 51 3" xfId="5421" xr:uid="{00000000-0005-0000-0000-0000BA000000}"/>
    <cellStyle name="20 % - Accent1 52" xfId="587" xr:uid="{00000000-0005-0000-0000-0000BB000000}"/>
    <cellStyle name="20 % - Accent1 52 2" xfId="2989" xr:uid="{00000000-0005-0000-0000-0000BC000000}"/>
    <cellStyle name="20 % - Accent1 52 2 2" xfId="6151" xr:uid="{00000000-0005-0000-0000-0000BD000000}"/>
    <cellStyle name="20 % - Accent1 52 3" xfId="5422" xr:uid="{00000000-0005-0000-0000-0000BE000000}"/>
    <cellStyle name="20 % - Accent1 53" xfId="588" xr:uid="{00000000-0005-0000-0000-0000BF000000}"/>
    <cellStyle name="20 % - Accent1 53 2" xfId="2990" xr:uid="{00000000-0005-0000-0000-0000C0000000}"/>
    <cellStyle name="20 % - Accent1 53 2 2" xfId="6152" xr:uid="{00000000-0005-0000-0000-0000C1000000}"/>
    <cellStyle name="20 % - Accent1 53 3" xfId="5423" xr:uid="{00000000-0005-0000-0000-0000C2000000}"/>
    <cellStyle name="20 % - Accent1 54" xfId="589" xr:uid="{00000000-0005-0000-0000-0000C3000000}"/>
    <cellStyle name="20 % - Accent1 54 2" xfId="2991" xr:uid="{00000000-0005-0000-0000-0000C4000000}"/>
    <cellStyle name="20 % - Accent1 54 2 2" xfId="6153" xr:uid="{00000000-0005-0000-0000-0000C5000000}"/>
    <cellStyle name="20 % - Accent1 54 3" xfId="5424" xr:uid="{00000000-0005-0000-0000-0000C6000000}"/>
    <cellStyle name="20 % - Accent1 55" xfId="590" xr:uid="{00000000-0005-0000-0000-0000C7000000}"/>
    <cellStyle name="20 % - Accent1 55 2" xfId="2992" xr:uid="{00000000-0005-0000-0000-0000C8000000}"/>
    <cellStyle name="20 % - Accent1 55 2 2" xfId="6154" xr:uid="{00000000-0005-0000-0000-0000C9000000}"/>
    <cellStyle name="20 % - Accent1 55 3" xfId="5425" xr:uid="{00000000-0005-0000-0000-0000CA000000}"/>
    <cellStyle name="20 % - Accent1 56" xfId="591" xr:uid="{00000000-0005-0000-0000-0000CB000000}"/>
    <cellStyle name="20 % - Accent1 56 2" xfId="2993" xr:uid="{00000000-0005-0000-0000-0000CC000000}"/>
    <cellStyle name="20 % - Accent1 56 2 2" xfId="6155" xr:uid="{00000000-0005-0000-0000-0000CD000000}"/>
    <cellStyle name="20 % - Accent1 56 3" xfId="5426" xr:uid="{00000000-0005-0000-0000-0000CE000000}"/>
    <cellStyle name="20 % - Accent1 57" xfId="592" xr:uid="{00000000-0005-0000-0000-0000CF000000}"/>
    <cellStyle name="20 % - Accent1 57 2" xfId="2994" xr:uid="{00000000-0005-0000-0000-0000D0000000}"/>
    <cellStyle name="20 % - Accent1 57 2 2" xfId="6156" xr:uid="{00000000-0005-0000-0000-0000D1000000}"/>
    <cellStyle name="20 % - Accent1 57 3" xfId="5427" xr:uid="{00000000-0005-0000-0000-0000D2000000}"/>
    <cellStyle name="20 % - Accent1 58" xfId="593" xr:uid="{00000000-0005-0000-0000-0000D3000000}"/>
    <cellStyle name="20 % - Accent1 58 2" xfId="2995" xr:uid="{00000000-0005-0000-0000-0000D4000000}"/>
    <cellStyle name="20 % - Accent1 58 2 2" xfId="6157" xr:uid="{00000000-0005-0000-0000-0000D5000000}"/>
    <cellStyle name="20 % - Accent1 58 3" xfId="5428" xr:uid="{00000000-0005-0000-0000-0000D6000000}"/>
    <cellStyle name="20 % - Accent1 59" xfId="594" xr:uid="{00000000-0005-0000-0000-0000D7000000}"/>
    <cellStyle name="20 % - Accent1 59 2" xfId="2996" xr:uid="{00000000-0005-0000-0000-0000D8000000}"/>
    <cellStyle name="20 % - Accent1 59 2 2" xfId="6158" xr:uid="{00000000-0005-0000-0000-0000D9000000}"/>
    <cellStyle name="20 % - Accent1 59 3" xfId="5429" xr:uid="{00000000-0005-0000-0000-0000DA000000}"/>
    <cellStyle name="20 % - Accent1 6" xfId="171" xr:uid="{00000000-0005-0000-0000-0000DB000000}"/>
    <cellStyle name="20 % - Accent1 6 2" xfId="595" xr:uid="{00000000-0005-0000-0000-0000DC000000}"/>
    <cellStyle name="20 % - Accent1 6 2 2" xfId="6159" xr:uid="{00000000-0005-0000-0000-0000DD000000}"/>
    <cellStyle name="20 % - Accent1 6 3" xfId="2997" xr:uid="{00000000-0005-0000-0000-0000DE000000}"/>
    <cellStyle name="20 % - Accent1 6 4" xfId="5430" xr:uid="{00000000-0005-0000-0000-0000DF000000}"/>
    <cellStyle name="20 % - Accent1 7" xfId="172" xr:uid="{00000000-0005-0000-0000-0000E0000000}"/>
    <cellStyle name="20 % - Accent1 7 2" xfId="596" xr:uid="{00000000-0005-0000-0000-0000E1000000}"/>
    <cellStyle name="20 % - Accent1 7 2 2" xfId="6160" xr:uid="{00000000-0005-0000-0000-0000E2000000}"/>
    <cellStyle name="20 % - Accent1 7 3" xfId="2998" xr:uid="{00000000-0005-0000-0000-0000E3000000}"/>
    <cellStyle name="20 % - Accent1 7 4" xfId="5431" xr:uid="{00000000-0005-0000-0000-0000E4000000}"/>
    <cellStyle name="20 % - Accent1 8" xfId="173" xr:uid="{00000000-0005-0000-0000-0000E5000000}"/>
    <cellStyle name="20 % - Accent1 8 2" xfId="597" xr:uid="{00000000-0005-0000-0000-0000E6000000}"/>
    <cellStyle name="20 % - Accent1 8 2 2" xfId="6161" xr:uid="{00000000-0005-0000-0000-0000E7000000}"/>
    <cellStyle name="20 % - Accent1 8 3" xfId="2999" xr:uid="{00000000-0005-0000-0000-0000E8000000}"/>
    <cellStyle name="20 % - Accent1 8 4" xfId="5432" xr:uid="{00000000-0005-0000-0000-0000E9000000}"/>
    <cellStyle name="20 % - Accent1 9" xfId="598" xr:uid="{00000000-0005-0000-0000-0000EA000000}"/>
    <cellStyle name="20 % - Accent1 9 2" xfId="3000" xr:uid="{00000000-0005-0000-0000-0000EB000000}"/>
    <cellStyle name="20 % - Accent1 9 2 2" xfId="6162" xr:uid="{00000000-0005-0000-0000-0000EC000000}"/>
    <cellStyle name="20 % - Accent1 9 3" xfId="5433" xr:uid="{00000000-0005-0000-0000-0000ED000000}"/>
    <cellStyle name="20 % - Accent2" xfId="3" builtinId="34"/>
    <cellStyle name="20 % - Accent2 10" xfId="599" xr:uid="{00000000-0005-0000-0000-0000EF000000}"/>
    <cellStyle name="20 % - Accent2 10 2" xfId="3001" xr:uid="{00000000-0005-0000-0000-0000F0000000}"/>
    <cellStyle name="20 % - Accent2 10 2 2" xfId="6163" xr:uid="{00000000-0005-0000-0000-0000F1000000}"/>
    <cellStyle name="20 % - Accent2 10 3" xfId="5434" xr:uid="{00000000-0005-0000-0000-0000F2000000}"/>
    <cellStyle name="20 % - Accent2 11" xfId="600" xr:uid="{00000000-0005-0000-0000-0000F3000000}"/>
    <cellStyle name="20 % - Accent2 11 2" xfId="3002" xr:uid="{00000000-0005-0000-0000-0000F4000000}"/>
    <cellStyle name="20 % - Accent2 11 2 2" xfId="6164" xr:uid="{00000000-0005-0000-0000-0000F5000000}"/>
    <cellStyle name="20 % - Accent2 11 3" xfId="5435" xr:uid="{00000000-0005-0000-0000-0000F6000000}"/>
    <cellStyle name="20 % - Accent2 12" xfId="601" xr:uid="{00000000-0005-0000-0000-0000F7000000}"/>
    <cellStyle name="20 % - Accent2 12 2" xfId="3003" xr:uid="{00000000-0005-0000-0000-0000F8000000}"/>
    <cellStyle name="20 % - Accent2 12 2 2" xfId="6165" xr:uid="{00000000-0005-0000-0000-0000F9000000}"/>
    <cellStyle name="20 % - Accent2 12 3" xfId="5436" xr:uid="{00000000-0005-0000-0000-0000FA000000}"/>
    <cellStyle name="20 % - Accent2 13" xfId="602" xr:uid="{00000000-0005-0000-0000-0000FB000000}"/>
    <cellStyle name="20 % - Accent2 13 2" xfId="3004" xr:uid="{00000000-0005-0000-0000-0000FC000000}"/>
    <cellStyle name="20 % - Accent2 13 2 2" xfId="6166" xr:uid="{00000000-0005-0000-0000-0000FD000000}"/>
    <cellStyle name="20 % - Accent2 13 3" xfId="5437" xr:uid="{00000000-0005-0000-0000-0000FE000000}"/>
    <cellStyle name="20 % - Accent2 14" xfId="603" xr:uid="{00000000-0005-0000-0000-0000FF000000}"/>
    <cellStyle name="20 % - Accent2 14 2" xfId="3005" xr:uid="{00000000-0005-0000-0000-000000010000}"/>
    <cellStyle name="20 % - Accent2 14 2 2" xfId="6167" xr:uid="{00000000-0005-0000-0000-000001010000}"/>
    <cellStyle name="20 % - Accent2 14 3" xfId="5438" xr:uid="{00000000-0005-0000-0000-000002010000}"/>
    <cellStyle name="20 % - Accent2 15" xfId="604" xr:uid="{00000000-0005-0000-0000-000003010000}"/>
    <cellStyle name="20 % - Accent2 15 2" xfId="3006" xr:uid="{00000000-0005-0000-0000-000004010000}"/>
    <cellStyle name="20 % - Accent2 15 2 2" xfId="6168" xr:uid="{00000000-0005-0000-0000-000005010000}"/>
    <cellStyle name="20 % - Accent2 15 3" xfId="5439" xr:uid="{00000000-0005-0000-0000-000006010000}"/>
    <cellStyle name="20 % - Accent2 16" xfId="605" xr:uid="{00000000-0005-0000-0000-000007010000}"/>
    <cellStyle name="20 % - Accent2 16 2" xfId="3007" xr:uid="{00000000-0005-0000-0000-000008010000}"/>
    <cellStyle name="20 % - Accent2 16 2 2" xfId="6169" xr:uid="{00000000-0005-0000-0000-000009010000}"/>
    <cellStyle name="20 % - Accent2 16 3" xfId="5440" xr:uid="{00000000-0005-0000-0000-00000A010000}"/>
    <cellStyle name="20 % - Accent2 17" xfId="606" xr:uid="{00000000-0005-0000-0000-00000B010000}"/>
    <cellStyle name="20 % - Accent2 17 2" xfId="3008" xr:uid="{00000000-0005-0000-0000-00000C010000}"/>
    <cellStyle name="20 % - Accent2 17 2 2" xfId="6170" xr:uid="{00000000-0005-0000-0000-00000D010000}"/>
    <cellStyle name="20 % - Accent2 17 3" xfId="5441" xr:uid="{00000000-0005-0000-0000-00000E010000}"/>
    <cellStyle name="20 % - Accent2 18" xfId="607" xr:uid="{00000000-0005-0000-0000-00000F010000}"/>
    <cellStyle name="20 % - Accent2 18 2" xfId="3009" xr:uid="{00000000-0005-0000-0000-000010010000}"/>
    <cellStyle name="20 % - Accent2 18 2 2" xfId="6171" xr:uid="{00000000-0005-0000-0000-000011010000}"/>
    <cellStyle name="20 % - Accent2 18 3" xfId="5442" xr:uid="{00000000-0005-0000-0000-000012010000}"/>
    <cellStyle name="20 % - Accent2 19" xfId="608" xr:uid="{00000000-0005-0000-0000-000013010000}"/>
    <cellStyle name="20 % - Accent2 19 2" xfId="3010" xr:uid="{00000000-0005-0000-0000-000014010000}"/>
    <cellStyle name="20 % - Accent2 19 2 2" xfId="6172" xr:uid="{00000000-0005-0000-0000-000015010000}"/>
    <cellStyle name="20 % - Accent2 19 3" xfId="5443" xr:uid="{00000000-0005-0000-0000-000016010000}"/>
    <cellStyle name="20 % - Accent2 2" xfId="4" xr:uid="{00000000-0005-0000-0000-000017010000}"/>
    <cellStyle name="20 % - Accent2 2 2" xfId="609" xr:uid="{00000000-0005-0000-0000-000018010000}"/>
    <cellStyle name="20 % - Accent2 2 3" xfId="3011" xr:uid="{00000000-0005-0000-0000-000019010000}"/>
    <cellStyle name="20 % - Accent2 20" xfId="610" xr:uid="{00000000-0005-0000-0000-00001A010000}"/>
    <cellStyle name="20 % - Accent2 20 2" xfId="3012" xr:uid="{00000000-0005-0000-0000-00001B010000}"/>
    <cellStyle name="20 % - Accent2 20 2 2" xfId="6173" xr:uid="{00000000-0005-0000-0000-00001C010000}"/>
    <cellStyle name="20 % - Accent2 20 3" xfId="5444" xr:uid="{00000000-0005-0000-0000-00001D010000}"/>
    <cellStyle name="20 % - Accent2 21" xfId="611" xr:uid="{00000000-0005-0000-0000-00001E010000}"/>
    <cellStyle name="20 % - Accent2 21 2" xfId="3013" xr:uid="{00000000-0005-0000-0000-00001F010000}"/>
    <cellStyle name="20 % - Accent2 21 2 2" xfId="6174" xr:uid="{00000000-0005-0000-0000-000020010000}"/>
    <cellStyle name="20 % - Accent2 21 3" xfId="5445" xr:uid="{00000000-0005-0000-0000-000021010000}"/>
    <cellStyle name="20 % - Accent2 22" xfId="612" xr:uid="{00000000-0005-0000-0000-000022010000}"/>
    <cellStyle name="20 % - Accent2 22 2" xfId="3014" xr:uid="{00000000-0005-0000-0000-000023010000}"/>
    <cellStyle name="20 % - Accent2 22 2 2" xfId="6175" xr:uid="{00000000-0005-0000-0000-000024010000}"/>
    <cellStyle name="20 % - Accent2 22 3" xfId="5446" xr:uid="{00000000-0005-0000-0000-000025010000}"/>
    <cellStyle name="20 % - Accent2 23" xfId="613" xr:uid="{00000000-0005-0000-0000-000026010000}"/>
    <cellStyle name="20 % - Accent2 23 2" xfId="3015" xr:uid="{00000000-0005-0000-0000-000027010000}"/>
    <cellStyle name="20 % - Accent2 23 2 2" xfId="6176" xr:uid="{00000000-0005-0000-0000-000028010000}"/>
    <cellStyle name="20 % - Accent2 23 3" xfId="5447" xr:uid="{00000000-0005-0000-0000-000029010000}"/>
    <cellStyle name="20 % - Accent2 24" xfId="614" xr:uid="{00000000-0005-0000-0000-00002A010000}"/>
    <cellStyle name="20 % - Accent2 24 2" xfId="3016" xr:uid="{00000000-0005-0000-0000-00002B010000}"/>
    <cellStyle name="20 % - Accent2 24 2 2" xfId="6177" xr:uid="{00000000-0005-0000-0000-00002C010000}"/>
    <cellStyle name="20 % - Accent2 24 3" xfId="5448" xr:uid="{00000000-0005-0000-0000-00002D010000}"/>
    <cellStyle name="20 % - Accent2 25" xfId="615" xr:uid="{00000000-0005-0000-0000-00002E010000}"/>
    <cellStyle name="20 % - Accent2 25 2" xfId="3017" xr:uid="{00000000-0005-0000-0000-00002F010000}"/>
    <cellStyle name="20 % - Accent2 25 2 2" xfId="6178" xr:uid="{00000000-0005-0000-0000-000030010000}"/>
    <cellStyle name="20 % - Accent2 25 3" xfId="5449" xr:uid="{00000000-0005-0000-0000-000031010000}"/>
    <cellStyle name="20 % - Accent2 26" xfId="616" xr:uid="{00000000-0005-0000-0000-000032010000}"/>
    <cellStyle name="20 % - Accent2 26 2" xfId="3018" xr:uid="{00000000-0005-0000-0000-000033010000}"/>
    <cellStyle name="20 % - Accent2 26 2 2" xfId="6179" xr:uid="{00000000-0005-0000-0000-000034010000}"/>
    <cellStyle name="20 % - Accent2 26 3" xfId="5450" xr:uid="{00000000-0005-0000-0000-000035010000}"/>
    <cellStyle name="20 % - Accent2 27" xfId="617" xr:uid="{00000000-0005-0000-0000-000036010000}"/>
    <cellStyle name="20 % - Accent2 27 2" xfId="3019" xr:uid="{00000000-0005-0000-0000-000037010000}"/>
    <cellStyle name="20 % - Accent2 27 2 2" xfId="6180" xr:uid="{00000000-0005-0000-0000-000038010000}"/>
    <cellStyle name="20 % - Accent2 27 3" xfId="5451" xr:uid="{00000000-0005-0000-0000-000039010000}"/>
    <cellStyle name="20 % - Accent2 28" xfId="618" xr:uid="{00000000-0005-0000-0000-00003A010000}"/>
    <cellStyle name="20 % - Accent2 28 2" xfId="3020" xr:uid="{00000000-0005-0000-0000-00003B010000}"/>
    <cellStyle name="20 % - Accent2 28 2 2" xfId="6181" xr:uid="{00000000-0005-0000-0000-00003C010000}"/>
    <cellStyle name="20 % - Accent2 28 3" xfId="5452" xr:uid="{00000000-0005-0000-0000-00003D010000}"/>
    <cellStyle name="20 % - Accent2 29" xfId="619" xr:uid="{00000000-0005-0000-0000-00003E010000}"/>
    <cellStyle name="20 % - Accent2 29 2" xfId="3021" xr:uid="{00000000-0005-0000-0000-00003F010000}"/>
    <cellStyle name="20 % - Accent2 29 2 2" xfId="6182" xr:uid="{00000000-0005-0000-0000-000040010000}"/>
    <cellStyle name="20 % - Accent2 29 3" xfId="5453" xr:uid="{00000000-0005-0000-0000-000041010000}"/>
    <cellStyle name="20 % - Accent2 3" xfId="174" xr:uid="{00000000-0005-0000-0000-000042010000}"/>
    <cellStyle name="20 % - Accent2 3 2" xfId="620" xr:uid="{00000000-0005-0000-0000-000043010000}"/>
    <cellStyle name="20 % - Accent2 3 2 2" xfId="6183" xr:uid="{00000000-0005-0000-0000-000044010000}"/>
    <cellStyle name="20 % - Accent2 3 3" xfId="3022" xr:uid="{00000000-0005-0000-0000-000045010000}"/>
    <cellStyle name="20 % - Accent2 3 4" xfId="5454" xr:uid="{00000000-0005-0000-0000-000046010000}"/>
    <cellStyle name="20 % - Accent2 30" xfId="621" xr:uid="{00000000-0005-0000-0000-000047010000}"/>
    <cellStyle name="20 % - Accent2 30 2" xfId="3023" xr:uid="{00000000-0005-0000-0000-000048010000}"/>
    <cellStyle name="20 % - Accent2 30 2 2" xfId="6184" xr:uid="{00000000-0005-0000-0000-000049010000}"/>
    <cellStyle name="20 % - Accent2 30 3" xfId="5455" xr:uid="{00000000-0005-0000-0000-00004A010000}"/>
    <cellStyle name="20 % - Accent2 31" xfId="622" xr:uid="{00000000-0005-0000-0000-00004B010000}"/>
    <cellStyle name="20 % - Accent2 31 2" xfId="3024" xr:uid="{00000000-0005-0000-0000-00004C010000}"/>
    <cellStyle name="20 % - Accent2 31 2 2" xfId="6185" xr:uid="{00000000-0005-0000-0000-00004D010000}"/>
    <cellStyle name="20 % - Accent2 31 3" xfId="5456" xr:uid="{00000000-0005-0000-0000-00004E010000}"/>
    <cellStyle name="20 % - Accent2 32" xfId="623" xr:uid="{00000000-0005-0000-0000-00004F010000}"/>
    <cellStyle name="20 % - Accent2 32 2" xfId="3025" xr:uid="{00000000-0005-0000-0000-000050010000}"/>
    <cellStyle name="20 % - Accent2 32 2 2" xfId="6186" xr:uid="{00000000-0005-0000-0000-000051010000}"/>
    <cellStyle name="20 % - Accent2 32 3" xfId="5457" xr:uid="{00000000-0005-0000-0000-000052010000}"/>
    <cellStyle name="20 % - Accent2 33" xfId="624" xr:uid="{00000000-0005-0000-0000-000053010000}"/>
    <cellStyle name="20 % - Accent2 33 2" xfId="3026" xr:uid="{00000000-0005-0000-0000-000054010000}"/>
    <cellStyle name="20 % - Accent2 33 2 2" xfId="6187" xr:uid="{00000000-0005-0000-0000-000055010000}"/>
    <cellStyle name="20 % - Accent2 33 3" xfId="5458" xr:uid="{00000000-0005-0000-0000-000056010000}"/>
    <cellStyle name="20 % - Accent2 34" xfId="625" xr:uid="{00000000-0005-0000-0000-000057010000}"/>
    <cellStyle name="20 % - Accent2 34 2" xfId="3027" xr:uid="{00000000-0005-0000-0000-000058010000}"/>
    <cellStyle name="20 % - Accent2 34 2 2" xfId="6188" xr:uid="{00000000-0005-0000-0000-000059010000}"/>
    <cellStyle name="20 % - Accent2 34 3" xfId="5459" xr:uid="{00000000-0005-0000-0000-00005A010000}"/>
    <cellStyle name="20 % - Accent2 35" xfId="626" xr:uid="{00000000-0005-0000-0000-00005B010000}"/>
    <cellStyle name="20 % - Accent2 35 2" xfId="3028" xr:uid="{00000000-0005-0000-0000-00005C010000}"/>
    <cellStyle name="20 % - Accent2 35 2 2" xfId="6189" xr:uid="{00000000-0005-0000-0000-00005D010000}"/>
    <cellStyle name="20 % - Accent2 35 3" xfId="5460" xr:uid="{00000000-0005-0000-0000-00005E010000}"/>
    <cellStyle name="20 % - Accent2 36" xfId="627" xr:uid="{00000000-0005-0000-0000-00005F010000}"/>
    <cellStyle name="20 % - Accent2 36 2" xfId="3029" xr:uid="{00000000-0005-0000-0000-000060010000}"/>
    <cellStyle name="20 % - Accent2 36 2 2" xfId="6190" xr:uid="{00000000-0005-0000-0000-000061010000}"/>
    <cellStyle name="20 % - Accent2 36 3" xfId="5461" xr:uid="{00000000-0005-0000-0000-000062010000}"/>
    <cellStyle name="20 % - Accent2 37" xfId="628" xr:uid="{00000000-0005-0000-0000-000063010000}"/>
    <cellStyle name="20 % - Accent2 37 2" xfId="3030" xr:uid="{00000000-0005-0000-0000-000064010000}"/>
    <cellStyle name="20 % - Accent2 37 2 2" xfId="6191" xr:uid="{00000000-0005-0000-0000-000065010000}"/>
    <cellStyle name="20 % - Accent2 37 3" xfId="5462" xr:uid="{00000000-0005-0000-0000-000066010000}"/>
    <cellStyle name="20 % - Accent2 38" xfId="629" xr:uid="{00000000-0005-0000-0000-000067010000}"/>
    <cellStyle name="20 % - Accent2 38 2" xfId="3031" xr:uid="{00000000-0005-0000-0000-000068010000}"/>
    <cellStyle name="20 % - Accent2 38 2 2" xfId="6192" xr:uid="{00000000-0005-0000-0000-000069010000}"/>
    <cellStyle name="20 % - Accent2 38 3" xfId="5463" xr:uid="{00000000-0005-0000-0000-00006A010000}"/>
    <cellStyle name="20 % - Accent2 39" xfId="630" xr:uid="{00000000-0005-0000-0000-00006B010000}"/>
    <cellStyle name="20 % - Accent2 39 2" xfId="3032" xr:uid="{00000000-0005-0000-0000-00006C010000}"/>
    <cellStyle name="20 % - Accent2 39 2 2" xfId="6193" xr:uid="{00000000-0005-0000-0000-00006D010000}"/>
    <cellStyle name="20 % - Accent2 39 3" xfId="5464" xr:uid="{00000000-0005-0000-0000-00006E010000}"/>
    <cellStyle name="20 % - Accent2 4" xfId="175" xr:uid="{00000000-0005-0000-0000-00006F010000}"/>
    <cellStyle name="20 % - Accent2 4 2" xfId="631" xr:uid="{00000000-0005-0000-0000-000070010000}"/>
    <cellStyle name="20 % - Accent2 4 2 2" xfId="6194" xr:uid="{00000000-0005-0000-0000-000071010000}"/>
    <cellStyle name="20 % - Accent2 4 3" xfId="3033" xr:uid="{00000000-0005-0000-0000-000072010000}"/>
    <cellStyle name="20 % - Accent2 4 4" xfId="5465" xr:uid="{00000000-0005-0000-0000-000073010000}"/>
    <cellStyle name="20 % - Accent2 40" xfId="632" xr:uid="{00000000-0005-0000-0000-000074010000}"/>
    <cellStyle name="20 % - Accent2 40 2" xfId="3034" xr:uid="{00000000-0005-0000-0000-000075010000}"/>
    <cellStyle name="20 % - Accent2 40 2 2" xfId="6195" xr:uid="{00000000-0005-0000-0000-000076010000}"/>
    <cellStyle name="20 % - Accent2 40 3" xfId="5466" xr:uid="{00000000-0005-0000-0000-000077010000}"/>
    <cellStyle name="20 % - Accent2 41" xfId="633" xr:uid="{00000000-0005-0000-0000-000078010000}"/>
    <cellStyle name="20 % - Accent2 41 2" xfId="3035" xr:uid="{00000000-0005-0000-0000-000079010000}"/>
    <cellStyle name="20 % - Accent2 41 2 2" xfId="6196" xr:uid="{00000000-0005-0000-0000-00007A010000}"/>
    <cellStyle name="20 % - Accent2 41 3" xfId="5467" xr:uid="{00000000-0005-0000-0000-00007B010000}"/>
    <cellStyle name="20 % - Accent2 42" xfId="634" xr:uid="{00000000-0005-0000-0000-00007C010000}"/>
    <cellStyle name="20 % - Accent2 42 2" xfId="3036" xr:uid="{00000000-0005-0000-0000-00007D010000}"/>
    <cellStyle name="20 % - Accent2 42 2 2" xfId="6197" xr:uid="{00000000-0005-0000-0000-00007E010000}"/>
    <cellStyle name="20 % - Accent2 42 3" xfId="5468" xr:uid="{00000000-0005-0000-0000-00007F010000}"/>
    <cellStyle name="20 % - Accent2 43" xfId="635" xr:uid="{00000000-0005-0000-0000-000080010000}"/>
    <cellStyle name="20 % - Accent2 43 2" xfId="3037" xr:uid="{00000000-0005-0000-0000-000081010000}"/>
    <cellStyle name="20 % - Accent2 43 2 2" xfId="6198" xr:uid="{00000000-0005-0000-0000-000082010000}"/>
    <cellStyle name="20 % - Accent2 43 3" xfId="5469" xr:uid="{00000000-0005-0000-0000-000083010000}"/>
    <cellStyle name="20 % - Accent2 44" xfId="636" xr:uid="{00000000-0005-0000-0000-000084010000}"/>
    <cellStyle name="20 % - Accent2 44 2" xfId="3038" xr:uid="{00000000-0005-0000-0000-000085010000}"/>
    <cellStyle name="20 % - Accent2 44 2 2" xfId="6199" xr:uid="{00000000-0005-0000-0000-000086010000}"/>
    <cellStyle name="20 % - Accent2 44 3" xfId="5470" xr:uid="{00000000-0005-0000-0000-000087010000}"/>
    <cellStyle name="20 % - Accent2 45" xfId="637" xr:uid="{00000000-0005-0000-0000-000088010000}"/>
    <cellStyle name="20 % - Accent2 45 2" xfId="3039" xr:uid="{00000000-0005-0000-0000-000089010000}"/>
    <cellStyle name="20 % - Accent2 45 2 2" xfId="6200" xr:uid="{00000000-0005-0000-0000-00008A010000}"/>
    <cellStyle name="20 % - Accent2 45 3" xfId="5471" xr:uid="{00000000-0005-0000-0000-00008B010000}"/>
    <cellStyle name="20 % - Accent2 46" xfId="638" xr:uid="{00000000-0005-0000-0000-00008C010000}"/>
    <cellStyle name="20 % - Accent2 46 2" xfId="3040" xr:uid="{00000000-0005-0000-0000-00008D010000}"/>
    <cellStyle name="20 % - Accent2 46 2 2" xfId="6201" xr:uid="{00000000-0005-0000-0000-00008E010000}"/>
    <cellStyle name="20 % - Accent2 46 3" xfId="5472" xr:uid="{00000000-0005-0000-0000-00008F010000}"/>
    <cellStyle name="20 % - Accent2 47" xfId="639" xr:uid="{00000000-0005-0000-0000-000090010000}"/>
    <cellStyle name="20 % - Accent2 47 2" xfId="3041" xr:uid="{00000000-0005-0000-0000-000091010000}"/>
    <cellStyle name="20 % - Accent2 47 2 2" xfId="6202" xr:uid="{00000000-0005-0000-0000-000092010000}"/>
    <cellStyle name="20 % - Accent2 47 3" xfId="5473" xr:uid="{00000000-0005-0000-0000-000093010000}"/>
    <cellStyle name="20 % - Accent2 48" xfId="640" xr:uid="{00000000-0005-0000-0000-000094010000}"/>
    <cellStyle name="20 % - Accent2 48 2" xfId="3042" xr:uid="{00000000-0005-0000-0000-000095010000}"/>
    <cellStyle name="20 % - Accent2 48 2 2" xfId="6203" xr:uid="{00000000-0005-0000-0000-000096010000}"/>
    <cellStyle name="20 % - Accent2 48 3" xfId="5474" xr:uid="{00000000-0005-0000-0000-000097010000}"/>
    <cellStyle name="20 % - Accent2 49" xfId="641" xr:uid="{00000000-0005-0000-0000-000098010000}"/>
    <cellStyle name="20 % - Accent2 49 2" xfId="3043" xr:uid="{00000000-0005-0000-0000-000099010000}"/>
    <cellStyle name="20 % - Accent2 49 2 2" xfId="6204" xr:uid="{00000000-0005-0000-0000-00009A010000}"/>
    <cellStyle name="20 % - Accent2 49 3" xfId="5475" xr:uid="{00000000-0005-0000-0000-00009B010000}"/>
    <cellStyle name="20 % - Accent2 5" xfId="176" xr:uid="{00000000-0005-0000-0000-00009C010000}"/>
    <cellStyle name="20 % - Accent2 5 2" xfId="642" xr:uid="{00000000-0005-0000-0000-00009D010000}"/>
    <cellStyle name="20 % - Accent2 5 2 2" xfId="6205" xr:uid="{00000000-0005-0000-0000-00009E010000}"/>
    <cellStyle name="20 % - Accent2 5 3" xfId="3044" xr:uid="{00000000-0005-0000-0000-00009F010000}"/>
    <cellStyle name="20 % - Accent2 5 4" xfId="5476" xr:uid="{00000000-0005-0000-0000-0000A0010000}"/>
    <cellStyle name="20 % - Accent2 50" xfId="643" xr:uid="{00000000-0005-0000-0000-0000A1010000}"/>
    <cellStyle name="20 % - Accent2 50 2" xfId="3045" xr:uid="{00000000-0005-0000-0000-0000A2010000}"/>
    <cellStyle name="20 % - Accent2 50 2 2" xfId="6206" xr:uid="{00000000-0005-0000-0000-0000A3010000}"/>
    <cellStyle name="20 % - Accent2 50 3" xfId="5477" xr:uid="{00000000-0005-0000-0000-0000A4010000}"/>
    <cellStyle name="20 % - Accent2 51" xfId="644" xr:uid="{00000000-0005-0000-0000-0000A5010000}"/>
    <cellStyle name="20 % - Accent2 51 2" xfId="3046" xr:uid="{00000000-0005-0000-0000-0000A6010000}"/>
    <cellStyle name="20 % - Accent2 51 2 2" xfId="6207" xr:uid="{00000000-0005-0000-0000-0000A7010000}"/>
    <cellStyle name="20 % - Accent2 51 3" xfId="5478" xr:uid="{00000000-0005-0000-0000-0000A8010000}"/>
    <cellStyle name="20 % - Accent2 52" xfId="645" xr:uid="{00000000-0005-0000-0000-0000A9010000}"/>
    <cellStyle name="20 % - Accent2 52 2" xfId="3047" xr:uid="{00000000-0005-0000-0000-0000AA010000}"/>
    <cellStyle name="20 % - Accent2 52 2 2" xfId="6208" xr:uid="{00000000-0005-0000-0000-0000AB010000}"/>
    <cellStyle name="20 % - Accent2 52 3" xfId="5479" xr:uid="{00000000-0005-0000-0000-0000AC010000}"/>
    <cellStyle name="20 % - Accent2 53" xfId="646" xr:uid="{00000000-0005-0000-0000-0000AD010000}"/>
    <cellStyle name="20 % - Accent2 53 2" xfId="3048" xr:uid="{00000000-0005-0000-0000-0000AE010000}"/>
    <cellStyle name="20 % - Accent2 53 2 2" xfId="6209" xr:uid="{00000000-0005-0000-0000-0000AF010000}"/>
    <cellStyle name="20 % - Accent2 53 3" xfId="5480" xr:uid="{00000000-0005-0000-0000-0000B0010000}"/>
    <cellStyle name="20 % - Accent2 54" xfId="647" xr:uid="{00000000-0005-0000-0000-0000B1010000}"/>
    <cellStyle name="20 % - Accent2 54 2" xfId="3049" xr:uid="{00000000-0005-0000-0000-0000B2010000}"/>
    <cellStyle name="20 % - Accent2 54 2 2" xfId="6210" xr:uid="{00000000-0005-0000-0000-0000B3010000}"/>
    <cellStyle name="20 % - Accent2 54 3" xfId="5481" xr:uid="{00000000-0005-0000-0000-0000B4010000}"/>
    <cellStyle name="20 % - Accent2 55" xfId="648" xr:uid="{00000000-0005-0000-0000-0000B5010000}"/>
    <cellStyle name="20 % - Accent2 55 2" xfId="3050" xr:uid="{00000000-0005-0000-0000-0000B6010000}"/>
    <cellStyle name="20 % - Accent2 55 2 2" xfId="6211" xr:uid="{00000000-0005-0000-0000-0000B7010000}"/>
    <cellStyle name="20 % - Accent2 55 3" xfId="5482" xr:uid="{00000000-0005-0000-0000-0000B8010000}"/>
    <cellStyle name="20 % - Accent2 56" xfId="649" xr:uid="{00000000-0005-0000-0000-0000B9010000}"/>
    <cellStyle name="20 % - Accent2 56 2" xfId="3051" xr:uid="{00000000-0005-0000-0000-0000BA010000}"/>
    <cellStyle name="20 % - Accent2 56 2 2" xfId="6212" xr:uid="{00000000-0005-0000-0000-0000BB010000}"/>
    <cellStyle name="20 % - Accent2 56 3" xfId="5483" xr:uid="{00000000-0005-0000-0000-0000BC010000}"/>
    <cellStyle name="20 % - Accent2 57" xfId="650" xr:uid="{00000000-0005-0000-0000-0000BD010000}"/>
    <cellStyle name="20 % - Accent2 57 2" xfId="3052" xr:uid="{00000000-0005-0000-0000-0000BE010000}"/>
    <cellStyle name="20 % - Accent2 57 2 2" xfId="6213" xr:uid="{00000000-0005-0000-0000-0000BF010000}"/>
    <cellStyle name="20 % - Accent2 57 3" xfId="5484" xr:uid="{00000000-0005-0000-0000-0000C0010000}"/>
    <cellStyle name="20 % - Accent2 58" xfId="651" xr:uid="{00000000-0005-0000-0000-0000C1010000}"/>
    <cellStyle name="20 % - Accent2 58 2" xfId="3053" xr:uid="{00000000-0005-0000-0000-0000C2010000}"/>
    <cellStyle name="20 % - Accent2 58 2 2" xfId="6214" xr:uid="{00000000-0005-0000-0000-0000C3010000}"/>
    <cellStyle name="20 % - Accent2 58 3" xfId="5485" xr:uid="{00000000-0005-0000-0000-0000C4010000}"/>
    <cellStyle name="20 % - Accent2 59" xfId="652" xr:uid="{00000000-0005-0000-0000-0000C5010000}"/>
    <cellStyle name="20 % - Accent2 59 2" xfId="3054" xr:uid="{00000000-0005-0000-0000-0000C6010000}"/>
    <cellStyle name="20 % - Accent2 59 2 2" xfId="6215" xr:uid="{00000000-0005-0000-0000-0000C7010000}"/>
    <cellStyle name="20 % - Accent2 59 3" xfId="5486" xr:uid="{00000000-0005-0000-0000-0000C8010000}"/>
    <cellStyle name="20 % - Accent2 6" xfId="177" xr:uid="{00000000-0005-0000-0000-0000C9010000}"/>
    <cellStyle name="20 % - Accent2 6 2" xfId="653" xr:uid="{00000000-0005-0000-0000-0000CA010000}"/>
    <cellStyle name="20 % - Accent2 6 2 2" xfId="6216" xr:uid="{00000000-0005-0000-0000-0000CB010000}"/>
    <cellStyle name="20 % - Accent2 6 3" xfId="3055" xr:uid="{00000000-0005-0000-0000-0000CC010000}"/>
    <cellStyle name="20 % - Accent2 6 4" xfId="5487" xr:uid="{00000000-0005-0000-0000-0000CD010000}"/>
    <cellStyle name="20 % - Accent2 7" xfId="178" xr:uid="{00000000-0005-0000-0000-0000CE010000}"/>
    <cellStyle name="20 % - Accent2 7 2" xfId="654" xr:uid="{00000000-0005-0000-0000-0000CF010000}"/>
    <cellStyle name="20 % - Accent2 7 2 2" xfId="6217" xr:uid="{00000000-0005-0000-0000-0000D0010000}"/>
    <cellStyle name="20 % - Accent2 7 3" xfId="3056" xr:uid="{00000000-0005-0000-0000-0000D1010000}"/>
    <cellStyle name="20 % - Accent2 7 4" xfId="5488" xr:uid="{00000000-0005-0000-0000-0000D2010000}"/>
    <cellStyle name="20 % - Accent2 8" xfId="179" xr:uid="{00000000-0005-0000-0000-0000D3010000}"/>
    <cellStyle name="20 % - Accent2 8 2" xfId="655" xr:uid="{00000000-0005-0000-0000-0000D4010000}"/>
    <cellStyle name="20 % - Accent2 8 2 2" xfId="6218" xr:uid="{00000000-0005-0000-0000-0000D5010000}"/>
    <cellStyle name="20 % - Accent2 8 3" xfId="3057" xr:uid="{00000000-0005-0000-0000-0000D6010000}"/>
    <cellStyle name="20 % - Accent2 8 4" xfId="5489" xr:uid="{00000000-0005-0000-0000-0000D7010000}"/>
    <cellStyle name="20 % - Accent2 9" xfId="656" xr:uid="{00000000-0005-0000-0000-0000D8010000}"/>
    <cellStyle name="20 % - Accent2 9 2" xfId="3058" xr:uid="{00000000-0005-0000-0000-0000D9010000}"/>
    <cellStyle name="20 % - Accent2 9 2 2" xfId="6219" xr:uid="{00000000-0005-0000-0000-0000DA010000}"/>
    <cellStyle name="20 % - Accent2 9 3" xfId="5490" xr:uid="{00000000-0005-0000-0000-0000DB010000}"/>
    <cellStyle name="20 % - Accent3" xfId="5" builtinId="38"/>
    <cellStyle name="20 % - Accent3 10" xfId="657" xr:uid="{00000000-0005-0000-0000-0000DD010000}"/>
    <cellStyle name="20 % - Accent3 10 2" xfId="3059" xr:uid="{00000000-0005-0000-0000-0000DE010000}"/>
    <cellStyle name="20 % - Accent3 10 2 2" xfId="6220" xr:uid="{00000000-0005-0000-0000-0000DF010000}"/>
    <cellStyle name="20 % - Accent3 10 3" xfId="5491" xr:uid="{00000000-0005-0000-0000-0000E0010000}"/>
    <cellStyle name="20 % - Accent3 11" xfId="658" xr:uid="{00000000-0005-0000-0000-0000E1010000}"/>
    <cellStyle name="20 % - Accent3 11 2" xfId="3060" xr:uid="{00000000-0005-0000-0000-0000E2010000}"/>
    <cellStyle name="20 % - Accent3 11 2 2" xfId="6221" xr:uid="{00000000-0005-0000-0000-0000E3010000}"/>
    <cellStyle name="20 % - Accent3 11 3" xfId="5492" xr:uid="{00000000-0005-0000-0000-0000E4010000}"/>
    <cellStyle name="20 % - Accent3 12" xfId="659" xr:uid="{00000000-0005-0000-0000-0000E5010000}"/>
    <cellStyle name="20 % - Accent3 12 2" xfId="3061" xr:uid="{00000000-0005-0000-0000-0000E6010000}"/>
    <cellStyle name="20 % - Accent3 12 2 2" xfId="6222" xr:uid="{00000000-0005-0000-0000-0000E7010000}"/>
    <cellStyle name="20 % - Accent3 12 3" xfId="5493" xr:uid="{00000000-0005-0000-0000-0000E8010000}"/>
    <cellStyle name="20 % - Accent3 13" xfId="660" xr:uid="{00000000-0005-0000-0000-0000E9010000}"/>
    <cellStyle name="20 % - Accent3 13 2" xfId="3062" xr:uid="{00000000-0005-0000-0000-0000EA010000}"/>
    <cellStyle name="20 % - Accent3 13 2 2" xfId="6223" xr:uid="{00000000-0005-0000-0000-0000EB010000}"/>
    <cellStyle name="20 % - Accent3 13 3" xfId="5494" xr:uid="{00000000-0005-0000-0000-0000EC010000}"/>
    <cellStyle name="20 % - Accent3 14" xfId="661" xr:uid="{00000000-0005-0000-0000-0000ED010000}"/>
    <cellStyle name="20 % - Accent3 14 2" xfId="3063" xr:uid="{00000000-0005-0000-0000-0000EE010000}"/>
    <cellStyle name="20 % - Accent3 14 2 2" xfId="6224" xr:uid="{00000000-0005-0000-0000-0000EF010000}"/>
    <cellStyle name="20 % - Accent3 14 3" xfId="5495" xr:uid="{00000000-0005-0000-0000-0000F0010000}"/>
    <cellStyle name="20 % - Accent3 15" xfId="662" xr:uid="{00000000-0005-0000-0000-0000F1010000}"/>
    <cellStyle name="20 % - Accent3 15 2" xfId="3064" xr:uid="{00000000-0005-0000-0000-0000F2010000}"/>
    <cellStyle name="20 % - Accent3 15 2 2" xfId="6225" xr:uid="{00000000-0005-0000-0000-0000F3010000}"/>
    <cellStyle name="20 % - Accent3 15 3" xfId="5496" xr:uid="{00000000-0005-0000-0000-0000F4010000}"/>
    <cellStyle name="20 % - Accent3 16" xfId="663" xr:uid="{00000000-0005-0000-0000-0000F5010000}"/>
    <cellStyle name="20 % - Accent3 16 2" xfId="3065" xr:uid="{00000000-0005-0000-0000-0000F6010000}"/>
    <cellStyle name="20 % - Accent3 16 2 2" xfId="6226" xr:uid="{00000000-0005-0000-0000-0000F7010000}"/>
    <cellStyle name="20 % - Accent3 16 3" xfId="5497" xr:uid="{00000000-0005-0000-0000-0000F8010000}"/>
    <cellStyle name="20 % - Accent3 17" xfId="664" xr:uid="{00000000-0005-0000-0000-0000F9010000}"/>
    <cellStyle name="20 % - Accent3 17 2" xfId="3066" xr:uid="{00000000-0005-0000-0000-0000FA010000}"/>
    <cellStyle name="20 % - Accent3 17 2 2" xfId="6227" xr:uid="{00000000-0005-0000-0000-0000FB010000}"/>
    <cellStyle name="20 % - Accent3 17 3" xfId="5498" xr:uid="{00000000-0005-0000-0000-0000FC010000}"/>
    <cellStyle name="20 % - Accent3 18" xfId="665" xr:uid="{00000000-0005-0000-0000-0000FD010000}"/>
    <cellStyle name="20 % - Accent3 18 2" xfId="3067" xr:uid="{00000000-0005-0000-0000-0000FE010000}"/>
    <cellStyle name="20 % - Accent3 18 2 2" xfId="6228" xr:uid="{00000000-0005-0000-0000-0000FF010000}"/>
    <cellStyle name="20 % - Accent3 18 3" xfId="5499" xr:uid="{00000000-0005-0000-0000-000000020000}"/>
    <cellStyle name="20 % - Accent3 19" xfId="666" xr:uid="{00000000-0005-0000-0000-000001020000}"/>
    <cellStyle name="20 % - Accent3 19 2" xfId="3068" xr:uid="{00000000-0005-0000-0000-000002020000}"/>
    <cellStyle name="20 % - Accent3 19 2 2" xfId="6229" xr:uid="{00000000-0005-0000-0000-000003020000}"/>
    <cellStyle name="20 % - Accent3 19 3" xfId="5500" xr:uid="{00000000-0005-0000-0000-000004020000}"/>
    <cellStyle name="20 % - Accent3 2" xfId="6" xr:uid="{00000000-0005-0000-0000-000005020000}"/>
    <cellStyle name="20 % - Accent3 2 2" xfId="667" xr:uid="{00000000-0005-0000-0000-000006020000}"/>
    <cellStyle name="20 % - Accent3 2 3" xfId="3069" xr:uid="{00000000-0005-0000-0000-000007020000}"/>
    <cellStyle name="20 % - Accent3 20" xfId="668" xr:uid="{00000000-0005-0000-0000-000008020000}"/>
    <cellStyle name="20 % - Accent3 20 2" xfId="3070" xr:uid="{00000000-0005-0000-0000-000009020000}"/>
    <cellStyle name="20 % - Accent3 20 2 2" xfId="6230" xr:uid="{00000000-0005-0000-0000-00000A020000}"/>
    <cellStyle name="20 % - Accent3 20 3" xfId="5501" xr:uid="{00000000-0005-0000-0000-00000B020000}"/>
    <cellStyle name="20 % - Accent3 21" xfId="669" xr:uid="{00000000-0005-0000-0000-00000C020000}"/>
    <cellStyle name="20 % - Accent3 21 2" xfId="3071" xr:uid="{00000000-0005-0000-0000-00000D020000}"/>
    <cellStyle name="20 % - Accent3 21 2 2" xfId="6231" xr:uid="{00000000-0005-0000-0000-00000E020000}"/>
    <cellStyle name="20 % - Accent3 21 3" xfId="5502" xr:uid="{00000000-0005-0000-0000-00000F020000}"/>
    <cellStyle name="20 % - Accent3 22" xfId="670" xr:uid="{00000000-0005-0000-0000-000010020000}"/>
    <cellStyle name="20 % - Accent3 22 2" xfId="3072" xr:uid="{00000000-0005-0000-0000-000011020000}"/>
    <cellStyle name="20 % - Accent3 22 2 2" xfId="6232" xr:uid="{00000000-0005-0000-0000-000012020000}"/>
    <cellStyle name="20 % - Accent3 22 3" xfId="5503" xr:uid="{00000000-0005-0000-0000-000013020000}"/>
    <cellStyle name="20 % - Accent3 23" xfId="671" xr:uid="{00000000-0005-0000-0000-000014020000}"/>
    <cellStyle name="20 % - Accent3 23 2" xfId="3073" xr:uid="{00000000-0005-0000-0000-000015020000}"/>
    <cellStyle name="20 % - Accent3 23 2 2" xfId="6233" xr:uid="{00000000-0005-0000-0000-000016020000}"/>
    <cellStyle name="20 % - Accent3 23 3" xfId="5504" xr:uid="{00000000-0005-0000-0000-000017020000}"/>
    <cellStyle name="20 % - Accent3 24" xfId="672" xr:uid="{00000000-0005-0000-0000-000018020000}"/>
    <cellStyle name="20 % - Accent3 24 2" xfId="3074" xr:uid="{00000000-0005-0000-0000-000019020000}"/>
    <cellStyle name="20 % - Accent3 24 2 2" xfId="6234" xr:uid="{00000000-0005-0000-0000-00001A020000}"/>
    <cellStyle name="20 % - Accent3 24 3" xfId="5505" xr:uid="{00000000-0005-0000-0000-00001B020000}"/>
    <cellStyle name="20 % - Accent3 25" xfId="673" xr:uid="{00000000-0005-0000-0000-00001C020000}"/>
    <cellStyle name="20 % - Accent3 25 2" xfId="3075" xr:uid="{00000000-0005-0000-0000-00001D020000}"/>
    <cellStyle name="20 % - Accent3 25 2 2" xfId="6235" xr:uid="{00000000-0005-0000-0000-00001E020000}"/>
    <cellStyle name="20 % - Accent3 25 3" xfId="5506" xr:uid="{00000000-0005-0000-0000-00001F020000}"/>
    <cellStyle name="20 % - Accent3 26" xfId="674" xr:uid="{00000000-0005-0000-0000-000020020000}"/>
    <cellStyle name="20 % - Accent3 26 2" xfId="3076" xr:uid="{00000000-0005-0000-0000-000021020000}"/>
    <cellStyle name="20 % - Accent3 26 2 2" xfId="6236" xr:uid="{00000000-0005-0000-0000-000022020000}"/>
    <cellStyle name="20 % - Accent3 26 3" xfId="5507" xr:uid="{00000000-0005-0000-0000-000023020000}"/>
    <cellStyle name="20 % - Accent3 27" xfId="675" xr:uid="{00000000-0005-0000-0000-000024020000}"/>
    <cellStyle name="20 % - Accent3 27 2" xfId="3077" xr:uid="{00000000-0005-0000-0000-000025020000}"/>
    <cellStyle name="20 % - Accent3 27 2 2" xfId="6237" xr:uid="{00000000-0005-0000-0000-000026020000}"/>
    <cellStyle name="20 % - Accent3 27 3" xfId="5508" xr:uid="{00000000-0005-0000-0000-000027020000}"/>
    <cellStyle name="20 % - Accent3 28" xfId="676" xr:uid="{00000000-0005-0000-0000-000028020000}"/>
    <cellStyle name="20 % - Accent3 28 2" xfId="3078" xr:uid="{00000000-0005-0000-0000-000029020000}"/>
    <cellStyle name="20 % - Accent3 28 2 2" xfId="6238" xr:uid="{00000000-0005-0000-0000-00002A020000}"/>
    <cellStyle name="20 % - Accent3 28 3" xfId="5509" xr:uid="{00000000-0005-0000-0000-00002B020000}"/>
    <cellStyle name="20 % - Accent3 29" xfId="677" xr:uid="{00000000-0005-0000-0000-00002C020000}"/>
    <cellStyle name="20 % - Accent3 29 2" xfId="3079" xr:uid="{00000000-0005-0000-0000-00002D020000}"/>
    <cellStyle name="20 % - Accent3 29 2 2" xfId="6239" xr:uid="{00000000-0005-0000-0000-00002E020000}"/>
    <cellStyle name="20 % - Accent3 29 3" xfId="5510" xr:uid="{00000000-0005-0000-0000-00002F020000}"/>
    <cellStyle name="20 % - Accent3 3" xfId="180" xr:uid="{00000000-0005-0000-0000-000030020000}"/>
    <cellStyle name="20 % - Accent3 3 2" xfId="678" xr:uid="{00000000-0005-0000-0000-000031020000}"/>
    <cellStyle name="20 % - Accent3 3 2 2" xfId="6240" xr:uid="{00000000-0005-0000-0000-000032020000}"/>
    <cellStyle name="20 % - Accent3 3 3" xfId="3080" xr:uid="{00000000-0005-0000-0000-000033020000}"/>
    <cellStyle name="20 % - Accent3 3 4" xfId="5511" xr:uid="{00000000-0005-0000-0000-000034020000}"/>
    <cellStyle name="20 % - Accent3 30" xfId="679" xr:uid="{00000000-0005-0000-0000-000035020000}"/>
    <cellStyle name="20 % - Accent3 30 2" xfId="3081" xr:uid="{00000000-0005-0000-0000-000036020000}"/>
    <cellStyle name="20 % - Accent3 30 2 2" xfId="6241" xr:uid="{00000000-0005-0000-0000-000037020000}"/>
    <cellStyle name="20 % - Accent3 30 3" xfId="5512" xr:uid="{00000000-0005-0000-0000-000038020000}"/>
    <cellStyle name="20 % - Accent3 31" xfId="680" xr:uid="{00000000-0005-0000-0000-000039020000}"/>
    <cellStyle name="20 % - Accent3 31 2" xfId="3082" xr:uid="{00000000-0005-0000-0000-00003A020000}"/>
    <cellStyle name="20 % - Accent3 31 2 2" xfId="6242" xr:uid="{00000000-0005-0000-0000-00003B020000}"/>
    <cellStyle name="20 % - Accent3 31 3" xfId="5513" xr:uid="{00000000-0005-0000-0000-00003C020000}"/>
    <cellStyle name="20 % - Accent3 32" xfId="681" xr:uid="{00000000-0005-0000-0000-00003D020000}"/>
    <cellStyle name="20 % - Accent3 32 2" xfId="3083" xr:uid="{00000000-0005-0000-0000-00003E020000}"/>
    <cellStyle name="20 % - Accent3 32 2 2" xfId="6243" xr:uid="{00000000-0005-0000-0000-00003F020000}"/>
    <cellStyle name="20 % - Accent3 32 3" xfId="5514" xr:uid="{00000000-0005-0000-0000-000040020000}"/>
    <cellStyle name="20 % - Accent3 33" xfId="682" xr:uid="{00000000-0005-0000-0000-000041020000}"/>
    <cellStyle name="20 % - Accent3 33 2" xfId="3084" xr:uid="{00000000-0005-0000-0000-000042020000}"/>
    <cellStyle name="20 % - Accent3 33 2 2" xfId="6244" xr:uid="{00000000-0005-0000-0000-000043020000}"/>
    <cellStyle name="20 % - Accent3 33 3" xfId="5515" xr:uid="{00000000-0005-0000-0000-000044020000}"/>
    <cellStyle name="20 % - Accent3 34" xfId="683" xr:uid="{00000000-0005-0000-0000-000045020000}"/>
    <cellStyle name="20 % - Accent3 34 2" xfId="3085" xr:uid="{00000000-0005-0000-0000-000046020000}"/>
    <cellStyle name="20 % - Accent3 34 2 2" xfId="6245" xr:uid="{00000000-0005-0000-0000-000047020000}"/>
    <cellStyle name="20 % - Accent3 34 3" xfId="5516" xr:uid="{00000000-0005-0000-0000-000048020000}"/>
    <cellStyle name="20 % - Accent3 35" xfId="684" xr:uid="{00000000-0005-0000-0000-000049020000}"/>
    <cellStyle name="20 % - Accent3 35 2" xfId="3086" xr:uid="{00000000-0005-0000-0000-00004A020000}"/>
    <cellStyle name="20 % - Accent3 35 2 2" xfId="6246" xr:uid="{00000000-0005-0000-0000-00004B020000}"/>
    <cellStyle name="20 % - Accent3 35 3" xfId="5517" xr:uid="{00000000-0005-0000-0000-00004C020000}"/>
    <cellStyle name="20 % - Accent3 36" xfId="685" xr:uid="{00000000-0005-0000-0000-00004D020000}"/>
    <cellStyle name="20 % - Accent3 36 2" xfId="3087" xr:uid="{00000000-0005-0000-0000-00004E020000}"/>
    <cellStyle name="20 % - Accent3 36 2 2" xfId="6247" xr:uid="{00000000-0005-0000-0000-00004F020000}"/>
    <cellStyle name="20 % - Accent3 36 3" xfId="5518" xr:uid="{00000000-0005-0000-0000-000050020000}"/>
    <cellStyle name="20 % - Accent3 37" xfId="686" xr:uid="{00000000-0005-0000-0000-000051020000}"/>
    <cellStyle name="20 % - Accent3 37 2" xfId="3088" xr:uid="{00000000-0005-0000-0000-000052020000}"/>
    <cellStyle name="20 % - Accent3 37 2 2" xfId="6248" xr:uid="{00000000-0005-0000-0000-000053020000}"/>
    <cellStyle name="20 % - Accent3 37 3" xfId="5519" xr:uid="{00000000-0005-0000-0000-000054020000}"/>
    <cellStyle name="20 % - Accent3 38" xfId="687" xr:uid="{00000000-0005-0000-0000-000055020000}"/>
    <cellStyle name="20 % - Accent3 38 2" xfId="3089" xr:uid="{00000000-0005-0000-0000-000056020000}"/>
    <cellStyle name="20 % - Accent3 38 2 2" xfId="6249" xr:uid="{00000000-0005-0000-0000-000057020000}"/>
    <cellStyle name="20 % - Accent3 38 3" xfId="5520" xr:uid="{00000000-0005-0000-0000-000058020000}"/>
    <cellStyle name="20 % - Accent3 39" xfId="688" xr:uid="{00000000-0005-0000-0000-000059020000}"/>
    <cellStyle name="20 % - Accent3 39 2" xfId="3090" xr:uid="{00000000-0005-0000-0000-00005A020000}"/>
    <cellStyle name="20 % - Accent3 39 2 2" xfId="6250" xr:uid="{00000000-0005-0000-0000-00005B020000}"/>
    <cellStyle name="20 % - Accent3 39 3" xfId="5521" xr:uid="{00000000-0005-0000-0000-00005C020000}"/>
    <cellStyle name="20 % - Accent3 4" xfId="181" xr:uid="{00000000-0005-0000-0000-00005D020000}"/>
    <cellStyle name="20 % - Accent3 4 2" xfId="689" xr:uid="{00000000-0005-0000-0000-00005E020000}"/>
    <cellStyle name="20 % - Accent3 4 2 2" xfId="6251" xr:uid="{00000000-0005-0000-0000-00005F020000}"/>
    <cellStyle name="20 % - Accent3 4 3" xfId="3091" xr:uid="{00000000-0005-0000-0000-000060020000}"/>
    <cellStyle name="20 % - Accent3 4 4" xfId="5522" xr:uid="{00000000-0005-0000-0000-000061020000}"/>
    <cellStyle name="20 % - Accent3 40" xfId="690" xr:uid="{00000000-0005-0000-0000-000062020000}"/>
    <cellStyle name="20 % - Accent3 40 2" xfId="3092" xr:uid="{00000000-0005-0000-0000-000063020000}"/>
    <cellStyle name="20 % - Accent3 40 2 2" xfId="6252" xr:uid="{00000000-0005-0000-0000-000064020000}"/>
    <cellStyle name="20 % - Accent3 40 3" xfId="5523" xr:uid="{00000000-0005-0000-0000-000065020000}"/>
    <cellStyle name="20 % - Accent3 41" xfId="691" xr:uid="{00000000-0005-0000-0000-000066020000}"/>
    <cellStyle name="20 % - Accent3 41 2" xfId="3093" xr:uid="{00000000-0005-0000-0000-000067020000}"/>
    <cellStyle name="20 % - Accent3 41 2 2" xfId="6253" xr:uid="{00000000-0005-0000-0000-000068020000}"/>
    <cellStyle name="20 % - Accent3 41 3" xfId="5524" xr:uid="{00000000-0005-0000-0000-000069020000}"/>
    <cellStyle name="20 % - Accent3 42" xfId="692" xr:uid="{00000000-0005-0000-0000-00006A020000}"/>
    <cellStyle name="20 % - Accent3 42 2" xfId="3094" xr:uid="{00000000-0005-0000-0000-00006B020000}"/>
    <cellStyle name="20 % - Accent3 42 2 2" xfId="6254" xr:uid="{00000000-0005-0000-0000-00006C020000}"/>
    <cellStyle name="20 % - Accent3 42 3" xfId="5525" xr:uid="{00000000-0005-0000-0000-00006D020000}"/>
    <cellStyle name="20 % - Accent3 43" xfId="693" xr:uid="{00000000-0005-0000-0000-00006E020000}"/>
    <cellStyle name="20 % - Accent3 43 2" xfId="3095" xr:uid="{00000000-0005-0000-0000-00006F020000}"/>
    <cellStyle name="20 % - Accent3 43 2 2" xfId="6255" xr:uid="{00000000-0005-0000-0000-000070020000}"/>
    <cellStyle name="20 % - Accent3 43 3" xfId="5526" xr:uid="{00000000-0005-0000-0000-000071020000}"/>
    <cellStyle name="20 % - Accent3 44" xfId="694" xr:uid="{00000000-0005-0000-0000-000072020000}"/>
    <cellStyle name="20 % - Accent3 44 2" xfId="3096" xr:uid="{00000000-0005-0000-0000-000073020000}"/>
    <cellStyle name="20 % - Accent3 44 2 2" xfId="6256" xr:uid="{00000000-0005-0000-0000-000074020000}"/>
    <cellStyle name="20 % - Accent3 44 3" xfId="5527" xr:uid="{00000000-0005-0000-0000-000075020000}"/>
    <cellStyle name="20 % - Accent3 45" xfId="695" xr:uid="{00000000-0005-0000-0000-000076020000}"/>
    <cellStyle name="20 % - Accent3 45 2" xfId="3097" xr:uid="{00000000-0005-0000-0000-000077020000}"/>
    <cellStyle name="20 % - Accent3 45 2 2" xfId="6257" xr:uid="{00000000-0005-0000-0000-000078020000}"/>
    <cellStyle name="20 % - Accent3 45 3" xfId="5528" xr:uid="{00000000-0005-0000-0000-000079020000}"/>
    <cellStyle name="20 % - Accent3 46" xfId="696" xr:uid="{00000000-0005-0000-0000-00007A020000}"/>
    <cellStyle name="20 % - Accent3 46 2" xfId="3098" xr:uid="{00000000-0005-0000-0000-00007B020000}"/>
    <cellStyle name="20 % - Accent3 46 2 2" xfId="6258" xr:uid="{00000000-0005-0000-0000-00007C020000}"/>
    <cellStyle name="20 % - Accent3 46 3" xfId="5529" xr:uid="{00000000-0005-0000-0000-00007D020000}"/>
    <cellStyle name="20 % - Accent3 47" xfId="697" xr:uid="{00000000-0005-0000-0000-00007E020000}"/>
    <cellStyle name="20 % - Accent3 47 2" xfId="3099" xr:uid="{00000000-0005-0000-0000-00007F020000}"/>
    <cellStyle name="20 % - Accent3 47 2 2" xfId="6259" xr:uid="{00000000-0005-0000-0000-000080020000}"/>
    <cellStyle name="20 % - Accent3 47 3" xfId="5530" xr:uid="{00000000-0005-0000-0000-000081020000}"/>
    <cellStyle name="20 % - Accent3 48" xfId="698" xr:uid="{00000000-0005-0000-0000-000082020000}"/>
    <cellStyle name="20 % - Accent3 48 2" xfId="3100" xr:uid="{00000000-0005-0000-0000-000083020000}"/>
    <cellStyle name="20 % - Accent3 48 2 2" xfId="6260" xr:uid="{00000000-0005-0000-0000-000084020000}"/>
    <cellStyle name="20 % - Accent3 48 3" xfId="5531" xr:uid="{00000000-0005-0000-0000-000085020000}"/>
    <cellStyle name="20 % - Accent3 49" xfId="699" xr:uid="{00000000-0005-0000-0000-000086020000}"/>
    <cellStyle name="20 % - Accent3 49 2" xfId="3101" xr:uid="{00000000-0005-0000-0000-000087020000}"/>
    <cellStyle name="20 % - Accent3 49 2 2" xfId="6261" xr:uid="{00000000-0005-0000-0000-000088020000}"/>
    <cellStyle name="20 % - Accent3 49 3" xfId="5532" xr:uid="{00000000-0005-0000-0000-000089020000}"/>
    <cellStyle name="20 % - Accent3 5" xfId="182" xr:uid="{00000000-0005-0000-0000-00008A020000}"/>
    <cellStyle name="20 % - Accent3 5 2" xfId="700" xr:uid="{00000000-0005-0000-0000-00008B020000}"/>
    <cellStyle name="20 % - Accent3 5 2 2" xfId="6262" xr:uid="{00000000-0005-0000-0000-00008C020000}"/>
    <cellStyle name="20 % - Accent3 5 3" xfId="3102" xr:uid="{00000000-0005-0000-0000-00008D020000}"/>
    <cellStyle name="20 % - Accent3 5 4" xfId="5533" xr:uid="{00000000-0005-0000-0000-00008E020000}"/>
    <cellStyle name="20 % - Accent3 50" xfId="701" xr:uid="{00000000-0005-0000-0000-00008F020000}"/>
    <cellStyle name="20 % - Accent3 50 2" xfId="3103" xr:uid="{00000000-0005-0000-0000-000090020000}"/>
    <cellStyle name="20 % - Accent3 50 2 2" xfId="6263" xr:uid="{00000000-0005-0000-0000-000091020000}"/>
    <cellStyle name="20 % - Accent3 50 3" xfId="5534" xr:uid="{00000000-0005-0000-0000-000092020000}"/>
    <cellStyle name="20 % - Accent3 51" xfId="702" xr:uid="{00000000-0005-0000-0000-000093020000}"/>
    <cellStyle name="20 % - Accent3 51 2" xfId="3104" xr:uid="{00000000-0005-0000-0000-000094020000}"/>
    <cellStyle name="20 % - Accent3 51 2 2" xfId="6264" xr:uid="{00000000-0005-0000-0000-000095020000}"/>
    <cellStyle name="20 % - Accent3 51 3" xfId="5535" xr:uid="{00000000-0005-0000-0000-000096020000}"/>
    <cellStyle name="20 % - Accent3 52" xfId="703" xr:uid="{00000000-0005-0000-0000-000097020000}"/>
    <cellStyle name="20 % - Accent3 52 2" xfId="3105" xr:uid="{00000000-0005-0000-0000-000098020000}"/>
    <cellStyle name="20 % - Accent3 52 2 2" xfId="6265" xr:uid="{00000000-0005-0000-0000-000099020000}"/>
    <cellStyle name="20 % - Accent3 52 3" xfId="5536" xr:uid="{00000000-0005-0000-0000-00009A020000}"/>
    <cellStyle name="20 % - Accent3 53" xfId="704" xr:uid="{00000000-0005-0000-0000-00009B020000}"/>
    <cellStyle name="20 % - Accent3 53 2" xfId="3106" xr:uid="{00000000-0005-0000-0000-00009C020000}"/>
    <cellStyle name="20 % - Accent3 53 2 2" xfId="6266" xr:uid="{00000000-0005-0000-0000-00009D020000}"/>
    <cellStyle name="20 % - Accent3 53 3" xfId="5537" xr:uid="{00000000-0005-0000-0000-00009E020000}"/>
    <cellStyle name="20 % - Accent3 54" xfId="705" xr:uid="{00000000-0005-0000-0000-00009F020000}"/>
    <cellStyle name="20 % - Accent3 54 2" xfId="3107" xr:uid="{00000000-0005-0000-0000-0000A0020000}"/>
    <cellStyle name="20 % - Accent3 54 2 2" xfId="6267" xr:uid="{00000000-0005-0000-0000-0000A1020000}"/>
    <cellStyle name="20 % - Accent3 54 3" xfId="5538" xr:uid="{00000000-0005-0000-0000-0000A2020000}"/>
    <cellStyle name="20 % - Accent3 55" xfId="706" xr:uid="{00000000-0005-0000-0000-0000A3020000}"/>
    <cellStyle name="20 % - Accent3 55 2" xfId="3108" xr:uid="{00000000-0005-0000-0000-0000A4020000}"/>
    <cellStyle name="20 % - Accent3 55 2 2" xfId="6268" xr:uid="{00000000-0005-0000-0000-0000A5020000}"/>
    <cellStyle name="20 % - Accent3 55 3" xfId="5539" xr:uid="{00000000-0005-0000-0000-0000A6020000}"/>
    <cellStyle name="20 % - Accent3 56" xfId="707" xr:uid="{00000000-0005-0000-0000-0000A7020000}"/>
    <cellStyle name="20 % - Accent3 56 2" xfId="3109" xr:uid="{00000000-0005-0000-0000-0000A8020000}"/>
    <cellStyle name="20 % - Accent3 56 2 2" xfId="6269" xr:uid="{00000000-0005-0000-0000-0000A9020000}"/>
    <cellStyle name="20 % - Accent3 56 3" xfId="5540" xr:uid="{00000000-0005-0000-0000-0000AA020000}"/>
    <cellStyle name="20 % - Accent3 57" xfId="708" xr:uid="{00000000-0005-0000-0000-0000AB020000}"/>
    <cellStyle name="20 % - Accent3 57 2" xfId="3110" xr:uid="{00000000-0005-0000-0000-0000AC020000}"/>
    <cellStyle name="20 % - Accent3 57 2 2" xfId="6270" xr:uid="{00000000-0005-0000-0000-0000AD020000}"/>
    <cellStyle name="20 % - Accent3 57 3" xfId="5541" xr:uid="{00000000-0005-0000-0000-0000AE020000}"/>
    <cellStyle name="20 % - Accent3 58" xfId="709" xr:uid="{00000000-0005-0000-0000-0000AF020000}"/>
    <cellStyle name="20 % - Accent3 58 2" xfId="3111" xr:uid="{00000000-0005-0000-0000-0000B0020000}"/>
    <cellStyle name="20 % - Accent3 58 2 2" xfId="6271" xr:uid="{00000000-0005-0000-0000-0000B1020000}"/>
    <cellStyle name="20 % - Accent3 58 3" xfId="5542" xr:uid="{00000000-0005-0000-0000-0000B2020000}"/>
    <cellStyle name="20 % - Accent3 59" xfId="710" xr:uid="{00000000-0005-0000-0000-0000B3020000}"/>
    <cellStyle name="20 % - Accent3 59 2" xfId="3112" xr:uid="{00000000-0005-0000-0000-0000B4020000}"/>
    <cellStyle name="20 % - Accent3 59 2 2" xfId="6272" xr:uid="{00000000-0005-0000-0000-0000B5020000}"/>
    <cellStyle name="20 % - Accent3 59 3" xfId="5543" xr:uid="{00000000-0005-0000-0000-0000B6020000}"/>
    <cellStyle name="20 % - Accent3 6" xfId="183" xr:uid="{00000000-0005-0000-0000-0000B7020000}"/>
    <cellStyle name="20 % - Accent3 6 2" xfId="711" xr:uid="{00000000-0005-0000-0000-0000B8020000}"/>
    <cellStyle name="20 % - Accent3 6 2 2" xfId="6273" xr:uid="{00000000-0005-0000-0000-0000B9020000}"/>
    <cellStyle name="20 % - Accent3 6 3" xfId="3113" xr:uid="{00000000-0005-0000-0000-0000BA020000}"/>
    <cellStyle name="20 % - Accent3 6 4" xfId="5544" xr:uid="{00000000-0005-0000-0000-0000BB020000}"/>
    <cellStyle name="20 % - Accent3 7" xfId="184" xr:uid="{00000000-0005-0000-0000-0000BC020000}"/>
    <cellStyle name="20 % - Accent3 7 2" xfId="712" xr:uid="{00000000-0005-0000-0000-0000BD020000}"/>
    <cellStyle name="20 % - Accent3 7 2 2" xfId="6274" xr:uid="{00000000-0005-0000-0000-0000BE020000}"/>
    <cellStyle name="20 % - Accent3 7 3" xfId="3114" xr:uid="{00000000-0005-0000-0000-0000BF020000}"/>
    <cellStyle name="20 % - Accent3 7 4" xfId="5545" xr:uid="{00000000-0005-0000-0000-0000C0020000}"/>
    <cellStyle name="20 % - Accent3 8" xfId="185" xr:uid="{00000000-0005-0000-0000-0000C1020000}"/>
    <cellStyle name="20 % - Accent3 8 2" xfId="713" xr:uid="{00000000-0005-0000-0000-0000C2020000}"/>
    <cellStyle name="20 % - Accent3 8 2 2" xfId="6275" xr:uid="{00000000-0005-0000-0000-0000C3020000}"/>
    <cellStyle name="20 % - Accent3 8 3" xfId="3115" xr:uid="{00000000-0005-0000-0000-0000C4020000}"/>
    <cellStyle name="20 % - Accent3 8 4" xfId="5546" xr:uid="{00000000-0005-0000-0000-0000C5020000}"/>
    <cellStyle name="20 % - Accent3 9" xfId="714" xr:uid="{00000000-0005-0000-0000-0000C6020000}"/>
    <cellStyle name="20 % - Accent3 9 2" xfId="3116" xr:uid="{00000000-0005-0000-0000-0000C7020000}"/>
    <cellStyle name="20 % - Accent3 9 2 2" xfId="6276" xr:uid="{00000000-0005-0000-0000-0000C8020000}"/>
    <cellStyle name="20 % - Accent3 9 3" xfId="5547" xr:uid="{00000000-0005-0000-0000-0000C9020000}"/>
    <cellStyle name="20 % - Accent4 10" xfId="715" xr:uid="{00000000-0005-0000-0000-0000CA020000}"/>
    <cellStyle name="20 % - Accent4 10 2" xfId="3117" xr:uid="{00000000-0005-0000-0000-0000CB020000}"/>
    <cellStyle name="20 % - Accent4 10 2 2" xfId="6277" xr:uid="{00000000-0005-0000-0000-0000CC020000}"/>
    <cellStyle name="20 % - Accent4 10 3" xfId="5548" xr:uid="{00000000-0005-0000-0000-0000CD020000}"/>
    <cellStyle name="20 % - Accent4 11" xfId="716" xr:uid="{00000000-0005-0000-0000-0000CE020000}"/>
    <cellStyle name="20 % - Accent4 11 2" xfId="3118" xr:uid="{00000000-0005-0000-0000-0000CF020000}"/>
    <cellStyle name="20 % - Accent4 11 2 2" xfId="6278" xr:uid="{00000000-0005-0000-0000-0000D0020000}"/>
    <cellStyle name="20 % - Accent4 11 3" xfId="5549" xr:uid="{00000000-0005-0000-0000-0000D1020000}"/>
    <cellStyle name="20 % - Accent4 12" xfId="717" xr:uid="{00000000-0005-0000-0000-0000D2020000}"/>
    <cellStyle name="20 % - Accent4 12 2" xfId="3119" xr:uid="{00000000-0005-0000-0000-0000D3020000}"/>
    <cellStyle name="20 % - Accent4 12 2 2" xfId="6279" xr:uid="{00000000-0005-0000-0000-0000D4020000}"/>
    <cellStyle name="20 % - Accent4 12 3" xfId="5550" xr:uid="{00000000-0005-0000-0000-0000D5020000}"/>
    <cellStyle name="20 % - Accent4 13" xfId="718" xr:uid="{00000000-0005-0000-0000-0000D6020000}"/>
    <cellStyle name="20 % - Accent4 13 2" xfId="3120" xr:uid="{00000000-0005-0000-0000-0000D7020000}"/>
    <cellStyle name="20 % - Accent4 13 2 2" xfId="6280" xr:uid="{00000000-0005-0000-0000-0000D8020000}"/>
    <cellStyle name="20 % - Accent4 13 3" xfId="5551" xr:uid="{00000000-0005-0000-0000-0000D9020000}"/>
    <cellStyle name="20 % - Accent4 14" xfId="719" xr:uid="{00000000-0005-0000-0000-0000DA020000}"/>
    <cellStyle name="20 % - Accent4 14 2" xfId="3121" xr:uid="{00000000-0005-0000-0000-0000DB020000}"/>
    <cellStyle name="20 % - Accent4 14 2 2" xfId="6281" xr:uid="{00000000-0005-0000-0000-0000DC020000}"/>
    <cellStyle name="20 % - Accent4 14 3" xfId="5552" xr:uid="{00000000-0005-0000-0000-0000DD020000}"/>
    <cellStyle name="20 % - Accent4 15" xfId="720" xr:uid="{00000000-0005-0000-0000-0000DE020000}"/>
    <cellStyle name="20 % - Accent4 15 2" xfId="3122" xr:uid="{00000000-0005-0000-0000-0000DF020000}"/>
    <cellStyle name="20 % - Accent4 15 2 2" xfId="6282" xr:uid="{00000000-0005-0000-0000-0000E0020000}"/>
    <cellStyle name="20 % - Accent4 15 3" xfId="5553" xr:uid="{00000000-0005-0000-0000-0000E1020000}"/>
    <cellStyle name="20 % - Accent4 16" xfId="721" xr:uid="{00000000-0005-0000-0000-0000E2020000}"/>
    <cellStyle name="20 % - Accent4 16 2" xfId="3123" xr:uid="{00000000-0005-0000-0000-0000E3020000}"/>
    <cellStyle name="20 % - Accent4 16 2 2" xfId="6283" xr:uid="{00000000-0005-0000-0000-0000E4020000}"/>
    <cellStyle name="20 % - Accent4 16 3" xfId="5554" xr:uid="{00000000-0005-0000-0000-0000E5020000}"/>
    <cellStyle name="20 % - Accent4 17" xfId="722" xr:uid="{00000000-0005-0000-0000-0000E6020000}"/>
    <cellStyle name="20 % - Accent4 17 2" xfId="3124" xr:uid="{00000000-0005-0000-0000-0000E7020000}"/>
    <cellStyle name="20 % - Accent4 17 2 2" xfId="6284" xr:uid="{00000000-0005-0000-0000-0000E8020000}"/>
    <cellStyle name="20 % - Accent4 17 3" xfId="5555" xr:uid="{00000000-0005-0000-0000-0000E9020000}"/>
    <cellStyle name="20 % - Accent4 18" xfId="723" xr:uid="{00000000-0005-0000-0000-0000EA020000}"/>
    <cellStyle name="20 % - Accent4 18 2" xfId="3125" xr:uid="{00000000-0005-0000-0000-0000EB020000}"/>
    <cellStyle name="20 % - Accent4 18 2 2" xfId="6285" xr:uid="{00000000-0005-0000-0000-0000EC020000}"/>
    <cellStyle name="20 % - Accent4 18 3" xfId="5556" xr:uid="{00000000-0005-0000-0000-0000ED020000}"/>
    <cellStyle name="20 % - Accent4 19" xfId="724" xr:uid="{00000000-0005-0000-0000-0000EE020000}"/>
    <cellStyle name="20 % - Accent4 19 2" xfId="3126" xr:uid="{00000000-0005-0000-0000-0000EF020000}"/>
    <cellStyle name="20 % - Accent4 19 2 2" xfId="6286" xr:uid="{00000000-0005-0000-0000-0000F0020000}"/>
    <cellStyle name="20 % - Accent4 19 3" xfId="5557" xr:uid="{00000000-0005-0000-0000-0000F1020000}"/>
    <cellStyle name="20 % - Accent4 2" xfId="7" xr:uid="{00000000-0005-0000-0000-0000F2020000}"/>
    <cellStyle name="20 % - Accent4 2 2" xfId="725" xr:uid="{00000000-0005-0000-0000-0000F3020000}"/>
    <cellStyle name="20 % - Accent4 2 3" xfId="3127" xr:uid="{00000000-0005-0000-0000-0000F4020000}"/>
    <cellStyle name="20 % - Accent4 20" xfId="726" xr:uid="{00000000-0005-0000-0000-0000F5020000}"/>
    <cellStyle name="20 % - Accent4 20 2" xfId="3128" xr:uid="{00000000-0005-0000-0000-0000F6020000}"/>
    <cellStyle name="20 % - Accent4 20 2 2" xfId="6287" xr:uid="{00000000-0005-0000-0000-0000F7020000}"/>
    <cellStyle name="20 % - Accent4 20 3" xfId="5558" xr:uid="{00000000-0005-0000-0000-0000F8020000}"/>
    <cellStyle name="20 % - Accent4 21" xfId="727" xr:uid="{00000000-0005-0000-0000-0000F9020000}"/>
    <cellStyle name="20 % - Accent4 21 2" xfId="3129" xr:uid="{00000000-0005-0000-0000-0000FA020000}"/>
    <cellStyle name="20 % - Accent4 21 2 2" xfId="6288" xr:uid="{00000000-0005-0000-0000-0000FB020000}"/>
    <cellStyle name="20 % - Accent4 21 3" xfId="5559" xr:uid="{00000000-0005-0000-0000-0000FC020000}"/>
    <cellStyle name="20 % - Accent4 22" xfId="728" xr:uid="{00000000-0005-0000-0000-0000FD020000}"/>
    <cellStyle name="20 % - Accent4 22 2" xfId="3130" xr:uid="{00000000-0005-0000-0000-0000FE020000}"/>
    <cellStyle name="20 % - Accent4 22 2 2" xfId="6289" xr:uid="{00000000-0005-0000-0000-0000FF020000}"/>
    <cellStyle name="20 % - Accent4 22 3" xfId="5560" xr:uid="{00000000-0005-0000-0000-000000030000}"/>
    <cellStyle name="20 % - Accent4 23" xfId="729" xr:uid="{00000000-0005-0000-0000-000001030000}"/>
    <cellStyle name="20 % - Accent4 23 2" xfId="3131" xr:uid="{00000000-0005-0000-0000-000002030000}"/>
    <cellStyle name="20 % - Accent4 23 2 2" xfId="6290" xr:uid="{00000000-0005-0000-0000-000003030000}"/>
    <cellStyle name="20 % - Accent4 23 3" xfId="5561" xr:uid="{00000000-0005-0000-0000-000004030000}"/>
    <cellStyle name="20 % - Accent4 24" xfId="730" xr:uid="{00000000-0005-0000-0000-000005030000}"/>
    <cellStyle name="20 % - Accent4 24 2" xfId="3132" xr:uid="{00000000-0005-0000-0000-000006030000}"/>
    <cellStyle name="20 % - Accent4 24 2 2" xfId="6291" xr:uid="{00000000-0005-0000-0000-000007030000}"/>
    <cellStyle name="20 % - Accent4 24 3" xfId="5562" xr:uid="{00000000-0005-0000-0000-000008030000}"/>
    <cellStyle name="20 % - Accent4 25" xfId="731" xr:uid="{00000000-0005-0000-0000-000009030000}"/>
    <cellStyle name="20 % - Accent4 25 2" xfId="3133" xr:uid="{00000000-0005-0000-0000-00000A030000}"/>
    <cellStyle name="20 % - Accent4 25 2 2" xfId="6292" xr:uid="{00000000-0005-0000-0000-00000B030000}"/>
    <cellStyle name="20 % - Accent4 25 3" xfId="5563" xr:uid="{00000000-0005-0000-0000-00000C030000}"/>
    <cellStyle name="20 % - Accent4 26" xfId="732" xr:uid="{00000000-0005-0000-0000-00000D030000}"/>
    <cellStyle name="20 % - Accent4 26 2" xfId="3134" xr:uid="{00000000-0005-0000-0000-00000E030000}"/>
    <cellStyle name="20 % - Accent4 26 2 2" xfId="6293" xr:uid="{00000000-0005-0000-0000-00000F030000}"/>
    <cellStyle name="20 % - Accent4 26 3" xfId="5564" xr:uid="{00000000-0005-0000-0000-000010030000}"/>
    <cellStyle name="20 % - Accent4 27" xfId="733" xr:uid="{00000000-0005-0000-0000-000011030000}"/>
    <cellStyle name="20 % - Accent4 27 2" xfId="3135" xr:uid="{00000000-0005-0000-0000-000012030000}"/>
    <cellStyle name="20 % - Accent4 27 2 2" xfId="6294" xr:uid="{00000000-0005-0000-0000-000013030000}"/>
    <cellStyle name="20 % - Accent4 27 3" xfId="5565" xr:uid="{00000000-0005-0000-0000-000014030000}"/>
    <cellStyle name="20 % - Accent4 28" xfId="734" xr:uid="{00000000-0005-0000-0000-000015030000}"/>
    <cellStyle name="20 % - Accent4 28 2" xfId="3136" xr:uid="{00000000-0005-0000-0000-000016030000}"/>
    <cellStyle name="20 % - Accent4 28 2 2" xfId="6295" xr:uid="{00000000-0005-0000-0000-000017030000}"/>
    <cellStyle name="20 % - Accent4 28 3" xfId="5566" xr:uid="{00000000-0005-0000-0000-000018030000}"/>
    <cellStyle name="20 % - Accent4 29" xfId="735" xr:uid="{00000000-0005-0000-0000-000019030000}"/>
    <cellStyle name="20 % - Accent4 29 2" xfId="3137" xr:uid="{00000000-0005-0000-0000-00001A030000}"/>
    <cellStyle name="20 % - Accent4 29 2 2" xfId="6296" xr:uid="{00000000-0005-0000-0000-00001B030000}"/>
    <cellStyle name="20 % - Accent4 29 3" xfId="5567" xr:uid="{00000000-0005-0000-0000-00001C030000}"/>
    <cellStyle name="20 % - Accent4 3" xfId="186" xr:uid="{00000000-0005-0000-0000-00001D030000}"/>
    <cellStyle name="20 % - Accent4 3 2" xfId="736" xr:uid="{00000000-0005-0000-0000-00001E030000}"/>
    <cellStyle name="20 % - Accent4 3 2 2" xfId="6297" xr:uid="{00000000-0005-0000-0000-00001F030000}"/>
    <cellStyle name="20 % - Accent4 3 3" xfId="3138" xr:uid="{00000000-0005-0000-0000-000020030000}"/>
    <cellStyle name="20 % - Accent4 3 4" xfId="5568" xr:uid="{00000000-0005-0000-0000-000021030000}"/>
    <cellStyle name="20 % - Accent4 30" xfId="737" xr:uid="{00000000-0005-0000-0000-000022030000}"/>
    <cellStyle name="20 % - Accent4 30 2" xfId="3139" xr:uid="{00000000-0005-0000-0000-000023030000}"/>
    <cellStyle name="20 % - Accent4 30 2 2" xfId="6298" xr:uid="{00000000-0005-0000-0000-000024030000}"/>
    <cellStyle name="20 % - Accent4 30 3" xfId="5569" xr:uid="{00000000-0005-0000-0000-000025030000}"/>
    <cellStyle name="20 % - Accent4 31" xfId="738" xr:uid="{00000000-0005-0000-0000-000026030000}"/>
    <cellStyle name="20 % - Accent4 31 2" xfId="3140" xr:uid="{00000000-0005-0000-0000-000027030000}"/>
    <cellStyle name="20 % - Accent4 31 2 2" xfId="6299" xr:uid="{00000000-0005-0000-0000-000028030000}"/>
    <cellStyle name="20 % - Accent4 31 3" xfId="5570" xr:uid="{00000000-0005-0000-0000-000029030000}"/>
    <cellStyle name="20 % - Accent4 32" xfId="739" xr:uid="{00000000-0005-0000-0000-00002A030000}"/>
    <cellStyle name="20 % - Accent4 32 2" xfId="3141" xr:uid="{00000000-0005-0000-0000-00002B030000}"/>
    <cellStyle name="20 % - Accent4 32 2 2" xfId="6300" xr:uid="{00000000-0005-0000-0000-00002C030000}"/>
    <cellStyle name="20 % - Accent4 32 3" xfId="5571" xr:uid="{00000000-0005-0000-0000-00002D030000}"/>
    <cellStyle name="20 % - Accent4 33" xfId="740" xr:uid="{00000000-0005-0000-0000-00002E030000}"/>
    <cellStyle name="20 % - Accent4 33 2" xfId="3142" xr:uid="{00000000-0005-0000-0000-00002F030000}"/>
    <cellStyle name="20 % - Accent4 33 2 2" xfId="6301" xr:uid="{00000000-0005-0000-0000-000030030000}"/>
    <cellStyle name="20 % - Accent4 33 3" xfId="5572" xr:uid="{00000000-0005-0000-0000-000031030000}"/>
    <cellStyle name="20 % - Accent4 34" xfId="741" xr:uid="{00000000-0005-0000-0000-000032030000}"/>
    <cellStyle name="20 % - Accent4 34 2" xfId="3143" xr:uid="{00000000-0005-0000-0000-000033030000}"/>
    <cellStyle name="20 % - Accent4 34 2 2" xfId="6302" xr:uid="{00000000-0005-0000-0000-000034030000}"/>
    <cellStyle name="20 % - Accent4 34 3" xfId="5573" xr:uid="{00000000-0005-0000-0000-000035030000}"/>
    <cellStyle name="20 % - Accent4 35" xfId="742" xr:uid="{00000000-0005-0000-0000-000036030000}"/>
    <cellStyle name="20 % - Accent4 35 2" xfId="3144" xr:uid="{00000000-0005-0000-0000-000037030000}"/>
    <cellStyle name="20 % - Accent4 35 2 2" xfId="6303" xr:uid="{00000000-0005-0000-0000-000038030000}"/>
    <cellStyle name="20 % - Accent4 35 3" xfId="5574" xr:uid="{00000000-0005-0000-0000-000039030000}"/>
    <cellStyle name="20 % - Accent4 36" xfId="743" xr:uid="{00000000-0005-0000-0000-00003A030000}"/>
    <cellStyle name="20 % - Accent4 36 2" xfId="3145" xr:uid="{00000000-0005-0000-0000-00003B030000}"/>
    <cellStyle name="20 % - Accent4 36 2 2" xfId="6304" xr:uid="{00000000-0005-0000-0000-00003C030000}"/>
    <cellStyle name="20 % - Accent4 36 3" xfId="5575" xr:uid="{00000000-0005-0000-0000-00003D030000}"/>
    <cellStyle name="20 % - Accent4 37" xfId="744" xr:uid="{00000000-0005-0000-0000-00003E030000}"/>
    <cellStyle name="20 % - Accent4 37 2" xfId="3146" xr:uid="{00000000-0005-0000-0000-00003F030000}"/>
    <cellStyle name="20 % - Accent4 37 2 2" xfId="6305" xr:uid="{00000000-0005-0000-0000-000040030000}"/>
    <cellStyle name="20 % - Accent4 37 3" xfId="5576" xr:uid="{00000000-0005-0000-0000-000041030000}"/>
    <cellStyle name="20 % - Accent4 38" xfId="745" xr:uid="{00000000-0005-0000-0000-000042030000}"/>
    <cellStyle name="20 % - Accent4 38 2" xfId="3147" xr:uid="{00000000-0005-0000-0000-000043030000}"/>
    <cellStyle name="20 % - Accent4 38 2 2" xfId="6306" xr:uid="{00000000-0005-0000-0000-000044030000}"/>
    <cellStyle name="20 % - Accent4 38 3" xfId="5577" xr:uid="{00000000-0005-0000-0000-000045030000}"/>
    <cellStyle name="20 % - Accent4 39" xfId="746" xr:uid="{00000000-0005-0000-0000-000046030000}"/>
    <cellStyle name="20 % - Accent4 39 2" xfId="3148" xr:uid="{00000000-0005-0000-0000-000047030000}"/>
    <cellStyle name="20 % - Accent4 39 2 2" xfId="6307" xr:uid="{00000000-0005-0000-0000-000048030000}"/>
    <cellStyle name="20 % - Accent4 39 3" xfId="5578" xr:uid="{00000000-0005-0000-0000-000049030000}"/>
    <cellStyle name="20 % - Accent4 4" xfId="187" xr:uid="{00000000-0005-0000-0000-00004A030000}"/>
    <cellStyle name="20 % - Accent4 4 2" xfId="747" xr:uid="{00000000-0005-0000-0000-00004B030000}"/>
    <cellStyle name="20 % - Accent4 4 2 2" xfId="6308" xr:uid="{00000000-0005-0000-0000-00004C030000}"/>
    <cellStyle name="20 % - Accent4 4 3" xfId="3149" xr:uid="{00000000-0005-0000-0000-00004D030000}"/>
    <cellStyle name="20 % - Accent4 4 4" xfId="5579" xr:uid="{00000000-0005-0000-0000-00004E030000}"/>
    <cellStyle name="20 % - Accent4 40" xfId="748" xr:uid="{00000000-0005-0000-0000-00004F030000}"/>
    <cellStyle name="20 % - Accent4 40 2" xfId="3150" xr:uid="{00000000-0005-0000-0000-000050030000}"/>
    <cellStyle name="20 % - Accent4 40 2 2" xfId="6309" xr:uid="{00000000-0005-0000-0000-000051030000}"/>
    <cellStyle name="20 % - Accent4 40 3" xfId="5580" xr:uid="{00000000-0005-0000-0000-000052030000}"/>
    <cellStyle name="20 % - Accent4 41" xfId="749" xr:uid="{00000000-0005-0000-0000-000053030000}"/>
    <cellStyle name="20 % - Accent4 41 2" xfId="3151" xr:uid="{00000000-0005-0000-0000-000054030000}"/>
    <cellStyle name="20 % - Accent4 41 2 2" xfId="6310" xr:uid="{00000000-0005-0000-0000-000055030000}"/>
    <cellStyle name="20 % - Accent4 41 3" xfId="5581" xr:uid="{00000000-0005-0000-0000-000056030000}"/>
    <cellStyle name="20 % - Accent4 42" xfId="750" xr:uid="{00000000-0005-0000-0000-000057030000}"/>
    <cellStyle name="20 % - Accent4 42 2" xfId="3152" xr:uid="{00000000-0005-0000-0000-000058030000}"/>
    <cellStyle name="20 % - Accent4 42 2 2" xfId="6311" xr:uid="{00000000-0005-0000-0000-000059030000}"/>
    <cellStyle name="20 % - Accent4 42 3" xfId="5582" xr:uid="{00000000-0005-0000-0000-00005A030000}"/>
    <cellStyle name="20 % - Accent4 43" xfId="751" xr:uid="{00000000-0005-0000-0000-00005B030000}"/>
    <cellStyle name="20 % - Accent4 43 2" xfId="3153" xr:uid="{00000000-0005-0000-0000-00005C030000}"/>
    <cellStyle name="20 % - Accent4 43 2 2" xfId="6312" xr:uid="{00000000-0005-0000-0000-00005D030000}"/>
    <cellStyle name="20 % - Accent4 43 3" xfId="5583" xr:uid="{00000000-0005-0000-0000-00005E030000}"/>
    <cellStyle name="20 % - Accent4 44" xfId="752" xr:uid="{00000000-0005-0000-0000-00005F030000}"/>
    <cellStyle name="20 % - Accent4 44 2" xfId="3154" xr:uid="{00000000-0005-0000-0000-000060030000}"/>
    <cellStyle name="20 % - Accent4 44 2 2" xfId="6313" xr:uid="{00000000-0005-0000-0000-000061030000}"/>
    <cellStyle name="20 % - Accent4 44 3" xfId="5584" xr:uid="{00000000-0005-0000-0000-000062030000}"/>
    <cellStyle name="20 % - Accent4 45" xfId="753" xr:uid="{00000000-0005-0000-0000-000063030000}"/>
    <cellStyle name="20 % - Accent4 45 2" xfId="3155" xr:uid="{00000000-0005-0000-0000-000064030000}"/>
    <cellStyle name="20 % - Accent4 45 2 2" xfId="6314" xr:uid="{00000000-0005-0000-0000-000065030000}"/>
    <cellStyle name="20 % - Accent4 45 3" xfId="5585" xr:uid="{00000000-0005-0000-0000-000066030000}"/>
    <cellStyle name="20 % - Accent4 46" xfId="754" xr:uid="{00000000-0005-0000-0000-000067030000}"/>
    <cellStyle name="20 % - Accent4 46 2" xfId="3156" xr:uid="{00000000-0005-0000-0000-000068030000}"/>
    <cellStyle name="20 % - Accent4 46 2 2" xfId="6315" xr:uid="{00000000-0005-0000-0000-000069030000}"/>
    <cellStyle name="20 % - Accent4 46 3" xfId="5586" xr:uid="{00000000-0005-0000-0000-00006A030000}"/>
    <cellStyle name="20 % - Accent4 47" xfId="755" xr:uid="{00000000-0005-0000-0000-00006B030000}"/>
    <cellStyle name="20 % - Accent4 47 2" xfId="3157" xr:uid="{00000000-0005-0000-0000-00006C030000}"/>
    <cellStyle name="20 % - Accent4 47 2 2" xfId="6316" xr:uid="{00000000-0005-0000-0000-00006D030000}"/>
    <cellStyle name="20 % - Accent4 47 3" xfId="5587" xr:uid="{00000000-0005-0000-0000-00006E030000}"/>
    <cellStyle name="20 % - Accent4 48" xfId="756" xr:uid="{00000000-0005-0000-0000-00006F030000}"/>
    <cellStyle name="20 % - Accent4 48 2" xfId="3158" xr:uid="{00000000-0005-0000-0000-000070030000}"/>
    <cellStyle name="20 % - Accent4 48 2 2" xfId="6317" xr:uid="{00000000-0005-0000-0000-000071030000}"/>
    <cellStyle name="20 % - Accent4 48 3" xfId="5588" xr:uid="{00000000-0005-0000-0000-000072030000}"/>
    <cellStyle name="20 % - Accent4 49" xfId="757" xr:uid="{00000000-0005-0000-0000-000073030000}"/>
    <cellStyle name="20 % - Accent4 49 2" xfId="3159" xr:uid="{00000000-0005-0000-0000-000074030000}"/>
    <cellStyle name="20 % - Accent4 49 2 2" xfId="6318" xr:uid="{00000000-0005-0000-0000-000075030000}"/>
    <cellStyle name="20 % - Accent4 49 3" xfId="5589" xr:uid="{00000000-0005-0000-0000-000076030000}"/>
    <cellStyle name="20 % - Accent4 5" xfId="188" xr:uid="{00000000-0005-0000-0000-000077030000}"/>
    <cellStyle name="20 % - Accent4 5 2" xfId="758" xr:uid="{00000000-0005-0000-0000-000078030000}"/>
    <cellStyle name="20 % - Accent4 5 2 2" xfId="6319" xr:uid="{00000000-0005-0000-0000-000079030000}"/>
    <cellStyle name="20 % - Accent4 5 3" xfId="3160" xr:uid="{00000000-0005-0000-0000-00007A030000}"/>
    <cellStyle name="20 % - Accent4 5 4" xfId="5590" xr:uid="{00000000-0005-0000-0000-00007B030000}"/>
    <cellStyle name="20 % - Accent4 50" xfId="759" xr:uid="{00000000-0005-0000-0000-00007C030000}"/>
    <cellStyle name="20 % - Accent4 50 2" xfId="3161" xr:uid="{00000000-0005-0000-0000-00007D030000}"/>
    <cellStyle name="20 % - Accent4 50 2 2" xfId="6320" xr:uid="{00000000-0005-0000-0000-00007E030000}"/>
    <cellStyle name="20 % - Accent4 50 3" xfId="5591" xr:uid="{00000000-0005-0000-0000-00007F030000}"/>
    <cellStyle name="20 % - Accent4 51" xfId="760" xr:uid="{00000000-0005-0000-0000-000080030000}"/>
    <cellStyle name="20 % - Accent4 51 2" xfId="3162" xr:uid="{00000000-0005-0000-0000-000081030000}"/>
    <cellStyle name="20 % - Accent4 51 2 2" xfId="6321" xr:uid="{00000000-0005-0000-0000-000082030000}"/>
    <cellStyle name="20 % - Accent4 51 3" xfId="5592" xr:uid="{00000000-0005-0000-0000-000083030000}"/>
    <cellStyle name="20 % - Accent4 52" xfId="761" xr:uid="{00000000-0005-0000-0000-000084030000}"/>
    <cellStyle name="20 % - Accent4 52 2" xfId="3163" xr:uid="{00000000-0005-0000-0000-000085030000}"/>
    <cellStyle name="20 % - Accent4 52 2 2" xfId="6322" xr:uid="{00000000-0005-0000-0000-000086030000}"/>
    <cellStyle name="20 % - Accent4 52 3" xfId="5593" xr:uid="{00000000-0005-0000-0000-000087030000}"/>
    <cellStyle name="20 % - Accent4 53" xfId="762" xr:uid="{00000000-0005-0000-0000-000088030000}"/>
    <cellStyle name="20 % - Accent4 53 2" xfId="3164" xr:uid="{00000000-0005-0000-0000-000089030000}"/>
    <cellStyle name="20 % - Accent4 53 2 2" xfId="6323" xr:uid="{00000000-0005-0000-0000-00008A030000}"/>
    <cellStyle name="20 % - Accent4 53 3" xfId="5594" xr:uid="{00000000-0005-0000-0000-00008B030000}"/>
    <cellStyle name="20 % - Accent4 54" xfId="763" xr:uid="{00000000-0005-0000-0000-00008C030000}"/>
    <cellStyle name="20 % - Accent4 54 2" xfId="3165" xr:uid="{00000000-0005-0000-0000-00008D030000}"/>
    <cellStyle name="20 % - Accent4 54 2 2" xfId="6324" xr:uid="{00000000-0005-0000-0000-00008E030000}"/>
    <cellStyle name="20 % - Accent4 54 3" xfId="5595" xr:uid="{00000000-0005-0000-0000-00008F030000}"/>
    <cellStyle name="20 % - Accent4 55" xfId="764" xr:uid="{00000000-0005-0000-0000-000090030000}"/>
    <cellStyle name="20 % - Accent4 55 2" xfId="3166" xr:uid="{00000000-0005-0000-0000-000091030000}"/>
    <cellStyle name="20 % - Accent4 55 2 2" xfId="6325" xr:uid="{00000000-0005-0000-0000-000092030000}"/>
    <cellStyle name="20 % - Accent4 55 3" xfId="5596" xr:uid="{00000000-0005-0000-0000-000093030000}"/>
    <cellStyle name="20 % - Accent4 56" xfId="765" xr:uid="{00000000-0005-0000-0000-000094030000}"/>
    <cellStyle name="20 % - Accent4 56 2" xfId="3167" xr:uid="{00000000-0005-0000-0000-000095030000}"/>
    <cellStyle name="20 % - Accent4 56 2 2" xfId="6326" xr:uid="{00000000-0005-0000-0000-000096030000}"/>
    <cellStyle name="20 % - Accent4 56 3" xfId="5597" xr:uid="{00000000-0005-0000-0000-000097030000}"/>
    <cellStyle name="20 % - Accent4 57" xfId="766" xr:uid="{00000000-0005-0000-0000-000098030000}"/>
    <cellStyle name="20 % - Accent4 57 2" xfId="3168" xr:uid="{00000000-0005-0000-0000-000099030000}"/>
    <cellStyle name="20 % - Accent4 57 2 2" xfId="6327" xr:uid="{00000000-0005-0000-0000-00009A030000}"/>
    <cellStyle name="20 % - Accent4 57 3" xfId="5598" xr:uid="{00000000-0005-0000-0000-00009B030000}"/>
    <cellStyle name="20 % - Accent4 58" xfId="767" xr:uid="{00000000-0005-0000-0000-00009C030000}"/>
    <cellStyle name="20 % - Accent4 58 2" xfId="3169" xr:uid="{00000000-0005-0000-0000-00009D030000}"/>
    <cellStyle name="20 % - Accent4 58 2 2" xfId="6328" xr:uid="{00000000-0005-0000-0000-00009E030000}"/>
    <cellStyle name="20 % - Accent4 58 3" xfId="5599" xr:uid="{00000000-0005-0000-0000-00009F030000}"/>
    <cellStyle name="20 % - Accent4 59" xfId="768" xr:uid="{00000000-0005-0000-0000-0000A0030000}"/>
    <cellStyle name="20 % - Accent4 59 2" xfId="3170" xr:uid="{00000000-0005-0000-0000-0000A1030000}"/>
    <cellStyle name="20 % - Accent4 59 2 2" xfId="6329" xr:uid="{00000000-0005-0000-0000-0000A2030000}"/>
    <cellStyle name="20 % - Accent4 59 3" xfId="5600" xr:uid="{00000000-0005-0000-0000-0000A3030000}"/>
    <cellStyle name="20 % - Accent4 6" xfId="189" xr:uid="{00000000-0005-0000-0000-0000A4030000}"/>
    <cellStyle name="20 % - Accent4 6 2" xfId="769" xr:uid="{00000000-0005-0000-0000-0000A5030000}"/>
    <cellStyle name="20 % - Accent4 6 2 2" xfId="6330" xr:uid="{00000000-0005-0000-0000-0000A6030000}"/>
    <cellStyle name="20 % - Accent4 6 3" xfId="3171" xr:uid="{00000000-0005-0000-0000-0000A7030000}"/>
    <cellStyle name="20 % - Accent4 6 4" xfId="5601" xr:uid="{00000000-0005-0000-0000-0000A8030000}"/>
    <cellStyle name="20 % - Accent4 7" xfId="190" xr:uid="{00000000-0005-0000-0000-0000A9030000}"/>
    <cellStyle name="20 % - Accent4 7 2" xfId="770" xr:uid="{00000000-0005-0000-0000-0000AA030000}"/>
    <cellStyle name="20 % - Accent4 7 2 2" xfId="6331" xr:uid="{00000000-0005-0000-0000-0000AB030000}"/>
    <cellStyle name="20 % - Accent4 7 3" xfId="3172" xr:uid="{00000000-0005-0000-0000-0000AC030000}"/>
    <cellStyle name="20 % - Accent4 7 4" xfId="5602" xr:uid="{00000000-0005-0000-0000-0000AD030000}"/>
    <cellStyle name="20 % - Accent4 8" xfId="191" xr:uid="{00000000-0005-0000-0000-0000AE030000}"/>
    <cellStyle name="20 % - Accent4 8 2" xfId="771" xr:uid="{00000000-0005-0000-0000-0000AF030000}"/>
    <cellStyle name="20 % - Accent4 8 2 2" xfId="6332" xr:uid="{00000000-0005-0000-0000-0000B0030000}"/>
    <cellStyle name="20 % - Accent4 8 3" xfId="3173" xr:uid="{00000000-0005-0000-0000-0000B1030000}"/>
    <cellStyle name="20 % - Accent4 8 4" xfId="5603" xr:uid="{00000000-0005-0000-0000-0000B2030000}"/>
    <cellStyle name="20 % - Accent4 9" xfId="772" xr:uid="{00000000-0005-0000-0000-0000B3030000}"/>
    <cellStyle name="20 % - Accent4 9 2" xfId="3174" xr:uid="{00000000-0005-0000-0000-0000B4030000}"/>
    <cellStyle name="20 % - Accent4 9 2 2" xfId="6333" xr:uid="{00000000-0005-0000-0000-0000B5030000}"/>
    <cellStyle name="20 % - Accent4 9 3" xfId="5604" xr:uid="{00000000-0005-0000-0000-0000B6030000}"/>
    <cellStyle name="20 % - Accent5 10" xfId="773" xr:uid="{00000000-0005-0000-0000-0000B7030000}"/>
    <cellStyle name="20 % - Accent5 10 2" xfId="3175" xr:uid="{00000000-0005-0000-0000-0000B8030000}"/>
    <cellStyle name="20 % - Accent5 10 2 2" xfId="6334" xr:uid="{00000000-0005-0000-0000-0000B9030000}"/>
    <cellStyle name="20 % - Accent5 10 3" xfId="5605" xr:uid="{00000000-0005-0000-0000-0000BA030000}"/>
    <cellStyle name="20 % - Accent5 11" xfId="774" xr:uid="{00000000-0005-0000-0000-0000BB030000}"/>
    <cellStyle name="20 % - Accent5 11 2" xfId="3176" xr:uid="{00000000-0005-0000-0000-0000BC030000}"/>
    <cellStyle name="20 % - Accent5 11 2 2" xfId="6335" xr:uid="{00000000-0005-0000-0000-0000BD030000}"/>
    <cellStyle name="20 % - Accent5 11 3" xfId="5606" xr:uid="{00000000-0005-0000-0000-0000BE030000}"/>
    <cellStyle name="20 % - Accent5 12" xfId="775" xr:uid="{00000000-0005-0000-0000-0000BF030000}"/>
    <cellStyle name="20 % - Accent5 12 2" xfId="3177" xr:uid="{00000000-0005-0000-0000-0000C0030000}"/>
    <cellStyle name="20 % - Accent5 12 2 2" xfId="6336" xr:uid="{00000000-0005-0000-0000-0000C1030000}"/>
    <cellStyle name="20 % - Accent5 12 3" xfId="5607" xr:uid="{00000000-0005-0000-0000-0000C2030000}"/>
    <cellStyle name="20 % - Accent5 13" xfId="776" xr:uid="{00000000-0005-0000-0000-0000C3030000}"/>
    <cellStyle name="20 % - Accent5 13 2" xfId="3178" xr:uid="{00000000-0005-0000-0000-0000C4030000}"/>
    <cellStyle name="20 % - Accent5 13 2 2" xfId="6337" xr:uid="{00000000-0005-0000-0000-0000C5030000}"/>
    <cellStyle name="20 % - Accent5 13 3" xfId="5608" xr:uid="{00000000-0005-0000-0000-0000C6030000}"/>
    <cellStyle name="20 % - Accent5 14" xfId="777" xr:uid="{00000000-0005-0000-0000-0000C7030000}"/>
    <cellStyle name="20 % - Accent5 14 2" xfId="3179" xr:uid="{00000000-0005-0000-0000-0000C8030000}"/>
    <cellStyle name="20 % - Accent5 14 2 2" xfId="6338" xr:uid="{00000000-0005-0000-0000-0000C9030000}"/>
    <cellStyle name="20 % - Accent5 14 3" xfId="5609" xr:uid="{00000000-0005-0000-0000-0000CA030000}"/>
    <cellStyle name="20 % - Accent5 15" xfId="778" xr:uid="{00000000-0005-0000-0000-0000CB030000}"/>
    <cellStyle name="20 % - Accent5 15 2" xfId="3180" xr:uid="{00000000-0005-0000-0000-0000CC030000}"/>
    <cellStyle name="20 % - Accent5 15 2 2" xfId="6339" xr:uid="{00000000-0005-0000-0000-0000CD030000}"/>
    <cellStyle name="20 % - Accent5 15 3" xfId="5610" xr:uid="{00000000-0005-0000-0000-0000CE030000}"/>
    <cellStyle name="20 % - Accent5 16" xfId="779" xr:uid="{00000000-0005-0000-0000-0000CF030000}"/>
    <cellStyle name="20 % - Accent5 16 2" xfId="3181" xr:uid="{00000000-0005-0000-0000-0000D0030000}"/>
    <cellStyle name="20 % - Accent5 16 2 2" xfId="6340" xr:uid="{00000000-0005-0000-0000-0000D1030000}"/>
    <cellStyle name="20 % - Accent5 16 3" xfId="5611" xr:uid="{00000000-0005-0000-0000-0000D2030000}"/>
    <cellStyle name="20 % - Accent5 17" xfId="780" xr:uid="{00000000-0005-0000-0000-0000D3030000}"/>
    <cellStyle name="20 % - Accent5 17 2" xfId="3182" xr:uid="{00000000-0005-0000-0000-0000D4030000}"/>
    <cellStyle name="20 % - Accent5 17 2 2" xfId="6341" xr:uid="{00000000-0005-0000-0000-0000D5030000}"/>
    <cellStyle name="20 % - Accent5 17 3" xfId="5612" xr:uid="{00000000-0005-0000-0000-0000D6030000}"/>
    <cellStyle name="20 % - Accent5 18" xfId="781" xr:uid="{00000000-0005-0000-0000-0000D7030000}"/>
    <cellStyle name="20 % - Accent5 18 2" xfId="3183" xr:uid="{00000000-0005-0000-0000-0000D8030000}"/>
    <cellStyle name="20 % - Accent5 18 2 2" xfId="6342" xr:uid="{00000000-0005-0000-0000-0000D9030000}"/>
    <cellStyle name="20 % - Accent5 18 3" xfId="5613" xr:uid="{00000000-0005-0000-0000-0000DA030000}"/>
    <cellStyle name="20 % - Accent5 19" xfId="782" xr:uid="{00000000-0005-0000-0000-0000DB030000}"/>
    <cellStyle name="20 % - Accent5 19 2" xfId="3184" xr:uid="{00000000-0005-0000-0000-0000DC030000}"/>
    <cellStyle name="20 % - Accent5 19 2 2" xfId="6343" xr:uid="{00000000-0005-0000-0000-0000DD030000}"/>
    <cellStyle name="20 % - Accent5 19 3" xfId="5614" xr:uid="{00000000-0005-0000-0000-0000DE030000}"/>
    <cellStyle name="20 % - Accent5 2" xfId="8" xr:uid="{00000000-0005-0000-0000-0000DF030000}"/>
    <cellStyle name="20 % - Accent5 2 2" xfId="783" xr:uid="{00000000-0005-0000-0000-0000E0030000}"/>
    <cellStyle name="20 % - Accent5 2 3" xfId="3185" xr:uid="{00000000-0005-0000-0000-0000E1030000}"/>
    <cellStyle name="20 % - Accent5 20" xfId="784" xr:uid="{00000000-0005-0000-0000-0000E2030000}"/>
    <cellStyle name="20 % - Accent5 20 2" xfId="3186" xr:uid="{00000000-0005-0000-0000-0000E3030000}"/>
    <cellStyle name="20 % - Accent5 20 2 2" xfId="6344" xr:uid="{00000000-0005-0000-0000-0000E4030000}"/>
    <cellStyle name="20 % - Accent5 20 3" xfId="5615" xr:uid="{00000000-0005-0000-0000-0000E5030000}"/>
    <cellStyle name="20 % - Accent5 21" xfId="785" xr:uid="{00000000-0005-0000-0000-0000E6030000}"/>
    <cellStyle name="20 % - Accent5 21 2" xfId="3187" xr:uid="{00000000-0005-0000-0000-0000E7030000}"/>
    <cellStyle name="20 % - Accent5 21 2 2" xfId="6345" xr:uid="{00000000-0005-0000-0000-0000E8030000}"/>
    <cellStyle name="20 % - Accent5 21 3" xfId="5616" xr:uid="{00000000-0005-0000-0000-0000E9030000}"/>
    <cellStyle name="20 % - Accent5 22" xfId="786" xr:uid="{00000000-0005-0000-0000-0000EA030000}"/>
    <cellStyle name="20 % - Accent5 22 2" xfId="3188" xr:uid="{00000000-0005-0000-0000-0000EB030000}"/>
    <cellStyle name="20 % - Accent5 22 2 2" xfId="6346" xr:uid="{00000000-0005-0000-0000-0000EC030000}"/>
    <cellStyle name="20 % - Accent5 22 3" xfId="5617" xr:uid="{00000000-0005-0000-0000-0000ED030000}"/>
    <cellStyle name="20 % - Accent5 23" xfId="787" xr:uid="{00000000-0005-0000-0000-0000EE030000}"/>
    <cellStyle name="20 % - Accent5 23 2" xfId="3189" xr:uid="{00000000-0005-0000-0000-0000EF030000}"/>
    <cellStyle name="20 % - Accent5 23 2 2" xfId="6347" xr:uid="{00000000-0005-0000-0000-0000F0030000}"/>
    <cellStyle name="20 % - Accent5 23 3" xfId="5618" xr:uid="{00000000-0005-0000-0000-0000F1030000}"/>
    <cellStyle name="20 % - Accent5 24" xfId="788" xr:uid="{00000000-0005-0000-0000-0000F2030000}"/>
    <cellStyle name="20 % - Accent5 24 2" xfId="3190" xr:uid="{00000000-0005-0000-0000-0000F3030000}"/>
    <cellStyle name="20 % - Accent5 24 2 2" xfId="6348" xr:uid="{00000000-0005-0000-0000-0000F4030000}"/>
    <cellStyle name="20 % - Accent5 24 3" xfId="5619" xr:uid="{00000000-0005-0000-0000-0000F5030000}"/>
    <cellStyle name="20 % - Accent5 25" xfId="789" xr:uid="{00000000-0005-0000-0000-0000F6030000}"/>
    <cellStyle name="20 % - Accent5 25 2" xfId="3191" xr:uid="{00000000-0005-0000-0000-0000F7030000}"/>
    <cellStyle name="20 % - Accent5 25 2 2" xfId="6349" xr:uid="{00000000-0005-0000-0000-0000F8030000}"/>
    <cellStyle name="20 % - Accent5 25 3" xfId="5620" xr:uid="{00000000-0005-0000-0000-0000F9030000}"/>
    <cellStyle name="20 % - Accent5 26" xfId="790" xr:uid="{00000000-0005-0000-0000-0000FA030000}"/>
    <cellStyle name="20 % - Accent5 26 2" xfId="3192" xr:uid="{00000000-0005-0000-0000-0000FB030000}"/>
    <cellStyle name="20 % - Accent5 26 2 2" xfId="6350" xr:uid="{00000000-0005-0000-0000-0000FC030000}"/>
    <cellStyle name="20 % - Accent5 26 3" xfId="5621" xr:uid="{00000000-0005-0000-0000-0000FD030000}"/>
    <cellStyle name="20 % - Accent5 27" xfId="791" xr:uid="{00000000-0005-0000-0000-0000FE030000}"/>
    <cellStyle name="20 % - Accent5 27 2" xfId="3193" xr:uid="{00000000-0005-0000-0000-0000FF030000}"/>
    <cellStyle name="20 % - Accent5 27 2 2" xfId="6351" xr:uid="{00000000-0005-0000-0000-000000040000}"/>
    <cellStyle name="20 % - Accent5 27 3" xfId="5622" xr:uid="{00000000-0005-0000-0000-000001040000}"/>
    <cellStyle name="20 % - Accent5 28" xfId="792" xr:uid="{00000000-0005-0000-0000-000002040000}"/>
    <cellStyle name="20 % - Accent5 28 2" xfId="3194" xr:uid="{00000000-0005-0000-0000-000003040000}"/>
    <cellStyle name="20 % - Accent5 28 2 2" xfId="6352" xr:uid="{00000000-0005-0000-0000-000004040000}"/>
    <cellStyle name="20 % - Accent5 28 3" xfId="5623" xr:uid="{00000000-0005-0000-0000-000005040000}"/>
    <cellStyle name="20 % - Accent5 29" xfId="793" xr:uid="{00000000-0005-0000-0000-000006040000}"/>
    <cellStyle name="20 % - Accent5 29 2" xfId="3195" xr:uid="{00000000-0005-0000-0000-000007040000}"/>
    <cellStyle name="20 % - Accent5 29 2 2" xfId="6353" xr:uid="{00000000-0005-0000-0000-000008040000}"/>
    <cellStyle name="20 % - Accent5 29 3" xfId="5624" xr:uid="{00000000-0005-0000-0000-000009040000}"/>
    <cellStyle name="20 % - Accent5 3" xfId="192" xr:uid="{00000000-0005-0000-0000-00000A040000}"/>
    <cellStyle name="20 % - Accent5 3 2" xfId="794" xr:uid="{00000000-0005-0000-0000-00000B040000}"/>
    <cellStyle name="20 % - Accent5 3 2 2" xfId="6354" xr:uid="{00000000-0005-0000-0000-00000C040000}"/>
    <cellStyle name="20 % - Accent5 3 3" xfId="3196" xr:uid="{00000000-0005-0000-0000-00000D040000}"/>
    <cellStyle name="20 % - Accent5 3 4" xfId="5625" xr:uid="{00000000-0005-0000-0000-00000E040000}"/>
    <cellStyle name="20 % - Accent5 30" xfId="795" xr:uid="{00000000-0005-0000-0000-00000F040000}"/>
    <cellStyle name="20 % - Accent5 30 2" xfId="3197" xr:uid="{00000000-0005-0000-0000-000010040000}"/>
    <cellStyle name="20 % - Accent5 30 2 2" xfId="6355" xr:uid="{00000000-0005-0000-0000-000011040000}"/>
    <cellStyle name="20 % - Accent5 30 3" xfId="5626" xr:uid="{00000000-0005-0000-0000-000012040000}"/>
    <cellStyle name="20 % - Accent5 31" xfId="796" xr:uid="{00000000-0005-0000-0000-000013040000}"/>
    <cellStyle name="20 % - Accent5 31 2" xfId="3198" xr:uid="{00000000-0005-0000-0000-000014040000}"/>
    <cellStyle name="20 % - Accent5 31 2 2" xfId="6356" xr:uid="{00000000-0005-0000-0000-000015040000}"/>
    <cellStyle name="20 % - Accent5 31 3" xfId="5627" xr:uid="{00000000-0005-0000-0000-000016040000}"/>
    <cellStyle name="20 % - Accent5 32" xfId="797" xr:uid="{00000000-0005-0000-0000-000017040000}"/>
    <cellStyle name="20 % - Accent5 32 2" xfId="3199" xr:uid="{00000000-0005-0000-0000-000018040000}"/>
    <cellStyle name="20 % - Accent5 32 2 2" xfId="6357" xr:uid="{00000000-0005-0000-0000-000019040000}"/>
    <cellStyle name="20 % - Accent5 32 3" xfId="5628" xr:uid="{00000000-0005-0000-0000-00001A040000}"/>
    <cellStyle name="20 % - Accent5 33" xfId="798" xr:uid="{00000000-0005-0000-0000-00001B040000}"/>
    <cellStyle name="20 % - Accent5 33 2" xfId="3200" xr:uid="{00000000-0005-0000-0000-00001C040000}"/>
    <cellStyle name="20 % - Accent5 33 2 2" xfId="6358" xr:uid="{00000000-0005-0000-0000-00001D040000}"/>
    <cellStyle name="20 % - Accent5 33 3" xfId="5629" xr:uid="{00000000-0005-0000-0000-00001E040000}"/>
    <cellStyle name="20 % - Accent5 34" xfId="799" xr:uid="{00000000-0005-0000-0000-00001F040000}"/>
    <cellStyle name="20 % - Accent5 34 2" xfId="3201" xr:uid="{00000000-0005-0000-0000-000020040000}"/>
    <cellStyle name="20 % - Accent5 34 2 2" xfId="6359" xr:uid="{00000000-0005-0000-0000-000021040000}"/>
    <cellStyle name="20 % - Accent5 34 3" xfId="5630" xr:uid="{00000000-0005-0000-0000-000022040000}"/>
    <cellStyle name="20 % - Accent5 35" xfId="800" xr:uid="{00000000-0005-0000-0000-000023040000}"/>
    <cellStyle name="20 % - Accent5 35 2" xfId="3202" xr:uid="{00000000-0005-0000-0000-000024040000}"/>
    <cellStyle name="20 % - Accent5 35 2 2" xfId="6360" xr:uid="{00000000-0005-0000-0000-000025040000}"/>
    <cellStyle name="20 % - Accent5 35 3" xfId="5631" xr:uid="{00000000-0005-0000-0000-000026040000}"/>
    <cellStyle name="20 % - Accent5 36" xfId="801" xr:uid="{00000000-0005-0000-0000-000027040000}"/>
    <cellStyle name="20 % - Accent5 36 2" xfId="3203" xr:uid="{00000000-0005-0000-0000-000028040000}"/>
    <cellStyle name="20 % - Accent5 36 2 2" xfId="6361" xr:uid="{00000000-0005-0000-0000-000029040000}"/>
    <cellStyle name="20 % - Accent5 36 3" xfId="5632" xr:uid="{00000000-0005-0000-0000-00002A040000}"/>
    <cellStyle name="20 % - Accent5 37" xfId="802" xr:uid="{00000000-0005-0000-0000-00002B040000}"/>
    <cellStyle name="20 % - Accent5 37 2" xfId="3204" xr:uid="{00000000-0005-0000-0000-00002C040000}"/>
    <cellStyle name="20 % - Accent5 37 2 2" xfId="6362" xr:uid="{00000000-0005-0000-0000-00002D040000}"/>
    <cellStyle name="20 % - Accent5 37 3" xfId="5633" xr:uid="{00000000-0005-0000-0000-00002E040000}"/>
    <cellStyle name="20 % - Accent5 38" xfId="803" xr:uid="{00000000-0005-0000-0000-00002F040000}"/>
    <cellStyle name="20 % - Accent5 38 2" xfId="3205" xr:uid="{00000000-0005-0000-0000-000030040000}"/>
    <cellStyle name="20 % - Accent5 38 2 2" xfId="6363" xr:uid="{00000000-0005-0000-0000-000031040000}"/>
    <cellStyle name="20 % - Accent5 38 3" xfId="5634" xr:uid="{00000000-0005-0000-0000-000032040000}"/>
    <cellStyle name="20 % - Accent5 39" xfId="804" xr:uid="{00000000-0005-0000-0000-000033040000}"/>
    <cellStyle name="20 % - Accent5 39 2" xfId="3206" xr:uid="{00000000-0005-0000-0000-000034040000}"/>
    <cellStyle name="20 % - Accent5 39 2 2" xfId="6364" xr:uid="{00000000-0005-0000-0000-000035040000}"/>
    <cellStyle name="20 % - Accent5 39 3" xfId="5635" xr:uid="{00000000-0005-0000-0000-000036040000}"/>
    <cellStyle name="20 % - Accent5 4" xfId="193" xr:uid="{00000000-0005-0000-0000-000037040000}"/>
    <cellStyle name="20 % - Accent5 4 2" xfId="805" xr:uid="{00000000-0005-0000-0000-000038040000}"/>
    <cellStyle name="20 % - Accent5 4 2 2" xfId="6365" xr:uid="{00000000-0005-0000-0000-000039040000}"/>
    <cellStyle name="20 % - Accent5 4 3" xfId="3207" xr:uid="{00000000-0005-0000-0000-00003A040000}"/>
    <cellStyle name="20 % - Accent5 4 4" xfId="5636" xr:uid="{00000000-0005-0000-0000-00003B040000}"/>
    <cellStyle name="20 % - Accent5 40" xfId="806" xr:uid="{00000000-0005-0000-0000-00003C040000}"/>
    <cellStyle name="20 % - Accent5 40 2" xfId="3208" xr:uid="{00000000-0005-0000-0000-00003D040000}"/>
    <cellStyle name="20 % - Accent5 40 2 2" xfId="6366" xr:uid="{00000000-0005-0000-0000-00003E040000}"/>
    <cellStyle name="20 % - Accent5 40 3" xfId="5637" xr:uid="{00000000-0005-0000-0000-00003F040000}"/>
    <cellStyle name="20 % - Accent5 41" xfId="807" xr:uid="{00000000-0005-0000-0000-000040040000}"/>
    <cellStyle name="20 % - Accent5 41 2" xfId="3209" xr:uid="{00000000-0005-0000-0000-000041040000}"/>
    <cellStyle name="20 % - Accent5 41 2 2" xfId="6367" xr:uid="{00000000-0005-0000-0000-000042040000}"/>
    <cellStyle name="20 % - Accent5 41 3" xfId="5638" xr:uid="{00000000-0005-0000-0000-000043040000}"/>
    <cellStyle name="20 % - Accent5 42" xfId="808" xr:uid="{00000000-0005-0000-0000-000044040000}"/>
    <cellStyle name="20 % - Accent5 42 2" xfId="3210" xr:uid="{00000000-0005-0000-0000-000045040000}"/>
    <cellStyle name="20 % - Accent5 42 2 2" xfId="6368" xr:uid="{00000000-0005-0000-0000-000046040000}"/>
    <cellStyle name="20 % - Accent5 42 3" xfId="5639" xr:uid="{00000000-0005-0000-0000-000047040000}"/>
    <cellStyle name="20 % - Accent5 43" xfId="809" xr:uid="{00000000-0005-0000-0000-000048040000}"/>
    <cellStyle name="20 % - Accent5 43 2" xfId="3211" xr:uid="{00000000-0005-0000-0000-000049040000}"/>
    <cellStyle name="20 % - Accent5 43 2 2" xfId="6369" xr:uid="{00000000-0005-0000-0000-00004A040000}"/>
    <cellStyle name="20 % - Accent5 43 3" xfId="5640" xr:uid="{00000000-0005-0000-0000-00004B040000}"/>
    <cellStyle name="20 % - Accent5 44" xfId="810" xr:uid="{00000000-0005-0000-0000-00004C040000}"/>
    <cellStyle name="20 % - Accent5 44 2" xfId="3212" xr:uid="{00000000-0005-0000-0000-00004D040000}"/>
    <cellStyle name="20 % - Accent5 44 2 2" xfId="6370" xr:uid="{00000000-0005-0000-0000-00004E040000}"/>
    <cellStyle name="20 % - Accent5 44 3" xfId="5641" xr:uid="{00000000-0005-0000-0000-00004F040000}"/>
    <cellStyle name="20 % - Accent5 45" xfId="811" xr:uid="{00000000-0005-0000-0000-000050040000}"/>
    <cellStyle name="20 % - Accent5 45 2" xfId="3213" xr:uid="{00000000-0005-0000-0000-000051040000}"/>
    <cellStyle name="20 % - Accent5 45 2 2" xfId="6371" xr:uid="{00000000-0005-0000-0000-000052040000}"/>
    <cellStyle name="20 % - Accent5 45 3" xfId="5642" xr:uid="{00000000-0005-0000-0000-000053040000}"/>
    <cellStyle name="20 % - Accent5 46" xfId="812" xr:uid="{00000000-0005-0000-0000-000054040000}"/>
    <cellStyle name="20 % - Accent5 46 2" xfId="3214" xr:uid="{00000000-0005-0000-0000-000055040000}"/>
    <cellStyle name="20 % - Accent5 46 2 2" xfId="6372" xr:uid="{00000000-0005-0000-0000-000056040000}"/>
    <cellStyle name="20 % - Accent5 46 3" xfId="5643" xr:uid="{00000000-0005-0000-0000-000057040000}"/>
    <cellStyle name="20 % - Accent5 47" xfId="813" xr:uid="{00000000-0005-0000-0000-000058040000}"/>
    <cellStyle name="20 % - Accent5 47 2" xfId="3215" xr:uid="{00000000-0005-0000-0000-000059040000}"/>
    <cellStyle name="20 % - Accent5 47 2 2" xfId="6373" xr:uid="{00000000-0005-0000-0000-00005A040000}"/>
    <cellStyle name="20 % - Accent5 47 3" xfId="5644" xr:uid="{00000000-0005-0000-0000-00005B040000}"/>
    <cellStyle name="20 % - Accent5 48" xfId="814" xr:uid="{00000000-0005-0000-0000-00005C040000}"/>
    <cellStyle name="20 % - Accent5 48 2" xfId="3216" xr:uid="{00000000-0005-0000-0000-00005D040000}"/>
    <cellStyle name="20 % - Accent5 48 2 2" xfId="6374" xr:uid="{00000000-0005-0000-0000-00005E040000}"/>
    <cellStyle name="20 % - Accent5 48 3" xfId="5645" xr:uid="{00000000-0005-0000-0000-00005F040000}"/>
    <cellStyle name="20 % - Accent5 49" xfId="815" xr:uid="{00000000-0005-0000-0000-000060040000}"/>
    <cellStyle name="20 % - Accent5 49 2" xfId="3217" xr:uid="{00000000-0005-0000-0000-000061040000}"/>
    <cellStyle name="20 % - Accent5 49 2 2" xfId="6375" xr:uid="{00000000-0005-0000-0000-000062040000}"/>
    <cellStyle name="20 % - Accent5 49 3" xfId="5646" xr:uid="{00000000-0005-0000-0000-000063040000}"/>
    <cellStyle name="20 % - Accent5 5" xfId="194" xr:uid="{00000000-0005-0000-0000-000064040000}"/>
    <cellStyle name="20 % - Accent5 5 2" xfId="816" xr:uid="{00000000-0005-0000-0000-000065040000}"/>
    <cellStyle name="20 % - Accent5 5 2 2" xfId="6376" xr:uid="{00000000-0005-0000-0000-000066040000}"/>
    <cellStyle name="20 % - Accent5 5 3" xfId="3218" xr:uid="{00000000-0005-0000-0000-000067040000}"/>
    <cellStyle name="20 % - Accent5 5 4" xfId="5647" xr:uid="{00000000-0005-0000-0000-000068040000}"/>
    <cellStyle name="20 % - Accent5 50" xfId="817" xr:uid="{00000000-0005-0000-0000-000069040000}"/>
    <cellStyle name="20 % - Accent5 50 2" xfId="3219" xr:uid="{00000000-0005-0000-0000-00006A040000}"/>
    <cellStyle name="20 % - Accent5 50 2 2" xfId="6377" xr:uid="{00000000-0005-0000-0000-00006B040000}"/>
    <cellStyle name="20 % - Accent5 50 3" xfId="5648" xr:uid="{00000000-0005-0000-0000-00006C040000}"/>
    <cellStyle name="20 % - Accent5 51" xfId="818" xr:uid="{00000000-0005-0000-0000-00006D040000}"/>
    <cellStyle name="20 % - Accent5 51 2" xfId="3220" xr:uid="{00000000-0005-0000-0000-00006E040000}"/>
    <cellStyle name="20 % - Accent5 51 2 2" xfId="6378" xr:uid="{00000000-0005-0000-0000-00006F040000}"/>
    <cellStyle name="20 % - Accent5 51 3" xfId="5649" xr:uid="{00000000-0005-0000-0000-000070040000}"/>
    <cellStyle name="20 % - Accent5 52" xfId="819" xr:uid="{00000000-0005-0000-0000-000071040000}"/>
    <cellStyle name="20 % - Accent5 52 2" xfId="3221" xr:uid="{00000000-0005-0000-0000-000072040000}"/>
    <cellStyle name="20 % - Accent5 52 2 2" xfId="6379" xr:uid="{00000000-0005-0000-0000-000073040000}"/>
    <cellStyle name="20 % - Accent5 52 3" xfId="5650" xr:uid="{00000000-0005-0000-0000-000074040000}"/>
    <cellStyle name="20 % - Accent5 53" xfId="820" xr:uid="{00000000-0005-0000-0000-000075040000}"/>
    <cellStyle name="20 % - Accent5 53 2" xfId="3222" xr:uid="{00000000-0005-0000-0000-000076040000}"/>
    <cellStyle name="20 % - Accent5 53 2 2" xfId="6380" xr:uid="{00000000-0005-0000-0000-000077040000}"/>
    <cellStyle name="20 % - Accent5 53 3" xfId="5651" xr:uid="{00000000-0005-0000-0000-000078040000}"/>
    <cellStyle name="20 % - Accent5 54" xfId="821" xr:uid="{00000000-0005-0000-0000-000079040000}"/>
    <cellStyle name="20 % - Accent5 54 2" xfId="3223" xr:uid="{00000000-0005-0000-0000-00007A040000}"/>
    <cellStyle name="20 % - Accent5 54 2 2" xfId="6381" xr:uid="{00000000-0005-0000-0000-00007B040000}"/>
    <cellStyle name="20 % - Accent5 54 3" xfId="5652" xr:uid="{00000000-0005-0000-0000-00007C040000}"/>
    <cellStyle name="20 % - Accent5 55" xfId="822" xr:uid="{00000000-0005-0000-0000-00007D040000}"/>
    <cellStyle name="20 % - Accent5 55 2" xfId="3224" xr:uid="{00000000-0005-0000-0000-00007E040000}"/>
    <cellStyle name="20 % - Accent5 55 2 2" xfId="6382" xr:uid="{00000000-0005-0000-0000-00007F040000}"/>
    <cellStyle name="20 % - Accent5 55 3" xfId="5653" xr:uid="{00000000-0005-0000-0000-000080040000}"/>
    <cellStyle name="20 % - Accent5 56" xfId="823" xr:uid="{00000000-0005-0000-0000-000081040000}"/>
    <cellStyle name="20 % - Accent5 56 2" xfId="3225" xr:uid="{00000000-0005-0000-0000-000082040000}"/>
    <cellStyle name="20 % - Accent5 56 2 2" xfId="6383" xr:uid="{00000000-0005-0000-0000-000083040000}"/>
    <cellStyle name="20 % - Accent5 56 3" xfId="5654" xr:uid="{00000000-0005-0000-0000-000084040000}"/>
    <cellStyle name="20 % - Accent5 57" xfId="824" xr:uid="{00000000-0005-0000-0000-000085040000}"/>
    <cellStyle name="20 % - Accent5 57 2" xfId="3226" xr:uid="{00000000-0005-0000-0000-000086040000}"/>
    <cellStyle name="20 % - Accent5 57 2 2" xfId="6384" xr:uid="{00000000-0005-0000-0000-000087040000}"/>
    <cellStyle name="20 % - Accent5 57 3" xfId="5655" xr:uid="{00000000-0005-0000-0000-000088040000}"/>
    <cellStyle name="20 % - Accent5 58" xfId="825" xr:uid="{00000000-0005-0000-0000-000089040000}"/>
    <cellStyle name="20 % - Accent5 58 2" xfId="3227" xr:uid="{00000000-0005-0000-0000-00008A040000}"/>
    <cellStyle name="20 % - Accent5 58 2 2" xfId="6385" xr:uid="{00000000-0005-0000-0000-00008B040000}"/>
    <cellStyle name="20 % - Accent5 58 3" xfId="5656" xr:uid="{00000000-0005-0000-0000-00008C040000}"/>
    <cellStyle name="20 % - Accent5 59" xfId="826" xr:uid="{00000000-0005-0000-0000-00008D040000}"/>
    <cellStyle name="20 % - Accent5 59 2" xfId="3228" xr:uid="{00000000-0005-0000-0000-00008E040000}"/>
    <cellStyle name="20 % - Accent5 59 2 2" xfId="6386" xr:uid="{00000000-0005-0000-0000-00008F040000}"/>
    <cellStyle name="20 % - Accent5 59 3" xfId="5657" xr:uid="{00000000-0005-0000-0000-000090040000}"/>
    <cellStyle name="20 % - Accent5 6" xfId="195" xr:uid="{00000000-0005-0000-0000-000091040000}"/>
    <cellStyle name="20 % - Accent5 6 2" xfId="827" xr:uid="{00000000-0005-0000-0000-000092040000}"/>
    <cellStyle name="20 % - Accent5 6 2 2" xfId="6387" xr:uid="{00000000-0005-0000-0000-000093040000}"/>
    <cellStyle name="20 % - Accent5 6 3" xfId="3229" xr:uid="{00000000-0005-0000-0000-000094040000}"/>
    <cellStyle name="20 % - Accent5 6 4" xfId="5658" xr:uid="{00000000-0005-0000-0000-000095040000}"/>
    <cellStyle name="20 % - Accent5 7" xfId="196" xr:uid="{00000000-0005-0000-0000-000096040000}"/>
    <cellStyle name="20 % - Accent5 7 2" xfId="828" xr:uid="{00000000-0005-0000-0000-000097040000}"/>
    <cellStyle name="20 % - Accent5 7 2 2" xfId="6388" xr:uid="{00000000-0005-0000-0000-000098040000}"/>
    <cellStyle name="20 % - Accent5 7 3" xfId="3230" xr:uid="{00000000-0005-0000-0000-000099040000}"/>
    <cellStyle name="20 % - Accent5 7 4" xfId="5659" xr:uid="{00000000-0005-0000-0000-00009A040000}"/>
    <cellStyle name="20 % - Accent5 8" xfId="197" xr:uid="{00000000-0005-0000-0000-00009B040000}"/>
    <cellStyle name="20 % - Accent5 8 2" xfId="829" xr:uid="{00000000-0005-0000-0000-00009C040000}"/>
    <cellStyle name="20 % - Accent5 8 2 2" xfId="6389" xr:uid="{00000000-0005-0000-0000-00009D040000}"/>
    <cellStyle name="20 % - Accent5 8 3" xfId="3231" xr:uid="{00000000-0005-0000-0000-00009E040000}"/>
    <cellStyle name="20 % - Accent5 8 4" xfId="5660" xr:uid="{00000000-0005-0000-0000-00009F040000}"/>
    <cellStyle name="20 % - Accent5 9" xfId="830" xr:uid="{00000000-0005-0000-0000-0000A0040000}"/>
    <cellStyle name="20 % - Accent5 9 2" xfId="3232" xr:uid="{00000000-0005-0000-0000-0000A1040000}"/>
    <cellStyle name="20 % - Accent5 9 2 2" xfId="6390" xr:uid="{00000000-0005-0000-0000-0000A2040000}"/>
    <cellStyle name="20 % - Accent5 9 3" xfId="5661" xr:uid="{00000000-0005-0000-0000-0000A3040000}"/>
    <cellStyle name="20 % - Accent6 10" xfId="831" xr:uid="{00000000-0005-0000-0000-0000A4040000}"/>
    <cellStyle name="20 % - Accent6 10 2" xfId="3233" xr:uid="{00000000-0005-0000-0000-0000A5040000}"/>
    <cellStyle name="20 % - Accent6 10 2 2" xfId="6391" xr:uid="{00000000-0005-0000-0000-0000A6040000}"/>
    <cellStyle name="20 % - Accent6 10 3" xfId="5662" xr:uid="{00000000-0005-0000-0000-0000A7040000}"/>
    <cellStyle name="20 % - Accent6 11" xfId="832" xr:uid="{00000000-0005-0000-0000-0000A8040000}"/>
    <cellStyle name="20 % - Accent6 11 2" xfId="3234" xr:uid="{00000000-0005-0000-0000-0000A9040000}"/>
    <cellStyle name="20 % - Accent6 11 2 2" xfId="6392" xr:uid="{00000000-0005-0000-0000-0000AA040000}"/>
    <cellStyle name="20 % - Accent6 11 3" xfId="5663" xr:uid="{00000000-0005-0000-0000-0000AB040000}"/>
    <cellStyle name="20 % - Accent6 12" xfId="833" xr:uid="{00000000-0005-0000-0000-0000AC040000}"/>
    <cellStyle name="20 % - Accent6 12 2" xfId="3235" xr:uid="{00000000-0005-0000-0000-0000AD040000}"/>
    <cellStyle name="20 % - Accent6 12 2 2" xfId="6393" xr:uid="{00000000-0005-0000-0000-0000AE040000}"/>
    <cellStyle name="20 % - Accent6 12 3" xfId="5664" xr:uid="{00000000-0005-0000-0000-0000AF040000}"/>
    <cellStyle name="20 % - Accent6 13" xfId="834" xr:uid="{00000000-0005-0000-0000-0000B0040000}"/>
    <cellStyle name="20 % - Accent6 13 2" xfId="3236" xr:uid="{00000000-0005-0000-0000-0000B1040000}"/>
    <cellStyle name="20 % - Accent6 13 2 2" xfId="6394" xr:uid="{00000000-0005-0000-0000-0000B2040000}"/>
    <cellStyle name="20 % - Accent6 13 3" xfId="5665" xr:uid="{00000000-0005-0000-0000-0000B3040000}"/>
    <cellStyle name="20 % - Accent6 14" xfId="835" xr:uid="{00000000-0005-0000-0000-0000B4040000}"/>
    <cellStyle name="20 % - Accent6 14 2" xfId="3237" xr:uid="{00000000-0005-0000-0000-0000B5040000}"/>
    <cellStyle name="20 % - Accent6 14 2 2" xfId="6395" xr:uid="{00000000-0005-0000-0000-0000B6040000}"/>
    <cellStyle name="20 % - Accent6 14 3" xfId="5666" xr:uid="{00000000-0005-0000-0000-0000B7040000}"/>
    <cellStyle name="20 % - Accent6 15" xfId="836" xr:uid="{00000000-0005-0000-0000-0000B8040000}"/>
    <cellStyle name="20 % - Accent6 15 2" xfId="3238" xr:uid="{00000000-0005-0000-0000-0000B9040000}"/>
    <cellStyle name="20 % - Accent6 15 2 2" xfId="6396" xr:uid="{00000000-0005-0000-0000-0000BA040000}"/>
    <cellStyle name="20 % - Accent6 15 3" xfId="5667" xr:uid="{00000000-0005-0000-0000-0000BB040000}"/>
    <cellStyle name="20 % - Accent6 16" xfId="837" xr:uid="{00000000-0005-0000-0000-0000BC040000}"/>
    <cellStyle name="20 % - Accent6 16 2" xfId="3239" xr:uid="{00000000-0005-0000-0000-0000BD040000}"/>
    <cellStyle name="20 % - Accent6 16 2 2" xfId="6397" xr:uid="{00000000-0005-0000-0000-0000BE040000}"/>
    <cellStyle name="20 % - Accent6 16 3" xfId="5668" xr:uid="{00000000-0005-0000-0000-0000BF040000}"/>
    <cellStyle name="20 % - Accent6 17" xfId="838" xr:uid="{00000000-0005-0000-0000-0000C0040000}"/>
    <cellStyle name="20 % - Accent6 17 2" xfId="3240" xr:uid="{00000000-0005-0000-0000-0000C1040000}"/>
    <cellStyle name="20 % - Accent6 17 2 2" xfId="6398" xr:uid="{00000000-0005-0000-0000-0000C2040000}"/>
    <cellStyle name="20 % - Accent6 17 3" xfId="5669" xr:uid="{00000000-0005-0000-0000-0000C3040000}"/>
    <cellStyle name="20 % - Accent6 18" xfId="839" xr:uid="{00000000-0005-0000-0000-0000C4040000}"/>
    <cellStyle name="20 % - Accent6 18 2" xfId="3241" xr:uid="{00000000-0005-0000-0000-0000C5040000}"/>
    <cellStyle name="20 % - Accent6 18 2 2" xfId="6399" xr:uid="{00000000-0005-0000-0000-0000C6040000}"/>
    <cellStyle name="20 % - Accent6 18 3" xfId="5670" xr:uid="{00000000-0005-0000-0000-0000C7040000}"/>
    <cellStyle name="20 % - Accent6 19" xfId="840" xr:uid="{00000000-0005-0000-0000-0000C8040000}"/>
    <cellStyle name="20 % - Accent6 19 2" xfId="3242" xr:uid="{00000000-0005-0000-0000-0000C9040000}"/>
    <cellStyle name="20 % - Accent6 19 2 2" xfId="6400" xr:uid="{00000000-0005-0000-0000-0000CA040000}"/>
    <cellStyle name="20 % - Accent6 19 3" xfId="5671" xr:uid="{00000000-0005-0000-0000-0000CB040000}"/>
    <cellStyle name="20 % - Accent6 2" xfId="9" xr:uid="{00000000-0005-0000-0000-0000CC040000}"/>
    <cellStyle name="20 % - Accent6 2 2" xfId="841" xr:uid="{00000000-0005-0000-0000-0000CD040000}"/>
    <cellStyle name="20 % - Accent6 2 3" xfId="3243" xr:uid="{00000000-0005-0000-0000-0000CE040000}"/>
    <cellStyle name="20 % - Accent6 20" xfId="842" xr:uid="{00000000-0005-0000-0000-0000CF040000}"/>
    <cellStyle name="20 % - Accent6 20 2" xfId="3244" xr:uid="{00000000-0005-0000-0000-0000D0040000}"/>
    <cellStyle name="20 % - Accent6 20 2 2" xfId="6401" xr:uid="{00000000-0005-0000-0000-0000D1040000}"/>
    <cellStyle name="20 % - Accent6 20 3" xfId="5672" xr:uid="{00000000-0005-0000-0000-0000D2040000}"/>
    <cellStyle name="20 % - Accent6 21" xfId="843" xr:uid="{00000000-0005-0000-0000-0000D3040000}"/>
    <cellStyle name="20 % - Accent6 21 2" xfId="3245" xr:uid="{00000000-0005-0000-0000-0000D4040000}"/>
    <cellStyle name="20 % - Accent6 21 2 2" xfId="6402" xr:uid="{00000000-0005-0000-0000-0000D5040000}"/>
    <cellStyle name="20 % - Accent6 21 3" xfId="5673" xr:uid="{00000000-0005-0000-0000-0000D6040000}"/>
    <cellStyle name="20 % - Accent6 22" xfId="844" xr:uid="{00000000-0005-0000-0000-0000D7040000}"/>
    <cellStyle name="20 % - Accent6 22 2" xfId="3246" xr:uid="{00000000-0005-0000-0000-0000D8040000}"/>
    <cellStyle name="20 % - Accent6 22 2 2" xfId="6403" xr:uid="{00000000-0005-0000-0000-0000D9040000}"/>
    <cellStyle name="20 % - Accent6 22 3" xfId="5674" xr:uid="{00000000-0005-0000-0000-0000DA040000}"/>
    <cellStyle name="20 % - Accent6 23" xfId="845" xr:uid="{00000000-0005-0000-0000-0000DB040000}"/>
    <cellStyle name="20 % - Accent6 23 2" xfId="3247" xr:uid="{00000000-0005-0000-0000-0000DC040000}"/>
    <cellStyle name="20 % - Accent6 23 2 2" xfId="6404" xr:uid="{00000000-0005-0000-0000-0000DD040000}"/>
    <cellStyle name="20 % - Accent6 23 3" xfId="5675" xr:uid="{00000000-0005-0000-0000-0000DE040000}"/>
    <cellStyle name="20 % - Accent6 24" xfId="846" xr:uid="{00000000-0005-0000-0000-0000DF040000}"/>
    <cellStyle name="20 % - Accent6 24 2" xfId="3248" xr:uid="{00000000-0005-0000-0000-0000E0040000}"/>
    <cellStyle name="20 % - Accent6 24 2 2" xfId="6405" xr:uid="{00000000-0005-0000-0000-0000E1040000}"/>
    <cellStyle name="20 % - Accent6 24 3" xfId="5676" xr:uid="{00000000-0005-0000-0000-0000E2040000}"/>
    <cellStyle name="20 % - Accent6 25" xfId="847" xr:uid="{00000000-0005-0000-0000-0000E3040000}"/>
    <cellStyle name="20 % - Accent6 25 2" xfId="3249" xr:uid="{00000000-0005-0000-0000-0000E4040000}"/>
    <cellStyle name="20 % - Accent6 25 2 2" xfId="6406" xr:uid="{00000000-0005-0000-0000-0000E5040000}"/>
    <cellStyle name="20 % - Accent6 25 3" xfId="5677" xr:uid="{00000000-0005-0000-0000-0000E6040000}"/>
    <cellStyle name="20 % - Accent6 26" xfId="848" xr:uid="{00000000-0005-0000-0000-0000E7040000}"/>
    <cellStyle name="20 % - Accent6 26 2" xfId="3250" xr:uid="{00000000-0005-0000-0000-0000E8040000}"/>
    <cellStyle name="20 % - Accent6 26 2 2" xfId="6407" xr:uid="{00000000-0005-0000-0000-0000E9040000}"/>
    <cellStyle name="20 % - Accent6 26 3" xfId="5678" xr:uid="{00000000-0005-0000-0000-0000EA040000}"/>
    <cellStyle name="20 % - Accent6 27" xfId="849" xr:uid="{00000000-0005-0000-0000-0000EB040000}"/>
    <cellStyle name="20 % - Accent6 27 2" xfId="3251" xr:uid="{00000000-0005-0000-0000-0000EC040000}"/>
    <cellStyle name="20 % - Accent6 27 2 2" xfId="6408" xr:uid="{00000000-0005-0000-0000-0000ED040000}"/>
    <cellStyle name="20 % - Accent6 27 3" xfId="5679" xr:uid="{00000000-0005-0000-0000-0000EE040000}"/>
    <cellStyle name="20 % - Accent6 28" xfId="850" xr:uid="{00000000-0005-0000-0000-0000EF040000}"/>
    <cellStyle name="20 % - Accent6 28 2" xfId="3252" xr:uid="{00000000-0005-0000-0000-0000F0040000}"/>
    <cellStyle name="20 % - Accent6 28 2 2" xfId="6409" xr:uid="{00000000-0005-0000-0000-0000F1040000}"/>
    <cellStyle name="20 % - Accent6 28 3" xfId="5680" xr:uid="{00000000-0005-0000-0000-0000F2040000}"/>
    <cellStyle name="20 % - Accent6 29" xfId="851" xr:uid="{00000000-0005-0000-0000-0000F3040000}"/>
    <cellStyle name="20 % - Accent6 29 2" xfId="3253" xr:uid="{00000000-0005-0000-0000-0000F4040000}"/>
    <cellStyle name="20 % - Accent6 29 2 2" xfId="6410" xr:uid="{00000000-0005-0000-0000-0000F5040000}"/>
    <cellStyle name="20 % - Accent6 29 3" xfId="5681" xr:uid="{00000000-0005-0000-0000-0000F6040000}"/>
    <cellStyle name="20 % - Accent6 3" xfId="198" xr:uid="{00000000-0005-0000-0000-0000F7040000}"/>
    <cellStyle name="20 % - Accent6 3 2" xfId="852" xr:uid="{00000000-0005-0000-0000-0000F8040000}"/>
    <cellStyle name="20 % - Accent6 3 2 2" xfId="6411" xr:uid="{00000000-0005-0000-0000-0000F9040000}"/>
    <cellStyle name="20 % - Accent6 3 3" xfId="3254" xr:uid="{00000000-0005-0000-0000-0000FA040000}"/>
    <cellStyle name="20 % - Accent6 3 4" xfId="5682" xr:uid="{00000000-0005-0000-0000-0000FB040000}"/>
    <cellStyle name="20 % - Accent6 30" xfId="853" xr:uid="{00000000-0005-0000-0000-0000FC040000}"/>
    <cellStyle name="20 % - Accent6 30 2" xfId="3255" xr:uid="{00000000-0005-0000-0000-0000FD040000}"/>
    <cellStyle name="20 % - Accent6 30 2 2" xfId="6412" xr:uid="{00000000-0005-0000-0000-0000FE040000}"/>
    <cellStyle name="20 % - Accent6 30 3" xfId="5683" xr:uid="{00000000-0005-0000-0000-0000FF040000}"/>
    <cellStyle name="20 % - Accent6 31" xfId="854" xr:uid="{00000000-0005-0000-0000-000000050000}"/>
    <cellStyle name="20 % - Accent6 31 2" xfId="3256" xr:uid="{00000000-0005-0000-0000-000001050000}"/>
    <cellStyle name="20 % - Accent6 31 2 2" xfId="6413" xr:uid="{00000000-0005-0000-0000-000002050000}"/>
    <cellStyle name="20 % - Accent6 31 3" xfId="5684" xr:uid="{00000000-0005-0000-0000-000003050000}"/>
    <cellStyle name="20 % - Accent6 32" xfId="855" xr:uid="{00000000-0005-0000-0000-000004050000}"/>
    <cellStyle name="20 % - Accent6 32 2" xfId="3257" xr:uid="{00000000-0005-0000-0000-000005050000}"/>
    <cellStyle name="20 % - Accent6 32 2 2" xfId="6414" xr:uid="{00000000-0005-0000-0000-000006050000}"/>
    <cellStyle name="20 % - Accent6 32 3" xfId="5685" xr:uid="{00000000-0005-0000-0000-000007050000}"/>
    <cellStyle name="20 % - Accent6 33" xfId="856" xr:uid="{00000000-0005-0000-0000-000008050000}"/>
    <cellStyle name="20 % - Accent6 33 2" xfId="3258" xr:uid="{00000000-0005-0000-0000-000009050000}"/>
    <cellStyle name="20 % - Accent6 33 2 2" xfId="6415" xr:uid="{00000000-0005-0000-0000-00000A050000}"/>
    <cellStyle name="20 % - Accent6 33 3" xfId="5686" xr:uid="{00000000-0005-0000-0000-00000B050000}"/>
    <cellStyle name="20 % - Accent6 34" xfId="857" xr:uid="{00000000-0005-0000-0000-00000C050000}"/>
    <cellStyle name="20 % - Accent6 34 2" xfId="3259" xr:uid="{00000000-0005-0000-0000-00000D050000}"/>
    <cellStyle name="20 % - Accent6 34 2 2" xfId="6416" xr:uid="{00000000-0005-0000-0000-00000E050000}"/>
    <cellStyle name="20 % - Accent6 34 3" xfId="5687" xr:uid="{00000000-0005-0000-0000-00000F050000}"/>
    <cellStyle name="20 % - Accent6 35" xfId="858" xr:uid="{00000000-0005-0000-0000-000010050000}"/>
    <cellStyle name="20 % - Accent6 35 2" xfId="3260" xr:uid="{00000000-0005-0000-0000-000011050000}"/>
    <cellStyle name="20 % - Accent6 35 2 2" xfId="6417" xr:uid="{00000000-0005-0000-0000-000012050000}"/>
    <cellStyle name="20 % - Accent6 35 3" xfId="5688" xr:uid="{00000000-0005-0000-0000-000013050000}"/>
    <cellStyle name="20 % - Accent6 36" xfId="859" xr:uid="{00000000-0005-0000-0000-000014050000}"/>
    <cellStyle name="20 % - Accent6 36 2" xfId="3261" xr:uid="{00000000-0005-0000-0000-000015050000}"/>
    <cellStyle name="20 % - Accent6 36 2 2" xfId="6418" xr:uid="{00000000-0005-0000-0000-000016050000}"/>
    <cellStyle name="20 % - Accent6 36 3" xfId="5689" xr:uid="{00000000-0005-0000-0000-000017050000}"/>
    <cellStyle name="20 % - Accent6 37" xfId="860" xr:uid="{00000000-0005-0000-0000-000018050000}"/>
    <cellStyle name="20 % - Accent6 37 2" xfId="3262" xr:uid="{00000000-0005-0000-0000-000019050000}"/>
    <cellStyle name="20 % - Accent6 37 2 2" xfId="6419" xr:uid="{00000000-0005-0000-0000-00001A050000}"/>
    <cellStyle name="20 % - Accent6 37 3" xfId="5690" xr:uid="{00000000-0005-0000-0000-00001B050000}"/>
    <cellStyle name="20 % - Accent6 38" xfId="861" xr:uid="{00000000-0005-0000-0000-00001C050000}"/>
    <cellStyle name="20 % - Accent6 38 2" xfId="3263" xr:uid="{00000000-0005-0000-0000-00001D050000}"/>
    <cellStyle name="20 % - Accent6 38 2 2" xfId="6420" xr:uid="{00000000-0005-0000-0000-00001E050000}"/>
    <cellStyle name="20 % - Accent6 38 3" xfId="5691" xr:uid="{00000000-0005-0000-0000-00001F050000}"/>
    <cellStyle name="20 % - Accent6 39" xfId="862" xr:uid="{00000000-0005-0000-0000-000020050000}"/>
    <cellStyle name="20 % - Accent6 39 2" xfId="3264" xr:uid="{00000000-0005-0000-0000-000021050000}"/>
    <cellStyle name="20 % - Accent6 39 2 2" xfId="6421" xr:uid="{00000000-0005-0000-0000-000022050000}"/>
    <cellStyle name="20 % - Accent6 39 3" xfId="5692" xr:uid="{00000000-0005-0000-0000-000023050000}"/>
    <cellStyle name="20 % - Accent6 4" xfId="199" xr:uid="{00000000-0005-0000-0000-000024050000}"/>
    <cellStyle name="20 % - Accent6 4 2" xfId="863" xr:uid="{00000000-0005-0000-0000-000025050000}"/>
    <cellStyle name="20 % - Accent6 4 2 2" xfId="6422" xr:uid="{00000000-0005-0000-0000-000026050000}"/>
    <cellStyle name="20 % - Accent6 4 3" xfId="3265" xr:uid="{00000000-0005-0000-0000-000027050000}"/>
    <cellStyle name="20 % - Accent6 4 4" xfId="5693" xr:uid="{00000000-0005-0000-0000-000028050000}"/>
    <cellStyle name="20 % - Accent6 40" xfId="864" xr:uid="{00000000-0005-0000-0000-000029050000}"/>
    <cellStyle name="20 % - Accent6 40 2" xfId="3266" xr:uid="{00000000-0005-0000-0000-00002A050000}"/>
    <cellStyle name="20 % - Accent6 40 2 2" xfId="6423" xr:uid="{00000000-0005-0000-0000-00002B050000}"/>
    <cellStyle name="20 % - Accent6 40 3" xfId="5694" xr:uid="{00000000-0005-0000-0000-00002C050000}"/>
    <cellStyle name="20 % - Accent6 41" xfId="865" xr:uid="{00000000-0005-0000-0000-00002D050000}"/>
    <cellStyle name="20 % - Accent6 41 2" xfId="3267" xr:uid="{00000000-0005-0000-0000-00002E050000}"/>
    <cellStyle name="20 % - Accent6 41 2 2" xfId="6424" xr:uid="{00000000-0005-0000-0000-00002F050000}"/>
    <cellStyle name="20 % - Accent6 41 3" xfId="5695" xr:uid="{00000000-0005-0000-0000-000030050000}"/>
    <cellStyle name="20 % - Accent6 42" xfId="866" xr:uid="{00000000-0005-0000-0000-000031050000}"/>
    <cellStyle name="20 % - Accent6 42 2" xfId="3268" xr:uid="{00000000-0005-0000-0000-000032050000}"/>
    <cellStyle name="20 % - Accent6 42 2 2" xfId="6425" xr:uid="{00000000-0005-0000-0000-000033050000}"/>
    <cellStyle name="20 % - Accent6 42 3" xfId="5696" xr:uid="{00000000-0005-0000-0000-000034050000}"/>
    <cellStyle name="20 % - Accent6 43" xfId="867" xr:uid="{00000000-0005-0000-0000-000035050000}"/>
    <cellStyle name="20 % - Accent6 43 2" xfId="3269" xr:uid="{00000000-0005-0000-0000-000036050000}"/>
    <cellStyle name="20 % - Accent6 43 2 2" xfId="6426" xr:uid="{00000000-0005-0000-0000-000037050000}"/>
    <cellStyle name="20 % - Accent6 43 3" xfId="5697" xr:uid="{00000000-0005-0000-0000-000038050000}"/>
    <cellStyle name="20 % - Accent6 44" xfId="868" xr:uid="{00000000-0005-0000-0000-000039050000}"/>
    <cellStyle name="20 % - Accent6 44 2" xfId="3270" xr:uid="{00000000-0005-0000-0000-00003A050000}"/>
    <cellStyle name="20 % - Accent6 44 2 2" xfId="6427" xr:uid="{00000000-0005-0000-0000-00003B050000}"/>
    <cellStyle name="20 % - Accent6 44 3" xfId="5698" xr:uid="{00000000-0005-0000-0000-00003C050000}"/>
    <cellStyle name="20 % - Accent6 45" xfId="869" xr:uid="{00000000-0005-0000-0000-00003D050000}"/>
    <cellStyle name="20 % - Accent6 45 2" xfId="3271" xr:uid="{00000000-0005-0000-0000-00003E050000}"/>
    <cellStyle name="20 % - Accent6 45 2 2" xfId="6428" xr:uid="{00000000-0005-0000-0000-00003F050000}"/>
    <cellStyle name="20 % - Accent6 45 3" xfId="5699" xr:uid="{00000000-0005-0000-0000-000040050000}"/>
    <cellStyle name="20 % - Accent6 46" xfId="870" xr:uid="{00000000-0005-0000-0000-000041050000}"/>
    <cellStyle name="20 % - Accent6 46 2" xfId="3272" xr:uid="{00000000-0005-0000-0000-000042050000}"/>
    <cellStyle name="20 % - Accent6 46 2 2" xfId="6429" xr:uid="{00000000-0005-0000-0000-000043050000}"/>
    <cellStyle name="20 % - Accent6 46 3" xfId="5700" xr:uid="{00000000-0005-0000-0000-000044050000}"/>
    <cellStyle name="20 % - Accent6 47" xfId="871" xr:uid="{00000000-0005-0000-0000-000045050000}"/>
    <cellStyle name="20 % - Accent6 47 2" xfId="3273" xr:uid="{00000000-0005-0000-0000-000046050000}"/>
    <cellStyle name="20 % - Accent6 47 2 2" xfId="6430" xr:uid="{00000000-0005-0000-0000-000047050000}"/>
    <cellStyle name="20 % - Accent6 47 3" xfId="5701" xr:uid="{00000000-0005-0000-0000-000048050000}"/>
    <cellStyle name="20 % - Accent6 48" xfId="872" xr:uid="{00000000-0005-0000-0000-000049050000}"/>
    <cellStyle name="20 % - Accent6 48 2" xfId="3274" xr:uid="{00000000-0005-0000-0000-00004A050000}"/>
    <cellStyle name="20 % - Accent6 48 2 2" xfId="6431" xr:uid="{00000000-0005-0000-0000-00004B050000}"/>
    <cellStyle name="20 % - Accent6 48 3" xfId="5702" xr:uid="{00000000-0005-0000-0000-00004C050000}"/>
    <cellStyle name="20 % - Accent6 49" xfId="873" xr:uid="{00000000-0005-0000-0000-00004D050000}"/>
    <cellStyle name="20 % - Accent6 49 2" xfId="3275" xr:uid="{00000000-0005-0000-0000-00004E050000}"/>
    <cellStyle name="20 % - Accent6 49 2 2" xfId="6432" xr:uid="{00000000-0005-0000-0000-00004F050000}"/>
    <cellStyle name="20 % - Accent6 49 3" xfId="5703" xr:uid="{00000000-0005-0000-0000-000050050000}"/>
    <cellStyle name="20 % - Accent6 5" xfId="200" xr:uid="{00000000-0005-0000-0000-000051050000}"/>
    <cellStyle name="20 % - Accent6 5 2" xfId="874" xr:uid="{00000000-0005-0000-0000-000052050000}"/>
    <cellStyle name="20 % - Accent6 5 2 2" xfId="6433" xr:uid="{00000000-0005-0000-0000-000053050000}"/>
    <cellStyle name="20 % - Accent6 5 3" xfId="3276" xr:uid="{00000000-0005-0000-0000-000054050000}"/>
    <cellStyle name="20 % - Accent6 5 4" xfId="5704" xr:uid="{00000000-0005-0000-0000-000055050000}"/>
    <cellStyle name="20 % - Accent6 50" xfId="875" xr:uid="{00000000-0005-0000-0000-000056050000}"/>
    <cellStyle name="20 % - Accent6 50 2" xfId="3277" xr:uid="{00000000-0005-0000-0000-000057050000}"/>
    <cellStyle name="20 % - Accent6 50 2 2" xfId="6434" xr:uid="{00000000-0005-0000-0000-000058050000}"/>
    <cellStyle name="20 % - Accent6 50 3" xfId="5705" xr:uid="{00000000-0005-0000-0000-000059050000}"/>
    <cellStyle name="20 % - Accent6 51" xfId="876" xr:uid="{00000000-0005-0000-0000-00005A050000}"/>
    <cellStyle name="20 % - Accent6 51 2" xfId="3278" xr:uid="{00000000-0005-0000-0000-00005B050000}"/>
    <cellStyle name="20 % - Accent6 51 2 2" xfId="6435" xr:uid="{00000000-0005-0000-0000-00005C050000}"/>
    <cellStyle name="20 % - Accent6 51 3" xfId="5706" xr:uid="{00000000-0005-0000-0000-00005D050000}"/>
    <cellStyle name="20 % - Accent6 52" xfId="877" xr:uid="{00000000-0005-0000-0000-00005E050000}"/>
    <cellStyle name="20 % - Accent6 52 2" xfId="3279" xr:uid="{00000000-0005-0000-0000-00005F050000}"/>
    <cellStyle name="20 % - Accent6 52 2 2" xfId="6436" xr:uid="{00000000-0005-0000-0000-000060050000}"/>
    <cellStyle name="20 % - Accent6 52 3" xfId="5707" xr:uid="{00000000-0005-0000-0000-000061050000}"/>
    <cellStyle name="20 % - Accent6 53" xfId="878" xr:uid="{00000000-0005-0000-0000-000062050000}"/>
    <cellStyle name="20 % - Accent6 53 2" xfId="3280" xr:uid="{00000000-0005-0000-0000-000063050000}"/>
    <cellStyle name="20 % - Accent6 53 2 2" xfId="6437" xr:uid="{00000000-0005-0000-0000-000064050000}"/>
    <cellStyle name="20 % - Accent6 53 3" xfId="5708" xr:uid="{00000000-0005-0000-0000-000065050000}"/>
    <cellStyle name="20 % - Accent6 54" xfId="879" xr:uid="{00000000-0005-0000-0000-000066050000}"/>
    <cellStyle name="20 % - Accent6 54 2" xfId="3281" xr:uid="{00000000-0005-0000-0000-000067050000}"/>
    <cellStyle name="20 % - Accent6 54 2 2" xfId="6438" xr:uid="{00000000-0005-0000-0000-000068050000}"/>
    <cellStyle name="20 % - Accent6 54 3" xfId="5709" xr:uid="{00000000-0005-0000-0000-000069050000}"/>
    <cellStyle name="20 % - Accent6 55" xfId="880" xr:uid="{00000000-0005-0000-0000-00006A050000}"/>
    <cellStyle name="20 % - Accent6 55 2" xfId="3282" xr:uid="{00000000-0005-0000-0000-00006B050000}"/>
    <cellStyle name="20 % - Accent6 55 2 2" xfId="6439" xr:uid="{00000000-0005-0000-0000-00006C050000}"/>
    <cellStyle name="20 % - Accent6 55 3" xfId="5710" xr:uid="{00000000-0005-0000-0000-00006D050000}"/>
    <cellStyle name="20 % - Accent6 56" xfId="881" xr:uid="{00000000-0005-0000-0000-00006E050000}"/>
    <cellStyle name="20 % - Accent6 56 2" xfId="3283" xr:uid="{00000000-0005-0000-0000-00006F050000}"/>
    <cellStyle name="20 % - Accent6 56 2 2" xfId="6440" xr:uid="{00000000-0005-0000-0000-000070050000}"/>
    <cellStyle name="20 % - Accent6 56 3" xfId="5711" xr:uid="{00000000-0005-0000-0000-000071050000}"/>
    <cellStyle name="20 % - Accent6 57" xfId="882" xr:uid="{00000000-0005-0000-0000-000072050000}"/>
    <cellStyle name="20 % - Accent6 57 2" xfId="3284" xr:uid="{00000000-0005-0000-0000-000073050000}"/>
    <cellStyle name="20 % - Accent6 57 2 2" xfId="6441" xr:uid="{00000000-0005-0000-0000-000074050000}"/>
    <cellStyle name="20 % - Accent6 57 3" xfId="5712" xr:uid="{00000000-0005-0000-0000-000075050000}"/>
    <cellStyle name="20 % - Accent6 58" xfId="883" xr:uid="{00000000-0005-0000-0000-000076050000}"/>
    <cellStyle name="20 % - Accent6 58 2" xfId="3285" xr:uid="{00000000-0005-0000-0000-000077050000}"/>
    <cellStyle name="20 % - Accent6 58 2 2" xfId="6442" xr:uid="{00000000-0005-0000-0000-000078050000}"/>
    <cellStyle name="20 % - Accent6 58 3" xfId="5713" xr:uid="{00000000-0005-0000-0000-000079050000}"/>
    <cellStyle name="20 % - Accent6 59" xfId="884" xr:uid="{00000000-0005-0000-0000-00007A050000}"/>
    <cellStyle name="20 % - Accent6 59 2" xfId="3286" xr:uid="{00000000-0005-0000-0000-00007B050000}"/>
    <cellStyle name="20 % - Accent6 59 2 2" xfId="6443" xr:uid="{00000000-0005-0000-0000-00007C050000}"/>
    <cellStyle name="20 % - Accent6 59 3" xfId="5714" xr:uid="{00000000-0005-0000-0000-00007D050000}"/>
    <cellStyle name="20 % - Accent6 6" xfId="201" xr:uid="{00000000-0005-0000-0000-00007E050000}"/>
    <cellStyle name="20 % - Accent6 6 2" xfId="885" xr:uid="{00000000-0005-0000-0000-00007F050000}"/>
    <cellStyle name="20 % - Accent6 6 2 2" xfId="6444" xr:uid="{00000000-0005-0000-0000-000080050000}"/>
    <cellStyle name="20 % - Accent6 6 3" xfId="3287" xr:uid="{00000000-0005-0000-0000-000081050000}"/>
    <cellStyle name="20 % - Accent6 6 4" xfId="5715" xr:uid="{00000000-0005-0000-0000-000082050000}"/>
    <cellStyle name="20 % - Accent6 7" xfId="202" xr:uid="{00000000-0005-0000-0000-000083050000}"/>
    <cellStyle name="20 % - Accent6 7 2" xfId="886" xr:uid="{00000000-0005-0000-0000-000084050000}"/>
    <cellStyle name="20 % - Accent6 7 2 2" xfId="6445" xr:uid="{00000000-0005-0000-0000-000085050000}"/>
    <cellStyle name="20 % - Accent6 7 3" xfId="3288" xr:uid="{00000000-0005-0000-0000-000086050000}"/>
    <cellStyle name="20 % - Accent6 7 4" xfId="5716" xr:uid="{00000000-0005-0000-0000-000087050000}"/>
    <cellStyle name="20 % - Accent6 8" xfId="203" xr:uid="{00000000-0005-0000-0000-000088050000}"/>
    <cellStyle name="20 % - Accent6 8 2" xfId="887" xr:uid="{00000000-0005-0000-0000-000089050000}"/>
    <cellStyle name="20 % - Accent6 8 2 2" xfId="6446" xr:uid="{00000000-0005-0000-0000-00008A050000}"/>
    <cellStyle name="20 % - Accent6 8 3" xfId="3289" xr:uid="{00000000-0005-0000-0000-00008B050000}"/>
    <cellStyle name="20 % - Accent6 8 4" xfId="5717" xr:uid="{00000000-0005-0000-0000-00008C050000}"/>
    <cellStyle name="20 % - Accent6 9" xfId="888" xr:uid="{00000000-0005-0000-0000-00008D050000}"/>
    <cellStyle name="20 % - Accent6 9 2" xfId="3290" xr:uid="{00000000-0005-0000-0000-00008E050000}"/>
    <cellStyle name="20 % - Accent6 9 2 2" xfId="6447" xr:uid="{00000000-0005-0000-0000-00008F050000}"/>
    <cellStyle name="20 % - Accent6 9 3" xfId="5718" xr:uid="{00000000-0005-0000-0000-000090050000}"/>
    <cellStyle name="40 % - Accent1 10" xfId="889" xr:uid="{00000000-0005-0000-0000-000091050000}"/>
    <cellStyle name="40 % - Accent1 10 2" xfId="3291" xr:uid="{00000000-0005-0000-0000-000092050000}"/>
    <cellStyle name="40 % - Accent1 10 2 2" xfId="6448" xr:uid="{00000000-0005-0000-0000-000093050000}"/>
    <cellStyle name="40 % - Accent1 10 3" xfId="5719" xr:uid="{00000000-0005-0000-0000-000094050000}"/>
    <cellStyle name="40 % - Accent1 11" xfId="890" xr:uid="{00000000-0005-0000-0000-000095050000}"/>
    <cellStyle name="40 % - Accent1 11 2" xfId="3292" xr:uid="{00000000-0005-0000-0000-000096050000}"/>
    <cellStyle name="40 % - Accent1 11 2 2" xfId="6449" xr:uid="{00000000-0005-0000-0000-000097050000}"/>
    <cellStyle name="40 % - Accent1 11 3" xfId="5720" xr:uid="{00000000-0005-0000-0000-000098050000}"/>
    <cellStyle name="40 % - Accent1 12" xfId="891" xr:uid="{00000000-0005-0000-0000-000099050000}"/>
    <cellStyle name="40 % - Accent1 12 2" xfId="3293" xr:uid="{00000000-0005-0000-0000-00009A050000}"/>
    <cellStyle name="40 % - Accent1 12 2 2" xfId="6450" xr:uid="{00000000-0005-0000-0000-00009B050000}"/>
    <cellStyle name="40 % - Accent1 12 3" xfId="5721" xr:uid="{00000000-0005-0000-0000-00009C050000}"/>
    <cellStyle name="40 % - Accent1 13" xfId="892" xr:uid="{00000000-0005-0000-0000-00009D050000}"/>
    <cellStyle name="40 % - Accent1 13 2" xfId="3294" xr:uid="{00000000-0005-0000-0000-00009E050000}"/>
    <cellStyle name="40 % - Accent1 13 2 2" xfId="6451" xr:uid="{00000000-0005-0000-0000-00009F050000}"/>
    <cellStyle name="40 % - Accent1 13 3" xfId="5722" xr:uid="{00000000-0005-0000-0000-0000A0050000}"/>
    <cellStyle name="40 % - Accent1 14" xfId="893" xr:uid="{00000000-0005-0000-0000-0000A1050000}"/>
    <cellStyle name="40 % - Accent1 14 2" xfId="3295" xr:uid="{00000000-0005-0000-0000-0000A2050000}"/>
    <cellStyle name="40 % - Accent1 14 2 2" xfId="6452" xr:uid="{00000000-0005-0000-0000-0000A3050000}"/>
    <cellStyle name="40 % - Accent1 14 3" xfId="5723" xr:uid="{00000000-0005-0000-0000-0000A4050000}"/>
    <cellStyle name="40 % - Accent1 15" xfId="894" xr:uid="{00000000-0005-0000-0000-0000A5050000}"/>
    <cellStyle name="40 % - Accent1 15 2" xfId="3296" xr:uid="{00000000-0005-0000-0000-0000A6050000}"/>
    <cellStyle name="40 % - Accent1 15 2 2" xfId="6453" xr:uid="{00000000-0005-0000-0000-0000A7050000}"/>
    <cellStyle name="40 % - Accent1 15 3" xfId="5724" xr:uid="{00000000-0005-0000-0000-0000A8050000}"/>
    <cellStyle name="40 % - Accent1 16" xfId="895" xr:uid="{00000000-0005-0000-0000-0000A9050000}"/>
    <cellStyle name="40 % - Accent1 16 2" xfId="3297" xr:uid="{00000000-0005-0000-0000-0000AA050000}"/>
    <cellStyle name="40 % - Accent1 16 2 2" xfId="6454" xr:uid="{00000000-0005-0000-0000-0000AB050000}"/>
    <cellStyle name="40 % - Accent1 16 3" xfId="5725" xr:uid="{00000000-0005-0000-0000-0000AC050000}"/>
    <cellStyle name="40 % - Accent1 17" xfId="896" xr:uid="{00000000-0005-0000-0000-0000AD050000}"/>
    <cellStyle name="40 % - Accent1 17 2" xfId="3298" xr:uid="{00000000-0005-0000-0000-0000AE050000}"/>
    <cellStyle name="40 % - Accent1 17 2 2" xfId="6455" xr:uid="{00000000-0005-0000-0000-0000AF050000}"/>
    <cellStyle name="40 % - Accent1 17 3" xfId="5726" xr:uid="{00000000-0005-0000-0000-0000B0050000}"/>
    <cellStyle name="40 % - Accent1 18" xfId="897" xr:uid="{00000000-0005-0000-0000-0000B1050000}"/>
    <cellStyle name="40 % - Accent1 18 2" xfId="3299" xr:uid="{00000000-0005-0000-0000-0000B2050000}"/>
    <cellStyle name="40 % - Accent1 18 2 2" xfId="6456" xr:uid="{00000000-0005-0000-0000-0000B3050000}"/>
    <cellStyle name="40 % - Accent1 18 3" xfId="5727" xr:uid="{00000000-0005-0000-0000-0000B4050000}"/>
    <cellStyle name="40 % - Accent1 19" xfId="898" xr:uid="{00000000-0005-0000-0000-0000B5050000}"/>
    <cellStyle name="40 % - Accent1 19 2" xfId="3300" xr:uid="{00000000-0005-0000-0000-0000B6050000}"/>
    <cellStyle name="40 % - Accent1 19 2 2" xfId="6457" xr:uid="{00000000-0005-0000-0000-0000B7050000}"/>
    <cellStyle name="40 % - Accent1 19 3" xfId="5728" xr:uid="{00000000-0005-0000-0000-0000B8050000}"/>
    <cellStyle name="40 % - Accent1 2" xfId="10" xr:uid="{00000000-0005-0000-0000-0000B9050000}"/>
    <cellStyle name="40 % - Accent1 2 2" xfId="899" xr:uid="{00000000-0005-0000-0000-0000BA050000}"/>
    <cellStyle name="40 % - Accent1 2 3" xfId="3301" xr:uid="{00000000-0005-0000-0000-0000BB050000}"/>
    <cellStyle name="40 % - Accent1 20" xfId="900" xr:uid="{00000000-0005-0000-0000-0000BC050000}"/>
    <cellStyle name="40 % - Accent1 20 2" xfId="3302" xr:uid="{00000000-0005-0000-0000-0000BD050000}"/>
    <cellStyle name="40 % - Accent1 20 2 2" xfId="6458" xr:uid="{00000000-0005-0000-0000-0000BE050000}"/>
    <cellStyle name="40 % - Accent1 20 3" xfId="5729" xr:uid="{00000000-0005-0000-0000-0000BF050000}"/>
    <cellStyle name="40 % - Accent1 21" xfId="901" xr:uid="{00000000-0005-0000-0000-0000C0050000}"/>
    <cellStyle name="40 % - Accent1 21 2" xfId="3303" xr:uid="{00000000-0005-0000-0000-0000C1050000}"/>
    <cellStyle name="40 % - Accent1 21 2 2" xfId="6459" xr:uid="{00000000-0005-0000-0000-0000C2050000}"/>
    <cellStyle name="40 % - Accent1 21 3" xfId="5730" xr:uid="{00000000-0005-0000-0000-0000C3050000}"/>
    <cellStyle name="40 % - Accent1 22" xfId="902" xr:uid="{00000000-0005-0000-0000-0000C4050000}"/>
    <cellStyle name="40 % - Accent1 22 2" xfId="3304" xr:uid="{00000000-0005-0000-0000-0000C5050000}"/>
    <cellStyle name="40 % - Accent1 22 2 2" xfId="6460" xr:uid="{00000000-0005-0000-0000-0000C6050000}"/>
    <cellStyle name="40 % - Accent1 22 3" xfId="5731" xr:uid="{00000000-0005-0000-0000-0000C7050000}"/>
    <cellStyle name="40 % - Accent1 23" xfId="903" xr:uid="{00000000-0005-0000-0000-0000C8050000}"/>
    <cellStyle name="40 % - Accent1 23 2" xfId="3305" xr:uid="{00000000-0005-0000-0000-0000C9050000}"/>
    <cellStyle name="40 % - Accent1 23 2 2" xfId="6461" xr:uid="{00000000-0005-0000-0000-0000CA050000}"/>
    <cellStyle name="40 % - Accent1 23 3" xfId="5732" xr:uid="{00000000-0005-0000-0000-0000CB050000}"/>
    <cellStyle name="40 % - Accent1 24" xfId="904" xr:uid="{00000000-0005-0000-0000-0000CC050000}"/>
    <cellStyle name="40 % - Accent1 24 2" xfId="3306" xr:uid="{00000000-0005-0000-0000-0000CD050000}"/>
    <cellStyle name="40 % - Accent1 24 2 2" xfId="6462" xr:uid="{00000000-0005-0000-0000-0000CE050000}"/>
    <cellStyle name="40 % - Accent1 24 3" xfId="5733" xr:uid="{00000000-0005-0000-0000-0000CF050000}"/>
    <cellStyle name="40 % - Accent1 25" xfId="905" xr:uid="{00000000-0005-0000-0000-0000D0050000}"/>
    <cellStyle name="40 % - Accent1 25 2" xfId="3307" xr:uid="{00000000-0005-0000-0000-0000D1050000}"/>
    <cellStyle name="40 % - Accent1 25 2 2" xfId="6463" xr:uid="{00000000-0005-0000-0000-0000D2050000}"/>
    <cellStyle name="40 % - Accent1 25 3" xfId="5734" xr:uid="{00000000-0005-0000-0000-0000D3050000}"/>
    <cellStyle name="40 % - Accent1 26" xfId="906" xr:uid="{00000000-0005-0000-0000-0000D4050000}"/>
    <cellStyle name="40 % - Accent1 26 2" xfId="3308" xr:uid="{00000000-0005-0000-0000-0000D5050000}"/>
    <cellStyle name="40 % - Accent1 26 2 2" xfId="6464" xr:uid="{00000000-0005-0000-0000-0000D6050000}"/>
    <cellStyle name="40 % - Accent1 26 3" xfId="5735" xr:uid="{00000000-0005-0000-0000-0000D7050000}"/>
    <cellStyle name="40 % - Accent1 27" xfId="907" xr:uid="{00000000-0005-0000-0000-0000D8050000}"/>
    <cellStyle name="40 % - Accent1 27 2" xfId="3309" xr:uid="{00000000-0005-0000-0000-0000D9050000}"/>
    <cellStyle name="40 % - Accent1 27 2 2" xfId="6465" xr:uid="{00000000-0005-0000-0000-0000DA050000}"/>
    <cellStyle name="40 % - Accent1 27 3" xfId="5736" xr:uid="{00000000-0005-0000-0000-0000DB050000}"/>
    <cellStyle name="40 % - Accent1 28" xfId="908" xr:uid="{00000000-0005-0000-0000-0000DC050000}"/>
    <cellStyle name="40 % - Accent1 28 2" xfId="3310" xr:uid="{00000000-0005-0000-0000-0000DD050000}"/>
    <cellStyle name="40 % - Accent1 28 2 2" xfId="6466" xr:uid="{00000000-0005-0000-0000-0000DE050000}"/>
    <cellStyle name="40 % - Accent1 28 3" xfId="5737" xr:uid="{00000000-0005-0000-0000-0000DF050000}"/>
    <cellStyle name="40 % - Accent1 29" xfId="909" xr:uid="{00000000-0005-0000-0000-0000E0050000}"/>
    <cellStyle name="40 % - Accent1 29 2" xfId="3311" xr:uid="{00000000-0005-0000-0000-0000E1050000}"/>
    <cellStyle name="40 % - Accent1 29 2 2" xfId="6467" xr:uid="{00000000-0005-0000-0000-0000E2050000}"/>
    <cellStyle name="40 % - Accent1 29 3" xfId="5738" xr:uid="{00000000-0005-0000-0000-0000E3050000}"/>
    <cellStyle name="40 % - Accent1 3" xfId="204" xr:uid="{00000000-0005-0000-0000-0000E4050000}"/>
    <cellStyle name="40 % - Accent1 3 2" xfId="910" xr:uid="{00000000-0005-0000-0000-0000E5050000}"/>
    <cellStyle name="40 % - Accent1 3 2 2" xfId="6468" xr:uid="{00000000-0005-0000-0000-0000E6050000}"/>
    <cellStyle name="40 % - Accent1 3 3" xfId="3312" xr:uid="{00000000-0005-0000-0000-0000E7050000}"/>
    <cellStyle name="40 % - Accent1 3 4" xfId="5739" xr:uid="{00000000-0005-0000-0000-0000E8050000}"/>
    <cellStyle name="40 % - Accent1 30" xfId="911" xr:uid="{00000000-0005-0000-0000-0000E9050000}"/>
    <cellStyle name="40 % - Accent1 30 2" xfId="3313" xr:uid="{00000000-0005-0000-0000-0000EA050000}"/>
    <cellStyle name="40 % - Accent1 30 2 2" xfId="6469" xr:uid="{00000000-0005-0000-0000-0000EB050000}"/>
    <cellStyle name="40 % - Accent1 30 3" xfId="5740" xr:uid="{00000000-0005-0000-0000-0000EC050000}"/>
    <cellStyle name="40 % - Accent1 31" xfId="912" xr:uid="{00000000-0005-0000-0000-0000ED050000}"/>
    <cellStyle name="40 % - Accent1 31 2" xfId="3314" xr:uid="{00000000-0005-0000-0000-0000EE050000}"/>
    <cellStyle name="40 % - Accent1 31 2 2" xfId="6470" xr:uid="{00000000-0005-0000-0000-0000EF050000}"/>
    <cellStyle name="40 % - Accent1 31 3" xfId="5741" xr:uid="{00000000-0005-0000-0000-0000F0050000}"/>
    <cellStyle name="40 % - Accent1 32" xfId="913" xr:uid="{00000000-0005-0000-0000-0000F1050000}"/>
    <cellStyle name="40 % - Accent1 32 2" xfId="3315" xr:uid="{00000000-0005-0000-0000-0000F2050000}"/>
    <cellStyle name="40 % - Accent1 32 2 2" xfId="6471" xr:uid="{00000000-0005-0000-0000-0000F3050000}"/>
    <cellStyle name="40 % - Accent1 32 3" xfId="5742" xr:uid="{00000000-0005-0000-0000-0000F4050000}"/>
    <cellStyle name="40 % - Accent1 33" xfId="914" xr:uid="{00000000-0005-0000-0000-0000F5050000}"/>
    <cellStyle name="40 % - Accent1 33 2" xfId="3316" xr:uid="{00000000-0005-0000-0000-0000F6050000}"/>
    <cellStyle name="40 % - Accent1 33 2 2" xfId="6472" xr:uid="{00000000-0005-0000-0000-0000F7050000}"/>
    <cellStyle name="40 % - Accent1 33 3" xfId="5743" xr:uid="{00000000-0005-0000-0000-0000F8050000}"/>
    <cellStyle name="40 % - Accent1 34" xfId="915" xr:uid="{00000000-0005-0000-0000-0000F9050000}"/>
    <cellStyle name="40 % - Accent1 34 2" xfId="3317" xr:uid="{00000000-0005-0000-0000-0000FA050000}"/>
    <cellStyle name="40 % - Accent1 34 2 2" xfId="6473" xr:uid="{00000000-0005-0000-0000-0000FB050000}"/>
    <cellStyle name="40 % - Accent1 34 3" xfId="5744" xr:uid="{00000000-0005-0000-0000-0000FC050000}"/>
    <cellStyle name="40 % - Accent1 35" xfId="916" xr:uid="{00000000-0005-0000-0000-0000FD050000}"/>
    <cellStyle name="40 % - Accent1 35 2" xfId="3318" xr:uid="{00000000-0005-0000-0000-0000FE050000}"/>
    <cellStyle name="40 % - Accent1 35 2 2" xfId="6474" xr:uid="{00000000-0005-0000-0000-0000FF050000}"/>
    <cellStyle name="40 % - Accent1 35 3" xfId="5745" xr:uid="{00000000-0005-0000-0000-000000060000}"/>
    <cellStyle name="40 % - Accent1 36" xfId="917" xr:uid="{00000000-0005-0000-0000-000001060000}"/>
    <cellStyle name="40 % - Accent1 36 2" xfId="3319" xr:uid="{00000000-0005-0000-0000-000002060000}"/>
    <cellStyle name="40 % - Accent1 36 2 2" xfId="6475" xr:uid="{00000000-0005-0000-0000-000003060000}"/>
    <cellStyle name="40 % - Accent1 36 3" xfId="5746" xr:uid="{00000000-0005-0000-0000-000004060000}"/>
    <cellStyle name="40 % - Accent1 37" xfId="918" xr:uid="{00000000-0005-0000-0000-000005060000}"/>
    <cellStyle name="40 % - Accent1 37 2" xfId="3320" xr:uid="{00000000-0005-0000-0000-000006060000}"/>
    <cellStyle name="40 % - Accent1 37 2 2" xfId="6476" xr:uid="{00000000-0005-0000-0000-000007060000}"/>
    <cellStyle name="40 % - Accent1 37 3" xfId="5747" xr:uid="{00000000-0005-0000-0000-000008060000}"/>
    <cellStyle name="40 % - Accent1 38" xfId="919" xr:uid="{00000000-0005-0000-0000-000009060000}"/>
    <cellStyle name="40 % - Accent1 38 2" xfId="3321" xr:uid="{00000000-0005-0000-0000-00000A060000}"/>
    <cellStyle name="40 % - Accent1 38 2 2" xfId="6477" xr:uid="{00000000-0005-0000-0000-00000B060000}"/>
    <cellStyle name="40 % - Accent1 38 3" xfId="5748" xr:uid="{00000000-0005-0000-0000-00000C060000}"/>
    <cellStyle name="40 % - Accent1 39" xfId="920" xr:uid="{00000000-0005-0000-0000-00000D060000}"/>
    <cellStyle name="40 % - Accent1 39 2" xfId="3322" xr:uid="{00000000-0005-0000-0000-00000E060000}"/>
    <cellStyle name="40 % - Accent1 39 2 2" xfId="6478" xr:uid="{00000000-0005-0000-0000-00000F060000}"/>
    <cellStyle name="40 % - Accent1 39 3" xfId="5749" xr:uid="{00000000-0005-0000-0000-000010060000}"/>
    <cellStyle name="40 % - Accent1 4" xfId="205" xr:uid="{00000000-0005-0000-0000-000011060000}"/>
    <cellStyle name="40 % - Accent1 4 2" xfId="921" xr:uid="{00000000-0005-0000-0000-000012060000}"/>
    <cellStyle name="40 % - Accent1 4 2 2" xfId="6479" xr:uid="{00000000-0005-0000-0000-000013060000}"/>
    <cellStyle name="40 % - Accent1 4 3" xfId="3323" xr:uid="{00000000-0005-0000-0000-000014060000}"/>
    <cellStyle name="40 % - Accent1 4 4" xfId="5750" xr:uid="{00000000-0005-0000-0000-000015060000}"/>
    <cellStyle name="40 % - Accent1 40" xfId="922" xr:uid="{00000000-0005-0000-0000-000016060000}"/>
    <cellStyle name="40 % - Accent1 40 2" xfId="3324" xr:uid="{00000000-0005-0000-0000-000017060000}"/>
    <cellStyle name="40 % - Accent1 40 2 2" xfId="6480" xr:uid="{00000000-0005-0000-0000-000018060000}"/>
    <cellStyle name="40 % - Accent1 40 3" xfId="5751" xr:uid="{00000000-0005-0000-0000-000019060000}"/>
    <cellStyle name="40 % - Accent1 41" xfId="923" xr:uid="{00000000-0005-0000-0000-00001A060000}"/>
    <cellStyle name="40 % - Accent1 41 2" xfId="3325" xr:uid="{00000000-0005-0000-0000-00001B060000}"/>
    <cellStyle name="40 % - Accent1 41 2 2" xfId="6481" xr:uid="{00000000-0005-0000-0000-00001C060000}"/>
    <cellStyle name="40 % - Accent1 41 3" xfId="5752" xr:uid="{00000000-0005-0000-0000-00001D060000}"/>
    <cellStyle name="40 % - Accent1 42" xfId="924" xr:uid="{00000000-0005-0000-0000-00001E060000}"/>
    <cellStyle name="40 % - Accent1 42 2" xfId="3326" xr:uid="{00000000-0005-0000-0000-00001F060000}"/>
    <cellStyle name="40 % - Accent1 42 2 2" xfId="6482" xr:uid="{00000000-0005-0000-0000-000020060000}"/>
    <cellStyle name="40 % - Accent1 42 3" xfId="5753" xr:uid="{00000000-0005-0000-0000-000021060000}"/>
    <cellStyle name="40 % - Accent1 43" xfId="925" xr:uid="{00000000-0005-0000-0000-000022060000}"/>
    <cellStyle name="40 % - Accent1 43 2" xfId="3327" xr:uid="{00000000-0005-0000-0000-000023060000}"/>
    <cellStyle name="40 % - Accent1 43 2 2" xfId="6483" xr:uid="{00000000-0005-0000-0000-000024060000}"/>
    <cellStyle name="40 % - Accent1 43 3" xfId="5754" xr:uid="{00000000-0005-0000-0000-000025060000}"/>
    <cellStyle name="40 % - Accent1 44" xfId="926" xr:uid="{00000000-0005-0000-0000-000026060000}"/>
    <cellStyle name="40 % - Accent1 44 2" xfId="3328" xr:uid="{00000000-0005-0000-0000-000027060000}"/>
    <cellStyle name="40 % - Accent1 44 2 2" xfId="6484" xr:uid="{00000000-0005-0000-0000-000028060000}"/>
    <cellStyle name="40 % - Accent1 44 3" xfId="5755" xr:uid="{00000000-0005-0000-0000-000029060000}"/>
    <cellStyle name="40 % - Accent1 45" xfId="927" xr:uid="{00000000-0005-0000-0000-00002A060000}"/>
    <cellStyle name="40 % - Accent1 45 2" xfId="3329" xr:uid="{00000000-0005-0000-0000-00002B060000}"/>
    <cellStyle name="40 % - Accent1 45 2 2" xfId="6485" xr:uid="{00000000-0005-0000-0000-00002C060000}"/>
    <cellStyle name="40 % - Accent1 45 3" xfId="5756" xr:uid="{00000000-0005-0000-0000-00002D060000}"/>
    <cellStyle name="40 % - Accent1 46" xfId="928" xr:uid="{00000000-0005-0000-0000-00002E060000}"/>
    <cellStyle name="40 % - Accent1 46 2" xfId="3330" xr:uid="{00000000-0005-0000-0000-00002F060000}"/>
    <cellStyle name="40 % - Accent1 46 2 2" xfId="6486" xr:uid="{00000000-0005-0000-0000-000030060000}"/>
    <cellStyle name="40 % - Accent1 46 3" xfId="5757" xr:uid="{00000000-0005-0000-0000-000031060000}"/>
    <cellStyle name="40 % - Accent1 47" xfId="929" xr:uid="{00000000-0005-0000-0000-000032060000}"/>
    <cellStyle name="40 % - Accent1 47 2" xfId="3331" xr:uid="{00000000-0005-0000-0000-000033060000}"/>
    <cellStyle name="40 % - Accent1 47 2 2" xfId="6487" xr:uid="{00000000-0005-0000-0000-000034060000}"/>
    <cellStyle name="40 % - Accent1 47 3" xfId="5758" xr:uid="{00000000-0005-0000-0000-000035060000}"/>
    <cellStyle name="40 % - Accent1 48" xfId="930" xr:uid="{00000000-0005-0000-0000-000036060000}"/>
    <cellStyle name="40 % - Accent1 48 2" xfId="3332" xr:uid="{00000000-0005-0000-0000-000037060000}"/>
    <cellStyle name="40 % - Accent1 48 2 2" xfId="6488" xr:uid="{00000000-0005-0000-0000-000038060000}"/>
    <cellStyle name="40 % - Accent1 48 3" xfId="5759" xr:uid="{00000000-0005-0000-0000-000039060000}"/>
    <cellStyle name="40 % - Accent1 49" xfId="931" xr:uid="{00000000-0005-0000-0000-00003A060000}"/>
    <cellStyle name="40 % - Accent1 49 2" xfId="3333" xr:uid="{00000000-0005-0000-0000-00003B060000}"/>
    <cellStyle name="40 % - Accent1 49 2 2" xfId="6489" xr:uid="{00000000-0005-0000-0000-00003C060000}"/>
    <cellStyle name="40 % - Accent1 49 3" xfId="5760" xr:uid="{00000000-0005-0000-0000-00003D060000}"/>
    <cellStyle name="40 % - Accent1 5" xfId="206" xr:uid="{00000000-0005-0000-0000-00003E060000}"/>
    <cellStyle name="40 % - Accent1 5 2" xfId="932" xr:uid="{00000000-0005-0000-0000-00003F060000}"/>
    <cellStyle name="40 % - Accent1 5 2 2" xfId="6490" xr:uid="{00000000-0005-0000-0000-000040060000}"/>
    <cellStyle name="40 % - Accent1 5 3" xfId="3334" xr:uid="{00000000-0005-0000-0000-000041060000}"/>
    <cellStyle name="40 % - Accent1 5 4" xfId="5761" xr:uid="{00000000-0005-0000-0000-000042060000}"/>
    <cellStyle name="40 % - Accent1 50" xfId="933" xr:uid="{00000000-0005-0000-0000-000043060000}"/>
    <cellStyle name="40 % - Accent1 50 2" xfId="3335" xr:uid="{00000000-0005-0000-0000-000044060000}"/>
    <cellStyle name="40 % - Accent1 50 2 2" xfId="6491" xr:uid="{00000000-0005-0000-0000-000045060000}"/>
    <cellStyle name="40 % - Accent1 50 3" xfId="5762" xr:uid="{00000000-0005-0000-0000-000046060000}"/>
    <cellStyle name="40 % - Accent1 51" xfId="934" xr:uid="{00000000-0005-0000-0000-000047060000}"/>
    <cellStyle name="40 % - Accent1 51 2" xfId="3336" xr:uid="{00000000-0005-0000-0000-000048060000}"/>
    <cellStyle name="40 % - Accent1 51 2 2" xfId="6492" xr:uid="{00000000-0005-0000-0000-000049060000}"/>
    <cellStyle name="40 % - Accent1 51 3" xfId="5763" xr:uid="{00000000-0005-0000-0000-00004A060000}"/>
    <cellStyle name="40 % - Accent1 52" xfId="935" xr:uid="{00000000-0005-0000-0000-00004B060000}"/>
    <cellStyle name="40 % - Accent1 52 2" xfId="3337" xr:uid="{00000000-0005-0000-0000-00004C060000}"/>
    <cellStyle name="40 % - Accent1 52 2 2" xfId="6493" xr:uid="{00000000-0005-0000-0000-00004D060000}"/>
    <cellStyle name="40 % - Accent1 52 3" xfId="5764" xr:uid="{00000000-0005-0000-0000-00004E060000}"/>
    <cellStyle name="40 % - Accent1 53" xfId="936" xr:uid="{00000000-0005-0000-0000-00004F060000}"/>
    <cellStyle name="40 % - Accent1 53 2" xfId="3338" xr:uid="{00000000-0005-0000-0000-000050060000}"/>
    <cellStyle name="40 % - Accent1 53 2 2" xfId="6494" xr:uid="{00000000-0005-0000-0000-000051060000}"/>
    <cellStyle name="40 % - Accent1 53 3" xfId="5765" xr:uid="{00000000-0005-0000-0000-000052060000}"/>
    <cellStyle name="40 % - Accent1 54" xfId="937" xr:uid="{00000000-0005-0000-0000-000053060000}"/>
    <cellStyle name="40 % - Accent1 54 2" xfId="3339" xr:uid="{00000000-0005-0000-0000-000054060000}"/>
    <cellStyle name="40 % - Accent1 54 2 2" xfId="6495" xr:uid="{00000000-0005-0000-0000-000055060000}"/>
    <cellStyle name="40 % - Accent1 54 3" xfId="5766" xr:uid="{00000000-0005-0000-0000-000056060000}"/>
    <cellStyle name="40 % - Accent1 55" xfId="938" xr:uid="{00000000-0005-0000-0000-000057060000}"/>
    <cellStyle name="40 % - Accent1 55 2" xfId="3340" xr:uid="{00000000-0005-0000-0000-000058060000}"/>
    <cellStyle name="40 % - Accent1 55 2 2" xfId="6496" xr:uid="{00000000-0005-0000-0000-000059060000}"/>
    <cellStyle name="40 % - Accent1 55 3" xfId="5767" xr:uid="{00000000-0005-0000-0000-00005A060000}"/>
    <cellStyle name="40 % - Accent1 56" xfId="939" xr:uid="{00000000-0005-0000-0000-00005B060000}"/>
    <cellStyle name="40 % - Accent1 56 2" xfId="3341" xr:uid="{00000000-0005-0000-0000-00005C060000}"/>
    <cellStyle name="40 % - Accent1 56 2 2" xfId="6497" xr:uid="{00000000-0005-0000-0000-00005D060000}"/>
    <cellStyle name="40 % - Accent1 56 3" xfId="5768" xr:uid="{00000000-0005-0000-0000-00005E060000}"/>
    <cellStyle name="40 % - Accent1 57" xfId="940" xr:uid="{00000000-0005-0000-0000-00005F060000}"/>
    <cellStyle name="40 % - Accent1 57 2" xfId="3342" xr:uid="{00000000-0005-0000-0000-000060060000}"/>
    <cellStyle name="40 % - Accent1 57 2 2" xfId="6498" xr:uid="{00000000-0005-0000-0000-000061060000}"/>
    <cellStyle name="40 % - Accent1 57 3" xfId="5769" xr:uid="{00000000-0005-0000-0000-000062060000}"/>
    <cellStyle name="40 % - Accent1 58" xfId="941" xr:uid="{00000000-0005-0000-0000-000063060000}"/>
    <cellStyle name="40 % - Accent1 58 2" xfId="3343" xr:uid="{00000000-0005-0000-0000-000064060000}"/>
    <cellStyle name="40 % - Accent1 58 2 2" xfId="6499" xr:uid="{00000000-0005-0000-0000-000065060000}"/>
    <cellStyle name="40 % - Accent1 58 3" xfId="5770" xr:uid="{00000000-0005-0000-0000-000066060000}"/>
    <cellStyle name="40 % - Accent1 59" xfId="942" xr:uid="{00000000-0005-0000-0000-000067060000}"/>
    <cellStyle name="40 % - Accent1 59 2" xfId="3344" xr:uid="{00000000-0005-0000-0000-000068060000}"/>
    <cellStyle name="40 % - Accent1 59 2 2" xfId="6500" xr:uid="{00000000-0005-0000-0000-000069060000}"/>
    <cellStyle name="40 % - Accent1 59 3" xfId="5771" xr:uid="{00000000-0005-0000-0000-00006A060000}"/>
    <cellStyle name="40 % - Accent1 6" xfId="207" xr:uid="{00000000-0005-0000-0000-00006B060000}"/>
    <cellStyle name="40 % - Accent1 6 2" xfId="943" xr:uid="{00000000-0005-0000-0000-00006C060000}"/>
    <cellStyle name="40 % - Accent1 6 2 2" xfId="6501" xr:uid="{00000000-0005-0000-0000-00006D060000}"/>
    <cellStyle name="40 % - Accent1 6 3" xfId="3345" xr:uid="{00000000-0005-0000-0000-00006E060000}"/>
    <cellStyle name="40 % - Accent1 6 4" xfId="5772" xr:uid="{00000000-0005-0000-0000-00006F060000}"/>
    <cellStyle name="40 % - Accent1 7" xfId="208" xr:uid="{00000000-0005-0000-0000-000070060000}"/>
    <cellStyle name="40 % - Accent1 7 2" xfId="944" xr:uid="{00000000-0005-0000-0000-000071060000}"/>
    <cellStyle name="40 % - Accent1 7 2 2" xfId="6502" xr:uid="{00000000-0005-0000-0000-000072060000}"/>
    <cellStyle name="40 % - Accent1 7 3" xfId="3346" xr:uid="{00000000-0005-0000-0000-000073060000}"/>
    <cellStyle name="40 % - Accent1 7 4" xfId="5773" xr:uid="{00000000-0005-0000-0000-000074060000}"/>
    <cellStyle name="40 % - Accent1 8" xfId="209" xr:uid="{00000000-0005-0000-0000-000075060000}"/>
    <cellStyle name="40 % - Accent1 8 2" xfId="945" xr:uid="{00000000-0005-0000-0000-000076060000}"/>
    <cellStyle name="40 % - Accent1 8 2 2" xfId="6503" xr:uid="{00000000-0005-0000-0000-000077060000}"/>
    <cellStyle name="40 % - Accent1 8 3" xfId="3347" xr:uid="{00000000-0005-0000-0000-000078060000}"/>
    <cellStyle name="40 % - Accent1 8 4" xfId="5774" xr:uid="{00000000-0005-0000-0000-000079060000}"/>
    <cellStyle name="40 % - Accent1 9" xfId="946" xr:uid="{00000000-0005-0000-0000-00007A060000}"/>
    <cellStyle name="40 % - Accent1 9 2" xfId="3348" xr:uid="{00000000-0005-0000-0000-00007B060000}"/>
    <cellStyle name="40 % - Accent1 9 2 2" xfId="6504" xr:uid="{00000000-0005-0000-0000-00007C060000}"/>
    <cellStyle name="40 % - Accent1 9 3" xfId="5775" xr:uid="{00000000-0005-0000-0000-00007D060000}"/>
    <cellStyle name="40 % - Accent2" xfId="11" builtinId="35"/>
    <cellStyle name="40 % - Accent2 10" xfId="947" xr:uid="{00000000-0005-0000-0000-00007F060000}"/>
    <cellStyle name="40 % - Accent2 10 2" xfId="3349" xr:uid="{00000000-0005-0000-0000-000080060000}"/>
    <cellStyle name="40 % - Accent2 10 2 2" xfId="6505" xr:uid="{00000000-0005-0000-0000-000081060000}"/>
    <cellStyle name="40 % - Accent2 10 3" xfId="5776" xr:uid="{00000000-0005-0000-0000-000082060000}"/>
    <cellStyle name="40 % - Accent2 11" xfId="948" xr:uid="{00000000-0005-0000-0000-000083060000}"/>
    <cellStyle name="40 % - Accent2 11 2" xfId="3350" xr:uid="{00000000-0005-0000-0000-000084060000}"/>
    <cellStyle name="40 % - Accent2 11 2 2" xfId="6506" xr:uid="{00000000-0005-0000-0000-000085060000}"/>
    <cellStyle name="40 % - Accent2 11 3" xfId="5777" xr:uid="{00000000-0005-0000-0000-000086060000}"/>
    <cellStyle name="40 % - Accent2 12" xfId="949" xr:uid="{00000000-0005-0000-0000-000087060000}"/>
    <cellStyle name="40 % - Accent2 12 2" xfId="3351" xr:uid="{00000000-0005-0000-0000-000088060000}"/>
    <cellStyle name="40 % - Accent2 12 2 2" xfId="6507" xr:uid="{00000000-0005-0000-0000-000089060000}"/>
    <cellStyle name="40 % - Accent2 12 3" xfId="5778" xr:uid="{00000000-0005-0000-0000-00008A060000}"/>
    <cellStyle name="40 % - Accent2 13" xfId="950" xr:uid="{00000000-0005-0000-0000-00008B060000}"/>
    <cellStyle name="40 % - Accent2 13 2" xfId="3352" xr:uid="{00000000-0005-0000-0000-00008C060000}"/>
    <cellStyle name="40 % - Accent2 13 2 2" xfId="6508" xr:uid="{00000000-0005-0000-0000-00008D060000}"/>
    <cellStyle name="40 % - Accent2 13 3" xfId="5779" xr:uid="{00000000-0005-0000-0000-00008E060000}"/>
    <cellStyle name="40 % - Accent2 14" xfId="951" xr:uid="{00000000-0005-0000-0000-00008F060000}"/>
    <cellStyle name="40 % - Accent2 14 2" xfId="3353" xr:uid="{00000000-0005-0000-0000-000090060000}"/>
    <cellStyle name="40 % - Accent2 14 2 2" xfId="6509" xr:uid="{00000000-0005-0000-0000-000091060000}"/>
    <cellStyle name="40 % - Accent2 14 3" xfId="5780" xr:uid="{00000000-0005-0000-0000-000092060000}"/>
    <cellStyle name="40 % - Accent2 15" xfId="952" xr:uid="{00000000-0005-0000-0000-000093060000}"/>
    <cellStyle name="40 % - Accent2 15 2" xfId="3354" xr:uid="{00000000-0005-0000-0000-000094060000}"/>
    <cellStyle name="40 % - Accent2 15 2 2" xfId="6510" xr:uid="{00000000-0005-0000-0000-000095060000}"/>
    <cellStyle name="40 % - Accent2 15 3" xfId="5781" xr:uid="{00000000-0005-0000-0000-000096060000}"/>
    <cellStyle name="40 % - Accent2 16" xfId="953" xr:uid="{00000000-0005-0000-0000-000097060000}"/>
    <cellStyle name="40 % - Accent2 16 2" xfId="3355" xr:uid="{00000000-0005-0000-0000-000098060000}"/>
    <cellStyle name="40 % - Accent2 16 2 2" xfId="6511" xr:uid="{00000000-0005-0000-0000-000099060000}"/>
    <cellStyle name="40 % - Accent2 16 3" xfId="5782" xr:uid="{00000000-0005-0000-0000-00009A060000}"/>
    <cellStyle name="40 % - Accent2 17" xfId="954" xr:uid="{00000000-0005-0000-0000-00009B060000}"/>
    <cellStyle name="40 % - Accent2 17 2" xfId="3356" xr:uid="{00000000-0005-0000-0000-00009C060000}"/>
    <cellStyle name="40 % - Accent2 17 2 2" xfId="6512" xr:uid="{00000000-0005-0000-0000-00009D060000}"/>
    <cellStyle name="40 % - Accent2 17 3" xfId="5783" xr:uid="{00000000-0005-0000-0000-00009E060000}"/>
    <cellStyle name="40 % - Accent2 18" xfId="955" xr:uid="{00000000-0005-0000-0000-00009F060000}"/>
    <cellStyle name="40 % - Accent2 18 2" xfId="3357" xr:uid="{00000000-0005-0000-0000-0000A0060000}"/>
    <cellStyle name="40 % - Accent2 18 2 2" xfId="6513" xr:uid="{00000000-0005-0000-0000-0000A1060000}"/>
    <cellStyle name="40 % - Accent2 18 3" xfId="5784" xr:uid="{00000000-0005-0000-0000-0000A2060000}"/>
    <cellStyle name="40 % - Accent2 19" xfId="956" xr:uid="{00000000-0005-0000-0000-0000A3060000}"/>
    <cellStyle name="40 % - Accent2 19 2" xfId="3358" xr:uid="{00000000-0005-0000-0000-0000A4060000}"/>
    <cellStyle name="40 % - Accent2 19 2 2" xfId="6514" xr:uid="{00000000-0005-0000-0000-0000A5060000}"/>
    <cellStyle name="40 % - Accent2 19 3" xfId="5785" xr:uid="{00000000-0005-0000-0000-0000A6060000}"/>
    <cellStyle name="40 % - Accent2 2" xfId="12" xr:uid="{00000000-0005-0000-0000-0000A7060000}"/>
    <cellStyle name="40 % - Accent2 2 2" xfId="957" xr:uid="{00000000-0005-0000-0000-0000A8060000}"/>
    <cellStyle name="40 % - Accent2 2 3" xfId="3359" xr:uid="{00000000-0005-0000-0000-0000A9060000}"/>
    <cellStyle name="40 % - Accent2 20" xfId="958" xr:uid="{00000000-0005-0000-0000-0000AA060000}"/>
    <cellStyle name="40 % - Accent2 20 2" xfId="3360" xr:uid="{00000000-0005-0000-0000-0000AB060000}"/>
    <cellStyle name="40 % - Accent2 20 2 2" xfId="6515" xr:uid="{00000000-0005-0000-0000-0000AC060000}"/>
    <cellStyle name="40 % - Accent2 20 3" xfId="5786" xr:uid="{00000000-0005-0000-0000-0000AD060000}"/>
    <cellStyle name="40 % - Accent2 21" xfId="959" xr:uid="{00000000-0005-0000-0000-0000AE060000}"/>
    <cellStyle name="40 % - Accent2 21 2" xfId="3361" xr:uid="{00000000-0005-0000-0000-0000AF060000}"/>
    <cellStyle name="40 % - Accent2 21 2 2" xfId="6516" xr:uid="{00000000-0005-0000-0000-0000B0060000}"/>
    <cellStyle name="40 % - Accent2 21 3" xfId="5787" xr:uid="{00000000-0005-0000-0000-0000B1060000}"/>
    <cellStyle name="40 % - Accent2 22" xfId="960" xr:uid="{00000000-0005-0000-0000-0000B2060000}"/>
    <cellStyle name="40 % - Accent2 22 2" xfId="3362" xr:uid="{00000000-0005-0000-0000-0000B3060000}"/>
    <cellStyle name="40 % - Accent2 22 2 2" xfId="6517" xr:uid="{00000000-0005-0000-0000-0000B4060000}"/>
    <cellStyle name="40 % - Accent2 22 3" xfId="5788" xr:uid="{00000000-0005-0000-0000-0000B5060000}"/>
    <cellStyle name="40 % - Accent2 23" xfId="961" xr:uid="{00000000-0005-0000-0000-0000B6060000}"/>
    <cellStyle name="40 % - Accent2 23 2" xfId="3363" xr:uid="{00000000-0005-0000-0000-0000B7060000}"/>
    <cellStyle name="40 % - Accent2 23 2 2" xfId="6518" xr:uid="{00000000-0005-0000-0000-0000B8060000}"/>
    <cellStyle name="40 % - Accent2 23 3" xfId="5789" xr:uid="{00000000-0005-0000-0000-0000B9060000}"/>
    <cellStyle name="40 % - Accent2 24" xfId="962" xr:uid="{00000000-0005-0000-0000-0000BA060000}"/>
    <cellStyle name="40 % - Accent2 24 2" xfId="3364" xr:uid="{00000000-0005-0000-0000-0000BB060000}"/>
    <cellStyle name="40 % - Accent2 24 2 2" xfId="6519" xr:uid="{00000000-0005-0000-0000-0000BC060000}"/>
    <cellStyle name="40 % - Accent2 24 3" xfId="5790" xr:uid="{00000000-0005-0000-0000-0000BD060000}"/>
    <cellStyle name="40 % - Accent2 25" xfId="963" xr:uid="{00000000-0005-0000-0000-0000BE060000}"/>
    <cellStyle name="40 % - Accent2 25 2" xfId="3365" xr:uid="{00000000-0005-0000-0000-0000BF060000}"/>
    <cellStyle name="40 % - Accent2 25 2 2" xfId="6520" xr:uid="{00000000-0005-0000-0000-0000C0060000}"/>
    <cellStyle name="40 % - Accent2 25 3" xfId="5791" xr:uid="{00000000-0005-0000-0000-0000C1060000}"/>
    <cellStyle name="40 % - Accent2 26" xfId="964" xr:uid="{00000000-0005-0000-0000-0000C2060000}"/>
    <cellStyle name="40 % - Accent2 26 2" xfId="3366" xr:uid="{00000000-0005-0000-0000-0000C3060000}"/>
    <cellStyle name="40 % - Accent2 26 2 2" xfId="6521" xr:uid="{00000000-0005-0000-0000-0000C4060000}"/>
    <cellStyle name="40 % - Accent2 26 3" xfId="5792" xr:uid="{00000000-0005-0000-0000-0000C5060000}"/>
    <cellStyle name="40 % - Accent2 27" xfId="965" xr:uid="{00000000-0005-0000-0000-0000C6060000}"/>
    <cellStyle name="40 % - Accent2 27 2" xfId="3367" xr:uid="{00000000-0005-0000-0000-0000C7060000}"/>
    <cellStyle name="40 % - Accent2 27 2 2" xfId="6522" xr:uid="{00000000-0005-0000-0000-0000C8060000}"/>
    <cellStyle name="40 % - Accent2 27 3" xfId="5793" xr:uid="{00000000-0005-0000-0000-0000C9060000}"/>
    <cellStyle name="40 % - Accent2 28" xfId="966" xr:uid="{00000000-0005-0000-0000-0000CA060000}"/>
    <cellStyle name="40 % - Accent2 28 2" xfId="3368" xr:uid="{00000000-0005-0000-0000-0000CB060000}"/>
    <cellStyle name="40 % - Accent2 28 2 2" xfId="6523" xr:uid="{00000000-0005-0000-0000-0000CC060000}"/>
    <cellStyle name="40 % - Accent2 28 3" xfId="5794" xr:uid="{00000000-0005-0000-0000-0000CD060000}"/>
    <cellStyle name="40 % - Accent2 29" xfId="967" xr:uid="{00000000-0005-0000-0000-0000CE060000}"/>
    <cellStyle name="40 % - Accent2 29 2" xfId="3369" xr:uid="{00000000-0005-0000-0000-0000CF060000}"/>
    <cellStyle name="40 % - Accent2 29 2 2" xfId="6524" xr:uid="{00000000-0005-0000-0000-0000D0060000}"/>
    <cellStyle name="40 % - Accent2 29 3" xfId="5795" xr:uid="{00000000-0005-0000-0000-0000D1060000}"/>
    <cellStyle name="40 % - Accent2 3" xfId="210" xr:uid="{00000000-0005-0000-0000-0000D2060000}"/>
    <cellStyle name="40 % - Accent2 3 2" xfId="968" xr:uid="{00000000-0005-0000-0000-0000D3060000}"/>
    <cellStyle name="40 % - Accent2 3 2 2" xfId="6525" xr:uid="{00000000-0005-0000-0000-0000D4060000}"/>
    <cellStyle name="40 % - Accent2 3 3" xfId="3370" xr:uid="{00000000-0005-0000-0000-0000D5060000}"/>
    <cellStyle name="40 % - Accent2 3 4" xfId="5796" xr:uid="{00000000-0005-0000-0000-0000D6060000}"/>
    <cellStyle name="40 % - Accent2 30" xfId="969" xr:uid="{00000000-0005-0000-0000-0000D7060000}"/>
    <cellStyle name="40 % - Accent2 30 2" xfId="3371" xr:uid="{00000000-0005-0000-0000-0000D8060000}"/>
    <cellStyle name="40 % - Accent2 30 2 2" xfId="6526" xr:uid="{00000000-0005-0000-0000-0000D9060000}"/>
    <cellStyle name="40 % - Accent2 30 3" xfId="5797" xr:uid="{00000000-0005-0000-0000-0000DA060000}"/>
    <cellStyle name="40 % - Accent2 31" xfId="970" xr:uid="{00000000-0005-0000-0000-0000DB060000}"/>
    <cellStyle name="40 % - Accent2 31 2" xfId="3372" xr:uid="{00000000-0005-0000-0000-0000DC060000}"/>
    <cellStyle name="40 % - Accent2 31 2 2" xfId="6527" xr:uid="{00000000-0005-0000-0000-0000DD060000}"/>
    <cellStyle name="40 % - Accent2 31 3" xfId="5798" xr:uid="{00000000-0005-0000-0000-0000DE060000}"/>
    <cellStyle name="40 % - Accent2 32" xfId="971" xr:uid="{00000000-0005-0000-0000-0000DF060000}"/>
    <cellStyle name="40 % - Accent2 32 2" xfId="3373" xr:uid="{00000000-0005-0000-0000-0000E0060000}"/>
    <cellStyle name="40 % - Accent2 32 2 2" xfId="6528" xr:uid="{00000000-0005-0000-0000-0000E1060000}"/>
    <cellStyle name="40 % - Accent2 32 3" xfId="5799" xr:uid="{00000000-0005-0000-0000-0000E2060000}"/>
    <cellStyle name="40 % - Accent2 33" xfId="972" xr:uid="{00000000-0005-0000-0000-0000E3060000}"/>
    <cellStyle name="40 % - Accent2 33 2" xfId="3374" xr:uid="{00000000-0005-0000-0000-0000E4060000}"/>
    <cellStyle name="40 % - Accent2 33 2 2" xfId="6529" xr:uid="{00000000-0005-0000-0000-0000E5060000}"/>
    <cellStyle name="40 % - Accent2 33 3" xfId="5800" xr:uid="{00000000-0005-0000-0000-0000E6060000}"/>
    <cellStyle name="40 % - Accent2 34" xfId="973" xr:uid="{00000000-0005-0000-0000-0000E7060000}"/>
    <cellStyle name="40 % - Accent2 34 2" xfId="3375" xr:uid="{00000000-0005-0000-0000-0000E8060000}"/>
    <cellStyle name="40 % - Accent2 34 2 2" xfId="6530" xr:uid="{00000000-0005-0000-0000-0000E9060000}"/>
    <cellStyle name="40 % - Accent2 34 3" xfId="5801" xr:uid="{00000000-0005-0000-0000-0000EA060000}"/>
    <cellStyle name="40 % - Accent2 35" xfId="974" xr:uid="{00000000-0005-0000-0000-0000EB060000}"/>
    <cellStyle name="40 % - Accent2 35 2" xfId="3376" xr:uid="{00000000-0005-0000-0000-0000EC060000}"/>
    <cellStyle name="40 % - Accent2 35 2 2" xfId="6531" xr:uid="{00000000-0005-0000-0000-0000ED060000}"/>
    <cellStyle name="40 % - Accent2 35 3" xfId="5802" xr:uid="{00000000-0005-0000-0000-0000EE060000}"/>
    <cellStyle name="40 % - Accent2 36" xfId="975" xr:uid="{00000000-0005-0000-0000-0000EF060000}"/>
    <cellStyle name="40 % - Accent2 36 2" xfId="3377" xr:uid="{00000000-0005-0000-0000-0000F0060000}"/>
    <cellStyle name="40 % - Accent2 36 2 2" xfId="6532" xr:uid="{00000000-0005-0000-0000-0000F1060000}"/>
    <cellStyle name="40 % - Accent2 36 3" xfId="5803" xr:uid="{00000000-0005-0000-0000-0000F2060000}"/>
    <cellStyle name="40 % - Accent2 37" xfId="976" xr:uid="{00000000-0005-0000-0000-0000F3060000}"/>
    <cellStyle name="40 % - Accent2 37 2" xfId="3378" xr:uid="{00000000-0005-0000-0000-0000F4060000}"/>
    <cellStyle name="40 % - Accent2 37 2 2" xfId="6533" xr:uid="{00000000-0005-0000-0000-0000F5060000}"/>
    <cellStyle name="40 % - Accent2 37 3" xfId="5804" xr:uid="{00000000-0005-0000-0000-0000F6060000}"/>
    <cellStyle name="40 % - Accent2 38" xfId="977" xr:uid="{00000000-0005-0000-0000-0000F7060000}"/>
    <cellStyle name="40 % - Accent2 38 2" xfId="3379" xr:uid="{00000000-0005-0000-0000-0000F8060000}"/>
    <cellStyle name="40 % - Accent2 38 2 2" xfId="6534" xr:uid="{00000000-0005-0000-0000-0000F9060000}"/>
    <cellStyle name="40 % - Accent2 38 3" xfId="5805" xr:uid="{00000000-0005-0000-0000-0000FA060000}"/>
    <cellStyle name="40 % - Accent2 39" xfId="978" xr:uid="{00000000-0005-0000-0000-0000FB060000}"/>
    <cellStyle name="40 % - Accent2 39 2" xfId="3380" xr:uid="{00000000-0005-0000-0000-0000FC060000}"/>
    <cellStyle name="40 % - Accent2 39 2 2" xfId="6535" xr:uid="{00000000-0005-0000-0000-0000FD060000}"/>
    <cellStyle name="40 % - Accent2 39 3" xfId="5806" xr:uid="{00000000-0005-0000-0000-0000FE060000}"/>
    <cellStyle name="40 % - Accent2 4" xfId="211" xr:uid="{00000000-0005-0000-0000-0000FF060000}"/>
    <cellStyle name="40 % - Accent2 4 2" xfId="979" xr:uid="{00000000-0005-0000-0000-000000070000}"/>
    <cellStyle name="40 % - Accent2 4 2 2" xfId="6536" xr:uid="{00000000-0005-0000-0000-000001070000}"/>
    <cellStyle name="40 % - Accent2 4 3" xfId="3381" xr:uid="{00000000-0005-0000-0000-000002070000}"/>
    <cellStyle name="40 % - Accent2 4 4" xfId="5807" xr:uid="{00000000-0005-0000-0000-000003070000}"/>
    <cellStyle name="40 % - Accent2 40" xfId="980" xr:uid="{00000000-0005-0000-0000-000004070000}"/>
    <cellStyle name="40 % - Accent2 40 2" xfId="3382" xr:uid="{00000000-0005-0000-0000-000005070000}"/>
    <cellStyle name="40 % - Accent2 40 2 2" xfId="6537" xr:uid="{00000000-0005-0000-0000-000006070000}"/>
    <cellStyle name="40 % - Accent2 40 3" xfId="5808" xr:uid="{00000000-0005-0000-0000-000007070000}"/>
    <cellStyle name="40 % - Accent2 41" xfId="981" xr:uid="{00000000-0005-0000-0000-000008070000}"/>
    <cellStyle name="40 % - Accent2 41 2" xfId="3383" xr:uid="{00000000-0005-0000-0000-000009070000}"/>
    <cellStyle name="40 % - Accent2 41 2 2" xfId="6538" xr:uid="{00000000-0005-0000-0000-00000A070000}"/>
    <cellStyle name="40 % - Accent2 41 3" xfId="5809" xr:uid="{00000000-0005-0000-0000-00000B070000}"/>
    <cellStyle name="40 % - Accent2 42" xfId="982" xr:uid="{00000000-0005-0000-0000-00000C070000}"/>
    <cellStyle name="40 % - Accent2 42 2" xfId="3384" xr:uid="{00000000-0005-0000-0000-00000D070000}"/>
    <cellStyle name="40 % - Accent2 42 2 2" xfId="6539" xr:uid="{00000000-0005-0000-0000-00000E070000}"/>
    <cellStyle name="40 % - Accent2 42 3" xfId="5810" xr:uid="{00000000-0005-0000-0000-00000F070000}"/>
    <cellStyle name="40 % - Accent2 43" xfId="983" xr:uid="{00000000-0005-0000-0000-000010070000}"/>
    <cellStyle name="40 % - Accent2 43 2" xfId="3385" xr:uid="{00000000-0005-0000-0000-000011070000}"/>
    <cellStyle name="40 % - Accent2 43 2 2" xfId="6540" xr:uid="{00000000-0005-0000-0000-000012070000}"/>
    <cellStyle name="40 % - Accent2 43 3" xfId="5811" xr:uid="{00000000-0005-0000-0000-000013070000}"/>
    <cellStyle name="40 % - Accent2 44" xfId="984" xr:uid="{00000000-0005-0000-0000-000014070000}"/>
    <cellStyle name="40 % - Accent2 44 2" xfId="3386" xr:uid="{00000000-0005-0000-0000-000015070000}"/>
    <cellStyle name="40 % - Accent2 44 2 2" xfId="6541" xr:uid="{00000000-0005-0000-0000-000016070000}"/>
    <cellStyle name="40 % - Accent2 44 3" xfId="5812" xr:uid="{00000000-0005-0000-0000-000017070000}"/>
    <cellStyle name="40 % - Accent2 45" xfId="985" xr:uid="{00000000-0005-0000-0000-000018070000}"/>
    <cellStyle name="40 % - Accent2 45 2" xfId="3387" xr:uid="{00000000-0005-0000-0000-000019070000}"/>
    <cellStyle name="40 % - Accent2 45 2 2" xfId="6542" xr:uid="{00000000-0005-0000-0000-00001A070000}"/>
    <cellStyle name="40 % - Accent2 45 3" xfId="5813" xr:uid="{00000000-0005-0000-0000-00001B070000}"/>
    <cellStyle name="40 % - Accent2 46" xfId="986" xr:uid="{00000000-0005-0000-0000-00001C070000}"/>
    <cellStyle name="40 % - Accent2 46 2" xfId="3388" xr:uid="{00000000-0005-0000-0000-00001D070000}"/>
    <cellStyle name="40 % - Accent2 46 2 2" xfId="6543" xr:uid="{00000000-0005-0000-0000-00001E070000}"/>
    <cellStyle name="40 % - Accent2 46 3" xfId="5814" xr:uid="{00000000-0005-0000-0000-00001F070000}"/>
    <cellStyle name="40 % - Accent2 47" xfId="987" xr:uid="{00000000-0005-0000-0000-000020070000}"/>
    <cellStyle name="40 % - Accent2 47 2" xfId="3389" xr:uid="{00000000-0005-0000-0000-000021070000}"/>
    <cellStyle name="40 % - Accent2 47 2 2" xfId="6544" xr:uid="{00000000-0005-0000-0000-000022070000}"/>
    <cellStyle name="40 % - Accent2 47 3" xfId="5815" xr:uid="{00000000-0005-0000-0000-000023070000}"/>
    <cellStyle name="40 % - Accent2 48" xfId="988" xr:uid="{00000000-0005-0000-0000-000024070000}"/>
    <cellStyle name="40 % - Accent2 48 2" xfId="3390" xr:uid="{00000000-0005-0000-0000-000025070000}"/>
    <cellStyle name="40 % - Accent2 48 2 2" xfId="6545" xr:uid="{00000000-0005-0000-0000-000026070000}"/>
    <cellStyle name="40 % - Accent2 48 3" xfId="5816" xr:uid="{00000000-0005-0000-0000-000027070000}"/>
    <cellStyle name="40 % - Accent2 49" xfId="989" xr:uid="{00000000-0005-0000-0000-000028070000}"/>
    <cellStyle name="40 % - Accent2 49 2" xfId="3391" xr:uid="{00000000-0005-0000-0000-000029070000}"/>
    <cellStyle name="40 % - Accent2 49 2 2" xfId="6546" xr:uid="{00000000-0005-0000-0000-00002A070000}"/>
    <cellStyle name="40 % - Accent2 49 3" xfId="5817" xr:uid="{00000000-0005-0000-0000-00002B070000}"/>
    <cellStyle name="40 % - Accent2 5" xfId="212" xr:uid="{00000000-0005-0000-0000-00002C070000}"/>
    <cellStyle name="40 % - Accent2 5 2" xfId="990" xr:uid="{00000000-0005-0000-0000-00002D070000}"/>
    <cellStyle name="40 % - Accent2 5 2 2" xfId="6547" xr:uid="{00000000-0005-0000-0000-00002E070000}"/>
    <cellStyle name="40 % - Accent2 5 3" xfId="3392" xr:uid="{00000000-0005-0000-0000-00002F070000}"/>
    <cellStyle name="40 % - Accent2 5 4" xfId="5818" xr:uid="{00000000-0005-0000-0000-000030070000}"/>
    <cellStyle name="40 % - Accent2 50" xfId="991" xr:uid="{00000000-0005-0000-0000-000031070000}"/>
    <cellStyle name="40 % - Accent2 50 2" xfId="3393" xr:uid="{00000000-0005-0000-0000-000032070000}"/>
    <cellStyle name="40 % - Accent2 50 2 2" xfId="6548" xr:uid="{00000000-0005-0000-0000-000033070000}"/>
    <cellStyle name="40 % - Accent2 50 3" xfId="5819" xr:uid="{00000000-0005-0000-0000-000034070000}"/>
    <cellStyle name="40 % - Accent2 51" xfId="992" xr:uid="{00000000-0005-0000-0000-000035070000}"/>
    <cellStyle name="40 % - Accent2 51 2" xfId="3394" xr:uid="{00000000-0005-0000-0000-000036070000}"/>
    <cellStyle name="40 % - Accent2 51 2 2" xfId="6549" xr:uid="{00000000-0005-0000-0000-000037070000}"/>
    <cellStyle name="40 % - Accent2 51 3" xfId="5820" xr:uid="{00000000-0005-0000-0000-000038070000}"/>
    <cellStyle name="40 % - Accent2 52" xfId="993" xr:uid="{00000000-0005-0000-0000-000039070000}"/>
    <cellStyle name="40 % - Accent2 52 2" xfId="3395" xr:uid="{00000000-0005-0000-0000-00003A070000}"/>
    <cellStyle name="40 % - Accent2 52 2 2" xfId="6550" xr:uid="{00000000-0005-0000-0000-00003B070000}"/>
    <cellStyle name="40 % - Accent2 52 3" xfId="5821" xr:uid="{00000000-0005-0000-0000-00003C070000}"/>
    <cellStyle name="40 % - Accent2 53" xfId="994" xr:uid="{00000000-0005-0000-0000-00003D070000}"/>
    <cellStyle name="40 % - Accent2 53 2" xfId="3396" xr:uid="{00000000-0005-0000-0000-00003E070000}"/>
    <cellStyle name="40 % - Accent2 53 2 2" xfId="6551" xr:uid="{00000000-0005-0000-0000-00003F070000}"/>
    <cellStyle name="40 % - Accent2 53 3" xfId="5822" xr:uid="{00000000-0005-0000-0000-000040070000}"/>
    <cellStyle name="40 % - Accent2 54" xfId="995" xr:uid="{00000000-0005-0000-0000-000041070000}"/>
    <cellStyle name="40 % - Accent2 54 2" xfId="3397" xr:uid="{00000000-0005-0000-0000-000042070000}"/>
    <cellStyle name="40 % - Accent2 54 2 2" xfId="6552" xr:uid="{00000000-0005-0000-0000-000043070000}"/>
    <cellStyle name="40 % - Accent2 54 3" xfId="5823" xr:uid="{00000000-0005-0000-0000-000044070000}"/>
    <cellStyle name="40 % - Accent2 55" xfId="996" xr:uid="{00000000-0005-0000-0000-000045070000}"/>
    <cellStyle name="40 % - Accent2 55 2" xfId="3398" xr:uid="{00000000-0005-0000-0000-000046070000}"/>
    <cellStyle name="40 % - Accent2 55 2 2" xfId="6553" xr:uid="{00000000-0005-0000-0000-000047070000}"/>
    <cellStyle name="40 % - Accent2 55 3" xfId="5824" xr:uid="{00000000-0005-0000-0000-000048070000}"/>
    <cellStyle name="40 % - Accent2 56" xfId="997" xr:uid="{00000000-0005-0000-0000-000049070000}"/>
    <cellStyle name="40 % - Accent2 56 2" xfId="3399" xr:uid="{00000000-0005-0000-0000-00004A070000}"/>
    <cellStyle name="40 % - Accent2 56 2 2" xfId="6554" xr:uid="{00000000-0005-0000-0000-00004B070000}"/>
    <cellStyle name="40 % - Accent2 56 3" xfId="5825" xr:uid="{00000000-0005-0000-0000-00004C070000}"/>
    <cellStyle name="40 % - Accent2 57" xfId="998" xr:uid="{00000000-0005-0000-0000-00004D070000}"/>
    <cellStyle name="40 % - Accent2 57 2" xfId="3400" xr:uid="{00000000-0005-0000-0000-00004E070000}"/>
    <cellStyle name="40 % - Accent2 57 2 2" xfId="6555" xr:uid="{00000000-0005-0000-0000-00004F070000}"/>
    <cellStyle name="40 % - Accent2 57 3" xfId="5826" xr:uid="{00000000-0005-0000-0000-000050070000}"/>
    <cellStyle name="40 % - Accent2 58" xfId="999" xr:uid="{00000000-0005-0000-0000-000051070000}"/>
    <cellStyle name="40 % - Accent2 58 2" xfId="3401" xr:uid="{00000000-0005-0000-0000-000052070000}"/>
    <cellStyle name="40 % - Accent2 58 2 2" xfId="6556" xr:uid="{00000000-0005-0000-0000-000053070000}"/>
    <cellStyle name="40 % - Accent2 58 3" xfId="5827" xr:uid="{00000000-0005-0000-0000-000054070000}"/>
    <cellStyle name="40 % - Accent2 59" xfId="1000" xr:uid="{00000000-0005-0000-0000-000055070000}"/>
    <cellStyle name="40 % - Accent2 59 2" xfId="3402" xr:uid="{00000000-0005-0000-0000-000056070000}"/>
    <cellStyle name="40 % - Accent2 59 2 2" xfId="6557" xr:uid="{00000000-0005-0000-0000-000057070000}"/>
    <cellStyle name="40 % - Accent2 59 3" xfId="5828" xr:uid="{00000000-0005-0000-0000-000058070000}"/>
    <cellStyle name="40 % - Accent2 6" xfId="213" xr:uid="{00000000-0005-0000-0000-000059070000}"/>
    <cellStyle name="40 % - Accent2 6 2" xfId="1001" xr:uid="{00000000-0005-0000-0000-00005A070000}"/>
    <cellStyle name="40 % - Accent2 6 2 2" xfId="6558" xr:uid="{00000000-0005-0000-0000-00005B070000}"/>
    <cellStyle name="40 % - Accent2 6 3" xfId="3403" xr:uid="{00000000-0005-0000-0000-00005C070000}"/>
    <cellStyle name="40 % - Accent2 6 4" xfId="5829" xr:uid="{00000000-0005-0000-0000-00005D070000}"/>
    <cellStyle name="40 % - Accent2 7" xfId="214" xr:uid="{00000000-0005-0000-0000-00005E070000}"/>
    <cellStyle name="40 % - Accent2 7 2" xfId="1002" xr:uid="{00000000-0005-0000-0000-00005F070000}"/>
    <cellStyle name="40 % - Accent2 7 2 2" xfId="6559" xr:uid="{00000000-0005-0000-0000-000060070000}"/>
    <cellStyle name="40 % - Accent2 7 3" xfId="3404" xr:uid="{00000000-0005-0000-0000-000061070000}"/>
    <cellStyle name="40 % - Accent2 7 4" xfId="5830" xr:uid="{00000000-0005-0000-0000-000062070000}"/>
    <cellStyle name="40 % - Accent2 8" xfId="215" xr:uid="{00000000-0005-0000-0000-000063070000}"/>
    <cellStyle name="40 % - Accent2 8 2" xfId="1003" xr:uid="{00000000-0005-0000-0000-000064070000}"/>
    <cellStyle name="40 % - Accent2 8 2 2" xfId="6560" xr:uid="{00000000-0005-0000-0000-000065070000}"/>
    <cellStyle name="40 % - Accent2 8 3" xfId="3405" xr:uid="{00000000-0005-0000-0000-000066070000}"/>
    <cellStyle name="40 % - Accent2 8 4" xfId="5831" xr:uid="{00000000-0005-0000-0000-000067070000}"/>
    <cellStyle name="40 % - Accent2 9" xfId="1004" xr:uid="{00000000-0005-0000-0000-000068070000}"/>
    <cellStyle name="40 % - Accent2 9 2" xfId="3406" xr:uid="{00000000-0005-0000-0000-000069070000}"/>
    <cellStyle name="40 % - Accent2 9 2 2" xfId="6561" xr:uid="{00000000-0005-0000-0000-00006A070000}"/>
    <cellStyle name="40 % - Accent2 9 3" xfId="5832" xr:uid="{00000000-0005-0000-0000-00006B070000}"/>
    <cellStyle name="40 % - Accent3 10" xfId="1005" xr:uid="{00000000-0005-0000-0000-00006C070000}"/>
    <cellStyle name="40 % - Accent3 10 2" xfId="3407" xr:uid="{00000000-0005-0000-0000-00006D070000}"/>
    <cellStyle name="40 % - Accent3 10 2 2" xfId="6562" xr:uid="{00000000-0005-0000-0000-00006E070000}"/>
    <cellStyle name="40 % - Accent3 10 3" xfId="5833" xr:uid="{00000000-0005-0000-0000-00006F070000}"/>
    <cellStyle name="40 % - Accent3 11" xfId="1006" xr:uid="{00000000-0005-0000-0000-000070070000}"/>
    <cellStyle name="40 % - Accent3 11 2" xfId="3408" xr:uid="{00000000-0005-0000-0000-000071070000}"/>
    <cellStyle name="40 % - Accent3 11 2 2" xfId="6563" xr:uid="{00000000-0005-0000-0000-000072070000}"/>
    <cellStyle name="40 % - Accent3 11 3" xfId="5834" xr:uid="{00000000-0005-0000-0000-000073070000}"/>
    <cellStyle name="40 % - Accent3 12" xfId="1007" xr:uid="{00000000-0005-0000-0000-000074070000}"/>
    <cellStyle name="40 % - Accent3 12 2" xfId="3409" xr:uid="{00000000-0005-0000-0000-000075070000}"/>
    <cellStyle name="40 % - Accent3 12 2 2" xfId="6564" xr:uid="{00000000-0005-0000-0000-000076070000}"/>
    <cellStyle name="40 % - Accent3 12 3" xfId="5835" xr:uid="{00000000-0005-0000-0000-000077070000}"/>
    <cellStyle name="40 % - Accent3 13" xfId="1008" xr:uid="{00000000-0005-0000-0000-000078070000}"/>
    <cellStyle name="40 % - Accent3 13 2" xfId="3410" xr:uid="{00000000-0005-0000-0000-000079070000}"/>
    <cellStyle name="40 % - Accent3 13 2 2" xfId="6565" xr:uid="{00000000-0005-0000-0000-00007A070000}"/>
    <cellStyle name="40 % - Accent3 13 3" xfId="5836" xr:uid="{00000000-0005-0000-0000-00007B070000}"/>
    <cellStyle name="40 % - Accent3 14" xfId="1009" xr:uid="{00000000-0005-0000-0000-00007C070000}"/>
    <cellStyle name="40 % - Accent3 14 2" xfId="3411" xr:uid="{00000000-0005-0000-0000-00007D070000}"/>
    <cellStyle name="40 % - Accent3 14 2 2" xfId="6566" xr:uid="{00000000-0005-0000-0000-00007E070000}"/>
    <cellStyle name="40 % - Accent3 14 3" xfId="5837" xr:uid="{00000000-0005-0000-0000-00007F070000}"/>
    <cellStyle name="40 % - Accent3 15" xfId="1010" xr:uid="{00000000-0005-0000-0000-000080070000}"/>
    <cellStyle name="40 % - Accent3 15 2" xfId="3412" xr:uid="{00000000-0005-0000-0000-000081070000}"/>
    <cellStyle name="40 % - Accent3 15 2 2" xfId="6567" xr:uid="{00000000-0005-0000-0000-000082070000}"/>
    <cellStyle name="40 % - Accent3 15 3" xfId="5838" xr:uid="{00000000-0005-0000-0000-000083070000}"/>
    <cellStyle name="40 % - Accent3 16" xfId="1011" xr:uid="{00000000-0005-0000-0000-000084070000}"/>
    <cellStyle name="40 % - Accent3 16 2" xfId="3413" xr:uid="{00000000-0005-0000-0000-000085070000}"/>
    <cellStyle name="40 % - Accent3 16 2 2" xfId="6568" xr:uid="{00000000-0005-0000-0000-000086070000}"/>
    <cellStyle name="40 % - Accent3 16 3" xfId="5839" xr:uid="{00000000-0005-0000-0000-000087070000}"/>
    <cellStyle name="40 % - Accent3 17" xfId="1012" xr:uid="{00000000-0005-0000-0000-000088070000}"/>
    <cellStyle name="40 % - Accent3 17 2" xfId="3414" xr:uid="{00000000-0005-0000-0000-000089070000}"/>
    <cellStyle name="40 % - Accent3 17 2 2" xfId="6569" xr:uid="{00000000-0005-0000-0000-00008A070000}"/>
    <cellStyle name="40 % - Accent3 17 3" xfId="5840" xr:uid="{00000000-0005-0000-0000-00008B070000}"/>
    <cellStyle name="40 % - Accent3 18" xfId="1013" xr:uid="{00000000-0005-0000-0000-00008C070000}"/>
    <cellStyle name="40 % - Accent3 18 2" xfId="3415" xr:uid="{00000000-0005-0000-0000-00008D070000}"/>
    <cellStyle name="40 % - Accent3 18 2 2" xfId="6570" xr:uid="{00000000-0005-0000-0000-00008E070000}"/>
    <cellStyle name="40 % - Accent3 18 3" xfId="5841" xr:uid="{00000000-0005-0000-0000-00008F070000}"/>
    <cellStyle name="40 % - Accent3 19" xfId="1014" xr:uid="{00000000-0005-0000-0000-000090070000}"/>
    <cellStyle name="40 % - Accent3 19 2" xfId="3416" xr:uid="{00000000-0005-0000-0000-000091070000}"/>
    <cellStyle name="40 % - Accent3 19 2 2" xfId="6571" xr:uid="{00000000-0005-0000-0000-000092070000}"/>
    <cellStyle name="40 % - Accent3 19 3" xfId="5842" xr:uid="{00000000-0005-0000-0000-000093070000}"/>
    <cellStyle name="40 % - Accent3 2" xfId="13" xr:uid="{00000000-0005-0000-0000-000094070000}"/>
    <cellStyle name="40 % - Accent3 2 2" xfId="1015" xr:uid="{00000000-0005-0000-0000-000095070000}"/>
    <cellStyle name="40 % - Accent3 2 3" xfId="3417" xr:uid="{00000000-0005-0000-0000-000096070000}"/>
    <cellStyle name="40 % - Accent3 20" xfId="1016" xr:uid="{00000000-0005-0000-0000-000097070000}"/>
    <cellStyle name="40 % - Accent3 20 2" xfId="3418" xr:uid="{00000000-0005-0000-0000-000098070000}"/>
    <cellStyle name="40 % - Accent3 20 2 2" xfId="6572" xr:uid="{00000000-0005-0000-0000-000099070000}"/>
    <cellStyle name="40 % - Accent3 20 3" xfId="5843" xr:uid="{00000000-0005-0000-0000-00009A070000}"/>
    <cellStyle name="40 % - Accent3 21" xfId="1017" xr:uid="{00000000-0005-0000-0000-00009B070000}"/>
    <cellStyle name="40 % - Accent3 21 2" xfId="3419" xr:uid="{00000000-0005-0000-0000-00009C070000}"/>
    <cellStyle name="40 % - Accent3 21 2 2" xfId="6573" xr:uid="{00000000-0005-0000-0000-00009D070000}"/>
    <cellStyle name="40 % - Accent3 21 3" xfId="5844" xr:uid="{00000000-0005-0000-0000-00009E070000}"/>
    <cellStyle name="40 % - Accent3 22" xfId="1018" xr:uid="{00000000-0005-0000-0000-00009F070000}"/>
    <cellStyle name="40 % - Accent3 22 2" xfId="3420" xr:uid="{00000000-0005-0000-0000-0000A0070000}"/>
    <cellStyle name="40 % - Accent3 22 2 2" xfId="6574" xr:uid="{00000000-0005-0000-0000-0000A1070000}"/>
    <cellStyle name="40 % - Accent3 22 3" xfId="5845" xr:uid="{00000000-0005-0000-0000-0000A2070000}"/>
    <cellStyle name="40 % - Accent3 23" xfId="1019" xr:uid="{00000000-0005-0000-0000-0000A3070000}"/>
    <cellStyle name="40 % - Accent3 23 2" xfId="3421" xr:uid="{00000000-0005-0000-0000-0000A4070000}"/>
    <cellStyle name="40 % - Accent3 23 2 2" xfId="6575" xr:uid="{00000000-0005-0000-0000-0000A5070000}"/>
    <cellStyle name="40 % - Accent3 23 3" xfId="5846" xr:uid="{00000000-0005-0000-0000-0000A6070000}"/>
    <cellStyle name="40 % - Accent3 24" xfId="1020" xr:uid="{00000000-0005-0000-0000-0000A7070000}"/>
    <cellStyle name="40 % - Accent3 24 2" xfId="3422" xr:uid="{00000000-0005-0000-0000-0000A8070000}"/>
    <cellStyle name="40 % - Accent3 24 2 2" xfId="6576" xr:uid="{00000000-0005-0000-0000-0000A9070000}"/>
    <cellStyle name="40 % - Accent3 24 3" xfId="5847" xr:uid="{00000000-0005-0000-0000-0000AA070000}"/>
    <cellStyle name="40 % - Accent3 25" xfId="1021" xr:uid="{00000000-0005-0000-0000-0000AB070000}"/>
    <cellStyle name="40 % - Accent3 25 2" xfId="3423" xr:uid="{00000000-0005-0000-0000-0000AC070000}"/>
    <cellStyle name="40 % - Accent3 25 2 2" xfId="6577" xr:uid="{00000000-0005-0000-0000-0000AD070000}"/>
    <cellStyle name="40 % - Accent3 25 3" xfId="5848" xr:uid="{00000000-0005-0000-0000-0000AE070000}"/>
    <cellStyle name="40 % - Accent3 26" xfId="1022" xr:uid="{00000000-0005-0000-0000-0000AF070000}"/>
    <cellStyle name="40 % - Accent3 26 2" xfId="3424" xr:uid="{00000000-0005-0000-0000-0000B0070000}"/>
    <cellStyle name="40 % - Accent3 26 2 2" xfId="6578" xr:uid="{00000000-0005-0000-0000-0000B1070000}"/>
    <cellStyle name="40 % - Accent3 26 3" xfId="5849" xr:uid="{00000000-0005-0000-0000-0000B2070000}"/>
    <cellStyle name="40 % - Accent3 27" xfId="1023" xr:uid="{00000000-0005-0000-0000-0000B3070000}"/>
    <cellStyle name="40 % - Accent3 27 2" xfId="3425" xr:uid="{00000000-0005-0000-0000-0000B4070000}"/>
    <cellStyle name="40 % - Accent3 27 2 2" xfId="6579" xr:uid="{00000000-0005-0000-0000-0000B5070000}"/>
    <cellStyle name="40 % - Accent3 27 3" xfId="5850" xr:uid="{00000000-0005-0000-0000-0000B6070000}"/>
    <cellStyle name="40 % - Accent3 28" xfId="1024" xr:uid="{00000000-0005-0000-0000-0000B7070000}"/>
    <cellStyle name="40 % - Accent3 28 2" xfId="3426" xr:uid="{00000000-0005-0000-0000-0000B8070000}"/>
    <cellStyle name="40 % - Accent3 28 2 2" xfId="6580" xr:uid="{00000000-0005-0000-0000-0000B9070000}"/>
    <cellStyle name="40 % - Accent3 28 3" xfId="5851" xr:uid="{00000000-0005-0000-0000-0000BA070000}"/>
    <cellStyle name="40 % - Accent3 29" xfId="1025" xr:uid="{00000000-0005-0000-0000-0000BB070000}"/>
    <cellStyle name="40 % - Accent3 29 2" xfId="3427" xr:uid="{00000000-0005-0000-0000-0000BC070000}"/>
    <cellStyle name="40 % - Accent3 29 2 2" xfId="6581" xr:uid="{00000000-0005-0000-0000-0000BD070000}"/>
    <cellStyle name="40 % - Accent3 29 3" xfId="5852" xr:uid="{00000000-0005-0000-0000-0000BE070000}"/>
    <cellStyle name="40 % - Accent3 3" xfId="216" xr:uid="{00000000-0005-0000-0000-0000BF070000}"/>
    <cellStyle name="40 % - Accent3 3 2" xfId="1026" xr:uid="{00000000-0005-0000-0000-0000C0070000}"/>
    <cellStyle name="40 % - Accent3 3 2 2" xfId="6582" xr:uid="{00000000-0005-0000-0000-0000C1070000}"/>
    <cellStyle name="40 % - Accent3 3 3" xfId="3428" xr:uid="{00000000-0005-0000-0000-0000C2070000}"/>
    <cellStyle name="40 % - Accent3 3 4" xfId="5853" xr:uid="{00000000-0005-0000-0000-0000C3070000}"/>
    <cellStyle name="40 % - Accent3 30" xfId="1027" xr:uid="{00000000-0005-0000-0000-0000C4070000}"/>
    <cellStyle name="40 % - Accent3 30 2" xfId="3429" xr:uid="{00000000-0005-0000-0000-0000C5070000}"/>
    <cellStyle name="40 % - Accent3 30 2 2" xfId="6583" xr:uid="{00000000-0005-0000-0000-0000C6070000}"/>
    <cellStyle name="40 % - Accent3 30 3" xfId="5854" xr:uid="{00000000-0005-0000-0000-0000C7070000}"/>
    <cellStyle name="40 % - Accent3 31" xfId="1028" xr:uid="{00000000-0005-0000-0000-0000C8070000}"/>
    <cellStyle name="40 % - Accent3 31 2" xfId="3430" xr:uid="{00000000-0005-0000-0000-0000C9070000}"/>
    <cellStyle name="40 % - Accent3 31 2 2" xfId="6584" xr:uid="{00000000-0005-0000-0000-0000CA070000}"/>
    <cellStyle name="40 % - Accent3 31 3" xfId="5855" xr:uid="{00000000-0005-0000-0000-0000CB070000}"/>
    <cellStyle name="40 % - Accent3 32" xfId="1029" xr:uid="{00000000-0005-0000-0000-0000CC070000}"/>
    <cellStyle name="40 % - Accent3 32 2" xfId="3431" xr:uid="{00000000-0005-0000-0000-0000CD070000}"/>
    <cellStyle name="40 % - Accent3 32 2 2" xfId="6585" xr:uid="{00000000-0005-0000-0000-0000CE070000}"/>
    <cellStyle name="40 % - Accent3 32 3" xfId="5856" xr:uid="{00000000-0005-0000-0000-0000CF070000}"/>
    <cellStyle name="40 % - Accent3 33" xfId="1030" xr:uid="{00000000-0005-0000-0000-0000D0070000}"/>
    <cellStyle name="40 % - Accent3 33 2" xfId="3432" xr:uid="{00000000-0005-0000-0000-0000D1070000}"/>
    <cellStyle name="40 % - Accent3 33 2 2" xfId="6586" xr:uid="{00000000-0005-0000-0000-0000D2070000}"/>
    <cellStyle name="40 % - Accent3 33 3" xfId="5857" xr:uid="{00000000-0005-0000-0000-0000D3070000}"/>
    <cellStyle name="40 % - Accent3 34" xfId="1031" xr:uid="{00000000-0005-0000-0000-0000D4070000}"/>
    <cellStyle name="40 % - Accent3 34 2" xfId="3433" xr:uid="{00000000-0005-0000-0000-0000D5070000}"/>
    <cellStyle name="40 % - Accent3 34 2 2" xfId="6587" xr:uid="{00000000-0005-0000-0000-0000D6070000}"/>
    <cellStyle name="40 % - Accent3 34 3" xfId="5858" xr:uid="{00000000-0005-0000-0000-0000D7070000}"/>
    <cellStyle name="40 % - Accent3 35" xfId="1032" xr:uid="{00000000-0005-0000-0000-0000D8070000}"/>
    <cellStyle name="40 % - Accent3 35 2" xfId="3434" xr:uid="{00000000-0005-0000-0000-0000D9070000}"/>
    <cellStyle name="40 % - Accent3 35 2 2" xfId="6588" xr:uid="{00000000-0005-0000-0000-0000DA070000}"/>
    <cellStyle name="40 % - Accent3 35 3" xfId="5859" xr:uid="{00000000-0005-0000-0000-0000DB070000}"/>
    <cellStyle name="40 % - Accent3 36" xfId="1033" xr:uid="{00000000-0005-0000-0000-0000DC070000}"/>
    <cellStyle name="40 % - Accent3 36 2" xfId="3435" xr:uid="{00000000-0005-0000-0000-0000DD070000}"/>
    <cellStyle name="40 % - Accent3 36 2 2" xfId="6589" xr:uid="{00000000-0005-0000-0000-0000DE070000}"/>
    <cellStyle name="40 % - Accent3 36 3" xfId="5860" xr:uid="{00000000-0005-0000-0000-0000DF070000}"/>
    <cellStyle name="40 % - Accent3 37" xfId="1034" xr:uid="{00000000-0005-0000-0000-0000E0070000}"/>
    <cellStyle name="40 % - Accent3 37 2" xfId="3436" xr:uid="{00000000-0005-0000-0000-0000E1070000}"/>
    <cellStyle name="40 % - Accent3 37 2 2" xfId="6590" xr:uid="{00000000-0005-0000-0000-0000E2070000}"/>
    <cellStyle name="40 % - Accent3 37 3" xfId="5861" xr:uid="{00000000-0005-0000-0000-0000E3070000}"/>
    <cellStyle name="40 % - Accent3 38" xfId="1035" xr:uid="{00000000-0005-0000-0000-0000E4070000}"/>
    <cellStyle name="40 % - Accent3 38 2" xfId="3437" xr:uid="{00000000-0005-0000-0000-0000E5070000}"/>
    <cellStyle name="40 % - Accent3 38 2 2" xfId="6591" xr:uid="{00000000-0005-0000-0000-0000E6070000}"/>
    <cellStyle name="40 % - Accent3 38 3" xfId="5862" xr:uid="{00000000-0005-0000-0000-0000E7070000}"/>
    <cellStyle name="40 % - Accent3 39" xfId="1036" xr:uid="{00000000-0005-0000-0000-0000E8070000}"/>
    <cellStyle name="40 % - Accent3 39 2" xfId="3438" xr:uid="{00000000-0005-0000-0000-0000E9070000}"/>
    <cellStyle name="40 % - Accent3 39 2 2" xfId="6592" xr:uid="{00000000-0005-0000-0000-0000EA070000}"/>
    <cellStyle name="40 % - Accent3 39 3" xfId="5863" xr:uid="{00000000-0005-0000-0000-0000EB070000}"/>
    <cellStyle name="40 % - Accent3 4" xfId="217" xr:uid="{00000000-0005-0000-0000-0000EC070000}"/>
    <cellStyle name="40 % - Accent3 4 2" xfId="1037" xr:uid="{00000000-0005-0000-0000-0000ED070000}"/>
    <cellStyle name="40 % - Accent3 4 2 2" xfId="6593" xr:uid="{00000000-0005-0000-0000-0000EE070000}"/>
    <cellStyle name="40 % - Accent3 4 3" xfId="3439" xr:uid="{00000000-0005-0000-0000-0000EF070000}"/>
    <cellStyle name="40 % - Accent3 4 4" xfId="5864" xr:uid="{00000000-0005-0000-0000-0000F0070000}"/>
    <cellStyle name="40 % - Accent3 40" xfId="1038" xr:uid="{00000000-0005-0000-0000-0000F1070000}"/>
    <cellStyle name="40 % - Accent3 40 2" xfId="3440" xr:uid="{00000000-0005-0000-0000-0000F2070000}"/>
    <cellStyle name="40 % - Accent3 40 2 2" xfId="6594" xr:uid="{00000000-0005-0000-0000-0000F3070000}"/>
    <cellStyle name="40 % - Accent3 40 3" xfId="5865" xr:uid="{00000000-0005-0000-0000-0000F4070000}"/>
    <cellStyle name="40 % - Accent3 41" xfId="1039" xr:uid="{00000000-0005-0000-0000-0000F5070000}"/>
    <cellStyle name="40 % - Accent3 41 2" xfId="3441" xr:uid="{00000000-0005-0000-0000-0000F6070000}"/>
    <cellStyle name="40 % - Accent3 41 2 2" xfId="6595" xr:uid="{00000000-0005-0000-0000-0000F7070000}"/>
    <cellStyle name="40 % - Accent3 41 3" xfId="5866" xr:uid="{00000000-0005-0000-0000-0000F8070000}"/>
    <cellStyle name="40 % - Accent3 42" xfId="1040" xr:uid="{00000000-0005-0000-0000-0000F9070000}"/>
    <cellStyle name="40 % - Accent3 42 2" xfId="3442" xr:uid="{00000000-0005-0000-0000-0000FA070000}"/>
    <cellStyle name="40 % - Accent3 42 2 2" xfId="6596" xr:uid="{00000000-0005-0000-0000-0000FB070000}"/>
    <cellStyle name="40 % - Accent3 42 3" xfId="5867" xr:uid="{00000000-0005-0000-0000-0000FC070000}"/>
    <cellStyle name="40 % - Accent3 43" xfId="1041" xr:uid="{00000000-0005-0000-0000-0000FD070000}"/>
    <cellStyle name="40 % - Accent3 43 2" xfId="3443" xr:uid="{00000000-0005-0000-0000-0000FE070000}"/>
    <cellStyle name="40 % - Accent3 43 2 2" xfId="6597" xr:uid="{00000000-0005-0000-0000-0000FF070000}"/>
    <cellStyle name="40 % - Accent3 43 3" xfId="5868" xr:uid="{00000000-0005-0000-0000-000000080000}"/>
    <cellStyle name="40 % - Accent3 44" xfId="1042" xr:uid="{00000000-0005-0000-0000-000001080000}"/>
    <cellStyle name="40 % - Accent3 44 2" xfId="3444" xr:uid="{00000000-0005-0000-0000-000002080000}"/>
    <cellStyle name="40 % - Accent3 44 2 2" xfId="6598" xr:uid="{00000000-0005-0000-0000-000003080000}"/>
    <cellStyle name="40 % - Accent3 44 3" xfId="5869" xr:uid="{00000000-0005-0000-0000-000004080000}"/>
    <cellStyle name="40 % - Accent3 45" xfId="1043" xr:uid="{00000000-0005-0000-0000-000005080000}"/>
    <cellStyle name="40 % - Accent3 45 2" xfId="3445" xr:uid="{00000000-0005-0000-0000-000006080000}"/>
    <cellStyle name="40 % - Accent3 45 2 2" xfId="6599" xr:uid="{00000000-0005-0000-0000-000007080000}"/>
    <cellStyle name="40 % - Accent3 45 3" xfId="5870" xr:uid="{00000000-0005-0000-0000-000008080000}"/>
    <cellStyle name="40 % - Accent3 46" xfId="1044" xr:uid="{00000000-0005-0000-0000-000009080000}"/>
    <cellStyle name="40 % - Accent3 46 2" xfId="3446" xr:uid="{00000000-0005-0000-0000-00000A080000}"/>
    <cellStyle name="40 % - Accent3 46 2 2" xfId="6600" xr:uid="{00000000-0005-0000-0000-00000B080000}"/>
    <cellStyle name="40 % - Accent3 46 3" xfId="5871" xr:uid="{00000000-0005-0000-0000-00000C080000}"/>
    <cellStyle name="40 % - Accent3 47" xfId="1045" xr:uid="{00000000-0005-0000-0000-00000D080000}"/>
    <cellStyle name="40 % - Accent3 47 2" xfId="3447" xr:uid="{00000000-0005-0000-0000-00000E080000}"/>
    <cellStyle name="40 % - Accent3 47 2 2" xfId="6601" xr:uid="{00000000-0005-0000-0000-00000F080000}"/>
    <cellStyle name="40 % - Accent3 47 3" xfId="5872" xr:uid="{00000000-0005-0000-0000-000010080000}"/>
    <cellStyle name="40 % - Accent3 48" xfId="1046" xr:uid="{00000000-0005-0000-0000-000011080000}"/>
    <cellStyle name="40 % - Accent3 48 2" xfId="3448" xr:uid="{00000000-0005-0000-0000-000012080000}"/>
    <cellStyle name="40 % - Accent3 48 2 2" xfId="6602" xr:uid="{00000000-0005-0000-0000-000013080000}"/>
    <cellStyle name="40 % - Accent3 48 3" xfId="5873" xr:uid="{00000000-0005-0000-0000-000014080000}"/>
    <cellStyle name="40 % - Accent3 49" xfId="1047" xr:uid="{00000000-0005-0000-0000-000015080000}"/>
    <cellStyle name="40 % - Accent3 49 2" xfId="3449" xr:uid="{00000000-0005-0000-0000-000016080000}"/>
    <cellStyle name="40 % - Accent3 49 2 2" xfId="6603" xr:uid="{00000000-0005-0000-0000-000017080000}"/>
    <cellStyle name="40 % - Accent3 49 3" xfId="5874" xr:uid="{00000000-0005-0000-0000-000018080000}"/>
    <cellStyle name="40 % - Accent3 5" xfId="218" xr:uid="{00000000-0005-0000-0000-000019080000}"/>
    <cellStyle name="40 % - Accent3 5 2" xfId="1048" xr:uid="{00000000-0005-0000-0000-00001A080000}"/>
    <cellStyle name="40 % - Accent3 5 2 2" xfId="6604" xr:uid="{00000000-0005-0000-0000-00001B080000}"/>
    <cellStyle name="40 % - Accent3 5 3" xfId="3450" xr:uid="{00000000-0005-0000-0000-00001C080000}"/>
    <cellStyle name="40 % - Accent3 5 4" xfId="5875" xr:uid="{00000000-0005-0000-0000-00001D080000}"/>
    <cellStyle name="40 % - Accent3 50" xfId="1049" xr:uid="{00000000-0005-0000-0000-00001E080000}"/>
    <cellStyle name="40 % - Accent3 50 2" xfId="3451" xr:uid="{00000000-0005-0000-0000-00001F080000}"/>
    <cellStyle name="40 % - Accent3 50 2 2" xfId="6605" xr:uid="{00000000-0005-0000-0000-000020080000}"/>
    <cellStyle name="40 % - Accent3 50 3" xfId="5876" xr:uid="{00000000-0005-0000-0000-000021080000}"/>
    <cellStyle name="40 % - Accent3 51" xfId="1050" xr:uid="{00000000-0005-0000-0000-000022080000}"/>
    <cellStyle name="40 % - Accent3 51 2" xfId="3452" xr:uid="{00000000-0005-0000-0000-000023080000}"/>
    <cellStyle name="40 % - Accent3 51 2 2" xfId="6606" xr:uid="{00000000-0005-0000-0000-000024080000}"/>
    <cellStyle name="40 % - Accent3 51 3" xfId="5877" xr:uid="{00000000-0005-0000-0000-000025080000}"/>
    <cellStyle name="40 % - Accent3 52" xfId="1051" xr:uid="{00000000-0005-0000-0000-000026080000}"/>
    <cellStyle name="40 % - Accent3 52 2" xfId="3453" xr:uid="{00000000-0005-0000-0000-000027080000}"/>
    <cellStyle name="40 % - Accent3 52 2 2" xfId="6607" xr:uid="{00000000-0005-0000-0000-000028080000}"/>
    <cellStyle name="40 % - Accent3 52 3" xfId="5878" xr:uid="{00000000-0005-0000-0000-000029080000}"/>
    <cellStyle name="40 % - Accent3 53" xfId="1052" xr:uid="{00000000-0005-0000-0000-00002A080000}"/>
    <cellStyle name="40 % - Accent3 53 2" xfId="3454" xr:uid="{00000000-0005-0000-0000-00002B080000}"/>
    <cellStyle name="40 % - Accent3 53 2 2" xfId="6608" xr:uid="{00000000-0005-0000-0000-00002C080000}"/>
    <cellStyle name="40 % - Accent3 53 3" xfId="5879" xr:uid="{00000000-0005-0000-0000-00002D080000}"/>
    <cellStyle name="40 % - Accent3 54" xfId="1053" xr:uid="{00000000-0005-0000-0000-00002E080000}"/>
    <cellStyle name="40 % - Accent3 54 2" xfId="3455" xr:uid="{00000000-0005-0000-0000-00002F080000}"/>
    <cellStyle name="40 % - Accent3 54 2 2" xfId="6609" xr:uid="{00000000-0005-0000-0000-000030080000}"/>
    <cellStyle name="40 % - Accent3 54 3" xfId="5880" xr:uid="{00000000-0005-0000-0000-000031080000}"/>
    <cellStyle name="40 % - Accent3 55" xfId="1054" xr:uid="{00000000-0005-0000-0000-000032080000}"/>
    <cellStyle name="40 % - Accent3 55 2" xfId="3456" xr:uid="{00000000-0005-0000-0000-000033080000}"/>
    <cellStyle name="40 % - Accent3 55 2 2" xfId="6610" xr:uid="{00000000-0005-0000-0000-000034080000}"/>
    <cellStyle name="40 % - Accent3 55 3" xfId="5881" xr:uid="{00000000-0005-0000-0000-000035080000}"/>
    <cellStyle name="40 % - Accent3 56" xfId="1055" xr:uid="{00000000-0005-0000-0000-000036080000}"/>
    <cellStyle name="40 % - Accent3 56 2" xfId="3457" xr:uid="{00000000-0005-0000-0000-000037080000}"/>
    <cellStyle name="40 % - Accent3 56 2 2" xfId="6611" xr:uid="{00000000-0005-0000-0000-000038080000}"/>
    <cellStyle name="40 % - Accent3 56 3" xfId="5882" xr:uid="{00000000-0005-0000-0000-000039080000}"/>
    <cellStyle name="40 % - Accent3 57" xfId="1056" xr:uid="{00000000-0005-0000-0000-00003A080000}"/>
    <cellStyle name="40 % - Accent3 57 2" xfId="3458" xr:uid="{00000000-0005-0000-0000-00003B080000}"/>
    <cellStyle name="40 % - Accent3 57 2 2" xfId="6612" xr:uid="{00000000-0005-0000-0000-00003C080000}"/>
    <cellStyle name="40 % - Accent3 57 3" xfId="5883" xr:uid="{00000000-0005-0000-0000-00003D080000}"/>
    <cellStyle name="40 % - Accent3 58" xfId="1057" xr:uid="{00000000-0005-0000-0000-00003E080000}"/>
    <cellStyle name="40 % - Accent3 58 2" xfId="3459" xr:uid="{00000000-0005-0000-0000-00003F080000}"/>
    <cellStyle name="40 % - Accent3 58 2 2" xfId="6613" xr:uid="{00000000-0005-0000-0000-000040080000}"/>
    <cellStyle name="40 % - Accent3 58 3" xfId="5884" xr:uid="{00000000-0005-0000-0000-000041080000}"/>
    <cellStyle name="40 % - Accent3 59" xfId="1058" xr:uid="{00000000-0005-0000-0000-000042080000}"/>
    <cellStyle name="40 % - Accent3 59 2" xfId="3460" xr:uid="{00000000-0005-0000-0000-000043080000}"/>
    <cellStyle name="40 % - Accent3 59 2 2" xfId="6614" xr:uid="{00000000-0005-0000-0000-000044080000}"/>
    <cellStyle name="40 % - Accent3 59 3" xfId="5885" xr:uid="{00000000-0005-0000-0000-000045080000}"/>
    <cellStyle name="40 % - Accent3 6" xfId="219" xr:uid="{00000000-0005-0000-0000-000046080000}"/>
    <cellStyle name="40 % - Accent3 6 2" xfId="1059" xr:uid="{00000000-0005-0000-0000-000047080000}"/>
    <cellStyle name="40 % - Accent3 6 2 2" xfId="6615" xr:uid="{00000000-0005-0000-0000-000048080000}"/>
    <cellStyle name="40 % - Accent3 6 3" xfId="3461" xr:uid="{00000000-0005-0000-0000-000049080000}"/>
    <cellStyle name="40 % - Accent3 6 4" xfId="5886" xr:uid="{00000000-0005-0000-0000-00004A080000}"/>
    <cellStyle name="40 % - Accent3 7" xfId="220" xr:uid="{00000000-0005-0000-0000-00004B080000}"/>
    <cellStyle name="40 % - Accent3 7 2" xfId="1060" xr:uid="{00000000-0005-0000-0000-00004C080000}"/>
    <cellStyle name="40 % - Accent3 7 2 2" xfId="6616" xr:uid="{00000000-0005-0000-0000-00004D080000}"/>
    <cellStyle name="40 % - Accent3 7 3" xfId="3462" xr:uid="{00000000-0005-0000-0000-00004E080000}"/>
    <cellStyle name="40 % - Accent3 7 4" xfId="5887" xr:uid="{00000000-0005-0000-0000-00004F080000}"/>
    <cellStyle name="40 % - Accent3 8" xfId="221" xr:uid="{00000000-0005-0000-0000-000050080000}"/>
    <cellStyle name="40 % - Accent3 8 2" xfId="1061" xr:uid="{00000000-0005-0000-0000-000051080000}"/>
    <cellStyle name="40 % - Accent3 8 2 2" xfId="6617" xr:uid="{00000000-0005-0000-0000-000052080000}"/>
    <cellStyle name="40 % - Accent3 8 3" xfId="3463" xr:uid="{00000000-0005-0000-0000-000053080000}"/>
    <cellStyle name="40 % - Accent3 8 4" xfId="5888" xr:uid="{00000000-0005-0000-0000-000054080000}"/>
    <cellStyle name="40 % - Accent3 9" xfId="1062" xr:uid="{00000000-0005-0000-0000-000055080000}"/>
    <cellStyle name="40 % - Accent3 9 2" xfId="3464" xr:uid="{00000000-0005-0000-0000-000056080000}"/>
    <cellStyle name="40 % - Accent3 9 2 2" xfId="6618" xr:uid="{00000000-0005-0000-0000-000057080000}"/>
    <cellStyle name="40 % - Accent3 9 3" xfId="5889" xr:uid="{00000000-0005-0000-0000-000058080000}"/>
    <cellStyle name="40 % - Accent4 10" xfId="1063" xr:uid="{00000000-0005-0000-0000-000059080000}"/>
    <cellStyle name="40 % - Accent4 10 2" xfId="3465" xr:uid="{00000000-0005-0000-0000-00005A080000}"/>
    <cellStyle name="40 % - Accent4 10 2 2" xfId="6619" xr:uid="{00000000-0005-0000-0000-00005B080000}"/>
    <cellStyle name="40 % - Accent4 10 3" xfId="5890" xr:uid="{00000000-0005-0000-0000-00005C080000}"/>
    <cellStyle name="40 % - Accent4 11" xfId="1064" xr:uid="{00000000-0005-0000-0000-00005D080000}"/>
    <cellStyle name="40 % - Accent4 11 2" xfId="3466" xr:uid="{00000000-0005-0000-0000-00005E080000}"/>
    <cellStyle name="40 % - Accent4 11 2 2" xfId="6620" xr:uid="{00000000-0005-0000-0000-00005F080000}"/>
    <cellStyle name="40 % - Accent4 11 3" xfId="5891" xr:uid="{00000000-0005-0000-0000-000060080000}"/>
    <cellStyle name="40 % - Accent4 12" xfId="1065" xr:uid="{00000000-0005-0000-0000-000061080000}"/>
    <cellStyle name="40 % - Accent4 12 2" xfId="3467" xr:uid="{00000000-0005-0000-0000-000062080000}"/>
    <cellStyle name="40 % - Accent4 12 2 2" xfId="6621" xr:uid="{00000000-0005-0000-0000-000063080000}"/>
    <cellStyle name="40 % - Accent4 12 3" xfId="5892" xr:uid="{00000000-0005-0000-0000-000064080000}"/>
    <cellStyle name="40 % - Accent4 13" xfId="1066" xr:uid="{00000000-0005-0000-0000-000065080000}"/>
    <cellStyle name="40 % - Accent4 13 2" xfId="3468" xr:uid="{00000000-0005-0000-0000-000066080000}"/>
    <cellStyle name="40 % - Accent4 13 2 2" xfId="6622" xr:uid="{00000000-0005-0000-0000-000067080000}"/>
    <cellStyle name="40 % - Accent4 13 3" xfId="5893" xr:uid="{00000000-0005-0000-0000-000068080000}"/>
    <cellStyle name="40 % - Accent4 14" xfId="1067" xr:uid="{00000000-0005-0000-0000-000069080000}"/>
    <cellStyle name="40 % - Accent4 14 2" xfId="3469" xr:uid="{00000000-0005-0000-0000-00006A080000}"/>
    <cellStyle name="40 % - Accent4 14 2 2" xfId="6623" xr:uid="{00000000-0005-0000-0000-00006B080000}"/>
    <cellStyle name="40 % - Accent4 14 3" xfId="5894" xr:uid="{00000000-0005-0000-0000-00006C080000}"/>
    <cellStyle name="40 % - Accent4 15" xfId="1068" xr:uid="{00000000-0005-0000-0000-00006D080000}"/>
    <cellStyle name="40 % - Accent4 15 2" xfId="3470" xr:uid="{00000000-0005-0000-0000-00006E080000}"/>
    <cellStyle name="40 % - Accent4 15 2 2" xfId="6624" xr:uid="{00000000-0005-0000-0000-00006F080000}"/>
    <cellStyle name="40 % - Accent4 15 3" xfId="5895" xr:uid="{00000000-0005-0000-0000-000070080000}"/>
    <cellStyle name="40 % - Accent4 16" xfId="1069" xr:uid="{00000000-0005-0000-0000-000071080000}"/>
    <cellStyle name="40 % - Accent4 16 2" xfId="3471" xr:uid="{00000000-0005-0000-0000-000072080000}"/>
    <cellStyle name="40 % - Accent4 16 2 2" xfId="6625" xr:uid="{00000000-0005-0000-0000-000073080000}"/>
    <cellStyle name="40 % - Accent4 16 3" xfId="5896" xr:uid="{00000000-0005-0000-0000-000074080000}"/>
    <cellStyle name="40 % - Accent4 17" xfId="1070" xr:uid="{00000000-0005-0000-0000-000075080000}"/>
    <cellStyle name="40 % - Accent4 17 2" xfId="3472" xr:uid="{00000000-0005-0000-0000-000076080000}"/>
    <cellStyle name="40 % - Accent4 17 2 2" xfId="6626" xr:uid="{00000000-0005-0000-0000-000077080000}"/>
    <cellStyle name="40 % - Accent4 17 3" xfId="5897" xr:uid="{00000000-0005-0000-0000-000078080000}"/>
    <cellStyle name="40 % - Accent4 18" xfId="1071" xr:uid="{00000000-0005-0000-0000-000079080000}"/>
    <cellStyle name="40 % - Accent4 18 2" xfId="3473" xr:uid="{00000000-0005-0000-0000-00007A080000}"/>
    <cellStyle name="40 % - Accent4 18 2 2" xfId="6627" xr:uid="{00000000-0005-0000-0000-00007B080000}"/>
    <cellStyle name="40 % - Accent4 18 3" xfId="5898" xr:uid="{00000000-0005-0000-0000-00007C080000}"/>
    <cellStyle name="40 % - Accent4 19" xfId="1072" xr:uid="{00000000-0005-0000-0000-00007D080000}"/>
    <cellStyle name="40 % - Accent4 19 2" xfId="3474" xr:uid="{00000000-0005-0000-0000-00007E080000}"/>
    <cellStyle name="40 % - Accent4 19 2 2" xfId="6628" xr:uid="{00000000-0005-0000-0000-00007F080000}"/>
    <cellStyle name="40 % - Accent4 19 3" xfId="5899" xr:uid="{00000000-0005-0000-0000-000080080000}"/>
    <cellStyle name="40 % - Accent4 2" xfId="14" xr:uid="{00000000-0005-0000-0000-000081080000}"/>
    <cellStyle name="40 % - Accent4 2 2" xfId="1073" xr:uid="{00000000-0005-0000-0000-000082080000}"/>
    <cellStyle name="40 % - Accent4 2 3" xfId="3475" xr:uid="{00000000-0005-0000-0000-000083080000}"/>
    <cellStyle name="40 % - Accent4 20" xfId="1074" xr:uid="{00000000-0005-0000-0000-000084080000}"/>
    <cellStyle name="40 % - Accent4 20 2" xfId="3476" xr:uid="{00000000-0005-0000-0000-000085080000}"/>
    <cellStyle name="40 % - Accent4 20 2 2" xfId="6629" xr:uid="{00000000-0005-0000-0000-000086080000}"/>
    <cellStyle name="40 % - Accent4 20 3" xfId="5900" xr:uid="{00000000-0005-0000-0000-000087080000}"/>
    <cellStyle name="40 % - Accent4 21" xfId="1075" xr:uid="{00000000-0005-0000-0000-000088080000}"/>
    <cellStyle name="40 % - Accent4 21 2" xfId="3477" xr:uid="{00000000-0005-0000-0000-000089080000}"/>
    <cellStyle name="40 % - Accent4 21 2 2" xfId="6630" xr:uid="{00000000-0005-0000-0000-00008A080000}"/>
    <cellStyle name="40 % - Accent4 21 3" xfId="5901" xr:uid="{00000000-0005-0000-0000-00008B080000}"/>
    <cellStyle name="40 % - Accent4 22" xfId="1076" xr:uid="{00000000-0005-0000-0000-00008C080000}"/>
    <cellStyle name="40 % - Accent4 22 2" xfId="3478" xr:uid="{00000000-0005-0000-0000-00008D080000}"/>
    <cellStyle name="40 % - Accent4 22 2 2" xfId="6631" xr:uid="{00000000-0005-0000-0000-00008E080000}"/>
    <cellStyle name="40 % - Accent4 22 3" xfId="5902" xr:uid="{00000000-0005-0000-0000-00008F080000}"/>
    <cellStyle name="40 % - Accent4 23" xfId="1077" xr:uid="{00000000-0005-0000-0000-000090080000}"/>
    <cellStyle name="40 % - Accent4 23 2" xfId="3479" xr:uid="{00000000-0005-0000-0000-000091080000}"/>
    <cellStyle name="40 % - Accent4 23 2 2" xfId="6632" xr:uid="{00000000-0005-0000-0000-000092080000}"/>
    <cellStyle name="40 % - Accent4 23 3" xfId="5903" xr:uid="{00000000-0005-0000-0000-000093080000}"/>
    <cellStyle name="40 % - Accent4 24" xfId="1078" xr:uid="{00000000-0005-0000-0000-000094080000}"/>
    <cellStyle name="40 % - Accent4 24 2" xfId="3480" xr:uid="{00000000-0005-0000-0000-000095080000}"/>
    <cellStyle name="40 % - Accent4 24 2 2" xfId="6633" xr:uid="{00000000-0005-0000-0000-000096080000}"/>
    <cellStyle name="40 % - Accent4 24 3" xfId="5904" xr:uid="{00000000-0005-0000-0000-000097080000}"/>
    <cellStyle name="40 % - Accent4 25" xfId="1079" xr:uid="{00000000-0005-0000-0000-000098080000}"/>
    <cellStyle name="40 % - Accent4 25 2" xfId="3481" xr:uid="{00000000-0005-0000-0000-000099080000}"/>
    <cellStyle name="40 % - Accent4 25 2 2" xfId="6634" xr:uid="{00000000-0005-0000-0000-00009A080000}"/>
    <cellStyle name="40 % - Accent4 25 3" xfId="5905" xr:uid="{00000000-0005-0000-0000-00009B080000}"/>
    <cellStyle name="40 % - Accent4 26" xfId="1080" xr:uid="{00000000-0005-0000-0000-00009C080000}"/>
    <cellStyle name="40 % - Accent4 26 2" xfId="3482" xr:uid="{00000000-0005-0000-0000-00009D080000}"/>
    <cellStyle name="40 % - Accent4 26 2 2" xfId="6635" xr:uid="{00000000-0005-0000-0000-00009E080000}"/>
    <cellStyle name="40 % - Accent4 26 3" xfId="5906" xr:uid="{00000000-0005-0000-0000-00009F080000}"/>
    <cellStyle name="40 % - Accent4 27" xfId="1081" xr:uid="{00000000-0005-0000-0000-0000A0080000}"/>
    <cellStyle name="40 % - Accent4 27 2" xfId="3483" xr:uid="{00000000-0005-0000-0000-0000A1080000}"/>
    <cellStyle name="40 % - Accent4 27 2 2" xfId="6636" xr:uid="{00000000-0005-0000-0000-0000A2080000}"/>
    <cellStyle name="40 % - Accent4 27 3" xfId="5907" xr:uid="{00000000-0005-0000-0000-0000A3080000}"/>
    <cellStyle name="40 % - Accent4 28" xfId="1082" xr:uid="{00000000-0005-0000-0000-0000A4080000}"/>
    <cellStyle name="40 % - Accent4 28 2" xfId="3484" xr:uid="{00000000-0005-0000-0000-0000A5080000}"/>
    <cellStyle name="40 % - Accent4 28 2 2" xfId="6637" xr:uid="{00000000-0005-0000-0000-0000A6080000}"/>
    <cellStyle name="40 % - Accent4 28 3" xfId="5908" xr:uid="{00000000-0005-0000-0000-0000A7080000}"/>
    <cellStyle name="40 % - Accent4 29" xfId="1083" xr:uid="{00000000-0005-0000-0000-0000A8080000}"/>
    <cellStyle name="40 % - Accent4 29 2" xfId="3485" xr:uid="{00000000-0005-0000-0000-0000A9080000}"/>
    <cellStyle name="40 % - Accent4 29 2 2" xfId="6638" xr:uid="{00000000-0005-0000-0000-0000AA080000}"/>
    <cellStyle name="40 % - Accent4 29 3" xfId="5909" xr:uid="{00000000-0005-0000-0000-0000AB080000}"/>
    <cellStyle name="40 % - Accent4 3" xfId="222" xr:uid="{00000000-0005-0000-0000-0000AC080000}"/>
    <cellStyle name="40 % - Accent4 3 2" xfId="1084" xr:uid="{00000000-0005-0000-0000-0000AD080000}"/>
    <cellStyle name="40 % - Accent4 3 2 2" xfId="6639" xr:uid="{00000000-0005-0000-0000-0000AE080000}"/>
    <cellStyle name="40 % - Accent4 3 3" xfId="3486" xr:uid="{00000000-0005-0000-0000-0000AF080000}"/>
    <cellStyle name="40 % - Accent4 3 4" xfId="5910" xr:uid="{00000000-0005-0000-0000-0000B0080000}"/>
    <cellStyle name="40 % - Accent4 30" xfId="1085" xr:uid="{00000000-0005-0000-0000-0000B1080000}"/>
    <cellStyle name="40 % - Accent4 30 2" xfId="3487" xr:uid="{00000000-0005-0000-0000-0000B2080000}"/>
    <cellStyle name="40 % - Accent4 30 2 2" xfId="6640" xr:uid="{00000000-0005-0000-0000-0000B3080000}"/>
    <cellStyle name="40 % - Accent4 30 3" xfId="5911" xr:uid="{00000000-0005-0000-0000-0000B4080000}"/>
    <cellStyle name="40 % - Accent4 31" xfId="1086" xr:uid="{00000000-0005-0000-0000-0000B5080000}"/>
    <cellStyle name="40 % - Accent4 31 2" xfId="3488" xr:uid="{00000000-0005-0000-0000-0000B6080000}"/>
    <cellStyle name="40 % - Accent4 31 2 2" xfId="6641" xr:uid="{00000000-0005-0000-0000-0000B7080000}"/>
    <cellStyle name="40 % - Accent4 31 3" xfId="5912" xr:uid="{00000000-0005-0000-0000-0000B8080000}"/>
    <cellStyle name="40 % - Accent4 32" xfId="1087" xr:uid="{00000000-0005-0000-0000-0000B9080000}"/>
    <cellStyle name="40 % - Accent4 32 2" xfId="3489" xr:uid="{00000000-0005-0000-0000-0000BA080000}"/>
    <cellStyle name="40 % - Accent4 32 2 2" xfId="6642" xr:uid="{00000000-0005-0000-0000-0000BB080000}"/>
    <cellStyle name="40 % - Accent4 32 3" xfId="5913" xr:uid="{00000000-0005-0000-0000-0000BC080000}"/>
    <cellStyle name="40 % - Accent4 33" xfId="1088" xr:uid="{00000000-0005-0000-0000-0000BD080000}"/>
    <cellStyle name="40 % - Accent4 33 2" xfId="3490" xr:uid="{00000000-0005-0000-0000-0000BE080000}"/>
    <cellStyle name="40 % - Accent4 33 2 2" xfId="6643" xr:uid="{00000000-0005-0000-0000-0000BF080000}"/>
    <cellStyle name="40 % - Accent4 33 3" xfId="5914" xr:uid="{00000000-0005-0000-0000-0000C0080000}"/>
    <cellStyle name="40 % - Accent4 34" xfId="1089" xr:uid="{00000000-0005-0000-0000-0000C1080000}"/>
    <cellStyle name="40 % - Accent4 34 2" xfId="3491" xr:uid="{00000000-0005-0000-0000-0000C2080000}"/>
    <cellStyle name="40 % - Accent4 34 2 2" xfId="6644" xr:uid="{00000000-0005-0000-0000-0000C3080000}"/>
    <cellStyle name="40 % - Accent4 34 3" xfId="5915" xr:uid="{00000000-0005-0000-0000-0000C4080000}"/>
    <cellStyle name="40 % - Accent4 35" xfId="1090" xr:uid="{00000000-0005-0000-0000-0000C5080000}"/>
    <cellStyle name="40 % - Accent4 35 2" xfId="3492" xr:uid="{00000000-0005-0000-0000-0000C6080000}"/>
    <cellStyle name="40 % - Accent4 35 2 2" xfId="6645" xr:uid="{00000000-0005-0000-0000-0000C7080000}"/>
    <cellStyle name="40 % - Accent4 35 3" xfId="5916" xr:uid="{00000000-0005-0000-0000-0000C8080000}"/>
    <cellStyle name="40 % - Accent4 36" xfId="1091" xr:uid="{00000000-0005-0000-0000-0000C9080000}"/>
    <cellStyle name="40 % - Accent4 36 2" xfId="3493" xr:uid="{00000000-0005-0000-0000-0000CA080000}"/>
    <cellStyle name="40 % - Accent4 36 2 2" xfId="6646" xr:uid="{00000000-0005-0000-0000-0000CB080000}"/>
    <cellStyle name="40 % - Accent4 36 3" xfId="5917" xr:uid="{00000000-0005-0000-0000-0000CC080000}"/>
    <cellStyle name="40 % - Accent4 37" xfId="1092" xr:uid="{00000000-0005-0000-0000-0000CD080000}"/>
    <cellStyle name="40 % - Accent4 37 2" xfId="3494" xr:uid="{00000000-0005-0000-0000-0000CE080000}"/>
    <cellStyle name="40 % - Accent4 37 2 2" xfId="6647" xr:uid="{00000000-0005-0000-0000-0000CF080000}"/>
    <cellStyle name="40 % - Accent4 37 3" xfId="5918" xr:uid="{00000000-0005-0000-0000-0000D0080000}"/>
    <cellStyle name="40 % - Accent4 38" xfId="1093" xr:uid="{00000000-0005-0000-0000-0000D1080000}"/>
    <cellStyle name="40 % - Accent4 38 2" xfId="3495" xr:uid="{00000000-0005-0000-0000-0000D2080000}"/>
    <cellStyle name="40 % - Accent4 38 2 2" xfId="6648" xr:uid="{00000000-0005-0000-0000-0000D3080000}"/>
    <cellStyle name="40 % - Accent4 38 3" xfId="5919" xr:uid="{00000000-0005-0000-0000-0000D4080000}"/>
    <cellStyle name="40 % - Accent4 39" xfId="1094" xr:uid="{00000000-0005-0000-0000-0000D5080000}"/>
    <cellStyle name="40 % - Accent4 39 2" xfId="3496" xr:uid="{00000000-0005-0000-0000-0000D6080000}"/>
    <cellStyle name="40 % - Accent4 39 2 2" xfId="6649" xr:uid="{00000000-0005-0000-0000-0000D7080000}"/>
    <cellStyle name="40 % - Accent4 39 3" xfId="5920" xr:uid="{00000000-0005-0000-0000-0000D8080000}"/>
    <cellStyle name="40 % - Accent4 4" xfId="223" xr:uid="{00000000-0005-0000-0000-0000D9080000}"/>
    <cellStyle name="40 % - Accent4 4 2" xfId="1095" xr:uid="{00000000-0005-0000-0000-0000DA080000}"/>
    <cellStyle name="40 % - Accent4 4 2 2" xfId="6650" xr:uid="{00000000-0005-0000-0000-0000DB080000}"/>
    <cellStyle name="40 % - Accent4 4 3" xfId="3497" xr:uid="{00000000-0005-0000-0000-0000DC080000}"/>
    <cellStyle name="40 % - Accent4 4 4" xfId="5921" xr:uid="{00000000-0005-0000-0000-0000DD080000}"/>
    <cellStyle name="40 % - Accent4 40" xfId="1096" xr:uid="{00000000-0005-0000-0000-0000DE080000}"/>
    <cellStyle name="40 % - Accent4 40 2" xfId="3498" xr:uid="{00000000-0005-0000-0000-0000DF080000}"/>
    <cellStyle name="40 % - Accent4 40 2 2" xfId="6651" xr:uid="{00000000-0005-0000-0000-0000E0080000}"/>
    <cellStyle name="40 % - Accent4 40 3" xfId="5922" xr:uid="{00000000-0005-0000-0000-0000E1080000}"/>
    <cellStyle name="40 % - Accent4 41" xfId="1097" xr:uid="{00000000-0005-0000-0000-0000E2080000}"/>
    <cellStyle name="40 % - Accent4 41 2" xfId="3499" xr:uid="{00000000-0005-0000-0000-0000E3080000}"/>
    <cellStyle name="40 % - Accent4 41 2 2" xfId="6652" xr:uid="{00000000-0005-0000-0000-0000E4080000}"/>
    <cellStyle name="40 % - Accent4 41 3" xfId="5923" xr:uid="{00000000-0005-0000-0000-0000E5080000}"/>
    <cellStyle name="40 % - Accent4 42" xfId="1098" xr:uid="{00000000-0005-0000-0000-0000E6080000}"/>
    <cellStyle name="40 % - Accent4 42 2" xfId="3500" xr:uid="{00000000-0005-0000-0000-0000E7080000}"/>
    <cellStyle name="40 % - Accent4 42 2 2" xfId="6653" xr:uid="{00000000-0005-0000-0000-0000E8080000}"/>
    <cellStyle name="40 % - Accent4 42 3" xfId="5924" xr:uid="{00000000-0005-0000-0000-0000E9080000}"/>
    <cellStyle name="40 % - Accent4 43" xfId="1099" xr:uid="{00000000-0005-0000-0000-0000EA080000}"/>
    <cellStyle name="40 % - Accent4 43 2" xfId="3501" xr:uid="{00000000-0005-0000-0000-0000EB080000}"/>
    <cellStyle name="40 % - Accent4 43 2 2" xfId="6654" xr:uid="{00000000-0005-0000-0000-0000EC080000}"/>
    <cellStyle name="40 % - Accent4 43 3" xfId="5925" xr:uid="{00000000-0005-0000-0000-0000ED080000}"/>
    <cellStyle name="40 % - Accent4 44" xfId="1100" xr:uid="{00000000-0005-0000-0000-0000EE080000}"/>
    <cellStyle name="40 % - Accent4 44 2" xfId="3502" xr:uid="{00000000-0005-0000-0000-0000EF080000}"/>
    <cellStyle name="40 % - Accent4 44 2 2" xfId="6655" xr:uid="{00000000-0005-0000-0000-0000F0080000}"/>
    <cellStyle name="40 % - Accent4 44 3" xfId="5926" xr:uid="{00000000-0005-0000-0000-0000F1080000}"/>
    <cellStyle name="40 % - Accent4 45" xfId="1101" xr:uid="{00000000-0005-0000-0000-0000F2080000}"/>
    <cellStyle name="40 % - Accent4 45 2" xfId="3503" xr:uid="{00000000-0005-0000-0000-0000F3080000}"/>
    <cellStyle name="40 % - Accent4 45 2 2" xfId="6656" xr:uid="{00000000-0005-0000-0000-0000F4080000}"/>
    <cellStyle name="40 % - Accent4 45 3" xfId="5927" xr:uid="{00000000-0005-0000-0000-0000F5080000}"/>
    <cellStyle name="40 % - Accent4 46" xfId="1102" xr:uid="{00000000-0005-0000-0000-0000F6080000}"/>
    <cellStyle name="40 % - Accent4 46 2" xfId="3504" xr:uid="{00000000-0005-0000-0000-0000F7080000}"/>
    <cellStyle name="40 % - Accent4 46 2 2" xfId="6657" xr:uid="{00000000-0005-0000-0000-0000F8080000}"/>
    <cellStyle name="40 % - Accent4 46 3" xfId="5928" xr:uid="{00000000-0005-0000-0000-0000F9080000}"/>
    <cellStyle name="40 % - Accent4 47" xfId="1103" xr:uid="{00000000-0005-0000-0000-0000FA080000}"/>
    <cellStyle name="40 % - Accent4 47 2" xfId="3505" xr:uid="{00000000-0005-0000-0000-0000FB080000}"/>
    <cellStyle name="40 % - Accent4 47 2 2" xfId="6658" xr:uid="{00000000-0005-0000-0000-0000FC080000}"/>
    <cellStyle name="40 % - Accent4 47 3" xfId="5929" xr:uid="{00000000-0005-0000-0000-0000FD080000}"/>
    <cellStyle name="40 % - Accent4 48" xfId="1104" xr:uid="{00000000-0005-0000-0000-0000FE080000}"/>
    <cellStyle name="40 % - Accent4 48 2" xfId="3506" xr:uid="{00000000-0005-0000-0000-0000FF080000}"/>
    <cellStyle name="40 % - Accent4 48 2 2" xfId="6659" xr:uid="{00000000-0005-0000-0000-000000090000}"/>
    <cellStyle name="40 % - Accent4 48 3" xfId="5930" xr:uid="{00000000-0005-0000-0000-000001090000}"/>
    <cellStyle name="40 % - Accent4 49" xfId="1105" xr:uid="{00000000-0005-0000-0000-000002090000}"/>
    <cellStyle name="40 % - Accent4 49 2" xfId="3507" xr:uid="{00000000-0005-0000-0000-000003090000}"/>
    <cellStyle name="40 % - Accent4 49 2 2" xfId="6660" xr:uid="{00000000-0005-0000-0000-000004090000}"/>
    <cellStyle name="40 % - Accent4 49 3" xfId="5931" xr:uid="{00000000-0005-0000-0000-000005090000}"/>
    <cellStyle name="40 % - Accent4 5" xfId="224" xr:uid="{00000000-0005-0000-0000-000006090000}"/>
    <cellStyle name="40 % - Accent4 5 2" xfId="1106" xr:uid="{00000000-0005-0000-0000-000007090000}"/>
    <cellStyle name="40 % - Accent4 5 2 2" xfId="6661" xr:uid="{00000000-0005-0000-0000-000008090000}"/>
    <cellStyle name="40 % - Accent4 5 3" xfId="3508" xr:uid="{00000000-0005-0000-0000-000009090000}"/>
    <cellStyle name="40 % - Accent4 5 4" xfId="5932" xr:uid="{00000000-0005-0000-0000-00000A090000}"/>
    <cellStyle name="40 % - Accent4 50" xfId="1107" xr:uid="{00000000-0005-0000-0000-00000B090000}"/>
    <cellStyle name="40 % - Accent4 50 2" xfId="3509" xr:uid="{00000000-0005-0000-0000-00000C090000}"/>
    <cellStyle name="40 % - Accent4 50 2 2" xfId="6662" xr:uid="{00000000-0005-0000-0000-00000D090000}"/>
    <cellStyle name="40 % - Accent4 50 3" xfId="5933" xr:uid="{00000000-0005-0000-0000-00000E090000}"/>
    <cellStyle name="40 % - Accent4 51" xfId="1108" xr:uid="{00000000-0005-0000-0000-00000F090000}"/>
    <cellStyle name="40 % - Accent4 51 2" xfId="3510" xr:uid="{00000000-0005-0000-0000-000010090000}"/>
    <cellStyle name="40 % - Accent4 51 2 2" xfId="6663" xr:uid="{00000000-0005-0000-0000-000011090000}"/>
    <cellStyle name="40 % - Accent4 51 3" xfId="5934" xr:uid="{00000000-0005-0000-0000-000012090000}"/>
    <cellStyle name="40 % - Accent4 52" xfId="1109" xr:uid="{00000000-0005-0000-0000-000013090000}"/>
    <cellStyle name="40 % - Accent4 52 2" xfId="3511" xr:uid="{00000000-0005-0000-0000-000014090000}"/>
    <cellStyle name="40 % - Accent4 52 2 2" xfId="6664" xr:uid="{00000000-0005-0000-0000-000015090000}"/>
    <cellStyle name="40 % - Accent4 52 3" xfId="5935" xr:uid="{00000000-0005-0000-0000-000016090000}"/>
    <cellStyle name="40 % - Accent4 53" xfId="1110" xr:uid="{00000000-0005-0000-0000-000017090000}"/>
    <cellStyle name="40 % - Accent4 53 2" xfId="3512" xr:uid="{00000000-0005-0000-0000-000018090000}"/>
    <cellStyle name="40 % - Accent4 53 2 2" xfId="6665" xr:uid="{00000000-0005-0000-0000-000019090000}"/>
    <cellStyle name="40 % - Accent4 53 3" xfId="5936" xr:uid="{00000000-0005-0000-0000-00001A090000}"/>
    <cellStyle name="40 % - Accent4 54" xfId="1111" xr:uid="{00000000-0005-0000-0000-00001B090000}"/>
    <cellStyle name="40 % - Accent4 54 2" xfId="3513" xr:uid="{00000000-0005-0000-0000-00001C090000}"/>
    <cellStyle name="40 % - Accent4 54 2 2" xfId="6666" xr:uid="{00000000-0005-0000-0000-00001D090000}"/>
    <cellStyle name="40 % - Accent4 54 3" xfId="5937" xr:uid="{00000000-0005-0000-0000-00001E090000}"/>
    <cellStyle name="40 % - Accent4 55" xfId="1112" xr:uid="{00000000-0005-0000-0000-00001F090000}"/>
    <cellStyle name="40 % - Accent4 55 2" xfId="3514" xr:uid="{00000000-0005-0000-0000-000020090000}"/>
    <cellStyle name="40 % - Accent4 55 2 2" xfId="6667" xr:uid="{00000000-0005-0000-0000-000021090000}"/>
    <cellStyle name="40 % - Accent4 55 3" xfId="5938" xr:uid="{00000000-0005-0000-0000-000022090000}"/>
    <cellStyle name="40 % - Accent4 56" xfId="1113" xr:uid="{00000000-0005-0000-0000-000023090000}"/>
    <cellStyle name="40 % - Accent4 56 2" xfId="3515" xr:uid="{00000000-0005-0000-0000-000024090000}"/>
    <cellStyle name="40 % - Accent4 56 2 2" xfId="6668" xr:uid="{00000000-0005-0000-0000-000025090000}"/>
    <cellStyle name="40 % - Accent4 56 3" xfId="5939" xr:uid="{00000000-0005-0000-0000-000026090000}"/>
    <cellStyle name="40 % - Accent4 57" xfId="1114" xr:uid="{00000000-0005-0000-0000-000027090000}"/>
    <cellStyle name="40 % - Accent4 57 2" xfId="3516" xr:uid="{00000000-0005-0000-0000-000028090000}"/>
    <cellStyle name="40 % - Accent4 57 2 2" xfId="6669" xr:uid="{00000000-0005-0000-0000-000029090000}"/>
    <cellStyle name="40 % - Accent4 57 3" xfId="5940" xr:uid="{00000000-0005-0000-0000-00002A090000}"/>
    <cellStyle name="40 % - Accent4 58" xfId="1115" xr:uid="{00000000-0005-0000-0000-00002B090000}"/>
    <cellStyle name="40 % - Accent4 58 2" xfId="3517" xr:uid="{00000000-0005-0000-0000-00002C090000}"/>
    <cellStyle name="40 % - Accent4 58 2 2" xfId="6670" xr:uid="{00000000-0005-0000-0000-00002D090000}"/>
    <cellStyle name="40 % - Accent4 58 3" xfId="5941" xr:uid="{00000000-0005-0000-0000-00002E090000}"/>
    <cellStyle name="40 % - Accent4 59" xfId="1116" xr:uid="{00000000-0005-0000-0000-00002F090000}"/>
    <cellStyle name="40 % - Accent4 59 2" xfId="3518" xr:uid="{00000000-0005-0000-0000-000030090000}"/>
    <cellStyle name="40 % - Accent4 59 2 2" xfId="6671" xr:uid="{00000000-0005-0000-0000-000031090000}"/>
    <cellStyle name="40 % - Accent4 59 3" xfId="5942" xr:uid="{00000000-0005-0000-0000-000032090000}"/>
    <cellStyle name="40 % - Accent4 6" xfId="225" xr:uid="{00000000-0005-0000-0000-000033090000}"/>
    <cellStyle name="40 % - Accent4 6 2" xfId="1117" xr:uid="{00000000-0005-0000-0000-000034090000}"/>
    <cellStyle name="40 % - Accent4 6 2 2" xfId="6672" xr:uid="{00000000-0005-0000-0000-000035090000}"/>
    <cellStyle name="40 % - Accent4 6 3" xfId="3519" xr:uid="{00000000-0005-0000-0000-000036090000}"/>
    <cellStyle name="40 % - Accent4 6 4" xfId="5943" xr:uid="{00000000-0005-0000-0000-000037090000}"/>
    <cellStyle name="40 % - Accent4 7" xfId="226" xr:uid="{00000000-0005-0000-0000-000038090000}"/>
    <cellStyle name="40 % - Accent4 7 2" xfId="1118" xr:uid="{00000000-0005-0000-0000-000039090000}"/>
    <cellStyle name="40 % - Accent4 7 2 2" xfId="6673" xr:uid="{00000000-0005-0000-0000-00003A090000}"/>
    <cellStyle name="40 % - Accent4 7 3" xfId="3520" xr:uid="{00000000-0005-0000-0000-00003B090000}"/>
    <cellStyle name="40 % - Accent4 7 4" xfId="5944" xr:uid="{00000000-0005-0000-0000-00003C090000}"/>
    <cellStyle name="40 % - Accent4 8" xfId="227" xr:uid="{00000000-0005-0000-0000-00003D090000}"/>
    <cellStyle name="40 % - Accent4 8 2" xfId="1119" xr:uid="{00000000-0005-0000-0000-00003E090000}"/>
    <cellStyle name="40 % - Accent4 8 2 2" xfId="6674" xr:uid="{00000000-0005-0000-0000-00003F090000}"/>
    <cellStyle name="40 % - Accent4 8 3" xfId="3521" xr:uid="{00000000-0005-0000-0000-000040090000}"/>
    <cellStyle name="40 % - Accent4 8 4" xfId="5945" xr:uid="{00000000-0005-0000-0000-000041090000}"/>
    <cellStyle name="40 % - Accent4 9" xfId="1120" xr:uid="{00000000-0005-0000-0000-000042090000}"/>
    <cellStyle name="40 % - Accent4 9 2" xfId="3522" xr:uid="{00000000-0005-0000-0000-000043090000}"/>
    <cellStyle name="40 % - Accent4 9 2 2" xfId="6675" xr:uid="{00000000-0005-0000-0000-000044090000}"/>
    <cellStyle name="40 % - Accent4 9 3" xfId="5946" xr:uid="{00000000-0005-0000-0000-000045090000}"/>
    <cellStyle name="40 % - Accent5 10" xfId="1121" xr:uid="{00000000-0005-0000-0000-000046090000}"/>
    <cellStyle name="40 % - Accent5 10 2" xfId="3523" xr:uid="{00000000-0005-0000-0000-000047090000}"/>
    <cellStyle name="40 % - Accent5 10 2 2" xfId="6676" xr:uid="{00000000-0005-0000-0000-000048090000}"/>
    <cellStyle name="40 % - Accent5 10 3" xfId="5947" xr:uid="{00000000-0005-0000-0000-000049090000}"/>
    <cellStyle name="40 % - Accent5 11" xfId="1122" xr:uid="{00000000-0005-0000-0000-00004A090000}"/>
    <cellStyle name="40 % - Accent5 11 2" xfId="3524" xr:uid="{00000000-0005-0000-0000-00004B090000}"/>
    <cellStyle name="40 % - Accent5 11 2 2" xfId="6677" xr:uid="{00000000-0005-0000-0000-00004C090000}"/>
    <cellStyle name="40 % - Accent5 11 3" xfId="5948" xr:uid="{00000000-0005-0000-0000-00004D090000}"/>
    <cellStyle name="40 % - Accent5 12" xfId="1123" xr:uid="{00000000-0005-0000-0000-00004E090000}"/>
    <cellStyle name="40 % - Accent5 12 2" xfId="3525" xr:uid="{00000000-0005-0000-0000-00004F090000}"/>
    <cellStyle name="40 % - Accent5 12 2 2" xfId="6678" xr:uid="{00000000-0005-0000-0000-000050090000}"/>
    <cellStyle name="40 % - Accent5 12 3" xfId="5949" xr:uid="{00000000-0005-0000-0000-000051090000}"/>
    <cellStyle name="40 % - Accent5 13" xfId="1124" xr:uid="{00000000-0005-0000-0000-000052090000}"/>
    <cellStyle name="40 % - Accent5 13 2" xfId="3526" xr:uid="{00000000-0005-0000-0000-000053090000}"/>
    <cellStyle name="40 % - Accent5 13 2 2" xfId="6679" xr:uid="{00000000-0005-0000-0000-000054090000}"/>
    <cellStyle name="40 % - Accent5 13 3" xfId="5950" xr:uid="{00000000-0005-0000-0000-000055090000}"/>
    <cellStyle name="40 % - Accent5 14" xfId="1125" xr:uid="{00000000-0005-0000-0000-000056090000}"/>
    <cellStyle name="40 % - Accent5 14 2" xfId="3527" xr:uid="{00000000-0005-0000-0000-000057090000}"/>
    <cellStyle name="40 % - Accent5 14 2 2" xfId="6680" xr:uid="{00000000-0005-0000-0000-000058090000}"/>
    <cellStyle name="40 % - Accent5 14 3" xfId="5951" xr:uid="{00000000-0005-0000-0000-000059090000}"/>
    <cellStyle name="40 % - Accent5 15" xfId="1126" xr:uid="{00000000-0005-0000-0000-00005A090000}"/>
    <cellStyle name="40 % - Accent5 15 2" xfId="3528" xr:uid="{00000000-0005-0000-0000-00005B090000}"/>
    <cellStyle name="40 % - Accent5 15 2 2" xfId="6681" xr:uid="{00000000-0005-0000-0000-00005C090000}"/>
    <cellStyle name="40 % - Accent5 15 3" xfId="5952" xr:uid="{00000000-0005-0000-0000-00005D090000}"/>
    <cellStyle name="40 % - Accent5 16" xfId="1127" xr:uid="{00000000-0005-0000-0000-00005E090000}"/>
    <cellStyle name="40 % - Accent5 16 2" xfId="3529" xr:uid="{00000000-0005-0000-0000-00005F090000}"/>
    <cellStyle name="40 % - Accent5 16 2 2" xfId="6682" xr:uid="{00000000-0005-0000-0000-000060090000}"/>
    <cellStyle name="40 % - Accent5 16 3" xfId="5953" xr:uid="{00000000-0005-0000-0000-000061090000}"/>
    <cellStyle name="40 % - Accent5 17" xfId="1128" xr:uid="{00000000-0005-0000-0000-000062090000}"/>
    <cellStyle name="40 % - Accent5 17 2" xfId="3530" xr:uid="{00000000-0005-0000-0000-000063090000}"/>
    <cellStyle name="40 % - Accent5 17 2 2" xfId="6683" xr:uid="{00000000-0005-0000-0000-000064090000}"/>
    <cellStyle name="40 % - Accent5 17 3" xfId="5954" xr:uid="{00000000-0005-0000-0000-000065090000}"/>
    <cellStyle name="40 % - Accent5 18" xfId="1129" xr:uid="{00000000-0005-0000-0000-000066090000}"/>
    <cellStyle name="40 % - Accent5 18 2" xfId="3531" xr:uid="{00000000-0005-0000-0000-000067090000}"/>
    <cellStyle name="40 % - Accent5 18 2 2" xfId="6684" xr:uid="{00000000-0005-0000-0000-000068090000}"/>
    <cellStyle name="40 % - Accent5 18 3" xfId="5955" xr:uid="{00000000-0005-0000-0000-000069090000}"/>
    <cellStyle name="40 % - Accent5 19" xfId="1130" xr:uid="{00000000-0005-0000-0000-00006A090000}"/>
    <cellStyle name="40 % - Accent5 19 2" xfId="3532" xr:uid="{00000000-0005-0000-0000-00006B090000}"/>
    <cellStyle name="40 % - Accent5 19 2 2" xfId="6685" xr:uid="{00000000-0005-0000-0000-00006C090000}"/>
    <cellStyle name="40 % - Accent5 19 3" xfId="5956" xr:uid="{00000000-0005-0000-0000-00006D090000}"/>
    <cellStyle name="40 % - Accent5 2" xfId="15" xr:uid="{00000000-0005-0000-0000-00006E090000}"/>
    <cellStyle name="40 % - Accent5 2 2" xfId="1131" xr:uid="{00000000-0005-0000-0000-00006F090000}"/>
    <cellStyle name="40 % - Accent5 2 3" xfId="3533" xr:uid="{00000000-0005-0000-0000-000070090000}"/>
    <cellStyle name="40 % - Accent5 20" xfId="1132" xr:uid="{00000000-0005-0000-0000-000071090000}"/>
    <cellStyle name="40 % - Accent5 20 2" xfId="3534" xr:uid="{00000000-0005-0000-0000-000072090000}"/>
    <cellStyle name="40 % - Accent5 20 2 2" xfId="6686" xr:uid="{00000000-0005-0000-0000-000073090000}"/>
    <cellStyle name="40 % - Accent5 20 3" xfId="5957" xr:uid="{00000000-0005-0000-0000-000074090000}"/>
    <cellStyle name="40 % - Accent5 21" xfId="1133" xr:uid="{00000000-0005-0000-0000-000075090000}"/>
    <cellStyle name="40 % - Accent5 21 2" xfId="3535" xr:uid="{00000000-0005-0000-0000-000076090000}"/>
    <cellStyle name="40 % - Accent5 21 2 2" xfId="6687" xr:uid="{00000000-0005-0000-0000-000077090000}"/>
    <cellStyle name="40 % - Accent5 21 3" xfId="5958" xr:uid="{00000000-0005-0000-0000-000078090000}"/>
    <cellStyle name="40 % - Accent5 22" xfId="1134" xr:uid="{00000000-0005-0000-0000-000079090000}"/>
    <cellStyle name="40 % - Accent5 22 2" xfId="3536" xr:uid="{00000000-0005-0000-0000-00007A090000}"/>
    <cellStyle name="40 % - Accent5 22 2 2" xfId="6688" xr:uid="{00000000-0005-0000-0000-00007B090000}"/>
    <cellStyle name="40 % - Accent5 22 3" xfId="5959" xr:uid="{00000000-0005-0000-0000-00007C090000}"/>
    <cellStyle name="40 % - Accent5 23" xfId="1135" xr:uid="{00000000-0005-0000-0000-00007D090000}"/>
    <cellStyle name="40 % - Accent5 23 2" xfId="3537" xr:uid="{00000000-0005-0000-0000-00007E090000}"/>
    <cellStyle name="40 % - Accent5 23 2 2" xfId="6689" xr:uid="{00000000-0005-0000-0000-00007F090000}"/>
    <cellStyle name="40 % - Accent5 23 3" xfId="5960" xr:uid="{00000000-0005-0000-0000-000080090000}"/>
    <cellStyle name="40 % - Accent5 24" xfId="1136" xr:uid="{00000000-0005-0000-0000-000081090000}"/>
    <cellStyle name="40 % - Accent5 24 2" xfId="3538" xr:uid="{00000000-0005-0000-0000-000082090000}"/>
    <cellStyle name="40 % - Accent5 24 2 2" xfId="6690" xr:uid="{00000000-0005-0000-0000-000083090000}"/>
    <cellStyle name="40 % - Accent5 24 3" xfId="5961" xr:uid="{00000000-0005-0000-0000-000084090000}"/>
    <cellStyle name="40 % - Accent5 25" xfId="1137" xr:uid="{00000000-0005-0000-0000-000085090000}"/>
    <cellStyle name="40 % - Accent5 25 2" xfId="3539" xr:uid="{00000000-0005-0000-0000-000086090000}"/>
    <cellStyle name="40 % - Accent5 25 2 2" xfId="6691" xr:uid="{00000000-0005-0000-0000-000087090000}"/>
    <cellStyle name="40 % - Accent5 25 3" xfId="5962" xr:uid="{00000000-0005-0000-0000-000088090000}"/>
    <cellStyle name="40 % - Accent5 26" xfId="1138" xr:uid="{00000000-0005-0000-0000-000089090000}"/>
    <cellStyle name="40 % - Accent5 26 2" xfId="3540" xr:uid="{00000000-0005-0000-0000-00008A090000}"/>
    <cellStyle name="40 % - Accent5 26 2 2" xfId="6692" xr:uid="{00000000-0005-0000-0000-00008B090000}"/>
    <cellStyle name="40 % - Accent5 26 3" xfId="5963" xr:uid="{00000000-0005-0000-0000-00008C090000}"/>
    <cellStyle name="40 % - Accent5 27" xfId="1139" xr:uid="{00000000-0005-0000-0000-00008D090000}"/>
    <cellStyle name="40 % - Accent5 27 2" xfId="3541" xr:uid="{00000000-0005-0000-0000-00008E090000}"/>
    <cellStyle name="40 % - Accent5 27 2 2" xfId="6693" xr:uid="{00000000-0005-0000-0000-00008F090000}"/>
    <cellStyle name="40 % - Accent5 27 3" xfId="5964" xr:uid="{00000000-0005-0000-0000-000090090000}"/>
    <cellStyle name="40 % - Accent5 28" xfId="1140" xr:uid="{00000000-0005-0000-0000-000091090000}"/>
    <cellStyle name="40 % - Accent5 28 2" xfId="3542" xr:uid="{00000000-0005-0000-0000-000092090000}"/>
    <cellStyle name="40 % - Accent5 28 2 2" xfId="6694" xr:uid="{00000000-0005-0000-0000-000093090000}"/>
    <cellStyle name="40 % - Accent5 28 3" xfId="5965" xr:uid="{00000000-0005-0000-0000-000094090000}"/>
    <cellStyle name="40 % - Accent5 29" xfId="1141" xr:uid="{00000000-0005-0000-0000-000095090000}"/>
    <cellStyle name="40 % - Accent5 29 2" xfId="3543" xr:uid="{00000000-0005-0000-0000-000096090000}"/>
    <cellStyle name="40 % - Accent5 29 2 2" xfId="6695" xr:uid="{00000000-0005-0000-0000-000097090000}"/>
    <cellStyle name="40 % - Accent5 29 3" xfId="5966" xr:uid="{00000000-0005-0000-0000-000098090000}"/>
    <cellStyle name="40 % - Accent5 3" xfId="228" xr:uid="{00000000-0005-0000-0000-000099090000}"/>
    <cellStyle name="40 % - Accent5 3 2" xfId="1142" xr:uid="{00000000-0005-0000-0000-00009A090000}"/>
    <cellStyle name="40 % - Accent5 3 2 2" xfId="6696" xr:uid="{00000000-0005-0000-0000-00009B090000}"/>
    <cellStyle name="40 % - Accent5 3 3" xfId="3544" xr:uid="{00000000-0005-0000-0000-00009C090000}"/>
    <cellStyle name="40 % - Accent5 3 4" xfId="5967" xr:uid="{00000000-0005-0000-0000-00009D090000}"/>
    <cellStyle name="40 % - Accent5 30" xfId="1143" xr:uid="{00000000-0005-0000-0000-00009E090000}"/>
    <cellStyle name="40 % - Accent5 30 2" xfId="3545" xr:uid="{00000000-0005-0000-0000-00009F090000}"/>
    <cellStyle name="40 % - Accent5 30 2 2" xfId="6697" xr:uid="{00000000-0005-0000-0000-0000A0090000}"/>
    <cellStyle name="40 % - Accent5 30 3" xfId="5968" xr:uid="{00000000-0005-0000-0000-0000A1090000}"/>
    <cellStyle name="40 % - Accent5 31" xfId="1144" xr:uid="{00000000-0005-0000-0000-0000A2090000}"/>
    <cellStyle name="40 % - Accent5 31 2" xfId="3546" xr:uid="{00000000-0005-0000-0000-0000A3090000}"/>
    <cellStyle name="40 % - Accent5 31 2 2" xfId="6698" xr:uid="{00000000-0005-0000-0000-0000A4090000}"/>
    <cellStyle name="40 % - Accent5 31 3" xfId="5969" xr:uid="{00000000-0005-0000-0000-0000A5090000}"/>
    <cellStyle name="40 % - Accent5 32" xfId="1145" xr:uid="{00000000-0005-0000-0000-0000A6090000}"/>
    <cellStyle name="40 % - Accent5 32 2" xfId="3547" xr:uid="{00000000-0005-0000-0000-0000A7090000}"/>
    <cellStyle name="40 % - Accent5 32 2 2" xfId="6699" xr:uid="{00000000-0005-0000-0000-0000A8090000}"/>
    <cellStyle name="40 % - Accent5 32 3" xfId="5970" xr:uid="{00000000-0005-0000-0000-0000A9090000}"/>
    <cellStyle name="40 % - Accent5 33" xfId="1146" xr:uid="{00000000-0005-0000-0000-0000AA090000}"/>
    <cellStyle name="40 % - Accent5 33 2" xfId="3548" xr:uid="{00000000-0005-0000-0000-0000AB090000}"/>
    <cellStyle name="40 % - Accent5 33 2 2" xfId="6700" xr:uid="{00000000-0005-0000-0000-0000AC090000}"/>
    <cellStyle name="40 % - Accent5 33 3" xfId="5971" xr:uid="{00000000-0005-0000-0000-0000AD090000}"/>
    <cellStyle name="40 % - Accent5 34" xfId="1147" xr:uid="{00000000-0005-0000-0000-0000AE090000}"/>
    <cellStyle name="40 % - Accent5 34 2" xfId="3549" xr:uid="{00000000-0005-0000-0000-0000AF090000}"/>
    <cellStyle name="40 % - Accent5 34 2 2" xfId="6701" xr:uid="{00000000-0005-0000-0000-0000B0090000}"/>
    <cellStyle name="40 % - Accent5 34 3" xfId="5972" xr:uid="{00000000-0005-0000-0000-0000B1090000}"/>
    <cellStyle name="40 % - Accent5 35" xfId="1148" xr:uid="{00000000-0005-0000-0000-0000B2090000}"/>
    <cellStyle name="40 % - Accent5 35 2" xfId="3550" xr:uid="{00000000-0005-0000-0000-0000B3090000}"/>
    <cellStyle name="40 % - Accent5 35 2 2" xfId="6702" xr:uid="{00000000-0005-0000-0000-0000B4090000}"/>
    <cellStyle name="40 % - Accent5 35 3" xfId="5973" xr:uid="{00000000-0005-0000-0000-0000B5090000}"/>
    <cellStyle name="40 % - Accent5 36" xfId="1149" xr:uid="{00000000-0005-0000-0000-0000B6090000}"/>
    <cellStyle name="40 % - Accent5 36 2" xfId="3551" xr:uid="{00000000-0005-0000-0000-0000B7090000}"/>
    <cellStyle name="40 % - Accent5 36 2 2" xfId="6703" xr:uid="{00000000-0005-0000-0000-0000B8090000}"/>
    <cellStyle name="40 % - Accent5 36 3" xfId="5974" xr:uid="{00000000-0005-0000-0000-0000B9090000}"/>
    <cellStyle name="40 % - Accent5 37" xfId="1150" xr:uid="{00000000-0005-0000-0000-0000BA090000}"/>
    <cellStyle name="40 % - Accent5 37 2" xfId="3552" xr:uid="{00000000-0005-0000-0000-0000BB090000}"/>
    <cellStyle name="40 % - Accent5 37 2 2" xfId="6704" xr:uid="{00000000-0005-0000-0000-0000BC090000}"/>
    <cellStyle name="40 % - Accent5 37 3" xfId="5975" xr:uid="{00000000-0005-0000-0000-0000BD090000}"/>
    <cellStyle name="40 % - Accent5 38" xfId="1151" xr:uid="{00000000-0005-0000-0000-0000BE090000}"/>
    <cellStyle name="40 % - Accent5 38 2" xfId="3553" xr:uid="{00000000-0005-0000-0000-0000BF090000}"/>
    <cellStyle name="40 % - Accent5 38 2 2" xfId="6705" xr:uid="{00000000-0005-0000-0000-0000C0090000}"/>
    <cellStyle name="40 % - Accent5 38 3" xfId="5976" xr:uid="{00000000-0005-0000-0000-0000C1090000}"/>
    <cellStyle name="40 % - Accent5 39" xfId="1152" xr:uid="{00000000-0005-0000-0000-0000C2090000}"/>
    <cellStyle name="40 % - Accent5 39 2" xfId="3554" xr:uid="{00000000-0005-0000-0000-0000C3090000}"/>
    <cellStyle name="40 % - Accent5 39 2 2" xfId="6706" xr:uid="{00000000-0005-0000-0000-0000C4090000}"/>
    <cellStyle name="40 % - Accent5 39 3" xfId="5977" xr:uid="{00000000-0005-0000-0000-0000C5090000}"/>
    <cellStyle name="40 % - Accent5 4" xfId="229" xr:uid="{00000000-0005-0000-0000-0000C6090000}"/>
    <cellStyle name="40 % - Accent5 4 2" xfId="1153" xr:uid="{00000000-0005-0000-0000-0000C7090000}"/>
    <cellStyle name="40 % - Accent5 4 2 2" xfId="6707" xr:uid="{00000000-0005-0000-0000-0000C8090000}"/>
    <cellStyle name="40 % - Accent5 4 3" xfId="3555" xr:uid="{00000000-0005-0000-0000-0000C9090000}"/>
    <cellStyle name="40 % - Accent5 4 4" xfId="5978" xr:uid="{00000000-0005-0000-0000-0000CA090000}"/>
    <cellStyle name="40 % - Accent5 40" xfId="1154" xr:uid="{00000000-0005-0000-0000-0000CB090000}"/>
    <cellStyle name="40 % - Accent5 40 2" xfId="3556" xr:uid="{00000000-0005-0000-0000-0000CC090000}"/>
    <cellStyle name="40 % - Accent5 40 2 2" xfId="6708" xr:uid="{00000000-0005-0000-0000-0000CD090000}"/>
    <cellStyle name="40 % - Accent5 40 3" xfId="5979" xr:uid="{00000000-0005-0000-0000-0000CE090000}"/>
    <cellStyle name="40 % - Accent5 41" xfId="1155" xr:uid="{00000000-0005-0000-0000-0000CF090000}"/>
    <cellStyle name="40 % - Accent5 41 2" xfId="3557" xr:uid="{00000000-0005-0000-0000-0000D0090000}"/>
    <cellStyle name="40 % - Accent5 41 2 2" xfId="6709" xr:uid="{00000000-0005-0000-0000-0000D1090000}"/>
    <cellStyle name="40 % - Accent5 41 3" xfId="5980" xr:uid="{00000000-0005-0000-0000-0000D2090000}"/>
    <cellStyle name="40 % - Accent5 42" xfId="1156" xr:uid="{00000000-0005-0000-0000-0000D3090000}"/>
    <cellStyle name="40 % - Accent5 42 2" xfId="3558" xr:uid="{00000000-0005-0000-0000-0000D4090000}"/>
    <cellStyle name="40 % - Accent5 42 2 2" xfId="6710" xr:uid="{00000000-0005-0000-0000-0000D5090000}"/>
    <cellStyle name="40 % - Accent5 42 3" xfId="5981" xr:uid="{00000000-0005-0000-0000-0000D6090000}"/>
    <cellStyle name="40 % - Accent5 43" xfId="1157" xr:uid="{00000000-0005-0000-0000-0000D7090000}"/>
    <cellStyle name="40 % - Accent5 43 2" xfId="3559" xr:uid="{00000000-0005-0000-0000-0000D8090000}"/>
    <cellStyle name="40 % - Accent5 43 2 2" xfId="6711" xr:uid="{00000000-0005-0000-0000-0000D9090000}"/>
    <cellStyle name="40 % - Accent5 43 3" xfId="5982" xr:uid="{00000000-0005-0000-0000-0000DA090000}"/>
    <cellStyle name="40 % - Accent5 44" xfId="1158" xr:uid="{00000000-0005-0000-0000-0000DB090000}"/>
    <cellStyle name="40 % - Accent5 44 2" xfId="3560" xr:uid="{00000000-0005-0000-0000-0000DC090000}"/>
    <cellStyle name="40 % - Accent5 44 2 2" xfId="6712" xr:uid="{00000000-0005-0000-0000-0000DD090000}"/>
    <cellStyle name="40 % - Accent5 44 3" xfId="5983" xr:uid="{00000000-0005-0000-0000-0000DE090000}"/>
    <cellStyle name="40 % - Accent5 45" xfId="1159" xr:uid="{00000000-0005-0000-0000-0000DF090000}"/>
    <cellStyle name="40 % - Accent5 45 2" xfId="3561" xr:uid="{00000000-0005-0000-0000-0000E0090000}"/>
    <cellStyle name="40 % - Accent5 45 2 2" xfId="6713" xr:uid="{00000000-0005-0000-0000-0000E1090000}"/>
    <cellStyle name="40 % - Accent5 45 3" xfId="5984" xr:uid="{00000000-0005-0000-0000-0000E2090000}"/>
    <cellStyle name="40 % - Accent5 46" xfId="1160" xr:uid="{00000000-0005-0000-0000-0000E3090000}"/>
    <cellStyle name="40 % - Accent5 46 2" xfId="3562" xr:uid="{00000000-0005-0000-0000-0000E4090000}"/>
    <cellStyle name="40 % - Accent5 46 2 2" xfId="6714" xr:uid="{00000000-0005-0000-0000-0000E5090000}"/>
    <cellStyle name="40 % - Accent5 46 3" xfId="5985" xr:uid="{00000000-0005-0000-0000-0000E6090000}"/>
    <cellStyle name="40 % - Accent5 47" xfId="1161" xr:uid="{00000000-0005-0000-0000-0000E7090000}"/>
    <cellStyle name="40 % - Accent5 47 2" xfId="3563" xr:uid="{00000000-0005-0000-0000-0000E8090000}"/>
    <cellStyle name="40 % - Accent5 47 2 2" xfId="6715" xr:uid="{00000000-0005-0000-0000-0000E9090000}"/>
    <cellStyle name="40 % - Accent5 47 3" xfId="5986" xr:uid="{00000000-0005-0000-0000-0000EA090000}"/>
    <cellStyle name="40 % - Accent5 48" xfId="1162" xr:uid="{00000000-0005-0000-0000-0000EB090000}"/>
    <cellStyle name="40 % - Accent5 48 2" xfId="3564" xr:uid="{00000000-0005-0000-0000-0000EC090000}"/>
    <cellStyle name="40 % - Accent5 48 2 2" xfId="6716" xr:uid="{00000000-0005-0000-0000-0000ED090000}"/>
    <cellStyle name="40 % - Accent5 48 3" xfId="5987" xr:uid="{00000000-0005-0000-0000-0000EE090000}"/>
    <cellStyle name="40 % - Accent5 49" xfId="1163" xr:uid="{00000000-0005-0000-0000-0000EF090000}"/>
    <cellStyle name="40 % - Accent5 49 2" xfId="3565" xr:uid="{00000000-0005-0000-0000-0000F0090000}"/>
    <cellStyle name="40 % - Accent5 49 2 2" xfId="6717" xr:uid="{00000000-0005-0000-0000-0000F1090000}"/>
    <cellStyle name="40 % - Accent5 49 3" xfId="5988" xr:uid="{00000000-0005-0000-0000-0000F2090000}"/>
    <cellStyle name="40 % - Accent5 5" xfId="230" xr:uid="{00000000-0005-0000-0000-0000F3090000}"/>
    <cellStyle name="40 % - Accent5 5 2" xfId="1164" xr:uid="{00000000-0005-0000-0000-0000F4090000}"/>
    <cellStyle name="40 % - Accent5 5 2 2" xfId="6718" xr:uid="{00000000-0005-0000-0000-0000F5090000}"/>
    <cellStyle name="40 % - Accent5 5 3" xfId="3566" xr:uid="{00000000-0005-0000-0000-0000F6090000}"/>
    <cellStyle name="40 % - Accent5 5 4" xfId="5989" xr:uid="{00000000-0005-0000-0000-0000F7090000}"/>
    <cellStyle name="40 % - Accent5 50" xfId="1165" xr:uid="{00000000-0005-0000-0000-0000F8090000}"/>
    <cellStyle name="40 % - Accent5 50 2" xfId="3567" xr:uid="{00000000-0005-0000-0000-0000F9090000}"/>
    <cellStyle name="40 % - Accent5 50 2 2" xfId="6719" xr:uid="{00000000-0005-0000-0000-0000FA090000}"/>
    <cellStyle name="40 % - Accent5 50 3" xfId="5990" xr:uid="{00000000-0005-0000-0000-0000FB090000}"/>
    <cellStyle name="40 % - Accent5 51" xfId="1166" xr:uid="{00000000-0005-0000-0000-0000FC090000}"/>
    <cellStyle name="40 % - Accent5 51 2" xfId="3568" xr:uid="{00000000-0005-0000-0000-0000FD090000}"/>
    <cellStyle name="40 % - Accent5 51 2 2" xfId="6720" xr:uid="{00000000-0005-0000-0000-0000FE090000}"/>
    <cellStyle name="40 % - Accent5 51 3" xfId="5991" xr:uid="{00000000-0005-0000-0000-0000FF090000}"/>
    <cellStyle name="40 % - Accent5 52" xfId="1167" xr:uid="{00000000-0005-0000-0000-0000000A0000}"/>
    <cellStyle name="40 % - Accent5 52 2" xfId="3569" xr:uid="{00000000-0005-0000-0000-0000010A0000}"/>
    <cellStyle name="40 % - Accent5 52 2 2" xfId="6721" xr:uid="{00000000-0005-0000-0000-0000020A0000}"/>
    <cellStyle name="40 % - Accent5 52 3" xfId="5992" xr:uid="{00000000-0005-0000-0000-0000030A0000}"/>
    <cellStyle name="40 % - Accent5 53" xfId="1168" xr:uid="{00000000-0005-0000-0000-0000040A0000}"/>
    <cellStyle name="40 % - Accent5 53 2" xfId="3570" xr:uid="{00000000-0005-0000-0000-0000050A0000}"/>
    <cellStyle name="40 % - Accent5 53 2 2" xfId="6722" xr:uid="{00000000-0005-0000-0000-0000060A0000}"/>
    <cellStyle name="40 % - Accent5 53 3" xfId="5993" xr:uid="{00000000-0005-0000-0000-0000070A0000}"/>
    <cellStyle name="40 % - Accent5 54" xfId="1169" xr:uid="{00000000-0005-0000-0000-0000080A0000}"/>
    <cellStyle name="40 % - Accent5 54 2" xfId="3571" xr:uid="{00000000-0005-0000-0000-0000090A0000}"/>
    <cellStyle name="40 % - Accent5 54 2 2" xfId="6723" xr:uid="{00000000-0005-0000-0000-00000A0A0000}"/>
    <cellStyle name="40 % - Accent5 54 3" xfId="5994" xr:uid="{00000000-0005-0000-0000-00000B0A0000}"/>
    <cellStyle name="40 % - Accent5 55" xfId="1170" xr:uid="{00000000-0005-0000-0000-00000C0A0000}"/>
    <cellStyle name="40 % - Accent5 55 2" xfId="3572" xr:uid="{00000000-0005-0000-0000-00000D0A0000}"/>
    <cellStyle name="40 % - Accent5 55 2 2" xfId="6724" xr:uid="{00000000-0005-0000-0000-00000E0A0000}"/>
    <cellStyle name="40 % - Accent5 55 3" xfId="5995" xr:uid="{00000000-0005-0000-0000-00000F0A0000}"/>
    <cellStyle name="40 % - Accent5 56" xfId="1171" xr:uid="{00000000-0005-0000-0000-0000100A0000}"/>
    <cellStyle name="40 % - Accent5 56 2" xfId="3573" xr:uid="{00000000-0005-0000-0000-0000110A0000}"/>
    <cellStyle name="40 % - Accent5 56 2 2" xfId="6725" xr:uid="{00000000-0005-0000-0000-0000120A0000}"/>
    <cellStyle name="40 % - Accent5 56 3" xfId="5996" xr:uid="{00000000-0005-0000-0000-0000130A0000}"/>
    <cellStyle name="40 % - Accent5 57" xfId="1172" xr:uid="{00000000-0005-0000-0000-0000140A0000}"/>
    <cellStyle name="40 % - Accent5 57 2" xfId="3574" xr:uid="{00000000-0005-0000-0000-0000150A0000}"/>
    <cellStyle name="40 % - Accent5 57 2 2" xfId="6726" xr:uid="{00000000-0005-0000-0000-0000160A0000}"/>
    <cellStyle name="40 % - Accent5 57 3" xfId="5997" xr:uid="{00000000-0005-0000-0000-0000170A0000}"/>
    <cellStyle name="40 % - Accent5 58" xfId="1173" xr:uid="{00000000-0005-0000-0000-0000180A0000}"/>
    <cellStyle name="40 % - Accent5 58 2" xfId="3575" xr:uid="{00000000-0005-0000-0000-0000190A0000}"/>
    <cellStyle name="40 % - Accent5 58 2 2" xfId="6727" xr:uid="{00000000-0005-0000-0000-00001A0A0000}"/>
    <cellStyle name="40 % - Accent5 58 3" xfId="5998" xr:uid="{00000000-0005-0000-0000-00001B0A0000}"/>
    <cellStyle name="40 % - Accent5 59" xfId="1174" xr:uid="{00000000-0005-0000-0000-00001C0A0000}"/>
    <cellStyle name="40 % - Accent5 59 2" xfId="3576" xr:uid="{00000000-0005-0000-0000-00001D0A0000}"/>
    <cellStyle name="40 % - Accent5 59 2 2" xfId="6728" xr:uid="{00000000-0005-0000-0000-00001E0A0000}"/>
    <cellStyle name="40 % - Accent5 59 3" xfId="5999" xr:uid="{00000000-0005-0000-0000-00001F0A0000}"/>
    <cellStyle name="40 % - Accent5 6" xfId="231" xr:uid="{00000000-0005-0000-0000-0000200A0000}"/>
    <cellStyle name="40 % - Accent5 6 2" xfId="1175" xr:uid="{00000000-0005-0000-0000-0000210A0000}"/>
    <cellStyle name="40 % - Accent5 6 2 2" xfId="6729" xr:uid="{00000000-0005-0000-0000-0000220A0000}"/>
    <cellStyle name="40 % - Accent5 6 3" xfId="3577" xr:uid="{00000000-0005-0000-0000-0000230A0000}"/>
    <cellStyle name="40 % - Accent5 6 4" xfId="6000" xr:uid="{00000000-0005-0000-0000-0000240A0000}"/>
    <cellStyle name="40 % - Accent5 7" xfId="232" xr:uid="{00000000-0005-0000-0000-0000250A0000}"/>
    <cellStyle name="40 % - Accent5 7 2" xfId="1176" xr:uid="{00000000-0005-0000-0000-0000260A0000}"/>
    <cellStyle name="40 % - Accent5 7 2 2" xfId="6730" xr:uid="{00000000-0005-0000-0000-0000270A0000}"/>
    <cellStyle name="40 % - Accent5 7 3" xfId="3578" xr:uid="{00000000-0005-0000-0000-0000280A0000}"/>
    <cellStyle name="40 % - Accent5 7 4" xfId="6001" xr:uid="{00000000-0005-0000-0000-0000290A0000}"/>
    <cellStyle name="40 % - Accent5 8" xfId="233" xr:uid="{00000000-0005-0000-0000-00002A0A0000}"/>
    <cellStyle name="40 % - Accent5 8 2" xfId="1177" xr:uid="{00000000-0005-0000-0000-00002B0A0000}"/>
    <cellStyle name="40 % - Accent5 8 2 2" xfId="6731" xr:uid="{00000000-0005-0000-0000-00002C0A0000}"/>
    <cellStyle name="40 % - Accent5 8 3" xfId="3579" xr:uid="{00000000-0005-0000-0000-00002D0A0000}"/>
    <cellStyle name="40 % - Accent5 8 4" xfId="6002" xr:uid="{00000000-0005-0000-0000-00002E0A0000}"/>
    <cellStyle name="40 % - Accent5 9" xfId="1178" xr:uid="{00000000-0005-0000-0000-00002F0A0000}"/>
    <cellStyle name="40 % - Accent5 9 2" xfId="3580" xr:uid="{00000000-0005-0000-0000-0000300A0000}"/>
    <cellStyle name="40 % - Accent5 9 2 2" xfId="6732" xr:uid="{00000000-0005-0000-0000-0000310A0000}"/>
    <cellStyle name="40 % - Accent5 9 3" xfId="6003" xr:uid="{00000000-0005-0000-0000-0000320A0000}"/>
    <cellStyle name="40 % - Accent6 10" xfId="1179" xr:uid="{00000000-0005-0000-0000-0000330A0000}"/>
    <cellStyle name="40 % - Accent6 10 2" xfId="3581" xr:uid="{00000000-0005-0000-0000-0000340A0000}"/>
    <cellStyle name="40 % - Accent6 10 2 2" xfId="6733" xr:uid="{00000000-0005-0000-0000-0000350A0000}"/>
    <cellStyle name="40 % - Accent6 10 3" xfId="6004" xr:uid="{00000000-0005-0000-0000-0000360A0000}"/>
    <cellStyle name="40 % - Accent6 11" xfId="1180" xr:uid="{00000000-0005-0000-0000-0000370A0000}"/>
    <cellStyle name="40 % - Accent6 11 2" xfId="3582" xr:uid="{00000000-0005-0000-0000-0000380A0000}"/>
    <cellStyle name="40 % - Accent6 11 2 2" xfId="6734" xr:uid="{00000000-0005-0000-0000-0000390A0000}"/>
    <cellStyle name="40 % - Accent6 11 3" xfId="6005" xr:uid="{00000000-0005-0000-0000-00003A0A0000}"/>
    <cellStyle name="40 % - Accent6 12" xfId="1181" xr:uid="{00000000-0005-0000-0000-00003B0A0000}"/>
    <cellStyle name="40 % - Accent6 12 2" xfId="3583" xr:uid="{00000000-0005-0000-0000-00003C0A0000}"/>
    <cellStyle name="40 % - Accent6 12 2 2" xfId="6735" xr:uid="{00000000-0005-0000-0000-00003D0A0000}"/>
    <cellStyle name="40 % - Accent6 12 3" xfId="6006" xr:uid="{00000000-0005-0000-0000-00003E0A0000}"/>
    <cellStyle name="40 % - Accent6 13" xfId="1182" xr:uid="{00000000-0005-0000-0000-00003F0A0000}"/>
    <cellStyle name="40 % - Accent6 13 2" xfId="3584" xr:uid="{00000000-0005-0000-0000-0000400A0000}"/>
    <cellStyle name="40 % - Accent6 13 2 2" xfId="6736" xr:uid="{00000000-0005-0000-0000-0000410A0000}"/>
    <cellStyle name="40 % - Accent6 13 3" xfId="6007" xr:uid="{00000000-0005-0000-0000-0000420A0000}"/>
    <cellStyle name="40 % - Accent6 14" xfId="1183" xr:uid="{00000000-0005-0000-0000-0000430A0000}"/>
    <cellStyle name="40 % - Accent6 14 2" xfId="3585" xr:uid="{00000000-0005-0000-0000-0000440A0000}"/>
    <cellStyle name="40 % - Accent6 14 2 2" xfId="6737" xr:uid="{00000000-0005-0000-0000-0000450A0000}"/>
    <cellStyle name="40 % - Accent6 14 3" xfId="6008" xr:uid="{00000000-0005-0000-0000-0000460A0000}"/>
    <cellStyle name="40 % - Accent6 15" xfId="1184" xr:uid="{00000000-0005-0000-0000-0000470A0000}"/>
    <cellStyle name="40 % - Accent6 15 2" xfId="3586" xr:uid="{00000000-0005-0000-0000-0000480A0000}"/>
    <cellStyle name="40 % - Accent6 15 2 2" xfId="6738" xr:uid="{00000000-0005-0000-0000-0000490A0000}"/>
    <cellStyle name="40 % - Accent6 15 3" xfId="6009" xr:uid="{00000000-0005-0000-0000-00004A0A0000}"/>
    <cellStyle name="40 % - Accent6 16" xfId="1185" xr:uid="{00000000-0005-0000-0000-00004B0A0000}"/>
    <cellStyle name="40 % - Accent6 16 2" xfId="3587" xr:uid="{00000000-0005-0000-0000-00004C0A0000}"/>
    <cellStyle name="40 % - Accent6 16 2 2" xfId="6739" xr:uid="{00000000-0005-0000-0000-00004D0A0000}"/>
    <cellStyle name="40 % - Accent6 16 3" xfId="6010" xr:uid="{00000000-0005-0000-0000-00004E0A0000}"/>
    <cellStyle name="40 % - Accent6 17" xfId="1186" xr:uid="{00000000-0005-0000-0000-00004F0A0000}"/>
    <cellStyle name="40 % - Accent6 17 2" xfId="3588" xr:uid="{00000000-0005-0000-0000-0000500A0000}"/>
    <cellStyle name="40 % - Accent6 17 2 2" xfId="6740" xr:uid="{00000000-0005-0000-0000-0000510A0000}"/>
    <cellStyle name="40 % - Accent6 17 3" xfId="6011" xr:uid="{00000000-0005-0000-0000-0000520A0000}"/>
    <cellStyle name="40 % - Accent6 18" xfId="1187" xr:uid="{00000000-0005-0000-0000-0000530A0000}"/>
    <cellStyle name="40 % - Accent6 18 2" xfId="3589" xr:uid="{00000000-0005-0000-0000-0000540A0000}"/>
    <cellStyle name="40 % - Accent6 18 2 2" xfId="6741" xr:uid="{00000000-0005-0000-0000-0000550A0000}"/>
    <cellStyle name="40 % - Accent6 18 3" xfId="6012" xr:uid="{00000000-0005-0000-0000-0000560A0000}"/>
    <cellStyle name="40 % - Accent6 19" xfId="1188" xr:uid="{00000000-0005-0000-0000-0000570A0000}"/>
    <cellStyle name="40 % - Accent6 19 2" xfId="3590" xr:uid="{00000000-0005-0000-0000-0000580A0000}"/>
    <cellStyle name="40 % - Accent6 19 2 2" xfId="6742" xr:uid="{00000000-0005-0000-0000-0000590A0000}"/>
    <cellStyle name="40 % - Accent6 19 3" xfId="6013" xr:uid="{00000000-0005-0000-0000-00005A0A0000}"/>
    <cellStyle name="40 % - Accent6 2" xfId="16" xr:uid="{00000000-0005-0000-0000-00005B0A0000}"/>
    <cellStyle name="40 % - Accent6 2 2" xfId="1189" xr:uid="{00000000-0005-0000-0000-00005C0A0000}"/>
    <cellStyle name="40 % - Accent6 2 3" xfId="3591" xr:uid="{00000000-0005-0000-0000-00005D0A0000}"/>
    <cellStyle name="40 % - Accent6 20" xfId="1190" xr:uid="{00000000-0005-0000-0000-00005E0A0000}"/>
    <cellStyle name="40 % - Accent6 20 2" xfId="3592" xr:uid="{00000000-0005-0000-0000-00005F0A0000}"/>
    <cellStyle name="40 % - Accent6 20 2 2" xfId="6743" xr:uid="{00000000-0005-0000-0000-0000600A0000}"/>
    <cellStyle name="40 % - Accent6 20 3" xfId="6014" xr:uid="{00000000-0005-0000-0000-0000610A0000}"/>
    <cellStyle name="40 % - Accent6 21" xfId="1191" xr:uid="{00000000-0005-0000-0000-0000620A0000}"/>
    <cellStyle name="40 % - Accent6 21 2" xfId="3593" xr:uid="{00000000-0005-0000-0000-0000630A0000}"/>
    <cellStyle name="40 % - Accent6 21 2 2" xfId="6744" xr:uid="{00000000-0005-0000-0000-0000640A0000}"/>
    <cellStyle name="40 % - Accent6 21 3" xfId="6015" xr:uid="{00000000-0005-0000-0000-0000650A0000}"/>
    <cellStyle name="40 % - Accent6 22" xfId="1192" xr:uid="{00000000-0005-0000-0000-0000660A0000}"/>
    <cellStyle name="40 % - Accent6 22 2" xfId="3594" xr:uid="{00000000-0005-0000-0000-0000670A0000}"/>
    <cellStyle name="40 % - Accent6 22 2 2" xfId="6745" xr:uid="{00000000-0005-0000-0000-0000680A0000}"/>
    <cellStyle name="40 % - Accent6 22 3" xfId="6016" xr:uid="{00000000-0005-0000-0000-0000690A0000}"/>
    <cellStyle name="40 % - Accent6 23" xfId="1193" xr:uid="{00000000-0005-0000-0000-00006A0A0000}"/>
    <cellStyle name="40 % - Accent6 23 2" xfId="3595" xr:uid="{00000000-0005-0000-0000-00006B0A0000}"/>
    <cellStyle name="40 % - Accent6 23 2 2" xfId="6746" xr:uid="{00000000-0005-0000-0000-00006C0A0000}"/>
    <cellStyle name="40 % - Accent6 23 3" xfId="6017" xr:uid="{00000000-0005-0000-0000-00006D0A0000}"/>
    <cellStyle name="40 % - Accent6 24" xfId="1194" xr:uid="{00000000-0005-0000-0000-00006E0A0000}"/>
    <cellStyle name="40 % - Accent6 24 2" xfId="3596" xr:uid="{00000000-0005-0000-0000-00006F0A0000}"/>
    <cellStyle name="40 % - Accent6 24 2 2" xfId="6747" xr:uid="{00000000-0005-0000-0000-0000700A0000}"/>
    <cellStyle name="40 % - Accent6 24 3" xfId="6018" xr:uid="{00000000-0005-0000-0000-0000710A0000}"/>
    <cellStyle name="40 % - Accent6 25" xfId="1195" xr:uid="{00000000-0005-0000-0000-0000720A0000}"/>
    <cellStyle name="40 % - Accent6 25 2" xfId="3597" xr:uid="{00000000-0005-0000-0000-0000730A0000}"/>
    <cellStyle name="40 % - Accent6 25 2 2" xfId="6748" xr:uid="{00000000-0005-0000-0000-0000740A0000}"/>
    <cellStyle name="40 % - Accent6 25 3" xfId="6019" xr:uid="{00000000-0005-0000-0000-0000750A0000}"/>
    <cellStyle name="40 % - Accent6 26" xfId="1196" xr:uid="{00000000-0005-0000-0000-0000760A0000}"/>
    <cellStyle name="40 % - Accent6 26 2" xfId="3598" xr:uid="{00000000-0005-0000-0000-0000770A0000}"/>
    <cellStyle name="40 % - Accent6 26 2 2" xfId="6749" xr:uid="{00000000-0005-0000-0000-0000780A0000}"/>
    <cellStyle name="40 % - Accent6 26 3" xfId="6020" xr:uid="{00000000-0005-0000-0000-0000790A0000}"/>
    <cellStyle name="40 % - Accent6 27" xfId="1197" xr:uid="{00000000-0005-0000-0000-00007A0A0000}"/>
    <cellStyle name="40 % - Accent6 27 2" xfId="3599" xr:uid="{00000000-0005-0000-0000-00007B0A0000}"/>
    <cellStyle name="40 % - Accent6 27 2 2" xfId="6750" xr:uid="{00000000-0005-0000-0000-00007C0A0000}"/>
    <cellStyle name="40 % - Accent6 27 3" xfId="6021" xr:uid="{00000000-0005-0000-0000-00007D0A0000}"/>
    <cellStyle name="40 % - Accent6 28" xfId="1198" xr:uid="{00000000-0005-0000-0000-00007E0A0000}"/>
    <cellStyle name="40 % - Accent6 28 2" xfId="3600" xr:uid="{00000000-0005-0000-0000-00007F0A0000}"/>
    <cellStyle name="40 % - Accent6 28 2 2" xfId="6751" xr:uid="{00000000-0005-0000-0000-0000800A0000}"/>
    <cellStyle name="40 % - Accent6 28 3" xfId="6022" xr:uid="{00000000-0005-0000-0000-0000810A0000}"/>
    <cellStyle name="40 % - Accent6 29" xfId="1199" xr:uid="{00000000-0005-0000-0000-0000820A0000}"/>
    <cellStyle name="40 % - Accent6 29 2" xfId="3601" xr:uid="{00000000-0005-0000-0000-0000830A0000}"/>
    <cellStyle name="40 % - Accent6 29 2 2" xfId="6752" xr:uid="{00000000-0005-0000-0000-0000840A0000}"/>
    <cellStyle name="40 % - Accent6 29 3" xfId="6023" xr:uid="{00000000-0005-0000-0000-0000850A0000}"/>
    <cellStyle name="40 % - Accent6 3" xfId="234" xr:uid="{00000000-0005-0000-0000-0000860A0000}"/>
    <cellStyle name="40 % - Accent6 3 2" xfId="1200" xr:uid="{00000000-0005-0000-0000-0000870A0000}"/>
    <cellStyle name="40 % - Accent6 3 2 2" xfId="6753" xr:uid="{00000000-0005-0000-0000-0000880A0000}"/>
    <cellStyle name="40 % - Accent6 3 3" xfId="3602" xr:uid="{00000000-0005-0000-0000-0000890A0000}"/>
    <cellStyle name="40 % - Accent6 3 4" xfId="6024" xr:uid="{00000000-0005-0000-0000-00008A0A0000}"/>
    <cellStyle name="40 % - Accent6 30" xfId="1201" xr:uid="{00000000-0005-0000-0000-00008B0A0000}"/>
    <cellStyle name="40 % - Accent6 30 2" xfId="3603" xr:uid="{00000000-0005-0000-0000-00008C0A0000}"/>
    <cellStyle name="40 % - Accent6 30 2 2" xfId="6754" xr:uid="{00000000-0005-0000-0000-00008D0A0000}"/>
    <cellStyle name="40 % - Accent6 30 3" xfId="6025" xr:uid="{00000000-0005-0000-0000-00008E0A0000}"/>
    <cellStyle name="40 % - Accent6 31" xfId="1202" xr:uid="{00000000-0005-0000-0000-00008F0A0000}"/>
    <cellStyle name="40 % - Accent6 31 2" xfId="3604" xr:uid="{00000000-0005-0000-0000-0000900A0000}"/>
    <cellStyle name="40 % - Accent6 31 2 2" xfId="6755" xr:uid="{00000000-0005-0000-0000-0000910A0000}"/>
    <cellStyle name="40 % - Accent6 31 3" xfId="6026" xr:uid="{00000000-0005-0000-0000-0000920A0000}"/>
    <cellStyle name="40 % - Accent6 32" xfId="1203" xr:uid="{00000000-0005-0000-0000-0000930A0000}"/>
    <cellStyle name="40 % - Accent6 32 2" xfId="3605" xr:uid="{00000000-0005-0000-0000-0000940A0000}"/>
    <cellStyle name="40 % - Accent6 32 2 2" xfId="6756" xr:uid="{00000000-0005-0000-0000-0000950A0000}"/>
    <cellStyle name="40 % - Accent6 32 3" xfId="6027" xr:uid="{00000000-0005-0000-0000-0000960A0000}"/>
    <cellStyle name="40 % - Accent6 33" xfId="1204" xr:uid="{00000000-0005-0000-0000-0000970A0000}"/>
    <cellStyle name="40 % - Accent6 33 2" xfId="3606" xr:uid="{00000000-0005-0000-0000-0000980A0000}"/>
    <cellStyle name="40 % - Accent6 33 2 2" xfId="6757" xr:uid="{00000000-0005-0000-0000-0000990A0000}"/>
    <cellStyle name="40 % - Accent6 33 3" xfId="6028" xr:uid="{00000000-0005-0000-0000-00009A0A0000}"/>
    <cellStyle name="40 % - Accent6 34" xfId="1205" xr:uid="{00000000-0005-0000-0000-00009B0A0000}"/>
    <cellStyle name="40 % - Accent6 34 2" xfId="3607" xr:uid="{00000000-0005-0000-0000-00009C0A0000}"/>
    <cellStyle name="40 % - Accent6 34 2 2" xfId="6758" xr:uid="{00000000-0005-0000-0000-00009D0A0000}"/>
    <cellStyle name="40 % - Accent6 34 3" xfId="6029" xr:uid="{00000000-0005-0000-0000-00009E0A0000}"/>
    <cellStyle name="40 % - Accent6 35" xfId="1206" xr:uid="{00000000-0005-0000-0000-00009F0A0000}"/>
    <cellStyle name="40 % - Accent6 35 2" xfId="3608" xr:uid="{00000000-0005-0000-0000-0000A00A0000}"/>
    <cellStyle name="40 % - Accent6 35 2 2" xfId="6759" xr:uid="{00000000-0005-0000-0000-0000A10A0000}"/>
    <cellStyle name="40 % - Accent6 35 3" xfId="6030" xr:uid="{00000000-0005-0000-0000-0000A20A0000}"/>
    <cellStyle name="40 % - Accent6 36" xfId="1207" xr:uid="{00000000-0005-0000-0000-0000A30A0000}"/>
    <cellStyle name="40 % - Accent6 36 2" xfId="3609" xr:uid="{00000000-0005-0000-0000-0000A40A0000}"/>
    <cellStyle name="40 % - Accent6 36 2 2" xfId="6760" xr:uid="{00000000-0005-0000-0000-0000A50A0000}"/>
    <cellStyle name="40 % - Accent6 36 3" xfId="6031" xr:uid="{00000000-0005-0000-0000-0000A60A0000}"/>
    <cellStyle name="40 % - Accent6 37" xfId="1208" xr:uid="{00000000-0005-0000-0000-0000A70A0000}"/>
    <cellStyle name="40 % - Accent6 37 2" xfId="3610" xr:uid="{00000000-0005-0000-0000-0000A80A0000}"/>
    <cellStyle name="40 % - Accent6 37 2 2" xfId="6761" xr:uid="{00000000-0005-0000-0000-0000A90A0000}"/>
    <cellStyle name="40 % - Accent6 37 3" xfId="6032" xr:uid="{00000000-0005-0000-0000-0000AA0A0000}"/>
    <cellStyle name="40 % - Accent6 38" xfId="1209" xr:uid="{00000000-0005-0000-0000-0000AB0A0000}"/>
    <cellStyle name="40 % - Accent6 38 2" xfId="3611" xr:uid="{00000000-0005-0000-0000-0000AC0A0000}"/>
    <cellStyle name="40 % - Accent6 38 2 2" xfId="6762" xr:uid="{00000000-0005-0000-0000-0000AD0A0000}"/>
    <cellStyle name="40 % - Accent6 38 3" xfId="6033" xr:uid="{00000000-0005-0000-0000-0000AE0A0000}"/>
    <cellStyle name="40 % - Accent6 39" xfId="1210" xr:uid="{00000000-0005-0000-0000-0000AF0A0000}"/>
    <cellStyle name="40 % - Accent6 39 2" xfId="3612" xr:uid="{00000000-0005-0000-0000-0000B00A0000}"/>
    <cellStyle name="40 % - Accent6 39 2 2" xfId="6763" xr:uid="{00000000-0005-0000-0000-0000B10A0000}"/>
    <cellStyle name="40 % - Accent6 39 3" xfId="6034" xr:uid="{00000000-0005-0000-0000-0000B20A0000}"/>
    <cellStyle name="40 % - Accent6 4" xfId="235" xr:uid="{00000000-0005-0000-0000-0000B30A0000}"/>
    <cellStyle name="40 % - Accent6 4 2" xfId="1211" xr:uid="{00000000-0005-0000-0000-0000B40A0000}"/>
    <cellStyle name="40 % - Accent6 4 2 2" xfId="6764" xr:uid="{00000000-0005-0000-0000-0000B50A0000}"/>
    <cellStyle name="40 % - Accent6 4 3" xfId="3613" xr:uid="{00000000-0005-0000-0000-0000B60A0000}"/>
    <cellStyle name="40 % - Accent6 4 4" xfId="6035" xr:uid="{00000000-0005-0000-0000-0000B70A0000}"/>
    <cellStyle name="40 % - Accent6 40" xfId="1212" xr:uid="{00000000-0005-0000-0000-0000B80A0000}"/>
    <cellStyle name="40 % - Accent6 40 2" xfId="3614" xr:uid="{00000000-0005-0000-0000-0000B90A0000}"/>
    <cellStyle name="40 % - Accent6 40 2 2" xfId="6765" xr:uid="{00000000-0005-0000-0000-0000BA0A0000}"/>
    <cellStyle name="40 % - Accent6 40 3" xfId="6036" xr:uid="{00000000-0005-0000-0000-0000BB0A0000}"/>
    <cellStyle name="40 % - Accent6 41" xfId="1213" xr:uid="{00000000-0005-0000-0000-0000BC0A0000}"/>
    <cellStyle name="40 % - Accent6 41 2" xfId="3615" xr:uid="{00000000-0005-0000-0000-0000BD0A0000}"/>
    <cellStyle name="40 % - Accent6 41 2 2" xfId="6766" xr:uid="{00000000-0005-0000-0000-0000BE0A0000}"/>
    <cellStyle name="40 % - Accent6 41 3" xfId="6037" xr:uid="{00000000-0005-0000-0000-0000BF0A0000}"/>
    <cellStyle name="40 % - Accent6 42" xfId="1214" xr:uid="{00000000-0005-0000-0000-0000C00A0000}"/>
    <cellStyle name="40 % - Accent6 42 2" xfId="3616" xr:uid="{00000000-0005-0000-0000-0000C10A0000}"/>
    <cellStyle name="40 % - Accent6 42 2 2" xfId="6767" xr:uid="{00000000-0005-0000-0000-0000C20A0000}"/>
    <cellStyle name="40 % - Accent6 42 3" xfId="6038" xr:uid="{00000000-0005-0000-0000-0000C30A0000}"/>
    <cellStyle name="40 % - Accent6 43" xfId="1215" xr:uid="{00000000-0005-0000-0000-0000C40A0000}"/>
    <cellStyle name="40 % - Accent6 43 2" xfId="3617" xr:uid="{00000000-0005-0000-0000-0000C50A0000}"/>
    <cellStyle name="40 % - Accent6 43 2 2" xfId="6768" xr:uid="{00000000-0005-0000-0000-0000C60A0000}"/>
    <cellStyle name="40 % - Accent6 43 3" xfId="6039" xr:uid="{00000000-0005-0000-0000-0000C70A0000}"/>
    <cellStyle name="40 % - Accent6 44" xfId="1216" xr:uid="{00000000-0005-0000-0000-0000C80A0000}"/>
    <cellStyle name="40 % - Accent6 44 2" xfId="3618" xr:uid="{00000000-0005-0000-0000-0000C90A0000}"/>
    <cellStyle name="40 % - Accent6 44 2 2" xfId="6769" xr:uid="{00000000-0005-0000-0000-0000CA0A0000}"/>
    <cellStyle name="40 % - Accent6 44 3" xfId="6040" xr:uid="{00000000-0005-0000-0000-0000CB0A0000}"/>
    <cellStyle name="40 % - Accent6 45" xfId="1217" xr:uid="{00000000-0005-0000-0000-0000CC0A0000}"/>
    <cellStyle name="40 % - Accent6 45 2" xfId="3619" xr:uid="{00000000-0005-0000-0000-0000CD0A0000}"/>
    <cellStyle name="40 % - Accent6 45 2 2" xfId="6770" xr:uid="{00000000-0005-0000-0000-0000CE0A0000}"/>
    <cellStyle name="40 % - Accent6 45 3" xfId="6041" xr:uid="{00000000-0005-0000-0000-0000CF0A0000}"/>
    <cellStyle name="40 % - Accent6 46" xfId="1218" xr:uid="{00000000-0005-0000-0000-0000D00A0000}"/>
    <cellStyle name="40 % - Accent6 46 2" xfId="3620" xr:uid="{00000000-0005-0000-0000-0000D10A0000}"/>
    <cellStyle name="40 % - Accent6 46 2 2" xfId="6771" xr:uid="{00000000-0005-0000-0000-0000D20A0000}"/>
    <cellStyle name="40 % - Accent6 46 3" xfId="6042" xr:uid="{00000000-0005-0000-0000-0000D30A0000}"/>
    <cellStyle name="40 % - Accent6 47" xfId="1219" xr:uid="{00000000-0005-0000-0000-0000D40A0000}"/>
    <cellStyle name="40 % - Accent6 47 2" xfId="3621" xr:uid="{00000000-0005-0000-0000-0000D50A0000}"/>
    <cellStyle name="40 % - Accent6 47 2 2" xfId="6772" xr:uid="{00000000-0005-0000-0000-0000D60A0000}"/>
    <cellStyle name="40 % - Accent6 47 3" xfId="6043" xr:uid="{00000000-0005-0000-0000-0000D70A0000}"/>
    <cellStyle name="40 % - Accent6 48" xfId="1220" xr:uid="{00000000-0005-0000-0000-0000D80A0000}"/>
    <cellStyle name="40 % - Accent6 48 2" xfId="3622" xr:uid="{00000000-0005-0000-0000-0000D90A0000}"/>
    <cellStyle name="40 % - Accent6 48 2 2" xfId="6773" xr:uid="{00000000-0005-0000-0000-0000DA0A0000}"/>
    <cellStyle name="40 % - Accent6 48 3" xfId="6044" xr:uid="{00000000-0005-0000-0000-0000DB0A0000}"/>
    <cellStyle name="40 % - Accent6 49" xfId="1221" xr:uid="{00000000-0005-0000-0000-0000DC0A0000}"/>
    <cellStyle name="40 % - Accent6 49 2" xfId="3623" xr:uid="{00000000-0005-0000-0000-0000DD0A0000}"/>
    <cellStyle name="40 % - Accent6 49 2 2" xfId="6774" xr:uid="{00000000-0005-0000-0000-0000DE0A0000}"/>
    <cellStyle name="40 % - Accent6 49 3" xfId="6045" xr:uid="{00000000-0005-0000-0000-0000DF0A0000}"/>
    <cellStyle name="40 % - Accent6 5" xfId="236" xr:uid="{00000000-0005-0000-0000-0000E00A0000}"/>
    <cellStyle name="40 % - Accent6 5 2" xfId="1222" xr:uid="{00000000-0005-0000-0000-0000E10A0000}"/>
    <cellStyle name="40 % - Accent6 5 2 2" xfId="6775" xr:uid="{00000000-0005-0000-0000-0000E20A0000}"/>
    <cellStyle name="40 % - Accent6 5 3" xfId="3624" xr:uid="{00000000-0005-0000-0000-0000E30A0000}"/>
    <cellStyle name="40 % - Accent6 5 4" xfId="6046" xr:uid="{00000000-0005-0000-0000-0000E40A0000}"/>
    <cellStyle name="40 % - Accent6 50" xfId="1223" xr:uid="{00000000-0005-0000-0000-0000E50A0000}"/>
    <cellStyle name="40 % - Accent6 50 2" xfId="3625" xr:uid="{00000000-0005-0000-0000-0000E60A0000}"/>
    <cellStyle name="40 % - Accent6 50 2 2" xfId="6776" xr:uid="{00000000-0005-0000-0000-0000E70A0000}"/>
    <cellStyle name="40 % - Accent6 50 3" xfId="6047" xr:uid="{00000000-0005-0000-0000-0000E80A0000}"/>
    <cellStyle name="40 % - Accent6 51" xfId="1224" xr:uid="{00000000-0005-0000-0000-0000E90A0000}"/>
    <cellStyle name="40 % - Accent6 51 2" xfId="3626" xr:uid="{00000000-0005-0000-0000-0000EA0A0000}"/>
    <cellStyle name="40 % - Accent6 51 2 2" xfId="6777" xr:uid="{00000000-0005-0000-0000-0000EB0A0000}"/>
    <cellStyle name="40 % - Accent6 51 3" xfId="6048" xr:uid="{00000000-0005-0000-0000-0000EC0A0000}"/>
    <cellStyle name="40 % - Accent6 52" xfId="1225" xr:uid="{00000000-0005-0000-0000-0000ED0A0000}"/>
    <cellStyle name="40 % - Accent6 52 2" xfId="3627" xr:uid="{00000000-0005-0000-0000-0000EE0A0000}"/>
    <cellStyle name="40 % - Accent6 52 2 2" xfId="6778" xr:uid="{00000000-0005-0000-0000-0000EF0A0000}"/>
    <cellStyle name="40 % - Accent6 52 3" xfId="6049" xr:uid="{00000000-0005-0000-0000-0000F00A0000}"/>
    <cellStyle name="40 % - Accent6 53" xfId="1226" xr:uid="{00000000-0005-0000-0000-0000F10A0000}"/>
    <cellStyle name="40 % - Accent6 53 2" xfId="3628" xr:uid="{00000000-0005-0000-0000-0000F20A0000}"/>
    <cellStyle name="40 % - Accent6 53 2 2" xfId="6779" xr:uid="{00000000-0005-0000-0000-0000F30A0000}"/>
    <cellStyle name="40 % - Accent6 53 3" xfId="6050" xr:uid="{00000000-0005-0000-0000-0000F40A0000}"/>
    <cellStyle name="40 % - Accent6 54" xfId="1227" xr:uid="{00000000-0005-0000-0000-0000F50A0000}"/>
    <cellStyle name="40 % - Accent6 54 2" xfId="3629" xr:uid="{00000000-0005-0000-0000-0000F60A0000}"/>
    <cellStyle name="40 % - Accent6 54 2 2" xfId="6780" xr:uid="{00000000-0005-0000-0000-0000F70A0000}"/>
    <cellStyle name="40 % - Accent6 54 3" xfId="6051" xr:uid="{00000000-0005-0000-0000-0000F80A0000}"/>
    <cellStyle name="40 % - Accent6 55" xfId="1228" xr:uid="{00000000-0005-0000-0000-0000F90A0000}"/>
    <cellStyle name="40 % - Accent6 55 2" xfId="3630" xr:uid="{00000000-0005-0000-0000-0000FA0A0000}"/>
    <cellStyle name="40 % - Accent6 55 2 2" xfId="6781" xr:uid="{00000000-0005-0000-0000-0000FB0A0000}"/>
    <cellStyle name="40 % - Accent6 55 3" xfId="6052" xr:uid="{00000000-0005-0000-0000-0000FC0A0000}"/>
    <cellStyle name="40 % - Accent6 56" xfId="1229" xr:uid="{00000000-0005-0000-0000-0000FD0A0000}"/>
    <cellStyle name="40 % - Accent6 56 2" xfId="3631" xr:uid="{00000000-0005-0000-0000-0000FE0A0000}"/>
    <cellStyle name="40 % - Accent6 56 2 2" xfId="6782" xr:uid="{00000000-0005-0000-0000-0000FF0A0000}"/>
    <cellStyle name="40 % - Accent6 56 3" xfId="6053" xr:uid="{00000000-0005-0000-0000-0000000B0000}"/>
    <cellStyle name="40 % - Accent6 57" xfId="1230" xr:uid="{00000000-0005-0000-0000-0000010B0000}"/>
    <cellStyle name="40 % - Accent6 57 2" xfId="3632" xr:uid="{00000000-0005-0000-0000-0000020B0000}"/>
    <cellStyle name="40 % - Accent6 57 2 2" xfId="6783" xr:uid="{00000000-0005-0000-0000-0000030B0000}"/>
    <cellStyle name="40 % - Accent6 57 3" xfId="6054" xr:uid="{00000000-0005-0000-0000-0000040B0000}"/>
    <cellStyle name="40 % - Accent6 58" xfId="1231" xr:uid="{00000000-0005-0000-0000-0000050B0000}"/>
    <cellStyle name="40 % - Accent6 58 2" xfId="3633" xr:uid="{00000000-0005-0000-0000-0000060B0000}"/>
    <cellStyle name="40 % - Accent6 58 2 2" xfId="6784" xr:uid="{00000000-0005-0000-0000-0000070B0000}"/>
    <cellStyle name="40 % - Accent6 58 3" xfId="6055" xr:uid="{00000000-0005-0000-0000-0000080B0000}"/>
    <cellStyle name="40 % - Accent6 59" xfId="1232" xr:uid="{00000000-0005-0000-0000-0000090B0000}"/>
    <cellStyle name="40 % - Accent6 59 2" xfId="3634" xr:uid="{00000000-0005-0000-0000-00000A0B0000}"/>
    <cellStyle name="40 % - Accent6 59 2 2" xfId="6785" xr:uid="{00000000-0005-0000-0000-00000B0B0000}"/>
    <cellStyle name="40 % - Accent6 59 3" xfId="6056" xr:uid="{00000000-0005-0000-0000-00000C0B0000}"/>
    <cellStyle name="40 % - Accent6 6" xfId="237" xr:uid="{00000000-0005-0000-0000-00000D0B0000}"/>
    <cellStyle name="40 % - Accent6 6 2" xfId="1233" xr:uid="{00000000-0005-0000-0000-00000E0B0000}"/>
    <cellStyle name="40 % - Accent6 6 2 2" xfId="6786" xr:uid="{00000000-0005-0000-0000-00000F0B0000}"/>
    <cellStyle name="40 % - Accent6 6 3" xfId="3635" xr:uid="{00000000-0005-0000-0000-0000100B0000}"/>
    <cellStyle name="40 % - Accent6 6 4" xfId="6057" xr:uid="{00000000-0005-0000-0000-0000110B0000}"/>
    <cellStyle name="40 % - Accent6 7" xfId="238" xr:uid="{00000000-0005-0000-0000-0000120B0000}"/>
    <cellStyle name="40 % - Accent6 7 2" xfId="1234" xr:uid="{00000000-0005-0000-0000-0000130B0000}"/>
    <cellStyle name="40 % - Accent6 7 2 2" xfId="6787" xr:uid="{00000000-0005-0000-0000-0000140B0000}"/>
    <cellStyle name="40 % - Accent6 7 3" xfId="3636" xr:uid="{00000000-0005-0000-0000-0000150B0000}"/>
    <cellStyle name="40 % - Accent6 7 4" xfId="6058" xr:uid="{00000000-0005-0000-0000-0000160B0000}"/>
    <cellStyle name="40 % - Accent6 8" xfId="239" xr:uid="{00000000-0005-0000-0000-0000170B0000}"/>
    <cellStyle name="40 % - Accent6 8 2" xfId="1235" xr:uid="{00000000-0005-0000-0000-0000180B0000}"/>
    <cellStyle name="40 % - Accent6 8 2 2" xfId="6788" xr:uid="{00000000-0005-0000-0000-0000190B0000}"/>
    <cellStyle name="40 % - Accent6 8 3" xfId="3637" xr:uid="{00000000-0005-0000-0000-00001A0B0000}"/>
    <cellStyle name="40 % - Accent6 8 4" xfId="6059" xr:uid="{00000000-0005-0000-0000-00001B0B0000}"/>
    <cellStyle name="40 % - Accent6 9" xfId="1236" xr:uid="{00000000-0005-0000-0000-00001C0B0000}"/>
    <cellStyle name="40 % - Accent6 9 2" xfId="3638" xr:uid="{00000000-0005-0000-0000-00001D0B0000}"/>
    <cellStyle name="40 % - Accent6 9 2 2" xfId="6789" xr:uid="{00000000-0005-0000-0000-00001E0B0000}"/>
    <cellStyle name="40 % - Accent6 9 3" xfId="6060" xr:uid="{00000000-0005-0000-0000-00001F0B0000}"/>
    <cellStyle name="60 % - Accent1 10" xfId="1237" xr:uid="{00000000-0005-0000-0000-0000200B0000}"/>
    <cellStyle name="60 % - Accent1 10 2" xfId="3639" xr:uid="{00000000-0005-0000-0000-0000210B0000}"/>
    <cellStyle name="60 % - Accent1 11" xfId="1238" xr:uid="{00000000-0005-0000-0000-0000220B0000}"/>
    <cellStyle name="60 % - Accent1 11 2" xfId="3640" xr:uid="{00000000-0005-0000-0000-0000230B0000}"/>
    <cellStyle name="60 % - Accent1 12" xfId="1239" xr:uid="{00000000-0005-0000-0000-0000240B0000}"/>
    <cellStyle name="60 % - Accent1 12 2" xfId="3641" xr:uid="{00000000-0005-0000-0000-0000250B0000}"/>
    <cellStyle name="60 % - Accent1 13" xfId="1240" xr:uid="{00000000-0005-0000-0000-0000260B0000}"/>
    <cellStyle name="60 % - Accent1 13 2" xfId="3642" xr:uid="{00000000-0005-0000-0000-0000270B0000}"/>
    <cellStyle name="60 % - Accent1 14" xfId="1241" xr:uid="{00000000-0005-0000-0000-0000280B0000}"/>
    <cellStyle name="60 % - Accent1 14 2" xfId="3643" xr:uid="{00000000-0005-0000-0000-0000290B0000}"/>
    <cellStyle name="60 % - Accent1 15" xfId="1242" xr:uid="{00000000-0005-0000-0000-00002A0B0000}"/>
    <cellStyle name="60 % - Accent1 15 2" xfId="3644" xr:uid="{00000000-0005-0000-0000-00002B0B0000}"/>
    <cellStyle name="60 % - Accent1 16" xfId="1243" xr:uid="{00000000-0005-0000-0000-00002C0B0000}"/>
    <cellStyle name="60 % - Accent1 16 2" xfId="3645" xr:uid="{00000000-0005-0000-0000-00002D0B0000}"/>
    <cellStyle name="60 % - Accent1 17" xfId="1244" xr:uid="{00000000-0005-0000-0000-00002E0B0000}"/>
    <cellStyle name="60 % - Accent1 17 2" xfId="3646" xr:uid="{00000000-0005-0000-0000-00002F0B0000}"/>
    <cellStyle name="60 % - Accent1 18" xfId="1245" xr:uid="{00000000-0005-0000-0000-0000300B0000}"/>
    <cellStyle name="60 % - Accent1 18 2" xfId="3647" xr:uid="{00000000-0005-0000-0000-0000310B0000}"/>
    <cellStyle name="60 % - Accent1 19" xfId="1246" xr:uid="{00000000-0005-0000-0000-0000320B0000}"/>
    <cellStyle name="60 % - Accent1 19 2" xfId="3648" xr:uid="{00000000-0005-0000-0000-0000330B0000}"/>
    <cellStyle name="60 % - Accent1 2" xfId="17" xr:uid="{00000000-0005-0000-0000-0000340B0000}"/>
    <cellStyle name="60 % - Accent1 2 2" xfId="1247" xr:uid="{00000000-0005-0000-0000-0000350B0000}"/>
    <cellStyle name="60 % - Accent1 2 3" xfId="3649" xr:uid="{00000000-0005-0000-0000-0000360B0000}"/>
    <cellStyle name="60 % - Accent1 20" xfId="1248" xr:uid="{00000000-0005-0000-0000-0000370B0000}"/>
    <cellStyle name="60 % - Accent1 20 2" xfId="3650" xr:uid="{00000000-0005-0000-0000-0000380B0000}"/>
    <cellStyle name="60 % - Accent1 21" xfId="1249" xr:uid="{00000000-0005-0000-0000-0000390B0000}"/>
    <cellStyle name="60 % - Accent1 21 2" xfId="3651" xr:uid="{00000000-0005-0000-0000-00003A0B0000}"/>
    <cellStyle name="60 % - Accent1 22" xfId="1250" xr:uid="{00000000-0005-0000-0000-00003B0B0000}"/>
    <cellStyle name="60 % - Accent1 22 2" xfId="3652" xr:uid="{00000000-0005-0000-0000-00003C0B0000}"/>
    <cellStyle name="60 % - Accent1 23" xfId="1251" xr:uid="{00000000-0005-0000-0000-00003D0B0000}"/>
    <cellStyle name="60 % - Accent1 23 2" xfId="3653" xr:uid="{00000000-0005-0000-0000-00003E0B0000}"/>
    <cellStyle name="60 % - Accent1 24" xfId="1252" xr:uid="{00000000-0005-0000-0000-00003F0B0000}"/>
    <cellStyle name="60 % - Accent1 24 2" xfId="3654" xr:uid="{00000000-0005-0000-0000-0000400B0000}"/>
    <cellStyle name="60 % - Accent1 25" xfId="1253" xr:uid="{00000000-0005-0000-0000-0000410B0000}"/>
    <cellStyle name="60 % - Accent1 25 2" xfId="3655" xr:uid="{00000000-0005-0000-0000-0000420B0000}"/>
    <cellStyle name="60 % - Accent1 26" xfId="1254" xr:uid="{00000000-0005-0000-0000-0000430B0000}"/>
    <cellStyle name="60 % - Accent1 26 2" xfId="3656" xr:uid="{00000000-0005-0000-0000-0000440B0000}"/>
    <cellStyle name="60 % - Accent1 27" xfId="1255" xr:uid="{00000000-0005-0000-0000-0000450B0000}"/>
    <cellStyle name="60 % - Accent1 27 2" xfId="3657" xr:uid="{00000000-0005-0000-0000-0000460B0000}"/>
    <cellStyle name="60 % - Accent1 28" xfId="1256" xr:uid="{00000000-0005-0000-0000-0000470B0000}"/>
    <cellStyle name="60 % - Accent1 28 2" xfId="3658" xr:uid="{00000000-0005-0000-0000-0000480B0000}"/>
    <cellStyle name="60 % - Accent1 29" xfId="1257" xr:uid="{00000000-0005-0000-0000-0000490B0000}"/>
    <cellStyle name="60 % - Accent1 29 2" xfId="3659" xr:uid="{00000000-0005-0000-0000-00004A0B0000}"/>
    <cellStyle name="60 % - Accent1 3" xfId="240" xr:uid="{00000000-0005-0000-0000-00004B0B0000}"/>
    <cellStyle name="60 % - Accent1 3 2" xfId="1258" xr:uid="{00000000-0005-0000-0000-00004C0B0000}"/>
    <cellStyle name="60 % - Accent1 3 3" xfId="3660" xr:uid="{00000000-0005-0000-0000-00004D0B0000}"/>
    <cellStyle name="60 % - Accent1 30" xfId="1259" xr:uid="{00000000-0005-0000-0000-00004E0B0000}"/>
    <cellStyle name="60 % - Accent1 30 2" xfId="3661" xr:uid="{00000000-0005-0000-0000-00004F0B0000}"/>
    <cellStyle name="60 % - Accent1 31" xfId="1260" xr:uid="{00000000-0005-0000-0000-0000500B0000}"/>
    <cellStyle name="60 % - Accent1 31 2" xfId="3662" xr:uid="{00000000-0005-0000-0000-0000510B0000}"/>
    <cellStyle name="60 % - Accent1 32" xfId="1261" xr:uid="{00000000-0005-0000-0000-0000520B0000}"/>
    <cellStyle name="60 % - Accent1 32 2" xfId="3663" xr:uid="{00000000-0005-0000-0000-0000530B0000}"/>
    <cellStyle name="60 % - Accent1 33" xfId="1262" xr:uid="{00000000-0005-0000-0000-0000540B0000}"/>
    <cellStyle name="60 % - Accent1 33 2" xfId="3664" xr:uid="{00000000-0005-0000-0000-0000550B0000}"/>
    <cellStyle name="60 % - Accent1 34" xfId="1263" xr:uid="{00000000-0005-0000-0000-0000560B0000}"/>
    <cellStyle name="60 % - Accent1 34 2" xfId="3665" xr:uid="{00000000-0005-0000-0000-0000570B0000}"/>
    <cellStyle name="60 % - Accent1 35" xfId="1264" xr:uid="{00000000-0005-0000-0000-0000580B0000}"/>
    <cellStyle name="60 % - Accent1 35 2" xfId="3666" xr:uid="{00000000-0005-0000-0000-0000590B0000}"/>
    <cellStyle name="60 % - Accent1 36" xfId="1265" xr:uid="{00000000-0005-0000-0000-00005A0B0000}"/>
    <cellStyle name="60 % - Accent1 36 2" xfId="3667" xr:uid="{00000000-0005-0000-0000-00005B0B0000}"/>
    <cellStyle name="60 % - Accent1 37" xfId="1266" xr:uid="{00000000-0005-0000-0000-00005C0B0000}"/>
    <cellStyle name="60 % - Accent1 37 2" xfId="3668" xr:uid="{00000000-0005-0000-0000-00005D0B0000}"/>
    <cellStyle name="60 % - Accent1 38" xfId="1267" xr:uid="{00000000-0005-0000-0000-00005E0B0000}"/>
    <cellStyle name="60 % - Accent1 38 2" xfId="3669" xr:uid="{00000000-0005-0000-0000-00005F0B0000}"/>
    <cellStyle name="60 % - Accent1 39" xfId="1268" xr:uid="{00000000-0005-0000-0000-0000600B0000}"/>
    <cellStyle name="60 % - Accent1 39 2" xfId="3670" xr:uid="{00000000-0005-0000-0000-0000610B0000}"/>
    <cellStyle name="60 % - Accent1 4" xfId="241" xr:uid="{00000000-0005-0000-0000-0000620B0000}"/>
    <cellStyle name="60 % - Accent1 4 2" xfId="1269" xr:uid="{00000000-0005-0000-0000-0000630B0000}"/>
    <cellStyle name="60 % - Accent1 4 3" xfId="3671" xr:uid="{00000000-0005-0000-0000-0000640B0000}"/>
    <cellStyle name="60 % - Accent1 40" xfId="1270" xr:uid="{00000000-0005-0000-0000-0000650B0000}"/>
    <cellStyle name="60 % - Accent1 40 2" xfId="3672" xr:uid="{00000000-0005-0000-0000-0000660B0000}"/>
    <cellStyle name="60 % - Accent1 41" xfId="1271" xr:uid="{00000000-0005-0000-0000-0000670B0000}"/>
    <cellStyle name="60 % - Accent1 41 2" xfId="3673" xr:uid="{00000000-0005-0000-0000-0000680B0000}"/>
    <cellStyle name="60 % - Accent1 42" xfId="1272" xr:uid="{00000000-0005-0000-0000-0000690B0000}"/>
    <cellStyle name="60 % - Accent1 42 2" xfId="3674" xr:uid="{00000000-0005-0000-0000-00006A0B0000}"/>
    <cellStyle name="60 % - Accent1 43" xfId="1273" xr:uid="{00000000-0005-0000-0000-00006B0B0000}"/>
    <cellStyle name="60 % - Accent1 43 2" xfId="3675" xr:uid="{00000000-0005-0000-0000-00006C0B0000}"/>
    <cellStyle name="60 % - Accent1 44" xfId="1274" xr:uid="{00000000-0005-0000-0000-00006D0B0000}"/>
    <cellStyle name="60 % - Accent1 44 2" xfId="3676" xr:uid="{00000000-0005-0000-0000-00006E0B0000}"/>
    <cellStyle name="60 % - Accent1 45" xfId="1275" xr:uid="{00000000-0005-0000-0000-00006F0B0000}"/>
    <cellStyle name="60 % - Accent1 45 2" xfId="3677" xr:uid="{00000000-0005-0000-0000-0000700B0000}"/>
    <cellStyle name="60 % - Accent1 46" xfId="1276" xr:uid="{00000000-0005-0000-0000-0000710B0000}"/>
    <cellStyle name="60 % - Accent1 46 2" xfId="3678" xr:uid="{00000000-0005-0000-0000-0000720B0000}"/>
    <cellStyle name="60 % - Accent1 47" xfId="1277" xr:uid="{00000000-0005-0000-0000-0000730B0000}"/>
    <cellStyle name="60 % - Accent1 47 2" xfId="3679" xr:uid="{00000000-0005-0000-0000-0000740B0000}"/>
    <cellStyle name="60 % - Accent1 48" xfId="1278" xr:uid="{00000000-0005-0000-0000-0000750B0000}"/>
    <cellStyle name="60 % - Accent1 48 2" xfId="3680" xr:uid="{00000000-0005-0000-0000-0000760B0000}"/>
    <cellStyle name="60 % - Accent1 49" xfId="1279" xr:uid="{00000000-0005-0000-0000-0000770B0000}"/>
    <cellStyle name="60 % - Accent1 49 2" xfId="3681" xr:uid="{00000000-0005-0000-0000-0000780B0000}"/>
    <cellStyle name="60 % - Accent1 5" xfId="242" xr:uid="{00000000-0005-0000-0000-0000790B0000}"/>
    <cellStyle name="60 % - Accent1 5 2" xfId="1280" xr:uid="{00000000-0005-0000-0000-00007A0B0000}"/>
    <cellStyle name="60 % - Accent1 5 3" xfId="3682" xr:uid="{00000000-0005-0000-0000-00007B0B0000}"/>
    <cellStyle name="60 % - Accent1 50" xfId="1281" xr:uid="{00000000-0005-0000-0000-00007C0B0000}"/>
    <cellStyle name="60 % - Accent1 50 2" xfId="3683" xr:uid="{00000000-0005-0000-0000-00007D0B0000}"/>
    <cellStyle name="60 % - Accent1 51" xfId="1282" xr:uid="{00000000-0005-0000-0000-00007E0B0000}"/>
    <cellStyle name="60 % - Accent1 51 2" xfId="3684" xr:uid="{00000000-0005-0000-0000-00007F0B0000}"/>
    <cellStyle name="60 % - Accent1 52" xfId="1283" xr:uid="{00000000-0005-0000-0000-0000800B0000}"/>
    <cellStyle name="60 % - Accent1 52 2" xfId="3685" xr:uid="{00000000-0005-0000-0000-0000810B0000}"/>
    <cellStyle name="60 % - Accent1 53" xfId="1284" xr:uid="{00000000-0005-0000-0000-0000820B0000}"/>
    <cellStyle name="60 % - Accent1 53 2" xfId="3686" xr:uid="{00000000-0005-0000-0000-0000830B0000}"/>
    <cellStyle name="60 % - Accent1 54" xfId="1285" xr:uid="{00000000-0005-0000-0000-0000840B0000}"/>
    <cellStyle name="60 % - Accent1 54 2" xfId="3687" xr:uid="{00000000-0005-0000-0000-0000850B0000}"/>
    <cellStyle name="60 % - Accent1 55" xfId="1286" xr:uid="{00000000-0005-0000-0000-0000860B0000}"/>
    <cellStyle name="60 % - Accent1 55 2" xfId="3688" xr:uid="{00000000-0005-0000-0000-0000870B0000}"/>
    <cellStyle name="60 % - Accent1 56" xfId="1287" xr:uid="{00000000-0005-0000-0000-0000880B0000}"/>
    <cellStyle name="60 % - Accent1 56 2" xfId="3689" xr:uid="{00000000-0005-0000-0000-0000890B0000}"/>
    <cellStyle name="60 % - Accent1 57" xfId="1288" xr:uid="{00000000-0005-0000-0000-00008A0B0000}"/>
    <cellStyle name="60 % - Accent1 57 2" xfId="3690" xr:uid="{00000000-0005-0000-0000-00008B0B0000}"/>
    <cellStyle name="60 % - Accent1 58" xfId="1289" xr:uid="{00000000-0005-0000-0000-00008C0B0000}"/>
    <cellStyle name="60 % - Accent1 58 2" xfId="3691" xr:uid="{00000000-0005-0000-0000-00008D0B0000}"/>
    <cellStyle name="60 % - Accent1 59" xfId="1290" xr:uid="{00000000-0005-0000-0000-00008E0B0000}"/>
    <cellStyle name="60 % - Accent1 59 2" xfId="3692" xr:uid="{00000000-0005-0000-0000-00008F0B0000}"/>
    <cellStyle name="60 % - Accent1 6" xfId="243" xr:uid="{00000000-0005-0000-0000-0000900B0000}"/>
    <cellStyle name="60 % - Accent1 6 2" xfId="1291" xr:uid="{00000000-0005-0000-0000-0000910B0000}"/>
    <cellStyle name="60 % - Accent1 6 3" xfId="3693" xr:uid="{00000000-0005-0000-0000-0000920B0000}"/>
    <cellStyle name="60 % - Accent1 7" xfId="244" xr:uid="{00000000-0005-0000-0000-0000930B0000}"/>
    <cellStyle name="60 % - Accent1 7 2" xfId="1292" xr:uid="{00000000-0005-0000-0000-0000940B0000}"/>
    <cellStyle name="60 % - Accent1 7 3" xfId="3694" xr:uid="{00000000-0005-0000-0000-0000950B0000}"/>
    <cellStyle name="60 % - Accent1 8" xfId="245" xr:uid="{00000000-0005-0000-0000-0000960B0000}"/>
    <cellStyle name="60 % - Accent1 8 2" xfId="1293" xr:uid="{00000000-0005-0000-0000-0000970B0000}"/>
    <cellStyle name="60 % - Accent1 8 3" xfId="3695" xr:uid="{00000000-0005-0000-0000-0000980B0000}"/>
    <cellStyle name="60 % - Accent1 9" xfId="1294" xr:uid="{00000000-0005-0000-0000-0000990B0000}"/>
    <cellStyle name="60 % - Accent1 9 2" xfId="3696" xr:uid="{00000000-0005-0000-0000-00009A0B0000}"/>
    <cellStyle name="60 % - Accent2 10" xfId="1295" xr:uid="{00000000-0005-0000-0000-00009B0B0000}"/>
    <cellStyle name="60 % - Accent2 10 2" xfId="3697" xr:uid="{00000000-0005-0000-0000-00009C0B0000}"/>
    <cellStyle name="60 % - Accent2 11" xfId="1296" xr:uid="{00000000-0005-0000-0000-00009D0B0000}"/>
    <cellStyle name="60 % - Accent2 11 2" xfId="3698" xr:uid="{00000000-0005-0000-0000-00009E0B0000}"/>
    <cellStyle name="60 % - Accent2 12" xfId="1297" xr:uid="{00000000-0005-0000-0000-00009F0B0000}"/>
    <cellStyle name="60 % - Accent2 12 2" xfId="3699" xr:uid="{00000000-0005-0000-0000-0000A00B0000}"/>
    <cellStyle name="60 % - Accent2 13" xfId="1298" xr:uid="{00000000-0005-0000-0000-0000A10B0000}"/>
    <cellStyle name="60 % - Accent2 13 2" xfId="3700" xr:uid="{00000000-0005-0000-0000-0000A20B0000}"/>
    <cellStyle name="60 % - Accent2 14" xfId="1299" xr:uid="{00000000-0005-0000-0000-0000A30B0000}"/>
    <cellStyle name="60 % - Accent2 14 2" xfId="3701" xr:uid="{00000000-0005-0000-0000-0000A40B0000}"/>
    <cellStyle name="60 % - Accent2 15" xfId="1300" xr:uid="{00000000-0005-0000-0000-0000A50B0000}"/>
    <cellStyle name="60 % - Accent2 15 2" xfId="3702" xr:uid="{00000000-0005-0000-0000-0000A60B0000}"/>
    <cellStyle name="60 % - Accent2 16" xfId="1301" xr:uid="{00000000-0005-0000-0000-0000A70B0000}"/>
    <cellStyle name="60 % - Accent2 16 2" xfId="3703" xr:uid="{00000000-0005-0000-0000-0000A80B0000}"/>
    <cellStyle name="60 % - Accent2 17" xfId="1302" xr:uid="{00000000-0005-0000-0000-0000A90B0000}"/>
    <cellStyle name="60 % - Accent2 17 2" xfId="3704" xr:uid="{00000000-0005-0000-0000-0000AA0B0000}"/>
    <cellStyle name="60 % - Accent2 18" xfId="1303" xr:uid="{00000000-0005-0000-0000-0000AB0B0000}"/>
    <cellStyle name="60 % - Accent2 18 2" xfId="3705" xr:uid="{00000000-0005-0000-0000-0000AC0B0000}"/>
    <cellStyle name="60 % - Accent2 19" xfId="1304" xr:uid="{00000000-0005-0000-0000-0000AD0B0000}"/>
    <cellStyle name="60 % - Accent2 19 2" xfId="3706" xr:uid="{00000000-0005-0000-0000-0000AE0B0000}"/>
    <cellStyle name="60 % - Accent2 2" xfId="18" xr:uid="{00000000-0005-0000-0000-0000AF0B0000}"/>
    <cellStyle name="60 % - Accent2 2 2" xfId="1305" xr:uid="{00000000-0005-0000-0000-0000B00B0000}"/>
    <cellStyle name="60 % - Accent2 2 3" xfId="3707" xr:uid="{00000000-0005-0000-0000-0000B10B0000}"/>
    <cellStyle name="60 % - Accent2 20" xfId="1306" xr:uid="{00000000-0005-0000-0000-0000B20B0000}"/>
    <cellStyle name="60 % - Accent2 20 2" xfId="3708" xr:uid="{00000000-0005-0000-0000-0000B30B0000}"/>
    <cellStyle name="60 % - Accent2 21" xfId="1307" xr:uid="{00000000-0005-0000-0000-0000B40B0000}"/>
    <cellStyle name="60 % - Accent2 21 2" xfId="3709" xr:uid="{00000000-0005-0000-0000-0000B50B0000}"/>
    <cellStyle name="60 % - Accent2 22" xfId="1308" xr:uid="{00000000-0005-0000-0000-0000B60B0000}"/>
    <cellStyle name="60 % - Accent2 22 2" xfId="3710" xr:uid="{00000000-0005-0000-0000-0000B70B0000}"/>
    <cellStyle name="60 % - Accent2 23" xfId="1309" xr:uid="{00000000-0005-0000-0000-0000B80B0000}"/>
    <cellStyle name="60 % - Accent2 23 2" xfId="3711" xr:uid="{00000000-0005-0000-0000-0000B90B0000}"/>
    <cellStyle name="60 % - Accent2 24" xfId="1310" xr:uid="{00000000-0005-0000-0000-0000BA0B0000}"/>
    <cellStyle name="60 % - Accent2 24 2" xfId="3712" xr:uid="{00000000-0005-0000-0000-0000BB0B0000}"/>
    <cellStyle name="60 % - Accent2 25" xfId="1311" xr:uid="{00000000-0005-0000-0000-0000BC0B0000}"/>
    <cellStyle name="60 % - Accent2 25 2" xfId="3713" xr:uid="{00000000-0005-0000-0000-0000BD0B0000}"/>
    <cellStyle name="60 % - Accent2 26" xfId="1312" xr:uid="{00000000-0005-0000-0000-0000BE0B0000}"/>
    <cellStyle name="60 % - Accent2 26 2" xfId="3714" xr:uid="{00000000-0005-0000-0000-0000BF0B0000}"/>
    <cellStyle name="60 % - Accent2 27" xfId="1313" xr:uid="{00000000-0005-0000-0000-0000C00B0000}"/>
    <cellStyle name="60 % - Accent2 27 2" xfId="3715" xr:uid="{00000000-0005-0000-0000-0000C10B0000}"/>
    <cellStyle name="60 % - Accent2 28" xfId="1314" xr:uid="{00000000-0005-0000-0000-0000C20B0000}"/>
    <cellStyle name="60 % - Accent2 28 2" xfId="3716" xr:uid="{00000000-0005-0000-0000-0000C30B0000}"/>
    <cellStyle name="60 % - Accent2 29" xfId="1315" xr:uid="{00000000-0005-0000-0000-0000C40B0000}"/>
    <cellStyle name="60 % - Accent2 29 2" xfId="3717" xr:uid="{00000000-0005-0000-0000-0000C50B0000}"/>
    <cellStyle name="60 % - Accent2 3" xfId="246" xr:uid="{00000000-0005-0000-0000-0000C60B0000}"/>
    <cellStyle name="60 % - Accent2 3 2" xfId="1316" xr:uid="{00000000-0005-0000-0000-0000C70B0000}"/>
    <cellStyle name="60 % - Accent2 3 3" xfId="3718" xr:uid="{00000000-0005-0000-0000-0000C80B0000}"/>
    <cellStyle name="60 % - Accent2 30" xfId="1317" xr:uid="{00000000-0005-0000-0000-0000C90B0000}"/>
    <cellStyle name="60 % - Accent2 30 2" xfId="3719" xr:uid="{00000000-0005-0000-0000-0000CA0B0000}"/>
    <cellStyle name="60 % - Accent2 31" xfId="1318" xr:uid="{00000000-0005-0000-0000-0000CB0B0000}"/>
    <cellStyle name="60 % - Accent2 31 2" xfId="3720" xr:uid="{00000000-0005-0000-0000-0000CC0B0000}"/>
    <cellStyle name="60 % - Accent2 32" xfId="1319" xr:uid="{00000000-0005-0000-0000-0000CD0B0000}"/>
    <cellStyle name="60 % - Accent2 32 2" xfId="3721" xr:uid="{00000000-0005-0000-0000-0000CE0B0000}"/>
    <cellStyle name="60 % - Accent2 33" xfId="1320" xr:uid="{00000000-0005-0000-0000-0000CF0B0000}"/>
    <cellStyle name="60 % - Accent2 33 2" xfId="3722" xr:uid="{00000000-0005-0000-0000-0000D00B0000}"/>
    <cellStyle name="60 % - Accent2 34" xfId="1321" xr:uid="{00000000-0005-0000-0000-0000D10B0000}"/>
    <cellStyle name="60 % - Accent2 34 2" xfId="3723" xr:uid="{00000000-0005-0000-0000-0000D20B0000}"/>
    <cellStyle name="60 % - Accent2 35" xfId="1322" xr:uid="{00000000-0005-0000-0000-0000D30B0000}"/>
    <cellStyle name="60 % - Accent2 35 2" xfId="3724" xr:uid="{00000000-0005-0000-0000-0000D40B0000}"/>
    <cellStyle name="60 % - Accent2 36" xfId="1323" xr:uid="{00000000-0005-0000-0000-0000D50B0000}"/>
    <cellStyle name="60 % - Accent2 36 2" xfId="3725" xr:uid="{00000000-0005-0000-0000-0000D60B0000}"/>
    <cellStyle name="60 % - Accent2 37" xfId="1324" xr:uid="{00000000-0005-0000-0000-0000D70B0000}"/>
    <cellStyle name="60 % - Accent2 37 2" xfId="3726" xr:uid="{00000000-0005-0000-0000-0000D80B0000}"/>
    <cellStyle name="60 % - Accent2 38" xfId="1325" xr:uid="{00000000-0005-0000-0000-0000D90B0000}"/>
    <cellStyle name="60 % - Accent2 38 2" xfId="3727" xr:uid="{00000000-0005-0000-0000-0000DA0B0000}"/>
    <cellStyle name="60 % - Accent2 39" xfId="1326" xr:uid="{00000000-0005-0000-0000-0000DB0B0000}"/>
    <cellStyle name="60 % - Accent2 39 2" xfId="3728" xr:uid="{00000000-0005-0000-0000-0000DC0B0000}"/>
    <cellStyle name="60 % - Accent2 4" xfId="247" xr:uid="{00000000-0005-0000-0000-0000DD0B0000}"/>
    <cellStyle name="60 % - Accent2 4 2" xfId="1327" xr:uid="{00000000-0005-0000-0000-0000DE0B0000}"/>
    <cellStyle name="60 % - Accent2 4 3" xfId="3729" xr:uid="{00000000-0005-0000-0000-0000DF0B0000}"/>
    <cellStyle name="60 % - Accent2 40" xfId="1328" xr:uid="{00000000-0005-0000-0000-0000E00B0000}"/>
    <cellStyle name="60 % - Accent2 40 2" xfId="3730" xr:uid="{00000000-0005-0000-0000-0000E10B0000}"/>
    <cellStyle name="60 % - Accent2 41" xfId="1329" xr:uid="{00000000-0005-0000-0000-0000E20B0000}"/>
    <cellStyle name="60 % - Accent2 41 2" xfId="3731" xr:uid="{00000000-0005-0000-0000-0000E30B0000}"/>
    <cellStyle name="60 % - Accent2 42" xfId="1330" xr:uid="{00000000-0005-0000-0000-0000E40B0000}"/>
    <cellStyle name="60 % - Accent2 42 2" xfId="3732" xr:uid="{00000000-0005-0000-0000-0000E50B0000}"/>
    <cellStyle name="60 % - Accent2 43" xfId="1331" xr:uid="{00000000-0005-0000-0000-0000E60B0000}"/>
    <cellStyle name="60 % - Accent2 43 2" xfId="3733" xr:uid="{00000000-0005-0000-0000-0000E70B0000}"/>
    <cellStyle name="60 % - Accent2 44" xfId="1332" xr:uid="{00000000-0005-0000-0000-0000E80B0000}"/>
    <cellStyle name="60 % - Accent2 44 2" xfId="3734" xr:uid="{00000000-0005-0000-0000-0000E90B0000}"/>
    <cellStyle name="60 % - Accent2 45" xfId="1333" xr:uid="{00000000-0005-0000-0000-0000EA0B0000}"/>
    <cellStyle name="60 % - Accent2 45 2" xfId="3735" xr:uid="{00000000-0005-0000-0000-0000EB0B0000}"/>
    <cellStyle name="60 % - Accent2 46" xfId="1334" xr:uid="{00000000-0005-0000-0000-0000EC0B0000}"/>
    <cellStyle name="60 % - Accent2 46 2" xfId="3736" xr:uid="{00000000-0005-0000-0000-0000ED0B0000}"/>
    <cellStyle name="60 % - Accent2 47" xfId="1335" xr:uid="{00000000-0005-0000-0000-0000EE0B0000}"/>
    <cellStyle name="60 % - Accent2 47 2" xfId="3737" xr:uid="{00000000-0005-0000-0000-0000EF0B0000}"/>
    <cellStyle name="60 % - Accent2 48" xfId="1336" xr:uid="{00000000-0005-0000-0000-0000F00B0000}"/>
    <cellStyle name="60 % - Accent2 48 2" xfId="3738" xr:uid="{00000000-0005-0000-0000-0000F10B0000}"/>
    <cellStyle name="60 % - Accent2 49" xfId="1337" xr:uid="{00000000-0005-0000-0000-0000F20B0000}"/>
    <cellStyle name="60 % - Accent2 49 2" xfId="3739" xr:uid="{00000000-0005-0000-0000-0000F30B0000}"/>
    <cellStyle name="60 % - Accent2 5" xfId="248" xr:uid="{00000000-0005-0000-0000-0000F40B0000}"/>
    <cellStyle name="60 % - Accent2 5 2" xfId="1338" xr:uid="{00000000-0005-0000-0000-0000F50B0000}"/>
    <cellStyle name="60 % - Accent2 5 3" xfId="3740" xr:uid="{00000000-0005-0000-0000-0000F60B0000}"/>
    <cellStyle name="60 % - Accent2 50" xfId="1339" xr:uid="{00000000-0005-0000-0000-0000F70B0000}"/>
    <cellStyle name="60 % - Accent2 50 2" xfId="3741" xr:uid="{00000000-0005-0000-0000-0000F80B0000}"/>
    <cellStyle name="60 % - Accent2 51" xfId="1340" xr:uid="{00000000-0005-0000-0000-0000F90B0000}"/>
    <cellStyle name="60 % - Accent2 51 2" xfId="3742" xr:uid="{00000000-0005-0000-0000-0000FA0B0000}"/>
    <cellStyle name="60 % - Accent2 52" xfId="1341" xr:uid="{00000000-0005-0000-0000-0000FB0B0000}"/>
    <cellStyle name="60 % - Accent2 52 2" xfId="3743" xr:uid="{00000000-0005-0000-0000-0000FC0B0000}"/>
    <cellStyle name="60 % - Accent2 53" xfId="1342" xr:uid="{00000000-0005-0000-0000-0000FD0B0000}"/>
    <cellStyle name="60 % - Accent2 53 2" xfId="3744" xr:uid="{00000000-0005-0000-0000-0000FE0B0000}"/>
    <cellStyle name="60 % - Accent2 54" xfId="1343" xr:uid="{00000000-0005-0000-0000-0000FF0B0000}"/>
    <cellStyle name="60 % - Accent2 54 2" xfId="3745" xr:uid="{00000000-0005-0000-0000-0000000C0000}"/>
    <cellStyle name="60 % - Accent2 55" xfId="1344" xr:uid="{00000000-0005-0000-0000-0000010C0000}"/>
    <cellStyle name="60 % - Accent2 55 2" xfId="3746" xr:uid="{00000000-0005-0000-0000-0000020C0000}"/>
    <cellStyle name="60 % - Accent2 56" xfId="1345" xr:uid="{00000000-0005-0000-0000-0000030C0000}"/>
    <cellStyle name="60 % - Accent2 56 2" xfId="3747" xr:uid="{00000000-0005-0000-0000-0000040C0000}"/>
    <cellStyle name="60 % - Accent2 57" xfId="1346" xr:uid="{00000000-0005-0000-0000-0000050C0000}"/>
    <cellStyle name="60 % - Accent2 57 2" xfId="3748" xr:uid="{00000000-0005-0000-0000-0000060C0000}"/>
    <cellStyle name="60 % - Accent2 58" xfId="1347" xr:uid="{00000000-0005-0000-0000-0000070C0000}"/>
    <cellStyle name="60 % - Accent2 58 2" xfId="3749" xr:uid="{00000000-0005-0000-0000-0000080C0000}"/>
    <cellStyle name="60 % - Accent2 59" xfId="1348" xr:uid="{00000000-0005-0000-0000-0000090C0000}"/>
    <cellStyle name="60 % - Accent2 59 2" xfId="3750" xr:uid="{00000000-0005-0000-0000-00000A0C0000}"/>
    <cellStyle name="60 % - Accent2 6" xfId="249" xr:uid="{00000000-0005-0000-0000-00000B0C0000}"/>
    <cellStyle name="60 % - Accent2 6 2" xfId="1349" xr:uid="{00000000-0005-0000-0000-00000C0C0000}"/>
    <cellStyle name="60 % - Accent2 6 3" xfId="3751" xr:uid="{00000000-0005-0000-0000-00000D0C0000}"/>
    <cellStyle name="60 % - Accent2 7" xfId="250" xr:uid="{00000000-0005-0000-0000-00000E0C0000}"/>
    <cellStyle name="60 % - Accent2 7 2" xfId="1350" xr:uid="{00000000-0005-0000-0000-00000F0C0000}"/>
    <cellStyle name="60 % - Accent2 7 3" xfId="3752" xr:uid="{00000000-0005-0000-0000-0000100C0000}"/>
    <cellStyle name="60 % - Accent2 8" xfId="251" xr:uid="{00000000-0005-0000-0000-0000110C0000}"/>
    <cellStyle name="60 % - Accent2 8 2" xfId="1351" xr:uid="{00000000-0005-0000-0000-0000120C0000}"/>
    <cellStyle name="60 % - Accent2 8 3" xfId="3753" xr:uid="{00000000-0005-0000-0000-0000130C0000}"/>
    <cellStyle name="60 % - Accent2 9" xfId="1352" xr:uid="{00000000-0005-0000-0000-0000140C0000}"/>
    <cellStyle name="60 % - Accent2 9 2" xfId="3754" xr:uid="{00000000-0005-0000-0000-0000150C0000}"/>
    <cellStyle name="60 % - Accent3 10" xfId="1353" xr:uid="{00000000-0005-0000-0000-0000160C0000}"/>
    <cellStyle name="60 % - Accent3 10 2" xfId="3755" xr:uid="{00000000-0005-0000-0000-0000170C0000}"/>
    <cellStyle name="60 % - Accent3 11" xfId="1354" xr:uid="{00000000-0005-0000-0000-0000180C0000}"/>
    <cellStyle name="60 % - Accent3 11 2" xfId="3756" xr:uid="{00000000-0005-0000-0000-0000190C0000}"/>
    <cellStyle name="60 % - Accent3 12" xfId="1355" xr:uid="{00000000-0005-0000-0000-00001A0C0000}"/>
    <cellStyle name="60 % - Accent3 12 2" xfId="3757" xr:uid="{00000000-0005-0000-0000-00001B0C0000}"/>
    <cellStyle name="60 % - Accent3 13" xfId="1356" xr:uid="{00000000-0005-0000-0000-00001C0C0000}"/>
    <cellStyle name="60 % - Accent3 13 2" xfId="3758" xr:uid="{00000000-0005-0000-0000-00001D0C0000}"/>
    <cellStyle name="60 % - Accent3 14" xfId="1357" xr:uid="{00000000-0005-0000-0000-00001E0C0000}"/>
    <cellStyle name="60 % - Accent3 14 2" xfId="3759" xr:uid="{00000000-0005-0000-0000-00001F0C0000}"/>
    <cellStyle name="60 % - Accent3 15" xfId="1358" xr:uid="{00000000-0005-0000-0000-0000200C0000}"/>
    <cellStyle name="60 % - Accent3 15 2" xfId="3760" xr:uid="{00000000-0005-0000-0000-0000210C0000}"/>
    <cellStyle name="60 % - Accent3 16" xfId="1359" xr:uid="{00000000-0005-0000-0000-0000220C0000}"/>
    <cellStyle name="60 % - Accent3 16 2" xfId="3761" xr:uid="{00000000-0005-0000-0000-0000230C0000}"/>
    <cellStyle name="60 % - Accent3 17" xfId="1360" xr:uid="{00000000-0005-0000-0000-0000240C0000}"/>
    <cellStyle name="60 % - Accent3 17 2" xfId="3762" xr:uid="{00000000-0005-0000-0000-0000250C0000}"/>
    <cellStyle name="60 % - Accent3 18" xfId="1361" xr:uid="{00000000-0005-0000-0000-0000260C0000}"/>
    <cellStyle name="60 % - Accent3 18 2" xfId="3763" xr:uid="{00000000-0005-0000-0000-0000270C0000}"/>
    <cellStyle name="60 % - Accent3 19" xfId="1362" xr:uid="{00000000-0005-0000-0000-0000280C0000}"/>
    <cellStyle name="60 % - Accent3 19 2" xfId="3764" xr:uid="{00000000-0005-0000-0000-0000290C0000}"/>
    <cellStyle name="60 % - Accent3 2" xfId="19" xr:uid="{00000000-0005-0000-0000-00002A0C0000}"/>
    <cellStyle name="60 % - Accent3 2 2" xfId="1363" xr:uid="{00000000-0005-0000-0000-00002B0C0000}"/>
    <cellStyle name="60 % - Accent3 2 3" xfId="3765" xr:uid="{00000000-0005-0000-0000-00002C0C0000}"/>
    <cellStyle name="60 % - Accent3 20" xfId="1364" xr:uid="{00000000-0005-0000-0000-00002D0C0000}"/>
    <cellStyle name="60 % - Accent3 20 2" xfId="3766" xr:uid="{00000000-0005-0000-0000-00002E0C0000}"/>
    <cellStyle name="60 % - Accent3 21" xfId="1365" xr:uid="{00000000-0005-0000-0000-00002F0C0000}"/>
    <cellStyle name="60 % - Accent3 21 2" xfId="3767" xr:uid="{00000000-0005-0000-0000-0000300C0000}"/>
    <cellStyle name="60 % - Accent3 22" xfId="1366" xr:uid="{00000000-0005-0000-0000-0000310C0000}"/>
    <cellStyle name="60 % - Accent3 22 2" xfId="3768" xr:uid="{00000000-0005-0000-0000-0000320C0000}"/>
    <cellStyle name="60 % - Accent3 23" xfId="1367" xr:uid="{00000000-0005-0000-0000-0000330C0000}"/>
    <cellStyle name="60 % - Accent3 23 2" xfId="3769" xr:uid="{00000000-0005-0000-0000-0000340C0000}"/>
    <cellStyle name="60 % - Accent3 24" xfId="1368" xr:uid="{00000000-0005-0000-0000-0000350C0000}"/>
    <cellStyle name="60 % - Accent3 24 2" xfId="3770" xr:uid="{00000000-0005-0000-0000-0000360C0000}"/>
    <cellStyle name="60 % - Accent3 25" xfId="1369" xr:uid="{00000000-0005-0000-0000-0000370C0000}"/>
    <cellStyle name="60 % - Accent3 25 2" xfId="3771" xr:uid="{00000000-0005-0000-0000-0000380C0000}"/>
    <cellStyle name="60 % - Accent3 26" xfId="1370" xr:uid="{00000000-0005-0000-0000-0000390C0000}"/>
    <cellStyle name="60 % - Accent3 26 2" xfId="3772" xr:uid="{00000000-0005-0000-0000-00003A0C0000}"/>
    <cellStyle name="60 % - Accent3 27" xfId="1371" xr:uid="{00000000-0005-0000-0000-00003B0C0000}"/>
    <cellStyle name="60 % - Accent3 27 2" xfId="3773" xr:uid="{00000000-0005-0000-0000-00003C0C0000}"/>
    <cellStyle name="60 % - Accent3 28" xfId="1372" xr:uid="{00000000-0005-0000-0000-00003D0C0000}"/>
    <cellStyle name="60 % - Accent3 28 2" xfId="3774" xr:uid="{00000000-0005-0000-0000-00003E0C0000}"/>
    <cellStyle name="60 % - Accent3 29" xfId="1373" xr:uid="{00000000-0005-0000-0000-00003F0C0000}"/>
    <cellStyle name="60 % - Accent3 29 2" xfId="3775" xr:uid="{00000000-0005-0000-0000-0000400C0000}"/>
    <cellStyle name="60 % - Accent3 3" xfId="252" xr:uid="{00000000-0005-0000-0000-0000410C0000}"/>
    <cellStyle name="60 % - Accent3 3 2" xfId="1374" xr:uid="{00000000-0005-0000-0000-0000420C0000}"/>
    <cellStyle name="60 % - Accent3 3 3" xfId="3776" xr:uid="{00000000-0005-0000-0000-0000430C0000}"/>
    <cellStyle name="60 % - Accent3 30" xfId="1375" xr:uid="{00000000-0005-0000-0000-0000440C0000}"/>
    <cellStyle name="60 % - Accent3 30 2" xfId="3777" xr:uid="{00000000-0005-0000-0000-0000450C0000}"/>
    <cellStyle name="60 % - Accent3 31" xfId="1376" xr:uid="{00000000-0005-0000-0000-0000460C0000}"/>
    <cellStyle name="60 % - Accent3 31 2" xfId="3778" xr:uid="{00000000-0005-0000-0000-0000470C0000}"/>
    <cellStyle name="60 % - Accent3 32" xfId="1377" xr:uid="{00000000-0005-0000-0000-0000480C0000}"/>
    <cellStyle name="60 % - Accent3 32 2" xfId="3779" xr:uid="{00000000-0005-0000-0000-0000490C0000}"/>
    <cellStyle name="60 % - Accent3 33" xfId="1378" xr:uid="{00000000-0005-0000-0000-00004A0C0000}"/>
    <cellStyle name="60 % - Accent3 33 2" xfId="3780" xr:uid="{00000000-0005-0000-0000-00004B0C0000}"/>
    <cellStyle name="60 % - Accent3 34" xfId="1379" xr:uid="{00000000-0005-0000-0000-00004C0C0000}"/>
    <cellStyle name="60 % - Accent3 34 2" xfId="3781" xr:uid="{00000000-0005-0000-0000-00004D0C0000}"/>
    <cellStyle name="60 % - Accent3 35" xfId="1380" xr:uid="{00000000-0005-0000-0000-00004E0C0000}"/>
    <cellStyle name="60 % - Accent3 35 2" xfId="3782" xr:uid="{00000000-0005-0000-0000-00004F0C0000}"/>
    <cellStyle name="60 % - Accent3 36" xfId="1381" xr:uid="{00000000-0005-0000-0000-0000500C0000}"/>
    <cellStyle name="60 % - Accent3 36 2" xfId="3783" xr:uid="{00000000-0005-0000-0000-0000510C0000}"/>
    <cellStyle name="60 % - Accent3 37" xfId="1382" xr:uid="{00000000-0005-0000-0000-0000520C0000}"/>
    <cellStyle name="60 % - Accent3 37 2" xfId="3784" xr:uid="{00000000-0005-0000-0000-0000530C0000}"/>
    <cellStyle name="60 % - Accent3 38" xfId="1383" xr:uid="{00000000-0005-0000-0000-0000540C0000}"/>
    <cellStyle name="60 % - Accent3 38 2" xfId="3785" xr:uid="{00000000-0005-0000-0000-0000550C0000}"/>
    <cellStyle name="60 % - Accent3 39" xfId="1384" xr:uid="{00000000-0005-0000-0000-0000560C0000}"/>
    <cellStyle name="60 % - Accent3 39 2" xfId="3786" xr:uid="{00000000-0005-0000-0000-0000570C0000}"/>
    <cellStyle name="60 % - Accent3 4" xfId="253" xr:uid="{00000000-0005-0000-0000-0000580C0000}"/>
    <cellStyle name="60 % - Accent3 4 2" xfId="1385" xr:uid="{00000000-0005-0000-0000-0000590C0000}"/>
    <cellStyle name="60 % - Accent3 4 3" xfId="3787" xr:uid="{00000000-0005-0000-0000-00005A0C0000}"/>
    <cellStyle name="60 % - Accent3 40" xfId="1386" xr:uid="{00000000-0005-0000-0000-00005B0C0000}"/>
    <cellStyle name="60 % - Accent3 40 2" xfId="3788" xr:uid="{00000000-0005-0000-0000-00005C0C0000}"/>
    <cellStyle name="60 % - Accent3 41" xfId="1387" xr:uid="{00000000-0005-0000-0000-00005D0C0000}"/>
    <cellStyle name="60 % - Accent3 41 2" xfId="3789" xr:uid="{00000000-0005-0000-0000-00005E0C0000}"/>
    <cellStyle name="60 % - Accent3 42" xfId="1388" xr:uid="{00000000-0005-0000-0000-00005F0C0000}"/>
    <cellStyle name="60 % - Accent3 42 2" xfId="3790" xr:uid="{00000000-0005-0000-0000-0000600C0000}"/>
    <cellStyle name="60 % - Accent3 43" xfId="1389" xr:uid="{00000000-0005-0000-0000-0000610C0000}"/>
    <cellStyle name="60 % - Accent3 43 2" xfId="3791" xr:uid="{00000000-0005-0000-0000-0000620C0000}"/>
    <cellStyle name="60 % - Accent3 44" xfId="1390" xr:uid="{00000000-0005-0000-0000-0000630C0000}"/>
    <cellStyle name="60 % - Accent3 44 2" xfId="3792" xr:uid="{00000000-0005-0000-0000-0000640C0000}"/>
    <cellStyle name="60 % - Accent3 45" xfId="1391" xr:uid="{00000000-0005-0000-0000-0000650C0000}"/>
    <cellStyle name="60 % - Accent3 45 2" xfId="3793" xr:uid="{00000000-0005-0000-0000-0000660C0000}"/>
    <cellStyle name="60 % - Accent3 46" xfId="1392" xr:uid="{00000000-0005-0000-0000-0000670C0000}"/>
    <cellStyle name="60 % - Accent3 46 2" xfId="3794" xr:uid="{00000000-0005-0000-0000-0000680C0000}"/>
    <cellStyle name="60 % - Accent3 47" xfId="1393" xr:uid="{00000000-0005-0000-0000-0000690C0000}"/>
    <cellStyle name="60 % - Accent3 47 2" xfId="3795" xr:uid="{00000000-0005-0000-0000-00006A0C0000}"/>
    <cellStyle name="60 % - Accent3 48" xfId="1394" xr:uid="{00000000-0005-0000-0000-00006B0C0000}"/>
    <cellStyle name="60 % - Accent3 48 2" xfId="3796" xr:uid="{00000000-0005-0000-0000-00006C0C0000}"/>
    <cellStyle name="60 % - Accent3 49" xfId="1395" xr:uid="{00000000-0005-0000-0000-00006D0C0000}"/>
    <cellStyle name="60 % - Accent3 49 2" xfId="3797" xr:uid="{00000000-0005-0000-0000-00006E0C0000}"/>
    <cellStyle name="60 % - Accent3 5" xfId="254" xr:uid="{00000000-0005-0000-0000-00006F0C0000}"/>
    <cellStyle name="60 % - Accent3 5 2" xfId="1396" xr:uid="{00000000-0005-0000-0000-0000700C0000}"/>
    <cellStyle name="60 % - Accent3 5 3" xfId="3798" xr:uid="{00000000-0005-0000-0000-0000710C0000}"/>
    <cellStyle name="60 % - Accent3 50" xfId="1397" xr:uid="{00000000-0005-0000-0000-0000720C0000}"/>
    <cellStyle name="60 % - Accent3 50 2" xfId="3799" xr:uid="{00000000-0005-0000-0000-0000730C0000}"/>
    <cellStyle name="60 % - Accent3 51" xfId="1398" xr:uid="{00000000-0005-0000-0000-0000740C0000}"/>
    <cellStyle name="60 % - Accent3 51 2" xfId="3800" xr:uid="{00000000-0005-0000-0000-0000750C0000}"/>
    <cellStyle name="60 % - Accent3 52" xfId="1399" xr:uid="{00000000-0005-0000-0000-0000760C0000}"/>
    <cellStyle name="60 % - Accent3 52 2" xfId="3801" xr:uid="{00000000-0005-0000-0000-0000770C0000}"/>
    <cellStyle name="60 % - Accent3 53" xfId="1400" xr:uid="{00000000-0005-0000-0000-0000780C0000}"/>
    <cellStyle name="60 % - Accent3 53 2" xfId="3802" xr:uid="{00000000-0005-0000-0000-0000790C0000}"/>
    <cellStyle name="60 % - Accent3 54" xfId="1401" xr:uid="{00000000-0005-0000-0000-00007A0C0000}"/>
    <cellStyle name="60 % - Accent3 54 2" xfId="3803" xr:uid="{00000000-0005-0000-0000-00007B0C0000}"/>
    <cellStyle name="60 % - Accent3 55" xfId="1402" xr:uid="{00000000-0005-0000-0000-00007C0C0000}"/>
    <cellStyle name="60 % - Accent3 55 2" xfId="3804" xr:uid="{00000000-0005-0000-0000-00007D0C0000}"/>
    <cellStyle name="60 % - Accent3 56" xfId="1403" xr:uid="{00000000-0005-0000-0000-00007E0C0000}"/>
    <cellStyle name="60 % - Accent3 56 2" xfId="3805" xr:uid="{00000000-0005-0000-0000-00007F0C0000}"/>
    <cellStyle name="60 % - Accent3 57" xfId="1404" xr:uid="{00000000-0005-0000-0000-0000800C0000}"/>
    <cellStyle name="60 % - Accent3 57 2" xfId="3806" xr:uid="{00000000-0005-0000-0000-0000810C0000}"/>
    <cellStyle name="60 % - Accent3 58" xfId="1405" xr:uid="{00000000-0005-0000-0000-0000820C0000}"/>
    <cellStyle name="60 % - Accent3 58 2" xfId="3807" xr:uid="{00000000-0005-0000-0000-0000830C0000}"/>
    <cellStyle name="60 % - Accent3 59" xfId="1406" xr:uid="{00000000-0005-0000-0000-0000840C0000}"/>
    <cellStyle name="60 % - Accent3 59 2" xfId="3808" xr:uid="{00000000-0005-0000-0000-0000850C0000}"/>
    <cellStyle name="60 % - Accent3 6" xfId="255" xr:uid="{00000000-0005-0000-0000-0000860C0000}"/>
    <cellStyle name="60 % - Accent3 6 2" xfId="1407" xr:uid="{00000000-0005-0000-0000-0000870C0000}"/>
    <cellStyle name="60 % - Accent3 6 3" xfId="3809" xr:uid="{00000000-0005-0000-0000-0000880C0000}"/>
    <cellStyle name="60 % - Accent3 7" xfId="256" xr:uid="{00000000-0005-0000-0000-0000890C0000}"/>
    <cellStyle name="60 % - Accent3 7 2" xfId="1408" xr:uid="{00000000-0005-0000-0000-00008A0C0000}"/>
    <cellStyle name="60 % - Accent3 7 3" xfId="3810" xr:uid="{00000000-0005-0000-0000-00008B0C0000}"/>
    <cellStyle name="60 % - Accent3 8" xfId="257" xr:uid="{00000000-0005-0000-0000-00008C0C0000}"/>
    <cellStyle name="60 % - Accent3 8 2" xfId="1409" xr:uid="{00000000-0005-0000-0000-00008D0C0000}"/>
    <cellStyle name="60 % - Accent3 8 3" xfId="3811" xr:uid="{00000000-0005-0000-0000-00008E0C0000}"/>
    <cellStyle name="60 % - Accent3 9" xfId="1410" xr:uid="{00000000-0005-0000-0000-00008F0C0000}"/>
    <cellStyle name="60 % - Accent3 9 2" xfId="3812" xr:uid="{00000000-0005-0000-0000-0000900C0000}"/>
    <cellStyle name="60 % - Accent4 10" xfId="1411" xr:uid="{00000000-0005-0000-0000-0000910C0000}"/>
    <cellStyle name="60 % - Accent4 10 2" xfId="3813" xr:uid="{00000000-0005-0000-0000-0000920C0000}"/>
    <cellStyle name="60 % - Accent4 11" xfId="1412" xr:uid="{00000000-0005-0000-0000-0000930C0000}"/>
    <cellStyle name="60 % - Accent4 11 2" xfId="3814" xr:uid="{00000000-0005-0000-0000-0000940C0000}"/>
    <cellStyle name="60 % - Accent4 12" xfId="1413" xr:uid="{00000000-0005-0000-0000-0000950C0000}"/>
    <cellStyle name="60 % - Accent4 12 2" xfId="3815" xr:uid="{00000000-0005-0000-0000-0000960C0000}"/>
    <cellStyle name="60 % - Accent4 13" xfId="1414" xr:uid="{00000000-0005-0000-0000-0000970C0000}"/>
    <cellStyle name="60 % - Accent4 13 2" xfId="3816" xr:uid="{00000000-0005-0000-0000-0000980C0000}"/>
    <cellStyle name="60 % - Accent4 14" xfId="1415" xr:uid="{00000000-0005-0000-0000-0000990C0000}"/>
    <cellStyle name="60 % - Accent4 14 2" xfId="3817" xr:uid="{00000000-0005-0000-0000-00009A0C0000}"/>
    <cellStyle name="60 % - Accent4 15" xfId="1416" xr:uid="{00000000-0005-0000-0000-00009B0C0000}"/>
    <cellStyle name="60 % - Accent4 15 2" xfId="3818" xr:uid="{00000000-0005-0000-0000-00009C0C0000}"/>
    <cellStyle name="60 % - Accent4 16" xfId="1417" xr:uid="{00000000-0005-0000-0000-00009D0C0000}"/>
    <cellStyle name="60 % - Accent4 16 2" xfId="3819" xr:uid="{00000000-0005-0000-0000-00009E0C0000}"/>
    <cellStyle name="60 % - Accent4 17" xfId="1418" xr:uid="{00000000-0005-0000-0000-00009F0C0000}"/>
    <cellStyle name="60 % - Accent4 17 2" xfId="3820" xr:uid="{00000000-0005-0000-0000-0000A00C0000}"/>
    <cellStyle name="60 % - Accent4 18" xfId="1419" xr:uid="{00000000-0005-0000-0000-0000A10C0000}"/>
    <cellStyle name="60 % - Accent4 18 2" xfId="3821" xr:uid="{00000000-0005-0000-0000-0000A20C0000}"/>
    <cellStyle name="60 % - Accent4 19" xfId="1420" xr:uid="{00000000-0005-0000-0000-0000A30C0000}"/>
    <cellStyle name="60 % - Accent4 19 2" xfId="3822" xr:uid="{00000000-0005-0000-0000-0000A40C0000}"/>
    <cellStyle name="60 % - Accent4 2" xfId="20" xr:uid="{00000000-0005-0000-0000-0000A50C0000}"/>
    <cellStyle name="60 % - Accent4 2 2" xfId="1421" xr:uid="{00000000-0005-0000-0000-0000A60C0000}"/>
    <cellStyle name="60 % - Accent4 2 3" xfId="3823" xr:uid="{00000000-0005-0000-0000-0000A70C0000}"/>
    <cellStyle name="60 % - Accent4 20" xfId="1422" xr:uid="{00000000-0005-0000-0000-0000A80C0000}"/>
    <cellStyle name="60 % - Accent4 20 2" xfId="3824" xr:uid="{00000000-0005-0000-0000-0000A90C0000}"/>
    <cellStyle name="60 % - Accent4 21" xfId="1423" xr:uid="{00000000-0005-0000-0000-0000AA0C0000}"/>
    <cellStyle name="60 % - Accent4 21 2" xfId="3825" xr:uid="{00000000-0005-0000-0000-0000AB0C0000}"/>
    <cellStyle name="60 % - Accent4 22" xfId="1424" xr:uid="{00000000-0005-0000-0000-0000AC0C0000}"/>
    <cellStyle name="60 % - Accent4 22 2" xfId="3826" xr:uid="{00000000-0005-0000-0000-0000AD0C0000}"/>
    <cellStyle name="60 % - Accent4 23" xfId="1425" xr:uid="{00000000-0005-0000-0000-0000AE0C0000}"/>
    <cellStyle name="60 % - Accent4 23 2" xfId="3827" xr:uid="{00000000-0005-0000-0000-0000AF0C0000}"/>
    <cellStyle name="60 % - Accent4 24" xfId="1426" xr:uid="{00000000-0005-0000-0000-0000B00C0000}"/>
    <cellStyle name="60 % - Accent4 24 2" xfId="3828" xr:uid="{00000000-0005-0000-0000-0000B10C0000}"/>
    <cellStyle name="60 % - Accent4 25" xfId="1427" xr:uid="{00000000-0005-0000-0000-0000B20C0000}"/>
    <cellStyle name="60 % - Accent4 25 2" xfId="3829" xr:uid="{00000000-0005-0000-0000-0000B30C0000}"/>
    <cellStyle name="60 % - Accent4 26" xfId="1428" xr:uid="{00000000-0005-0000-0000-0000B40C0000}"/>
    <cellStyle name="60 % - Accent4 26 2" xfId="3830" xr:uid="{00000000-0005-0000-0000-0000B50C0000}"/>
    <cellStyle name="60 % - Accent4 27" xfId="1429" xr:uid="{00000000-0005-0000-0000-0000B60C0000}"/>
    <cellStyle name="60 % - Accent4 27 2" xfId="3831" xr:uid="{00000000-0005-0000-0000-0000B70C0000}"/>
    <cellStyle name="60 % - Accent4 28" xfId="1430" xr:uid="{00000000-0005-0000-0000-0000B80C0000}"/>
    <cellStyle name="60 % - Accent4 28 2" xfId="3832" xr:uid="{00000000-0005-0000-0000-0000B90C0000}"/>
    <cellStyle name="60 % - Accent4 29" xfId="1431" xr:uid="{00000000-0005-0000-0000-0000BA0C0000}"/>
    <cellStyle name="60 % - Accent4 29 2" xfId="3833" xr:uid="{00000000-0005-0000-0000-0000BB0C0000}"/>
    <cellStyle name="60 % - Accent4 3" xfId="258" xr:uid="{00000000-0005-0000-0000-0000BC0C0000}"/>
    <cellStyle name="60 % - Accent4 3 2" xfId="1432" xr:uid="{00000000-0005-0000-0000-0000BD0C0000}"/>
    <cellStyle name="60 % - Accent4 3 3" xfId="3834" xr:uid="{00000000-0005-0000-0000-0000BE0C0000}"/>
    <cellStyle name="60 % - Accent4 30" xfId="1433" xr:uid="{00000000-0005-0000-0000-0000BF0C0000}"/>
    <cellStyle name="60 % - Accent4 30 2" xfId="3835" xr:uid="{00000000-0005-0000-0000-0000C00C0000}"/>
    <cellStyle name="60 % - Accent4 31" xfId="1434" xr:uid="{00000000-0005-0000-0000-0000C10C0000}"/>
    <cellStyle name="60 % - Accent4 31 2" xfId="3836" xr:uid="{00000000-0005-0000-0000-0000C20C0000}"/>
    <cellStyle name="60 % - Accent4 32" xfId="1435" xr:uid="{00000000-0005-0000-0000-0000C30C0000}"/>
    <cellStyle name="60 % - Accent4 32 2" xfId="3837" xr:uid="{00000000-0005-0000-0000-0000C40C0000}"/>
    <cellStyle name="60 % - Accent4 33" xfId="1436" xr:uid="{00000000-0005-0000-0000-0000C50C0000}"/>
    <cellStyle name="60 % - Accent4 33 2" xfId="3838" xr:uid="{00000000-0005-0000-0000-0000C60C0000}"/>
    <cellStyle name="60 % - Accent4 34" xfId="1437" xr:uid="{00000000-0005-0000-0000-0000C70C0000}"/>
    <cellStyle name="60 % - Accent4 34 2" xfId="3839" xr:uid="{00000000-0005-0000-0000-0000C80C0000}"/>
    <cellStyle name="60 % - Accent4 35" xfId="1438" xr:uid="{00000000-0005-0000-0000-0000C90C0000}"/>
    <cellStyle name="60 % - Accent4 35 2" xfId="3840" xr:uid="{00000000-0005-0000-0000-0000CA0C0000}"/>
    <cellStyle name="60 % - Accent4 36" xfId="1439" xr:uid="{00000000-0005-0000-0000-0000CB0C0000}"/>
    <cellStyle name="60 % - Accent4 36 2" xfId="3841" xr:uid="{00000000-0005-0000-0000-0000CC0C0000}"/>
    <cellStyle name="60 % - Accent4 37" xfId="1440" xr:uid="{00000000-0005-0000-0000-0000CD0C0000}"/>
    <cellStyle name="60 % - Accent4 37 2" xfId="3842" xr:uid="{00000000-0005-0000-0000-0000CE0C0000}"/>
    <cellStyle name="60 % - Accent4 38" xfId="1441" xr:uid="{00000000-0005-0000-0000-0000CF0C0000}"/>
    <cellStyle name="60 % - Accent4 38 2" xfId="3843" xr:uid="{00000000-0005-0000-0000-0000D00C0000}"/>
    <cellStyle name="60 % - Accent4 39" xfId="1442" xr:uid="{00000000-0005-0000-0000-0000D10C0000}"/>
    <cellStyle name="60 % - Accent4 39 2" xfId="3844" xr:uid="{00000000-0005-0000-0000-0000D20C0000}"/>
    <cellStyle name="60 % - Accent4 4" xfId="259" xr:uid="{00000000-0005-0000-0000-0000D30C0000}"/>
    <cellStyle name="60 % - Accent4 4 2" xfId="1443" xr:uid="{00000000-0005-0000-0000-0000D40C0000}"/>
    <cellStyle name="60 % - Accent4 4 3" xfId="3845" xr:uid="{00000000-0005-0000-0000-0000D50C0000}"/>
    <cellStyle name="60 % - Accent4 40" xfId="1444" xr:uid="{00000000-0005-0000-0000-0000D60C0000}"/>
    <cellStyle name="60 % - Accent4 40 2" xfId="3846" xr:uid="{00000000-0005-0000-0000-0000D70C0000}"/>
    <cellStyle name="60 % - Accent4 41" xfId="1445" xr:uid="{00000000-0005-0000-0000-0000D80C0000}"/>
    <cellStyle name="60 % - Accent4 41 2" xfId="3847" xr:uid="{00000000-0005-0000-0000-0000D90C0000}"/>
    <cellStyle name="60 % - Accent4 42" xfId="1446" xr:uid="{00000000-0005-0000-0000-0000DA0C0000}"/>
    <cellStyle name="60 % - Accent4 42 2" xfId="3848" xr:uid="{00000000-0005-0000-0000-0000DB0C0000}"/>
    <cellStyle name="60 % - Accent4 43" xfId="1447" xr:uid="{00000000-0005-0000-0000-0000DC0C0000}"/>
    <cellStyle name="60 % - Accent4 43 2" xfId="3849" xr:uid="{00000000-0005-0000-0000-0000DD0C0000}"/>
    <cellStyle name="60 % - Accent4 44" xfId="1448" xr:uid="{00000000-0005-0000-0000-0000DE0C0000}"/>
    <cellStyle name="60 % - Accent4 44 2" xfId="3850" xr:uid="{00000000-0005-0000-0000-0000DF0C0000}"/>
    <cellStyle name="60 % - Accent4 45" xfId="1449" xr:uid="{00000000-0005-0000-0000-0000E00C0000}"/>
    <cellStyle name="60 % - Accent4 45 2" xfId="3851" xr:uid="{00000000-0005-0000-0000-0000E10C0000}"/>
    <cellStyle name="60 % - Accent4 46" xfId="1450" xr:uid="{00000000-0005-0000-0000-0000E20C0000}"/>
    <cellStyle name="60 % - Accent4 46 2" xfId="3852" xr:uid="{00000000-0005-0000-0000-0000E30C0000}"/>
    <cellStyle name="60 % - Accent4 47" xfId="1451" xr:uid="{00000000-0005-0000-0000-0000E40C0000}"/>
    <cellStyle name="60 % - Accent4 47 2" xfId="3853" xr:uid="{00000000-0005-0000-0000-0000E50C0000}"/>
    <cellStyle name="60 % - Accent4 48" xfId="1452" xr:uid="{00000000-0005-0000-0000-0000E60C0000}"/>
    <cellStyle name="60 % - Accent4 48 2" xfId="3854" xr:uid="{00000000-0005-0000-0000-0000E70C0000}"/>
    <cellStyle name="60 % - Accent4 49" xfId="1453" xr:uid="{00000000-0005-0000-0000-0000E80C0000}"/>
    <cellStyle name="60 % - Accent4 49 2" xfId="3855" xr:uid="{00000000-0005-0000-0000-0000E90C0000}"/>
    <cellStyle name="60 % - Accent4 5" xfId="260" xr:uid="{00000000-0005-0000-0000-0000EA0C0000}"/>
    <cellStyle name="60 % - Accent4 5 2" xfId="1454" xr:uid="{00000000-0005-0000-0000-0000EB0C0000}"/>
    <cellStyle name="60 % - Accent4 5 3" xfId="3856" xr:uid="{00000000-0005-0000-0000-0000EC0C0000}"/>
    <cellStyle name="60 % - Accent4 50" xfId="1455" xr:uid="{00000000-0005-0000-0000-0000ED0C0000}"/>
    <cellStyle name="60 % - Accent4 50 2" xfId="3857" xr:uid="{00000000-0005-0000-0000-0000EE0C0000}"/>
    <cellStyle name="60 % - Accent4 51" xfId="1456" xr:uid="{00000000-0005-0000-0000-0000EF0C0000}"/>
    <cellStyle name="60 % - Accent4 51 2" xfId="3858" xr:uid="{00000000-0005-0000-0000-0000F00C0000}"/>
    <cellStyle name="60 % - Accent4 52" xfId="1457" xr:uid="{00000000-0005-0000-0000-0000F10C0000}"/>
    <cellStyle name="60 % - Accent4 52 2" xfId="3859" xr:uid="{00000000-0005-0000-0000-0000F20C0000}"/>
    <cellStyle name="60 % - Accent4 53" xfId="1458" xr:uid="{00000000-0005-0000-0000-0000F30C0000}"/>
    <cellStyle name="60 % - Accent4 53 2" xfId="3860" xr:uid="{00000000-0005-0000-0000-0000F40C0000}"/>
    <cellStyle name="60 % - Accent4 54" xfId="1459" xr:uid="{00000000-0005-0000-0000-0000F50C0000}"/>
    <cellStyle name="60 % - Accent4 54 2" xfId="3861" xr:uid="{00000000-0005-0000-0000-0000F60C0000}"/>
    <cellStyle name="60 % - Accent4 55" xfId="1460" xr:uid="{00000000-0005-0000-0000-0000F70C0000}"/>
    <cellStyle name="60 % - Accent4 55 2" xfId="3862" xr:uid="{00000000-0005-0000-0000-0000F80C0000}"/>
    <cellStyle name="60 % - Accent4 56" xfId="1461" xr:uid="{00000000-0005-0000-0000-0000F90C0000}"/>
    <cellStyle name="60 % - Accent4 56 2" xfId="3863" xr:uid="{00000000-0005-0000-0000-0000FA0C0000}"/>
    <cellStyle name="60 % - Accent4 57" xfId="1462" xr:uid="{00000000-0005-0000-0000-0000FB0C0000}"/>
    <cellStyle name="60 % - Accent4 57 2" xfId="3864" xr:uid="{00000000-0005-0000-0000-0000FC0C0000}"/>
    <cellStyle name="60 % - Accent4 58" xfId="1463" xr:uid="{00000000-0005-0000-0000-0000FD0C0000}"/>
    <cellStyle name="60 % - Accent4 58 2" xfId="3865" xr:uid="{00000000-0005-0000-0000-0000FE0C0000}"/>
    <cellStyle name="60 % - Accent4 59" xfId="1464" xr:uid="{00000000-0005-0000-0000-0000FF0C0000}"/>
    <cellStyle name="60 % - Accent4 59 2" xfId="3866" xr:uid="{00000000-0005-0000-0000-0000000D0000}"/>
    <cellStyle name="60 % - Accent4 6" xfId="261" xr:uid="{00000000-0005-0000-0000-0000010D0000}"/>
    <cellStyle name="60 % - Accent4 6 2" xfId="1465" xr:uid="{00000000-0005-0000-0000-0000020D0000}"/>
    <cellStyle name="60 % - Accent4 6 3" xfId="3867" xr:uid="{00000000-0005-0000-0000-0000030D0000}"/>
    <cellStyle name="60 % - Accent4 7" xfId="262" xr:uid="{00000000-0005-0000-0000-0000040D0000}"/>
    <cellStyle name="60 % - Accent4 7 2" xfId="1466" xr:uid="{00000000-0005-0000-0000-0000050D0000}"/>
    <cellStyle name="60 % - Accent4 7 3" xfId="3868" xr:uid="{00000000-0005-0000-0000-0000060D0000}"/>
    <cellStyle name="60 % - Accent4 8" xfId="263" xr:uid="{00000000-0005-0000-0000-0000070D0000}"/>
    <cellStyle name="60 % - Accent4 8 2" xfId="1467" xr:uid="{00000000-0005-0000-0000-0000080D0000}"/>
    <cellStyle name="60 % - Accent4 8 3" xfId="3869" xr:uid="{00000000-0005-0000-0000-0000090D0000}"/>
    <cellStyle name="60 % - Accent4 9" xfId="1468" xr:uid="{00000000-0005-0000-0000-00000A0D0000}"/>
    <cellStyle name="60 % - Accent4 9 2" xfId="3870" xr:uid="{00000000-0005-0000-0000-00000B0D0000}"/>
    <cellStyle name="60 % - Accent5 10" xfId="1469" xr:uid="{00000000-0005-0000-0000-00000C0D0000}"/>
    <cellStyle name="60 % - Accent5 10 2" xfId="3871" xr:uid="{00000000-0005-0000-0000-00000D0D0000}"/>
    <cellStyle name="60 % - Accent5 11" xfId="1470" xr:uid="{00000000-0005-0000-0000-00000E0D0000}"/>
    <cellStyle name="60 % - Accent5 11 2" xfId="3872" xr:uid="{00000000-0005-0000-0000-00000F0D0000}"/>
    <cellStyle name="60 % - Accent5 12" xfId="1471" xr:uid="{00000000-0005-0000-0000-0000100D0000}"/>
    <cellStyle name="60 % - Accent5 12 2" xfId="3873" xr:uid="{00000000-0005-0000-0000-0000110D0000}"/>
    <cellStyle name="60 % - Accent5 13" xfId="1472" xr:uid="{00000000-0005-0000-0000-0000120D0000}"/>
    <cellStyle name="60 % - Accent5 13 2" xfId="3874" xr:uid="{00000000-0005-0000-0000-0000130D0000}"/>
    <cellStyle name="60 % - Accent5 14" xfId="1473" xr:uid="{00000000-0005-0000-0000-0000140D0000}"/>
    <cellStyle name="60 % - Accent5 14 2" xfId="3875" xr:uid="{00000000-0005-0000-0000-0000150D0000}"/>
    <cellStyle name="60 % - Accent5 15" xfId="1474" xr:uid="{00000000-0005-0000-0000-0000160D0000}"/>
    <cellStyle name="60 % - Accent5 15 2" xfId="3876" xr:uid="{00000000-0005-0000-0000-0000170D0000}"/>
    <cellStyle name="60 % - Accent5 16" xfId="1475" xr:uid="{00000000-0005-0000-0000-0000180D0000}"/>
    <cellStyle name="60 % - Accent5 16 2" xfId="3877" xr:uid="{00000000-0005-0000-0000-0000190D0000}"/>
    <cellStyle name="60 % - Accent5 17" xfId="1476" xr:uid="{00000000-0005-0000-0000-00001A0D0000}"/>
    <cellStyle name="60 % - Accent5 17 2" xfId="3878" xr:uid="{00000000-0005-0000-0000-00001B0D0000}"/>
    <cellStyle name="60 % - Accent5 18" xfId="1477" xr:uid="{00000000-0005-0000-0000-00001C0D0000}"/>
    <cellStyle name="60 % - Accent5 18 2" xfId="3879" xr:uid="{00000000-0005-0000-0000-00001D0D0000}"/>
    <cellStyle name="60 % - Accent5 19" xfId="1478" xr:uid="{00000000-0005-0000-0000-00001E0D0000}"/>
    <cellStyle name="60 % - Accent5 19 2" xfId="3880" xr:uid="{00000000-0005-0000-0000-00001F0D0000}"/>
    <cellStyle name="60 % - Accent5 2" xfId="21" xr:uid="{00000000-0005-0000-0000-0000200D0000}"/>
    <cellStyle name="60 % - Accent5 2 2" xfId="1479" xr:uid="{00000000-0005-0000-0000-0000210D0000}"/>
    <cellStyle name="60 % - Accent5 2 3" xfId="3881" xr:uid="{00000000-0005-0000-0000-0000220D0000}"/>
    <cellStyle name="60 % - Accent5 20" xfId="1480" xr:uid="{00000000-0005-0000-0000-0000230D0000}"/>
    <cellStyle name="60 % - Accent5 20 2" xfId="3882" xr:uid="{00000000-0005-0000-0000-0000240D0000}"/>
    <cellStyle name="60 % - Accent5 21" xfId="1481" xr:uid="{00000000-0005-0000-0000-0000250D0000}"/>
    <cellStyle name="60 % - Accent5 21 2" xfId="3883" xr:uid="{00000000-0005-0000-0000-0000260D0000}"/>
    <cellStyle name="60 % - Accent5 22" xfId="1482" xr:uid="{00000000-0005-0000-0000-0000270D0000}"/>
    <cellStyle name="60 % - Accent5 22 2" xfId="3884" xr:uid="{00000000-0005-0000-0000-0000280D0000}"/>
    <cellStyle name="60 % - Accent5 23" xfId="1483" xr:uid="{00000000-0005-0000-0000-0000290D0000}"/>
    <cellStyle name="60 % - Accent5 23 2" xfId="3885" xr:uid="{00000000-0005-0000-0000-00002A0D0000}"/>
    <cellStyle name="60 % - Accent5 24" xfId="1484" xr:uid="{00000000-0005-0000-0000-00002B0D0000}"/>
    <cellStyle name="60 % - Accent5 24 2" xfId="3886" xr:uid="{00000000-0005-0000-0000-00002C0D0000}"/>
    <cellStyle name="60 % - Accent5 25" xfId="1485" xr:uid="{00000000-0005-0000-0000-00002D0D0000}"/>
    <cellStyle name="60 % - Accent5 25 2" xfId="3887" xr:uid="{00000000-0005-0000-0000-00002E0D0000}"/>
    <cellStyle name="60 % - Accent5 26" xfId="1486" xr:uid="{00000000-0005-0000-0000-00002F0D0000}"/>
    <cellStyle name="60 % - Accent5 26 2" xfId="3888" xr:uid="{00000000-0005-0000-0000-0000300D0000}"/>
    <cellStyle name="60 % - Accent5 27" xfId="1487" xr:uid="{00000000-0005-0000-0000-0000310D0000}"/>
    <cellStyle name="60 % - Accent5 27 2" xfId="3889" xr:uid="{00000000-0005-0000-0000-0000320D0000}"/>
    <cellStyle name="60 % - Accent5 28" xfId="1488" xr:uid="{00000000-0005-0000-0000-0000330D0000}"/>
    <cellStyle name="60 % - Accent5 28 2" xfId="3890" xr:uid="{00000000-0005-0000-0000-0000340D0000}"/>
    <cellStyle name="60 % - Accent5 29" xfId="1489" xr:uid="{00000000-0005-0000-0000-0000350D0000}"/>
    <cellStyle name="60 % - Accent5 29 2" xfId="3891" xr:uid="{00000000-0005-0000-0000-0000360D0000}"/>
    <cellStyle name="60 % - Accent5 3" xfId="264" xr:uid="{00000000-0005-0000-0000-0000370D0000}"/>
    <cellStyle name="60 % - Accent5 3 2" xfId="1490" xr:uid="{00000000-0005-0000-0000-0000380D0000}"/>
    <cellStyle name="60 % - Accent5 3 3" xfId="3892" xr:uid="{00000000-0005-0000-0000-0000390D0000}"/>
    <cellStyle name="60 % - Accent5 30" xfId="1491" xr:uid="{00000000-0005-0000-0000-00003A0D0000}"/>
    <cellStyle name="60 % - Accent5 30 2" xfId="3893" xr:uid="{00000000-0005-0000-0000-00003B0D0000}"/>
    <cellStyle name="60 % - Accent5 31" xfId="1492" xr:uid="{00000000-0005-0000-0000-00003C0D0000}"/>
    <cellStyle name="60 % - Accent5 31 2" xfId="3894" xr:uid="{00000000-0005-0000-0000-00003D0D0000}"/>
    <cellStyle name="60 % - Accent5 32" xfId="1493" xr:uid="{00000000-0005-0000-0000-00003E0D0000}"/>
    <cellStyle name="60 % - Accent5 32 2" xfId="3895" xr:uid="{00000000-0005-0000-0000-00003F0D0000}"/>
    <cellStyle name="60 % - Accent5 33" xfId="1494" xr:uid="{00000000-0005-0000-0000-0000400D0000}"/>
    <cellStyle name="60 % - Accent5 33 2" xfId="3896" xr:uid="{00000000-0005-0000-0000-0000410D0000}"/>
    <cellStyle name="60 % - Accent5 34" xfId="1495" xr:uid="{00000000-0005-0000-0000-0000420D0000}"/>
    <cellStyle name="60 % - Accent5 34 2" xfId="3897" xr:uid="{00000000-0005-0000-0000-0000430D0000}"/>
    <cellStyle name="60 % - Accent5 35" xfId="1496" xr:uid="{00000000-0005-0000-0000-0000440D0000}"/>
    <cellStyle name="60 % - Accent5 35 2" xfId="3898" xr:uid="{00000000-0005-0000-0000-0000450D0000}"/>
    <cellStyle name="60 % - Accent5 36" xfId="1497" xr:uid="{00000000-0005-0000-0000-0000460D0000}"/>
    <cellStyle name="60 % - Accent5 36 2" xfId="3899" xr:uid="{00000000-0005-0000-0000-0000470D0000}"/>
    <cellStyle name="60 % - Accent5 37" xfId="1498" xr:uid="{00000000-0005-0000-0000-0000480D0000}"/>
    <cellStyle name="60 % - Accent5 37 2" xfId="3900" xr:uid="{00000000-0005-0000-0000-0000490D0000}"/>
    <cellStyle name="60 % - Accent5 38" xfId="1499" xr:uid="{00000000-0005-0000-0000-00004A0D0000}"/>
    <cellStyle name="60 % - Accent5 38 2" xfId="3901" xr:uid="{00000000-0005-0000-0000-00004B0D0000}"/>
    <cellStyle name="60 % - Accent5 39" xfId="1500" xr:uid="{00000000-0005-0000-0000-00004C0D0000}"/>
    <cellStyle name="60 % - Accent5 39 2" xfId="3902" xr:uid="{00000000-0005-0000-0000-00004D0D0000}"/>
    <cellStyle name="60 % - Accent5 4" xfId="265" xr:uid="{00000000-0005-0000-0000-00004E0D0000}"/>
    <cellStyle name="60 % - Accent5 4 2" xfId="1501" xr:uid="{00000000-0005-0000-0000-00004F0D0000}"/>
    <cellStyle name="60 % - Accent5 4 3" xfId="3903" xr:uid="{00000000-0005-0000-0000-0000500D0000}"/>
    <cellStyle name="60 % - Accent5 40" xfId="1502" xr:uid="{00000000-0005-0000-0000-0000510D0000}"/>
    <cellStyle name="60 % - Accent5 40 2" xfId="3904" xr:uid="{00000000-0005-0000-0000-0000520D0000}"/>
    <cellStyle name="60 % - Accent5 41" xfId="1503" xr:uid="{00000000-0005-0000-0000-0000530D0000}"/>
    <cellStyle name="60 % - Accent5 41 2" xfId="3905" xr:uid="{00000000-0005-0000-0000-0000540D0000}"/>
    <cellStyle name="60 % - Accent5 42" xfId="1504" xr:uid="{00000000-0005-0000-0000-0000550D0000}"/>
    <cellStyle name="60 % - Accent5 42 2" xfId="3906" xr:uid="{00000000-0005-0000-0000-0000560D0000}"/>
    <cellStyle name="60 % - Accent5 43" xfId="1505" xr:uid="{00000000-0005-0000-0000-0000570D0000}"/>
    <cellStyle name="60 % - Accent5 43 2" xfId="3907" xr:uid="{00000000-0005-0000-0000-0000580D0000}"/>
    <cellStyle name="60 % - Accent5 44" xfId="1506" xr:uid="{00000000-0005-0000-0000-0000590D0000}"/>
    <cellStyle name="60 % - Accent5 44 2" xfId="3908" xr:uid="{00000000-0005-0000-0000-00005A0D0000}"/>
    <cellStyle name="60 % - Accent5 45" xfId="1507" xr:uid="{00000000-0005-0000-0000-00005B0D0000}"/>
    <cellStyle name="60 % - Accent5 45 2" xfId="3909" xr:uid="{00000000-0005-0000-0000-00005C0D0000}"/>
    <cellStyle name="60 % - Accent5 46" xfId="1508" xr:uid="{00000000-0005-0000-0000-00005D0D0000}"/>
    <cellStyle name="60 % - Accent5 46 2" xfId="3910" xr:uid="{00000000-0005-0000-0000-00005E0D0000}"/>
    <cellStyle name="60 % - Accent5 47" xfId="1509" xr:uid="{00000000-0005-0000-0000-00005F0D0000}"/>
    <cellStyle name="60 % - Accent5 47 2" xfId="3911" xr:uid="{00000000-0005-0000-0000-0000600D0000}"/>
    <cellStyle name="60 % - Accent5 48" xfId="1510" xr:uid="{00000000-0005-0000-0000-0000610D0000}"/>
    <cellStyle name="60 % - Accent5 48 2" xfId="3912" xr:uid="{00000000-0005-0000-0000-0000620D0000}"/>
    <cellStyle name="60 % - Accent5 49" xfId="1511" xr:uid="{00000000-0005-0000-0000-0000630D0000}"/>
    <cellStyle name="60 % - Accent5 49 2" xfId="3913" xr:uid="{00000000-0005-0000-0000-0000640D0000}"/>
    <cellStyle name="60 % - Accent5 5" xfId="266" xr:uid="{00000000-0005-0000-0000-0000650D0000}"/>
    <cellStyle name="60 % - Accent5 5 2" xfId="1512" xr:uid="{00000000-0005-0000-0000-0000660D0000}"/>
    <cellStyle name="60 % - Accent5 5 3" xfId="3914" xr:uid="{00000000-0005-0000-0000-0000670D0000}"/>
    <cellStyle name="60 % - Accent5 50" xfId="1513" xr:uid="{00000000-0005-0000-0000-0000680D0000}"/>
    <cellStyle name="60 % - Accent5 50 2" xfId="3915" xr:uid="{00000000-0005-0000-0000-0000690D0000}"/>
    <cellStyle name="60 % - Accent5 51" xfId="1514" xr:uid="{00000000-0005-0000-0000-00006A0D0000}"/>
    <cellStyle name="60 % - Accent5 51 2" xfId="3916" xr:uid="{00000000-0005-0000-0000-00006B0D0000}"/>
    <cellStyle name="60 % - Accent5 52" xfId="1515" xr:uid="{00000000-0005-0000-0000-00006C0D0000}"/>
    <cellStyle name="60 % - Accent5 52 2" xfId="3917" xr:uid="{00000000-0005-0000-0000-00006D0D0000}"/>
    <cellStyle name="60 % - Accent5 53" xfId="1516" xr:uid="{00000000-0005-0000-0000-00006E0D0000}"/>
    <cellStyle name="60 % - Accent5 53 2" xfId="3918" xr:uid="{00000000-0005-0000-0000-00006F0D0000}"/>
    <cellStyle name="60 % - Accent5 54" xfId="1517" xr:uid="{00000000-0005-0000-0000-0000700D0000}"/>
    <cellStyle name="60 % - Accent5 54 2" xfId="3919" xr:uid="{00000000-0005-0000-0000-0000710D0000}"/>
    <cellStyle name="60 % - Accent5 55" xfId="1518" xr:uid="{00000000-0005-0000-0000-0000720D0000}"/>
    <cellStyle name="60 % - Accent5 55 2" xfId="3920" xr:uid="{00000000-0005-0000-0000-0000730D0000}"/>
    <cellStyle name="60 % - Accent5 56" xfId="1519" xr:uid="{00000000-0005-0000-0000-0000740D0000}"/>
    <cellStyle name="60 % - Accent5 56 2" xfId="3921" xr:uid="{00000000-0005-0000-0000-0000750D0000}"/>
    <cellStyle name="60 % - Accent5 57" xfId="1520" xr:uid="{00000000-0005-0000-0000-0000760D0000}"/>
    <cellStyle name="60 % - Accent5 57 2" xfId="3922" xr:uid="{00000000-0005-0000-0000-0000770D0000}"/>
    <cellStyle name="60 % - Accent5 58" xfId="1521" xr:uid="{00000000-0005-0000-0000-0000780D0000}"/>
    <cellStyle name="60 % - Accent5 58 2" xfId="3923" xr:uid="{00000000-0005-0000-0000-0000790D0000}"/>
    <cellStyle name="60 % - Accent5 59" xfId="1522" xr:uid="{00000000-0005-0000-0000-00007A0D0000}"/>
    <cellStyle name="60 % - Accent5 59 2" xfId="3924" xr:uid="{00000000-0005-0000-0000-00007B0D0000}"/>
    <cellStyle name="60 % - Accent5 6" xfId="267" xr:uid="{00000000-0005-0000-0000-00007C0D0000}"/>
    <cellStyle name="60 % - Accent5 6 2" xfId="1523" xr:uid="{00000000-0005-0000-0000-00007D0D0000}"/>
    <cellStyle name="60 % - Accent5 6 3" xfId="3925" xr:uid="{00000000-0005-0000-0000-00007E0D0000}"/>
    <cellStyle name="60 % - Accent5 7" xfId="268" xr:uid="{00000000-0005-0000-0000-00007F0D0000}"/>
    <cellStyle name="60 % - Accent5 7 2" xfId="1524" xr:uid="{00000000-0005-0000-0000-0000800D0000}"/>
    <cellStyle name="60 % - Accent5 7 3" xfId="3926" xr:uid="{00000000-0005-0000-0000-0000810D0000}"/>
    <cellStyle name="60 % - Accent5 8" xfId="269" xr:uid="{00000000-0005-0000-0000-0000820D0000}"/>
    <cellStyle name="60 % - Accent5 8 2" xfId="1525" xr:uid="{00000000-0005-0000-0000-0000830D0000}"/>
    <cellStyle name="60 % - Accent5 8 3" xfId="3927" xr:uid="{00000000-0005-0000-0000-0000840D0000}"/>
    <cellStyle name="60 % - Accent5 9" xfId="1526" xr:uid="{00000000-0005-0000-0000-0000850D0000}"/>
    <cellStyle name="60 % - Accent5 9 2" xfId="3928" xr:uid="{00000000-0005-0000-0000-0000860D0000}"/>
    <cellStyle name="60 % - Accent6 10" xfId="1527" xr:uid="{00000000-0005-0000-0000-0000870D0000}"/>
    <cellStyle name="60 % - Accent6 10 2" xfId="3929" xr:uid="{00000000-0005-0000-0000-0000880D0000}"/>
    <cellStyle name="60 % - Accent6 11" xfId="1528" xr:uid="{00000000-0005-0000-0000-0000890D0000}"/>
    <cellStyle name="60 % - Accent6 11 2" xfId="3930" xr:uid="{00000000-0005-0000-0000-00008A0D0000}"/>
    <cellStyle name="60 % - Accent6 12" xfId="1529" xr:uid="{00000000-0005-0000-0000-00008B0D0000}"/>
    <cellStyle name="60 % - Accent6 12 2" xfId="3931" xr:uid="{00000000-0005-0000-0000-00008C0D0000}"/>
    <cellStyle name="60 % - Accent6 13" xfId="1530" xr:uid="{00000000-0005-0000-0000-00008D0D0000}"/>
    <cellStyle name="60 % - Accent6 13 2" xfId="3932" xr:uid="{00000000-0005-0000-0000-00008E0D0000}"/>
    <cellStyle name="60 % - Accent6 14" xfId="1531" xr:uid="{00000000-0005-0000-0000-00008F0D0000}"/>
    <cellStyle name="60 % - Accent6 14 2" xfId="3933" xr:uid="{00000000-0005-0000-0000-0000900D0000}"/>
    <cellStyle name="60 % - Accent6 15" xfId="1532" xr:uid="{00000000-0005-0000-0000-0000910D0000}"/>
    <cellStyle name="60 % - Accent6 15 2" xfId="3934" xr:uid="{00000000-0005-0000-0000-0000920D0000}"/>
    <cellStyle name="60 % - Accent6 16" xfId="1533" xr:uid="{00000000-0005-0000-0000-0000930D0000}"/>
    <cellStyle name="60 % - Accent6 16 2" xfId="3935" xr:uid="{00000000-0005-0000-0000-0000940D0000}"/>
    <cellStyle name="60 % - Accent6 17" xfId="1534" xr:uid="{00000000-0005-0000-0000-0000950D0000}"/>
    <cellStyle name="60 % - Accent6 17 2" xfId="3936" xr:uid="{00000000-0005-0000-0000-0000960D0000}"/>
    <cellStyle name="60 % - Accent6 18" xfId="1535" xr:uid="{00000000-0005-0000-0000-0000970D0000}"/>
    <cellStyle name="60 % - Accent6 18 2" xfId="3937" xr:uid="{00000000-0005-0000-0000-0000980D0000}"/>
    <cellStyle name="60 % - Accent6 19" xfId="1536" xr:uid="{00000000-0005-0000-0000-0000990D0000}"/>
    <cellStyle name="60 % - Accent6 19 2" xfId="3938" xr:uid="{00000000-0005-0000-0000-00009A0D0000}"/>
    <cellStyle name="60 % - Accent6 2" xfId="22" xr:uid="{00000000-0005-0000-0000-00009B0D0000}"/>
    <cellStyle name="60 % - Accent6 2 2" xfId="1537" xr:uid="{00000000-0005-0000-0000-00009C0D0000}"/>
    <cellStyle name="60 % - Accent6 2 3" xfId="3939" xr:uid="{00000000-0005-0000-0000-00009D0D0000}"/>
    <cellStyle name="60 % - Accent6 20" xfId="1538" xr:uid="{00000000-0005-0000-0000-00009E0D0000}"/>
    <cellStyle name="60 % - Accent6 20 2" xfId="3940" xr:uid="{00000000-0005-0000-0000-00009F0D0000}"/>
    <cellStyle name="60 % - Accent6 21" xfId="1539" xr:uid="{00000000-0005-0000-0000-0000A00D0000}"/>
    <cellStyle name="60 % - Accent6 21 2" xfId="3941" xr:uid="{00000000-0005-0000-0000-0000A10D0000}"/>
    <cellStyle name="60 % - Accent6 22" xfId="1540" xr:uid="{00000000-0005-0000-0000-0000A20D0000}"/>
    <cellStyle name="60 % - Accent6 22 2" xfId="3942" xr:uid="{00000000-0005-0000-0000-0000A30D0000}"/>
    <cellStyle name="60 % - Accent6 23" xfId="1541" xr:uid="{00000000-0005-0000-0000-0000A40D0000}"/>
    <cellStyle name="60 % - Accent6 23 2" xfId="3943" xr:uid="{00000000-0005-0000-0000-0000A50D0000}"/>
    <cellStyle name="60 % - Accent6 24" xfId="1542" xr:uid="{00000000-0005-0000-0000-0000A60D0000}"/>
    <cellStyle name="60 % - Accent6 24 2" xfId="3944" xr:uid="{00000000-0005-0000-0000-0000A70D0000}"/>
    <cellStyle name="60 % - Accent6 25" xfId="1543" xr:uid="{00000000-0005-0000-0000-0000A80D0000}"/>
    <cellStyle name="60 % - Accent6 25 2" xfId="3945" xr:uid="{00000000-0005-0000-0000-0000A90D0000}"/>
    <cellStyle name="60 % - Accent6 26" xfId="1544" xr:uid="{00000000-0005-0000-0000-0000AA0D0000}"/>
    <cellStyle name="60 % - Accent6 26 2" xfId="3946" xr:uid="{00000000-0005-0000-0000-0000AB0D0000}"/>
    <cellStyle name="60 % - Accent6 27" xfId="1545" xr:uid="{00000000-0005-0000-0000-0000AC0D0000}"/>
    <cellStyle name="60 % - Accent6 27 2" xfId="3947" xr:uid="{00000000-0005-0000-0000-0000AD0D0000}"/>
    <cellStyle name="60 % - Accent6 28" xfId="1546" xr:uid="{00000000-0005-0000-0000-0000AE0D0000}"/>
    <cellStyle name="60 % - Accent6 28 2" xfId="3948" xr:uid="{00000000-0005-0000-0000-0000AF0D0000}"/>
    <cellStyle name="60 % - Accent6 29" xfId="1547" xr:uid="{00000000-0005-0000-0000-0000B00D0000}"/>
    <cellStyle name="60 % - Accent6 29 2" xfId="3949" xr:uid="{00000000-0005-0000-0000-0000B10D0000}"/>
    <cellStyle name="60 % - Accent6 3" xfId="270" xr:uid="{00000000-0005-0000-0000-0000B20D0000}"/>
    <cellStyle name="60 % - Accent6 3 2" xfId="1548" xr:uid="{00000000-0005-0000-0000-0000B30D0000}"/>
    <cellStyle name="60 % - Accent6 3 3" xfId="3950" xr:uid="{00000000-0005-0000-0000-0000B40D0000}"/>
    <cellStyle name="60 % - Accent6 30" xfId="1549" xr:uid="{00000000-0005-0000-0000-0000B50D0000}"/>
    <cellStyle name="60 % - Accent6 30 2" xfId="3951" xr:uid="{00000000-0005-0000-0000-0000B60D0000}"/>
    <cellStyle name="60 % - Accent6 31" xfId="1550" xr:uid="{00000000-0005-0000-0000-0000B70D0000}"/>
    <cellStyle name="60 % - Accent6 31 2" xfId="3952" xr:uid="{00000000-0005-0000-0000-0000B80D0000}"/>
    <cellStyle name="60 % - Accent6 32" xfId="1551" xr:uid="{00000000-0005-0000-0000-0000B90D0000}"/>
    <cellStyle name="60 % - Accent6 32 2" xfId="3953" xr:uid="{00000000-0005-0000-0000-0000BA0D0000}"/>
    <cellStyle name="60 % - Accent6 33" xfId="1552" xr:uid="{00000000-0005-0000-0000-0000BB0D0000}"/>
    <cellStyle name="60 % - Accent6 33 2" xfId="3954" xr:uid="{00000000-0005-0000-0000-0000BC0D0000}"/>
    <cellStyle name="60 % - Accent6 34" xfId="1553" xr:uid="{00000000-0005-0000-0000-0000BD0D0000}"/>
    <cellStyle name="60 % - Accent6 34 2" xfId="3955" xr:uid="{00000000-0005-0000-0000-0000BE0D0000}"/>
    <cellStyle name="60 % - Accent6 35" xfId="1554" xr:uid="{00000000-0005-0000-0000-0000BF0D0000}"/>
    <cellStyle name="60 % - Accent6 35 2" xfId="3956" xr:uid="{00000000-0005-0000-0000-0000C00D0000}"/>
    <cellStyle name="60 % - Accent6 36" xfId="1555" xr:uid="{00000000-0005-0000-0000-0000C10D0000}"/>
    <cellStyle name="60 % - Accent6 36 2" xfId="3957" xr:uid="{00000000-0005-0000-0000-0000C20D0000}"/>
    <cellStyle name="60 % - Accent6 37" xfId="1556" xr:uid="{00000000-0005-0000-0000-0000C30D0000}"/>
    <cellStyle name="60 % - Accent6 37 2" xfId="3958" xr:uid="{00000000-0005-0000-0000-0000C40D0000}"/>
    <cellStyle name="60 % - Accent6 38" xfId="1557" xr:uid="{00000000-0005-0000-0000-0000C50D0000}"/>
    <cellStyle name="60 % - Accent6 38 2" xfId="3959" xr:uid="{00000000-0005-0000-0000-0000C60D0000}"/>
    <cellStyle name="60 % - Accent6 39" xfId="1558" xr:uid="{00000000-0005-0000-0000-0000C70D0000}"/>
    <cellStyle name="60 % - Accent6 39 2" xfId="3960" xr:uid="{00000000-0005-0000-0000-0000C80D0000}"/>
    <cellStyle name="60 % - Accent6 4" xfId="271" xr:uid="{00000000-0005-0000-0000-0000C90D0000}"/>
    <cellStyle name="60 % - Accent6 4 2" xfId="1559" xr:uid="{00000000-0005-0000-0000-0000CA0D0000}"/>
    <cellStyle name="60 % - Accent6 4 3" xfId="3961" xr:uid="{00000000-0005-0000-0000-0000CB0D0000}"/>
    <cellStyle name="60 % - Accent6 40" xfId="1560" xr:uid="{00000000-0005-0000-0000-0000CC0D0000}"/>
    <cellStyle name="60 % - Accent6 40 2" xfId="3962" xr:uid="{00000000-0005-0000-0000-0000CD0D0000}"/>
    <cellStyle name="60 % - Accent6 41" xfId="1561" xr:uid="{00000000-0005-0000-0000-0000CE0D0000}"/>
    <cellStyle name="60 % - Accent6 41 2" xfId="3963" xr:uid="{00000000-0005-0000-0000-0000CF0D0000}"/>
    <cellStyle name="60 % - Accent6 42" xfId="1562" xr:uid="{00000000-0005-0000-0000-0000D00D0000}"/>
    <cellStyle name="60 % - Accent6 42 2" xfId="3964" xr:uid="{00000000-0005-0000-0000-0000D10D0000}"/>
    <cellStyle name="60 % - Accent6 43" xfId="1563" xr:uid="{00000000-0005-0000-0000-0000D20D0000}"/>
    <cellStyle name="60 % - Accent6 43 2" xfId="3965" xr:uid="{00000000-0005-0000-0000-0000D30D0000}"/>
    <cellStyle name="60 % - Accent6 44" xfId="1564" xr:uid="{00000000-0005-0000-0000-0000D40D0000}"/>
    <cellStyle name="60 % - Accent6 44 2" xfId="3966" xr:uid="{00000000-0005-0000-0000-0000D50D0000}"/>
    <cellStyle name="60 % - Accent6 45" xfId="1565" xr:uid="{00000000-0005-0000-0000-0000D60D0000}"/>
    <cellStyle name="60 % - Accent6 45 2" xfId="3967" xr:uid="{00000000-0005-0000-0000-0000D70D0000}"/>
    <cellStyle name="60 % - Accent6 46" xfId="1566" xr:uid="{00000000-0005-0000-0000-0000D80D0000}"/>
    <cellStyle name="60 % - Accent6 46 2" xfId="3968" xr:uid="{00000000-0005-0000-0000-0000D90D0000}"/>
    <cellStyle name="60 % - Accent6 47" xfId="1567" xr:uid="{00000000-0005-0000-0000-0000DA0D0000}"/>
    <cellStyle name="60 % - Accent6 47 2" xfId="3969" xr:uid="{00000000-0005-0000-0000-0000DB0D0000}"/>
    <cellStyle name="60 % - Accent6 48" xfId="1568" xr:uid="{00000000-0005-0000-0000-0000DC0D0000}"/>
    <cellStyle name="60 % - Accent6 48 2" xfId="3970" xr:uid="{00000000-0005-0000-0000-0000DD0D0000}"/>
    <cellStyle name="60 % - Accent6 49" xfId="1569" xr:uid="{00000000-0005-0000-0000-0000DE0D0000}"/>
    <cellStyle name="60 % - Accent6 49 2" xfId="3971" xr:uid="{00000000-0005-0000-0000-0000DF0D0000}"/>
    <cellStyle name="60 % - Accent6 5" xfId="272" xr:uid="{00000000-0005-0000-0000-0000E00D0000}"/>
    <cellStyle name="60 % - Accent6 5 2" xfId="1570" xr:uid="{00000000-0005-0000-0000-0000E10D0000}"/>
    <cellStyle name="60 % - Accent6 5 3" xfId="3972" xr:uid="{00000000-0005-0000-0000-0000E20D0000}"/>
    <cellStyle name="60 % - Accent6 50" xfId="1571" xr:uid="{00000000-0005-0000-0000-0000E30D0000}"/>
    <cellStyle name="60 % - Accent6 50 2" xfId="3973" xr:uid="{00000000-0005-0000-0000-0000E40D0000}"/>
    <cellStyle name="60 % - Accent6 51" xfId="1572" xr:uid="{00000000-0005-0000-0000-0000E50D0000}"/>
    <cellStyle name="60 % - Accent6 51 2" xfId="3974" xr:uid="{00000000-0005-0000-0000-0000E60D0000}"/>
    <cellStyle name="60 % - Accent6 52" xfId="1573" xr:uid="{00000000-0005-0000-0000-0000E70D0000}"/>
    <cellStyle name="60 % - Accent6 52 2" xfId="3975" xr:uid="{00000000-0005-0000-0000-0000E80D0000}"/>
    <cellStyle name="60 % - Accent6 53" xfId="1574" xr:uid="{00000000-0005-0000-0000-0000E90D0000}"/>
    <cellStyle name="60 % - Accent6 53 2" xfId="3976" xr:uid="{00000000-0005-0000-0000-0000EA0D0000}"/>
    <cellStyle name="60 % - Accent6 54" xfId="1575" xr:uid="{00000000-0005-0000-0000-0000EB0D0000}"/>
    <cellStyle name="60 % - Accent6 54 2" xfId="3977" xr:uid="{00000000-0005-0000-0000-0000EC0D0000}"/>
    <cellStyle name="60 % - Accent6 55" xfId="1576" xr:uid="{00000000-0005-0000-0000-0000ED0D0000}"/>
    <cellStyle name="60 % - Accent6 55 2" xfId="3978" xr:uid="{00000000-0005-0000-0000-0000EE0D0000}"/>
    <cellStyle name="60 % - Accent6 56" xfId="1577" xr:uid="{00000000-0005-0000-0000-0000EF0D0000}"/>
    <cellStyle name="60 % - Accent6 56 2" xfId="3979" xr:uid="{00000000-0005-0000-0000-0000F00D0000}"/>
    <cellStyle name="60 % - Accent6 57" xfId="1578" xr:uid="{00000000-0005-0000-0000-0000F10D0000}"/>
    <cellStyle name="60 % - Accent6 57 2" xfId="3980" xr:uid="{00000000-0005-0000-0000-0000F20D0000}"/>
    <cellStyle name="60 % - Accent6 58" xfId="1579" xr:uid="{00000000-0005-0000-0000-0000F30D0000}"/>
    <cellStyle name="60 % - Accent6 58 2" xfId="3981" xr:uid="{00000000-0005-0000-0000-0000F40D0000}"/>
    <cellStyle name="60 % - Accent6 59" xfId="1580" xr:uid="{00000000-0005-0000-0000-0000F50D0000}"/>
    <cellStyle name="60 % - Accent6 59 2" xfId="3982" xr:uid="{00000000-0005-0000-0000-0000F60D0000}"/>
    <cellStyle name="60 % - Accent6 6" xfId="273" xr:uid="{00000000-0005-0000-0000-0000F70D0000}"/>
    <cellStyle name="60 % - Accent6 6 2" xfId="1581" xr:uid="{00000000-0005-0000-0000-0000F80D0000}"/>
    <cellStyle name="60 % - Accent6 6 3" xfId="3983" xr:uid="{00000000-0005-0000-0000-0000F90D0000}"/>
    <cellStyle name="60 % - Accent6 7" xfId="274" xr:uid="{00000000-0005-0000-0000-0000FA0D0000}"/>
    <cellStyle name="60 % - Accent6 7 2" xfId="1582" xr:uid="{00000000-0005-0000-0000-0000FB0D0000}"/>
    <cellStyle name="60 % - Accent6 7 3" xfId="3984" xr:uid="{00000000-0005-0000-0000-0000FC0D0000}"/>
    <cellStyle name="60 % - Accent6 8" xfId="275" xr:uid="{00000000-0005-0000-0000-0000FD0D0000}"/>
    <cellStyle name="60 % - Accent6 8 2" xfId="1583" xr:uid="{00000000-0005-0000-0000-0000FE0D0000}"/>
    <cellStyle name="60 % - Accent6 8 3" xfId="3985" xr:uid="{00000000-0005-0000-0000-0000FF0D0000}"/>
    <cellStyle name="60 % - Accent6 9" xfId="1584" xr:uid="{00000000-0005-0000-0000-0000000E0000}"/>
    <cellStyle name="60 % - Accent6 9 2" xfId="3986" xr:uid="{00000000-0005-0000-0000-0000010E0000}"/>
    <cellStyle name="Accent1 10" xfId="1585" xr:uid="{00000000-0005-0000-0000-0000020E0000}"/>
    <cellStyle name="Accent1 10 2" xfId="3987" xr:uid="{00000000-0005-0000-0000-0000030E0000}"/>
    <cellStyle name="Accent1 11" xfId="1586" xr:uid="{00000000-0005-0000-0000-0000040E0000}"/>
    <cellStyle name="Accent1 11 2" xfId="3988" xr:uid="{00000000-0005-0000-0000-0000050E0000}"/>
    <cellStyle name="Accent1 12" xfId="1587" xr:uid="{00000000-0005-0000-0000-0000060E0000}"/>
    <cellStyle name="Accent1 12 2" xfId="3989" xr:uid="{00000000-0005-0000-0000-0000070E0000}"/>
    <cellStyle name="Accent1 13" xfId="1588" xr:uid="{00000000-0005-0000-0000-0000080E0000}"/>
    <cellStyle name="Accent1 13 2" xfId="3990" xr:uid="{00000000-0005-0000-0000-0000090E0000}"/>
    <cellStyle name="Accent1 14" xfId="1589" xr:uid="{00000000-0005-0000-0000-00000A0E0000}"/>
    <cellStyle name="Accent1 14 2" xfId="3991" xr:uid="{00000000-0005-0000-0000-00000B0E0000}"/>
    <cellStyle name="Accent1 15" xfId="1590" xr:uid="{00000000-0005-0000-0000-00000C0E0000}"/>
    <cellStyle name="Accent1 15 2" xfId="3992" xr:uid="{00000000-0005-0000-0000-00000D0E0000}"/>
    <cellStyle name="Accent1 16" xfId="1591" xr:uid="{00000000-0005-0000-0000-00000E0E0000}"/>
    <cellStyle name="Accent1 16 2" xfId="3993" xr:uid="{00000000-0005-0000-0000-00000F0E0000}"/>
    <cellStyle name="Accent1 17" xfId="1592" xr:uid="{00000000-0005-0000-0000-0000100E0000}"/>
    <cellStyle name="Accent1 17 2" xfId="3994" xr:uid="{00000000-0005-0000-0000-0000110E0000}"/>
    <cellStyle name="Accent1 18" xfId="1593" xr:uid="{00000000-0005-0000-0000-0000120E0000}"/>
    <cellStyle name="Accent1 18 2" xfId="3995" xr:uid="{00000000-0005-0000-0000-0000130E0000}"/>
    <cellStyle name="Accent1 19" xfId="1594" xr:uid="{00000000-0005-0000-0000-0000140E0000}"/>
    <cellStyle name="Accent1 19 2" xfId="3996" xr:uid="{00000000-0005-0000-0000-0000150E0000}"/>
    <cellStyle name="Accent1 2" xfId="23" xr:uid="{00000000-0005-0000-0000-0000160E0000}"/>
    <cellStyle name="Accent1 2 2" xfId="1595" xr:uid="{00000000-0005-0000-0000-0000170E0000}"/>
    <cellStyle name="Accent1 2 3" xfId="3997" xr:uid="{00000000-0005-0000-0000-0000180E0000}"/>
    <cellStyle name="Accent1 20" xfId="1596" xr:uid="{00000000-0005-0000-0000-0000190E0000}"/>
    <cellStyle name="Accent1 20 2" xfId="3998" xr:uid="{00000000-0005-0000-0000-00001A0E0000}"/>
    <cellStyle name="Accent1 21" xfId="1597" xr:uid="{00000000-0005-0000-0000-00001B0E0000}"/>
    <cellStyle name="Accent1 21 2" xfId="3999" xr:uid="{00000000-0005-0000-0000-00001C0E0000}"/>
    <cellStyle name="Accent1 22" xfId="1598" xr:uid="{00000000-0005-0000-0000-00001D0E0000}"/>
    <cellStyle name="Accent1 22 2" xfId="4000" xr:uid="{00000000-0005-0000-0000-00001E0E0000}"/>
    <cellStyle name="Accent1 23" xfId="1599" xr:uid="{00000000-0005-0000-0000-00001F0E0000}"/>
    <cellStyle name="Accent1 23 2" xfId="4001" xr:uid="{00000000-0005-0000-0000-0000200E0000}"/>
    <cellStyle name="Accent1 24" xfId="1600" xr:uid="{00000000-0005-0000-0000-0000210E0000}"/>
    <cellStyle name="Accent1 24 2" xfId="4002" xr:uid="{00000000-0005-0000-0000-0000220E0000}"/>
    <cellStyle name="Accent1 25" xfId="1601" xr:uid="{00000000-0005-0000-0000-0000230E0000}"/>
    <cellStyle name="Accent1 25 2" xfId="4003" xr:uid="{00000000-0005-0000-0000-0000240E0000}"/>
    <cellStyle name="Accent1 26" xfId="1602" xr:uid="{00000000-0005-0000-0000-0000250E0000}"/>
    <cellStyle name="Accent1 26 2" xfId="4004" xr:uid="{00000000-0005-0000-0000-0000260E0000}"/>
    <cellStyle name="Accent1 27" xfId="1603" xr:uid="{00000000-0005-0000-0000-0000270E0000}"/>
    <cellStyle name="Accent1 27 2" xfId="4005" xr:uid="{00000000-0005-0000-0000-0000280E0000}"/>
    <cellStyle name="Accent1 28" xfId="1604" xr:uid="{00000000-0005-0000-0000-0000290E0000}"/>
    <cellStyle name="Accent1 28 2" xfId="4006" xr:uid="{00000000-0005-0000-0000-00002A0E0000}"/>
    <cellStyle name="Accent1 29" xfId="1605" xr:uid="{00000000-0005-0000-0000-00002B0E0000}"/>
    <cellStyle name="Accent1 29 2" xfId="4007" xr:uid="{00000000-0005-0000-0000-00002C0E0000}"/>
    <cellStyle name="Accent1 3" xfId="276" xr:uid="{00000000-0005-0000-0000-00002D0E0000}"/>
    <cellStyle name="Accent1 3 2" xfId="1606" xr:uid="{00000000-0005-0000-0000-00002E0E0000}"/>
    <cellStyle name="Accent1 3 3" xfId="4008" xr:uid="{00000000-0005-0000-0000-00002F0E0000}"/>
    <cellStyle name="Accent1 30" xfId="1607" xr:uid="{00000000-0005-0000-0000-0000300E0000}"/>
    <cellStyle name="Accent1 30 2" xfId="4009" xr:uid="{00000000-0005-0000-0000-0000310E0000}"/>
    <cellStyle name="Accent1 31" xfId="1608" xr:uid="{00000000-0005-0000-0000-0000320E0000}"/>
    <cellStyle name="Accent1 31 2" xfId="4010" xr:uid="{00000000-0005-0000-0000-0000330E0000}"/>
    <cellStyle name="Accent1 32" xfId="1609" xr:uid="{00000000-0005-0000-0000-0000340E0000}"/>
    <cellStyle name="Accent1 32 2" xfId="4011" xr:uid="{00000000-0005-0000-0000-0000350E0000}"/>
    <cellStyle name="Accent1 33" xfId="1610" xr:uid="{00000000-0005-0000-0000-0000360E0000}"/>
    <cellStyle name="Accent1 33 2" xfId="4012" xr:uid="{00000000-0005-0000-0000-0000370E0000}"/>
    <cellStyle name="Accent1 34" xfId="1611" xr:uid="{00000000-0005-0000-0000-0000380E0000}"/>
    <cellStyle name="Accent1 34 2" xfId="4013" xr:uid="{00000000-0005-0000-0000-0000390E0000}"/>
    <cellStyle name="Accent1 35" xfId="1612" xr:uid="{00000000-0005-0000-0000-00003A0E0000}"/>
    <cellStyle name="Accent1 35 2" xfId="4014" xr:uid="{00000000-0005-0000-0000-00003B0E0000}"/>
    <cellStyle name="Accent1 36" xfId="1613" xr:uid="{00000000-0005-0000-0000-00003C0E0000}"/>
    <cellStyle name="Accent1 36 2" xfId="4015" xr:uid="{00000000-0005-0000-0000-00003D0E0000}"/>
    <cellStyle name="Accent1 37" xfId="1614" xr:uid="{00000000-0005-0000-0000-00003E0E0000}"/>
    <cellStyle name="Accent1 37 2" xfId="4016" xr:uid="{00000000-0005-0000-0000-00003F0E0000}"/>
    <cellStyle name="Accent1 38" xfId="1615" xr:uid="{00000000-0005-0000-0000-0000400E0000}"/>
    <cellStyle name="Accent1 38 2" xfId="4017" xr:uid="{00000000-0005-0000-0000-0000410E0000}"/>
    <cellStyle name="Accent1 39" xfId="1616" xr:uid="{00000000-0005-0000-0000-0000420E0000}"/>
    <cellStyle name="Accent1 39 2" xfId="4018" xr:uid="{00000000-0005-0000-0000-0000430E0000}"/>
    <cellStyle name="Accent1 4" xfId="277" xr:uid="{00000000-0005-0000-0000-0000440E0000}"/>
    <cellStyle name="Accent1 4 2" xfId="1617" xr:uid="{00000000-0005-0000-0000-0000450E0000}"/>
    <cellStyle name="Accent1 4 3" xfId="4019" xr:uid="{00000000-0005-0000-0000-0000460E0000}"/>
    <cellStyle name="Accent1 40" xfId="1618" xr:uid="{00000000-0005-0000-0000-0000470E0000}"/>
    <cellStyle name="Accent1 40 2" xfId="4020" xr:uid="{00000000-0005-0000-0000-0000480E0000}"/>
    <cellStyle name="Accent1 41" xfId="1619" xr:uid="{00000000-0005-0000-0000-0000490E0000}"/>
    <cellStyle name="Accent1 41 2" xfId="4021" xr:uid="{00000000-0005-0000-0000-00004A0E0000}"/>
    <cellStyle name="Accent1 42" xfId="1620" xr:uid="{00000000-0005-0000-0000-00004B0E0000}"/>
    <cellStyle name="Accent1 42 2" xfId="4022" xr:uid="{00000000-0005-0000-0000-00004C0E0000}"/>
    <cellStyle name="Accent1 43" xfId="1621" xr:uid="{00000000-0005-0000-0000-00004D0E0000}"/>
    <cellStyle name="Accent1 43 2" xfId="4023" xr:uid="{00000000-0005-0000-0000-00004E0E0000}"/>
    <cellStyle name="Accent1 44" xfId="1622" xr:uid="{00000000-0005-0000-0000-00004F0E0000}"/>
    <cellStyle name="Accent1 44 2" xfId="4024" xr:uid="{00000000-0005-0000-0000-0000500E0000}"/>
    <cellStyle name="Accent1 45" xfId="1623" xr:uid="{00000000-0005-0000-0000-0000510E0000}"/>
    <cellStyle name="Accent1 45 2" xfId="4025" xr:uid="{00000000-0005-0000-0000-0000520E0000}"/>
    <cellStyle name="Accent1 46" xfId="1624" xr:uid="{00000000-0005-0000-0000-0000530E0000}"/>
    <cellStyle name="Accent1 46 2" xfId="4026" xr:uid="{00000000-0005-0000-0000-0000540E0000}"/>
    <cellStyle name="Accent1 47" xfId="1625" xr:uid="{00000000-0005-0000-0000-0000550E0000}"/>
    <cellStyle name="Accent1 47 2" xfId="4027" xr:uid="{00000000-0005-0000-0000-0000560E0000}"/>
    <cellStyle name="Accent1 48" xfId="1626" xr:uid="{00000000-0005-0000-0000-0000570E0000}"/>
    <cellStyle name="Accent1 48 2" xfId="4028" xr:uid="{00000000-0005-0000-0000-0000580E0000}"/>
    <cellStyle name="Accent1 49" xfId="1627" xr:uid="{00000000-0005-0000-0000-0000590E0000}"/>
    <cellStyle name="Accent1 49 2" xfId="4029" xr:uid="{00000000-0005-0000-0000-00005A0E0000}"/>
    <cellStyle name="Accent1 5" xfId="278" xr:uid="{00000000-0005-0000-0000-00005B0E0000}"/>
    <cellStyle name="Accent1 5 2" xfId="1628" xr:uid="{00000000-0005-0000-0000-00005C0E0000}"/>
    <cellStyle name="Accent1 5 3" xfId="4030" xr:uid="{00000000-0005-0000-0000-00005D0E0000}"/>
    <cellStyle name="Accent1 50" xfId="1629" xr:uid="{00000000-0005-0000-0000-00005E0E0000}"/>
    <cellStyle name="Accent1 50 2" xfId="4031" xr:uid="{00000000-0005-0000-0000-00005F0E0000}"/>
    <cellStyle name="Accent1 51" xfId="1630" xr:uid="{00000000-0005-0000-0000-0000600E0000}"/>
    <cellStyle name="Accent1 51 2" xfId="4032" xr:uid="{00000000-0005-0000-0000-0000610E0000}"/>
    <cellStyle name="Accent1 52" xfId="1631" xr:uid="{00000000-0005-0000-0000-0000620E0000}"/>
    <cellStyle name="Accent1 52 2" xfId="4033" xr:uid="{00000000-0005-0000-0000-0000630E0000}"/>
    <cellStyle name="Accent1 53" xfId="1632" xr:uid="{00000000-0005-0000-0000-0000640E0000}"/>
    <cellStyle name="Accent1 53 2" xfId="4034" xr:uid="{00000000-0005-0000-0000-0000650E0000}"/>
    <cellStyle name="Accent1 54" xfId="1633" xr:uid="{00000000-0005-0000-0000-0000660E0000}"/>
    <cellStyle name="Accent1 54 2" xfId="4035" xr:uid="{00000000-0005-0000-0000-0000670E0000}"/>
    <cellStyle name="Accent1 55" xfId="1634" xr:uid="{00000000-0005-0000-0000-0000680E0000}"/>
    <cellStyle name="Accent1 55 2" xfId="4036" xr:uid="{00000000-0005-0000-0000-0000690E0000}"/>
    <cellStyle name="Accent1 56" xfId="1635" xr:uid="{00000000-0005-0000-0000-00006A0E0000}"/>
    <cellStyle name="Accent1 56 2" xfId="4037" xr:uid="{00000000-0005-0000-0000-00006B0E0000}"/>
    <cellStyle name="Accent1 57" xfId="1636" xr:uid="{00000000-0005-0000-0000-00006C0E0000}"/>
    <cellStyle name="Accent1 57 2" xfId="4038" xr:uid="{00000000-0005-0000-0000-00006D0E0000}"/>
    <cellStyle name="Accent1 58" xfId="1637" xr:uid="{00000000-0005-0000-0000-00006E0E0000}"/>
    <cellStyle name="Accent1 58 2" xfId="4039" xr:uid="{00000000-0005-0000-0000-00006F0E0000}"/>
    <cellStyle name="Accent1 59" xfId="1638" xr:uid="{00000000-0005-0000-0000-0000700E0000}"/>
    <cellStyle name="Accent1 59 2" xfId="4040" xr:uid="{00000000-0005-0000-0000-0000710E0000}"/>
    <cellStyle name="Accent1 6" xfId="279" xr:uid="{00000000-0005-0000-0000-0000720E0000}"/>
    <cellStyle name="Accent1 6 2" xfId="1639" xr:uid="{00000000-0005-0000-0000-0000730E0000}"/>
    <cellStyle name="Accent1 6 3" xfId="4041" xr:uid="{00000000-0005-0000-0000-0000740E0000}"/>
    <cellStyle name="Accent1 7" xfId="280" xr:uid="{00000000-0005-0000-0000-0000750E0000}"/>
    <cellStyle name="Accent1 7 2" xfId="1640" xr:uid="{00000000-0005-0000-0000-0000760E0000}"/>
    <cellStyle name="Accent1 7 3" xfId="4042" xr:uid="{00000000-0005-0000-0000-0000770E0000}"/>
    <cellStyle name="Accent1 8" xfId="281" xr:uid="{00000000-0005-0000-0000-0000780E0000}"/>
    <cellStyle name="Accent1 8 2" xfId="1641" xr:uid="{00000000-0005-0000-0000-0000790E0000}"/>
    <cellStyle name="Accent1 8 3" xfId="4043" xr:uid="{00000000-0005-0000-0000-00007A0E0000}"/>
    <cellStyle name="Accent1 9" xfId="1642" xr:uid="{00000000-0005-0000-0000-00007B0E0000}"/>
    <cellStyle name="Accent1 9 2" xfId="4044" xr:uid="{00000000-0005-0000-0000-00007C0E0000}"/>
    <cellStyle name="Accent2 10" xfId="1643" xr:uid="{00000000-0005-0000-0000-00007D0E0000}"/>
    <cellStyle name="Accent2 10 2" xfId="4045" xr:uid="{00000000-0005-0000-0000-00007E0E0000}"/>
    <cellStyle name="Accent2 11" xfId="1644" xr:uid="{00000000-0005-0000-0000-00007F0E0000}"/>
    <cellStyle name="Accent2 11 2" xfId="4046" xr:uid="{00000000-0005-0000-0000-0000800E0000}"/>
    <cellStyle name="Accent2 12" xfId="1645" xr:uid="{00000000-0005-0000-0000-0000810E0000}"/>
    <cellStyle name="Accent2 12 2" xfId="4047" xr:uid="{00000000-0005-0000-0000-0000820E0000}"/>
    <cellStyle name="Accent2 13" xfId="1646" xr:uid="{00000000-0005-0000-0000-0000830E0000}"/>
    <cellStyle name="Accent2 13 2" xfId="4048" xr:uid="{00000000-0005-0000-0000-0000840E0000}"/>
    <cellStyle name="Accent2 14" xfId="1647" xr:uid="{00000000-0005-0000-0000-0000850E0000}"/>
    <cellStyle name="Accent2 14 2" xfId="4049" xr:uid="{00000000-0005-0000-0000-0000860E0000}"/>
    <cellStyle name="Accent2 15" xfId="1648" xr:uid="{00000000-0005-0000-0000-0000870E0000}"/>
    <cellStyle name="Accent2 15 2" xfId="4050" xr:uid="{00000000-0005-0000-0000-0000880E0000}"/>
    <cellStyle name="Accent2 16" xfId="1649" xr:uid="{00000000-0005-0000-0000-0000890E0000}"/>
    <cellStyle name="Accent2 16 2" xfId="4051" xr:uid="{00000000-0005-0000-0000-00008A0E0000}"/>
    <cellStyle name="Accent2 17" xfId="1650" xr:uid="{00000000-0005-0000-0000-00008B0E0000}"/>
    <cellStyle name="Accent2 17 2" xfId="4052" xr:uid="{00000000-0005-0000-0000-00008C0E0000}"/>
    <cellStyle name="Accent2 18" xfId="1651" xr:uid="{00000000-0005-0000-0000-00008D0E0000}"/>
    <cellStyle name="Accent2 18 2" xfId="4053" xr:uid="{00000000-0005-0000-0000-00008E0E0000}"/>
    <cellStyle name="Accent2 19" xfId="1652" xr:uid="{00000000-0005-0000-0000-00008F0E0000}"/>
    <cellStyle name="Accent2 19 2" xfId="4054" xr:uid="{00000000-0005-0000-0000-0000900E0000}"/>
    <cellStyle name="Accent2 2" xfId="24" xr:uid="{00000000-0005-0000-0000-0000910E0000}"/>
    <cellStyle name="Accent2 2 2" xfId="1653" xr:uid="{00000000-0005-0000-0000-0000920E0000}"/>
    <cellStyle name="Accent2 2 3" xfId="4055" xr:uid="{00000000-0005-0000-0000-0000930E0000}"/>
    <cellStyle name="Accent2 20" xfId="1654" xr:uid="{00000000-0005-0000-0000-0000940E0000}"/>
    <cellStyle name="Accent2 20 2" xfId="4056" xr:uid="{00000000-0005-0000-0000-0000950E0000}"/>
    <cellStyle name="Accent2 21" xfId="1655" xr:uid="{00000000-0005-0000-0000-0000960E0000}"/>
    <cellStyle name="Accent2 21 2" xfId="4057" xr:uid="{00000000-0005-0000-0000-0000970E0000}"/>
    <cellStyle name="Accent2 22" xfId="1656" xr:uid="{00000000-0005-0000-0000-0000980E0000}"/>
    <cellStyle name="Accent2 22 2" xfId="4058" xr:uid="{00000000-0005-0000-0000-0000990E0000}"/>
    <cellStyle name="Accent2 23" xfId="1657" xr:uid="{00000000-0005-0000-0000-00009A0E0000}"/>
    <cellStyle name="Accent2 23 2" xfId="4059" xr:uid="{00000000-0005-0000-0000-00009B0E0000}"/>
    <cellStyle name="Accent2 24" xfId="1658" xr:uid="{00000000-0005-0000-0000-00009C0E0000}"/>
    <cellStyle name="Accent2 24 2" xfId="4060" xr:uid="{00000000-0005-0000-0000-00009D0E0000}"/>
    <cellStyle name="Accent2 25" xfId="1659" xr:uid="{00000000-0005-0000-0000-00009E0E0000}"/>
    <cellStyle name="Accent2 25 2" xfId="4061" xr:uid="{00000000-0005-0000-0000-00009F0E0000}"/>
    <cellStyle name="Accent2 26" xfId="1660" xr:uid="{00000000-0005-0000-0000-0000A00E0000}"/>
    <cellStyle name="Accent2 26 2" xfId="4062" xr:uid="{00000000-0005-0000-0000-0000A10E0000}"/>
    <cellStyle name="Accent2 27" xfId="1661" xr:uid="{00000000-0005-0000-0000-0000A20E0000}"/>
    <cellStyle name="Accent2 27 2" xfId="4063" xr:uid="{00000000-0005-0000-0000-0000A30E0000}"/>
    <cellStyle name="Accent2 28" xfId="1662" xr:uid="{00000000-0005-0000-0000-0000A40E0000}"/>
    <cellStyle name="Accent2 28 2" xfId="4064" xr:uid="{00000000-0005-0000-0000-0000A50E0000}"/>
    <cellStyle name="Accent2 29" xfId="1663" xr:uid="{00000000-0005-0000-0000-0000A60E0000}"/>
    <cellStyle name="Accent2 29 2" xfId="4065" xr:uid="{00000000-0005-0000-0000-0000A70E0000}"/>
    <cellStyle name="Accent2 3" xfId="282" xr:uid="{00000000-0005-0000-0000-0000A80E0000}"/>
    <cellStyle name="Accent2 3 2" xfId="1664" xr:uid="{00000000-0005-0000-0000-0000A90E0000}"/>
    <cellStyle name="Accent2 3 3" xfId="4066" xr:uid="{00000000-0005-0000-0000-0000AA0E0000}"/>
    <cellStyle name="Accent2 30" xfId="1665" xr:uid="{00000000-0005-0000-0000-0000AB0E0000}"/>
    <cellStyle name="Accent2 30 2" xfId="4067" xr:uid="{00000000-0005-0000-0000-0000AC0E0000}"/>
    <cellStyle name="Accent2 31" xfId="1666" xr:uid="{00000000-0005-0000-0000-0000AD0E0000}"/>
    <cellStyle name="Accent2 31 2" xfId="4068" xr:uid="{00000000-0005-0000-0000-0000AE0E0000}"/>
    <cellStyle name="Accent2 32" xfId="1667" xr:uid="{00000000-0005-0000-0000-0000AF0E0000}"/>
    <cellStyle name="Accent2 32 2" xfId="4069" xr:uid="{00000000-0005-0000-0000-0000B00E0000}"/>
    <cellStyle name="Accent2 33" xfId="1668" xr:uid="{00000000-0005-0000-0000-0000B10E0000}"/>
    <cellStyle name="Accent2 33 2" xfId="4070" xr:uid="{00000000-0005-0000-0000-0000B20E0000}"/>
    <cellStyle name="Accent2 34" xfId="1669" xr:uid="{00000000-0005-0000-0000-0000B30E0000}"/>
    <cellStyle name="Accent2 34 2" xfId="4071" xr:uid="{00000000-0005-0000-0000-0000B40E0000}"/>
    <cellStyle name="Accent2 35" xfId="1670" xr:uid="{00000000-0005-0000-0000-0000B50E0000}"/>
    <cellStyle name="Accent2 35 2" xfId="4072" xr:uid="{00000000-0005-0000-0000-0000B60E0000}"/>
    <cellStyle name="Accent2 36" xfId="1671" xr:uid="{00000000-0005-0000-0000-0000B70E0000}"/>
    <cellStyle name="Accent2 36 2" xfId="4073" xr:uid="{00000000-0005-0000-0000-0000B80E0000}"/>
    <cellStyle name="Accent2 37" xfId="1672" xr:uid="{00000000-0005-0000-0000-0000B90E0000}"/>
    <cellStyle name="Accent2 37 2" xfId="4074" xr:uid="{00000000-0005-0000-0000-0000BA0E0000}"/>
    <cellStyle name="Accent2 38" xfId="1673" xr:uid="{00000000-0005-0000-0000-0000BB0E0000}"/>
    <cellStyle name="Accent2 38 2" xfId="4075" xr:uid="{00000000-0005-0000-0000-0000BC0E0000}"/>
    <cellStyle name="Accent2 39" xfId="1674" xr:uid="{00000000-0005-0000-0000-0000BD0E0000}"/>
    <cellStyle name="Accent2 39 2" xfId="4076" xr:uid="{00000000-0005-0000-0000-0000BE0E0000}"/>
    <cellStyle name="Accent2 4" xfId="283" xr:uid="{00000000-0005-0000-0000-0000BF0E0000}"/>
    <cellStyle name="Accent2 4 2" xfId="1675" xr:uid="{00000000-0005-0000-0000-0000C00E0000}"/>
    <cellStyle name="Accent2 4 3" xfId="4077" xr:uid="{00000000-0005-0000-0000-0000C10E0000}"/>
    <cellStyle name="Accent2 40" xfId="1676" xr:uid="{00000000-0005-0000-0000-0000C20E0000}"/>
    <cellStyle name="Accent2 40 2" xfId="4078" xr:uid="{00000000-0005-0000-0000-0000C30E0000}"/>
    <cellStyle name="Accent2 41" xfId="1677" xr:uid="{00000000-0005-0000-0000-0000C40E0000}"/>
    <cellStyle name="Accent2 41 2" xfId="4079" xr:uid="{00000000-0005-0000-0000-0000C50E0000}"/>
    <cellStyle name="Accent2 42" xfId="1678" xr:uid="{00000000-0005-0000-0000-0000C60E0000}"/>
    <cellStyle name="Accent2 42 2" xfId="4080" xr:uid="{00000000-0005-0000-0000-0000C70E0000}"/>
    <cellStyle name="Accent2 43" xfId="1679" xr:uid="{00000000-0005-0000-0000-0000C80E0000}"/>
    <cellStyle name="Accent2 43 2" xfId="4081" xr:uid="{00000000-0005-0000-0000-0000C90E0000}"/>
    <cellStyle name="Accent2 44" xfId="1680" xr:uid="{00000000-0005-0000-0000-0000CA0E0000}"/>
    <cellStyle name="Accent2 44 2" xfId="4082" xr:uid="{00000000-0005-0000-0000-0000CB0E0000}"/>
    <cellStyle name="Accent2 45" xfId="1681" xr:uid="{00000000-0005-0000-0000-0000CC0E0000}"/>
    <cellStyle name="Accent2 45 2" xfId="4083" xr:uid="{00000000-0005-0000-0000-0000CD0E0000}"/>
    <cellStyle name="Accent2 46" xfId="1682" xr:uid="{00000000-0005-0000-0000-0000CE0E0000}"/>
    <cellStyle name="Accent2 46 2" xfId="4084" xr:uid="{00000000-0005-0000-0000-0000CF0E0000}"/>
    <cellStyle name="Accent2 47" xfId="1683" xr:uid="{00000000-0005-0000-0000-0000D00E0000}"/>
    <cellStyle name="Accent2 47 2" xfId="4085" xr:uid="{00000000-0005-0000-0000-0000D10E0000}"/>
    <cellStyle name="Accent2 48" xfId="1684" xr:uid="{00000000-0005-0000-0000-0000D20E0000}"/>
    <cellStyle name="Accent2 48 2" xfId="4086" xr:uid="{00000000-0005-0000-0000-0000D30E0000}"/>
    <cellStyle name="Accent2 49" xfId="1685" xr:uid="{00000000-0005-0000-0000-0000D40E0000}"/>
    <cellStyle name="Accent2 49 2" xfId="4087" xr:uid="{00000000-0005-0000-0000-0000D50E0000}"/>
    <cellStyle name="Accent2 5" xfId="284" xr:uid="{00000000-0005-0000-0000-0000D60E0000}"/>
    <cellStyle name="Accent2 5 2" xfId="1686" xr:uid="{00000000-0005-0000-0000-0000D70E0000}"/>
    <cellStyle name="Accent2 5 3" xfId="4088" xr:uid="{00000000-0005-0000-0000-0000D80E0000}"/>
    <cellStyle name="Accent2 50" xfId="1687" xr:uid="{00000000-0005-0000-0000-0000D90E0000}"/>
    <cellStyle name="Accent2 50 2" xfId="4089" xr:uid="{00000000-0005-0000-0000-0000DA0E0000}"/>
    <cellStyle name="Accent2 51" xfId="1688" xr:uid="{00000000-0005-0000-0000-0000DB0E0000}"/>
    <cellStyle name="Accent2 51 2" xfId="4090" xr:uid="{00000000-0005-0000-0000-0000DC0E0000}"/>
    <cellStyle name="Accent2 52" xfId="1689" xr:uid="{00000000-0005-0000-0000-0000DD0E0000}"/>
    <cellStyle name="Accent2 52 2" xfId="4091" xr:uid="{00000000-0005-0000-0000-0000DE0E0000}"/>
    <cellStyle name="Accent2 53" xfId="1690" xr:uid="{00000000-0005-0000-0000-0000DF0E0000}"/>
    <cellStyle name="Accent2 53 2" xfId="4092" xr:uid="{00000000-0005-0000-0000-0000E00E0000}"/>
    <cellStyle name="Accent2 54" xfId="1691" xr:uid="{00000000-0005-0000-0000-0000E10E0000}"/>
    <cellStyle name="Accent2 54 2" xfId="4093" xr:uid="{00000000-0005-0000-0000-0000E20E0000}"/>
    <cellStyle name="Accent2 55" xfId="1692" xr:uid="{00000000-0005-0000-0000-0000E30E0000}"/>
    <cellStyle name="Accent2 55 2" xfId="4094" xr:uid="{00000000-0005-0000-0000-0000E40E0000}"/>
    <cellStyle name="Accent2 56" xfId="1693" xr:uid="{00000000-0005-0000-0000-0000E50E0000}"/>
    <cellStyle name="Accent2 56 2" xfId="4095" xr:uid="{00000000-0005-0000-0000-0000E60E0000}"/>
    <cellStyle name="Accent2 57" xfId="1694" xr:uid="{00000000-0005-0000-0000-0000E70E0000}"/>
    <cellStyle name="Accent2 57 2" xfId="4096" xr:uid="{00000000-0005-0000-0000-0000E80E0000}"/>
    <cellStyle name="Accent2 58" xfId="1695" xr:uid="{00000000-0005-0000-0000-0000E90E0000}"/>
    <cellStyle name="Accent2 58 2" xfId="4097" xr:uid="{00000000-0005-0000-0000-0000EA0E0000}"/>
    <cellStyle name="Accent2 59" xfId="1696" xr:uid="{00000000-0005-0000-0000-0000EB0E0000}"/>
    <cellStyle name="Accent2 59 2" xfId="4098" xr:uid="{00000000-0005-0000-0000-0000EC0E0000}"/>
    <cellStyle name="Accent2 6" xfId="285" xr:uid="{00000000-0005-0000-0000-0000ED0E0000}"/>
    <cellStyle name="Accent2 6 2" xfId="1697" xr:uid="{00000000-0005-0000-0000-0000EE0E0000}"/>
    <cellStyle name="Accent2 6 3" xfId="4099" xr:uid="{00000000-0005-0000-0000-0000EF0E0000}"/>
    <cellStyle name="Accent2 7" xfId="286" xr:uid="{00000000-0005-0000-0000-0000F00E0000}"/>
    <cellStyle name="Accent2 7 2" xfId="1698" xr:uid="{00000000-0005-0000-0000-0000F10E0000}"/>
    <cellStyle name="Accent2 7 3" xfId="4100" xr:uid="{00000000-0005-0000-0000-0000F20E0000}"/>
    <cellStyle name="Accent2 8" xfId="287" xr:uid="{00000000-0005-0000-0000-0000F30E0000}"/>
    <cellStyle name="Accent2 8 2" xfId="1699" xr:uid="{00000000-0005-0000-0000-0000F40E0000}"/>
    <cellStyle name="Accent2 8 3" xfId="4101" xr:uid="{00000000-0005-0000-0000-0000F50E0000}"/>
    <cellStyle name="Accent2 9" xfId="1700" xr:uid="{00000000-0005-0000-0000-0000F60E0000}"/>
    <cellStyle name="Accent2 9 2" xfId="4102" xr:uid="{00000000-0005-0000-0000-0000F70E0000}"/>
    <cellStyle name="Accent3 10" xfId="1701" xr:uid="{00000000-0005-0000-0000-0000F80E0000}"/>
    <cellStyle name="Accent3 10 2" xfId="4103" xr:uid="{00000000-0005-0000-0000-0000F90E0000}"/>
    <cellStyle name="Accent3 11" xfId="1702" xr:uid="{00000000-0005-0000-0000-0000FA0E0000}"/>
    <cellStyle name="Accent3 11 2" xfId="4104" xr:uid="{00000000-0005-0000-0000-0000FB0E0000}"/>
    <cellStyle name="Accent3 12" xfId="1703" xr:uid="{00000000-0005-0000-0000-0000FC0E0000}"/>
    <cellStyle name="Accent3 12 2" xfId="4105" xr:uid="{00000000-0005-0000-0000-0000FD0E0000}"/>
    <cellStyle name="Accent3 13" xfId="1704" xr:uid="{00000000-0005-0000-0000-0000FE0E0000}"/>
    <cellStyle name="Accent3 13 2" xfId="4106" xr:uid="{00000000-0005-0000-0000-0000FF0E0000}"/>
    <cellStyle name="Accent3 14" xfId="1705" xr:uid="{00000000-0005-0000-0000-0000000F0000}"/>
    <cellStyle name="Accent3 14 2" xfId="4107" xr:uid="{00000000-0005-0000-0000-0000010F0000}"/>
    <cellStyle name="Accent3 15" xfId="1706" xr:uid="{00000000-0005-0000-0000-0000020F0000}"/>
    <cellStyle name="Accent3 15 2" xfId="4108" xr:uid="{00000000-0005-0000-0000-0000030F0000}"/>
    <cellStyle name="Accent3 16" xfId="1707" xr:uid="{00000000-0005-0000-0000-0000040F0000}"/>
    <cellStyle name="Accent3 16 2" xfId="4109" xr:uid="{00000000-0005-0000-0000-0000050F0000}"/>
    <cellStyle name="Accent3 17" xfId="1708" xr:uid="{00000000-0005-0000-0000-0000060F0000}"/>
    <cellStyle name="Accent3 17 2" xfId="4110" xr:uid="{00000000-0005-0000-0000-0000070F0000}"/>
    <cellStyle name="Accent3 18" xfId="1709" xr:uid="{00000000-0005-0000-0000-0000080F0000}"/>
    <cellStyle name="Accent3 18 2" xfId="4111" xr:uid="{00000000-0005-0000-0000-0000090F0000}"/>
    <cellStyle name="Accent3 19" xfId="1710" xr:uid="{00000000-0005-0000-0000-00000A0F0000}"/>
    <cellStyle name="Accent3 19 2" xfId="4112" xr:uid="{00000000-0005-0000-0000-00000B0F0000}"/>
    <cellStyle name="Accent3 2" xfId="25" xr:uid="{00000000-0005-0000-0000-00000C0F0000}"/>
    <cellStyle name="Accent3 2 2" xfId="1711" xr:uid="{00000000-0005-0000-0000-00000D0F0000}"/>
    <cellStyle name="Accent3 2 3" xfId="4113" xr:uid="{00000000-0005-0000-0000-00000E0F0000}"/>
    <cellStyle name="Accent3 20" xfId="1712" xr:uid="{00000000-0005-0000-0000-00000F0F0000}"/>
    <cellStyle name="Accent3 20 2" xfId="4114" xr:uid="{00000000-0005-0000-0000-0000100F0000}"/>
    <cellStyle name="Accent3 21" xfId="1713" xr:uid="{00000000-0005-0000-0000-0000110F0000}"/>
    <cellStyle name="Accent3 21 2" xfId="4115" xr:uid="{00000000-0005-0000-0000-0000120F0000}"/>
    <cellStyle name="Accent3 22" xfId="1714" xr:uid="{00000000-0005-0000-0000-0000130F0000}"/>
    <cellStyle name="Accent3 22 2" xfId="4116" xr:uid="{00000000-0005-0000-0000-0000140F0000}"/>
    <cellStyle name="Accent3 23" xfId="1715" xr:uid="{00000000-0005-0000-0000-0000150F0000}"/>
    <cellStyle name="Accent3 23 2" xfId="4117" xr:uid="{00000000-0005-0000-0000-0000160F0000}"/>
    <cellStyle name="Accent3 24" xfId="1716" xr:uid="{00000000-0005-0000-0000-0000170F0000}"/>
    <cellStyle name="Accent3 24 2" xfId="4118" xr:uid="{00000000-0005-0000-0000-0000180F0000}"/>
    <cellStyle name="Accent3 25" xfId="1717" xr:uid="{00000000-0005-0000-0000-0000190F0000}"/>
    <cellStyle name="Accent3 25 2" xfId="4119" xr:uid="{00000000-0005-0000-0000-00001A0F0000}"/>
    <cellStyle name="Accent3 26" xfId="1718" xr:uid="{00000000-0005-0000-0000-00001B0F0000}"/>
    <cellStyle name="Accent3 26 2" xfId="4120" xr:uid="{00000000-0005-0000-0000-00001C0F0000}"/>
    <cellStyle name="Accent3 27" xfId="1719" xr:uid="{00000000-0005-0000-0000-00001D0F0000}"/>
    <cellStyle name="Accent3 27 2" xfId="4121" xr:uid="{00000000-0005-0000-0000-00001E0F0000}"/>
    <cellStyle name="Accent3 28" xfId="1720" xr:uid="{00000000-0005-0000-0000-00001F0F0000}"/>
    <cellStyle name="Accent3 28 2" xfId="4122" xr:uid="{00000000-0005-0000-0000-0000200F0000}"/>
    <cellStyle name="Accent3 29" xfId="1721" xr:uid="{00000000-0005-0000-0000-0000210F0000}"/>
    <cellStyle name="Accent3 29 2" xfId="4123" xr:uid="{00000000-0005-0000-0000-0000220F0000}"/>
    <cellStyle name="Accent3 3" xfId="288" xr:uid="{00000000-0005-0000-0000-0000230F0000}"/>
    <cellStyle name="Accent3 3 2" xfId="1722" xr:uid="{00000000-0005-0000-0000-0000240F0000}"/>
    <cellStyle name="Accent3 3 3" xfId="4124" xr:uid="{00000000-0005-0000-0000-0000250F0000}"/>
    <cellStyle name="Accent3 30" xfId="1723" xr:uid="{00000000-0005-0000-0000-0000260F0000}"/>
    <cellStyle name="Accent3 30 2" xfId="4125" xr:uid="{00000000-0005-0000-0000-0000270F0000}"/>
    <cellStyle name="Accent3 31" xfId="1724" xr:uid="{00000000-0005-0000-0000-0000280F0000}"/>
    <cellStyle name="Accent3 31 2" xfId="4126" xr:uid="{00000000-0005-0000-0000-0000290F0000}"/>
    <cellStyle name="Accent3 32" xfId="1725" xr:uid="{00000000-0005-0000-0000-00002A0F0000}"/>
    <cellStyle name="Accent3 32 2" xfId="4127" xr:uid="{00000000-0005-0000-0000-00002B0F0000}"/>
    <cellStyle name="Accent3 33" xfId="1726" xr:uid="{00000000-0005-0000-0000-00002C0F0000}"/>
    <cellStyle name="Accent3 33 2" xfId="4128" xr:uid="{00000000-0005-0000-0000-00002D0F0000}"/>
    <cellStyle name="Accent3 34" xfId="1727" xr:uid="{00000000-0005-0000-0000-00002E0F0000}"/>
    <cellStyle name="Accent3 34 2" xfId="4129" xr:uid="{00000000-0005-0000-0000-00002F0F0000}"/>
    <cellStyle name="Accent3 35" xfId="1728" xr:uid="{00000000-0005-0000-0000-0000300F0000}"/>
    <cellStyle name="Accent3 35 2" xfId="4130" xr:uid="{00000000-0005-0000-0000-0000310F0000}"/>
    <cellStyle name="Accent3 36" xfId="1729" xr:uid="{00000000-0005-0000-0000-0000320F0000}"/>
    <cellStyle name="Accent3 36 2" xfId="4131" xr:uid="{00000000-0005-0000-0000-0000330F0000}"/>
    <cellStyle name="Accent3 37" xfId="1730" xr:uid="{00000000-0005-0000-0000-0000340F0000}"/>
    <cellStyle name="Accent3 37 2" xfId="4132" xr:uid="{00000000-0005-0000-0000-0000350F0000}"/>
    <cellStyle name="Accent3 38" xfId="1731" xr:uid="{00000000-0005-0000-0000-0000360F0000}"/>
    <cellStyle name="Accent3 38 2" xfId="4133" xr:uid="{00000000-0005-0000-0000-0000370F0000}"/>
    <cellStyle name="Accent3 39" xfId="1732" xr:uid="{00000000-0005-0000-0000-0000380F0000}"/>
    <cellStyle name="Accent3 39 2" xfId="4134" xr:uid="{00000000-0005-0000-0000-0000390F0000}"/>
    <cellStyle name="Accent3 4" xfId="289" xr:uid="{00000000-0005-0000-0000-00003A0F0000}"/>
    <cellStyle name="Accent3 4 2" xfId="1733" xr:uid="{00000000-0005-0000-0000-00003B0F0000}"/>
    <cellStyle name="Accent3 4 3" xfId="4135" xr:uid="{00000000-0005-0000-0000-00003C0F0000}"/>
    <cellStyle name="Accent3 40" xfId="1734" xr:uid="{00000000-0005-0000-0000-00003D0F0000}"/>
    <cellStyle name="Accent3 40 2" xfId="4136" xr:uid="{00000000-0005-0000-0000-00003E0F0000}"/>
    <cellStyle name="Accent3 41" xfId="1735" xr:uid="{00000000-0005-0000-0000-00003F0F0000}"/>
    <cellStyle name="Accent3 41 2" xfId="4137" xr:uid="{00000000-0005-0000-0000-0000400F0000}"/>
    <cellStyle name="Accent3 42" xfId="1736" xr:uid="{00000000-0005-0000-0000-0000410F0000}"/>
    <cellStyle name="Accent3 42 2" xfId="4138" xr:uid="{00000000-0005-0000-0000-0000420F0000}"/>
    <cellStyle name="Accent3 43" xfId="1737" xr:uid="{00000000-0005-0000-0000-0000430F0000}"/>
    <cellStyle name="Accent3 43 2" xfId="4139" xr:uid="{00000000-0005-0000-0000-0000440F0000}"/>
    <cellStyle name="Accent3 44" xfId="1738" xr:uid="{00000000-0005-0000-0000-0000450F0000}"/>
    <cellStyle name="Accent3 44 2" xfId="4140" xr:uid="{00000000-0005-0000-0000-0000460F0000}"/>
    <cellStyle name="Accent3 45" xfId="1739" xr:uid="{00000000-0005-0000-0000-0000470F0000}"/>
    <cellStyle name="Accent3 45 2" xfId="4141" xr:uid="{00000000-0005-0000-0000-0000480F0000}"/>
    <cellStyle name="Accent3 46" xfId="1740" xr:uid="{00000000-0005-0000-0000-0000490F0000}"/>
    <cellStyle name="Accent3 46 2" xfId="4142" xr:uid="{00000000-0005-0000-0000-00004A0F0000}"/>
    <cellStyle name="Accent3 47" xfId="1741" xr:uid="{00000000-0005-0000-0000-00004B0F0000}"/>
    <cellStyle name="Accent3 47 2" xfId="4143" xr:uid="{00000000-0005-0000-0000-00004C0F0000}"/>
    <cellStyle name="Accent3 48" xfId="1742" xr:uid="{00000000-0005-0000-0000-00004D0F0000}"/>
    <cellStyle name="Accent3 48 2" xfId="4144" xr:uid="{00000000-0005-0000-0000-00004E0F0000}"/>
    <cellStyle name="Accent3 49" xfId="1743" xr:uid="{00000000-0005-0000-0000-00004F0F0000}"/>
    <cellStyle name="Accent3 49 2" xfId="4145" xr:uid="{00000000-0005-0000-0000-0000500F0000}"/>
    <cellStyle name="Accent3 5" xfId="290" xr:uid="{00000000-0005-0000-0000-0000510F0000}"/>
    <cellStyle name="Accent3 5 2" xfId="1744" xr:uid="{00000000-0005-0000-0000-0000520F0000}"/>
    <cellStyle name="Accent3 5 3" xfId="4146" xr:uid="{00000000-0005-0000-0000-0000530F0000}"/>
    <cellStyle name="Accent3 50" xfId="1745" xr:uid="{00000000-0005-0000-0000-0000540F0000}"/>
    <cellStyle name="Accent3 50 2" xfId="4147" xr:uid="{00000000-0005-0000-0000-0000550F0000}"/>
    <cellStyle name="Accent3 51" xfId="1746" xr:uid="{00000000-0005-0000-0000-0000560F0000}"/>
    <cellStyle name="Accent3 51 2" xfId="4148" xr:uid="{00000000-0005-0000-0000-0000570F0000}"/>
    <cellStyle name="Accent3 52" xfId="1747" xr:uid="{00000000-0005-0000-0000-0000580F0000}"/>
    <cellStyle name="Accent3 52 2" xfId="4149" xr:uid="{00000000-0005-0000-0000-0000590F0000}"/>
    <cellStyle name="Accent3 53" xfId="1748" xr:uid="{00000000-0005-0000-0000-00005A0F0000}"/>
    <cellStyle name="Accent3 53 2" xfId="4150" xr:uid="{00000000-0005-0000-0000-00005B0F0000}"/>
    <cellStyle name="Accent3 54" xfId="1749" xr:uid="{00000000-0005-0000-0000-00005C0F0000}"/>
    <cellStyle name="Accent3 54 2" xfId="4151" xr:uid="{00000000-0005-0000-0000-00005D0F0000}"/>
    <cellStyle name="Accent3 55" xfId="1750" xr:uid="{00000000-0005-0000-0000-00005E0F0000}"/>
    <cellStyle name="Accent3 55 2" xfId="4152" xr:uid="{00000000-0005-0000-0000-00005F0F0000}"/>
    <cellStyle name="Accent3 56" xfId="1751" xr:uid="{00000000-0005-0000-0000-0000600F0000}"/>
    <cellStyle name="Accent3 56 2" xfId="4153" xr:uid="{00000000-0005-0000-0000-0000610F0000}"/>
    <cellStyle name="Accent3 57" xfId="1752" xr:uid="{00000000-0005-0000-0000-0000620F0000}"/>
    <cellStyle name="Accent3 57 2" xfId="4154" xr:uid="{00000000-0005-0000-0000-0000630F0000}"/>
    <cellStyle name="Accent3 58" xfId="1753" xr:uid="{00000000-0005-0000-0000-0000640F0000}"/>
    <cellStyle name="Accent3 58 2" xfId="4155" xr:uid="{00000000-0005-0000-0000-0000650F0000}"/>
    <cellStyle name="Accent3 59" xfId="1754" xr:uid="{00000000-0005-0000-0000-0000660F0000}"/>
    <cellStyle name="Accent3 59 2" xfId="4156" xr:uid="{00000000-0005-0000-0000-0000670F0000}"/>
    <cellStyle name="Accent3 6" xfId="291" xr:uid="{00000000-0005-0000-0000-0000680F0000}"/>
    <cellStyle name="Accent3 6 2" xfId="1755" xr:uid="{00000000-0005-0000-0000-0000690F0000}"/>
    <cellStyle name="Accent3 6 3" xfId="4157" xr:uid="{00000000-0005-0000-0000-00006A0F0000}"/>
    <cellStyle name="Accent3 7" xfId="292" xr:uid="{00000000-0005-0000-0000-00006B0F0000}"/>
    <cellStyle name="Accent3 7 2" xfId="1756" xr:uid="{00000000-0005-0000-0000-00006C0F0000}"/>
    <cellStyle name="Accent3 7 3" xfId="4158" xr:uid="{00000000-0005-0000-0000-00006D0F0000}"/>
    <cellStyle name="Accent3 8" xfId="293" xr:uid="{00000000-0005-0000-0000-00006E0F0000}"/>
    <cellStyle name="Accent3 8 2" xfId="1757" xr:uid="{00000000-0005-0000-0000-00006F0F0000}"/>
    <cellStyle name="Accent3 8 3" xfId="4159" xr:uid="{00000000-0005-0000-0000-0000700F0000}"/>
    <cellStyle name="Accent3 9" xfId="1758" xr:uid="{00000000-0005-0000-0000-0000710F0000}"/>
    <cellStyle name="Accent3 9 2" xfId="4160" xr:uid="{00000000-0005-0000-0000-0000720F0000}"/>
    <cellStyle name="Accent4 10" xfId="1759" xr:uid="{00000000-0005-0000-0000-0000730F0000}"/>
    <cellStyle name="Accent4 10 2" xfId="4161" xr:uid="{00000000-0005-0000-0000-0000740F0000}"/>
    <cellStyle name="Accent4 11" xfId="1760" xr:uid="{00000000-0005-0000-0000-0000750F0000}"/>
    <cellStyle name="Accent4 11 2" xfId="4162" xr:uid="{00000000-0005-0000-0000-0000760F0000}"/>
    <cellStyle name="Accent4 12" xfId="1761" xr:uid="{00000000-0005-0000-0000-0000770F0000}"/>
    <cellStyle name="Accent4 12 2" xfId="4163" xr:uid="{00000000-0005-0000-0000-0000780F0000}"/>
    <cellStyle name="Accent4 13" xfId="1762" xr:uid="{00000000-0005-0000-0000-0000790F0000}"/>
    <cellStyle name="Accent4 13 2" xfId="4164" xr:uid="{00000000-0005-0000-0000-00007A0F0000}"/>
    <cellStyle name="Accent4 14" xfId="1763" xr:uid="{00000000-0005-0000-0000-00007B0F0000}"/>
    <cellStyle name="Accent4 14 2" xfId="4165" xr:uid="{00000000-0005-0000-0000-00007C0F0000}"/>
    <cellStyle name="Accent4 15" xfId="1764" xr:uid="{00000000-0005-0000-0000-00007D0F0000}"/>
    <cellStyle name="Accent4 15 2" xfId="4166" xr:uid="{00000000-0005-0000-0000-00007E0F0000}"/>
    <cellStyle name="Accent4 16" xfId="1765" xr:uid="{00000000-0005-0000-0000-00007F0F0000}"/>
    <cellStyle name="Accent4 16 2" xfId="4167" xr:uid="{00000000-0005-0000-0000-0000800F0000}"/>
    <cellStyle name="Accent4 17" xfId="1766" xr:uid="{00000000-0005-0000-0000-0000810F0000}"/>
    <cellStyle name="Accent4 17 2" xfId="4168" xr:uid="{00000000-0005-0000-0000-0000820F0000}"/>
    <cellStyle name="Accent4 18" xfId="1767" xr:uid="{00000000-0005-0000-0000-0000830F0000}"/>
    <cellStyle name="Accent4 18 2" xfId="4169" xr:uid="{00000000-0005-0000-0000-0000840F0000}"/>
    <cellStyle name="Accent4 19" xfId="1768" xr:uid="{00000000-0005-0000-0000-0000850F0000}"/>
    <cellStyle name="Accent4 19 2" xfId="4170" xr:uid="{00000000-0005-0000-0000-0000860F0000}"/>
    <cellStyle name="Accent4 2" xfId="26" xr:uid="{00000000-0005-0000-0000-0000870F0000}"/>
    <cellStyle name="Accent4 2 2" xfId="1769" xr:uid="{00000000-0005-0000-0000-0000880F0000}"/>
    <cellStyle name="Accent4 2 3" xfId="4171" xr:uid="{00000000-0005-0000-0000-0000890F0000}"/>
    <cellStyle name="Accent4 20" xfId="1770" xr:uid="{00000000-0005-0000-0000-00008A0F0000}"/>
    <cellStyle name="Accent4 20 2" xfId="4172" xr:uid="{00000000-0005-0000-0000-00008B0F0000}"/>
    <cellStyle name="Accent4 21" xfId="1771" xr:uid="{00000000-0005-0000-0000-00008C0F0000}"/>
    <cellStyle name="Accent4 21 2" xfId="4173" xr:uid="{00000000-0005-0000-0000-00008D0F0000}"/>
    <cellStyle name="Accent4 22" xfId="1772" xr:uid="{00000000-0005-0000-0000-00008E0F0000}"/>
    <cellStyle name="Accent4 22 2" xfId="4174" xr:uid="{00000000-0005-0000-0000-00008F0F0000}"/>
    <cellStyle name="Accent4 23" xfId="1773" xr:uid="{00000000-0005-0000-0000-0000900F0000}"/>
    <cellStyle name="Accent4 23 2" xfId="4175" xr:uid="{00000000-0005-0000-0000-0000910F0000}"/>
    <cellStyle name="Accent4 24" xfId="1774" xr:uid="{00000000-0005-0000-0000-0000920F0000}"/>
    <cellStyle name="Accent4 24 2" xfId="4176" xr:uid="{00000000-0005-0000-0000-0000930F0000}"/>
    <cellStyle name="Accent4 25" xfId="1775" xr:uid="{00000000-0005-0000-0000-0000940F0000}"/>
    <cellStyle name="Accent4 25 2" xfId="4177" xr:uid="{00000000-0005-0000-0000-0000950F0000}"/>
    <cellStyle name="Accent4 26" xfId="1776" xr:uid="{00000000-0005-0000-0000-0000960F0000}"/>
    <cellStyle name="Accent4 26 2" xfId="4178" xr:uid="{00000000-0005-0000-0000-0000970F0000}"/>
    <cellStyle name="Accent4 27" xfId="1777" xr:uid="{00000000-0005-0000-0000-0000980F0000}"/>
    <cellStyle name="Accent4 27 2" xfId="4179" xr:uid="{00000000-0005-0000-0000-0000990F0000}"/>
    <cellStyle name="Accent4 28" xfId="1778" xr:uid="{00000000-0005-0000-0000-00009A0F0000}"/>
    <cellStyle name="Accent4 28 2" xfId="4180" xr:uid="{00000000-0005-0000-0000-00009B0F0000}"/>
    <cellStyle name="Accent4 29" xfId="1779" xr:uid="{00000000-0005-0000-0000-00009C0F0000}"/>
    <cellStyle name="Accent4 29 2" xfId="4181" xr:uid="{00000000-0005-0000-0000-00009D0F0000}"/>
    <cellStyle name="Accent4 3" xfId="294" xr:uid="{00000000-0005-0000-0000-00009E0F0000}"/>
    <cellStyle name="Accent4 3 2" xfId="1780" xr:uid="{00000000-0005-0000-0000-00009F0F0000}"/>
    <cellStyle name="Accent4 3 3" xfId="4182" xr:uid="{00000000-0005-0000-0000-0000A00F0000}"/>
    <cellStyle name="Accent4 30" xfId="1781" xr:uid="{00000000-0005-0000-0000-0000A10F0000}"/>
    <cellStyle name="Accent4 30 2" xfId="4183" xr:uid="{00000000-0005-0000-0000-0000A20F0000}"/>
    <cellStyle name="Accent4 31" xfId="1782" xr:uid="{00000000-0005-0000-0000-0000A30F0000}"/>
    <cellStyle name="Accent4 31 2" xfId="4184" xr:uid="{00000000-0005-0000-0000-0000A40F0000}"/>
    <cellStyle name="Accent4 32" xfId="1783" xr:uid="{00000000-0005-0000-0000-0000A50F0000}"/>
    <cellStyle name="Accent4 32 2" xfId="4185" xr:uid="{00000000-0005-0000-0000-0000A60F0000}"/>
    <cellStyle name="Accent4 33" xfId="1784" xr:uid="{00000000-0005-0000-0000-0000A70F0000}"/>
    <cellStyle name="Accent4 33 2" xfId="4186" xr:uid="{00000000-0005-0000-0000-0000A80F0000}"/>
    <cellStyle name="Accent4 34" xfId="1785" xr:uid="{00000000-0005-0000-0000-0000A90F0000}"/>
    <cellStyle name="Accent4 34 2" xfId="4187" xr:uid="{00000000-0005-0000-0000-0000AA0F0000}"/>
    <cellStyle name="Accent4 35" xfId="1786" xr:uid="{00000000-0005-0000-0000-0000AB0F0000}"/>
    <cellStyle name="Accent4 35 2" xfId="4188" xr:uid="{00000000-0005-0000-0000-0000AC0F0000}"/>
    <cellStyle name="Accent4 36" xfId="1787" xr:uid="{00000000-0005-0000-0000-0000AD0F0000}"/>
    <cellStyle name="Accent4 36 2" xfId="4189" xr:uid="{00000000-0005-0000-0000-0000AE0F0000}"/>
    <cellStyle name="Accent4 37" xfId="1788" xr:uid="{00000000-0005-0000-0000-0000AF0F0000}"/>
    <cellStyle name="Accent4 37 2" xfId="4190" xr:uid="{00000000-0005-0000-0000-0000B00F0000}"/>
    <cellStyle name="Accent4 38" xfId="1789" xr:uid="{00000000-0005-0000-0000-0000B10F0000}"/>
    <cellStyle name="Accent4 38 2" xfId="4191" xr:uid="{00000000-0005-0000-0000-0000B20F0000}"/>
    <cellStyle name="Accent4 39" xfId="1790" xr:uid="{00000000-0005-0000-0000-0000B30F0000}"/>
    <cellStyle name="Accent4 39 2" xfId="4192" xr:uid="{00000000-0005-0000-0000-0000B40F0000}"/>
    <cellStyle name="Accent4 4" xfId="295" xr:uid="{00000000-0005-0000-0000-0000B50F0000}"/>
    <cellStyle name="Accent4 4 2" xfId="1791" xr:uid="{00000000-0005-0000-0000-0000B60F0000}"/>
    <cellStyle name="Accent4 4 3" xfId="4193" xr:uid="{00000000-0005-0000-0000-0000B70F0000}"/>
    <cellStyle name="Accent4 40" xfId="1792" xr:uid="{00000000-0005-0000-0000-0000B80F0000}"/>
    <cellStyle name="Accent4 40 2" xfId="4194" xr:uid="{00000000-0005-0000-0000-0000B90F0000}"/>
    <cellStyle name="Accent4 41" xfId="1793" xr:uid="{00000000-0005-0000-0000-0000BA0F0000}"/>
    <cellStyle name="Accent4 41 2" xfId="4195" xr:uid="{00000000-0005-0000-0000-0000BB0F0000}"/>
    <cellStyle name="Accent4 42" xfId="1794" xr:uid="{00000000-0005-0000-0000-0000BC0F0000}"/>
    <cellStyle name="Accent4 42 2" xfId="4196" xr:uid="{00000000-0005-0000-0000-0000BD0F0000}"/>
    <cellStyle name="Accent4 43" xfId="1795" xr:uid="{00000000-0005-0000-0000-0000BE0F0000}"/>
    <cellStyle name="Accent4 43 2" xfId="4197" xr:uid="{00000000-0005-0000-0000-0000BF0F0000}"/>
    <cellStyle name="Accent4 44" xfId="1796" xr:uid="{00000000-0005-0000-0000-0000C00F0000}"/>
    <cellStyle name="Accent4 44 2" xfId="4198" xr:uid="{00000000-0005-0000-0000-0000C10F0000}"/>
    <cellStyle name="Accent4 45" xfId="1797" xr:uid="{00000000-0005-0000-0000-0000C20F0000}"/>
    <cellStyle name="Accent4 45 2" xfId="4199" xr:uid="{00000000-0005-0000-0000-0000C30F0000}"/>
    <cellStyle name="Accent4 46" xfId="1798" xr:uid="{00000000-0005-0000-0000-0000C40F0000}"/>
    <cellStyle name="Accent4 46 2" xfId="4200" xr:uid="{00000000-0005-0000-0000-0000C50F0000}"/>
    <cellStyle name="Accent4 47" xfId="1799" xr:uid="{00000000-0005-0000-0000-0000C60F0000}"/>
    <cellStyle name="Accent4 47 2" xfId="4201" xr:uid="{00000000-0005-0000-0000-0000C70F0000}"/>
    <cellStyle name="Accent4 48" xfId="1800" xr:uid="{00000000-0005-0000-0000-0000C80F0000}"/>
    <cellStyle name="Accent4 48 2" xfId="4202" xr:uid="{00000000-0005-0000-0000-0000C90F0000}"/>
    <cellStyle name="Accent4 49" xfId="1801" xr:uid="{00000000-0005-0000-0000-0000CA0F0000}"/>
    <cellStyle name="Accent4 49 2" xfId="4203" xr:uid="{00000000-0005-0000-0000-0000CB0F0000}"/>
    <cellStyle name="Accent4 5" xfId="296" xr:uid="{00000000-0005-0000-0000-0000CC0F0000}"/>
    <cellStyle name="Accent4 5 2" xfId="1802" xr:uid="{00000000-0005-0000-0000-0000CD0F0000}"/>
    <cellStyle name="Accent4 5 3" xfId="4204" xr:uid="{00000000-0005-0000-0000-0000CE0F0000}"/>
    <cellStyle name="Accent4 50" xfId="1803" xr:uid="{00000000-0005-0000-0000-0000CF0F0000}"/>
    <cellStyle name="Accent4 50 2" xfId="4205" xr:uid="{00000000-0005-0000-0000-0000D00F0000}"/>
    <cellStyle name="Accent4 51" xfId="1804" xr:uid="{00000000-0005-0000-0000-0000D10F0000}"/>
    <cellStyle name="Accent4 51 2" xfId="4206" xr:uid="{00000000-0005-0000-0000-0000D20F0000}"/>
    <cellStyle name="Accent4 52" xfId="1805" xr:uid="{00000000-0005-0000-0000-0000D30F0000}"/>
    <cellStyle name="Accent4 52 2" xfId="4207" xr:uid="{00000000-0005-0000-0000-0000D40F0000}"/>
    <cellStyle name="Accent4 53" xfId="1806" xr:uid="{00000000-0005-0000-0000-0000D50F0000}"/>
    <cellStyle name="Accent4 53 2" xfId="4208" xr:uid="{00000000-0005-0000-0000-0000D60F0000}"/>
    <cellStyle name="Accent4 54" xfId="1807" xr:uid="{00000000-0005-0000-0000-0000D70F0000}"/>
    <cellStyle name="Accent4 54 2" xfId="4209" xr:uid="{00000000-0005-0000-0000-0000D80F0000}"/>
    <cellStyle name="Accent4 55" xfId="1808" xr:uid="{00000000-0005-0000-0000-0000D90F0000}"/>
    <cellStyle name="Accent4 55 2" xfId="4210" xr:uid="{00000000-0005-0000-0000-0000DA0F0000}"/>
    <cellStyle name="Accent4 56" xfId="1809" xr:uid="{00000000-0005-0000-0000-0000DB0F0000}"/>
    <cellStyle name="Accent4 56 2" xfId="4211" xr:uid="{00000000-0005-0000-0000-0000DC0F0000}"/>
    <cellStyle name="Accent4 57" xfId="1810" xr:uid="{00000000-0005-0000-0000-0000DD0F0000}"/>
    <cellStyle name="Accent4 57 2" xfId="4212" xr:uid="{00000000-0005-0000-0000-0000DE0F0000}"/>
    <cellStyle name="Accent4 58" xfId="1811" xr:uid="{00000000-0005-0000-0000-0000DF0F0000}"/>
    <cellStyle name="Accent4 58 2" xfId="4213" xr:uid="{00000000-0005-0000-0000-0000E00F0000}"/>
    <cellStyle name="Accent4 59" xfId="1812" xr:uid="{00000000-0005-0000-0000-0000E10F0000}"/>
    <cellStyle name="Accent4 59 2" xfId="4214" xr:uid="{00000000-0005-0000-0000-0000E20F0000}"/>
    <cellStyle name="Accent4 6" xfId="297" xr:uid="{00000000-0005-0000-0000-0000E30F0000}"/>
    <cellStyle name="Accent4 6 2" xfId="1813" xr:uid="{00000000-0005-0000-0000-0000E40F0000}"/>
    <cellStyle name="Accent4 6 3" xfId="4215" xr:uid="{00000000-0005-0000-0000-0000E50F0000}"/>
    <cellStyle name="Accent4 7" xfId="298" xr:uid="{00000000-0005-0000-0000-0000E60F0000}"/>
    <cellStyle name="Accent4 7 2" xfId="1814" xr:uid="{00000000-0005-0000-0000-0000E70F0000}"/>
    <cellStyle name="Accent4 7 3" xfId="4216" xr:uid="{00000000-0005-0000-0000-0000E80F0000}"/>
    <cellStyle name="Accent4 8" xfId="299" xr:uid="{00000000-0005-0000-0000-0000E90F0000}"/>
    <cellStyle name="Accent4 8 2" xfId="1815" xr:uid="{00000000-0005-0000-0000-0000EA0F0000}"/>
    <cellStyle name="Accent4 8 3" xfId="4217" xr:uid="{00000000-0005-0000-0000-0000EB0F0000}"/>
    <cellStyle name="Accent4 9" xfId="1816" xr:uid="{00000000-0005-0000-0000-0000EC0F0000}"/>
    <cellStyle name="Accent4 9 2" xfId="4218" xr:uid="{00000000-0005-0000-0000-0000ED0F0000}"/>
    <cellStyle name="Accent5 10" xfId="1817" xr:uid="{00000000-0005-0000-0000-0000EE0F0000}"/>
    <cellStyle name="Accent5 10 2" xfId="4219" xr:uid="{00000000-0005-0000-0000-0000EF0F0000}"/>
    <cellStyle name="Accent5 11" xfId="1818" xr:uid="{00000000-0005-0000-0000-0000F00F0000}"/>
    <cellStyle name="Accent5 11 2" xfId="4220" xr:uid="{00000000-0005-0000-0000-0000F10F0000}"/>
    <cellStyle name="Accent5 12" xfId="1819" xr:uid="{00000000-0005-0000-0000-0000F20F0000}"/>
    <cellStyle name="Accent5 12 2" xfId="4221" xr:uid="{00000000-0005-0000-0000-0000F30F0000}"/>
    <cellStyle name="Accent5 13" xfId="1820" xr:uid="{00000000-0005-0000-0000-0000F40F0000}"/>
    <cellStyle name="Accent5 13 2" xfId="4222" xr:uid="{00000000-0005-0000-0000-0000F50F0000}"/>
    <cellStyle name="Accent5 14" xfId="1821" xr:uid="{00000000-0005-0000-0000-0000F60F0000}"/>
    <cellStyle name="Accent5 14 2" xfId="4223" xr:uid="{00000000-0005-0000-0000-0000F70F0000}"/>
    <cellStyle name="Accent5 15" xfId="1822" xr:uid="{00000000-0005-0000-0000-0000F80F0000}"/>
    <cellStyle name="Accent5 15 2" xfId="4224" xr:uid="{00000000-0005-0000-0000-0000F90F0000}"/>
    <cellStyle name="Accent5 16" xfId="1823" xr:uid="{00000000-0005-0000-0000-0000FA0F0000}"/>
    <cellStyle name="Accent5 16 2" xfId="4225" xr:uid="{00000000-0005-0000-0000-0000FB0F0000}"/>
    <cellStyle name="Accent5 17" xfId="1824" xr:uid="{00000000-0005-0000-0000-0000FC0F0000}"/>
    <cellStyle name="Accent5 17 2" xfId="4226" xr:uid="{00000000-0005-0000-0000-0000FD0F0000}"/>
    <cellStyle name="Accent5 18" xfId="1825" xr:uid="{00000000-0005-0000-0000-0000FE0F0000}"/>
    <cellStyle name="Accent5 18 2" xfId="4227" xr:uid="{00000000-0005-0000-0000-0000FF0F0000}"/>
    <cellStyle name="Accent5 19" xfId="1826" xr:uid="{00000000-0005-0000-0000-000000100000}"/>
    <cellStyle name="Accent5 19 2" xfId="4228" xr:uid="{00000000-0005-0000-0000-000001100000}"/>
    <cellStyle name="Accent5 2" xfId="27" xr:uid="{00000000-0005-0000-0000-000002100000}"/>
    <cellStyle name="Accent5 2 2" xfId="1827" xr:uid="{00000000-0005-0000-0000-000003100000}"/>
    <cellStyle name="Accent5 2 3" xfId="4229" xr:uid="{00000000-0005-0000-0000-000004100000}"/>
    <cellStyle name="Accent5 20" xfId="1828" xr:uid="{00000000-0005-0000-0000-000005100000}"/>
    <cellStyle name="Accent5 20 2" xfId="4230" xr:uid="{00000000-0005-0000-0000-000006100000}"/>
    <cellStyle name="Accent5 21" xfId="1829" xr:uid="{00000000-0005-0000-0000-000007100000}"/>
    <cellStyle name="Accent5 21 2" xfId="4231" xr:uid="{00000000-0005-0000-0000-000008100000}"/>
    <cellStyle name="Accent5 22" xfId="1830" xr:uid="{00000000-0005-0000-0000-000009100000}"/>
    <cellStyle name="Accent5 22 2" xfId="4232" xr:uid="{00000000-0005-0000-0000-00000A100000}"/>
    <cellStyle name="Accent5 23" xfId="1831" xr:uid="{00000000-0005-0000-0000-00000B100000}"/>
    <cellStyle name="Accent5 23 2" xfId="4233" xr:uid="{00000000-0005-0000-0000-00000C100000}"/>
    <cellStyle name="Accent5 24" xfId="1832" xr:uid="{00000000-0005-0000-0000-00000D100000}"/>
    <cellStyle name="Accent5 24 2" xfId="4234" xr:uid="{00000000-0005-0000-0000-00000E100000}"/>
    <cellStyle name="Accent5 25" xfId="1833" xr:uid="{00000000-0005-0000-0000-00000F100000}"/>
    <cellStyle name="Accent5 25 2" xfId="4235" xr:uid="{00000000-0005-0000-0000-000010100000}"/>
    <cellStyle name="Accent5 26" xfId="1834" xr:uid="{00000000-0005-0000-0000-000011100000}"/>
    <cellStyle name="Accent5 26 2" xfId="4236" xr:uid="{00000000-0005-0000-0000-000012100000}"/>
    <cellStyle name="Accent5 27" xfId="1835" xr:uid="{00000000-0005-0000-0000-000013100000}"/>
    <cellStyle name="Accent5 27 2" xfId="4237" xr:uid="{00000000-0005-0000-0000-000014100000}"/>
    <cellStyle name="Accent5 28" xfId="1836" xr:uid="{00000000-0005-0000-0000-000015100000}"/>
    <cellStyle name="Accent5 28 2" xfId="4238" xr:uid="{00000000-0005-0000-0000-000016100000}"/>
    <cellStyle name="Accent5 29" xfId="1837" xr:uid="{00000000-0005-0000-0000-000017100000}"/>
    <cellStyle name="Accent5 29 2" xfId="4239" xr:uid="{00000000-0005-0000-0000-000018100000}"/>
    <cellStyle name="Accent5 3" xfId="300" xr:uid="{00000000-0005-0000-0000-000019100000}"/>
    <cellStyle name="Accent5 3 2" xfId="1838" xr:uid="{00000000-0005-0000-0000-00001A100000}"/>
    <cellStyle name="Accent5 3 3" xfId="4240" xr:uid="{00000000-0005-0000-0000-00001B100000}"/>
    <cellStyle name="Accent5 30" xfId="1839" xr:uid="{00000000-0005-0000-0000-00001C100000}"/>
    <cellStyle name="Accent5 30 2" xfId="4241" xr:uid="{00000000-0005-0000-0000-00001D100000}"/>
    <cellStyle name="Accent5 31" xfId="1840" xr:uid="{00000000-0005-0000-0000-00001E100000}"/>
    <cellStyle name="Accent5 31 2" xfId="4242" xr:uid="{00000000-0005-0000-0000-00001F100000}"/>
    <cellStyle name="Accent5 32" xfId="1841" xr:uid="{00000000-0005-0000-0000-000020100000}"/>
    <cellStyle name="Accent5 32 2" xfId="4243" xr:uid="{00000000-0005-0000-0000-000021100000}"/>
    <cellStyle name="Accent5 33" xfId="1842" xr:uid="{00000000-0005-0000-0000-000022100000}"/>
    <cellStyle name="Accent5 33 2" xfId="4244" xr:uid="{00000000-0005-0000-0000-000023100000}"/>
    <cellStyle name="Accent5 34" xfId="1843" xr:uid="{00000000-0005-0000-0000-000024100000}"/>
    <cellStyle name="Accent5 34 2" xfId="4245" xr:uid="{00000000-0005-0000-0000-000025100000}"/>
    <cellStyle name="Accent5 35" xfId="1844" xr:uid="{00000000-0005-0000-0000-000026100000}"/>
    <cellStyle name="Accent5 35 2" xfId="4246" xr:uid="{00000000-0005-0000-0000-000027100000}"/>
    <cellStyle name="Accent5 36" xfId="1845" xr:uid="{00000000-0005-0000-0000-000028100000}"/>
    <cellStyle name="Accent5 36 2" xfId="4247" xr:uid="{00000000-0005-0000-0000-000029100000}"/>
    <cellStyle name="Accent5 37" xfId="1846" xr:uid="{00000000-0005-0000-0000-00002A100000}"/>
    <cellStyle name="Accent5 37 2" xfId="4248" xr:uid="{00000000-0005-0000-0000-00002B100000}"/>
    <cellStyle name="Accent5 38" xfId="1847" xr:uid="{00000000-0005-0000-0000-00002C100000}"/>
    <cellStyle name="Accent5 38 2" xfId="4249" xr:uid="{00000000-0005-0000-0000-00002D100000}"/>
    <cellStyle name="Accent5 39" xfId="1848" xr:uid="{00000000-0005-0000-0000-00002E100000}"/>
    <cellStyle name="Accent5 39 2" xfId="4250" xr:uid="{00000000-0005-0000-0000-00002F100000}"/>
    <cellStyle name="Accent5 4" xfId="301" xr:uid="{00000000-0005-0000-0000-000030100000}"/>
    <cellStyle name="Accent5 4 2" xfId="1849" xr:uid="{00000000-0005-0000-0000-000031100000}"/>
    <cellStyle name="Accent5 4 3" xfId="4251" xr:uid="{00000000-0005-0000-0000-000032100000}"/>
    <cellStyle name="Accent5 40" xfId="1850" xr:uid="{00000000-0005-0000-0000-000033100000}"/>
    <cellStyle name="Accent5 40 2" xfId="4252" xr:uid="{00000000-0005-0000-0000-000034100000}"/>
    <cellStyle name="Accent5 41" xfId="1851" xr:uid="{00000000-0005-0000-0000-000035100000}"/>
    <cellStyle name="Accent5 41 2" xfId="4253" xr:uid="{00000000-0005-0000-0000-000036100000}"/>
    <cellStyle name="Accent5 42" xfId="1852" xr:uid="{00000000-0005-0000-0000-000037100000}"/>
    <cellStyle name="Accent5 42 2" xfId="4254" xr:uid="{00000000-0005-0000-0000-000038100000}"/>
    <cellStyle name="Accent5 43" xfId="1853" xr:uid="{00000000-0005-0000-0000-000039100000}"/>
    <cellStyle name="Accent5 43 2" xfId="4255" xr:uid="{00000000-0005-0000-0000-00003A100000}"/>
    <cellStyle name="Accent5 44" xfId="1854" xr:uid="{00000000-0005-0000-0000-00003B100000}"/>
    <cellStyle name="Accent5 44 2" xfId="4256" xr:uid="{00000000-0005-0000-0000-00003C100000}"/>
    <cellStyle name="Accent5 45" xfId="1855" xr:uid="{00000000-0005-0000-0000-00003D100000}"/>
    <cellStyle name="Accent5 45 2" xfId="4257" xr:uid="{00000000-0005-0000-0000-00003E100000}"/>
    <cellStyle name="Accent5 46" xfId="1856" xr:uid="{00000000-0005-0000-0000-00003F100000}"/>
    <cellStyle name="Accent5 46 2" xfId="4258" xr:uid="{00000000-0005-0000-0000-000040100000}"/>
    <cellStyle name="Accent5 47" xfId="1857" xr:uid="{00000000-0005-0000-0000-000041100000}"/>
    <cellStyle name="Accent5 47 2" xfId="4259" xr:uid="{00000000-0005-0000-0000-000042100000}"/>
    <cellStyle name="Accent5 48" xfId="1858" xr:uid="{00000000-0005-0000-0000-000043100000}"/>
    <cellStyle name="Accent5 48 2" xfId="4260" xr:uid="{00000000-0005-0000-0000-000044100000}"/>
    <cellStyle name="Accent5 49" xfId="1859" xr:uid="{00000000-0005-0000-0000-000045100000}"/>
    <cellStyle name="Accent5 49 2" xfId="4261" xr:uid="{00000000-0005-0000-0000-000046100000}"/>
    <cellStyle name="Accent5 5" xfId="302" xr:uid="{00000000-0005-0000-0000-000047100000}"/>
    <cellStyle name="Accent5 5 2" xfId="1860" xr:uid="{00000000-0005-0000-0000-000048100000}"/>
    <cellStyle name="Accent5 5 3" xfId="4262" xr:uid="{00000000-0005-0000-0000-000049100000}"/>
    <cellStyle name="Accent5 50" xfId="1861" xr:uid="{00000000-0005-0000-0000-00004A100000}"/>
    <cellStyle name="Accent5 50 2" xfId="4263" xr:uid="{00000000-0005-0000-0000-00004B100000}"/>
    <cellStyle name="Accent5 51" xfId="1862" xr:uid="{00000000-0005-0000-0000-00004C100000}"/>
    <cellStyle name="Accent5 51 2" xfId="4264" xr:uid="{00000000-0005-0000-0000-00004D100000}"/>
    <cellStyle name="Accent5 52" xfId="1863" xr:uid="{00000000-0005-0000-0000-00004E100000}"/>
    <cellStyle name="Accent5 52 2" xfId="4265" xr:uid="{00000000-0005-0000-0000-00004F100000}"/>
    <cellStyle name="Accent5 53" xfId="1864" xr:uid="{00000000-0005-0000-0000-000050100000}"/>
    <cellStyle name="Accent5 53 2" xfId="4266" xr:uid="{00000000-0005-0000-0000-000051100000}"/>
    <cellStyle name="Accent5 54" xfId="1865" xr:uid="{00000000-0005-0000-0000-000052100000}"/>
    <cellStyle name="Accent5 54 2" xfId="4267" xr:uid="{00000000-0005-0000-0000-000053100000}"/>
    <cellStyle name="Accent5 55" xfId="1866" xr:uid="{00000000-0005-0000-0000-000054100000}"/>
    <cellStyle name="Accent5 55 2" xfId="4268" xr:uid="{00000000-0005-0000-0000-000055100000}"/>
    <cellStyle name="Accent5 56" xfId="1867" xr:uid="{00000000-0005-0000-0000-000056100000}"/>
    <cellStyle name="Accent5 56 2" xfId="4269" xr:uid="{00000000-0005-0000-0000-000057100000}"/>
    <cellStyle name="Accent5 57" xfId="1868" xr:uid="{00000000-0005-0000-0000-000058100000}"/>
    <cellStyle name="Accent5 57 2" xfId="4270" xr:uid="{00000000-0005-0000-0000-000059100000}"/>
    <cellStyle name="Accent5 58" xfId="1869" xr:uid="{00000000-0005-0000-0000-00005A100000}"/>
    <cellStyle name="Accent5 58 2" xfId="4271" xr:uid="{00000000-0005-0000-0000-00005B100000}"/>
    <cellStyle name="Accent5 59" xfId="1870" xr:uid="{00000000-0005-0000-0000-00005C100000}"/>
    <cellStyle name="Accent5 59 2" xfId="4272" xr:uid="{00000000-0005-0000-0000-00005D100000}"/>
    <cellStyle name="Accent5 6" xfId="303" xr:uid="{00000000-0005-0000-0000-00005E100000}"/>
    <cellStyle name="Accent5 6 2" xfId="1871" xr:uid="{00000000-0005-0000-0000-00005F100000}"/>
    <cellStyle name="Accent5 6 3" xfId="4273" xr:uid="{00000000-0005-0000-0000-000060100000}"/>
    <cellStyle name="Accent5 7" xfId="304" xr:uid="{00000000-0005-0000-0000-000061100000}"/>
    <cellStyle name="Accent5 7 2" xfId="1872" xr:uid="{00000000-0005-0000-0000-000062100000}"/>
    <cellStyle name="Accent5 7 3" xfId="4274" xr:uid="{00000000-0005-0000-0000-000063100000}"/>
    <cellStyle name="Accent5 8" xfId="305" xr:uid="{00000000-0005-0000-0000-000064100000}"/>
    <cellStyle name="Accent5 8 2" xfId="1873" xr:uid="{00000000-0005-0000-0000-000065100000}"/>
    <cellStyle name="Accent5 8 3" xfId="4275" xr:uid="{00000000-0005-0000-0000-000066100000}"/>
    <cellStyle name="Accent5 9" xfId="1874" xr:uid="{00000000-0005-0000-0000-000067100000}"/>
    <cellStyle name="Accent5 9 2" xfId="4276" xr:uid="{00000000-0005-0000-0000-000068100000}"/>
    <cellStyle name="Accent6 10" xfId="1875" xr:uid="{00000000-0005-0000-0000-000069100000}"/>
    <cellStyle name="Accent6 10 2" xfId="4277" xr:uid="{00000000-0005-0000-0000-00006A100000}"/>
    <cellStyle name="Accent6 11" xfId="1876" xr:uid="{00000000-0005-0000-0000-00006B100000}"/>
    <cellStyle name="Accent6 11 2" xfId="4278" xr:uid="{00000000-0005-0000-0000-00006C100000}"/>
    <cellStyle name="Accent6 12" xfId="1877" xr:uid="{00000000-0005-0000-0000-00006D100000}"/>
    <cellStyle name="Accent6 12 2" xfId="4279" xr:uid="{00000000-0005-0000-0000-00006E100000}"/>
    <cellStyle name="Accent6 13" xfId="1878" xr:uid="{00000000-0005-0000-0000-00006F100000}"/>
    <cellStyle name="Accent6 13 2" xfId="4280" xr:uid="{00000000-0005-0000-0000-000070100000}"/>
    <cellStyle name="Accent6 14" xfId="1879" xr:uid="{00000000-0005-0000-0000-000071100000}"/>
    <cellStyle name="Accent6 14 2" xfId="4281" xr:uid="{00000000-0005-0000-0000-000072100000}"/>
    <cellStyle name="Accent6 15" xfId="1880" xr:uid="{00000000-0005-0000-0000-000073100000}"/>
    <cellStyle name="Accent6 15 2" xfId="4282" xr:uid="{00000000-0005-0000-0000-000074100000}"/>
    <cellStyle name="Accent6 16" xfId="1881" xr:uid="{00000000-0005-0000-0000-000075100000}"/>
    <cellStyle name="Accent6 16 2" xfId="4283" xr:uid="{00000000-0005-0000-0000-000076100000}"/>
    <cellStyle name="Accent6 17" xfId="1882" xr:uid="{00000000-0005-0000-0000-000077100000}"/>
    <cellStyle name="Accent6 17 2" xfId="4284" xr:uid="{00000000-0005-0000-0000-000078100000}"/>
    <cellStyle name="Accent6 18" xfId="1883" xr:uid="{00000000-0005-0000-0000-000079100000}"/>
    <cellStyle name="Accent6 18 2" xfId="4285" xr:uid="{00000000-0005-0000-0000-00007A100000}"/>
    <cellStyle name="Accent6 19" xfId="1884" xr:uid="{00000000-0005-0000-0000-00007B100000}"/>
    <cellStyle name="Accent6 19 2" xfId="4286" xr:uid="{00000000-0005-0000-0000-00007C100000}"/>
    <cellStyle name="Accent6 2" xfId="28" xr:uid="{00000000-0005-0000-0000-00007D100000}"/>
    <cellStyle name="Accent6 2 2" xfId="1885" xr:uid="{00000000-0005-0000-0000-00007E100000}"/>
    <cellStyle name="Accent6 2 3" xfId="4287" xr:uid="{00000000-0005-0000-0000-00007F100000}"/>
    <cellStyle name="Accent6 20" xfId="1886" xr:uid="{00000000-0005-0000-0000-000080100000}"/>
    <cellStyle name="Accent6 20 2" xfId="4288" xr:uid="{00000000-0005-0000-0000-000081100000}"/>
    <cellStyle name="Accent6 21" xfId="1887" xr:uid="{00000000-0005-0000-0000-000082100000}"/>
    <cellStyle name="Accent6 21 2" xfId="4289" xr:uid="{00000000-0005-0000-0000-000083100000}"/>
    <cellStyle name="Accent6 22" xfId="1888" xr:uid="{00000000-0005-0000-0000-000084100000}"/>
    <cellStyle name="Accent6 22 2" xfId="4290" xr:uid="{00000000-0005-0000-0000-000085100000}"/>
    <cellStyle name="Accent6 23" xfId="1889" xr:uid="{00000000-0005-0000-0000-000086100000}"/>
    <cellStyle name="Accent6 23 2" xfId="4291" xr:uid="{00000000-0005-0000-0000-000087100000}"/>
    <cellStyle name="Accent6 24" xfId="1890" xr:uid="{00000000-0005-0000-0000-000088100000}"/>
    <cellStyle name="Accent6 24 2" xfId="4292" xr:uid="{00000000-0005-0000-0000-000089100000}"/>
    <cellStyle name="Accent6 25" xfId="1891" xr:uid="{00000000-0005-0000-0000-00008A100000}"/>
    <cellStyle name="Accent6 25 2" xfId="4293" xr:uid="{00000000-0005-0000-0000-00008B100000}"/>
    <cellStyle name="Accent6 26" xfId="1892" xr:uid="{00000000-0005-0000-0000-00008C100000}"/>
    <cellStyle name="Accent6 26 2" xfId="4294" xr:uid="{00000000-0005-0000-0000-00008D100000}"/>
    <cellStyle name="Accent6 27" xfId="1893" xr:uid="{00000000-0005-0000-0000-00008E100000}"/>
    <cellStyle name="Accent6 27 2" xfId="4295" xr:uid="{00000000-0005-0000-0000-00008F100000}"/>
    <cellStyle name="Accent6 28" xfId="1894" xr:uid="{00000000-0005-0000-0000-000090100000}"/>
    <cellStyle name="Accent6 28 2" xfId="4296" xr:uid="{00000000-0005-0000-0000-000091100000}"/>
    <cellStyle name="Accent6 29" xfId="1895" xr:uid="{00000000-0005-0000-0000-000092100000}"/>
    <cellStyle name="Accent6 29 2" xfId="4297" xr:uid="{00000000-0005-0000-0000-000093100000}"/>
    <cellStyle name="Accent6 3" xfId="306" xr:uid="{00000000-0005-0000-0000-000094100000}"/>
    <cellStyle name="Accent6 3 2" xfId="1896" xr:uid="{00000000-0005-0000-0000-000095100000}"/>
    <cellStyle name="Accent6 3 3" xfId="4298" xr:uid="{00000000-0005-0000-0000-000096100000}"/>
    <cellStyle name="Accent6 30" xfId="1897" xr:uid="{00000000-0005-0000-0000-000097100000}"/>
    <cellStyle name="Accent6 30 2" xfId="4299" xr:uid="{00000000-0005-0000-0000-000098100000}"/>
    <cellStyle name="Accent6 31" xfId="1898" xr:uid="{00000000-0005-0000-0000-000099100000}"/>
    <cellStyle name="Accent6 31 2" xfId="4300" xr:uid="{00000000-0005-0000-0000-00009A100000}"/>
    <cellStyle name="Accent6 32" xfId="1899" xr:uid="{00000000-0005-0000-0000-00009B100000}"/>
    <cellStyle name="Accent6 32 2" xfId="4301" xr:uid="{00000000-0005-0000-0000-00009C100000}"/>
    <cellStyle name="Accent6 33" xfId="1900" xr:uid="{00000000-0005-0000-0000-00009D100000}"/>
    <cellStyle name="Accent6 33 2" xfId="4302" xr:uid="{00000000-0005-0000-0000-00009E100000}"/>
    <cellStyle name="Accent6 34" xfId="1901" xr:uid="{00000000-0005-0000-0000-00009F100000}"/>
    <cellStyle name="Accent6 34 2" xfId="4303" xr:uid="{00000000-0005-0000-0000-0000A0100000}"/>
    <cellStyle name="Accent6 35" xfId="1902" xr:uid="{00000000-0005-0000-0000-0000A1100000}"/>
    <cellStyle name="Accent6 35 2" xfId="4304" xr:uid="{00000000-0005-0000-0000-0000A2100000}"/>
    <cellStyle name="Accent6 36" xfId="1903" xr:uid="{00000000-0005-0000-0000-0000A3100000}"/>
    <cellStyle name="Accent6 36 2" xfId="4305" xr:uid="{00000000-0005-0000-0000-0000A4100000}"/>
    <cellStyle name="Accent6 37" xfId="1904" xr:uid="{00000000-0005-0000-0000-0000A5100000}"/>
    <cellStyle name="Accent6 37 2" xfId="4306" xr:uid="{00000000-0005-0000-0000-0000A6100000}"/>
    <cellStyle name="Accent6 38" xfId="1905" xr:uid="{00000000-0005-0000-0000-0000A7100000}"/>
    <cellStyle name="Accent6 38 2" xfId="4307" xr:uid="{00000000-0005-0000-0000-0000A8100000}"/>
    <cellStyle name="Accent6 39" xfId="1906" xr:uid="{00000000-0005-0000-0000-0000A9100000}"/>
    <cellStyle name="Accent6 39 2" xfId="4308" xr:uid="{00000000-0005-0000-0000-0000AA100000}"/>
    <cellStyle name="Accent6 4" xfId="307" xr:uid="{00000000-0005-0000-0000-0000AB100000}"/>
    <cellStyle name="Accent6 4 2" xfId="1907" xr:uid="{00000000-0005-0000-0000-0000AC100000}"/>
    <cellStyle name="Accent6 4 3" xfId="4309" xr:uid="{00000000-0005-0000-0000-0000AD100000}"/>
    <cellStyle name="Accent6 40" xfId="1908" xr:uid="{00000000-0005-0000-0000-0000AE100000}"/>
    <cellStyle name="Accent6 40 2" xfId="4310" xr:uid="{00000000-0005-0000-0000-0000AF100000}"/>
    <cellStyle name="Accent6 41" xfId="1909" xr:uid="{00000000-0005-0000-0000-0000B0100000}"/>
    <cellStyle name="Accent6 41 2" xfId="4311" xr:uid="{00000000-0005-0000-0000-0000B1100000}"/>
    <cellStyle name="Accent6 42" xfId="1910" xr:uid="{00000000-0005-0000-0000-0000B2100000}"/>
    <cellStyle name="Accent6 42 2" xfId="4312" xr:uid="{00000000-0005-0000-0000-0000B3100000}"/>
    <cellStyle name="Accent6 43" xfId="1911" xr:uid="{00000000-0005-0000-0000-0000B4100000}"/>
    <cellStyle name="Accent6 43 2" xfId="4313" xr:uid="{00000000-0005-0000-0000-0000B5100000}"/>
    <cellStyle name="Accent6 44" xfId="1912" xr:uid="{00000000-0005-0000-0000-0000B6100000}"/>
    <cellStyle name="Accent6 44 2" xfId="4314" xr:uid="{00000000-0005-0000-0000-0000B7100000}"/>
    <cellStyle name="Accent6 45" xfId="1913" xr:uid="{00000000-0005-0000-0000-0000B8100000}"/>
    <cellStyle name="Accent6 45 2" xfId="4315" xr:uid="{00000000-0005-0000-0000-0000B9100000}"/>
    <cellStyle name="Accent6 46" xfId="1914" xr:uid="{00000000-0005-0000-0000-0000BA100000}"/>
    <cellStyle name="Accent6 46 2" xfId="4316" xr:uid="{00000000-0005-0000-0000-0000BB100000}"/>
    <cellStyle name="Accent6 47" xfId="1915" xr:uid="{00000000-0005-0000-0000-0000BC100000}"/>
    <cellStyle name="Accent6 47 2" xfId="4317" xr:uid="{00000000-0005-0000-0000-0000BD100000}"/>
    <cellStyle name="Accent6 48" xfId="1916" xr:uid="{00000000-0005-0000-0000-0000BE100000}"/>
    <cellStyle name="Accent6 48 2" xfId="4318" xr:uid="{00000000-0005-0000-0000-0000BF100000}"/>
    <cellStyle name="Accent6 49" xfId="1917" xr:uid="{00000000-0005-0000-0000-0000C0100000}"/>
    <cellStyle name="Accent6 49 2" xfId="4319" xr:uid="{00000000-0005-0000-0000-0000C1100000}"/>
    <cellStyle name="Accent6 5" xfId="308" xr:uid="{00000000-0005-0000-0000-0000C2100000}"/>
    <cellStyle name="Accent6 5 2" xfId="1918" xr:uid="{00000000-0005-0000-0000-0000C3100000}"/>
    <cellStyle name="Accent6 5 3" xfId="4320" xr:uid="{00000000-0005-0000-0000-0000C4100000}"/>
    <cellStyle name="Accent6 50" xfId="1919" xr:uid="{00000000-0005-0000-0000-0000C5100000}"/>
    <cellStyle name="Accent6 50 2" xfId="4321" xr:uid="{00000000-0005-0000-0000-0000C6100000}"/>
    <cellStyle name="Accent6 51" xfId="1920" xr:uid="{00000000-0005-0000-0000-0000C7100000}"/>
    <cellStyle name="Accent6 51 2" xfId="4322" xr:uid="{00000000-0005-0000-0000-0000C8100000}"/>
    <cellStyle name="Accent6 52" xfId="1921" xr:uid="{00000000-0005-0000-0000-0000C9100000}"/>
    <cellStyle name="Accent6 52 2" xfId="4323" xr:uid="{00000000-0005-0000-0000-0000CA100000}"/>
    <cellStyle name="Accent6 53" xfId="1922" xr:uid="{00000000-0005-0000-0000-0000CB100000}"/>
    <cellStyle name="Accent6 53 2" xfId="4324" xr:uid="{00000000-0005-0000-0000-0000CC100000}"/>
    <cellStyle name="Accent6 54" xfId="1923" xr:uid="{00000000-0005-0000-0000-0000CD100000}"/>
    <cellStyle name="Accent6 54 2" xfId="4325" xr:uid="{00000000-0005-0000-0000-0000CE100000}"/>
    <cellStyle name="Accent6 55" xfId="1924" xr:uid="{00000000-0005-0000-0000-0000CF100000}"/>
    <cellStyle name="Accent6 55 2" xfId="4326" xr:uid="{00000000-0005-0000-0000-0000D0100000}"/>
    <cellStyle name="Accent6 56" xfId="1925" xr:uid="{00000000-0005-0000-0000-0000D1100000}"/>
    <cellStyle name="Accent6 56 2" xfId="4327" xr:uid="{00000000-0005-0000-0000-0000D2100000}"/>
    <cellStyle name="Accent6 57" xfId="1926" xr:uid="{00000000-0005-0000-0000-0000D3100000}"/>
    <cellStyle name="Accent6 57 2" xfId="4328" xr:uid="{00000000-0005-0000-0000-0000D4100000}"/>
    <cellStyle name="Accent6 58" xfId="1927" xr:uid="{00000000-0005-0000-0000-0000D5100000}"/>
    <cellStyle name="Accent6 58 2" xfId="4329" xr:uid="{00000000-0005-0000-0000-0000D6100000}"/>
    <cellStyle name="Accent6 59" xfId="1928" xr:uid="{00000000-0005-0000-0000-0000D7100000}"/>
    <cellStyle name="Accent6 59 2" xfId="4330" xr:uid="{00000000-0005-0000-0000-0000D8100000}"/>
    <cellStyle name="Accent6 6" xfId="309" xr:uid="{00000000-0005-0000-0000-0000D9100000}"/>
    <cellStyle name="Accent6 6 2" xfId="1929" xr:uid="{00000000-0005-0000-0000-0000DA100000}"/>
    <cellStyle name="Accent6 6 3" xfId="4331" xr:uid="{00000000-0005-0000-0000-0000DB100000}"/>
    <cellStyle name="Accent6 7" xfId="310" xr:uid="{00000000-0005-0000-0000-0000DC100000}"/>
    <cellStyle name="Accent6 7 2" xfId="1930" xr:uid="{00000000-0005-0000-0000-0000DD100000}"/>
    <cellStyle name="Accent6 7 3" xfId="4332" xr:uid="{00000000-0005-0000-0000-0000DE100000}"/>
    <cellStyle name="Accent6 8" xfId="311" xr:uid="{00000000-0005-0000-0000-0000DF100000}"/>
    <cellStyle name="Accent6 8 2" xfId="1931" xr:uid="{00000000-0005-0000-0000-0000E0100000}"/>
    <cellStyle name="Accent6 8 3" xfId="4333" xr:uid="{00000000-0005-0000-0000-0000E1100000}"/>
    <cellStyle name="Accent6 9" xfId="1932" xr:uid="{00000000-0005-0000-0000-0000E2100000}"/>
    <cellStyle name="Accent6 9 2" xfId="4334" xr:uid="{00000000-0005-0000-0000-0000E3100000}"/>
    <cellStyle name="Avertissement 10" xfId="1933" xr:uid="{00000000-0005-0000-0000-0000E4100000}"/>
    <cellStyle name="Avertissement 10 2" xfId="4335" xr:uid="{00000000-0005-0000-0000-0000E5100000}"/>
    <cellStyle name="Avertissement 11" xfId="1934" xr:uid="{00000000-0005-0000-0000-0000E6100000}"/>
    <cellStyle name="Avertissement 11 2" xfId="4336" xr:uid="{00000000-0005-0000-0000-0000E7100000}"/>
    <cellStyle name="Avertissement 12" xfId="1935" xr:uid="{00000000-0005-0000-0000-0000E8100000}"/>
    <cellStyle name="Avertissement 12 2" xfId="4337" xr:uid="{00000000-0005-0000-0000-0000E9100000}"/>
    <cellStyle name="Avertissement 13" xfId="1936" xr:uid="{00000000-0005-0000-0000-0000EA100000}"/>
    <cellStyle name="Avertissement 13 2" xfId="4338" xr:uid="{00000000-0005-0000-0000-0000EB100000}"/>
    <cellStyle name="Avertissement 14" xfId="1937" xr:uid="{00000000-0005-0000-0000-0000EC100000}"/>
    <cellStyle name="Avertissement 14 2" xfId="4339" xr:uid="{00000000-0005-0000-0000-0000ED100000}"/>
    <cellStyle name="Avertissement 15" xfId="1938" xr:uid="{00000000-0005-0000-0000-0000EE100000}"/>
    <cellStyle name="Avertissement 15 2" xfId="4340" xr:uid="{00000000-0005-0000-0000-0000EF100000}"/>
    <cellStyle name="Avertissement 16" xfId="1939" xr:uid="{00000000-0005-0000-0000-0000F0100000}"/>
    <cellStyle name="Avertissement 16 2" xfId="4341" xr:uid="{00000000-0005-0000-0000-0000F1100000}"/>
    <cellStyle name="Avertissement 17" xfId="1940" xr:uid="{00000000-0005-0000-0000-0000F2100000}"/>
    <cellStyle name="Avertissement 17 2" xfId="4342" xr:uid="{00000000-0005-0000-0000-0000F3100000}"/>
    <cellStyle name="Avertissement 18" xfId="1941" xr:uid="{00000000-0005-0000-0000-0000F4100000}"/>
    <cellStyle name="Avertissement 18 2" xfId="4343" xr:uid="{00000000-0005-0000-0000-0000F5100000}"/>
    <cellStyle name="Avertissement 19" xfId="1942" xr:uid="{00000000-0005-0000-0000-0000F6100000}"/>
    <cellStyle name="Avertissement 19 2" xfId="4344" xr:uid="{00000000-0005-0000-0000-0000F7100000}"/>
    <cellStyle name="Avertissement 2" xfId="29" xr:uid="{00000000-0005-0000-0000-0000F8100000}"/>
    <cellStyle name="Avertissement 2 2" xfId="1943" xr:uid="{00000000-0005-0000-0000-0000F9100000}"/>
    <cellStyle name="Avertissement 2 3" xfId="4345" xr:uid="{00000000-0005-0000-0000-0000FA100000}"/>
    <cellStyle name="Avertissement 20" xfId="1944" xr:uid="{00000000-0005-0000-0000-0000FB100000}"/>
    <cellStyle name="Avertissement 20 2" xfId="4346" xr:uid="{00000000-0005-0000-0000-0000FC100000}"/>
    <cellStyle name="Avertissement 21" xfId="1945" xr:uid="{00000000-0005-0000-0000-0000FD100000}"/>
    <cellStyle name="Avertissement 21 2" xfId="4347" xr:uid="{00000000-0005-0000-0000-0000FE100000}"/>
    <cellStyle name="Avertissement 22" xfId="1946" xr:uid="{00000000-0005-0000-0000-0000FF100000}"/>
    <cellStyle name="Avertissement 22 2" xfId="4348" xr:uid="{00000000-0005-0000-0000-000000110000}"/>
    <cellStyle name="Avertissement 23" xfId="1947" xr:uid="{00000000-0005-0000-0000-000001110000}"/>
    <cellStyle name="Avertissement 23 2" xfId="4349" xr:uid="{00000000-0005-0000-0000-000002110000}"/>
    <cellStyle name="Avertissement 24" xfId="1948" xr:uid="{00000000-0005-0000-0000-000003110000}"/>
    <cellStyle name="Avertissement 24 2" xfId="4350" xr:uid="{00000000-0005-0000-0000-000004110000}"/>
    <cellStyle name="Avertissement 25" xfId="1949" xr:uid="{00000000-0005-0000-0000-000005110000}"/>
    <cellStyle name="Avertissement 25 2" xfId="4351" xr:uid="{00000000-0005-0000-0000-000006110000}"/>
    <cellStyle name="Avertissement 26" xfId="1950" xr:uid="{00000000-0005-0000-0000-000007110000}"/>
    <cellStyle name="Avertissement 26 2" xfId="4352" xr:uid="{00000000-0005-0000-0000-000008110000}"/>
    <cellStyle name="Avertissement 27" xfId="1951" xr:uid="{00000000-0005-0000-0000-000009110000}"/>
    <cellStyle name="Avertissement 27 2" xfId="4353" xr:uid="{00000000-0005-0000-0000-00000A110000}"/>
    <cellStyle name="Avertissement 28" xfId="1952" xr:uid="{00000000-0005-0000-0000-00000B110000}"/>
    <cellStyle name="Avertissement 28 2" xfId="4354" xr:uid="{00000000-0005-0000-0000-00000C110000}"/>
    <cellStyle name="Avertissement 29" xfId="1953" xr:uid="{00000000-0005-0000-0000-00000D110000}"/>
    <cellStyle name="Avertissement 29 2" xfId="4355" xr:uid="{00000000-0005-0000-0000-00000E110000}"/>
    <cellStyle name="Avertissement 3" xfId="312" xr:uid="{00000000-0005-0000-0000-00000F110000}"/>
    <cellStyle name="Avertissement 3 2" xfId="1954" xr:uid="{00000000-0005-0000-0000-000010110000}"/>
    <cellStyle name="Avertissement 3 3" xfId="4356" xr:uid="{00000000-0005-0000-0000-000011110000}"/>
    <cellStyle name="Avertissement 30" xfId="1955" xr:uid="{00000000-0005-0000-0000-000012110000}"/>
    <cellStyle name="Avertissement 30 2" xfId="4357" xr:uid="{00000000-0005-0000-0000-000013110000}"/>
    <cellStyle name="Avertissement 31" xfId="1956" xr:uid="{00000000-0005-0000-0000-000014110000}"/>
    <cellStyle name="Avertissement 31 2" xfId="4358" xr:uid="{00000000-0005-0000-0000-000015110000}"/>
    <cellStyle name="Avertissement 32" xfId="1957" xr:uid="{00000000-0005-0000-0000-000016110000}"/>
    <cellStyle name="Avertissement 32 2" xfId="4359" xr:uid="{00000000-0005-0000-0000-000017110000}"/>
    <cellStyle name="Avertissement 33" xfId="1958" xr:uid="{00000000-0005-0000-0000-000018110000}"/>
    <cellStyle name="Avertissement 33 2" xfId="4360" xr:uid="{00000000-0005-0000-0000-000019110000}"/>
    <cellStyle name="Avertissement 34" xfId="1959" xr:uid="{00000000-0005-0000-0000-00001A110000}"/>
    <cellStyle name="Avertissement 34 2" xfId="4361" xr:uid="{00000000-0005-0000-0000-00001B110000}"/>
    <cellStyle name="Avertissement 35" xfId="1960" xr:uid="{00000000-0005-0000-0000-00001C110000}"/>
    <cellStyle name="Avertissement 35 2" xfId="4362" xr:uid="{00000000-0005-0000-0000-00001D110000}"/>
    <cellStyle name="Avertissement 36" xfId="1961" xr:uid="{00000000-0005-0000-0000-00001E110000}"/>
    <cellStyle name="Avertissement 36 2" xfId="4363" xr:uid="{00000000-0005-0000-0000-00001F110000}"/>
    <cellStyle name="Avertissement 37" xfId="1962" xr:uid="{00000000-0005-0000-0000-000020110000}"/>
    <cellStyle name="Avertissement 37 2" xfId="4364" xr:uid="{00000000-0005-0000-0000-000021110000}"/>
    <cellStyle name="Avertissement 38" xfId="1963" xr:uid="{00000000-0005-0000-0000-000022110000}"/>
    <cellStyle name="Avertissement 38 2" xfId="4365" xr:uid="{00000000-0005-0000-0000-000023110000}"/>
    <cellStyle name="Avertissement 39" xfId="1964" xr:uid="{00000000-0005-0000-0000-000024110000}"/>
    <cellStyle name="Avertissement 39 2" xfId="4366" xr:uid="{00000000-0005-0000-0000-000025110000}"/>
    <cellStyle name="Avertissement 4" xfId="313" xr:uid="{00000000-0005-0000-0000-000026110000}"/>
    <cellStyle name="Avertissement 4 2" xfId="1965" xr:uid="{00000000-0005-0000-0000-000027110000}"/>
    <cellStyle name="Avertissement 4 3" xfId="4367" xr:uid="{00000000-0005-0000-0000-000028110000}"/>
    <cellStyle name="Avertissement 40" xfId="1966" xr:uid="{00000000-0005-0000-0000-000029110000}"/>
    <cellStyle name="Avertissement 40 2" xfId="4368" xr:uid="{00000000-0005-0000-0000-00002A110000}"/>
    <cellStyle name="Avertissement 41" xfId="1967" xr:uid="{00000000-0005-0000-0000-00002B110000}"/>
    <cellStyle name="Avertissement 41 2" xfId="4369" xr:uid="{00000000-0005-0000-0000-00002C110000}"/>
    <cellStyle name="Avertissement 42" xfId="1968" xr:uid="{00000000-0005-0000-0000-00002D110000}"/>
    <cellStyle name="Avertissement 42 2" xfId="4370" xr:uid="{00000000-0005-0000-0000-00002E110000}"/>
    <cellStyle name="Avertissement 43" xfId="1969" xr:uid="{00000000-0005-0000-0000-00002F110000}"/>
    <cellStyle name="Avertissement 43 2" xfId="4371" xr:uid="{00000000-0005-0000-0000-000030110000}"/>
    <cellStyle name="Avertissement 44" xfId="1970" xr:uid="{00000000-0005-0000-0000-000031110000}"/>
    <cellStyle name="Avertissement 44 2" xfId="4372" xr:uid="{00000000-0005-0000-0000-000032110000}"/>
    <cellStyle name="Avertissement 45" xfId="1971" xr:uid="{00000000-0005-0000-0000-000033110000}"/>
    <cellStyle name="Avertissement 45 2" xfId="4373" xr:uid="{00000000-0005-0000-0000-000034110000}"/>
    <cellStyle name="Avertissement 46" xfId="1972" xr:uid="{00000000-0005-0000-0000-000035110000}"/>
    <cellStyle name="Avertissement 46 2" xfId="4374" xr:uid="{00000000-0005-0000-0000-000036110000}"/>
    <cellStyle name="Avertissement 47" xfId="1973" xr:uid="{00000000-0005-0000-0000-000037110000}"/>
    <cellStyle name="Avertissement 47 2" xfId="4375" xr:uid="{00000000-0005-0000-0000-000038110000}"/>
    <cellStyle name="Avertissement 48" xfId="1974" xr:uid="{00000000-0005-0000-0000-000039110000}"/>
    <cellStyle name="Avertissement 48 2" xfId="4376" xr:uid="{00000000-0005-0000-0000-00003A110000}"/>
    <cellStyle name="Avertissement 49" xfId="1975" xr:uid="{00000000-0005-0000-0000-00003B110000}"/>
    <cellStyle name="Avertissement 49 2" xfId="4377" xr:uid="{00000000-0005-0000-0000-00003C110000}"/>
    <cellStyle name="Avertissement 5" xfId="314" xr:uid="{00000000-0005-0000-0000-00003D110000}"/>
    <cellStyle name="Avertissement 5 2" xfId="1976" xr:uid="{00000000-0005-0000-0000-00003E110000}"/>
    <cellStyle name="Avertissement 5 3" xfId="4378" xr:uid="{00000000-0005-0000-0000-00003F110000}"/>
    <cellStyle name="Avertissement 50" xfId="1977" xr:uid="{00000000-0005-0000-0000-000040110000}"/>
    <cellStyle name="Avertissement 50 2" xfId="4379" xr:uid="{00000000-0005-0000-0000-000041110000}"/>
    <cellStyle name="Avertissement 51" xfId="1978" xr:uid="{00000000-0005-0000-0000-000042110000}"/>
    <cellStyle name="Avertissement 51 2" xfId="4380" xr:uid="{00000000-0005-0000-0000-000043110000}"/>
    <cellStyle name="Avertissement 52" xfId="1979" xr:uid="{00000000-0005-0000-0000-000044110000}"/>
    <cellStyle name="Avertissement 52 2" xfId="4381" xr:uid="{00000000-0005-0000-0000-000045110000}"/>
    <cellStyle name="Avertissement 53" xfId="1980" xr:uid="{00000000-0005-0000-0000-000046110000}"/>
    <cellStyle name="Avertissement 53 2" xfId="4382" xr:uid="{00000000-0005-0000-0000-000047110000}"/>
    <cellStyle name="Avertissement 54" xfId="1981" xr:uid="{00000000-0005-0000-0000-000048110000}"/>
    <cellStyle name="Avertissement 54 2" xfId="4383" xr:uid="{00000000-0005-0000-0000-000049110000}"/>
    <cellStyle name="Avertissement 55" xfId="1982" xr:uid="{00000000-0005-0000-0000-00004A110000}"/>
    <cellStyle name="Avertissement 55 2" xfId="4384" xr:uid="{00000000-0005-0000-0000-00004B110000}"/>
    <cellStyle name="Avertissement 56" xfId="1983" xr:uid="{00000000-0005-0000-0000-00004C110000}"/>
    <cellStyle name="Avertissement 56 2" xfId="4385" xr:uid="{00000000-0005-0000-0000-00004D110000}"/>
    <cellStyle name="Avertissement 57" xfId="1984" xr:uid="{00000000-0005-0000-0000-00004E110000}"/>
    <cellStyle name="Avertissement 57 2" xfId="4386" xr:uid="{00000000-0005-0000-0000-00004F110000}"/>
    <cellStyle name="Avertissement 58" xfId="1985" xr:uid="{00000000-0005-0000-0000-000050110000}"/>
    <cellStyle name="Avertissement 58 2" xfId="4387" xr:uid="{00000000-0005-0000-0000-000051110000}"/>
    <cellStyle name="Avertissement 59" xfId="1986" xr:uid="{00000000-0005-0000-0000-000052110000}"/>
    <cellStyle name="Avertissement 59 2" xfId="4388" xr:uid="{00000000-0005-0000-0000-000053110000}"/>
    <cellStyle name="Avertissement 6" xfId="315" xr:uid="{00000000-0005-0000-0000-000054110000}"/>
    <cellStyle name="Avertissement 6 2" xfId="1987" xr:uid="{00000000-0005-0000-0000-000055110000}"/>
    <cellStyle name="Avertissement 6 3" xfId="4389" xr:uid="{00000000-0005-0000-0000-000056110000}"/>
    <cellStyle name="Avertissement 7" xfId="316" xr:uid="{00000000-0005-0000-0000-000057110000}"/>
    <cellStyle name="Avertissement 7 2" xfId="1988" xr:uid="{00000000-0005-0000-0000-000058110000}"/>
    <cellStyle name="Avertissement 7 3" xfId="4390" xr:uid="{00000000-0005-0000-0000-000059110000}"/>
    <cellStyle name="Avertissement 8" xfId="317" xr:uid="{00000000-0005-0000-0000-00005A110000}"/>
    <cellStyle name="Avertissement 8 2" xfId="1989" xr:uid="{00000000-0005-0000-0000-00005B110000}"/>
    <cellStyle name="Avertissement 8 3" xfId="4391" xr:uid="{00000000-0005-0000-0000-00005C110000}"/>
    <cellStyle name="Avertissement 9" xfId="1990" xr:uid="{00000000-0005-0000-0000-00005D110000}"/>
    <cellStyle name="Avertissement 9 2" xfId="4392" xr:uid="{00000000-0005-0000-0000-00005E110000}"/>
    <cellStyle name="Calcul 10" xfId="1991" xr:uid="{00000000-0005-0000-0000-00005F110000}"/>
    <cellStyle name="Calcul 10 2" xfId="4393" xr:uid="{00000000-0005-0000-0000-000060110000}"/>
    <cellStyle name="Calcul 11" xfId="1992" xr:uid="{00000000-0005-0000-0000-000061110000}"/>
    <cellStyle name="Calcul 11 2" xfId="4394" xr:uid="{00000000-0005-0000-0000-000062110000}"/>
    <cellStyle name="Calcul 12" xfId="1993" xr:uid="{00000000-0005-0000-0000-000063110000}"/>
    <cellStyle name="Calcul 12 2" xfId="4395" xr:uid="{00000000-0005-0000-0000-000064110000}"/>
    <cellStyle name="Calcul 13" xfId="1994" xr:uid="{00000000-0005-0000-0000-000065110000}"/>
    <cellStyle name="Calcul 13 2" xfId="4396" xr:uid="{00000000-0005-0000-0000-000066110000}"/>
    <cellStyle name="Calcul 14" xfId="1995" xr:uid="{00000000-0005-0000-0000-000067110000}"/>
    <cellStyle name="Calcul 14 2" xfId="4397" xr:uid="{00000000-0005-0000-0000-000068110000}"/>
    <cellStyle name="Calcul 15" xfId="1996" xr:uid="{00000000-0005-0000-0000-000069110000}"/>
    <cellStyle name="Calcul 15 2" xfId="4398" xr:uid="{00000000-0005-0000-0000-00006A110000}"/>
    <cellStyle name="Calcul 16" xfId="1997" xr:uid="{00000000-0005-0000-0000-00006B110000}"/>
    <cellStyle name="Calcul 16 2" xfId="4399" xr:uid="{00000000-0005-0000-0000-00006C110000}"/>
    <cellStyle name="Calcul 17" xfId="1998" xr:uid="{00000000-0005-0000-0000-00006D110000}"/>
    <cellStyle name="Calcul 17 2" xfId="4400" xr:uid="{00000000-0005-0000-0000-00006E110000}"/>
    <cellStyle name="Calcul 18" xfId="1999" xr:uid="{00000000-0005-0000-0000-00006F110000}"/>
    <cellStyle name="Calcul 18 2" xfId="4401" xr:uid="{00000000-0005-0000-0000-000070110000}"/>
    <cellStyle name="Calcul 19" xfId="2000" xr:uid="{00000000-0005-0000-0000-000071110000}"/>
    <cellStyle name="Calcul 19 2" xfId="4402" xr:uid="{00000000-0005-0000-0000-000072110000}"/>
    <cellStyle name="Calcul 2" xfId="30" xr:uid="{00000000-0005-0000-0000-000073110000}"/>
    <cellStyle name="Calcul 2 2" xfId="2001" xr:uid="{00000000-0005-0000-0000-000074110000}"/>
    <cellStyle name="Calcul 2 3" xfId="4403" xr:uid="{00000000-0005-0000-0000-000075110000}"/>
    <cellStyle name="Calcul 20" xfId="2002" xr:uid="{00000000-0005-0000-0000-000076110000}"/>
    <cellStyle name="Calcul 20 2" xfId="4404" xr:uid="{00000000-0005-0000-0000-000077110000}"/>
    <cellStyle name="Calcul 21" xfId="2003" xr:uid="{00000000-0005-0000-0000-000078110000}"/>
    <cellStyle name="Calcul 21 2" xfId="4405" xr:uid="{00000000-0005-0000-0000-000079110000}"/>
    <cellStyle name="Calcul 22" xfId="2004" xr:uid="{00000000-0005-0000-0000-00007A110000}"/>
    <cellStyle name="Calcul 22 2" xfId="4406" xr:uid="{00000000-0005-0000-0000-00007B110000}"/>
    <cellStyle name="Calcul 23" xfId="2005" xr:uid="{00000000-0005-0000-0000-00007C110000}"/>
    <cellStyle name="Calcul 23 2" xfId="4407" xr:uid="{00000000-0005-0000-0000-00007D110000}"/>
    <cellStyle name="Calcul 24" xfId="2006" xr:uid="{00000000-0005-0000-0000-00007E110000}"/>
    <cellStyle name="Calcul 24 2" xfId="4408" xr:uid="{00000000-0005-0000-0000-00007F110000}"/>
    <cellStyle name="Calcul 25" xfId="2007" xr:uid="{00000000-0005-0000-0000-000080110000}"/>
    <cellStyle name="Calcul 25 2" xfId="4409" xr:uid="{00000000-0005-0000-0000-000081110000}"/>
    <cellStyle name="Calcul 26" xfId="2008" xr:uid="{00000000-0005-0000-0000-000082110000}"/>
    <cellStyle name="Calcul 26 2" xfId="4410" xr:uid="{00000000-0005-0000-0000-000083110000}"/>
    <cellStyle name="Calcul 27" xfId="2009" xr:uid="{00000000-0005-0000-0000-000084110000}"/>
    <cellStyle name="Calcul 27 2" xfId="4411" xr:uid="{00000000-0005-0000-0000-000085110000}"/>
    <cellStyle name="Calcul 28" xfId="2010" xr:uid="{00000000-0005-0000-0000-000086110000}"/>
    <cellStyle name="Calcul 28 2" xfId="4412" xr:uid="{00000000-0005-0000-0000-000087110000}"/>
    <cellStyle name="Calcul 29" xfId="2011" xr:uid="{00000000-0005-0000-0000-000088110000}"/>
    <cellStyle name="Calcul 29 2" xfId="4413" xr:uid="{00000000-0005-0000-0000-000089110000}"/>
    <cellStyle name="Calcul 3" xfId="318" xr:uid="{00000000-0005-0000-0000-00008A110000}"/>
    <cellStyle name="Calcul 3 2" xfId="2012" xr:uid="{00000000-0005-0000-0000-00008B110000}"/>
    <cellStyle name="Calcul 3 3" xfId="4414" xr:uid="{00000000-0005-0000-0000-00008C110000}"/>
    <cellStyle name="Calcul 30" xfId="2013" xr:uid="{00000000-0005-0000-0000-00008D110000}"/>
    <cellStyle name="Calcul 30 2" xfId="4415" xr:uid="{00000000-0005-0000-0000-00008E110000}"/>
    <cellStyle name="Calcul 31" xfId="2014" xr:uid="{00000000-0005-0000-0000-00008F110000}"/>
    <cellStyle name="Calcul 31 2" xfId="4416" xr:uid="{00000000-0005-0000-0000-000090110000}"/>
    <cellStyle name="Calcul 32" xfId="2015" xr:uid="{00000000-0005-0000-0000-000091110000}"/>
    <cellStyle name="Calcul 32 2" xfId="4417" xr:uid="{00000000-0005-0000-0000-000092110000}"/>
    <cellStyle name="Calcul 33" xfId="2016" xr:uid="{00000000-0005-0000-0000-000093110000}"/>
    <cellStyle name="Calcul 33 2" xfId="4418" xr:uid="{00000000-0005-0000-0000-000094110000}"/>
    <cellStyle name="Calcul 34" xfId="2017" xr:uid="{00000000-0005-0000-0000-000095110000}"/>
    <cellStyle name="Calcul 34 2" xfId="4419" xr:uid="{00000000-0005-0000-0000-000096110000}"/>
    <cellStyle name="Calcul 35" xfId="2018" xr:uid="{00000000-0005-0000-0000-000097110000}"/>
    <cellStyle name="Calcul 35 2" xfId="4420" xr:uid="{00000000-0005-0000-0000-000098110000}"/>
    <cellStyle name="Calcul 36" xfId="2019" xr:uid="{00000000-0005-0000-0000-000099110000}"/>
    <cellStyle name="Calcul 36 2" xfId="4421" xr:uid="{00000000-0005-0000-0000-00009A110000}"/>
    <cellStyle name="Calcul 37" xfId="2020" xr:uid="{00000000-0005-0000-0000-00009B110000}"/>
    <cellStyle name="Calcul 37 2" xfId="4422" xr:uid="{00000000-0005-0000-0000-00009C110000}"/>
    <cellStyle name="Calcul 38" xfId="2021" xr:uid="{00000000-0005-0000-0000-00009D110000}"/>
    <cellStyle name="Calcul 38 2" xfId="4423" xr:uid="{00000000-0005-0000-0000-00009E110000}"/>
    <cellStyle name="Calcul 39" xfId="2022" xr:uid="{00000000-0005-0000-0000-00009F110000}"/>
    <cellStyle name="Calcul 39 2" xfId="4424" xr:uid="{00000000-0005-0000-0000-0000A0110000}"/>
    <cellStyle name="Calcul 4" xfId="319" xr:uid="{00000000-0005-0000-0000-0000A1110000}"/>
    <cellStyle name="Calcul 4 2" xfId="2023" xr:uid="{00000000-0005-0000-0000-0000A2110000}"/>
    <cellStyle name="Calcul 4 3" xfId="4425" xr:uid="{00000000-0005-0000-0000-0000A3110000}"/>
    <cellStyle name="Calcul 40" xfId="2024" xr:uid="{00000000-0005-0000-0000-0000A4110000}"/>
    <cellStyle name="Calcul 40 2" xfId="4426" xr:uid="{00000000-0005-0000-0000-0000A5110000}"/>
    <cellStyle name="Calcul 41" xfId="2025" xr:uid="{00000000-0005-0000-0000-0000A6110000}"/>
    <cellStyle name="Calcul 41 2" xfId="4427" xr:uid="{00000000-0005-0000-0000-0000A7110000}"/>
    <cellStyle name="Calcul 42" xfId="2026" xr:uid="{00000000-0005-0000-0000-0000A8110000}"/>
    <cellStyle name="Calcul 42 2" xfId="4428" xr:uid="{00000000-0005-0000-0000-0000A9110000}"/>
    <cellStyle name="Calcul 43" xfId="2027" xr:uid="{00000000-0005-0000-0000-0000AA110000}"/>
    <cellStyle name="Calcul 43 2" xfId="4429" xr:uid="{00000000-0005-0000-0000-0000AB110000}"/>
    <cellStyle name="Calcul 44" xfId="2028" xr:uid="{00000000-0005-0000-0000-0000AC110000}"/>
    <cellStyle name="Calcul 44 2" xfId="4430" xr:uid="{00000000-0005-0000-0000-0000AD110000}"/>
    <cellStyle name="Calcul 45" xfId="2029" xr:uid="{00000000-0005-0000-0000-0000AE110000}"/>
    <cellStyle name="Calcul 45 2" xfId="4431" xr:uid="{00000000-0005-0000-0000-0000AF110000}"/>
    <cellStyle name="Calcul 46" xfId="2030" xr:uid="{00000000-0005-0000-0000-0000B0110000}"/>
    <cellStyle name="Calcul 46 2" xfId="4432" xr:uid="{00000000-0005-0000-0000-0000B1110000}"/>
    <cellStyle name="Calcul 47" xfId="2031" xr:uid="{00000000-0005-0000-0000-0000B2110000}"/>
    <cellStyle name="Calcul 47 2" xfId="4433" xr:uid="{00000000-0005-0000-0000-0000B3110000}"/>
    <cellStyle name="Calcul 48" xfId="2032" xr:uid="{00000000-0005-0000-0000-0000B4110000}"/>
    <cellStyle name="Calcul 48 2" xfId="4434" xr:uid="{00000000-0005-0000-0000-0000B5110000}"/>
    <cellStyle name="Calcul 49" xfId="2033" xr:uid="{00000000-0005-0000-0000-0000B6110000}"/>
    <cellStyle name="Calcul 49 2" xfId="4435" xr:uid="{00000000-0005-0000-0000-0000B7110000}"/>
    <cellStyle name="Calcul 5" xfId="320" xr:uid="{00000000-0005-0000-0000-0000B8110000}"/>
    <cellStyle name="Calcul 5 2" xfId="2034" xr:uid="{00000000-0005-0000-0000-0000B9110000}"/>
    <cellStyle name="Calcul 5 3" xfId="4436" xr:uid="{00000000-0005-0000-0000-0000BA110000}"/>
    <cellStyle name="Calcul 50" xfId="2035" xr:uid="{00000000-0005-0000-0000-0000BB110000}"/>
    <cellStyle name="Calcul 50 2" xfId="4437" xr:uid="{00000000-0005-0000-0000-0000BC110000}"/>
    <cellStyle name="Calcul 51" xfId="2036" xr:uid="{00000000-0005-0000-0000-0000BD110000}"/>
    <cellStyle name="Calcul 51 2" xfId="4438" xr:uid="{00000000-0005-0000-0000-0000BE110000}"/>
    <cellStyle name="Calcul 52" xfId="2037" xr:uid="{00000000-0005-0000-0000-0000BF110000}"/>
    <cellStyle name="Calcul 52 2" xfId="4439" xr:uid="{00000000-0005-0000-0000-0000C0110000}"/>
    <cellStyle name="Calcul 53" xfId="2038" xr:uid="{00000000-0005-0000-0000-0000C1110000}"/>
    <cellStyle name="Calcul 53 2" xfId="4440" xr:uid="{00000000-0005-0000-0000-0000C2110000}"/>
    <cellStyle name="Calcul 54" xfId="2039" xr:uid="{00000000-0005-0000-0000-0000C3110000}"/>
    <cellStyle name="Calcul 54 2" xfId="4441" xr:uid="{00000000-0005-0000-0000-0000C4110000}"/>
    <cellStyle name="Calcul 55" xfId="2040" xr:uid="{00000000-0005-0000-0000-0000C5110000}"/>
    <cellStyle name="Calcul 55 2" xfId="4442" xr:uid="{00000000-0005-0000-0000-0000C6110000}"/>
    <cellStyle name="Calcul 56" xfId="2041" xr:uid="{00000000-0005-0000-0000-0000C7110000}"/>
    <cellStyle name="Calcul 56 2" xfId="4443" xr:uid="{00000000-0005-0000-0000-0000C8110000}"/>
    <cellStyle name="Calcul 57" xfId="2042" xr:uid="{00000000-0005-0000-0000-0000C9110000}"/>
    <cellStyle name="Calcul 57 2" xfId="4444" xr:uid="{00000000-0005-0000-0000-0000CA110000}"/>
    <cellStyle name="Calcul 58" xfId="2043" xr:uid="{00000000-0005-0000-0000-0000CB110000}"/>
    <cellStyle name="Calcul 58 2" xfId="4445" xr:uid="{00000000-0005-0000-0000-0000CC110000}"/>
    <cellStyle name="Calcul 59" xfId="2044" xr:uid="{00000000-0005-0000-0000-0000CD110000}"/>
    <cellStyle name="Calcul 59 2" xfId="4446" xr:uid="{00000000-0005-0000-0000-0000CE110000}"/>
    <cellStyle name="Calcul 6" xfId="321" xr:uid="{00000000-0005-0000-0000-0000CF110000}"/>
    <cellStyle name="Calcul 6 2" xfId="2045" xr:uid="{00000000-0005-0000-0000-0000D0110000}"/>
    <cellStyle name="Calcul 6 3" xfId="4447" xr:uid="{00000000-0005-0000-0000-0000D1110000}"/>
    <cellStyle name="Calcul 7" xfId="322" xr:uid="{00000000-0005-0000-0000-0000D2110000}"/>
    <cellStyle name="Calcul 7 2" xfId="2046" xr:uid="{00000000-0005-0000-0000-0000D3110000}"/>
    <cellStyle name="Calcul 7 3" xfId="4448" xr:uid="{00000000-0005-0000-0000-0000D4110000}"/>
    <cellStyle name="Calcul 8" xfId="323" xr:uid="{00000000-0005-0000-0000-0000D5110000}"/>
    <cellStyle name="Calcul 8 2" xfId="2047" xr:uid="{00000000-0005-0000-0000-0000D6110000}"/>
    <cellStyle name="Calcul 8 3" xfId="4449" xr:uid="{00000000-0005-0000-0000-0000D7110000}"/>
    <cellStyle name="Calcul 9" xfId="2048" xr:uid="{00000000-0005-0000-0000-0000D8110000}"/>
    <cellStyle name="Calcul 9 2" xfId="4450" xr:uid="{00000000-0005-0000-0000-0000D9110000}"/>
    <cellStyle name="Cellule liée 10" xfId="2049" xr:uid="{00000000-0005-0000-0000-0000DA110000}"/>
    <cellStyle name="Cellule liée 10 2" xfId="4451" xr:uid="{00000000-0005-0000-0000-0000DB110000}"/>
    <cellStyle name="Cellule liée 11" xfId="2050" xr:uid="{00000000-0005-0000-0000-0000DC110000}"/>
    <cellStyle name="Cellule liée 11 2" xfId="4452" xr:uid="{00000000-0005-0000-0000-0000DD110000}"/>
    <cellStyle name="Cellule liée 12" xfId="2051" xr:uid="{00000000-0005-0000-0000-0000DE110000}"/>
    <cellStyle name="Cellule liée 12 2" xfId="4453" xr:uid="{00000000-0005-0000-0000-0000DF110000}"/>
    <cellStyle name="Cellule liée 13" xfId="2052" xr:uid="{00000000-0005-0000-0000-0000E0110000}"/>
    <cellStyle name="Cellule liée 13 2" xfId="4454" xr:uid="{00000000-0005-0000-0000-0000E1110000}"/>
    <cellStyle name="Cellule liée 14" xfId="2053" xr:uid="{00000000-0005-0000-0000-0000E2110000}"/>
    <cellStyle name="Cellule liée 14 2" xfId="4455" xr:uid="{00000000-0005-0000-0000-0000E3110000}"/>
    <cellStyle name="Cellule liée 15" xfId="2054" xr:uid="{00000000-0005-0000-0000-0000E4110000}"/>
    <cellStyle name="Cellule liée 15 2" xfId="4456" xr:uid="{00000000-0005-0000-0000-0000E5110000}"/>
    <cellStyle name="Cellule liée 16" xfId="2055" xr:uid="{00000000-0005-0000-0000-0000E6110000}"/>
    <cellStyle name="Cellule liée 16 2" xfId="4457" xr:uid="{00000000-0005-0000-0000-0000E7110000}"/>
    <cellStyle name="Cellule liée 17" xfId="2056" xr:uid="{00000000-0005-0000-0000-0000E8110000}"/>
    <cellStyle name="Cellule liée 17 2" xfId="4458" xr:uid="{00000000-0005-0000-0000-0000E9110000}"/>
    <cellStyle name="Cellule liée 18" xfId="2057" xr:uid="{00000000-0005-0000-0000-0000EA110000}"/>
    <cellStyle name="Cellule liée 18 2" xfId="4459" xr:uid="{00000000-0005-0000-0000-0000EB110000}"/>
    <cellStyle name="Cellule liée 19" xfId="2058" xr:uid="{00000000-0005-0000-0000-0000EC110000}"/>
    <cellStyle name="Cellule liée 19 2" xfId="4460" xr:uid="{00000000-0005-0000-0000-0000ED110000}"/>
    <cellStyle name="Cellule liée 2" xfId="31" xr:uid="{00000000-0005-0000-0000-0000EE110000}"/>
    <cellStyle name="Cellule liée 2 2" xfId="2059" xr:uid="{00000000-0005-0000-0000-0000EF110000}"/>
    <cellStyle name="Cellule liée 2 3" xfId="4461" xr:uid="{00000000-0005-0000-0000-0000F0110000}"/>
    <cellStyle name="Cellule liée 20" xfId="2060" xr:uid="{00000000-0005-0000-0000-0000F1110000}"/>
    <cellStyle name="Cellule liée 20 2" xfId="4462" xr:uid="{00000000-0005-0000-0000-0000F2110000}"/>
    <cellStyle name="Cellule liée 21" xfId="2061" xr:uid="{00000000-0005-0000-0000-0000F3110000}"/>
    <cellStyle name="Cellule liée 21 2" xfId="4463" xr:uid="{00000000-0005-0000-0000-0000F4110000}"/>
    <cellStyle name="Cellule liée 22" xfId="2062" xr:uid="{00000000-0005-0000-0000-0000F5110000}"/>
    <cellStyle name="Cellule liée 22 2" xfId="4464" xr:uid="{00000000-0005-0000-0000-0000F6110000}"/>
    <cellStyle name="Cellule liée 23" xfId="2063" xr:uid="{00000000-0005-0000-0000-0000F7110000}"/>
    <cellStyle name="Cellule liée 23 2" xfId="4465" xr:uid="{00000000-0005-0000-0000-0000F8110000}"/>
    <cellStyle name="Cellule liée 24" xfId="2064" xr:uid="{00000000-0005-0000-0000-0000F9110000}"/>
    <cellStyle name="Cellule liée 24 2" xfId="4466" xr:uid="{00000000-0005-0000-0000-0000FA110000}"/>
    <cellStyle name="Cellule liée 25" xfId="2065" xr:uid="{00000000-0005-0000-0000-0000FB110000}"/>
    <cellStyle name="Cellule liée 25 2" xfId="4467" xr:uid="{00000000-0005-0000-0000-0000FC110000}"/>
    <cellStyle name="Cellule liée 26" xfId="2066" xr:uid="{00000000-0005-0000-0000-0000FD110000}"/>
    <cellStyle name="Cellule liée 26 2" xfId="4468" xr:uid="{00000000-0005-0000-0000-0000FE110000}"/>
    <cellStyle name="Cellule liée 27" xfId="2067" xr:uid="{00000000-0005-0000-0000-0000FF110000}"/>
    <cellStyle name="Cellule liée 27 2" xfId="4469" xr:uid="{00000000-0005-0000-0000-000000120000}"/>
    <cellStyle name="Cellule liée 28" xfId="2068" xr:uid="{00000000-0005-0000-0000-000001120000}"/>
    <cellStyle name="Cellule liée 28 2" xfId="4470" xr:uid="{00000000-0005-0000-0000-000002120000}"/>
    <cellStyle name="Cellule liée 29" xfId="2069" xr:uid="{00000000-0005-0000-0000-000003120000}"/>
    <cellStyle name="Cellule liée 29 2" xfId="4471" xr:uid="{00000000-0005-0000-0000-000004120000}"/>
    <cellStyle name="Cellule liée 3" xfId="324" xr:uid="{00000000-0005-0000-0000-000005120000}"/>
    <cellStyle name="Cellule liée 3 2" xfId="2070" xr:uid="{00000000-0005-0000-0000-000006120000}"/>
    <cellStyle name="Cellule liée 3 3" xfId="4472" xr:uid="{00000000-0005-0000-0000-000007120000}"/>
    <cellStyle name="Cellule liée 30" xfId="2071" xr:uid="{00000000-0005-0000-0000-000008120000}"/>
    <cellStyle name="Cellule liée 30 2" xfId="4473" xr:uid="{00000000-0005-0000-0000-000009120000}"/>
    <cellStyle name="Cellule liée 31" xfId="2072" xr:uid="{00000000-0005-0000-0000-00000A120000}"/>
    <cellStyle name="Cellule liée 31 2" xfId="4474" xr:uid="{00000000-0005-0000-0000-00000B120000}"/>
    <cellStyle name="Cellule liée 32" xfId="2073" xr:uid="{00000000-0005-0000-0000-00000C120000}"/>
    <cellStyle name="Cellule liée 32 2" xfId="4475" xr:uid="{00000000-0005-0000-0000-00000D120000}"/>
    <cellStyle name="Cellule liée 33" xfId="2074" xr:uid="{00000000-0005-0000-0000-00000E120000}"/>
    <cellStyle name="Cellule liée 33 2" xfId="4476" xr:uid="{00000000-0005-0000-0000-00000F120000}"/>
    <cellStyle name="Cellule liée 34" xfId="2075" xr:uid="{00000000-0005-0000-0000-000010120000}"/>
    <cellStyle name="Cellule liée 34 2" xfId="4477" xr:uid="{00000000-0005-0000-0000-000011120000}"/>
    <cellStyle name="Cellule liée 35" xfId="2076" xr:uid="{00000000-0005-0000-0000-000012120000}"/>
    <cellStyle name="Cellule liée 35 2" xfId="4478" xr:uid="{00000000-0005-0000-0000-000013120000}"/>
    <cellStyle name="Cellule liée 36" xfId="2077" xr:uid="{00000000-0005-0000-0000-000014120000}"/>
    <cellStyle name="Cellule liée 36 2" xfId="4479" xr:uid="{00000000-0005-0000-0000-000015120000}"/>
    <cellStyle name="Cellule liée 37" xfId="2078" xr:uid="{00000000-0005-0000-0000-000016120000}"/>
    <cellStyle name="Cellule liée 37 2" xfId="4480" xr:uid="{00000000-0005-0000-0000-000017120000}"/>
    <cellStyle name="Cellule liée 38" xfId="2079" xr:uid="{00000000-0005-0000-0000-000018120000}"/>
    <cellStyle name="Cellule liée 38 2" xfId="4481" xr:uid="{00000000-0005-0000-0000-000019120000}"/>
    <cellStyle name="Cellule liée 39" xfId="2080" xr:uid="{00000000-0005-0000-0000-00001A120000}"/>
    <cellStyle name="Cellule liée 39 2" xfId="4482" xr:uid="{00000000-0005-0000-0000-00001B120000}"/>
    <cellStyle name="Cellule liée 4" xfId="325" xr:uid="{00000000-0005-0000-0000-00001C120000}"/>
    <cellStyle name="Cellule liée 4 2" xfId="2081" xr:uid="{00000000-0005-0000-0000-00001D120000}"/>
    <cellStyle name="Cellule liée 4 3" xfId="4483" xr:uid="{00000000-0005-0000-0000-00001E120000}"/>
    <cellStyle name="Cellule liée 40" xfId="2082" xr:uid="{00000000-0005-0000-0000-00001F120000}"/>
    <cellStyle name="Cellule liée 40 2" xfId="4484" xr:uid="{00000000-0005-0000-0000-000020120000}"/>
    <cellStyle name="Cellule liée 41" xfId="2083" xr:uid="{00000000-0005-0000-0000-000021120000}"/>
    <cellStyle name="Cellule liée 41 2" xfId="4485" xr:uid="{00000000-0005-0000-0000-000022120000}"/>
    <cellStyle name="Cellule liée 42" xfId="2084" xr:uid="{00000000-0005-0000-0000-000023120000}"/>
    <cellStyle name="Cellule liée 42 2" xfId="4486" xr:uid="{00000000-0005-0000-0000-000024120000}"/>
    <cellStyle name="Cellule liée 43" xfId="2085" xr:uid="{00000000-0005-0000-0000-000025120000}"/>
    <cellStyle name="Cellule liée 43 2" xfId="4487" xr:uid="{00000000-0005-0000-0000-000026120000}"/>
    <cellStyle name="Cellule liée 44" xfId="2086" xr:uid="{00000000-0005-0000-0000-000027120000}"/>
    <cellStyle name="Cellule liée 44 2" xfId="4488" xr:uid="{00000000-0005-0000-0000-000028120000}"/>
    <cellStyle name="Cellule liée 45" xfId="2087" xr:uid="{00000000-0005-0000-0000-000029120000}"/>
    <cellStyle name="Cellule liée 45 2" xfId="4489" xr:uid="{00000000-0005-0000-0000-00002A120000}"/>
    <cellStyle name="Cellule liée 46" xfId="2088" xr:uid="{00000000-0005-0000-0000-00002B120000}"/>
    <cellStyle name="Cellule liée 46 2" xfId="4490" xr:uid="{00000000-0005-0000-0000-00002C120000}"/>
    <cellStyle name="Cellule liée 47" xfId="2089" xr:uid="{00000000-0005-0000-0000-00002D120000}"/>
    <cellStyle name="Cellule liée 47 2" xfId="4491" xr:uid="{00000000-0005-0000-0000-00002E120000}"/>
    <cellStyle name="Cellule liée 48" xfId="2090" xr:uid="{00000000-0005-0000-0000-00002F120000}"/>
    <cellStyle name="Cellule liée 48 2" xfId="4492" xr:uid="{00000000-0005-0000-0000-000030120000}"/>
    <cellStyle name="Cellule liée 49" xfId="2091" xr:uid="{00000000-0005-0000-0000-000031120000}"/>
    <cellStyle name="Cellule liée 49 2" xfId="4493" xr:uid="{00000000-0005-0000-0000-000032120000}"/>
    <cellStyle name="Cellule liée 5" xfId="326" xr:uid="{00000000-0005-0000-0000-000033120000}"/>
    <cellStyle name="Cellule liée 5 2" xfId="2092" xr:uid="{00000000-0005-0000-0000-000034120000}"/>
    <cellStyle name="Cellule liée 5 3" xfId="4494" xr:uid="{00000000-0005-0000-0000-000035120000}"/>
    <cellStyle name="Cellule liée 50" xfId="2093" xr:uid="{00000000-0005-0000-0000-000036120000}"/>
    <cellStyle name="Cellule liée 50 2" xfId="4495" xr:uid="{00000000-0005-0000-0000-000037120000}"/>
    <cellStyle name="Cellule liée 51" xfId="2094" xr:uid="{00000000-0005-0000-0000-000038120000}"/>
    <cellStyle name="Cellule liée 51 2" xfId="4496" xr:uid="{00000000-0005-0000-0000-000039120000}"/>
    <cellStyle name="Cellule liée 52" xfId="2095" xr:uid="{00000000-0005-0000-0000-00003A120000}"/>
    <cellStyle name="Cellule liée 52 2" xfId="4497" xr:uid="{00000000-0005-0000-0000-00003B120000}"/>
    <cellStyle name="Cellule liée 53" xfId="2096" xr:uid="{00000000-0005-0000-0000-00003C120000}"/>
    <cellStyle name="Cellule liée 53 2" xfId="4498" xr:uid="{00000000-0005-0000-0000-00003D120000}"/>
    <cellStyle name="Cellule liée 54" xfId="2097" xr:uid="{00000000-0005-0000-0000-00003E120000}"/>
    <cellStyle name="Cellule liée 54 2" xfId="4499" xr:uid="{00000000-0005-0000-0000-00003F120000}"/>
    <cellStyle name="Cellule liée 55" xfId="2098" xr:uid="{00000000-0005-0000-0000-000040120000}"/>
    <cellStyle name="Cellule liée 55 2" xfId="4500" xr:uid="{00000000-0005-0000-0000-000041120000}"/>
    <cellStyle name="Cellule liée 56" xfId="2099" xr:uid="{00000000-0005-0000-0000-000042120000}"/>
    <cellStyle name="Cellule liée 56 2" xfId="4501" xr:uid="{00000000-0005-0000-0000-000043120000}"/>
    <cellStyle name="Cellule liée 57" xfId="2100" xr:uid="{00000000-0005-0000-0000-000044120000}"/>
    <cellStyle name="Cellule liée 57 2" xfId="4502" xr:uid="{00000000-0005-0000-0000-000045120000}"/>
    <cellStyle name="Cellule liée 58" xfId="2101" xr:uid="{00000000-0005-0000-0000-000046120000}"/>
    <cellStyle name="Cellule liée 58 2" xfId="4503" xr:uid="{00000000-0005-0000-0000-000047120000}"/>
    <cellStyle name="Cellule liée 59" xfId="2102" xr:uid="{00000000-0005-0000-0000-000048120000}"/>
    <cellStyle name="Cellule liée 59 2" xfId="4504" xr:uid="{00000000-0005-0000-0000-000049120000}"/>
    <cellStyle name="Cellule liée 6" xfId="327" xr:uid="{00000000-0005-0000-0000-00004A120000}"/>
    <cellStyle name="Cellule liée 6 2" xfId="2103" xr:uid="{00000000-0005-0000-0000-00004B120000}"/>
    <cellStyle name="Cellule liée 6 3" xfId="4505" xr:uid="{00000000-0005-0000-0000-00004C120000}"/>
    <cellStyle name="Cellule liée 7" xfId="328" xr:uid="{00000000-0005-0000-0000-00004D120000}"/>
    <cellStyle name="Cellule liée 7 2" xfId="2104" xr:uid="{00000000-0005-0000-0000-00004E120000}"/>
    <cellStyle name="Cellule liée 7 3" xfId="4506" xr:uid="{00000000-0005-0000-0000-00004F120000}"/>
    <cellStyle name="Cellule liée 8" xfId="329" xr:uid="{00000000-0005-0000-0000-000050120000}"/>
    <cellStyle name="Cellule liée 8 2" xfId="2105" xr:uid="{00000000-0005-0000-0000-000051120000}"/>
    <cellStyle name="Cellule liée 8 3" xfId="4507" xr:uid="{00000000-0005-0000-0000-000052120000}"/>
    <cellStyle name="Cellule liée 9" xfId="2106" xr:uid="{00000000-0005-0000-0000-000053120000}"/>
    <cellStyle name="Cellule liée 9 2" xfId="4508" xr:uid="{00000000-0005-0000-0000-000054120000}"/>
    <cellStyle name="Commentaire 10" xfId="2107" xr:uid="{00000000-0005-0000-0000-000055120000}"/>
    <cellStyle name="Commentaire 10 2" xfId="4509" xr:uid="{00000000-0005-0000-0000-000056120000}"/>
    <cellStyle name="Commentaire 11" xfId="2108" xr:uid="{00000000-0005-0000-0000-000057120000}"/>
    <cellStyle name="Commentaire 11 2" xfId="4510" xr:uid="{00000000-0005-0000-0000-000058120000}"/>
    <cellStyle name="Commentaire 12" xfId="2109" xr:uid="{00000000-0005-0000-0000-000059120000}"/>
    <cellStyle name="Commentaire 12 2" xfId="4511" xr:uid="{00000000-0005-0000-0000-00005A120000}"/>
    <cellStyle name="Commentaire 13" xfId="2110" xr:uid="{00000000-0005-0000-0000-00005B120000}"/>
    <cellStyle name="Commentaire 13 2" xfId="4512" xr:uid="{00000000-0005-0000-0000-00005C120000}"/>
    <cellStyle name="Commentaire 14" xfId="2111" xr:uid="{00000000-0005-0000-0000-00005D120000}"/>
    <cellStyle name="Commentaire 14 2" xfId="4513" xr:uid="{00000000-0005-0000-0000-00005E120000}"/>
    <cellStyle name="Commentaire 15" xfId="2112" xr:uid="{00000000-0005-0000-0000-00005F120000}"/>
    <cellStyle name="Commentaire 15 2" xfId="4514" xr:uid="{00000000-0005-0000-0000-000060120000}"/>
    <cellStyle name="Commentaire 16" xfId="2113" xr:uid="{00000000-0005-0000-0000-000061120000}"/>
    <cellStyle name="Commentaire 16 2" xfId="4515" xr:uid="{00000000-0005-0000-0000-000062120000}"/>
    <cellStyle name="Commentaire 17" xfId="2114" xr:uid="{00000000-0005-0000-0000-000063120000}"/>
    <cellStyle name="Commentaire 17 2" xfId="4516" xr:uid="{00000000-0005-0000-0000-000064120000}"/>
    <cellStyle name="Commentaire 18" xfId="2115" xr:uid="{00000000-0005-0000-0000-000065120000}"/>
    <cellStyle name="Commentaire 18 2" xfId="4517" xr:uid="{00000000-0005-0000-0000-000066120000}"/>
    <cellStyle name="Commentaire 19" xfId="2116" xr:uid="{00000000-0005-0000-0000-000067120000}"/>
    <cellStyle name="Commentaire 19 2" xfId="4518" xr:uid="{00000000-0005-0000-0000-000068120000}"/>
    <cellStyle name="Commentaire 2" xfId="32" xr:uid="{00000000-0005-0000-0000-000069120000}"/>
    <cellStyle name="Commentaire 2 2" xfId="331" xr:uid="{00000000-0005-0000-0000-00006A120000}"/>
    <cellStyle name="Commentaire 2 3" xfId="2117" xr:uid="{00000000-0005-0000-0000-00006B120000}"/>
    <cellStyle name="Commentaire 2 4" xfId="4519" xr:uid="{00000000-0005-0000-0000-00006C120000}"/>
    <cellStyle name="Commentaire 20" xfId="2118" xr:uid="{00000000-0005-0000-0000-00006D120000}"/>
    <cellStyle name="Commentaire 20 2" xfId="4520" xr:uid="{00000000-0005-0000-0000-00006E120000}"/>
    <cellStyle name="Commentaire 21" xfId="2119" xr:uid="{00000000-0005-0000-0000-00006F120000}"/>
    <cellStyle name="Commentaire 21 2" xfId="4521" xr:uid="{00000000-0005-0000-0000-000070120000}"/>
    <cellStyle name="Commentaire 22" xfId="2120" xr:uid="{00000000-0005-0000-0000-000071120000}"/>
    <cellStyle name="Commentaire 22 2" xfId="4522" xr:uid="{00000000-0005-0000-0000-000072120000}"/>
    <cellStyle name="Commentaire 23" xfId="2121" xr:uid="{00000000-0005-0000-0000-000073120000}"/>
    <cellStyle name="Commentaire 23 2" xfId="4523" xr:uid="{00000000-0005-0000-0000-000074120000}"/>
    <cellStyle name="Commentaire 24" xfId="2122" xr:uid="{00000000-0005-0000-0000-000075120000}"/>
    <cellStyle name="Commentaire 24 2" xfId="4524" xr:uid="{00000000-0005-0000-0000-000076120000}"/>
    <cellStyle name="Commentaire 25" xfId="2123" xr:uid="{00000000-0005-0000-0000-000077120000}"/>
    <cellStyle name="Commentaire 25 2" xfId="4525" xr:uid="{00000000-0005-0000-0000-000078120000}"/>
    <cellStyle name="Commentaire 26" xfId="2124" xr:uid="{00000000-0005-0000-0000-000079120000}"/>
    <cellStyle name="Commentaire 26 2" xfId="4526" xr:uid="{00000000-0005-0000-0000-00007A120000}"/>
    <cellStyle name="Commentaire 27" xfId="2125" xr:uid="{00000000-0005-0000-0000-00007B120000}"/>
    <cellStyle name="Commentaire 27 2" xfId="4527" xr:uid="{00000000-0005-0000-0000-00007C120000}"/>
    <cellStyle name="Commentaire 28" xfId="2126" xr:uid="{00000000-0005-0000-0000-00007D120000}"/>
    <cellStyle name="Commentaire 28 2" xfId="4528" xr:uid="{00000000-0005-0000-0000-00007E120000}"/>
    <cellStyle name="Commentaire 29" xfId="2127" xr:uid="{00000000-0005-0000-0000-00007F120000}"/>
    <cellStyle name="Commentaire 29 2" xfId="4529" xr:uid="{00000000-0005-0000-0000-000080120000}"/>
    <cellStyle name="Commentaire 3" xfId="77" xr:uid="{00000000-0005-0000-0000-000081120000}"/>
    <cellStyle name="Commentaire 3 2" xfId="332" xr:uid="{00000000-0005-0000-0000-000082120000}"/>
    <cellStyle name="Commentaire 3 3" xfId="2128" xr:uid="{00000000-0005-0000-0000-000083120000}"/>
    <cellStyle name="Commentaire 3 4" xfId="4530" xr:uid="{00000000-0005-0000-0000-000084120000}"/>
    <cellStyle name="Commentaire 30" xfId="2129" xr:uid="{00000000-0005-0000-0000-000085120000}"/>
    <cellStyle name="Commentaire 30 2" xfId="4531" xr:uid="{00000000-0005-0000-0000-000086120000}"/>
    <cellStyle name="Commentaire 31" xfId="2130" xr:uid="{00000000-0005-0000-0000-000087120000}"/>
    <cellStyle name="Commentaire 31 2" xfId="4532" xr:uid="{00000000-0005-0000-0000-000088120000}"/>
    <cellStyle name="Commentaire 32" xfId="2131" xr:uid="{00000000-0005-0000-0000-000089120000}"/>
    <cellStyle name="Commentaire 32 2" xfId="4533" xr:uid="{00000000-0005-0000-0000-00008A120000}"/>
    <cellStyle name="Commentaire 33" xfId="2132" xr:uid="{00000000-0005-0000-0000-00008B120000}"/>
    <cellStyle name="Commentaire 33 2" xfId="4534" xr:uid="{00000000-0005-0000-0000-00008C120000}"/>
    <cellStyle name="Commentaire 34" xfId="2133" xr:uid="{00000000-0005-0000-0000-00008D120000}"/>
    <cellStyle name="Commentaire 34 2" xfId="4535" xr:uid="{00000000-0005-0000-0000-00008E120000}"/>
    <cellStyle name="Commentaire 35" xfId="2134" xr:uid="{00000000-0005-0000-0000-00008F120000}"/>
    <cellStyle name="Commentaire 35 2" xfId="4536" xr:uid="{00000000-0005-0000-0000-000090120000}"/>
    <cellStyle name="Commentaire 36" xfId="2135" xr:uid="{00000000-0005-0000-0000-000091120000}"/>
    <cellStyle name="Commentaire 36 2" xfId="4537" xr:uid="{00000000-0005-0000-0000-000092120000}"/>
    <cellStyle name="Commentaire 37" xfId="2136" xr:uid="{00000000-0005-0000-0000-000093120000}"/>
    <cellStyle name="Commentaire 37 2" xfId="4538" xr:uid="{00000000-0005-0000-0000-000094120000}"/>
    <cellStyle name="Commentaire 38" xfId="2137" xr:uid="{00000000-0005-0000-0000-000095120000}"/>
    <cellStyle name="Commentaire 38 2" xfId="4539" xr:uid="{00000000-0005-0000-0000-000096120000}"/>
    <cellStyle name="Commentaire 39" xfId="2138" xr:uid="{00000000-0005-0000-0000-000097120000}"/>
    <cellStyle name="Commentaire 39 2" xfId="4540" xr:uid="{00000000-0005-0000-0000-000098120000}"/>
    <cellStyle name="Commentaire 4" xfId="78" xr:uid="{00000000-0005-0000-0000-000099120000}"/>
    <cellStyle name="Commentaire 4 2" xfId="333" xr:uid="{00000000-0005-0000-0000-00009A120000}"/>
    <cellStyle name="Commentaire 4 3" xfId="2139" xr:uid="{00000000-0005-0000-0000-00009B120000}"/>
    <cellStyle name="Commentaire 4 4" xfId="4541" xr:uid="{00000000-0005-0000-0000-00009C120000}"/>
    <cellStyle name="Commentaire 40" xfId="2140" xr:uid="{00000000-0005-0000-0000-00009D120000}"/>
    <cellStyle name="Commentaire 40 2" xfId="4542" xr:uid="{00000000-0005-0000-0000-00009E120000}"/>
    <cellStyle name="Commentaire 41" xfId="2141" xr:uid="{00000000-0005-0000-0000-00009F120000}"/>
    <cellStyle name="Commentaire 41 2" xfId="4543" xr:uid="{00000000-0005-0000-0000-0000A0120000}"/>
    <cellStyle name="Commentaire 42" xfId="2142" xr:uid="{00000000-0005-0000-0000-0000A1120000}"/>
    <cellStyle name="Commentaire 42 2" xfId="4544" xr:uid="{00000000-0005-0000-0000-0000A2120000}"/>
    <cellStyle name="Commentaire 43" xfId="2143" xr:uid="{00000000-0005-0000-0000-0000A3120000}"/>
    <cellStyle name="Commentaire 43 2" xfId="4545" xr:uid="{00000000-0005-0000-0000-0000A4120000}"/>
    <cellStyle name="Commentaire 43 2 2" xfId="6790" xr:uid="{00000000-0005-0000-0000-0000A5120000}"/>
    <cellStyle name="Commentaire 43 3" xfId="6061" xr:uid="{00000000-0005-0000-0000-0000A6120000}"/>
    <cellStyle name="Commentaire 44" xfId="2144" xr:uid="{00000000-0005-0000-0000-0000A7120000}"/>
    <cellStyle name="Commentaire 44 2" xfId="4546" xr:uid="{00000000-0005-0000-0000-0000A8120000}"/>
    <cellStyle name="Commentaire 44 2 2" xfId="6791" xr:uid="{00000000-0005-0000-0000-0000A9120000}"/>
    <cellStyle name="Commentaire 44 3" xfId="6062" xr:uid="{00000000-0005-0000-0000-0000AA120000}"/>
    <cellStyle name="Commentaire 45" xfId="2145" xr:uid="{00000000-0005-0000-0000-0000AB120000}"/>
    <cellStyle name="Commentaire 45 2" xfId="4547" xr:uid="{00000000-0005-0000-0000-0000AC120000}"/>
    <cellStyle name="Commentaire 45 2 2" xfId="6792" xr:uid="{00000000-0005-0000-0000-0000AD120000}"/>
    <cellStyle name="Commentaire 45 3" xfId="6063" xr:uid="{00000000-0005-0000-0000-0000AE120000}"/>
    <cellStyle name="Commentaire 46" xfId="2146" xr:uid="{00000000-0005-0000-0000-0000AF120000}"/>
    <cellStyle name="Commentaire 46 2" xfId="4548" xr:uid="{00000000-0005-0000-0000-0000B0120000}"/>
    <cellStyle name="Commentaire 46 2 2" xfId="6793" xr:uid="{00000000-0005-0000-0000-0000B1120000}"/>
    <cellStyle name="Commentaire 46 3" xfId="6064" xr:uid="{00000000-0005-0000-0000-0000B2120000}"/>
    <cellStyle name="Commentaire 47" xfId="2147" xr:uid="{00000000-0005-0000-0000-0000B3120000}"/>
    <cellStyle name="Commentaire 47 2" xfId="4549" xr:uid="{00000000-0005-0000-0000-0000B4120000}"/>
    <cellStyle name="Commentaire 47 2 2" xfId="6794" xr:uid="{00000000-0005-0000-0000-0000B5120000}"/>
    <cellStyle name="Commentaire 47 3" xfId="6065" xr:uid="{00000000-0005-0000-0000-0000B6120000}"/>
    <cellStyle name="Commentaire 48" xfId="2148" xr:uid="{00000000-0005-0000-0000-0000B7120000}"/>
    <cellStyle name="Commentaire 48 2" xfId="4550" xr:uid="{00000000-0005-0000-0000-0000B8120000}"/>
    <cellStyle name="Commentaire 48 2 2" xfId="6795" xr:uid="{00000000-0005-0000-0000-0000B9120000}"/>
    <cellStyle name="Commentaire 48 3" xfId="6066" xr:uid="{00000000-0005-0000-0000-0000BA120000}"/>
    <cellStyle name="Commentaire 49" xfId="2149" xr:uid="{00000000-0005-0000-0000-0000BB120000}"/>
    <cellStyle name="Commentaire 49 2" xfId="4551" xr:uid="{00000000-0005-0000-0000-0000BC120000}"/>
    <cellStyle name="Commentaire 49 2 2" xfId="6796" xr:uid="{00000000-0005-0000-0000-0000BD120000}"/>
    <cellStyle name="Commentaire 49 3" xfId="6067" xr:uid="{00000000-0005-0000-0000-0000BE120000}"/>
    <cellStyle name="Commentaire 5" xfId="76" xr:uid="{00000000-0005-0000-0000-0000BF120000}"/>
    <cellStyle name="Commentaire 5 2" xfId="334" xr:uid="{00000000-0005-0000-0000-0000C0120000}"/>
    <cellStyle name="Commentaire 5 3" xfId="2150" xr:uid="{00000000-0005-0000-0000-0000C1120000}"/>
    <cellStyle name="Commentaire 5 4" xfId="4552" xr:uid="{00000000-0005-0000-0000-0000C2120000}"/>
    <cellStyle name="Commentaire 50" xfId="2151" xr:uid="{00000000-0005-0000-0000-0000C3120000}"/>
    <cellStyle name="Commentaire 50 2" xfId="4553" xr:uid="{00000000-0005-0000-0000-0000C4120000}"/>
    <cellStyle name="Commentaire 50 2 2" xfId="6797" xr:uid="{00000000-0005-0000-0000-0000C5120000}"/>
    <cellStyle name="Commentaire 50 3" xfId="6068" xr:uid="{00000000-0005-0000-0000-0000C6120000}"/>
    <cellStyle name="Commentaire 51" xfId="2152" xr:uid="{00000000-0005-0000-0000-0000C7120000}"/>
    <cellStyle name="Commentaire 51 2" xfId="4554" xr:uid="{00000000-0005-0000-0000-0000C8120000}"/>
    <cellStyle name="Commentaire 51 2 2" xfId="6798" xr:uid="{00000000-0005-0000-0000-0000C9120000}"/>
    <cellStyle name="Commentaire 51 3" xfId="6069" xr:uid="{00000000-0005-0000-0000-0000CA120000}"/>
    <cellStyle name="Commentaire 52" xfId="2153" xr:uid="{00000000-0005-0000-0000-0000CB120000}"/>
    <cellStyle name="Commentaire 52 2" xfId="4555" xr:uid="{00000000-0005-0000-0000-0000CC120000}"/>
    <cellStyle name="Commentaire 52 2 2" xfId="6799" xr:uid="{00000000-0005-0000-0000-0000CD120000}"/>
    <cellStyle name="Commentaire 52 3" xfId="6070" xr:uid="{00000000-0005-0000-0000-0000CE120000}"/>
    <cellStyle name="Commentaire 53" xfId="2154" xr:uid="{00000000-0005-0000-0000-0000CF120000}"/>
    <cellStyle name="Commentaire 53 2" xfId="4556" xr:uid="{00000000-0005-0000-0000-0000D0120000}"/>
    <cellStyle name="Commentaire 53 2 2" xfId="6800" xr:uid="{00000000-0005-0000-0000-0000D1120000}"/>
    <cellStyle name="Commentaire 53 3" xfId="6071" xr:uid="{00000000-0005-0000-0000-0000D2120000}"/>
    <cellStyle name="Commentaire 54" xfId="2155" xr:uid="{00000000-0005-0000-0000-0000D3120000}"/>
    <cellStyle name="Commentaire 54 2" xfId="4557" xr:uid="{00000000-0005-0000-0000-0000D4120000}"/>
    <cellStyle name="Commentaire 54 2 2" xfId="6801" xr:uid="{00000000-0005-0000-0000-0000D5120000}"/>
    <cellStyle name="Commentaire 54 3" xfId="6072" xr:uid="{00000000-0005-0000-0000-0000D6120000}"/>
    <cellStyle name="Commentaire 55" xfId="2156" xr:uid="{00000000-0005-0000-0000-0000D7120000}"/>
    <cellStyle name="Commentaire 55 2" xfId="4558" xr:uid="{00000000-0005-0000-0000-0000D8120000}"/>
    <cellStyle name="Commentaire 55 2 2" xfId="6802" xr:uid="{00000000-0005-0000-0000-0000D9120000}"/>
    <cellStyle name="Commentaire 55 3" xfId="6073" xr:uid="{00000000-0005-0000-0000-0000DA120000}"/>
    <cellStyle name="Commentaire 56" xfId="2157" xr:uid="{00000000-0005-0000-0000-0000DB120000}"/>
    <cellStyle name="Commentaire 56 2" xfId="4559" xr:uid="{00000000-0005-0000-0000-0000DC120000}"/>
    <cellStyle name="Commentaire 56 2 2" xfId="6803" xr:uid="{00000000-0005-0000-0000-0000DD120000}"/>
    <cellStyle name="Commentaire 56 3" xfId="6074" xr:uid="{00000000-0005-0000-0000-0000DE120000}"/>
    <cellStyle name="Commentaire 57" xfId="2158" xr:uid="{00000000-0005-0000-0000-0000DF120000}"/>
    <cellStyle name="Commentaire 57 2" xfId="4560" xr:uid="{00000000-0005-0000-0000-0000E0120000}"/>
    <cellStyle name="Commentaire 57 2 2" xfId="6804" xr:uid="{00000000-0005-0000-0000-0000E1120000}"/>
    <cellStyle name="Commentaire 57 3" xfId="6075" xr:uid="{00000000-0005-0000-0000-0000E2120000}"/>
    <cellStyle name="Commentaire 58" xfId="2159" xr:uid="{00000000-0005-0000-0000-0000E3120000}"/>
    <cellStyle name="Commentaire 58 2" xfId="4561" xr:uid="{00000000-0005-0000-0000-0000E4120000}"/>
    <cellStyle name="Commentaire 58 2 2" xfId="6805" xr:uid="{00000000-0005-0000-0000-0000E5120000}"/>
    <cellStyle name="Commentaire 58 3" xfId="6076" xr:uid="{00000000-0005-0000-0000-0000E6120000}"/>
    <cellStyle name="Commentaire 59" xfId="2160" xr:uid="{00000000-0005-0000-0000-0000E7120000}"/>
    <cellStyle name="Commentaire 59 2" xfId="4562" xr:uid="{00000000-0005-0000-0000-0000E8120000}"/>
    <cellStyle name="Commentaire 59 2 2" xfId="6806" xr:uid="{00000000-0005-0000-0000-0000E9120000}"/>
    <cellStyle name="Commentaire 59 3" xfId="6077" xr:uid="{00000000-0005-0000-0000-0000EA120000}"/>
    <cellStyle name="Commentaire 6" xfId="335" xr:uid="{00000000-0005-0000-0000-0000EB120000}"/>
    <cellStyle name="Commentaire 6 2" xfId="2161" xr:uid="{00000000-0005-0000-0000-0000EC120000}"/>
    <cellStyle name="Commentaire 6 3" xfId="4563" xr:uid="{00000000-0005-0000-0000-0000ED120000}"/>
    <cellStyle name="Commentaire 60" xfId="2162" xr:uid="{00000000-0005-0000-0000-0000EE120000}"/>
    <cellStyle name="Commentaire 60 2" xfId="4564" xr:uid="{00000000-0005-0000-0000-0000EF120000}"/>
    <cellStyle name="Commentaire 60 2 2" xfId="6807" xr:uid="{00000000-0005-0000-0000-0000F0120000}"/>
    <cellStyle name="Commentaire 60 3" xfId="6078" xr:uid="{00000000-0005-0000-0000-0000F1120000}"/>
    <cellStyle name="Commentaire 7" xfId="336" xr:uid="{00000000-0005-0000-0000-0000F2120000}"/>
    <cellStyle name="Commentaire 7 2" xfId="2163" xr:uid="{00000000-0005-0000-0000-0000F3120000}"/>
    <cellStyle name="Commentaire 7 3" xfId="4565" xr:uid="{00000000-0005-0000-0000-0000F4120000}"/>
    <cellStyle name="Commentaire 8" xfId="337" xr:uid="{00000000-0005-0000-0000-0000F5120000}"/>
    <cellStyle name="Commentaire 8 2" xfId="2164" xr:uid="{00000000-0005-0000-0000-0000F6120000}"/>
    <cellStyle name="Commentaire 8 3" xfId="4566" xr:uid="{00000000-0005-0000-0000-0000F7120000}"/>
    <cellStyle name="Commentaire 9" xfId="330" xr:uid="{00000000-0005-0000-0000-0000F8120000}"/>
    <cellStyle name="Commentaire 9 2" xfId="2165" xr:uid="{00000000-0005-0000-0000-0000F9120000}"/>
    <cellStyle name="Commentaire 9 3" xfId="4567" xr:uid="{00000000-0005-0000-0000-0000FA120000}"/>
    <cellStyle name="Entrée 10" xfId="2166" xr:uid="{00000000-0005-0000-0000-0000FB120000}"/>
    <cellStyle name="Entrée 10 2" xfId="4568" xr:uid="{00000000-0005-0000-0000-0000FC120000}"/>
    <cellStyle name="Entrée 11" xfId="2167" xr:uid="{00000000-0005-0000-0000-0000FD120000}"/>
    <cellStyle name="Entrée 11 2" xfId="4569" xr:uid="{00000000-0005-0000-0000-0000FE120000}"/>
    <cellStyle name="Entrée 12" xfId="2168" xr:uid="{00000000-0005-0000-0000-0000FF120000}"/>
    <cellStyle name="Entrée 12 2" xfId="4570" xr:uid="{00000000-0005-0000-0000-000000130000}"/>
    <cellStyle name="Entrée 13" xfId="2169" xr:uid="{00000000-0005-0000-0000-000001130000}"/>
    <cellStyle name="Entrée 13 2" xfId="4571" xr:uid="{00000000-0005-0000-0000-000002130000}"/>
    <cellStyle name="Entrée 14" xfId="2170" xr:uid="{00000000-0005-0000-0000-000003130000}"/>
    <cellStyle name="Entrée 14 2" xfId="4572" xr:uid="{00000000-0005-0000-0000-000004130000}"/>
    <cellStyle name="Entrée 15" xfId="2171" xr:uid="{00000000-0005-0000-0000-000005130000}"/>
    <cellStyle name="Entrée 15 2" xfId="4573" xr:uid="{00000000-0005-0000-0000-000006130000}"/>
    <cellStyle name="Entrée 16" xfId="2172" xr:uid="{00000000-0005-0000-0000-000007130000}"/>
    <cellStyle name="Entrée 16 2" xfId="4574" xr:uid="{00000000-0005-0000-0000-000008130000}"/>
    <cellStyle name="Entrée 17" xfId="2173" xr:uid="{00000000-0005-0000-0000-000009130000}"/>
    <cellStyle name="Entrée 17 2" xfId="4575" xr:uid="{00000000-0005-0000-0000-00000A130000}"/>
    <cellStyle name="Entrée 18" xfId="2174" xr:uid="{00000000-0005-0000-0000-00000B130000}"/>
    <cellStyle name="Entrée 18 2" xfId="4576" xr:uid="{00000000-0005-0000-0000-00000C130000}"/>
    <cellStyle name="Entrée 19" xfId="2175" xr:uid="{00000000-0005-0000-0000-00000D130000}"/>
    <cellStyle name="Entrée 19 2" xfId="4577" xr:uid="{00000000-0005-0000-0000-00000E130000}"/>
    <cellStyle name="Entrée 2" xfId="33" xr:uid="{00000000-0005-0000-0000-00000F130000}"/>
    <cellStyle name="Entrée 2 2" xfId="2176" xr:uid="{00000000-0005-0000-0000-000010130000}"/>
    <cellStyle name="Entrée 2 3" xfId="4578" xr:uid="{00000000-0005-0000-0000-000011130000}"/>
    <cellStyle name="Entrée 20" xfId="2177" xr:uid="{00000000-0005-0000-0000-000012130000}"/>
    <cellStyle name="Entrée 20 2" xfId="4579" xr:uid="{00000000-0005-0000-0000-000013130000}"/>
    <cellStyle name="Entrée 21" xfId="2178" xr:uid="{00000000-0005-0000-0000-000014130000}"/>
    <cellStyle name="Entrée 21 2" xfId="4580" xr:uid="{00000000-0005-0000-0000-000015130000}"/>
    <cellStyle name="Entrée 22" xfId="2179" xr:uid="{00000000-0005-0000-0000-000016130000}"/>
    <cellStyle name="Entrée 22 2" xfId="4581" xr:uid="{00000000-0005-0000-0000-000017130000}"/>
    <cellStyle name="Entrée 23" xfId="2180" xr:uid="{00000000-0005-0000-0000-000018130000}"/>
    <cellStyle name="Entrée 23 2" xfId="4582" xr:uid="{00000000-0005-0000-0000-000019130000}"/>
    <cellStyle name="Entrée 24" xfId="2181" xr:uid="{00000000-0005-0000-0000-00001A130000}"/>
    <cellStyle name="Entrée 24 2" xfId="4583" xr:uid="{00000000-0005-0000-0000-00001B130000}"/>
    <cellStyle name="Entrée 25" xfId="2182" xr:uid="{00000000-0005-0000-0000-00001C130000}"/>
    <cellStyle name="Entrée 25 2" xfId="4584" xr:uid="{00000000-0005-0000-0000-00001D130000}"/>
    <cellStyle name="Entrée 26" xfId="2183" xr:uid="{00000000-0005-0000-0000-00001E130000}"/>
    <cellStyle name="Entrée 26 2" xfId="4585" xr:uid="{00000000-0005-0000-0000-00001F130000}"/>
    <cellStyle name="Entrée 27" xfId="2184" xr:uid="{00000000-0005-0000-0000-000020130000}"/>
    <cellStyle name="Entrée 27 2" xfId="4586" xr:uid="{00000000-0005-0000-0000-000021130000}"/>
    <cellStyle name="Entrée 28" xfId="2185" xr:uid="{00000000-0005-0000-0000-000022130000}"/>
    <cellStyle name="Entrée 28 2" xfId="4587" xr:uid="{00000000-0005-0000-0000-000023130000}"/>
    <cellStyle name="Entrée 29" xfId="2186" xr:uid="{00000000-0005-0000-0000-000024130000}"/>
    <cellStyle name="Entrée 29 2" xfId="4588" xr:uid="{00000000-0005-0000-0000-000025130000}"/>
    <cellStyle name="Entrée 3" xfId="338" xr:uid="{00000000-0005-0000-0000-000026130000}"/>
    <cellStyle name="Entrée 3 2" xfId="2187" xr:uid="{00000000-0005-0000-0000-000027130000}"/>
    <cellStyle name="Entrée 3 3" xfId="4589" xr:uid="{00000000-0005-0000-0000-000028130000}"/>
    <cellStyle name="Entrée 30" xfId="2188" xr:uid="{00000000-0005-0000-0000-000029130000}"/>
    <cellStyle name="Entrée 30 2" xfId="4590" xr:uid="{00000000-0005-0000-0000-00002A130000}"/>
    <cellStyle name="Entrée 31" xfId="2189" xr:uid="{00000000-0005-0000-0000-00002B130000}"/>
    <cellStyle name="Entrée 31 2" xfId="4591" xr:uid="{00000000-0005-0000-0000-00002C130000}"/>
    <cellStyle name="Entrée 32" xfId="2190" xr:uid="{00000000-0005-0000-0000-00002D130000}"/>
    <cellStyle name="Entrée 32 2" xfId="4592" xr:uid="{00000000-0005-0000-0000-00002E130000}"/>
    <cellStyle name="Entrée 33" xfId="2191" xr:uid="{00000000-0005-0000-0000-00002F130000}"/>
    <cellStyle name="Entrée 33 2" xfId="4593" xr:uid="{00000000-0005-0000-0000-000030130000}"/>
    <cellStyle name="Entrée 34" xfId="2192" xr:uid="{00000000-0005-0000-0000-000031130000}"/>
    <cellStyle name="Entrée 34 2" xfId="4594" xr:uid="{00000000-0005-0000-0000-000032130000}"/>
    <cellStyle name="Entrée 35" xfId="2193" xr:uid="{00000000-0005-0000-0000-000033130000}"/>
    <cellStyle name="Entrée 35 2" xfId="4595" xr:uid="{00000000-0005-0000-0000-000034130000}"/>
    <cellStyle name="Entrée 36" xfId="2194" xr:uid="{00000000-0005-0000-0000-000035130000}"/>
    <cellStyle name="Entrée 36 2" xfId="4596" xr:uid="{00000000-0005-0000-0000-000036130000}"/>
    <cellStyle name="Entrée 37" xfId="2195" xr:uid="{00000000-0005-0000-0000-000037130000}"/>
    <cellStyle name="Entrée 37 2" xfId="4597" xr:uid="{00000000-0005-0000-0000-000038130000}"/>
    <cellStyle name="Entrée 38" xfId="2196" xr:uid="{00000000-0005-0000-0000-000039130000}"/>
    <cellStyle name="Entrée 38 2" xfId="4598" xr:uid="{00000000-0005-0000-0000-00003A130000}"/>
    <cellStyle name="Entrée 39" xfId="2197" xr:uid="{00000000-0005-0000-0000-00003B130000}"/>
    <cellStyle name="Entrée 39 2" xfId="4599" xr:uid="{00000000-0005-0000-0000-00003C130000}"/>
    <cellStyle name="Entrée 4" xfId="339" xr:uid="{00000000-0005-0000-0000-00003D130000}"/>
    <cellStyle name="Entrée 4 2" xfId="2198" xr:uid="{00000000-0005-0000-0000-00003E130000}"/>
    <cellStyle name="Entrée 4 3" xfId="4600" xr:uid="{00000000-0005-0000-0000-00003F130000}"/>
    <cellStyle name="Entrée 40" xfId="2199" xr:uid="{00000000-0005-0000-0000-000040130000}"/>
    <cellStyle name="Entrée 40 2" xfId="4601" xr:uid="{00000000-0005-0000-0000-000041130000}"/>
    <cellStyle name="Entrée 41" xfId="2200" xr:uid="{00000000-0005-0000-0000-000042130000}"/>
    <cellStyle name="Entrée 41 2" xfId="4602" xr:uid="{00000000-0005-0000-0000-000043130000}"/>
    <cellStyle name="Entrée 42" xfId="2201" xr:uid="{00000000-0005-0000-0000-000044130000}"/>
    <cellStyle name="Entrée 42 2" xfId="4603" xr:uid="{00000000-0005-0000-0000-000045130000}"/>
    <cellStyle name="Entrée 43" xfId="2202" xr:uid="{00000000-0005-0000-0000-000046130000}"/>
    <cellStyle name="Entrée 43 2" xfId="4604" xr:uid="{00000000-0005-0000-0000-000047130000}"/>
    <cellStyle name="Entrée 44" xfId="2203" xr:uid="{00000000-0005-0000-0000-000048130000}"/>
    <cellStyle name="Entrée 44 2" xfId="4605" xr:uid="{00000000-0005-0000-0000-000049130000}"/>
    <cellStyle name="Entrée 45" xfId="2204" xr:uid="{00000000-0005-0000-0000-00004A130000}"/>
    <cellStyle name="Entrée 45 2" xfId="4606" xr:uid="{00000000-0005-0000-0000-00004B130000}"/>
    <cellStyle name="Entrée 46" xfId="2205" xr:uid="{00000000-0005-0000-0000-00004C130000}"/>
    <cellStyle name="Entrée 46 2" xfId="4607" xr:uid="{00000000-0005-0000-0000-00004D130000}"/>
    <cellStyle name="Entrée 47" xfId="2206" xr:uid="{00000000-0005-0000-0000-00004E130000}"/>
    <cellStyle name="Entrée 47 2" xfId="4608" xr:uid="{00000000-0005-0000-0000-00004F130000}"/>
    <cellStyle name="Entrée 48" xfId="2207" xr:uid="{00000000-0005-0000-0000-000050130000}"/>
    <cellStyle name="Entrée 48 2" xfId="4609" xr:uid="{00000000-0005-0000-0000-000051130000}"/>
    <cellStyle name="Entrée 49" xfId="2208" xr:uid="{00000000-0005-0000-0000-000052130000}"/>
    <cellStyle name="Entrée 49 2" xfId="4610" xr:uid="{00000000-0005-0000-0000-000053130000}"/>
    <cellStyle name="Entrée 5" xfId="340" xr:uid="{00000000-0005-0000-0000-000054130000}"/>
    <cellStyle name="Entrée 5 2" xfId="2209" xr:uid="{00000000-0005-0000-0000-000055130000}"/>
    <cellStyle name="Entrée 5 3" xfId="4611" xr:uid="{00000000-0005-0000-0000-000056130000}"/>
    <cellStyle name="Entrée 50" xfId="2210" xr:uid="{00000000-0005-0000-0000-000057130000}"/>
    <cellStyle name="Entrée 50 2" xfId="4612" xr:uid="{00000000-0005-0000-0000-000058130000}"/>
    <cellStyle name="Entrée 51" xfId="2211" xr:uid="{00000000-0005-0000-0000-000059130000}"/>
    <cellStyle name="Entrée 51 2" xfId="4613" xr:uid="{00000000-0005-0000-0000-00005A130000}"/>
    <cellStyle name="Entrée 52" xfId="2212" xr:uid="{00000000-0005-0000-0000-00005B130000}"/>
    <cellStyle name="Entrée 52 2" xfId="4614" xr:uid="{00000000-0005-0000-0000-00005C130000}"/>
    <cellStyle name="Entrée 53" xfId="2213" xr:uid="{00000000-0005-0000-0000-00005D130000}"/>
    <cellStyle name="Entrée 53 2" xfId="4615" xr:uid="{00000000-0005-0000-0000-00005E130000}"/>
    <cellStyle name="Entrée 54" xfId="2214" xr:uid="{00000000-0005-0000-0000-00005F130000}"/>
    <cellStyle name="Entrée 54 2" xfId="4616" xr:uid="{00000000-0005-0000-0000-000060130000}"/>
    <cellStyle name="Entrée 55" xfId="2215" xr:uid="{00000000-0005-0000-0000-000061130000}"/>
    <cellStyle name="Entrée 55 2" xfId="4617" xr:uid="{00000000-0005-0000-0000-000062130000}"/>
    <cellStyle name="Entrée 56" xfId="2216" xr:uid="{00000000-0005-0000-0000-000063130000}"/>
    <cellStyle name="Entrée 56 2" xfId="4618" xr:uid="{00000000-0005-0000-0000-000064130000}"/>
    <cellStyle name="Entrée 57" xfId="2217" xr:uid="{00000000-0005-0000-0000-000065130000}"/>
    <cellStyle name="Entrée 57 2" xfId="4619" xr:uid="{00000000-0005-0000-0000-000066130000}"/>
    <cellStyle name="Entrée 58" xfId="2218" xr:uid="{00000000-0005-0000-0000-000067130000}"/>
    <cellStyle name="Entrée 58 2" xfId="4620" xr:uid="{00000000-0005-0000-0000-000068130000}"/>
    <cellStyle name="Entrée 59" xfId="2219" xr:uid="{00000000-0005-0000-0000-000069130000}"/>
    <cellStyle name="Entrée 59 2" xfId="4621" xr:uid="{00000000-0005-0000-0000-00006A130000}"/>
    <cellStyle name="Entrée 6" xfId="341" xr:uid="{00000000-0005-0000-0000-00006B130000}"/>
    <cellStyle name="Entrée 6 2" xfId="2220" xr:uid="{00000000-0005-0000-0000-00006C130000}"/>
    <cellStyle name="Entrée 6 3" xfId="4622" xr:uid="{00000000-0005-0000-0000-00006D130000}"/>
    <cellStyle name="Entrée 7" xfId="342" xr:uid="{00000000-0005-0000-0000-00006E130000}"/>
    <cellStyle name="Entrée 7 2" xfId="2221" xr:uid="{00000000-0005-0000-0000-00006F130000}"/>
    <cellStyle name="Entrée 7 3" xfId="4623" xr:uid="{00000000-0005-0000-0000-000070130000}"/>
    <cellStyle name="Entrée 8" xfId="343" xr:uid="{00000000-0005-0000-0000-000071130000}"/>
    <cellStyle name="Entrée 8 2" xfId="2222" xr:uid="{00000000-0005-0000-0000-000072130000}"/>
    <cellStyle name="Entrée 8 3" xfId="4624" xr:uid="{00000000-0005-0000-0000-000073130000}"/>
    <cellStyle name="Entrée 9" xfId="2223" xr:uid="{00000000-0005-0000-0000-000074130000}"/>
    <cellStyle name="Entrée 9 2" xfId="4625" xr:uid="{00000000-0005-0000-0000-000075130000}"/>
    <cellStyle name="Euro" xfId="34" xr:uid="{00000000-0005-0000-0000-000076130000}"/>
    <cellStyle name="Euro 2" xfId="35" xr:uid="{00000000-0005-0000-0000-000077130000}"/>
    <cellStyle name="Euro 2 2" xfId="80" xr:uid="{00000000-0005-0000-0000-000078130000}"/>
    <cellStyle name="Euro 2 2 2" xfId="6101" xr:uid="{00000000-0005-0000-0000-000079130000}"/>
    <cellStyle name="Euro 2 3" xfId="2224" xr:uid="{00000000-0005-0000-0000-00007A130000}"/>
    <cellStyle name="Euro 2 4" xfId="5365" xr:uid="{00000000-0005-0000-0000-00007B130000}"/>
    <cellStyle name="Euro 3" xfId="81" xr:uid="{00000000-0005-0000-0000-00007C130000}"/>
    <cellStyle name="Euro 3 2" xfId="2225" xr:uid="{00000000-0005-0000-0000-00007D130000}"/>
    <cellStyle name="Euro 3 2 2" xfId="6103" xr:uid="{00000000-0005-0000-0000-00007E130000}"/>
    <cellStyle name="Euro 3 3" xfId="5372" xr:uid="{00000000-0005-0000-0000-00007F130000}"/>
    <cellStyle name="Euro 4" xfId="82" xr:uid="{00000000-0005-0000-0000-000080130000}"/>
    <cellStyle name="Euro 4 2" xfId="345" xr:uid="{00000000-0005-0000-0000-000081130000}"/>
    <cellStyle name="Euro 4 3" xfId="6100" xr:uid="{00000000-0005-0000-0000-000082130000}"/>
    <cellStyle name="Euro 5" xfId="79" xr:uid="{00000000-0005-0000-0000-000083130000}"/>
    <cellStyle name="Euro 6" xfId="344" xr:uid="{00000000-0005-0000-0000-000084130000}"/>
    <cellStyle name="Euro 7" xfId="457" xr:uid="{00000000-0005-0000-0000-000085130000}"/>
    <cellStyle name="Euro 8" xfId="483" xr:uid="{00000000-0005-0000-0000-000086130000}"/>
    <cellStyle name="Euro 9" xfId="5364" xr:uid="{00000000-0005-0000-0000-000087130000}"/>
    <cellStyle name="Insatisfaisant 10" xfId="2226" xr:uid="{00000000-0005-0000-0000-000088130000}"/>
    <cellStyle name="Insatisfaisant 10 2" xfId="4626" xr:uid="{00000000-0005-0000-0000-000089130000}"/>
    <cellStyle name="Insatisfaisant 11" xfId="2227" xr:uid="{00000000-0005-0000-0000-00008A130000}"/>
    <cellStyle name="Insatisfaisant 11 2" xfId="4627" xr:uid="{00000000-0005-0000-0000-00008B130000}"/>
    <cellStyle name="Insatisfaisant 12" xfId="2228" xr:uid="{00000000-0005-0000-0000-00008C130000}"/>
    <cellStyle name="Insatisfaisant 12 2" xfId="4628" xr:uid="{00000000-0005-0000-0000-00008D130000}"/>
    <cellStyle name="Insatisfaisant 13" xfId="2229" xr:uid="{00000000-0005-0000-0000-00008E130000}"/>
    <cellStyle name="Insatisfaisant 13 2" xfId="4629" xr:uid="{00000000-0005-0000-0000-00008F130000}"/>
    <cellStyle name="Insatisfaisant 14" xfId="2230" xr:uid="{00000000-0005-0000-0000-000090130000}"/>
    <cellStyle name="Insatisfaisant 14 2" xfId="4630" xr:uid="{00000000-0005-0000-0000-000091130000}"/>
    <cellStyle name="Insatisfaisant 15" xfId="2231" xr:uid="{00000000-0005-0000-0000-000092130000}"/>
    <cellStyle name="Insatisfaisant 15 2" xfId="4631" xr:uid="{00000000-0005-0000-0000-000093130000}"/>
    <cellStyle name="Insatisfaisant 16" xfId="2232" xr:uid="{00000000-0005-0000-0000-000094130000}"/>
    <cellStyle name="Insatisfaisant 16 2" xfId="4632" xr:uid="{00000000-0005-0000-0000-000095130000}"/>
    <cellStyle name="Insatisfaisant 17" xfId="2233" xr:uid="{00000000-0005-0000-0000-000096130000}"/>
    <cellStyle name="Insatisfaisant 17 2" xfId="4633" xr:uid="{00000000-0005-0000-0000-000097130000}"/>
    <cellStyle name="Insatisfaisant 18" xfId="2234" xr:uid="{00000000-0005-0000-0000-000098130000}"/>
    <cellStyle name="Insatisfaisant 18 2" xfId="4634" xr:uid="{00000000-0005-0000-0000-000099130000}"/>
    <cellStyle name="Insatisfaisant 19" xfId="2235" xr:uid="{00000000-0005-0000-0000-00009A130000}"/>
    <cellStyle name="Insatisfaisant 19 2" xfId="4635" xr:uid="{00000000-0005-0000-0000-00009B130000}"/>
    <cellStyle name="Insatisfaisant 2" xfId="36" xr:uid="{00000000-0005-0000-0000-00009C130000}"/>
    <cellStyle name="Insatisfaisant 2 2" xfId="2236" xr:uid="{00000000-0005-0000-0000-00009D130000}"/>
    <cellStyle name="Insatisfaisant 2 3" xfId="4636" xr:uid="{00000000-0005-0000-0000-00009E130000}"/>
    <cellStyle name="Insatisfaisant 20" xfId="2237" xr:uid="{00000000-0005-0000-0000-00009F130000}"/>
    <cellStyle name="Insatisfaisant 20 2" xfId="4637" xr:uid="{00000000-0005-0000-0000-0000A0130000}"/>
    <cellStyle name="Insatisfaisant 21" xfId="2238" xr:uid="{00000000-0005-0000-0000-0000A1130000}"/>
    <cellStyle name="Insatisfaisant 21 2" xfId="4638" xr:uid="{00000000-0005-0000-0000-0000A2130000}"/>
    <cellStyle name="Insatisfaisant 22" xfId="2239" xr:uid="{00000000-0005-0000-0000-0000A3130000}"/>
    <cellStyle name="Insatisfaisant 22 2" xfId="4639" xr:uid="{00000000-0005-0000-0000-0000A4130000}"/>
    <cellStyle name="Insatisfaisant 23" xfId="2240" xr:uid="{00000000-0005-0000-0000-0000A5130000}"/>
    <cellStyle name="Insatisfaisant 23 2" xfId="4640" xr:uid="{00000000-0005-0000-0000-0000A6130000}"/>
    <cellStyle name="Insatisfaisant 24" xfId="2241" xr:uid="{00000000-0005-0000-0000-0000A7130000}"/>
    <cellStyle name="Insatisfaisant 24 2" xfId="4641" xr:uid="{00000000-0005-0000-0000-0000A8130000}"/>
    <cellStyle name="Insatisfaisant 25" xfId="2242" xr:uid="{00000000-0005-0000-0000-0000A9130000}"/>
    <cellStyle name="Insatisfaisant 25 2" xfId="4642" xr:uid="{00000000-0005-0000-0000-0000AA130000}"/>
    <cellStyle name="Insatisfaisant 26" xfId="2243" xr:uid="{00000000-0005-0000-0000-0000AB130000}"/>
    <cellStyle name="Insatisfaisant 26 2" xfId="4643" xr:uid="{00000000-0005-0000-0000-0000AC130000}"/>
    <cellStyle name="Insatisfaisant 27" xfId="2244" xr:uid="{00000000-0005-0000-0000-0000AD130000}"/>
    <cellStyle name="Insatisfaisant 27 2" xfId="4644" xr:uid="{00000000-0005-0000-0000-0000AE130000}"/>
    <cellStyle name="Insatisfaisant 28" xfId="2245" xr:uid="{00000000-0005-0000-0000-0000AF130000}"/>
    <cellStyle name="Insatisfaisant 28 2" xfId="4645" xr:uid="{00000000-0005-0000-0000-0000B0130000}"/>
    <cellStyle name="Insatisfaisant 29" xfId="2246" xr:uid="{00000000-0005-0000-0000-0000B1130000}"/>
    <cellStyle name="Insatisfaisant 29 2" xfId="4646" xr:uid="{00000000-0005-0000-0000-0000B2130000}"/>
    <cellStyle name="Insatisfaisant 3" xfId="346" xr:uid="{00000000-0005-0000-0000-0000B3130000}"/>
    <cellStyle name="Insatisfaisant 3 2" xfId="2247" xr:uid="{00000000-0005-0000-0000-0000B4130000}"/>
    <cellStyle name="Insatisfaisant 3 3" xfId="4647" xr:uid="{00000000-0005-0000-0000-0000B5130000}"/>
    <cellStyle name="Insatisfaisant 30" xfId="2248" xr:uid="{00000000-0005-0000-0000-0000B6130000}"/>
    <cellStyle name="Insatisfaisant 30 2" xfId="4648" xr:uid="{00000000-0005-0000-0000-0000B7130000}"/>
    <cellStyle name="Insatisfaisant 31" xfId="2249" xr:uid="{00000000-0005-0000-0000-0000B8130000}"/>
    <cellStyle name="Insatisfaisant 31 2" xfId="4649" xr:uid="{00000000-0005-0000-0000-0000B9130000}"/>
    <cellStyle name="Insatisfaisant 32" xfId="2250" xr:uid="{00000000-0005-0000-0000-0000BA130000}"/>
    <cellStyle name="Insatisfaisant 32 2" xfId="4650" xr:uid="{00000000-0005-0000-0000-0000BB130000}"/>
    <cellStyle name="Insatisfaisant 33" xfId="2251" xr:uid="{00000000-0005-0000-0000-0000BC130000}"/>
    <cellStyle name="Insatisfaisant 33 2" xfId="4651" xr:uid="{00000000-0005-0000-0000-0000BD130000}"/>
    <cellStyle name="Insatisfaisant 34" xfId="2252" xr:uid="{00000000-0005-0000-0000-0000BE130000}"/>
    <cellStyle name="Insatisfaisant 34 2" xfId="4652" xr:uid="{00000000-0005-0000-0000-0000BF130000}"/>
    <cellStyle name="Insatisfaisant 35" xfId="2253" xr:uid="{00000000-0005-0000-0000-0000C0130000}"/>
    <cellStyle name="Insatisfaisant 35 2" xfId="4653" xr:uid="{00000000-0005-0000-0000-0000C1130000}"/>
    <cellStyle name="Insatisfaisant 36" xfId="2254" xr:uid="{00000000-0005-0000-0000-0000C2130000}"/>
    <cellStyle name="Insatisfaisant 36 2" xfId="4654" xr:uid="{00000000-0005-0000-0000-0000C3130000}"/>
    <cellStyle name="Insatisfaisant 37" xfId="2255" xr:uid="{00000000-0005-0000-0000-0000C4130000}"/>
    <cellStyle name="Insatisfaisant 37 2" xfId="4655" xr:uid="{00000000-0005-0000-0000-0000C5130000}"/>
    <cellStyle name="Insatisfaisant 38" xfId="2256" xr:uid="{00000000-0005-0000-0000-0000C6130000}"/>
    <cellStyle name="Insatisfaisant 38 2" xfId="4656" xr:uid="{00000000-0005-0000-0000-0000C7130000}"/>
    <cellStyle name="Insatisfaisant 39" xfId="2257" xr:uid="{00000000-0005-0000-0000-0000C8130000}"/>
    <cellStyle name="Insatisfaisant 39 2" xfId="4657" xr:uid="{00000000-0005-0000-0000-0000C9130000}"/>
    <cellStyle name="Insatisfaisant 4" xfId="347" xr:uid="{00000000-0005-0000-0000-0000CA130000}"/>
    <cellStyle name="Insatisfaisant 4 2" xfId="2258" xr:uid="{00000000-0005-0000-0000-0000CB130000}"/>
    <cellStyle name="Insatisfaisant 4 3" xfId="4658" xr:uid="{00000000-0005-0000-0000-0000CC130000}"/>
    <cellStyle name="Insatisfaisant 40" xfId="2259" xr:uid="{00000000-0005-0000-0000-0000CD130000}"/>
    <cellStyle name="Insatisfaisant 40 2" xfId="4659" xr:uid="{00000000-0005-0000-0000-0000CE130000}"/>
    <cellStyle name="Insatisfaisant 41" xfId="2260" xr:uid="{00000000-0005-0000-0000-0000CF130000}"/>
    <cellStyle name="Insatisfaisant 41 2" xfId="4660" xr:uid="{00000000-0005-0000-0000-0000D0130000}"/>
    <cellStyle name="Insatisfaisant 42" xfId="2261" xr:uid="{00000000-0005-0000-0000-0000D1130000}"/>
    <cellStyle name="Insatisfaisant 42 2" xfId="4661" xr:uid="{00000000-0005-0000-0000-0000D2130000}"/>
    <cellStyle name="Insatisfaisant 43" xfId="2262" xr:uid="{00000000-0005-0000-0000-0000D3130000}"/>
    <cellStyle name="Insatisfaisant 43 2" xfId="4662" xr:uid="{00000000-0005-0000-0000-0000D4130000}"/>
    <cellStyle name="Insatisfaisant 44" xfId="2263" xr:uid="{00000000-0005-0000-0000-0000D5130000}"/>
    <cellStyle name="Insatisfaisant 44 2" xfId="4663" xr:uid="{00000000-0005-0000-0000-0000D6130000}"/>
    <cellStyle name="Insatisfaisant 45" xfId="2264" xr:uid="{00000000-0005-0000-0000-0000D7130000}"/>
    <cellStyle name="Insatisfaisant 45 2" xfId="4664" xr:uid="{00000000-0005-0000-0000-0000D8130000}"/>
    <cellStyle name="Insatisfaisant 46" xfId="2265" xr:uid="{00000000-0005-0000-0000-0000D9130000}"/>
    <cellStyle name="Insatisfaisant 46 2" xfId="4665" xr:uid="{00000000-0005-0000-0000-0000DA130000}"/>
    <cellStyle name="Insatisfaisant 47" xfId="2266" xr:uid="{00000000-0005-0000-0000-0000DB130000}"/>
    <cellStyle name="Insatisfaisant 47 2" xfId="4666" xr:uid="{00000000-0005-0000-0000-0000DC130000}"/>
    <cellStyle name="Insatisfaisant 48" xfId="2267" xr:uid="{00000000-0005-0000-0000-0000DD130000}"/>
    <cellStyle name="Insatisfaisant 48 2" xfId="4667" xr:uid="{00000000-0005-0000-0000-0000DE130000}"/>
    <cellStyle name="Insatisfaisant 49" xfId="2268" xr:uid="{00000000-0005-0000-0000-0000DF130000}"/>
    <cellStyle name="Insatisfaisant 49 2" xfId="4668" xr:uid="{00000000-0005-0000-0000-0000E0130000}"/>
    <cellStyle name="Insatisfaisant 5" xfId="348" xr:uid="{00000000-0005-0000-0000-0000E1130000}"/>
    <cellStyle name="Insatisfaisant 5 2" xfId="2269" xr:uid="{00000000-0005-0000-0000-0000E2130000}"/>
    <cellStyle name="Insatisfaisant 5 3" xfId="4669" xr:uid="{00000000-0005-0000-0000-0000E3130000}"/>
    <cellStyle name="Insatisfaisant 50" xfId="2270" xr:uid="{00000000-0005-0000-0000-0000E4130000}"/>
    <cellStyle name="Insatisfaisant 50 2" xfId="4670" xr:uid="{00000000-0005-0000-0000-0000E5130000}"/>
    <cellStyle name="Insatisfaisant 51" xfId="2271" xr:uid="{00000000-0005-0000-0000-0000E6130000}"/>
    <cellStyle name="Insatisfaisant 51 2" xfId="4671" xr:uid="{00000000-0005-0000-0000-0000E7130000}"/>
    <cellStyle name="Insatisfaisant 52" xfId="2272" xr:uid="{00000000-0005-0000-0000-0000E8130000}"/>
    <cellStyle name="Insatisfaisant 52 2" xfId="4672" xr:uid="{00000000-0005-0000-0000-0000E9130000}"/>
    <cellStyle name="Insatisfaisant 53" xfId="2273" xr:uid="{00000000-0005-0000-0000-0000EA130000}"/>
    <cellStyle name="Insatisfaisant 53 2" xfId="4673" xr:uid="{00000000-0005-0000-0000-0000EB130000}"/>
    <cellStyle name="Insatisfaisant 54" xfId="2274" xr:uid="{00000000-0005-0000-0000-0000EC130000}"/>
    <cellStyle name="Insatisfaisant 54 2" xfId="4674" xr:uid="{00000000-0005-0000-0000-0000ED130000}"/>
    <cellStyle name="Insatisfaisant 55" xfId="2275" xr:uid="{00000000-0005-0000-0000-0000EE130000}"/>
    <cellStyle name="Insatisfaisant 55 2" xfId="4675" xr:uid="{00000000-0005-0000-0000-0000EF130000}"/>
    <cellStyle name="Insatisfaisant 56" xfId="2276" xr:uid="{00000000-0005-0000-0000-0000F0130000}"/>
    <cellStyle name="Insatisfaisant 56 2" xfId="4676" xr:uid="{00000000-0005-0000-0000-0000F1130000}"/>
    <cellStyle name="Insatisfaisant 57" xfId="2277" xr:uid="{00000000-0005-0000-0000-0000F2130000}"/>
    <cellStyle name="Insatisfaisant 57 2" xfId="4677" xr:uid="{00000000-0005-0000-0000-0000F3130000}"/>
    <cellStyle name="Insatisfaisant 58" xfId="2278" xr:uid="{00000000-0005-0000-0000-0000F4130000}"/>
    <cellStyle name="Insatisfaisant 58 2" xfId="4678" xr:uid="{00000000-0005-0000-0000-0000F5130000}"/>
    <cellStyle name="Insatisfaisant 59" xfId="2279" xr:uid="{00000000-0005-0000-0000-0000F6130000}"/>
    <cellStyle name="Insatisfaisant 59 2" xfId="4679" xr:uid="{00000000-0005-0000-0000-0000F7130000}"/>
    <cellStyle name="Insatisfaisant 6" xfId="349" xr:uid="{00000000-0005-0000-0000-0000F8130000}"/>
    <cellStyle name="Insatisfaisant 6 2" xfId="2280" xr:uid="{00000000-0005-0000-0000-0000F9130000}"/>
    <cellStyle name="Insatisfaisant 6 3" xfId="4680" xr:uid="{00000000-0005-0000-0000-0000FA130000}"/>
    <cellStyle name="Insatisfaisant 7" xfId="350" xr:uid="{00000000-0005-0000-0000-0000FB130000}"/>
    <cellStyle name="Insatisfaisant 7 2" xfId="2281" xr:uid="{00000000-0005-0000-0000-0000FC130000}"/>
    <cellStyle name="Insatisfaisant 7 3" xfId="4681" xr:uid="{00000000-0005-0000-0000-0000FD130000}"/>
    <cellStyle name="Insatisfaisant 8" xfId="351" xr:uid="{00000000-0005-0000-0000-0000FE130000}"/>
    <cellStyle name="Insatisfaisant 8 2" xfId="2282" xr:uid="{00000000-0005-0000-0000-0000FF130000}"/>
    <cellStyle name="Insatisfaisant 8 3" xfId="4682" xr:uid="{00000000-0005-0000-0000-000000140000}"/>
    <cellStyle name="Insatisfaisant 9" xfId="2283" xr:uid="{00000000-0005-0000-0000-000001140000}"/>
    <cellStyle name="Insatisfaisant 9 2" xfId="4683" xr:uid="{00000000-0005-0000-0000-000002140000}"/>
    <cellStyle name="Lien hypertexte" xfId="37" builtinId="8"/>
    <cellStyle name="Lien hypertexte 2" xfId="440" xr:uid="{00000000-0005-0000-0000-000004140000}"/>
    <cellStyle name="Lien hypertexte 2 2" xfId="2284" xr:uid="{00000000-0005-0000-0000-000005140000}"/>
    <cellStyle name="Lien hypertexte 2 3" xfId="5369" xr:uid="{00000000-0005-0000-0000-000006140000}"/>
    <cellStyle name="Milliers" xfId="38" builtinId="3"/>
    <cellStyle name="Milliers 10" xfId="84" xr:uid="{00000000-0005-0000-0000-000008140000}"/>
    <cellStyle name="Milliers 10 10" xfId="6838" xr:uid="{00000000-0005-0000-0000-000009140000}"/>
    <cellStyle name="Milliers 10 2" xfId="456" xr:uid="{00000000-0005-0000-0000-00000A140000}"/>
    <cellStyle name="Milliers 11" xfId="85" xr:uid="{00000000-0005-0000-0000-00000B140000}"/>
    <cellStyle name="Milliers 11 2" xfId="484" xr:uid="{00000000-0005-0000-0000-00000C140000}"/>
    <cellStyle name="Milliers 12" xfId="86" xr:uid="{00000000-0005-0000-0000-00000D140000}"/>
    <cellStyle name="Milliers 12 2" xfId="485" xr:uid="{00000000-0005-0000-0000-00000E140000}"/>
    <cellStyle name="Milliers 13" xfId="87" xr:uid="{00000000-0005-0000-0000-00000F140000}"/>
    <cellStyle name="Milliers 13 2" xfId="486" xr:uid="{00000000-0005-0000-0000-000010140000}"/>
    <cellStyle name="Milliers 14" xfId="88" xr:uid="{00000000-0005-0000-0000-000011140000}"/>
    <cellStyle name="Milliers 14 2" xfId="487" xr:uid="{00000000-0005-0000-0000-000012140000}"/>
    <cellStyle name="Milliers 15" xfId="89" xr:uid="{00000000-0005-0000-0000-000013140000}"/>
    <cellStyle name="Milliers 16" xfId="90" xr:uid="{00000000-0005-0000-0000-000014140000}"/>
    <cellStyle name="Milliers 16 4" xfId="4684" xr:uid="{00000000-0005-0000-0000-000015140000}"/>
    <cellStyle name="Milliers 17" xfId="91" xr:uid="{00000000-0005-0000-0000-000016140000}"/>
    <cellStyle name="Milliers 17 2" xfId="475" xr:uid="{00000000-0005-0000-0000-000017140000}"/>
    <cellStyle name="Milliers 18" xfId="92" xr:uid="{00000000-0005-0000-0000-000018140000}"/>
    <cellStyle name="Milliers 18 2" xfId="481" xr:uid="{00000000-0005-0000-0000-000019140000}"/>
    <cellStyle name="Milliers 19" xfId="93" xr:uid="{00000000-0005-0000-0000-00001A140000}"/>
    <cellStyle name="Milliers 19 2" xfId="471" xr:uid="{00000000-0005-0000-0000-00001B140000}"/>
    <cellStyle name="Milliers 2" xfId="39" xr:uid="{00000000-0005-0000-0000-00001C140000}"/>
    <cellStyle name="Milliers 2 10" xfId="353" xr:uid="{00000000-0005-0000-0000-00001D140000}"/>
    <cellStyle name="Milliers 2 10 2" xfId="489" xr:uid="{00000000-0005-0000-0000-00001E140000}"/>
    <cellStyle name="Milliers 2 10 3" xfId="4685" xr:uid="{00000000-0005-0000-0000-00001F140000}"/>
    <cellStyle name="Milliers 2 11" xfId="354" xr:uid="{00000000-0005-0000-0000-000020140000}"/>
    <cellStyle name="Milliers 2 11 2" xfId="490" xr:uid="{00000000-0005-0000-0000-000021140000}"/>
    <cellStyle name="Milliers 2 12" xfId="491" xr:uid="{00000000-0005-0000-0000-000022140000}"/>
    <cellStyle name="Milliers 2 13" xfId="492" xr:uid="{00000000-0005-0000-0000-000023140000}"/>
    <cellStyle name="Milliers 2 13 2" xfId="4686" xr:uid="{00000000-0005-0000-0000-000024140000}"/>
    <cellStyle name="Milliers 2 14" xfId="493" xr:uid="{00000000-0005-0000-0000-000025140000}"/>
    <cellStyle name="Milliers 2 15" xfId="494" xr:uid="{00000000-0005-0000-0000-000026140000}"/>
    <cellStyle name="Milliers 2 16" xfId="495" xr:uid="{00000000-0005-0000-0000-000027140000}"/>
    <cellStyle name="Milliers 2 17" xfId="496" xr:uid="{00000000-0005-0000-0000-000028140000}"/>
    <cellStyle name="Milliers 2 18" xfId="497" xr:uid="{00000000-0005-0000-0000-000029140000}"/>
    <cellStyle name="Milliers 2 19" xfId="498" xr:uid="{00000000-0005-0000-0000-00002A140000}"/>
    <cellStyle name="Milliers 2 2" xfId="95" xr:uid="{00000000-0005-0000-0000-00002B140000}"/>
    <cellStyle name="Milliers 2 2 2" xfId="2285" xr:uid="{00000000-0005-0000-0000-00002C140000}"/>
    <cellStyle name="Milliers 2 2 2 2" xfId="5376" xr:uid="{00000000-0005-0000-0000-00002D140000}"/>
    <cellStyle name="Milliers 2 2 3" xfId="499" xr:uid="{00000000-0005-0000-0000-00002E140000}"/>
    <cellStyle name="Milliers 2 2 4" xfId="4687" xr:uid="{00000000-0005-0000-0000-00002F140000}"/>
    <cellStyle name="Milliers 2 20" xfId="500" xr:uid="{00000000-0005-0000-0000-000030140000}"/>
    <cellStyle name="Milliers 2 21" xfId="488" xr:uid="{00000000-0005-0000-0000-000031140000}"/>
    <cellStyle name="Milliers 2 22" xfId="5366" xr:uid="{00000000-0005-0000-0000-000032140000}"/>
    <cellStyle name="Milliers 2 3" xfId="94" xr:uid="{00000000-0005-0000-0000-000033140000}"/>
    <cellStyle name="Milliers 2 3 2" xfId="501" xr:uid="{00000000-0005-0000-0000-000034140000}"/>
    <cellStyle name="Milliers 2 3 3" xfId="4688" xr:uid="{00000000-0005-0000-0000-000035140000}"/>
    <cellStyle name="Milliers 2 4" xfId="355" xr:uid="{00000000-0005-0000-0000-000036140000}"/>
    <cellStyle name="Milliers 2 4 2" xfId="502" xr:uid="{00000000-0005-0000-0000-000037140000}"/>
    <cellStyle name="Milliers 2 4 3" xfId="5370" xr:uid="{00000000-0005-0000-0000-000038140000}"/>
    <cellStyle name="Milliers 2 5" xfId="356" xr:uid="{00000000-0005-0000-0000-000039140000}"/>
    <cellStyle name="Milliers 2 5 2" xfId="503" xr:uid="{00000000-0005-0000-0000-00003A140000}"/>
    <cellStyle name="Milliers 2 6" xfId="357" xr:uid="{00000000-0005-0000-0000-00003B140000}"/>
    <cellStyle name="Milliers 2 6 2" xfId="504" xr:uid="{00000000-0005-0000-0000-00003C140000}"/>
    <cellStyle name="Milliers 2 7" xfId="358" xr:uid="{00000000-0005-0000-0000-00003D140000}"/>
    <cellStyle name="Milliers 2 7 2" xfId="505" xr:uid="{00000000-0005-0000-0000-00003E140000}"/>
    <cellStyle name="Milliers 2 8" xfId="359" xr:uid="{00000000-0005-0000-0000-00003F140000}"/>
    <cellStyle name="Milliers 2 8 2" xfId="506" xr:uid="{00000000-0005-0000-0000-000040140000}"/>
    <cellStyle name="Milliers 2 9" xfId="360" xr:uid="{00000000-0005-0000-0000-000041140000}"/>
    <cellStyle name="Milliers 2 9 2" xfId="507" xr:uid="{00000000-0005-0000-0000-000042140000}"/>
    <cellStyle name="Milliers 20" xfId="96" xr:uid="{00000000-0005-0000-0000-000043140000}"/>
    <cellStyle name="Milliers 21" xfId="97" xr:uid="{00000000-0005-0000-0000-000044140000}"/>
    <cellStyle name="Milliers 21 2" xfId="98" xr:uid="{00000000-0005-0000-0000-000045140000}"/>
    <cellStyle name="Milliers 21_Tab bord juillet 15 creance" xfId="99" xr:uid="{00000000-0005-0000-0000-000046140000}"/>
    <cellStyle name="Milliers 22" xfId="100" xr:uid="{00000000-0005-0000-0000-000047140000}"/>
    <cellStyle name="Milliers 22 2" xfId="479" xr:uid="{00000000-0005-0000-0000-000048140000}"/>
    <cellStyle name="Milliers 23" xfId="73" xr:uid="{00000000-0005-0000-0000-000049140000}"/>
    <cellStyle name="Milliers 23 2" xfId="101" xr:uid="{00000000-0005-0000-0000-00004A140000}"/>
    <cellStyle name="Milliers 23 3" xfId="477" xr:uid="{00000000-0005-0000-0000-00004B140000}"/>
    <cellStyle name="Milliers 24" xfId="102" xr:uid="{00000000-0005-0000-0000-00004C140000}"/>
    <cellStyle name="Milliers 24 2" xfId="473" xr:uid="{00000000-0005-0000-0000-00004D140000}"/>
    <cellStyle name="Milliers 25" xfId="103" xr:uid="{00000000-0005-0000-0000-00004E140000}"/>
    <cellStyle name="Milliers 26" xfId="104" xr:uid="{00000000-0005-0000-0000-00004F140000}"/>
    <cellStyle name="Milliers 27" xfId="105" xr:uid="{00000000-0005-0000-0000-000050140000}"/>
    <cellStyle name="Milliers 28" xfId="106" xr:uid="{00000000-0005-0000-0000-000051140000}"/>
    <cellStyle name="Milliers 29" xfId="107" xr:uid="{00000000-0005-0000-0000-000052140000}"/>
    <cellStyle name="Milliers 3" xfId="40" xr:uid="{00000000-0005-0000-0000-000053140000}"/>
    <cellStyle name="Milliers 3 10" xfId="5367" xr:uid="{00000000-0005-0000-0000-000054140000}"/>
    <cellStyle name="Milliers 3 2" xfId="70" xr:uid="{00000000-0005-0000-0000-000055140000}"/>
    <cellStyle name="Milliers 3 2 2" xfId="361" xr:uid="{00000000-0005-0000-0000-000056140000}"/>
    <cellStyle name="Milliers 3 2 3" xfId="2287" xr:uid="{00000000-0005-0000-0000-000057140000}"/>
    <cellStyle name="Milliers 3 2 4" xfId="5373" xr:uid="{00000000-0005-0000-0000-000058140000}"/>
    <cellStyle name="Milliers 3 3" xfId="72" xr:uid="{00000000-0005-0000-0000-000059140000}"/>
    <cellStyle name="Milliers 3 3 2" xfId="362" xr:uid="{00000000-0005-0000-0000-00005A140000}"/>
    <cellStyle name="Milliers 3 4" xfId="363" xr:uid="{00000000-0005-0000-0000-00005B140000}"/>
    <cellStyle name="Milliers 3 5" xfId="364" xr:uid="{00000000-0005-0000-0000-00005C140000}"/>
    <cellStyle name="Milliers 3 6" xfId="365" xr:uid="{00000000-0005-0000-0000-00005D140000}"/>
    <cellStyle name="Milliers 3 7" xfId="366" xr:uid="{00000000-0005-0000-0000-00005E140000}"/>
    <cellStyle name="Milliers 3 8" xfId="367" xr:uid="{00000000-0005-0000-0000-00005F140000}"/>
    <cellStyle name="Milliers 3 9" xfId="2286" xr:uid="{00000000-0005-0000-0000-000060140000}"/>
    <cellStyle name="Milliers 30" xfId="108" xr:uid="{00000000-0005-0000-0000-000061140000}"/>
    <cellStyle name="Milliers 31" xfId="109" xr:uid="{00000000-0005-0000-0000-000062140000}"/>
    <cellStyle name="Milliers 32" xfId="110" xr:uid="{00000000-0005-0000-0000-000063140000}"/>
    <cellStyle name="Milliers 33" xfId="111" xr:uid="{00000000-0005-0000-0000-000064140000}"/>
    <cellStyle name="Milliers 34" xfId="112" xr:uid="{00000000-0005-0000-0000-000065140000}"/>
    <cellStyle name="Milliers 35" xfId="113" xr:uid="{00000000-0005-0000-0000-000066140000}"/>
    <cellStyle name="Milliers 36" xfId="114" xr:uid="{00000000-0005-0000-0000-000067140000}"/>
    <cellStyle name="Milliers 37" xfId="115" xr:uid="{00000000-0005-0000-0000-000068140000}"/>
    <cellStyle name="Milliers 38" xfId="116" xr:uid="{00000000-0005-0000-0000-000069140000}"/>
    <cellStyle name="Milliers 39" xfId="117" xr:uid="{00000000-0005-0000-0000-00006A140000}"/>
    <cellStyle name="Milliers 4" xfId="41" xr:uid="{00000000-0005-0000-0000-00006B140000}"/>
    <cellStyle name="Milliers 4 2" xfId="368" xr:uid="{00000000-0005-0000-0000-00006C140000}"/>
    <cellStyle name="Milliers 4 3" xfId="2288" xr:uid="{00000000-0005-0000-0000-00006D140000}"/>
    <cellStyle name="Milliers 4 4" xfId="6843" xr:uid="{00000000-0005-0000-0000-00006E140000}"/>
    <cellStyle name="Milliers 4 5" xfId="6846" xr:uid="{00000000-0005-0000-0000-00006F140000}"/>
    <cellStyle name="Milliers 40" xfId="118" xr:uid="{00000000-0005-0000-0000-000070140000}"/>
    <cellStyle name="Milliers 41" xfId="119" xr:uid="{00000000-0005-0000-0000-000071140000}"/>
    <cellStyle name="Milliers 42" xfId="120" xr:uid="{00000000-0005-0000-0000-000072140000}"/>
    <cellStyle name="Milliers 42 2" xfId="121" xr:uid="{00000000-0005-0000-0000-000073140000}"/>
    <cellStyle name="Milliers 43" xfId="122" xr:uid="{00000000-0005-0000-0000-000074140000}"/>
    <cellStyle name="Milliers 44" xfId="123" xr:uid="{00000000-0005-0000-0000-000075140000}"/>
    <cellStyle name="Milliers 45" xfId="124" xr:uid="{00000000-0005-0000-0000-000076140000}"/>
    <cellStyle name="Milliers 46" xfId="125" xr:uid="{00000000-0005-0000-0000-000077140000}"/>
    <cellStyle name="Milliers 47" xfId="126" xr:uid="{00000000-0005-0000-0000-000078140000}"/>
    <cellStyle name="Milliers 48" xfId="127" xr:uid="{00000000-0005-0000-0000-000079140000}"/>
    <cellStyle name="Milliers 49" xfId="128" xr:uid="{00000000-0005-0000-0000-00007A140000}"/>
    <cellStyle name="Milliers 5" xfId="42" xr:uid="{00000000-0005-0000-0000-00007B140000}"/>
    <cellStyle name="Milliers 5 2" xfId="129" xr:uid="{00000000-0005-0000-0000-00007C140000}"/>
    <cellStyle name="Milliers 5 3" xfId="508" xr:uid="{00000000-0005-0000-0000-00007D140000}"/>
    <cellStyle name="Milliers 5 4" xfId="4689" xr:uid="{00000000-0005-0000-0000-00007E140000}"/>
    <cellStyle name="Milliers 50" xfId="130" xr:uid="{00000000-0005-0000-0000-00007F140000}"/>
    <cellStyle name="Milliers 51" xfId="131" xr:uid="{00000000-0005-0000-0000-000080140000}"/>
    <cellStyle name="Milliers 52" xfId="132" xr:uid="{00000000-0005-0000-0000-000081140000}"/>
    <cellStyle name="Milliers 52 2" xfId="133" xr:uid="{00000000-0005-0000-0000-000082140000}"/>
    <cellStyle name="Milliers 53" xfId="134" xr:uid="{00000000-0005-0000-0000-000083140000}"/>
    <cellStyle name="Milliers 53 2" xfId="135" xr:uid="{00000000-0005-0000-0000-000084140000}"/>
    <cellStyle name="Milliers 54" xfId="136" xr:uid="{00000000-0005-0000-0000-000085140000}"/>
    <cellStyle name="Milliers 54 2" xfId="137" xr:uid="{00000000-0005-0000-0000-000086140000}"/>
    <cellStyle name="Milliers 55" xfId="138" xr:uid="{00000000-0005-0000-0000-000087140000}"/>
    <cellStyle name="Milliers 56" xfId="139" xr:uid="{00000000-0005-0000-0000-000088140000}"/>
    <cellStyle name="Milliers 57" xfId="140" xr:uid="{00000000-0005-0000-0000-000089140000}"/>
    <cellStyle name="Milliers 58" xfId="141" xr:uid="{00000000-0005-0000-0000-00008A140000}"/>
    <cellStyle name="Milliers 59" xfId="83" xr:uid="{00000000-0005-0000-0000-00008B140000}"/>
    <cellStyle name="Milliers 6" xfId="71" xr:uid="{00000000-0005-0000-0000-00008C140000}"/>
    <cellStyle name="Milliers 6 2" xfId="69" xr:uid="{00000000-0005-0000-0000-00008D140000}"/>
    <cellStyle name="Milliers 6 3" xfId="142" xr:uid="{00000000-0005-0000-0000-00008E140000}"/>
    <cellStyle name="Milliers 6 4" xfId="369" xr:uid="{00000000-0005-0000-0000-00008F140000}"/>
    <cellStyle name="Milliers 6 5" xfId="509" xr:uid="{00000000-0005-0000-0000-000090140000}"/>
    <cellStyle name="Milliers 6 6" xfId="5371" xr:uid="{00000000-0005-0000-0000-000091140000}"/>
    <cellStyle name="Milliers 60" xfId="352" xr:uid="{00000000-0005-0000-0000-000092140000}"/>
    <cellStyle name="Milliers 61" xfId="414" xr:uid="{00000000-0005-0000-0000-000093140000}"/>
    <cellStyle name="Milliers 62" xfId="458" xr:uid="{00000000-0005-0000-0000-000094140000}"/>
    <cellStyle name="Milliers 63" xfId="459" xr:uid="{00000000-0005-0000-0000-000095140000}"/>
    <cellStyle name="Milliers 64" xfId="466" xr:uid="{00000000-0005-0000-0000-000096140000}"/>
    <cellStyle name="Milliers 64 2" xfId="4690" xr:uid="{00000000-0005-0000-0000-000097140000}"/>
    <cellStyle name="Milliers 64 3" xfId="6829" xr:uid="{00000000-0005-0000-0000-000098140000}"/>
    <cellStyle name="Milliers 65" xfId="538" xr:uid="{00000000-0005-0000-0000-000099140000}"/>
    <cellStyle name="Milliers 66" xfId="5362" xr:uid="{00000000-0005-0000-0000-00009A140000}"/>
    <cellStyle name="Milliers 67" xfId="5363" xr:uid="{00000000-0005-0000-0000-00009B140000}"/>
    <cellStyle name="Milliers 7" xfId="75" xr:uid="{00000000-0005-0000-0000-00009C140000}"/>
    <cellStyle name="Milliers 7 2" xfId="143" xr:uid="{00000000-0005-0000-0000-00009D140000}"/>
    <cellStyle name="Milliers 7 3" xfId="510" xr:uid="{00000000-0005-0000-0000-00009E140000}"/>
    <cellStyle name="Milliers 7 4" xfId="4691" xr:uid="{00000000-0005-0000-0000-00009F140000}"/>
    <cellStyle name="Milliers 8" xfId="144" xr:uid="{00000000-0005-0000-0000-0000A0140000}"/>
    <cellStyle name="Milliers 8 2" xfId="370" xr:uid="{00000000-0005-0000-0000-0000A1140000}"/>
    <cellStyle name="Milliers 8 3" xfId="511" xr:uid="{00000000-0005-0000-0000-0000A2140000}"/>
    <cellStyle name="Milliers 9" xfId="145" xr:uid="{00000000-0005-0000-0000-0000A3140000}"/>
    <cellStyle name="Milliers 9 2" xfId="512" xr:uid="{00000000-0005-0000-0000-0000A4140000}"/>
    <cellStyle name="Milliers 92" xfId="2289" xr:uid="{00000000-0005-0000-0000-0000A5140000}"/>
    <cellStyle name="Milliers_T.B 03-07" xfId="43" xr:uid="{00000000-0005-0000-0000-0000A6140000}"/>
    <cellStyle name="Monétaire 5" xfId="146" xr:uid="{00000000-0005-0000-0000-0000A7140000}"/>
    <cellStyle name="Monétaire 6" xfId="147" xr:uid="{00000000-0005-0000-0000-0000A8140000}"/>
    <cellStyle name="Monétaire 7" xfId="148" xr:uid="{00000000-0005-0000-0000-0000A9140000}"/>
    <cellStyle name="Monétaire 7 2" xfId="149" xr:uid="{00000000-0005-0000-0000-0000AA140000}"/>
    <cellStyle name="Monétaire 8" xfId="150" xr:uid="{00000000-0005-0000-0000-0000AB140000}"/>
    <cellStyle name="Monétaire 9" xfId="151" xr:uid="{00000000-0005-0000-0000-0000AC140000}"/>
    <cellStyle name="Neutre 10" xfId="2290" xr:uid="{00000000-0005-0000-0000-0000AD140000}"/>
    <cellStyle name="Neutre 10 2" xfId="4692" xr:uid="{00000000-0005-0000-0000-0000AE140000}"/>
    <cellStyle name="Neutre 11" xfId="2291" xr:uid="{00000000-0005-0000-0000-0000AF140000}"/>
    <cellStyle name="Neutre 11 2" xfId="4693" xr:uid="{00000000-0005-0000-0000-0000B0140000}"/>
    <cellStyle name="Neutre 12" xfId="2292" xr:uid="{00000000-0005-0000-0000-0000B1140000}"/>
    <cellStyle name="Neutre 12 2" xfId="4694" xr:uid="{00000000-0005-0000-0000-0000B2140000}"/>
    <cellStyle name="Neutre 13" xfId="2293" xr:uid="{00000000-0005-0000-0000-0000B3140000}"/>
    <cellStyle name="Neutre 13 2" xfId="4695" xr:uid="{00000000-0005-0000-0000-0000B4140000}"/>
    <cellStyle name="Neutre 14" xfId="2294" xr:uid="{00000000-0005-0000-0000-0000B5140000}"/>
    <cellStyle name="Neutre 14 2" xfId="4696" xr:uid="{00000000-0005-0000-0000-0000B6140000}"/>
    <cellStyle name="Neutre 15" xfId="2295" xr:uid="{00000000-0005-0000-0000-0000B7140000}"/>
    <cellStyle name="Neutre 15 2" xfId="4697" xr:uid="{00000000-0005-0000-0000-0000B8140000}"/>
    <cellStyle name="Neutre 16" xfId="2296" xr:uid="{00000000-0005-0000-0000-0000B9140000}"/>
    <cellStyle name="Neutre 16 2" xfId="4698" xr:uid="{00000000-0005-0000-0000-0000BA140000}"/>
    <cellStyle name="Neutre 17" xfId="2297" xr:uid="{00000000-0005-0000-0000-0000BB140000}"/>
    <cellStyle name="Neutre 17 2" xfId="4699" xr:uid="{00000000-0005-0000-0000-0000BC140000}"/>
    <cellStyle name="Neutre 18" xfId="2298" xr:uid="{00000000-0005-0000-0000-0000BD140000}"/>
    <cellStyle name="Neutre 18 2" xfId="4700" xr:uid="{00000000-0005-0000-0000-0000BE140000}"/>
    <cellStyle name="Neutre 19" xfId="2299" xr:uid="{00000000-0005-0000-0000-0000BF140000}"/>
    <cellStyle name="Neutre 19 2" xfId="4701" xr:uid="{00000000-0005-0000-0000-0000C0140000}"/>
    <cellStyle name="Neutre 2" xfId="44" xr:uid="{00000000-0005-0000-0000-0000C1140000}"/>
    <cellStyle name="Neutre 2 2" xfId="2300" xr:uid="{00000000-0005-0000-0000-0000C2140000}"/>
    <cellStyle name="Neutre 2 3" xfId="4702" xr:uid="{00000000-0005-0000-0000-0000C3140000}"/>
    <cellStyle name="Neutre 20" xfId="2301" xr:uid="{00000000-0005-0000-0000-0000C4140000}"/>
    <cellStyle name="Neutre 20 2" xfId="4703" xr:uid="{00000000-0005-0000-0000-0000C5140000}"/>
    <cellStyle name="Neutre 21" xfId="2302" xr:uid="{00000000-0005-0000-0000-0000C6140000}"/>
    <cellStyle name="Neutre 21 2" xfId="4704" xr:uid="{00000000-0005-0000-0000-0000C7140000}"/>
    <cellStyle name="Neutre 22" xfId="2303" xr:uid="{00000000-0005-0000-0000-0000C8140000}"/>
    <cellStyle name="Neutre 22 2" xfId="4705" xr:uid="{00000000-0005-0000-0000-0000C9140000}"/>
    <cellStyle name="Neutre 23" xfId="2304" xr:uid="{00000000-0005-0000-0000-0000CA140000}"/>
    <cellStyle name="Neutre 23 2" xfId="4706" xr:uid="{00000000-0005-0000-0000-0000CB140000}"/>
    <cellStyle name="Neutre 24" xfId="2305" xr:uid="{00000000-0005-0000-0000-0000CC140000}"/>
    <cellStyle name="Neutre 24 2" xfId="4707" xr:uid="{00000000-0005-0000-0000-0000CD140000}"/>
    <cellStyle name="Neutre 25" xfId="2306" xr:uid="{00000000-0005-0000-0000-0000CE140000}"/>
    <cellStyle name="Neutre 25 2" xfId="4708" xr:uid="{00000000-0005-0000-0000-0000CF140000}"/>
    <cellStyle name="Neutre 26" xfId="2307" xr:uid="{00000000-0005-0000-0000-0000D0140000}"/>
    <cellStyle name="Neutre 26 2" xfId="4709" xr:uid="{00000000-0005-0000-0000-0000D1140000}"/>
    <cellStyle name="Neutre 27" xfId="2308" xr:uid="{00000000-0005-0000-0000-0000D2140000}"/>
    <cellStyle name="Neutre 27 2" xfId="4710" xr:uid="{00000000-0005-0000-0000-0000D3140000}"/>
    <cellStyle name="Neutre 28" xfId="2309" xr:uid="{00000000-0005-0000-0000-0000D4140000}"/>
    <cellStyle name="Neutre 28 2" xfId="4711" xr:uid="{00000000-0005-0000-0000-0000D5140000}"/>
    <cellStyle name="Neutre 29" xfId="2310" xr:uid="{00000000-0005-0000-0000-0000D6140000}"/>
    <cellStyle name="Neutre 29 2" xfId="4712" xr:uid="{00000000-0005-0000-0000-0000D7140000}"/>
    <cellStyle name="Neutre 3" xfId="371" xr:uid="{00000000-0005-0000-0000-0000D8140000}"/>
    <cellStyle name="Neutre 3 2" xfId="2311" xr:uid="{00000000-0005-0000-0000-0000D9140000}"/>
    <cellStyle name="Neutre 3 3" xfId="4713" xr:uid="{00000000-0005-0000-0000-0000DA140000}"/>
    <cellStyle name="Neutre 30" xfId="2312" xr:uid="{00000000-0005-0000-0000-0000DB140000}"/>
    <cellStyle name="Neutre 30 2" xfId="4714" xr:uid="{00000000-0005-0000-0000-0000DC140000}"/>
    <cellStyle name="Neutre 31" xfId="2313" xr:uid="{00000000-0005-0000-0000-0000DD140000}"/>
    <cellStyle name="Neutre 31 2" xfId="4715" xr:uid="{00000000-0005-0000-0000-0000DE140000}"/>
    <cellStyle name="Neutre 32" xfId="2314" xr:uid="{00000000-0005-0000-0000-0000DF140000}"/>
    <cellStyle name="Neutre 32 2" xfId="4716" xr:uid="{00000000-0005-0000-0000-0000E0140000}"/>
    <cellStyle name="Neutre 33" xfId="2315" xr:uid="{00000000-0005-0000-0000-0000E1140000}"/>
    <cellStyle name="Neutre 33 2" xfId="4717" xr:uid="{00000000-0005-0000-0000-0000E2140000}"/>
    <cellStyle name="Neutre 34" xfId="2316" xr:uid="{00000000-0005-0000-0000-0000E3140000}"/>
    <cellStyle name="Neutre 34 2" xfId="4718" xr:uid="{00000000-0005-0000-0000-0000E4140000}"/>
    <cellStyle name="Neutre 35" xfId="2317" xr:uid="{00000000-0005-0000-0000-0000E5140000}"/>
    <cellStyle name="Neutre 35 2" xfId="4719" xr:uid="{00000000-0005-0000-0000-0000E6140000}"/>
    <cellStyle name="Neutre 36" xfId="2318" xr:uid="{00000000-0005-0000-0000-0000E7140000}"/>
    <cellStyle name="Neutre 36 2" xfId="4720" xr:uid="{00000000-0005-0000-0000-0000E8140000}"/>
    <cellStyle name="Neutre 37" xfId="2319" xr:uid="{00000000-0005-0000-0000-0000E9140000}"/>
    <cellStyle name="Neutre 37 2" xfId="4721" xr:uid="{00000000-0005-0000-0000-0000EA140000}"/>
    <cellStyle name="Neutre 38" xfId="2320" xr:uid="{00000000-0005-0000-0000-0000EB140000}"/>
    <cellStyle name="Neutre 38 2" xfId="4722" xr:uid="{00000000-0005-0000-0000-0000EC140000}"/>
    <cellStyle name="Neutre 39" xfId="2321" xr:uid="{00000000-0005-0000-0000-0000ED140000}"/>
    <cellStyle name="Neutre 39 2" xfId="4723" xr:uid="{00000000-0005-0000-0000-0000EE140000}"/>
    <cellStyle name="Neutre 4" xfId="372" xr:uid="{00000000-0005-0000-0000-0000EF140000}"/>
    <cellStyle name="Neutre 4 2" xfId="2322" xr:uid="{00000000-0005-0000-0000-0000F0140000}"/>
    <cellStyle name="Neutre 4 3" xfId="4724" xr:uid="{00000000-0005-0000-0000-0000F1140000}"/>
    <cellStyle name="Neutre 40" xfId="2323" xr:uid="{00000000-0005-0000-0000-0000F2140000}"/>
    <cellStyle name="Neutre 40 2" xfId="4725" xr:uid="{00000000-0005-0000-0000-0000F3140000}"/>
    <cellStyle name="Neutre 41" xfId="2324" xr:uid="{00000000-0005-0000-0000-0000F4140000}"/>
    <cellStyle name="Neutre 41 2" xfId="4726" xr:uid="{00000000-0005-0000-0000-0000F5140000}"/>
    <cellStyle name="Neutre 42" xfId="2325" xr:uid="{00000000-0005-0000-0000-0000F6140000}"/>
    <cellStyle name="Neutre 42 2" xfId="4727" xr:uid="{00000000-0005-0000-0000-0000F7140000}"/>
    <cellStyle name="Neutre 43" xfId="2326" xr:uid="{00000000-0005-0000-0000-0000F8140000}"/>
    <cellStyle name="Neutre 43 2" xfId="4728" xr:uid="{00000000-0005-0000-0000-0000F9140000}"/>
    <cellStyle name="Neutre 44" xfId="2327" xr:uid="{00000000-0005-0000-0000-0000FA140000}"/>
    <cellStyle name="Neutre 44 2" xfId="4729" xr:uid="{00000000-0005-0000-0000-0000FB140000}"/>
    <cellStyle name="Neutre 45" xfId="2328" xr:uid="{00000000-0005-0000-0000-0000FC140000}"/>
    <cellStyle name="Neutre 45 2" xfId="4730" xr:uid="{00000000-0005-0000-0000-0000FD140000}"/>
    <cellStyle name="Neutre 46" xfId="2329" xr:uid="{00000000-0005-0000-0000-0000FE140000}"/>
    <cellStyle name="Neutre 46 2" xfId="4731" xr:uid="{00000000-0005-0000-0000-0000FF140000}"/>
    <cellStyle name="Neutre 47" xfId="2330" xr:uid="{00000000-0005-0000-0000-000000150000}"/>
    <cellStyle name="Neutre 47 2" xfId="4732" xr:uid="{00000000-0005-0000-0000-000001150000}"/>
    <cellStyle name="Neutre 48" xfId="2331" xr:uid="{00000000-0005-0000-0000-000002150000}"/>
    <cellStyle name="Neutre 48 2" xfId="4733" xr:uid="{00000000-0005-0000-0000-000003150000}"/>
    <cellStyle name="Neutre 49" xfId="2332" xr:uid="{00000000-0005-0000-0000-000004150000}"/>
    <cellStyle name="Neutre 49 2" xfId="4734" xr:uid="{00000000-0005-0000-0000-000005150000}"/>
    <cellStyle name="Neutre 5" xfId="373" xr:uid="{00000000-0005-0000-0000-000006150000}"/>
    <cellStyle name="Neutre 5 2" xfId="2333" xr:uid="{00000000-0005-0000-0000-000007150000}"/>
    <cellStyle name="Neutre 5 3" xfId="4735" xr:uid="{00000000-0005-0000-0000-000008150000}"/>
    <cellStyle name="Neutre 50" xfId="2334" xr:uid="{00000000-0005-0000-0000-000009150000}"/>
    <cellStyle name="Neutre 50 2" xfId="4736" xr:uid="{00000000-0005-0000-0000-00000A150000}"/>
    <cellStyle name="Neutre 51" xfId="2335" xr:uid="{00000000-0005-0000-0000-00000B150000}"/>
    <cellStyle name="Neutre 51 2" xfId="4737" xr:uid="{00000000-0005-0000-0000-00000C150000}"/>
    <cellStyle name="Neutre 52" xfId="2336" xr:uid="{00000000-0005-0000-0000-00000D150000}"/>
    <cellStyle name="Neutre 52 2" xfId="4738" xr:uid="{00000000-0005-0000-0000-00000E150000}"/>
    <cellStyle name="Neutre 53" xfId="2337" xr:uid="{00000000-0005-0000-0000-00000F150000}"/>
    <cellStyle name="Neutre 53 2" xfId="4739" xr:uid="{00000000-0005-0000-0000-000010150000}"/>
    <cellStyle name="Neutre 54" xfId="2338" xr:uid="{00000000-0005-0000-0000-000011150000}"/>
    <cellStyle name="Neutre 54 2" xfId="4740" xr:uid="{00000000-0005-0000-0000-000012150000}"/>
    <cellStyle name="Neutre 55" xfId="2339" xr:uid="{00000000-0005-0000-0000-000013150000}"/>
    <cellStyle name="Neutre 55 2" xfId="4741" xr:uid="{00000000-0005-0000-0000-000014150000}"/>
    <cellStyle name="Neutre 56" xfId="2340" xr:uid="{00000000-0005-0000-0000-000015150000}"/>
    <cellStyle name="Neutre 56 2" xfId="4742" xr:uid="{00000000-0005-0000-0000-000016150000}"/>
    <cellStyle name="Neutre 57" xfId="2341" xr:uid="{00000000-0005-0000-0000-000017150000}"/>
    <cellStyle name="Neutre 57 2" xfId="4743" xr:uid="{00000000-0005-0000-0000-000018150000}"/>
    <cellStyle name="Neutre 58" xfId="2342" xr:uid="{00000000-0005-0000-0000-000019150000}"/>
    <cellStyle name="Neutre 58 2" xfId="4744" xr:uid="{00000000-0005-0000-0000-00001A150000}"/>
    <cellStyle name="Neutre 59" xfId="2343" xr:uid="{00000000-0005-0000-0000-00001B150000}"/>
    <cellStyle name="Neutre 59 2" xfId="4745" xr:uid="{00000000-0005-0000-0000-00001C150000}"/>
    <cellStyle name="Neutre 6" xfId="374" xr:uid="{00000000-0005-0000-0000-00001D150000}"/>
    <cellStyle name="Neutre 6 2" xfId="2344" xr:uid="{00000000-0005-0000-0000-00001E150000}"/>
    <cellStyle name="Neutre 6 3" xfId="4746" xr:uid="{00000000-0005-0000-0000-00001F150000}"/>
    <cellStyle name="Neutre 7" xfId="375" xr:uid="{00000000-0005-0000-0000-000020150000}"/>
    <cellStyle name="Neutre 7 2" xfId="2345" xr:uid="{00000000-0005-0000-0000-000021150000}"/>
    <cellStyle name="Neutre 7 3" xfId="4747" xr:uid="{00000000-0005-0000-0000-000022150000}"/>
    <cellStyle name="Neutre 8" xfId="376" xr:uid="{00000000-0005-0000-0000-000023150000}"/>
    <cellStyle name="Neutre 8 2" xfId="2346" xr:uid="{00000000-0005-0000-0000-000024150000}"/>
    <cellStyle name="Neutre 8 3" xfId="4748" xr:uid="{00000000-0005-0000-0000-000025150000}"/>
    <cellStyle name="Neutre 9" xfId="2347" xr:uid="{00000000-0005-0000-0000-000026150000}"/>
    <cellStyle name="Neutre 9 2" xfId="4749" xr:uid="{00000000-0005-0000-0000-000027150000}"/>
    <cellStyle name="Normal" xfId="0" builtinId="0"/>
    <cellStyle name="Normal 10" xfId="74" xr:uid="{00000000-0005-0000-0000-000029150000}"/>
    <cellStyle name="Normal 10 2" xfId="152" xr:uid="{00000000-0005-0000-0000-00002A150000}"/>
    <cellStyle name="Normal 10 2 2" xfId="6808" xr:uid="{00000000-0005-0000-0000-00002B150000}"/>
    <cellStyle name="Normal 10 3" xfId="4750" xr:uid="{00000000-0005-0000-0000-00002C150000}"/>
    <cellStyle name="Normal 10 4" xfId="6079" xr:uid="{00000000-0005-0000-0000-00002D150000}"/>
    <cellStyle name="Normal 102" xfId="4751" xr:uid="{00000000-0005-0000-0000-00002E150000}"/>
    <cellStyle name="Normal 103" xfId="4752" xr:uid="{00000000-0005-0000-0000-00002F150000}"/>
    <cellStyle name="Normal 11" xfId="153" xr:uid="{00000000-0005-0000-0000-000030150000}"/>
    <cellStyle name="Normal 11 2" xfId="480" xr:uid="{00000000-0005-0000-0000-000031150000}"/>
    <cellStyle name="Normal 12" xfId="154" xr:uid="{00000000-0005-0000-0000-000032150000}"/>
    <cellStyle name="Normal 12 2" xfId="4753" xr:uid="{00000000-0005-0000-0000-000033150000}"/>
    <cellStyle name="Normal 12 2 2" xfId="6809" xr:uid="{00000000-0005-0000-0000-000034150000}"/>
    <cellStyle name="Normal 12 3" xfId="6080" xr:uid="{00000000-0005-0000-0000-000035150000}"/>
    <cellStyle name="Normal 13" xfId="155" xr:uid="{00000000-0005-0000-0000-000036150000}"/>
    <cellStyle name="Normal 13 2" xfId="513" xr:uid="{00000000-0005-0000-0000-000037150000}"/>
    <cellStyle name="Normal 14" xfId="447" xr:uid="{00000000-0005-0000-0000-000038150000}"/>
    <cellStyle name="Normal 14 2" xfId="514" xr:uid="{00000000-0005-0000-0000-000039150000}"/>
    <cellStyle name="Normal 14 2 2" xfId="6810" xr:uid="{00000000-0005-0000-0000-00003A150000}"/>
    <cellStyle name="Normal 14 3" xfId="4754" xr:uid="{00000000-0005-0000-0000-00003B150000}"/>
    <cellStyle name="Normal 14 4" xfId="6081" xr:uid="{00000000-0005-0000-0000-00003C150000}"/>
    <cellStyle name="Normal 15" xfId="454" xr:uid="{00000000-0005-0000-0000-00003D150000}"/>
    <cellStyle name="Normal 15 2" xfId="2348" xr:uid="{00000000-0005-0000-0000-00003E150000}"/>
    <cellStyle name="Normal 15 2 2" xfId="6811" xr:uid="{00000000-0005-0000-0000-00003F150000}"/>
    <cellStyle name="Normal 15 3" xfId="4755" xr:uid="{00000000-0005-0000-0000-000040150000}"/>
    <cellStyle name="Normal 15 4" xfId="6082" xr:uid="{00000000-0005-0000-0000-000041150000}"/>
    <cellStyle name="Normal 16" xfId="464" xr:uid="{00000000-0005-0000-0000-000042150000}"/>
    <cellStyle name="Normal 16 2" xfId="2349" xr:uid="{00000000-0005-0000-0000-000043150000}"/>
    <cellStyle name="Normal 16 2 2" xfId="6812" xr:uid="{00000000-0005-0000-0000-000044150000}"/>
    <cellStyle name="Normal 16 3" xfId="4756" xr:uid="{00000000-0005-0000-0000-000045150000}"/>
    <cellStyle name="Normal 16 4" xfId="6083" xr:uid="{00000000-0005-0000-0000-000046150000}"/>
    <cellStyle name="Normal 17" xfId="2350" xr:uid="{00000000-0005-0000-0000-000047150000}"/>
    <cellStyle name="Normal 17 2" xfId="4757" xr:uid="{00000000-0005-0000-0000-000048150000}"/>
    <cellStyle name="Normal 17 2 2" xfId="6813" xr:uid="{00000000-0005-0000-0000-000049150000}"/>
    <cellStyle name="Normal 17 3" xfId="6084" xr:uid="{00000000-0005-0000-0000-00004A150000}"/>
    <cellStyle name="Normal 18" xfId="2351" xr:uid="{00000000-0005-0000-0000-00004B150000}"/>
    <cellStyle name="Normal 18 2" xfId="4758" xr:uid="{00000000-0005-0000-0000-00004C150000}"/>
    <cellStyle name="Normal 18 2 2" xfId="6814" xr:uid="{00000000-0005-0000-0000-00004D150000}"/>
    <cellStyle name="Normal 18 3" xfId="6085" xr:uid="{00000000-0005-0000-0000-00004E150000}"/>
    <cellStyle name="Normal 19" xfId="2352" xr:uid="{00000000-0005-0000-0000-00004F150000}"/>
    <cellStyle name="Normal 19 2" xfId="4759" xr:uid="{00000000-0005-0000-0000-000050150000}"/>
    <cellStyle name="Normal 19 2 2" xfId="6815" xr:uid="{00000000-0005-0000-0000-000051150000}"/>
    <cellStyle name="Normal 19 3" xfId="6086" xr:uid="{00000000-0005-0000-0000-000052150000}"/>
    <cellStyle name="Normal 2" xfId="45" xr:uid="{00000000-0005-0000-0000-000053150000}"/>
    <cellStyle name="Normal 2 10" xfId="515" xr:uid="{00000000-0005-0000-0000-000054150000}"/>
    <cellStyle name="Normal 2 11" xfId="516" xr:uid="{00000000-0005-0000-0000-000055150000}"/>
    <cellStyle name="Normal 2 12" xfId="517" xr:uid="{00000000-0005-0000-0000-000056150000}"/>
    <cellStyle name="Normal 2 13" xfId="518" xr:uid="{00000000-0005-0000-0000-000057150000}"/>
    <cellStyle name="Normal 2 14" xfId="519" xr:uid="{00000000-0005-0000-0000-000058150000}"/>
    <cellStyle name="Normal 2 15" xfId="520" xr:uid="{00000000-0005-0000-0000-000059150000}"/>
    <cellStyle name="Normal 2 16" xfId="521" xr:uid="{00000000-0005-0000-0000-00005A150000}"/>
    <cellStyle name="Normal 2 17" xfId="522" xr:uid="{00000000-0005-0000-0000-00005B150000}"/>
    <cellStyle name="Normal 2 18" xfId="523" xr:uid="{00000000-0005-0000-0000-00005C150000}"/>
    <cellStyle name="Normal 2 19" xfId="524" xr:uid="{00000000-0005-0000-0000-00005D150000}"/>
    <cellStyle name="Normal 2 2" xfId="46" xr:uid="{00000000-0005-0000-0000-00005E150000}"/>
    <cellStyle name="Normal 2 2 2" xfId="47" xr:uid="{00000000-0005-0000-0000-00005F150000}"/>
    <cellStyle name="Normal 2 2 2 2" xfId="2353" xr:uid="{00000000-0005-0000-0000-000060150000}"/>
    <cellStyle name="Normal 2 2 3" xfId="460" xr:uid="{00000000-0005-0000-0000-000061150000}"/>
    <cellStyle name="Normal 2 2 3 2" xfId="2354" xr:uid="{00000000-0005-0000-0000-000062150000}"/>
    <cellStyle name="Normal 2 2 3 3" xfId="4761" xr:uid="{00000000-0005-0000-0000-000063150000}"/>
    <cellStyle name="Normal 2 2 3 4" xfId="6105" xr:uid="{00000000-0005-0000-0000-000064150000}"/>
    <cellStyle name="Normal 2 2 4" xfId="2355" xr:uid="{00000000-0005-0000-0000-000065150000}"/>
    <cellStyle name="Normal 2 2 5" xfId="526" xr:uid="{00000000-0005-0000-0000-000066150000}"/>
    <cellStyle name="Normal 2 2 6" xfId="4760" xr:uid="{00000000-0005-0000-0000-000067150000}"/>
    <cellStyle name="Normal 2 2 7" xfId="5375" xr:uid="{00000000-0005-0000-0000-000068150000}"/>
    <cellStyle name="Normal 2 20" xfId="527" xr:uid="{00000000-0005-0000-0000-000069150000}"/>
    <cellStyle name="Normal 2 3" xfId="401" xr:uid="{00000000-0005-0000-0000-00006A150000}"/>
    <cellStyle name="Normal 2 3 2" xfId="528" xr:uid="{00000000-0005-0000-0000-00006B150000}"/>
    <cellStyle name="Normal 2 4" xfId="529" xr:uid="{00000000-0005-0000-0000-00006C150000}"/>
    <cellStyle name="Normal 2 5" xfId="530" xr:uid="{00000000-0005-0000-0000-00006D150000}"/>
    <cellStyle name="Normal 2 6" xfId="531" xr:uid="{00000000-0005-0000-0000-00006E150000}"/>
    <cellStyle name="Normal 2 7" xfId="532" xr:uid="{00000000-0005-0000-0000-00006F150000}"/>
    <cellStyle name="Normal 2 8" xfId="533" xr:uid="{00000000-0005-0000-0000-000070150000}"/>
    <cellStyle name="Normal 2 9" xfId="534" xr:uid="{00000000-0005-0000-0000-000071150000}"/>
    <cellStyle name="Normal 2_Classeur1" xfId="48" xr:uid="{00000000-0005-0000-0000-000072150000}"/>
    <cellStyle name="Normal 2_T.B1" xfId="49" xr:uid="{00000000-0005-0000-0000-000073150000}"/>
    <cellStyle name="Normal 20" xfId="2356" xr:uid="{00000000-0005-0000-0000-000074150000}"/>
    <cellStyle name="Normal 20 2" xfId="4762" xr:uid="{00000000-0005-0000-0000-000075150000}"/>
    <cellStyle name="Normal 21" xfId="2357" xr:uid="{00000000-0005-0000-0000-000076150000}"/>
    <cellStyle name="Normal 21 2" xfId="4763" xr:uid="{00000000-0005-0000-0000-000077150000}"/>
    <cellStyle name="Normal 21 2 2" xfId="6816" xr:uid="{00000000-0005-0000-0000-000078150000}"/>
    <cellStyle name="Normal 21 3" xfId="6087" xr:uid="{00000000-0005-0000-0000-000079150000}"/>
    <cellStyle name="Normal 22" xfId="2358" xr:uid="{00000000-0005-0000-0000-00007A150000}"/>
    <cellStyle name="Normal 22 2" xfId="4764" xr:uid="{00000000-0005-0000-0000-00007B150000}"/>
    <cellStyle name="Normal 23" xfId="472" xr:uid="{00000000-0005-0000-0000-00007C150000}"/>
    <cellStyle name="Normal 23 2" xfId="2359" xr:uid="{00000000-0005-0000-0000-00007D150000}"/>
    <cellStyle name="Normal 23 3" xfId="4765" xr:uid="{00000000-0005-0000-0000-00007E150000}"/>
    <cellStyle name="Normal 24" xfId="474" xr:uid="{00000000-0005-0000-0000-00007F150000}"/>
    <cellStyle name="Normal 24 2" xfId="4766" xr:uid="{00000000-0005-0000-0000-000080150000}"/>
    <cellStyle name="Normal 24 2 2" xfId="6817" xr:uid="{00000000-0005-0000-0000-000081150000}"/>
    <cellStyle name="Normal 24 3" xfId="6088" xr:uid="{00000000-0005-0000-0000-000082150000}"/>
    <cellStyle name="Normal 25" xfId="476" xr:uid="{00000000-0005-0000-0000-000083150000}"/>
    <cellStyle name="Normal 25 2" xfId="4767" xr:uid="{00000000-0005-0000-0000-000084150000}"/>
    <cellStyle name="Normal 25 2 2" xfId="6818" xr:uid="{00000000-0005-0000-0000-000085150000}"/>
    <cellStyle name="Normal 25 3" xfId="6089" xr:uid="{00000000-0005-0000-0000-000086150000}"/>
    <cellStyle name="Normal 26" xfId="2360" xr:uid="{00000000-0005-0000-0000-000087150000}"/>
    <cellStyle name="Normal 26 2" xfId="4768" xr:uid="{00000000-0005-0000-0000-000088150000}"/>
    <cellStyle name="Normal 26 2 2" xfId="6819" xr:uid="{00000000-0005-0000-0000-000089150000}"/>
    <cellStyle name="Normal 26 3" xfId="6090" xr:uid="{00000000-0005-0000-0000-00008A150000}"/>
    <cellStyle name="Normal 27" xfId="2361" xr:uid="{00000000-0005-0000-0000-00008B150000}"/>
    <cellStyle name="Normal 27 2" xfId="4769" xr:uid="{00000000-0005-0000-0000-00008C150000}"/>
    <cellStyle name="Normal 27 2 2" xfId="6820" xr:uid="{00000000-0005-0000-0000-00008D150000}"/>
    <cellStyle name="Normal 27 3" xfId="6091" xr:uid="{00000000-0005-0000-0000-00008E150000}"/>
    <cellStyle name="Normal 28" xfId="465" xr:uid="{00000000-0005-0000-0000-00008F150000}"/>
    <cellStyle name="Normal 28 2" xfId="6830" xr:uid="{00000000-0005-0000-0000-000090150000}"/>
    <cellStyle name="Normal 29" xfId="2362" xr:uid="{00000000-0005-0000-0000-000091150000}"/>
    <cellStyle name="Normal 29 2" xfId="4770" xr:uid="{00000000-0005-0000-0000-000092150000}"/>
    <cellStyle name="Normal 29 2 2" xfId="6821" xr:uid="{00000000-0005-0000-0000-000093150000}"/>
    <cellStyle name="Normal 29 3" xfId="6092" xr:uid="{00000000-0005-0000-0000-000094150000}"/>
    <cellStyle name="Normal 3" xfId="50" xr:uid="{00000000-0005-0000-0000-000095150000}"/>
    <cellStyle name="Normal 3 10" xfId="5368" xr:uid="{00000000-0005-0000-0000-000096150000}"/>
    <cellStyle name="Normal 3 2" xfId="156" xr:uid="{00000000-0005-0000-0000-000097150000}"/>
    <cellStyle name="Normal 3 3" xfId="377" xr:uid="{00000000-0005-0000-0000-000098150000}"/>
    <cellStyle name="Normal 3 3 2" xfId="6102" xr:uid="{00000000-0005-0000-0000-000099150000}"/>
    <cellStyle name="Normal 3 4" xfId="378" xr:uid="{00000000-0005-0000-0000-00009A150000}"/>
    <cellStyle name="Normal 3 5" xfId="379" xr:uid="{00000000-0005-0000-0000-00009B150000}"/>
    <cellStyle name="Normal 3 6" xfId="380" xr:uid="{00000000-0005-0000-0000-00009C150000}"/>
    <cellStyle name="Normal 3 7" xfId="381" xr:uid="{00000000-0005-0000-0000-00009D150000}"/>
    <cellStyle name="Normal 3 8" xfId="382" xr:uid="{00000000-0005-0000-0000-00009E150000}"/>
    <cellStyle name="Normal 3 9" xfId="535" xr:uid="{00000000-0005-0000-0000-00009F150000}"/>
    <cellStyle name="Normal 3_T.B" xfId="51" xr:uid="{00000000-0005-0000-0000-0000A0150000}"/>
    <cellStyle name="Normal 30" xfId="2363" xr:uid="{00000000-0005-0000-0000-0000A1150000}"/>
    <cellStyle name="Normal 30 2" xfId="4771" xr:uid="{00000000-0005-0000-0000-0000A2150000}"/>
    <cellStyle name="Normal 30 2 2" xfId="6822" xr:uid="{00000000-0005-0000-0000-0000A3150000}"/>
    <cellStyle name="Normal 30 3" xfId="6093" xr:uid="{00000000-0005-0000-0000-0000A4150000}"/>
    <cellStyle name="Normal 31" xfId="4772" xr:uid="{00000000-0005-0000-0000-0000A5150000}"/>
    <cellStyle name="Normal 31 2" xfId="6831" xr:uid="{00000000-0005-0000-0000-0000A6150000}"/>
    <cellStyle name="Normal 31 7 2 4 2" xfId="6835" xr:uid="{00000000-0005-0000-0000-0000A7150000}"/>
    <cellStyle name="Normal 32" xfId="468" xr:uid="{00000000-0005-0000-0000-0000A8150000}"/>
    <cellStyle name="Normal 32 2" xfId="6832" xr:uid="{00000000-0005-0000-0000-0000A9150000}"/>
    <cellStyle name="Normal 33" xfId="5361" xr:uid="{00000000-0005-0000-0000-0000AA150000}"/>
    <cellStyle name="Normal 33 2" xfId="6833" xr:uid="{00000000-0005-0000-0000-0000AB150000}"/>
    <cellStyle name="Normal 34" xfId="6834" xr:uid="{00000000-0005-0000-0000-0000AC150000}"/>
    <cellStyle name="Normal 35" xfId="6839" xr:uid="{00000000-0005-0000-0000-0000AD150000}"/>
    <cellStyle name="Normal 4" xfId="165" xr:uid="{00000000-0005-0000-0000-0000AE150000}"/>
    <cellStyle name="Normal 4 2" xfId="383" xr:uid="{00000000-0005-0000-0000-0000AF150000}"/>
    <cellStyle name="Normal 4 2 2" xfId="2364" xr:uid="{00000000-0005-0000-0000-0000B0150000}"/>
    <cellStyle name="Normal 4 2 3" xfId="6823" xr:uid="{00000000-0005-0000-0000-0000B1150000}"/>
    <cellStyle name="Normal 4 3" xfId="2365" xr:uid="{00000000-0005-0000-0000-0000B2150000}"/>
    <cellStyle name="Normal 4 4" xfId="4773" xr:uid="{00000000-0005-0000-0000-0000B3150000}"/>
    <cellStyle name="Normal 4 5" xfId="6094" xr:uid="{00000000-0005-0000-0000-0000B4150000}"/>
    <cellStyle name="Normal 4 6" xfId="6844" xr:uid="{00000000-0005-0000-0000-0000B5150000}"/>
    <cellStyle name="Normal 5" xfId="167" xr:uid="{00000000-0005-0000-0000-0000B6150000}"/>
    <cellStyle name="Normal 5 2" xfId="384" xr:uid="{00000000-0005-0000-0000-0000B7150000}"/>
    <cellStyle name="Normal 5 2 2" xfId="455" xr:uid="{00000000-0005-0000-0000-0000B8150000}"/>
    <cellStyle name="Normal 5 2 2 2" xfId="6104" xr:uid="{00000000-0005-0000-0000-0000B9150000}"/>
    <cellStyle name="Normal 5 2 2 3" xfId="6841" xr:uid="{00000000-0005-0000-0000-0000BA150000}"/>
    <cellStyle name="Normal 5 2 3" xfId="2366" xr:uid="{00000000-0005-0000-0000-0000BB150000}"/>
    <cellStyle name="Normal 5 2 4" xfId="4774" xr:uid="{00000000-0005-0000-0000-0000BC150000}"/>
    <cellStyle name="Normal 5 2 5" xfId="5374" xr:uid="{00000000-0005-0000-0000-0000BD150000}"/>
    <cellStyle name="Normal 5 3" xfId="421" xr:uid="{00000000-0005-0000-0000-0000BE150000}"/>
    <cellStyle name="Normal 5 3 2" xfId="6824" xr:uid="{00000000-0005-0000-0000-0000BF150000}"/>
    <cellStyle name="Normal 5 4" xfId="536" xr:uid="{00000000-0005-0000-0000-0000C0150000}"/>
    <cellStyle name="Normal 5 5" xfId="6095" xr:uid="{00000000-0005-0000-0000-0000C1150000}"/>
    <cellStyle name="Normal 5 6" xfId="6836" xr:uid="{00000000-0005-0000-0000-0000C2150000}"/>
    <cellStyle name="Normal 5 6 2" xfId="6837" xr:uid="{00000000-0005-0000-0000-0000C3150000}"/>
    <cellStyle name="Normal 5 6 2 2" xfId="6840" xr:uid="{00000000-0005-0000-0000-0000C4150000}"/>
    <cellStyle name="Normal 51" xfId="2367" xr:uid="{00000000-0005-0000-0000-0000C5150000}"/>
    <cellStyle name="Normal 6" xfId="157" xr:uid="{00000000-0005-0000-0000-0000C6150000}"/>
    <cellStyle name="Normal 6 2" xfId="158" xr:uid="{00000000-0005-0000-0000-0000C7150000}"/>
    <cellStyle name="Normal 6 2 2" xfId="6825" xr:uid="{00000000-0005-0000-0000-0000C8150000}"/>
    <cellStyle name="Normal 6 3" xfId="385" xr:uid="{00000000-0005-0000-0000-0000C9150000}"/>
    <cellStyle name="Normal 6 4" xfId="4775" xr:uid="{00000000-0005-0000-0000-0000CA150000}"/>
    <cellStyle name="Normal 6 5" xfId="6096" xr:uid="{00000000-0005-0000-0000-0000CB150000}"/>
    <cellStyle name="Normal 6_Tab bord Novembre 14 creance" xfId="159" xr:uid="{00000000-0005-0000-0000-0000CC150000}"/>
    <cellStyle name="Normal 7" xfId="160" xr:uid="{00000000-0005-0000-0000-0000CD150000}"/>
    <cellStyle name="Normal 7 2" xfId="386" xr:uid="{00000000-0005-0000-0000-0000CE150000}"/>
    <cellStyle name="Normal 7 2 2" xfId="6826" xr:uid="{00000000-0005-0000-0000-0000CF150000}"/>
    <cellStyle name="Normal 7 3" xfId="4776" xr:uid="{00000000-0005-0000-0000-0000D0150000}"/>
    <cellStyle name="Normal 7 4" xfId="6097" xr:uid="{00000000-0005-0000-0000-0000D1150000}"/>
    <cellStyle name="Normal 8" xfId="161" xr:uid="{00000000-0005-0000-0000-0000D2150000}"/>
    <cellStyle name="Normal 8 2" xfId="387" xr:uid="{00000000-0005-0000-0000-0000D3150000}"/>
    <cellStyle name="Normal 8 2 2" xfId="6827" xr:uid="{00000000-0005-0000-0000-0000D4150000}"/>
    <cellStyle name="Normal 8 3" xfId="4777" xr:uid="{00000000-0005-0000-0000-0000D5150000}"/>
    <cellStyle name="Normal 8 4" xfId="6098" xr:uid="{00000000-0005-0000-0000-0000D6150000}"/>
    <cellStyle name="Normal 9" xfId="162" xr:uid="{00000000-0005-0000-0000-0000D7150000}"/>
    <cellStyle name="Normal 9 10" xfId="463" xr:uid="{00000000-0005-0000-0000-0000D8150000}"/>
    <cellStyle name="Normal 9 2" xfId="4778" xr:uid="{00000000-0005-0000-0000-0000D9150000}"/>
    <cellStyle name="Normal 9 2 2" xfId="6828" xr:uid="{00000000-0005-0000-0000-0000DA150000}"/>
    <cellStyle name="Normal 9 3" xfId="4779" xr:uid="{00000000-0005-0000-0000-0000DB150000}"/>
    <cellStyle name="Normal 9 4" xfId="6099" xr:uid="{00000000-0005-0000-0000-0000DC150000}"/>
    <cellStyle name="Normal_quittanc_janv" xfId="52" xr:uid="{00000000-0005-0000-0000-0000DD150000}"/>
    <cellStyle name="Pourcentage" xfId="53" builtinId="5"/>
    <cellStyle name="Pourcentage 10" xfId="4780" xr:uid="{00000000-0005-0000-0000-0000DF150000}"/>
    <cellStyle name="Pourcentage 2" xfId="54" xr:uid="{00000000-0005-0000-0000-0000E0150000}"/>
    <cellStyle name="Pourcentage 2 2" xfId="164" xr:uid="{00000000-0005-0000-0000-0000E1150000}"/>
    <cellStyle name="Pourcentage 3" xfId="55" xr:uid="{00000000-0005-0000-0000-0000E2150000}"/>
    <cellStyle name="Pourcentage 3 2" xfId="2368" xr:uid="{00000000-0005-0000-0000-0000E3150000}"/>
    <cellStyle name="Pourcentage 3 3" xfId="6842" xr:uid="{00000000-0005-0000-0000-0000E4150000}"/>
    <cellStyle name="Pourcentage 3 4" xfId="6845" xr:uid="{00000000-0005-0000-0000-0000E5150000}"/>
    <cellStyle name="Pourcentage 4" xfId="56" xr:uid="{00000000-0005-0000-0000-0000E6150000}"/>
    <cellStyle name="Pourcentage 5" xfId="163" xr:uid="{00000000-0005-0000-0000-0000E7150000}"/>
    <cellStyle name="Pourcentage 5 2" xfId="539" xr:uid="{00000000-0005-0000-0000-0000E8150000}"/>
    <cellStyle name="Pourcentage 6" xfId="388" xr:uid="{00000000-0005-0000-0000-0000E9150000}"/>
    <cellStyle name="Pourcentage 7" xfId="461" xr:uid="{00000000-0005-0000-0000-0000EA150000}"/>
    <cellStyle name="Pourcentage 8" xfId="2949" xr:uid="{00000000-0005-0000-0000-0000EB150000}"/>
    <cellStyle name="Pourcentage 9" xfId="4781" xr:uid="{00000000-0005-0000-0000-0000EC150000}"/>
    <cellStyle name="Satisfaisant 10" xfId="2369" xr:uid="{00000000-0005-0000-0000-0000ED150000}"/>
    <cellStyle name="Satisfaisant 10 2" xfId="4782" xr:uid="{00000000-0005-0000-0000-0000EE150000}"/>
    <cellStyle name="Satisfaisant 11" xfId="2370" xr:uid="{00000000-0005-0000-0000-0000EF150000}"/>
    <cellStyle name="Satisfaisant 11 2" xfId="4783" xr:uid="{00000000-0005-0000-0000-0000F0150000}"/>
    <cellStyle name="Satisfaisant 12" xfId="2371" xr:uid="{00000000-0005-0000-0000-0000F1150000}"/>
    <cellStyle name="Satisfaisant 12 2" xfId="4784" xr:uid="{00000000-0005-0000-0000-0000F2150000}"/>
    <cellStyle name="Satisfaisant 13" xfId="2372" xr:uid="{00000000-0005-0000-0000-0000F3150000}"/>
    <cellStyle name="Satisfaisant 13 2" xfId="4785" xr:uid="{00000000-0005-0000-0000-0000F4150000}"/>
    <cellStyle name="Satisfaisant 14" xfId="2373" xr:uid="{00000000-0005-0000-0000-0000F5150000}"/>
    <cellStyle name="Satisfaisant 14 2" xfId="4786" xr:uid="{00000000-0005-0000-0000-0000F6150000}"/>
    <cellStyle name="Satisfaisant 15" xfId="2374" xr:uid="{00000000-0005-0000-0000-0000F7150000}"/>
    <cellStyle name="Satisfaisant 15 2" xfId="4787" xr:uid="{00000000-0005-0000-0000-0000F8150000}"/>
    <cellStyle name="Satisfaisant 16" xfId="2375" xr:uid="{00000000-0005-0000-0000-0000F9150000}"/>
    <cellStyle name="Satisfaisant 16 2" xfId="4788" xr:uid="{00000000-0005-0000-0000-0000FA150000}"/>
    <cellStyle name="Satisfaisant 17" xfId="2376" xr:uid="{00000000-0005-0000-0000-0000FB150000}"/>
    <cellStyle name="Satisfaisant 17 2" xfId="4789" xr:uid="{00000000-0005-0000-0000-0000FC150000}"/>
    <cellStyle name="Satisfaisant 18" xfId="2377" xr:uid="{00000000-0005-0000-0000-0000FD150000}"/>
    <cellStyle name="Satisfaisant 18 2" xfId="4790" xr:uid="{00000000-0005-0000-0000-0000FE150000}"/>
    <cellStyle name="Satisfaisant 19" xfId="2378" xr:uid="{00000000-0005-0000-0000-0000FF150000}"/>
    <cellStyle name="Satisfaisant 19 2" xfId="4791" xr:uid="{00000000-0005-0000-0000-000000160000}"/>
    <cellStyle name="Satisfaisant 2" xfId="57" xr:uid="{00000000-0005-0000-0000-000001160000}"/>
    <cellStyle name="Satisfaisant 2 2" xfId="2379" xr:uid="{00000000-0005-0000-0000-000002160000}"/>
    <cellStyle name="Satisfaisant 2 3" xfId="4792" xr:uid="{00000000-0005-0000-0000-000003160000}"/>
    <cellStyle name="Satisfaisant 20" xfId="2380" xr:uid="{00000000-0005-0000-0000-000004160000}"/>
    <cellStyle name="Satisfaisant 20 2" xfId="4793" xr:uid="{00000000-0005-0000-0000-000005160000}"/>
    <cellStyle name="Satisfaisant 21" xfId="2381" xr:uid="{00000000-0005-0000-0000-000006160000}"/>
    <cellStyle name="Satisfaisant 21 2" xfId="4794" xr:uid="{00000000-0005-0000-0000-000007160000}"/>
    <cellStyle name="Satisfaisant 22" xfId="2382" xr:uid="{00000000-0005-0000-0000-000008160000}"/>
    <cellStyle name="Satisfaisant 22 2" xfId="4795" xr:uid="{00000000-0005-0000-0000-000009160000}"/>
    <cellStyle name="Satisfaisant 23" xfId="2383" xr:uid="{00000000-0005-0000-0000-00000A160000}"/>
    <cellStyle name="Satisfaisant 23 2" xfId="4796" xr:uid="{00000000-0005-0000-0000-00000B160000}"/>
    <cellStyle name="Satisfaisant 24" xfId="2384" xr:uid="{00000000-0005-0000-0000-00000C160000}"/>
    <cellStyle name="Satisfaisant 24 2" xfId="4797" xr:uid="{00000000-0005-0000-0000-00000D160000}"/>
    <cellStyle name="Satisfaisant 25" xfId="2385" xr:uid="{00000000-0005-0000-0000-00000E160000}"/>
    <cellStyle name="Satisfaisant 25 2" xfId="4798" xr:uid="{00000000-0005-0000-0000-00000F160000}"/>
    <cellStyle name="Satisfaisant 26" xfId="2386" xr:uid="{00000000-0005-0000-0000-000010160000}"/>
    <cellStyle name="Satisfaisant 26 2" xfId="4799" xr:uid="{00000000-0005-0000-0000-000011160000}"/>
    <cellStyle name="Satisfaisant 27" xfId="2387" xr:uid="{00000000-0005-0000-0000-000012160000}"/>
    <cellStyle name="Satisfaisant 27 2" xfId="4800" xr:uid="{00000000-0005-0000-0000-000013160000}"/>
    <cellStyle name="Satisfaisant 28" xfId="2388" xr:uid="{00000000-0005-0000-0000-000014160000}"/>
    <cellStyle name="Satisfaisant 28 2" xfId="4801" xr:uid="{00000000-0005-0000-0000-000015160000}"/>
    <cellStyle name="Satisfaisant 29" xfId="2389" xr:uid="{00000000-0005-0000-0000-000016160000}"/>
    <cellStyle name="Satisfaisant 29 2" xfId="4802" xr:uid="{00000000-0005-0000-0000-000017160000}"/>
    <cellStyle name="Satisfaisant 3" xfId="389" xr:uid="{00000000-0005-0000-0000-000018160000}"/>
    <cellStyle name="Satisfaisant 3 2" xfId="2390" xr:uid="{00000000-0005-0000-0000-000019160000}"/>
    <cellStyle name="Satisfaisant 3 3" xfId="4803" xr:uid="{00000000-0005-0000-0000-00001A160000}"/>
    <cellStyle name="Satisfaisant 30" xfId="2391" xr:uid="{00000000-0005-0000-0000-00001B160000}"/>
    <cellStyle name="Satisfaisant 30 2" xfId="4804" xr:uid="{00000000-0005-0000-0000-00001C160000}"/>
    <cellStyle name="Satisfaisant 31" xfId="2392" xr:uid="{00000000-0005-0000-0000-00001D160000}"/>
    <cellStyle name="Satisfaisant 31 2" xfId="4805" xr:uid="{00000000-0005-0000-0000-00001E160000}"/>
    <cellStyle name="Satisfaisant 32" xfId="2393" xr:uid="{00000000-0005-0000-0000-00001F160000}"/>
    <cellStyle name="Satisfaisant 32 2" xfId="4806" xr:uid="{00000000-0005-0000-0000-000020160000}"/>
    <cellStyle name="Satisfaisant 33" xfId="2394" xr:uid="{00000000-0005-0000-0000-000021160000}"/>
    <cellStyle name="Satisfaisant 33 2" xfId="4807" xr:uid="{00000000-0005-0000-0000-000022160000}"/>
    <cellStyle name="Satisfaisant 34" xfId="2395" xr:uid="{00000000-0005-0000-0000-000023160000}"/>
    <cellStyle name="Satisfaisant 34 2" xfId="4808" xr:uid="{00000000-0005-0000-0000-000024160000}"/>
    <cellStyle name="Satisfaisant 35" xfId="2396" xr:uid="{00000000-0005-0000-0000-000025160000}"/>
    <cellStyle name="Satisfaisant 35 2" xfId="4809" xr:uid="{00000000-0005-0000-0000-000026160000}"/>
    <cellStyle name="Satisfaisant 36" xfId="2397" xr:uid="{00000000-0005-0000-0000-000027160000}"/>
    <cellStyle name="Satisfaisant 36 2" xfId="4810" xr:uid="{00000000-0005-0000-0000-000028160000}"/>
    <cellStyle name="Satisfaisant 37" xfId="2398" xr:uid="{00000000-0005-0000-0000-000029160000}"/>
    <cellStyle name="Satisfaisant 37 2" xfId="4811" xr:uid="{00000000-0005-0000-0000-00002A160000}"/>
    <cellStyle name="Satisfaisant 38" xfId="2399" xr:uid="{00000000-0005-0000-0000-00002B160000}"/>
    <cellStyle name="Satisfaisant 38 2" xfId="4812" xr:uid="{00000000-0005-0000-0000-00002C160000}"/>
    <cellStyle name="Satisfaisant 39" xfId="2400" xr:uid="{00000000-0005-0000-0000-00002D160000}"/>
    <cellStyle name="Satisfaisant 39 2" xfId="4813" xr:uid="{00000000-0005-0000-0000-00002E160000}"/>
    <cellStyle name="Satisfaisant 4" xfId="390" xr:uid="{00000000-0005-0000-0000-00002F160000}"/>
    <cellStyle name="Satisfaisant 4 2" xfId="2401" xr:uid="{00000000-0005-0000-0000-000030160000}"/>
    <cellStyle name="Satisfaisant 4 3" xfId="4814" xr:uid="{00000000-0005-0000-0000-000031160000}"/>
    <cellStyle name="Satisfaisant 40" xfId="2402" xr:uid="{00000000-0005-0000-0000-000032160000}"/>
    <cellStyle name="Satisfaisant 40 2" xfId="4815" xr:uid="{00000000-0005-0000-0000-000033160000}"/>
    <cellStyle name="Satisfaisant 41" xfId="2403" xr:uid="{00000000-0005-0000-0000-000034160000}"/>
    <cellStyle name="Satisfaisant 41 2" xfId="4816" xr:uid="{00000000-0005-0000-0000-000035160000}"/>
    <cellStyle name="Satisfaisant 42" xfId="2404" xr:uid="{00000000-0005-0000-0000-000036160000}"/>
    <cellStyle name="Satisfaisant 42 2" xfId="4817" xr:uid="{00000000-0005-0000-0000-000037160000}"/>
    <cellStyle name="Satisfaisant 43" xfId="2405" xr:uid="{00000000-0005-0000-0000-000038160000}"/>
    <cellStyle name="Satisfaisant 43 2" xfId="4818" xr:uid="{00000000-0005-0000-0000-000039160000}"/>
    <cellStyle name="Satisfaisant 44" xfId="2406" xr:uid="{00000000-0005-0000-0000-00003A160000}"/>
    <cellStyle name="Satisfaisant 44 2" xfId="4819" xr:uid="{00000000-0005-0000-0000-00003B160000}"/>
    <cellStyle name="Satisfaisant 45" xfId="2407" xr:uid="{00000000-0005-0000-0000-00003C160000}"/>
    <cellStyle name="Satisfaisant 45 2" xfId="4820" xr:uid="{00000000-0005-0000-0000-00003D160000}"/>
    <cellStyle name="Satisfaisant 46" xfId="2408" xr:uid="{00000000-0005-0000-0000-00003E160000}"/>
    <cellStyle name="Satisfaisant 46 2" xfId="4821" xr:uid="{00000000-0005-0000-0000-00003F160000}"/>
    <cellStyle name="Satisfaisant 47" xfId="2409" xr:uid="{00000000-0005-0000-0000-000040160000}"/>
    <cellStyle name="Satisfaisant 47 2" xfId="4822" xr:uid="{00000000-0005-0000-0000-000041160000}"/>
    <cellStyle name="Satisfaisant 48" xfId="2410" xr:uid="{00000000-0005-0000-0000-000042160000}"/>
    <cellStyle name="Satisfaisant 48 2" xfId="4823" xr:uid="{00000000-0005-0000-0000-000043160000}"/>
    <cellStyle name="Satisfaisant 49" xfId="2411" xr:uid="{00000000-0005-0000-0000-000044160000}"/>
    <cellStyle name="Satisfaisant 49 2" xfId="4824" xr:uid="{00000000-0005-0000-0000-000045160000}"/>
    <cellStyle name="Satisfaisant 5" xfId="391" xr:uid="{00000000-0005-0000-0000-000046160000}"/>
    <cellStyle name="Satisfaisant 5 2" xfId="2412" xr:uid="{00000000-0005-0000-0000-000047160000}"/>
    <cellStyle name="Satisfaisant 5 3" xfId="4825" xr:uid="{00000000-0005-0000-0000-000048160000}"/>
    <cellStyle name="Satisfaisant 50" xfId="2413" xr:uid="{00000000-0005-0000-0000-000049160000}"/>
    <cellStyle name="Satisfaisant 50 2" xfId="4826" xr:uid="{00000000-0005-0000-0000-00004A160000}"/>
    <cellStyle name="Satisfaisant 51" xfId="2414" xr:uid="{00000000-0005-0000-0000-00004B160000}"/>
    <cellStyle name="Satisfaisant 51 2" xfId="4827" xr:uid="{00000000-0005-0000-0000-00004C160000}"/>
    <cellStyle name="Satisfaisant 52" xfId="2415" xr:uid="{00000000-0005-0000-0000-00004D160000}"/>
    <cellStyle name="Satisfaisant 52 2" xfId="4828" xr:uid="{00000000-0005-0000-0000-00004E160000}"/>
    <cellStyle name="Satisfaisant 53" xfId="2416" xr:uid="{00000000-0005-0000-0000-00004F160000}"/>
    <cellStyle name="Satisfaisant 53 2" xfId="4829" xr:uid="{00000000-0005-0000-0000-000050160000}"/>
    <cellStyle name="Satisfaisant 54" xfId="2417" xr:uid="{00000000-0005-0000-0000-000051160000}"/>
    <cellStyle name="Satisfaisant 54 2" xfId="4830" xr:uid="{00000000-0005-0000-0000-000052160000}"/>
    <cellStyle name="Satisfaisant 55" xfId="2418" xr:uid="{00000000-0005-0000-0000-000053160000}"/>
    <cellStyle name="Satisfaisant 55 2" xfId="4831" xr:uid="{00000000-0005-0000-0000-000054160000}"/>
    <cellStyle name="Satisfaisant 56" xfId="2419" xr:uid="{00000000-0005-0000-0000-000055160000}"/>
    <cellStyle name="Satisfaisant 56 2" xfId="4832" xr:uid="{00000000-0005-0000-0000-000056160000}"/>
    <cellStyle name="Satisfaisant 57" xfId="2420" xr:uid="{00000000-0005-0000-0000-000057160000}"/>
    <cellStyle name="Satisfaisant 57 2" xfId="4833" xr:uid="{00000000-0005-0000-0000-000058160000}"/>
    <cellStyle name="Satisfaisant 58" xfId="2421" xr:uid="{00000000-0005-0000-0000-000059160000}"/>
    <cellStyle name="Satisfaisant 58 2" xfId="4834" xr:uid="{00000000-0005-0000-0000-00005A160000}"/>
    <cellStyle name="Satisfaisant 59" xfId="2422" xr:uid="{00000000-0005-0000-0000-00005B160000}"/>
    <cellStyle name="Satisfaisant 59 2" xfId="4835" xr:uid="{00000000-0005-0000-0000-00005C160000}"/>
    <cellStyle name="Satisfaisant 6" xfId="392" xr:uid="{00000000-0005-0000-0000-00005D160000}"/>
    <cellStyle name="Satisfaisant 6 2" xfId="2423" xr:uid="{00000000-0005-0000-0000-00005E160000}"/>
    <cellStyle name="Satisfaisant 6 3" xfId="4836" xr:uid="{00000000-0005-0000-0000-00005F160000}"/>
    <cellStyle name="Satisfaisant 7" xfId="393" xr:uid="{00000000-0005-0000-0000-000060160000}"/>
    <cellStyle name="Satisfaisant 7 2" xfId="2424" xr:uid="{00000000-0005-0000-0000-000061160000}"/>
    <cellStyle name="Satisfaisant 7 3" xfId="4837" xr:uid="{00000000-0005-0000-0000-000062160000}"/>
    <cellStyle name="Satisfaisant 8" xfId="394" xr:uid="{00000000-0005-0000-0000-000063160000}"/>
    <cellStyle name="Satisfaisant 8 2" xfId="2425" xr:uid="{00000000-0005-0000-0000-000064160000}"/>
    <cellStyle name="Satisfaisant 8 3" xfId="4838" xr:uid="{00000000-0005-0000-0000-000065160000}"/>
    <cellStyle name="Satisfaisant 9" xfId="2426" xr:uid="{00000000-0005-0000-0000-000066160000}"/>
    <cellStyle name="Satisfaisant 9 2" xfId="4839" xr:uid="{00000000-0005-0000-0000-000067160000}"/>
    <cellStyle name="Sortie 10" xfId="2427" xr:uid="{00000000-0005-0000-0000-000068160000}"/>
    <cellStyle name="Sortie 10 2" xfId="4840" xr:uid="{00000000-0005-0000-0000-000069160000}"/>
    <cellStyle name="Sortie 11" xfId="2428" xr:uid="{00000000-0005-0000-0000-00006A160000}"/>
    <cellStyle name="Sortie 11 2" xfId="4841" xr:uid="{00000000-0005-0000-0000-00006B160000}"/>
    <cellStyle name="Sortie 12" xfId="2429" xr:uid="{00000000-0005-0000-0000-00006C160000}"/>
    <cellStyle name="Sortie 12 2" xfId="4842" xr:uid="{00000000-0005-0000-0000-00006D160000}"/>
    <cellStyle name="Sortie 13" xfId="2430" xr:uid="{00000000-0005-0000-0000-00006E160000}"/>
    <cellStyle name="Sortie 13 2" xfId="4843" xr:uid="{00000000-0005-0000-0000-00006F160000}"/>
    <cellStyle name="Sortie 14" xfId="2431" xr:uid="{00000000-0005-0000-0000-000070160000}"/>
    <cellStyle name="Sortie 14 2" xfId="4844" xr:uid="{00000000-0005-0000-0000-000071160000}"/>
    <cellStyle name="Sortie 15" xfId="2432" xr:uid="{00000000-0005-0000-0000-000072160000}"/>
    <cellStyle name="Sortie 15 2" xfId="4845" xr:uid="{00000000-0005-0000-0000-000073160000}"/>
    <cellStyle name="Sortie 16" xfId="2433" xr:uid="{00000000-0005-0000-0000-000074160000}"/>
    <cellStyle name="Sortie 16 2" xfId="4846" xr:uid="{00000000-0005-0000-0000-000075160000}"/>
    <cellStyle name="Sortie 17" xfId="2434" xr:uid="{00000000-0005-0000-0000-000076160000}"/>
    <cellStyle name="Sortie 17 2" xfId="4847" xr:uid="{00000000-0005-0000-0000-000077160000}"/>
    <cellStyle name="Sortie 18" xfId="2435" xr:uid="{00000000-0005-0000-0000-000078160000}"/>
    <cellStyle name="Sortie 18 2" xfId="4848" xr:uid="{00000000-0005-0000-0000-000079160000}"/>
    <cellStyle name="Sortie 19" xfId="2436" xr:uid="{00000000-0005-0000-0000-00007A160000}"/>
    <cellStyle name="Sortie 19 2" xfId="4849" xr:uid="{00000000-0005-0000-0000-00007B160000}"/>
    <cellStyle name="Sortie 2" xfId="58" xr:uid="{00000000-0005-0000-0000-00007C160000}"/>
    <cellStyle name="Sortie 2 2" xfId="2437" xr:uid="{00000000-0005-0000-0000-00007D160000}"/>
    <cellStyle name="Sortie 2 3" xfId="4850" xr:uid="{00000000-0005-0000-0000-00007E160000}"/>
    <cellStyle name="Sortie 20" xfId="2438" xr:uid="{00000000-0005-0000-0000-00007F160000}"/>
    <cellStyle name="Sortie 20 2" xfId="4851" xr:uid="{00000000-0005-0000-0000-000080160000}"/>
    <cellStyle name="Sortie 21" xfId="2439" xr:uid="{00000000-0005-0000-0000-000081160000}"/>
    <cellStyle name="Sortie 21 2" xfId="4852" xr:uid="{00000000-0005-0000-0000-000082160000}"/>
    <cellStyle name="Sortie 22" xfId="2440" xr:uid="{00000000-0005-0000-0000-000083160000}"/>
    <cellStyle name="Sortie 22 2" xfId="4853" xr:uid="{00000000-0005-0000-0000-000084160000}"/>
    <cellStyle name="Sortie 23" xfId="2441" xr:uid="{00000000-0005-0000-0000-000085160000}"/>
    <cellStyle name="Sortie 23 2" xfId="4854" xr:uid="{00000000-0005-0000-0000-000086160000}"/>
    <cellStyle name="Sortie 24" xfId="2442" xr:uid="{00000000-0005-0000-0000-000087160000}"/>
    <cellStyle name="Sortie 24 2" xfId="4855" xr:uid="{00000000-0005-0000-0000-000088160000}"/>
    <cellStyle name="Sortie 25" xfId="2443" xr:uid="{00000000-0005-0000-0000-000089160000}"/>
    <cellStyle name="Sortie 25 2" xfId="4856" xr:uid="{00000000-0005-0000-0000-00008A160000}"/>
    <cellStyle name="Sortie 26" xfId="2444" xr:uid="{00000000-0005-0000-0000-00008B160000}"/>
    <cellStyle name="Sortie 26 2" xfId="4857" xr:uid="{00000000-0005-0000-0000-00008C160000}"/>
    <cellStyle name="Sortie 27" xfId="2445" xr:uid="{00000000-0005-0000-0000-00008D160000}"/>
    <cellStyle name="Sortie 27 2" xfId="4858" xr:uid="{00000000-0005-0000-0000-00008E160000}"/>
    <cellStyle name="Sortie 28" xfId="2446" xr:uid="{00000000-0005-0000-0000-00008F160000}"/>
    <cellStyle name="Sortie 28 2" xfId="4859" xr:uid="{00000000-0005-0000-0000-000090160000}"/>
    <cellStyle name="Sortie 29" xfId="2447" xr:uid="{00000000-0005-0000-0000-000091160000}"/>
    <cellStyle name="Sortie 29 2" xfId="4860" xr:uid="{00000000-0005-0000-0000-000092160000}"/>
    <cellStyle name="Sortie 3" xfId="395" xr:uid="{00000000-0005-0000-0000-000093160000}"/>
    <cellStyle name="Sortie 3 2" xfId="2448" xr:uid="{00000000-0005-0000-0000-000094160000}"/>
    <cellStyle name="Sortie 3 3" xfId="4861" xr:uid="{00000000-0005-0000-0000-000095160000}"/>
    <cellStyle name="Sortie 30" xfId="2449" xr:uid="{00000000-0005-0000-0000-000096160000}"/>
    <cellStyle name="Sortie 30 2" xfId="4862" xr:uid="{00000000-0005-0000-0000-000097160000}"/>
    <cellStyle name="Sortie 31" xfId="2450" xr:uid="{00000000-0005-0000-0000-000098160000}"/>
    <cellStyle name="Sortie 31 2" xfId="4863" xr:uid="{00000000-0005-0000-0000-000099160000}"/>
    <cellStyle name="Sortie 32" xfId="2451" xr:uid="{00000000-0005-0000-0000-00009A160000}"/>
    <cellStyle name="Sortie 32 2" xfId="4864" xr:uid="{00000000-0005-0000-0000-00009B160000}"/>
    <cellStyle name="Sortie 33" xfId="2452" xr:uid="{00000000-0005-0000-0000-00009C160000}"/>
    <cellStyle name="Sortie 33 2" xfId="4865" xr:uid="{00000000-0005-0000-0000-00009D160000}"/>
    <cellStyle name="Sortie 34" xfId="2453" xr:uid="{00000000-0005-0000-0000-00009E160000}"/>
    <cellStyle name="Sortie 34 2" xfId="4866" xr:uid="{00000000-0005-0000-0000-00009F160000}"/>
    <cellStyle name="Sortie 35" xfId="2454" xr:uid="{00000000-0005-0000-0000-0000A0160000}"/>
    <cellStyle name="Sortie 35 2" xfId="4867" xr:uid="{00000000-0005-0000-0000-0000A1160000}"/>
    <cellStyle name="Sortie 36" xfId="2455" xr:uid="{00000000-0005-0000-0000-0000A2160000}"/>
    <cellStyle name="Sortie 36 2" xfId="4868" xr:uid="{00000000-0005-0000-0000-0000A3160000}"/>
    <cellStyle name="Sortie 37" xfId="2456" xr:uid="{00000000-0005-0000-0000-0000A4160000}"/>
    <cellStyle name="Sortie 37 2" xfId="4869" xr:uid="{00000000-0005-0000-0000-0000A5160000}"/>
    <cellStyle name="Sortie 38" xfId="2457" xr:uid="{00000000-0005-0000-0000-0000A6160000}"/>
    <cellStyle name="Sortie 38 2" xfId="4870" xr:uid="{00000000-0005-0000-0000-0000A7160000}"/>
    <cellStyle name="Sortie 39" xfId="2458" xr:uid="{00000000-0005-0000-0000-0000A8160000}"/>
    <cellStyle name="Sortie 39 2" xfId="4871" xr:uid="{00000000-0005-0000-0000-0000A9160000}"/>
    <cellStyle name="Sortie 4" xfId="396" xr:uid="{00000000-0005-0000-0000-0000AA160000}"/>
    <cellStyle name="Sortie 4 2" xfId="2459" xr:uid="{00000000-0005-0000-0000-0000AB160000}"/>
    <cellStyle name="Sortie 4 3" xfId="4872" xr:uid="{00000000-0005-0000-0000-0000AC160000}"/>
    <cellStyle name="Sortie 40" xfId="2460" xr:uid="{00000000-0005-0000-0000-0000AD160000}"/>
    <cellStyle name="Sortie 40 2" xfId="4873" xr:uid="{00000000-0005-0000-0000-0000AE160000}"/>
    <cellStyle name="Sortie 41" xfId="2461" xr:uid="{00000000-0005-0000-0000-0000AF160000}"/>
    <cellStyle name="Sortie 41 2" xfId="4874" xr:uid="{00000000-0005-0000-0000-0000B0160000}"/>
    <cellStyle name="Sortie 42" xfId="2462" xr:uid="{00000000-0005-0000-0000-0000B1160000}"/>
    <cellStyle name="Sortie 42 2" xfId="4875" xr:uid="{00000000-0005-0000-0000-0000B2160000}"/>
    <cellStyle name="Sortie 43" xfId="2463" xr:uid="{00000000-0005-0000-0000-0000B3160000}"/>
    <cellStyle name="Sortie 43 2" xfId="4876" xr:uid="{00000000-0005-0000-0000-0000B4160000}"/>
    <cellStyle name="Sortie 44" xfId="2464" xr:uid="{00000000-0005-0000-0000-0000B5160000}"/>
    <cellStyle name="Sortie 44 2" xfId="4877" xr:uid="{00000000-0005-0000-0000-0000B6160000}"/>
    <cellStyle name="Sortie 45" xfId="2465" xr:uid="{00000000-0005-0000-0000-0000B7160000}"/>
    <cellStyle name="Sortie 45 2" xfId="4878" xr:uid="{00000000-0005-0000-0000-0000B8160000}"/>
    <cellStyle name="Sortie 46" xfId="2466" xr:uid="{00000000-0005-0000-0000-0000B9160000}"/>
    <cellStyle name="Sortie 46 2" xfId="4879" xr:uid="{00000000-0005-0000-0000-0000BA160000}"/>
    <cellStyle name="Sortie 47" xfId="2467" xr:uid="{00000000-0005-0000-0000-0000BB160000}"/>
    <cellStyle name="Sortie 47 2" xfId="4880" xr:uid="{00000000-0005-0000-0000-0000BC160000}"/>
    <cellStyle name="Sortie 48" xfId="2468" xr:uid="{00000000-0005-0000-0000-0000BD160000}"/>
    <cellStyle name="Sortie 48 2" xfId="4881" xr:uid="{00000000-0005-0000-0000-0000BE160000}"/>
    <cellStyle name="Sortie 49" xfId="2469" xr:uid="{00000000-0005-0000-0000-0000BF160000}"/>
    <cellStyle name="Sortie 49 2" xfId="4882" xr:uid="{00000000-0005-0000-0000-0000C0160000}"/>
    <cellStyle name="Sortie 5" xfId="397" xr:uid="{00000000-0005-0000-0000-0000C1160000}"/>
    <cellStyle name="Sortie 5 2" xfId="2470" xr:uid="{00000000-0005-0000-0000-0000C2160000}"/>
    <cellStyle name="Sortie 5 3" xfId="4883" xr:uid="{00000000-0005-0000-0000-0000C3160000}"/>
    <cellStyle name="Sortie 50" xfId="2471" xr:uid="{00000000-0005-0000-0000-0000C4160000}"/>
    <cellStyle name="Sortie 50 2" xfId="4884" xr:uid="{00000000-0005-0000-0000-0000C5160000}"/>
    <cellStyle name="Sortie 51" xfId="2472" xr:uid="{00000000-0005-0000-0000-0000C6160000}"/>
    <cellStyle name="Sortie 51 2" xfId="4885" xr:uid="{00000000-0005-0000-0000-0000C7160000}"/>
    <cellStyle name="Sortie 52" xfId="2473" xr:uid="{00000000-0005-0000-0000-0000C8160000}"/>
    <cellStyle name="Sortie 52 2" xfId="4886" xr:uid="{00000000-0005-0000-0000-0000C9160000}"/>
    <cellStyle name="Sortie 53" xfId="2474" xr:uid="{00000000-0005-0000-0000-0000CA160000}"/>
    <cellStyle name="Sortie 53 2" xfId="4887" xr:uid="{00000000-0005-0000-0000-0000CB160000}"/>
    <cellStyle name="Sortie 54" xfId="2475" xr:uid="{00000000-0005-0000-0000-0000CC160000}"/>
    <cellStyle name="Sortie 54 2" xfId="4888" xr:uid="{00000000-0005-0000-0000-0000CD160000}"/>
    <cellStyle name="Sortie 55" xfId="2476" xr:uid="{00000000-0005-0000-0000-0000CE160000}"/>
    <cellStyle name="Sortie 55 2" xfId="4889" xr:uid="{00000000-0005-0000-0000-0000CF160000}"/>
    <cellStyle name="Sortie 56" xfId="2477" xr:uid="{00000000-0005-0000-0000-0000D0160000}"/>
    <cellStyle name="Sortie 56 2" xfId="4890" xr:uid="{00000000-0005-0000-0000-0000D1160000}"/>
    <cellStyle name="Sortie 57" xfId="2478" xr:uid="{00000000-0005-0000-0000-0000D2160000}"/>
    <cellStyle name="Sortie 57 2" xfId="4891" xr:uid="{00000000-0005-0000-0000-0000D3160000}"/>
    <cellStyle name="Sortie 58" xfId="2479" xr:uid="{00000000-0005-0000-0000-0000D4160000}"/>
    <cellStyle name="Sortie 58 2" xfId="4892" xr:uid="{00000000-0005-0000-0000-0000D5160000}"/>
    <cellStyle name="Sortie 59" xfId="2480" xr:uid="{00000000-0005-0000-0000-0000D6160000}"/>
    <cellStyle name="Sortie 59 2" xfId="4893" xr:uid="{00000000-0005-0000-0000-0000D7160000}"/>
    <cellStyle name="Sortie 6" xfId="398" xr:uid="{00000000-0005-0000-0000-0000D8160000}"/>
    <cellStyle name="Sortie 6 2" xfId="2481" xr:uid="{00000000-0005-0000-0000-0000D9160000}"/>
    <cellStyle name="Sortie 6 3" xfId="4894" xr:uid="{00000000-0005-0000-0000-0000DA160000}"/>
    <cellStyle name="Sortie 7" xfId="399" xr:uid="{00000000-0005-0000-0000-0000DB160000}"/>
    <cellStyle name="Sortie 7 2" xfId="2482" xr:uid="{00000000-0005-0000-0000-0000DC160000}"/>
    <cellStyle name="Sortie 7 3" xfId="4895" xr:uid="{00000000-0005-0000-0000-0000DD160000}"/>
    <cellStyle name="Sortie 8" xfId="400" xr:uid="{00000000-0005-0000-0000-0000DE160000}"/>
    <cellStyle name="Sortie 8 2" xfId="2483" xr:uid="{00000000-0005-0000-0000-0000DF160000}"/>
    <cellStyle name="Sortie 8 3" xfId="4896" xr:uid="{00000000-0005-0000-0000-0000E0160000}"/>
    <cellStyle name="Sortie 9" xfId="2484" xr:uid="{00000000-0005-0000-0000-0000E1160000}"/>
    <cellStyle name="Sortie 9 2" xfId="4897" xr:uid="{00000000-0005-0000-0000-0000E2160000}"/>
    <cellStyle name="Style 1" xfId="540" xr:uid="{00000000-0005-0000-0000-0000E3160000}"/>
    <cellStyle name="Texte explicatif" xfId="462" builtinId="53"/>
    <cellStyle name="Texte explicatif 10" xfId="2485" xr:uid="{00000000-0005-0000-0000-0000E5160000}"/>
    <cellStyle name="Texte explicatif 10 2" xfId="4898" xr:uid="{00000000-0005-0000-0000-0000E6160000}"/>
    <cellStyle name="Texte explicatif 11" xfId="2486" xr:uid="{00000000-0005-0000-0000-0000E7160000}"/>
    <cellStyle name="Texte explicatif 11 2" xfId="4899" xr:uid="{00000000-0005-0000-0000-0000E8160000}"/>
    <cellStyle name="Texte explicatif 12" xfId="2487" xr:uid="{00000000-0005-0000-0000-0000E9160000}"/>
    <cellStyle name="Texte explicatif 12 2" xfId="4900" xr:uid="{00000000-0005-0000-0000-0000EA160000}"/>
    <cellStyle name="Texte explicatif 13" xfId="2488" xr:uid="{00000000-0005-0000-0000-0000EB160000}"/>
    <cellStyle name="Texte explicatif 13 2" xfId="4901" xr:uid="{00000000-0005-0000-0000-0000EC160000}"/>
    <cellStyle name="Texte explicatif 14" xfId="2489" xr:uid="{00000000-0005-0000-0000-0000ED160000}"/>
    <cellStyle name="Texte explicatif 14 2" xfId="4902" xr:uid="{00000000-0005-0000-0000-0000EE160000}"/>
    <cellStyle name="Texte explicatif 15" xfId="2490" xr:uid="{00000000-0005-0000-0000-0000EF160000}"/>
    <cellStyle name="Texte explicatif 15 2" xfId="4903" xr:uid="{00000000-0005-0000-0000-0000F0160000}"/>
    <cellStyle name="Texte explicatif 16" xfId="2491" xr:uid="{00000000-0005-0000-0000-0000F1160000}"/>
    <cellStyle name="Texte explicatif 16 2" xfId="4904" xr:uid="{00000000-0005-0000-0000-0000F2160000}"/>
    <cellStyle name="Texte explicatif 17" xfId="2492" xr:uid="{00000000-0005-0000-0000-0000F3160000}"/>
    <cellStyle name="Texte explicatif 17 2" xfId="4905" xr:uid="{00000000-0005-0000-0000-0000F4160000}"/>
    <cellStyle name="Texte explicatif 18" xfId="2493" xr:uid="{00000000-0005-0000-0000-0000F5160000}"/>
    <cellStyle name="Texte explicatif 18 2" xfId="4906" xr:uid="{00000000-0005-0000-0000-0000F6160000}"/>
    <cellStyle name="Texte explicatif 19" xfId="2494" xr:uid="{00000000-0005-0000-0000-0000F7160000}"/>
    <cellStyle name="Texte explicatif 19 2" xfId="4907" xr:uid="{00000000-0005-0000-0000-0000F8160000}"/>
    <cellStyle name="Texte explicatif 2" xfId="59" xr:uid="{00000000-0005-0000-0000-0000F9160000}"/>
    <cellStyle name="Texte explicatif 2 2" xfId="2495" xr:uid="{00000000-0005-0000-0000-0000FA160000}"/>
    <cellStyle name="Texte explicatif 2 3" xfId="4908" xr:uid="{00000000-0005-0000-0000-0000FB160000}"/>
    <cellStyle name="Texte explicatif 20" xfId="2496" xr:uid="{00000000-0005-0000-0000-0000FC160000}"/>
    <cellStyle name="Texte explicatif 20 2" xfId="4909" xr:uid="{00000000-0005-0000-0000-0000FD160000}"/>
    <cellStyle name="Texte explicatif 21" xfId="2497" xr:uid="{00000000-0005-0000-0000-0000FE160000}"/>
    <cellStyle name="Texte explicatif 21 2" xfId="4910" xr:uid="{00000000-0005-0000-0000-0000FF160000}"/>
    <cellStyle name="Texte explicatif 22" xfId="2498" xr:uid="{00000000-0005-0000-0000-000000170000}"/>
    <cellStyle name="Texte explicatif 22 2" xfId="4911" xr:uid="{00000000-0005-0000-0000-000001170000}"/>
    <cellStyle name="Texte explicatif 23" xfId="2499" xr:uid="{00000000-0005-0000-0000-000002170000}"/>
    <cellStyle name="Texte explicatif 23 2" xfId="4912" xr:uid="{00000000-0005-0000-0000-000003170000}"/>
    <cellStyle name="Texte explicatif 24" xfId="2500" xr:uid="{00000000-0005-0000-0000-000004170000}"/>
    <cellStyle name="Texte explicatif 24 2" xfId="4913" xr:uid="{00000000-0005-0000-0000-000005170000}"/>
    <cellStyle name="Texte explicatif 25" xfId="2501" xr:uid="{00000000-0005-0000-0000-000006170000}"/>
    <cellStyle name="Texte explicatif 25 2" xfId="4914" xr:uid="{00000000-0005-0000-0000-000007170000}"/>
    <cellStyle name="Texte explicatif 26" xfId="2502" xr:uid="{00000000-0005-0000-0000-000008170000}"/>
    <cellStyle name="Texte explicatif 26 2" xfId="4915" xr:uid="{00000000-0005-0000-0000-000009170000}"/>
    <cellStyle name="Texte explicatif 27" xfId="2503" xr:uid="{00000000-0005-0000-0000-00000A170000}"/>
    <cellStyle name="Texte explicatif 27 2" xfId="4916" xr:uid="{00000000-0005-0000-0000-00000B170000}"/>
    <cellStyle name="Texte explicatif 28" xfId="2504" xr:uid="{00000000-0005-0000-0000-00000C170000}"/>
    <cellStyle name="Texte explicatif 28 2" xfId="4917" xr:uid="{00000000-0005-0000-0000-00000D170000}"/>
    <cellStyle name="Texte explicatif 29" xfId="2505" xr:uid="{00000000-0005-0000-0000-00000E170000}"/>
    <cellStyle name="Texte explicatif 29 2" xfId="4918" xr:uid="{00000000-0005-0000-0000-00000F170000}"/>
    <cellStyle name="Texte explicatif 3" xfId="402" xr:uid="{00000000-0005-0000-0000-000010170000}"/>
    <cellStyle name="Texte explicatif 3 2" xfId="2506" xr:uid="{00000000-0005-0000-0000-000011170000}"/>
    <cellStyle name="Texte explicatif 3 3" xfId="4919" xr:uid="{00000000-0005-0000-0000-000012170000}"/>
    <cellStyle name="Texte explicatif 30" xfId="2507" xr:uid="{00000000-0005-0000-0000-000013170000}"/>
    <cellStyle name="Texte explicatif 30 2" xfId="4920" xr:uid="{00000000-0005-0000-0000-000014170000}"/>
    <cellStyle name="Texte explicatif 31" xfId="2508" xr:uid="{00000000-0005-0000-0000-000015170000}"/>
    <cellStyle name="Texte explicatif 31 2" xfId="4921" xr:uid="{00000000-0005-0000-0000-000016170000}"/>
    <cellStyle name="Texte explicatif 32" xfId="2509" xr:uid="{00000000-0005-0000-0000-000017170000}"/>
    <cellStyle name="Texte explicatif 32 2" xfId="4922" xr:uid="{00000000-0005-0000-0000-000018170000}"/>
    <cellStyle name="Texte explicatif 33" xfId="2510" xr:uid="{00000000-0005-0000-0000-000019170000}"/>
    <cellStyle name="Texte explicatif 33 2" xfId="4923" xr:uid="{00000000-0005-0000-0000-00001A170000}"/>
    <cellStyle name="Texte explicatif 34" xfId="2511" xr:uid="{00000000-0005-0000-0000-00001B170000}"/>
    <cellStyle name="Texte explicatif 34 2" xfId="4924" xr:uid="{00000000-0005-0000-0000-00001C170000}"/>
    <cellStyle name="Texte explicatif 35" xfId="2512" xr:uid="{00000000-0005-0000-0000-00001D170000}"/>
    <cellStyle name="Texte explicatif 35 2" xfId="4925" xr:uid="{00000000-0005-0000-0000-00001E170000}"/>
    <cellStyle name="Texte explicatif 36" xfId="2513" xr:uid="{00000000-0005-0000-0000-00001F170000}"/>
    <cellStyle name="Texte explicatif 36 2" xfId="4926" xr:uid="{00000000-0005-0000-0000-000020170000}"/>
    <cellStyle name="Texte explicatif 37" xfId="2514" xr:uid="{00000000-0005-0000-0000-000021170000}"/>
    <cellStyle name="Texte explicatif 37 2" xfId="4927" xr:uid="{00000000-0005-0000-0000-000022170000}"/>
    <cellStyle name="Texte explicatif 38" xfId="2515" xr:uid="{00000000-0005-0000-0000-000023170000}"/>
    <cellStyle name="Texte explicatif 38 2" xfId="4928" xr:uid="{00000000-0005-0000-0000-000024170000}"/>
    <cellStyle name="Texte explicatif 39" xfId="2516" xr:uid="{00000000-0005-0000-0000-000025170000}"/>
    <cellStyle name="Texte explicatif 39 2" xfId="4929" xr:uid="{00000000-0005-0000-0000-000026170000}"/>
    <cellStyle name="Texte explicatif 4" xfId="403" xr:uid="{00000000-0005-0000-0000-000027170000}"/>
    <cellStyle name="Texte explicatif 4 2" xfId="2517" xr:uid="{00000000-0005-0000-0000-000028170000}"/>
    <cellStyle name="Texte explicatif 4 3" xfId="4930" xr:uid="{00000000-0005-0000-0000-000029170000}"/>
    <cellStyle name="Texte explicatif 40" xfId="2518" xr:uid="{00000000-0005-0000-0000-00002A170000}"/>
    <cellStyle name="Texte explicatif 40 2" xfId="4931" xr:uid="{00000000-0005-0000-0000-00002B170000}"/>
    <cellStyle name="Texte explicatif 41" xfId="2519" xr:uid="{00000000-0005-0000-0000-00002C170000}"/>
    <cellStyle name="Texte explicatif 41 2" xfId="4932" xr:uid="{00000000-0005-0000-0000-00002D170000}"/>
    <cellStyle name="Texte explicatif 42" xfId="2520" xr:uid="{00000000-0005-0000-0000-00002E170000}"/>
    <cellStyle name="Texte explicatif 42 2" xfId="4933" xr:uid="{00000000-0005-0000-0000-00002F170000}"/>
    <cellStyle name="Texte explicatif 43" xfId="2521" xr:uid="{00000000-0005-0000-0000-000030170000}"/>
    <cellStyle name="Texte explicatif 43 2" xfId="4934" xr:uid="{00000000-0005-0000-0000-000031170000}"/>
    <cellStyle name="Texte explicatif 44" xfId="2522" xr:uid="{00000000-0005-0000-0000-000032170000}"/>
    <cellStyle name="Texte explicatif 44 2" xfId="4935" xr:uid="{00000000-0005-0000-0000-000033170000}"/>
    <cellStyle name="Texte explicatif 45" xfId="2523" xr:uid="{00000000-0005-0000-0000-000034170000}"/>
    <cellStyle name="Texte explicatif 45 2" xfId="4936" xr:uid="{00000000-0005-0000-0000-000035170000}"/>
    <cellStyle name="Texte explicatif 46" xfId="2524" xr:uid="{00000000-0005-0000-0000-000036170000}"/>
    <cellStyle name="Texte explicatif 46 2" xfId="4937" xr:uid="{00000000-0005-0000-0000-000037170000}"/>
    <cellStyle name="Texte explicatif 47" xfId="2525" xr:uid="{00000000-0005-0000-0000-000038170000}"/>
    <cellStyle name="Texte explicatif 47 2" xfId="4938" xr:uid="{00000000-0005-0000-0000-000039170000}"/>
    <cellStyle name="Texte explicatif 48" xfId="2526" xr:uid="{00000000-0005-0000-0000-00003A170000}"/>
    <cellStyle name="Texte explicatif 48 2" xfId="4939" xr:uid="{00000000-0005-0000-0000-00003B170000}"/>
    <cellStyle name="Texte explicatif 49" xfId="2527" xr:uid="{00000000-0005-0000-0000-00003C170000}"/>
    <cellStyle name="Texte explicatif 49 2" xfId="4940" xr:uid="{00000000-0005-0000-0000-00003D170000}"/>
    <cellStyle name="Texte explicatif 5" xfId="404" xr:uid="{00000000-0005-0000-0000-00003E170000}"/>
    <cellStyle name="Texte explicatif 5 2" xfId="2528" xr:uid="{00000000-0005-0000-0000-00003F170000}"/>
    <cellStyle name="Texte explicatif 5 3" xfId="4941" xr:uid="{00000000-0005-0000-0000-000040170000}"/>
    <cellStyle name="Texte explicatif 50" xfId="2529" xr:uid="{00000000-0005-0000-0000-000041170000}"/>
    <cellStyle name="Texte explicatif 50 2" xfId="4942" xr:uid="{00000000-0005-0000-0000-000042170000}"/>
    <cellStyle name="Texte explicatif 51" xfId="2530" xr:uid="{00000000-0005-0000-0000-000043170000}"/>
    <cellStyle name="Texte explicatif 51 2" xfId="4943" xr:uid="{00000000-0005-0000-0000-000044170000}"/>
    <cellStyle name="Texte explicatif 52" xfId="2531" xr:uid="{00000000-0005-0000-0000-000045170000}"/>
    <cellStyle name="Texte explicatif 52 2" xfId="4944" xr:uid="{00000000-0005-0000-0000-000046170000}"/>
    <cellStyle name="Texte explicatif 53" xfId="2532" xr:uid="{00000000-0005-0000-0000-000047170000}"/>
    <cellStyle name="Texte explicatif 53 2" xfId="4945" xr:uid="{00000000-0005-0000-0000-000048170000}"/>
    <cellStyle name="Texte explicatif 54" xfId="2533" xr:uid="{00000000-0005-0000-0000-000049170000}"/>
    <cellStyle name="Texte explicatif 54 2" xfId="4946" xr:uid="{00000000-0005-0000-0000-00004A170000}"/>
    <cellStyle name="Texte explicatif 55" xfId="2534" xr:uid="{00000000-0005-0000-0000-00004B170000}"/>
    <cellStyle name="Texte explicatif 55 2" xfId="4947" xr:uid="{00000000-0005-0000-0000-00004C170000}"/>
    <cellStyle name="Texte explicatif 56" xfId="2535" xr:uid="{00000000-0005-0000-0000-00004D170000}"/>
    <cellStyle name="Texte explicatif 56 2" xfId="4948" xr:uid="{00000000-0005-0000-0000-00004E170000}"/>
    <cellStyle name="Texte explicatif 57" xfId="2536" xr:uid="{00000000-0005-0000-0000-00004F170000}"/>
    <cellStyle name="Texte explicatif 57 2" xfId="4949" xr:uid="{00000000-0005-0000-0000-000050170000}"/>
    <cellStyle name="Texte explicatif 58" xfId="2537" xr:uid="{00000000-0005-0000-0000-000051170000}"/>
    <cellStyle name="Texte explicatif 58 2" xfId="4950" xr:uid="{00000000-0005-0000-0000-000052170000}"/>
    <cellStyle name="Texte explicatif 59" xfId="2538" xr:uid="{00000000-0005-0000-0000-000053170000}"/>
    <cellStyle name="Texte explicatif 59 2" xfId="4951" xr:uid="{00000000-0005-0000-0000-000054170000}"/>
    <cellStyle name="Texte explicatif 6" xfId="405" xr:uid="{00000000-0005-0000-0000-000055170000}"/>
    <cellStyle name="Texte explicatif 6 2" xfId="2539" xr:uid="{00000000-0005-0000-0000-000056170000}"/>
    <cellStyle name="Texte explicatif 6 3" xfId="4952" xr:uid="{00000000-0005-0000-0000-000057170000}"/>
    <cellStyle name="Texte explicatif 7" xfId="406" xr:uid="{00000000-0005-0000-0000-000058170000}"/>
    <cellStyle name="Texte explicatif 7 2" xfId="2540" xr:uid="{00000000-0005-0000-0000-000059170000}"/>
    <cellStyle name="Texte explicatif 7 3" xfId="4953" xr:uid="{00000000-0005-0000-0000-00005A170000}"/>
    <cellStyle name="Texte explicatif 8" xfId="407" xr:uid="{00000000-0005-0000-0000-00005B170000}"/>
    <cellStyle name="Texte explicatif 8 2" xfId="2541" xr:uid="{00000000-0005-0000-0000-00005C170000}"/>
    <cellStyle name="Texte explicatif 8 3" xfId="4954" xr:uid="{00000000-0005-0000-0000-00005D170000}"/>
    <cellStyle name="Texte explicatif 9" xfId="2542" xr:uid="{00000000-0005-0000-0000-00005E170000}"/>
    <cellStyle name="Texte explicatif 9 2" xfId="4955" xr:uid="{00000000-0005-0000-0000-00005F170000}"/>
    <cellStyle name="Titre 10" xfId="2543" xr:uid="{00000000-0005-0000-0000-000060170000}"/>
    <cellStyle name="Titre 10 2" xfId="4956" xr:uid="{00000000-0005-0000-0000-000061170000}"/>
    <cellStyle name="Titre 11" xfId="2544" xr:uid="{00000000-0005-0000-0000-000062170000}"/>
    <cellStyle name="Titre 11 2" xfId="4957" xr:uid="{00000000-0005-0000-0000-000063170000}"/>
    <cellStyle name="Titre 12" xfId="2545" xr:uid="{00000000-0005-0000-0000-000064170000}"/>
    <cellStyle name="Titre 12 2" xfId="4958" xr:uid="{00000000-0005-0000-0000-000065170000}"/>
    <cellStyle name="Titre 13" xfId="2546" xr:uid="{00000000-0005-0000-0000-000066170000}"/>
    <cellStyle name="Titre 13 2" xfId="4959" xr:uid="{00000000-0005-0000-0000-000067170000}"/>
    <cellStyle name="Titre 14" xfId="2547" xr:uid="{00000000-0005-0000-0000-000068170000}"/>
    <cellStyle name="Titre 14 2" xfId="4960" xr:uid="{00000000-0005-0000-0000-000069170000}"/>
    <cellStyle name="Titre 15" xfId="2548" xr:uid="{00000000-0005-0000-0000-00006A170000}"/>
    <cellStyle name="Titre 15 2" xfId="4961" xr:uid="{00000000-0005-0000-0000-00006B170000}"/>
    <cellStyle name="Titre 16" xfId="2549" xr:uid="{00000000-0005-0000-0000-00006C170000}"/>
    <cellStyle name="Titre 16 2" xfId="4962" xr:uid="{00000000-0005-0000-0000-00006D170000}"/>
    <cellStyle name="Titre 17" xfId="2550" xr:uid="{00000000-0005-0000-0000-00006E170000}"/>
    <cellStyle name="Titre 17 2" xfId="4963" xr:uid="{00000000-0005-0000-0000-00006F170000}"/>
    <cellStyle name="Titre 18" xfId="2551" xr:uid="{00000000-0005-0000-0000-000070170000}"/>
    <cellStyle name="Titre 18 2" xfId="4964" xr:uid="{00000000-0005-0000-0000-000071170000}"/>
    <cellStyle name="Titre 19" xfId="2552" xr:uid="{00000000-0005-0000-0000-000072170000}"/>
    <cellStyle name="Titre 19 2" xfId="4965" xr:uid="{00000000-0005-0000-0000-000073170000}"/>
    <cellStyle name="Titre 2" xfId="60" xr:uid="{00000000-0005-0000-0000-000074170000}"/>
    <cellStyle name="Titre 2 2" xfId="2553" xr:uid="{00000000-0005-0000-0000-000075170000}"/>
    <cellStyle name="Titre 2 3" xfId="4966" xr:uid="{00000000-0005-0000-0000-000076170000}"/>
    <cellStyle name="Titre 20" xfId="2554" xr:uid="{00000000-0005-0000-0000-000077170000}"/>
    <cellStyle name="Titre 20 2" xfId="4967" xr:uid="{00000000-0005-0000-0000-000078170000}"/>
    <cellStyle name="Titre 21" xfId="2555" xr:uid="{00000000-0005-0000-0000-000079170000}"/>
    <cellStyle name="Titre 21 2" xfId="4968" xr:uid="{00000000-0005-0000-0000-00007A170000}"/>
    <cellStyle name="Titre 22" xfId="2556" xr:uid="{00000000-0005-0000-0000-00007B170000}"/>
    <cellStyle name="Titre 22 2" xfId="4969" xr:uid="{00000000-0005-0000-0000-00007C170000}"/>
    <cellStyle name="Titre 23" xfId="2557" xr:uid="{00000000-0005-0000-0000-00007D170000}"/>
    <cellStyle name="Titre 23 2" xfId="4970" xr:uid="{00000000-0005-0000-0000-00007E170000}"/>
    <cellStyle name="Titre 24" xfId="2558" xr:uid="{00000000-0005-0000-0000-00007F170000}"/>
    <cellStyle name="Titre 24 2" xfId="4971" xr:uid="{00000000-0005-0000-0000-000080170000}"/>
    <cellStyle name="Titre 25" xfId="2559" xr:uid="{00000000-0005-0000-0000-000081170000}"/>
    <cellStyle name="Titre 25 2" xfId="4972" xr:uid="{00000000-0005-0000-0000-000082170000}"/>
    <cellStyle name="Titre 26" xfId="2560" xr:uid="{00000000-0005-0000-0000-000083170000}"/>
    <cellStyle name="Titre 26 2" xfId="4973" xr:uid="{00000000-0005-0000-0000-000084170000}"/>
    <cellStyle name="Titre 27" xfId="2561" xr:uid="{00000000-0005-0000-0000-000085170000}"/>
    <cellStyle name="Titre 27 2" xfId="4974" xr:uid="{00000000-0005-0000-0000-000086170000}"/>
    <cellStyle name="Titre 28" xfId="2562" xr:uid="{00000000-0005-0000-0000-000087170000}"/>
    <cellStyle name="Titre 28 2" xfId="4975" xr:uid="{00000000-0005-0000-0000-000088170000}"/>
    <cellStyle name="Titre 29" xfId="2563" xr:uid="{00000000-0005-0000-0000-000089170000}"/>
    <cellStyle name="Titre 29 2" xfId="4976" xr:uid="{00000000-0005-0000-0000-00008A170000}"/>
    <cellStyle name="Titre 3" xfId="408" xr:uid="{00000000-0005-0000-0000-00008B170000}"/>
    <cellStyle name="Titre 3 2" xfId="2564" xr:uid="{00000000-0005-0000-0000-00008C170000}"/>
    <cellStyle name="Titre 3 3" xfId="4977" xr:uid="{00000000-0005-0000-0000-00008D170000}"/>
    <cellStyle name="Titre 30" xfId="2565" xr:uid="{00000000-0005-0000-0000-00008E170000}"/>
    <cellStyle name="Titre 30 2" xfId="4978" xr:uid="{00000000-0005-0000-0000-00008F170000}"/>
    <cellStyle name="Titre 31" xfId="2566" xr:uid="{00000000-0005-0000-0000-000090170000}"/>
    <cellStyle name="Titre 31 2" xfId="4979" xr:uid="{00000000-0005-0000-0000-000091170000}"/>
    <cellStyle name="Titre 32" xfId="2567" xr:uid="{00000000-0005-0000-0000-000092170000}"/>
    <cellStyle name="Titre 32 2" xfId="4980" xr:uid="{00000000-0005-0000-0000-000093170000}"/>
    <cellStyle name="Titre 33" xfId="2568" xr:uid="{00000000-0005-0000-0000-000094170000}"/>
    <cellStyle name="Titre 33 2" xfId="4981" xr:uid="{00000000-0005-0000-0000-000095170000}"/>
    <cellStyle name="Titre 34" xfId="2569" xr:uid="{00000000-0005-0000-0000-000096170000}"/>
    <cellStyle name="Titre 34 2" xfId="4982" xr:uid="{00000000-0005-0000-0000-000097170000}"/>
    <cellStyle name="Titre 35" xfId="2570" xr:uid="{00000000-0005-0000-0000-000098170000}"/>
    <cellStyle name="Titre 35 2" xfId="4983" xr:uid="{00000000-0005-0000-0000-000099170000}"/>
    <cellStyle name="Titre 36" xfId="2571" xr:uid="{00000000-0005-0000-0000-00009A170000}"/>
    <cellStyle name="Titre 36 2" xfId="4984" xr:uid="{00000000-0005-0000-0000-00009B170000}"/>
    <cellStyle name="Titre 37" xfId="2572" xr:uid="{00000000-0005-0000-0000-00009C170000}"/>
    <cellStyle name="Titre 37 2" xfId="4985" xr:uid="{00000000-0005-0000-0000-00009D170000}"/>
    <cellStyle name="Titre 38" xfId="2573" xr:uid="{00000000-0005-0000-0000-00009E170000}"/>
    <cellStyle name="Titre 38 2" xfId="4986" xr:uid="{00000000-0005-0000-0000-00009F170000}"/>
    <cellStyle name="Titre 39" xfId="2574" xr:uid="{00000000-0005-0000-0000-0000A0170000}"/>
    <cellStyle name="Titre 39 2" xfId="4987" xr:uid="{00000000-0005-0000-0000-0000A1170000}"/>
    <cellStyle name="Titre 4" xfId="409" xr:uid="{00000000-0005-0000-0000-0000A2170000}"/>
    <cellStyle name="Titre 4 2" xfId="2575" xr:uid="{00000000-0005-0000-0000-0000A3170000}"/>
    <cellStyle name="Titre 4 3" xfId="4988" xr:uid="{00000000-0005-0000-0000-0000A4170000}"/>
    <cellStyle name="Titre 40" xfId="2576" xr:uid="{00000000-0005-0000-0000-0000A5170000}"/>
    <cellStyle name="Titre 40 2" xfId="4989" xr:uid="{00000000-0005-0000-0000-0000A6170000}"/>
    <cellStyle name="Titre 41" xfId="2577" xr:uid="{00000000-0005-0000-0000-0000A7170000}"/>
    <cellStyle name="Titre 41 2" xfId="4990" xr:uid="{00000000-0005-0000-0000-0000A8170000}"/>
    <cellStyle name="Titre 42" xfId="2578" xr:uid="{00000000-0005-0000-0000-0000A9170000}"/>
    <cellStyle name="Titre 42 2" xfId="4991" xr:uid="{00000000-0005-0000-0000-0000AA170000}"/>
    <cellStyle name="Titre 43" xfId="2579" xr:uid="{00000000-0005-0000-0000-0000AB170000}"/>
    <cellStyle name="Titre 43 2" xfId="4992" xr:uid="{00000000-0005-0000-0000-0000AC170000}"/>
    <cellStyle name="Titre 44" xfId="2580" xr:uid="{00000000-0005-0000-0000-0000AD170000}"/>
    <cellStyle name="Titre 44 2" xfId="4993" xr:uid="{00000000-0005-0000-0000-0000AE170000}"/>
    <cellStyle name="Titre 45" xfId="2581" xr:uid="{00000000-0005-0000-0000-0000AF170000}"/>
    <cellStyle name="Titre 45 2" xfId="4994" xr:uid="{00000000-0005-0000-0000-0000B0170000}"/>
    <cellStyle name="Titre 46" xfId="2582" xr:uid="{00000000-0005-0000-0000-0000B1170000}"/>
    <cellStyle name="Titre 46 2" xfId="4995" xr:uid="{00000000-0005-0000-0000-0000B2170000}"/>
    <cellStyle name="Titre 47" xfId="2583" xr:uid="{00000000-0005-0000-0000-0000B3170000}"/>
    <cellStyle name="Titre 47 2" xfId="4996" xr:uid="{00000000-0005-0000-0000-0000B4170000}"/>
    <cellStyle name="Titre 48" xfId="2584" xr:uid="{00000000-0005-0000-0000-0000B5170000}"/>
    <cellStyle name="Titre 48 2" xfId="4997" xr:uid="{00000000-0005-0000-0000-0000B6170000}"/>
    <cellStyle name="Titre 49" xfId="2585" xr:uid="{00000000-0005-0000-0000-0000B7170000}"/>
    <cellStyle name="Titre 49 2" xfId="4998" xr:uid="{00000000-0005-0000-0000-0000B8170000}"/>
    <cellStyle name="Titre 5" xfId="410" xr:uid="{00000000-0005-0000-0000-0000B9170000}"/>
    <cellStyle name="Titre 5 2" xfId="2586" xr:uid="{00000000-0005-0000-0000-0000BA170000}"/>
    <cellStyle name="Titre 5 3" xfId="4999" xr:uid="{00000000-0005-0000-0000-0000BB170000}"/>
    <cellStyle name="Titre 50" xfId="2587" xr:uid="{00000000-0005-0000-0000-0000BC170000}"/>
    <cellStyle name="Titre 50 2" xfId="5000" xr:uid="{00000000-0005-0000-0000-0000BD170000}"/>
    <cellStyle name="Titre 51" xfId="2588" xr:uid="{00000000-0005-0000-0000-0000BE170000}"/>
    <cellStyle name="Titre 51 2" xfId="5001" xr:uid="{00000000-0005-0000-0000-0000BF170000}"/>
    <cellStyle name="Titre 52" xfId="2589" xr:uid="{00000000-0005-0000-0000-0000C0170000}"/>
    <cellStyle name="Titre 52 2" xfId="5002" xr:uid="{00000000-0005-0000-0000-0000C1170000}"/>
    <cellStyle name="Titre 53" xfId="2590" xr:uid="{00000000-0005-0000-0000-0000C2170000}"/>
    <cellStyle name="Titre 53 2" xfId="5003" xr:uid="{00000000-0005-0000-0000-0000C3170000}"/>
    <cellStyle name="Titre 54" xfId="2591" xr:uid="{00000000-0005-0000-0000-0000C4170000}"/>
    <cellStyle name="Titre 54 2" xfId="5004" xr:uid="{00000000-0005-0000-0000-0000C5170000}"/>
    <cellStyle name="Titre 55" xfId="2592" xr:uid="{00000000-0005-0000-0000-0000C6170000}"/>
    <cellStyle name="Titre 55 2" xfId="5005" xr:uid="{00000000-0005-0000-0000-0000C7170000}"/>
    <cellStyle name="Titre 56" xfId="2593" xr:uid="{00000000-0005-0000-0000-0000C8170000}"/>
    <cellStyle name="Titre 56 2" xfId="5006" xr:uid="{00000000-0005-0000-0000-0000C9170000}"/>
    <cellStyle name="Titre 57" xfId="2594" xr:uid="{00000000-0005-0000-0000-0000CA170000}"/>
    <cellStyle name="Titre 57 2" xfId="5007" xr:uid="{00000000-0005-0000-0000-0000CB170000}"/>
    <cellStyle name="Titre 58" xfId="2595" xr:uid="{00000000-0005-0000-0000-0000CC170000}"/>
    <cellStyle name="Titre 58 2" xfId="5008" xr:uid="{00000000-0005-0000-0000-0000CD170000}"/>
    <cellStyle name="Titre 59" xfId="2596" xr:uid="{00000000-0005-0000-0000-0000CE170000}"/>
    <cellStyle name="Titre 59 2" xfId="5009" xr:uid="{00000000-0005-0000-0000-0000CF170000}"/>
    <cellStyle name="Titre 6" xfId="411" xr:uid="{00000000-0005-0000-0000-0000D0170000}"/>
    <cellStyle name="Titre 6 2" xfId="2597" xr:uid="{00000000-0005-0000-0000-0000D1170000}"/>
    <cellStyle name="Titre 6 3" xfId="5010" xr:uid="{00000000-0005-0000-0000-0000D2170000}"/>
    <cellStyle name="Titre 7" xfId="412" xr:uid="{00000000-0005-0000-0000-0000D3170000}"/>
    <cellStyle name="Titre 7 2" xfId="2598" xr:uid="{00000000-0005-0000-0000-0000D4170000}"/>
    <cellStyle name="Titre 7 3" xfId="5011" xr:uid="{00000000-0005-0000-0000-0000D5170000}"/>
    <cellStyle name="Titre 8" xfId="413" xr:uid="{00000000-0005-0000-0000-0000D6170000}"/>
    <cellStyle name="Titre 8 2" xfId="2599" xr:uid="{00000000-0005-0000-0000-0000D7170000}"/>
    <cellStyle name="Titre 8 3" xfId="5012" xr:uid="{00000000-0005-0000-0000-0000D8170000}"/>
    <cellStyle name="Titre 9" xfId="2600" xr:uid="{00000000-0005-0000-0000-0000D9170000}"/>
    <cellStyle name="Titre 9 2" xfId="5013" xr:uid="{00000000-0005-0000-0000-0000DA170000}"/>
    <cellStyle name="Titre 1 10" xfId="2601" xr:uid="{00000000-0005-0000-0000-0000DB170000}"/>
    <cellStyle name="Titre 1 10 2" xfId="5014" xr:uid="{00000000-0005-0000-0000-0000DC170000}"/>
    <cellStyle name="Titre 1 11" xfId="2602" xr:uid="{00000000-0005-0000-0000-0000DD170000}"/>
    <cellStyle name="Titre 1 11 2" xfId="5015" xr:uid="{00000000-0005-0000-0000-0000DE170000}"/>
    <cellStyle name="Titre 1 12" xfId="2603" xr:uid="{00000000-0005-0000-0000-0000DF170000}"/>
    <cellStyle name="Titre 1 12 2" xfId="5016" xr:uid="{00000000-0005-0000-0000-0000E0170000}"/>
    <cellStyle name="Titre 1 13" xfId="2604" xr:uid="{00000000-0005-0000-0000-0000E1170000}"/>
    <cellStyle name="Titre 1 13 2" xfId="5017" xr:uid="{00000000-0005-0000-0000-0000E2170000}"/>
    <cellStyle name="Titre 1 14" xfId="2605" xr:uid="{00000000-0005-0000-0000-0000E3170000}"/>
    <cellStyle name="Titre 1 14 2" xfId="5018" xr:uid="{00000000-0005-0000-0000-0000E4170000}"/>
    <cellStyle name="Titre 1 15" xfId="2606" xr:uid="{00000000-0005-0000-0000-0000E5170000}"/>
    <cellStyle name="Titre 1 15 2" xfId="5019" xr:uid="{00000000-0005-0000-0000-0000E6170000}"/>
    <cellStyle name="Titre 1 16" xfId="2607" xr:uid="{00000000-0005-0000-0000-0000E7170000}"/>
    <cellStyle name="Titre 1 16 2" xfId="5020" xr:uid="{00000000-0005-0000-0000-0000E8170000}"/>
    <cellStyle name="Titre 1 17" xfId="2608" xr:uid="{00000000-0005-0000-0000-0000E9170000}"/>
    <cellStyle name="Titre 1 17 2" xfId="5021" xr:uid="{00000000-0005-0000-0000-0000EA170000}"/>
    <cellStyle name="Titre 1 18" xfId="2609" xr:uid="{00000000-0005-0000-0000-0000EB170000}"/>
    <cellStyle name="Titre 1 18 2" xfId="5022" xr:uid="{00000000-0005-0000-0000-0000EC170000}"/>
    <cellStyle name="Titre 1 19" xfId="2610" xr:uid="{00000000-0005-0000-0000-0000ED170000}"/>
    <cellStyle name="Titre 1 19 2" xfId="5023" xr:uid="{00000000-0005-0000-0000-0000EE170000}"/>
    <cellStyle name="Titre 1 2" xfId="61" xr:uid="{00000000-0005-0000-0000-0000EF170000}"/>
    <cellStyle name="Titre 1 2 2" xfId="2611" xr:uid="{00000000-0005-0000-0000-0000F0170000}"/>
    <cellStyle name="Titre 1 2 3" xfId="5024" xr:uid="{00000000-0005-0000-0000-0000F1170000}"/>
    <cellStyle name="Titre 1 20" xfId="2612" xr:uid="{00000000-0005-0000-0000-0000F2170000}"/>
    <cellStyle name="Titre 1 20 2" xfId="5025" xr:uid="{00000000-0005-0000-0000-0000F3170000}"/>
    <cellStyle name="Titre 1 21" xfId="2613" xr:uid="{00000000-0005-0000-0000-0000F4170000}"/>
    <cellStyle name="Titre 1 21 2" xfId="5026" xr:uid="{00000000-0005-0000-0000-0000F5170000}"/>
    <cellStyle name="Titre 1 22" xfId="2614" xr:uid="{00000000-0005-0000-0000-0000F6170000}"/>
    <cellStyle name="Titre 1 22 2" xfId="5027" xr:uid="{00000000-0005-0000-0000-0000F7170000}"/>
    <cellStyle name="Titre 1 23" xfId="2615" xr:uid="{00000000-0005-0000-0000-0000F8170000}"/>
    <cellStyle name="Titre 1 23 2" xfId="5028" xr:uid="{00000000-0005-0000-0000-0000F9170000}"/>
    <cellStyle name="Titre 1 24" xfId="2616" xr:uid="{00000000-0005-0000-0000-0000FA170000}"/>
    <cellStyle name="Titre 1 24 2" xfId="5029" xr:uid="{00000000-0005-0000-0000-0000FB170000}"/>
    <cellStyle name="Titre 1 25" xfId="2617" xr:uid="{00000000-0005-0000-0000-0000FC170000}"/>
    <cellStyle name="Titre 1 25 2" xfId="5030" xr:uid="{00000000-0005-0000-0000-0000FD170000}"/>
    <cellStyle name="Titre 1 26" xfId="2618" xr:uid="{00000000-0005-0000-0000-0000FE170000}"/>
    <cellStyle name="Titre 1 26 2" xfId="5031" xr:uid="{00000000-0005-0000-0000-0000FF170000}"/>
    <cellStyle name="Titre 1 27" xfId="2619" xr:uid="{00000000-0005-0000-0000-000000180000}"/>
    <cellStyle name="Titre 1 27 2" xfId="5032" xr:uid="{00000000-0005-0000-0000-000001180000}"/>
    <cellStyle name="Titre 1 28" xfId="2620" xr:uid="{00000000-0005-0000-0000-000002180000}"/>
    <cellStyle name="Titre 1 28 2" xfId="5033" xr:uid="{00000000-0005-0000-0000-000003180000}"/>
    <cellStyle name="Titre 1 29" xfId="2621" xr:uid="{00000000-0005-0000-0000-000004180000}"/>
    <cellStyle name="Titre 1 29 2" xfId="5034" xr:uid="{00000000-0005-0000-0000-000005180000}"/>
    <cellStyle name="Titre 1 3" xfId="415" xr:uid="{00000000-0005-0000-0000-000006180000}"/>
    <cellStyle name="Titre 1 3 2" xfId="2622" xr:uid="{00000000-0005-0000-0000-000007180000}"/>
    <cellStyle name="Titre 1 3 3" xfId="5035" xr:uid="{00000000-0005-0000-0000-000008180000}"/>
    <cellStyle name="Titre 1 30" xfId="2623" xr:uid="{00000000-0005-0000-0000-000009180000}"/>
    <cellStyle name="Titre 1 30 2" xfId="5036" xr:uid="{00000000-0005-0000-0000-00000A180000}"/>
    <cellStyle name="Titre 1 31" xfId="2624" xr:uid="{00000000-0005-0000-0000-00000B180000}"/>
    <cellStyle name="Titre 1 31 2" xfId="5037" xr:uid="{00000000-0005-0000-0000-00000C180000}"/>
    <cellStyle name="Titre 1 32" xfId="2625" xr:uid="{00000000-0005-0000-0000-00000D180000}"/>
    <cellStyle name="Titre 1 32 2" xfId="5038" xr:uid="{00000000-0005-0000-0000-00000E180000}"/>
    <cellStyle name="Titre 1 33" xfId="2626" xr:uid="{00000000-0005-0000-0000-00000F180000}"/>
    <cellStyle name="Titre 1 33 2" xfId="5039" xr:uid="{00000000-0005-0000-0000-000010180000}"/>
    <cellStyle name="Titre 1 34" xfId="2627" xr:uid="{00000000-0005-0000-0000-000011180000}"/>
    <cellStyle name="Titre 1 34 2" xfId="5040" xr:uid="{00000000-0005-0000-0000-000012180000}"/>
    <cellStyle name="Titre 1 35" xfId="2628" xr:uid="{00000000-0005-0000-0000-000013180000}"/>
    <cellStyle name="Titre 1 35 2" xfId="5041" xr:uid="{00000000-0005-0000-0000-000014180000}"/>
    <cellStyle name="Titre 1 36" xfId="2629" xr:uid="{00000000-0005-0000-0000-000015180000}"/>
    <cellStyle name="Titre 1 36 2" xfId="5042" xr:uid="{00000000-0005-0000-0000-000016180000}"/>
    <cellStyle name="Titre 1 37" xfId="2630" xr:uid="{00000000-0005-0000-0000-000017180000}"/>
    <cellStyle name="Titre 1 37 2" xfId="5043" xr:uid="{00000000-0005-0000-0000-000018180000}"/>
    <cellStyle name="Titre 1 38" xfId="2631" xr:uid="{00000000-0005-0000-0000-000019180000}"/>
    <cellStyle name="Titre 1 38 2" xfId="5044" xr:uid="{00000000-0005-0000-0000-00001A180000}"/>
    <cellStyle name="Titre 1 39" xfId="2632" xr:uid="{00000000-0005-0000-0000-00001B180000}"/>
    <cellStyle name="Titre 1 39 2" xfId="5045" xr:uid="{00000000-0005-0000-0000-00001C180000}"/>
    <cellStyle name="Titre 1 4" xfId="416" xr:uid="{00000000-0005-0000-0000-00001D180000}"/>
    <cellStyle name="Titre 1 4 2" xfId="2633" xr:uid="{00000000-0005-0000-0000-00001E180000}"/>
    <cellStyle name="Titre 1 4 3" xfId="5046" xr:uid="{00000000-0005-0000-0000-00001F180000}"/>
    <cellStyle name="Titre 1 40" xfId="2634" xr:uid="{00000000-0005-0000-0000-000020180000}"/>
    <cellStyle name="Titre 1 40 2" xfId="5047" xr:uid="{00000000-0005-0000-0000-000021180000}"/>
    <cellStyle name="Titre 1 41" xfId="2635" xr:uid="{00000000-0005-0000-0000-000022180000}"/>
    <cellStyle name="Titre 1 41 2" xfId="5048" xr:uid="{00000000-0005-0000-0000-000023180000}"/>
    <cellStyle name="Titre 1 42" xfId="2636" xr:uid="{00000000-0005-0000-0000-000024180000}"/>
    <cellStyle name="Titre 1 42 2" xfId="5049" xr:uid="{00000000-0005-0000-0000-000025180000}"/>
    <cellStyle name="Titre 1 43" xfId="2637" xr:uid="{00000000-0005-0000-0000-000026180000}"/>
    <cellStyle name="Titre 1 43 2" xfId="5050" xr:uid="{00000000-0005-0000-0000-000027180000}"/>
    <cellStyle name="Titre 1 44" xfId="2638" xr:uid="{00000000-0005-0000-0000-000028180000}"/>
    <cellStyle name="Titre 1 44 2" xfId="5051" xr:uid="{00000000-0005-0000-0000-000029180000}"/>
    <cellStyle name="Titre 1 45" xfId="2639" xr:uid="{00000000-0005-0000-0000-00002A180000}"/>
    <cellStyle name="Titre 1 45 2" xfId="5052" xr:uid="{00000000-0005-0000-0000-00002B180000}"/>
    <cellStyle name="Titre 1 46" xfId="2640" xr:uid="{00000000-0005-0000-0000-00002C180000}"/>
    <cellStyle name="Titre 1 46 2" xfId="5053" xr:uid="{00000000-0005-0000-0000-00002D180000}"/>
    <cellStyle name="Titre 1 47" xfId="2641" xr:uid="{00000000-0005-0000-0000-00002E180000}"/>
    <cellStyle name="Titre 1 47 2" xfId="5054" xr:uid="{00000000-0005-0000-0000-00002F180000}"/>
    <cellStyle name="Titre 1 48" xfId="2642" xr:uid="{00000000-0005-0000-0000-000030180000}"/>
    <cellStyle name="Titre 1 48 2" xfId="5055" xr:uid="{00000000-0005-0000-0000-000031180000}"/>
    <cellStyle name="Titre 1 49" xfId="2643" xr:uid="{00000000-0005-0000-0000-000032180000}"/>
    <cellStyle name="Titre 1 49 2" xfId="5056" xr:uid="{00000000-0005-0000-0000-000033180000}"/>
    <cellStyle name="Titre 1 5" xfId="417" xr:uid="{00000000-0005-0000-0000-000034180000}"/>
    <cellStyle name="Titre 1 5 2" xfId="2644" xr:uid="{00000000-0005-0000-0000-000035180000}"/>
    <cellStyle name="Titre 1 5 3" xfId="5057" xr:uid="{00000000-0005-0000-0000-000036180000}"/>
    <cellStyle name="Titre 1 50" xfId="2645" xr:uid="{00000000-0005-0000-0000-000037180000}"/>
    <cellStyle name="Titre 1 50 2" xfId="5058" xr:uid="{00000000-0005-0000-0000-000038180000}"/>
    <cellStyle name="Titre 1 51" xfId="2646" xr:uid="{00000000-0005-0000-0000-000039180000}"/>
    <cellStyle name="Titre 1 51 2" xfId="5059" xr:uid="{00000000-0005-0000-0000-00003A180000}"/>
    <cellStyle name="Titre 1 52" xfId="2647" xr:uid="{00000000-0005-0000-0000-00003B180000}"/>
    <cellStyle name="Titre 1 52 2" xfId="5060" xr:uid="{00000000-0005-0000-0000-00003C180000}"/>
    <cellStyle name="Titre 1 53" xfId="2648" xr:uid="{00000000-0005-0000-0000-00003D180000}"/>
    <cellStyle name="Titre 1 53 2" xfId="5061" xr:uid="{00000000-0005-0000-0000-00003E180000}"/>
    <cellStyle name="Titre 1 54" xfId="2649" xr:uid="{00000000-0005-0000-0000-00003F180000}"/>
    <cellStyle name="Titre 1 54 2" xfId="5062" xr:uid="{00000000-0005-0000-0000-000040180000}"/>
    <cellStyle name="Titre 1 55" xfId="2650" xr:uid="{00000000-0005-0000-0000-000041180000}"/>
    <cellStyle name="Titre 1 55 2" xfId="5063" xr:uid="{00000000-0005-0000-0000-000042180000}"/>
    <cellStyle name="Titre 1 56" xfId="2651" xr:uid="{00000000-0005-0000-0000-000043180000}"/>
    <cellStyle name="Titre 1 56 2" xfId="5064" xr:uid="{00000000-0005-0000-0000-000044180000}"/>
    <cellStyle name="Titre 1 57" xfId="2652" xr:uid="{00000000-0005-0000-0000-000045180000}"/>
    <cellStyle name="Titre 1 57 2" xfId="5065" xr:uid="{00000000-0005-0000-0000-000046180000}"/>
    <cellStyle name="Titre 1 58" xfId="2653" xr:uid="{00000000-0005-0000-0000-000047180000}"/>
    <cellStyle name="Titre 1 58 2" xfId="5066" xr:uid="{00000000-0005-0000-0000-000048180000}"/>
    <cellStyle name="Titre 1 59" xfId="2654" xr:uid="{00000000-0005-0000-0000-000049180000}"/>
    <cellStyle name="Titre 1 59 2" xfId="5067" xr:uid="{00000000-0005-0000-0000-00004A180000}"/>
    <cellStyle name="Titre 1 6" xfId="418" xr:uid="{00000000-0005-0000-0000-00004B180000}"/>
    <cellStyle name="Titre 1 6 2" xfId="2655" xr:uid="{00000000-0005-0000-0000-00004C180000}"/>
    <cellStyle name="Titre 1 6 3" xfId="5068" xr:uid="{00000000-0005-0000-0000-00004D180000}"/>
    <cellStyle name="Titre 1 7" xfId="419" xr:uid="{00000000-0005-0000-0000-00004E180000}"/>
    <cellStyle name="Titre 1 7 2" xfId="2656" xr:uid="{00000000-0005-0000-0000-00004F180000}"/>
    <cellStyle name="Titre 1 7 3" xfId="5069" xr:uid="{00000000-0005-0000-0000-000050180000}"/>
    <cellStyle name="Titre 1 8" xfId="420" xr:uid="{00000000-0005-0000-0000-000051180000}"/>
    <cellStyle name="Titre 1 8 2" xfId="2657" xr:uid="{00000000-0005-0000-0000-000052180000}"/>
    <cellStyle name="Titre 1 8 3" xfId="5070" xr:uid="{00000000-0005-0000-0000-000053180000}"/>
    <cellStyle name="Titre 1 9" xfId="2658" xr:uid="{00000000-0005-0000-0000-000054180000}"/>
    <cellStyle name="Titre 1 9 2" xfId="5071" xr:uid="{00000000-0005-0000-0000-000055180000}"/>
    <cellStyle name="Titre 2 10" xfId="2659" xr:uid="{00000000-0005-0000-0000-000056180000}"/>
    <cellStyle name="Titre 2 10 2" xfId="5072" xr:uid="{00000000-0005-0000-0000-000057180000}"/>
    <cellStyle name="Titre 2 11" xfId="2660" xr:uid="{00000000-0005-0000-0000-000058180000}"/>
    <cellStyle name="Titre 2 11 2" xfId="5073" xr:uid="{00000000-0005-0000-0000-000059180000}"/>
    <cellStyle name="Titre 2 12" xfId="2661" xr:uid="{00000000-0005-0000-0000-00005A180000}"/>
    <cellStyle name="Titre 2 12 2" xfId="5074" xr:uid="{00000000-0005-0000-0000-00005B180000}"/>
    <cellStyle name="Titre 2 13" xfId="2662" xr:uid="{00000000-0005-0000-0000-00005C180000}"/>
    <cellStyle name="Titre 2 13 2" xfId="5075" xr:uid="{00000000-0005-0000-0000-00005D180000}"/>
    <cellStyle name="Titre 2 14" xfId="2663" xr:uid="{00000000-0005-0000-0000-00005E180000}"/>
    <cellStyle name="Titre 2 14 2" xfId="5076" xr:uid="{00000000-0005-0000-0000-00005F180000}"/>
    <cellStyle name="Titre 2 15" xfId="2664" xr:uid="{00000000-0005-0000-0000-000060180000}"/>
    <cellStyle name="Titre 2 15 2" xfId="5077" xr:uid="{00000000-0005-0000-0000-000061180000}"/>
    <cellStyle name="Titre 2 16" xfId="2665" xr:uid="{00000000-0005-0000-0000-000062180000}"/>
    <cellStyle name="Titre 2 16 2" xfId="5078" xr:uid="{00000000-0005-0000-0000-000063180000}"/>
    <cellStyle name="Titre 2 17" xfId="2666" xr:uid="{00000000-0005-0000-0000-000064180000}"/>
    <cellStyle name="Titre 2 17 2" xfId="5079" xr:uid="{00000000-0005-0000-0000-000065180000}"/>
    <cellStyle name="Titre 2 18" xfId="2667" xr:uid="{00000000-0005-0000-0000-000066180000}"/>
    <cellStyle name="Titre 2 18 2" xfId="5080" xr:uid="{00000000-0005-0000-0000-000067180000}"/>
    <cellStyle name="Titre 2 19" xfId="2668" xr:uid="{00000000-0005-0000-0000-000068180000}"/>
    <cellStyle name="Titre 2 19 2" xfId="5081" xr:uid="{00000000-0005-0000-0000-000069180000}"/>
    <cellStyle name="Titre 2 2" xfId="62" xr:uid="{00000000-0005-0000-0000-00006A180000}"/>
    <cellStyle name="Titre 2 2 2" xfId="2669" xr:uid="{00000000-0005-0000-0000-00006B180000}"/>
    <cellStyle name="Titre 2 2 3" xfId="5082" xr:uid="{00000000-0005-0000-0000-00006C180000}"/>
    <cellStyle name="Titre 2 20" xfId="2670" xr:uid="{00000000-0005-0000-0000-00006D180000}"/>
    <cellStyle name="Titre 2 20 2" xfId="5083" xr:uid="{00000000-0005-0000-0000-00006E180000}"/>
    <cellStyle name="Titre 2 21" xfId="2671" xr:uid="{00000000-0005-0000-0000-00006F180000}"/>
    <cellStyle name="Titre 2 21 2" xfId="5084" xr:uid="{00000000-0005-0000-0000-000070180000}"/>
    <cellStyle name="Titre 2 22" xfId="2672" xr:uid="{00000000-0005-0000-0000-000071180000}"/>
    <cellStyle name="Titre 2 22 2" xfId="5085" xr:uid="{00000000-0005-0000-0000-000072180000}"/>
    <cellStyle name="Titre 2 23" xfId="2673" xr:uid="{00000000-0005-0000-0000-000073180000}"/>
    <cellStyle name="Titre 2 23 2" xfId="5086" xr:uid="{00000000-0005-0000-0000-000074180000}"/>
    <cellStyle name="Titre 2 24" xfId="2674" xr:uid="{00000000-0005-0000-0000-000075180000}"/>
    <cellStyle name="Titre 2 24 2" xfId="5087" xr:uid="{00000000-0005-0000-0000-000076180000}"/>
    <cellStyle name="Titre 2 25" xfId="2675" xr:uid="{00000000-0005-0000-0000-000077180000}"/>
    <cellStyle name="Titre 2 25 2" xfId="5088" xr:uid="{00000000-0005-0000-0000-000078180000}"/>
    <cellStyle name="Titre 2 26" xfId="2676" xr:uid="{00000000-0005-0000-0000-000079180000}"/>
    <cellStyle name="Titre 2 26 2" xfId="5089" xr:uid="{00000000-0005-0000-0000-00007A180000}"/>
    <cellStyle name="Titre 2 27" xfId="2677" xr:uid="{00000000-0005-0000-0000-00007B180000}"/>
    <cellStyle name="Titre 2 27 2" xfId="5090" xr:uid="{00000000-0005-0000-0000-00007C180000}"/>
    <cellStyle name="Titre 2 28" xfId="2678" xr:uid="{00000000-0005-0000-0000-00007D180000}"/>
    <cellStyle name="Titre 2 28 2" xfId="5091" xr:uid="{00000000-0005-0000-0000-00007E180000}"/>
    <cellStyle name="Titre 2 29" xfId="2679" xr:uid="{00000000-0005-0000-0000-00007F180000}"/>
    <cellStyle name="Titre 2 29 2" xfId="5092" xr:uid="{00000000-0005-0000-0000-000080180000}"/>
    <cellStyle name="Titre 2 3" xfId="422" xr:uid="{00000000-0005-0000-0000-000081180000}"/>
    <cellStyle name="Titre 2 3 2" xfId="2680" xr:uid="{00000000-0005-0000-0000-000082180000}"/>
    <cellStyle name="Titre 2 3 3" xfId="5093" xr:uid="{00000000-0005-0000-0000-000083180000}"/>
    <cellStyle name="Titre 2 30" xfId="2681" xr:uid="{00000000-0005-0000-0000-000084180000}"/>
    <cellStyle name="Titre 2 30 2" xfId="5094" xr:uid="{00000000-0005-0000-0000-000085180000}"/>
    <cellStyle name="Titre 2 31" xfId="2682" xr:uid="{00000000-0005-0000-0000-000086180000}"/>
    <cellStyle name="Titre 2 31 2" xfId="5095" xr:uid="{00000000-0005-0000-0000-000087180000}"/>
    <cellStyle name="Titre 2 32" xfId="2683" xr:uid="{00000000-0005-0000-0000-000088180000}"/>
    <cellStyle name="Titre 2 32 2" xfId="5096" xr:uid="{00000000-0005-0000-0000-000089180000}"/>
    <cellStyle name="Titre 2 33" xfId="2684" xr:uid="{00000000-0005-0000-0000-00008A180000}"/>
    <cellStyle name="Titre 2 33 2" xfId="5097" xr:uid="{00000000-0005-0000-0000-00008B180000}"/>
    <cellStyle name="Titre 2 34" xfId="2685" xr:uid="{00000000-0005-0000-0000-00008C180000}"/>
    <cellStyle name="Titre 2 34 2" xfId="5098" xr:uid="{00000000-0005-0000-0000-00008D180000}"/>
    <cellStyle name="Titre 2 35" xfId="2686" xr:uid="{00000000-0005-0000-0000-00008E180000}"/>
    <cellStyle name="Titre 2 35 2" xfId="5099" xr:uid="{00000000-0005-0000-0000-00008F180000}"/>
    <cellStyle name="Titre 2 36" xfId="2687" xr:uid="{00000000-0005-0000-0000-000090180000}"/>
    <cellStyle name="Titre 2 36 2" xfId="5100" xr:uid="{00000000-0005-0000-0000-000091180000}"/>
    <cellStyle name="Titre 2 37" xfId="2688" xr:uid="{00000000-0005-0000-0000-000092180000}"/>
    <cellStyle name="Titre 2 37 2" xfId="5101" xr:uid="{00000000-0005-0000-0000-000093180000}"/>
    <cellStyle name="Titre 2 38" xfId="2689" xr:uid="{00000000-0005-0000-0000-000094180000}"/>
    <cellStyle name="Titre 2 38 2" xfId="5102" xr:uid="{00000000-0005-0000-0000-000095180000}"/>
    <cellStyle name="Titre 2 39" xfId="2690" xr:uid="{00000000-0005-0000-0000-000096180000}"/>
    <cellStyle name="Titre 2 39 2" xfId="5103" xr:uid="{00000000-0005-0000-0000-000097180000}"/>
    <cellStyle name="Titre 2 4" xfId="423" xr:uid="{00000000-0005-0000-0000-000098180000}"/>
    <cellStyle name="Titre 2 4 2" xfId="2691" xr:uid="{00000000-0005-0000-0000-000099180000}"/>
    <cellStyle name="Titre 2 4 3" xfId="5104" xr:uid="{00000000-0005-0000-0000-00009A180000}"/>
    <cellStyle name="Titre 2 40" xfId="2692" xr:uid="{00000000-0005-0000-0000-00009B180000}"/>
    <cellStyle name="Titre 2 40 2" xfId="5105" xr:uid="{00000000-0005-0000-0000-00009C180000}"/>
    <cellStyle name="Titre 2 41" xfId="2693" xr:uid="{00000000-0005-0000-0000-00009D180000}"/>
    <cellStyle name="Titre 2 41 2" xfId="5106" xr:uid="{00000000-0005-0000-0000-00009E180000}"/>
    <cellStyle name="Titre 2 42" xfId="2694" xr:uid="{00000000-0005-0000-0000-00009F180000}"/>
    <cellStyle name="Titre 2 42 2" xfId="5107" xr:uid="{00000000-0005-0000-0000-0000A0180000}"/>
    <cellStyle name="Titre 2 43" xfId="2695" xr:uid="{00000000-0005-0000-0000-0000A1180000}"/>
    <cellStyle name="Titre 2 43 2" xfId="5108" xr:uid="{00000000-0005-0000-0000-0000A2180000}"/>
    <cellStyle name="Titre 2 44" xfId="2696" xr:uid="{00000000-0005-0000-0000-0000A3180000}"/>
    <cellStyle name="Titre 2 44 2" xfId="5109" xr:uid="{00000000-0005-0000-0000-0000A4180000}"/>
    <cellStyle name="Titre 2 45" xfId="2697" xr:uid="{00000000-0005-0000-0000-0000A5180000}"/>
    <cellStyle name="Titre 2 45 2" xfId="5110" xr:uid="{00000000-0005-0000-0000-0000A6180000}"/>
    <cellStyle name="Titre 2 46" xfId="2698" xr:uid="{00000000-0005-0000-0000-0000A7180000}"/>
    <cellStyle name="Titre 2 46 2" xfId="5111" xr:uid="{00000000-0005-0000-0000-0000A8180000}"/>
    <cellStyle name="Titre 2 47" xfId="2699" xr:uid="{00000000-0005-0000-0000-0000A9180000}"/>
    <cellStyle name="Titre 2 47 2" xfId="5112" xr:uid="{00000000-0005-0000-0000-0000AA180000}"/>
    <cellStyle name="Titre 2 48" xfId="2700" xr:uid="{00000000-0005-0000-0000-0000AB180000}"/>
    <cellStyle name="Titre 2 48 2" xfId="5113" xr:uid="{00000000-0005-0000-0000-0000AC180000}"/>
    <cellStyle name="Titre 2 49" xfId="2701" xr:uid="{00000000-0005-0000-0000-0000AD180000}"/>
    <cellStyle name="Titre 2 49 2" xfId="5114" xr:uid="{00000000-0005-0000-0000-0000AE180000}"/>
    <cellStyle name="Titre 2 5" xfId="424" xr:uid="{00000000-0005-0000-0000-0000AF180000}"/>
    <cellStyle name="Titre 2 5 2" xfId="2702" xr:uid="{00000000-0005-0000-0000-0000B0180000}"/>
    <cellStyle name="Titre 2 5 3" xfId="5115" xr:uid="{00000000-0005-0000-0000-0000B1180000}"/>
    <cellStyle name="Titre 2 50" xfId="2703" xr:uid="{00000000-0005-0000-0000-0000B2180000}"/>
    <cellStyle name="Titre 2 50 2" xfId="5116" xr:uid="{00000000-0005-0000-0000-0000B3180000}"/>
    <cellStyle name="Titre 2 51" xfId="2704" xr:uid="{00000000-0005-0000-0000-0000B4180000}"/>
    <cellStyle name="Titre 2 51 2" xfId="5117" xr:uid="{00000000-0005-0000-0000-0000B5180000}"/>
    <cellStyle name="Titre 2 52" xfId="2705" xr:uid="{00000000-0005-0000-0000-0000B6180000}"/>
    <cellStyle name="Titre 2 52 2" xfId="5118" xr:uid="{00000000-0005-0000-0000-0000B7180000}"/>
    <cellStyle name="Titre 2 53" xfId="2706" xr:uid="{00000000-0005-0000-0000-0000B8180000}"/>
    <cellStyle name="Titre 2 53 2" xfId="5119" xr:uid="{00000000-0005-0000-0000-0000B9180000}"/>
    <cellStyle name="Titre 2 54" xfId="2707" xr:uid="{00000000-0005-0000-0000-0000BA180000}"/>
    <cellStyle name="Titre 2 54 2" xfId="5120" xr:uid="{00000000-0005-0000-0000-0000BB180000}"/>
    <cellStyle name="Titre 2 55" xfId="2708" xr:uid="{00000000-0005-0000-0000-0000BC180000}"/>
    <cellStyle name="Titre 2 55 2" xfId="5121" xr:uid="{00000000-0005-0000-0000-0000BD180000}"/>
    <cellStyle name="Titre 2 56" xfId="2709" xr:uid="{00000000-0005-0000-0000-0000BE180000}"/>
    <cellStyle name="Titre 2 56 2" xfId="5122" xr:uid="{00000000-0005-0000-0000-0000BF180000}"/>
    <cellStyle name="Titre 2 57" xfId="2710" xr:uid="{00000000-0005-0000-0000-0000C0180000}"/>
    <cellStyle name="Titre 2 57 2" xfId="5123" xr:uid="{00000000-0005-0000-0000-0000C1180000}"/>
    <cellStyle name="Titre 2 58" xfId="2711" xr:uid="{00000000-0005-0000-0000-0000C2180000}"/>
    <cellStyle name="Titre 2 58 2" xfId="5124" xr:uid="{00000000-0005-0000-0000-0000C3180000}"/>
    <cellStyle name="Titre 2 59" xfId="2712" xr:uid="{00000000-0005-0000-0000-0000C4180000}"/>
    <cellStyle name="Titre 2 59 2" xfId="5125" xr:uid="{00000000-0005-0000-0000-0000C5180000}"/>
    <cellStyle name="Titre 2 6" xfId="425" xr:uid="{00000000-0005-0000-0000-0000C6180000}"/>
    <cellStyle name="Titre 2 6 2" xfId="2713" xr:uid="{00000000-0005-0000-0000-0000C7180000}"/>
    <cellStyle name="Titre 2 6 3" xfId="5126" xr:uid="{00000000-0005-0000-0000-0000C8180000}"/>
    <cellStyle name="Titre 2 7" xfId="426" xr:uid="{00000000-0005-0000-0000-0000C9180000}"/>
    <cellStyle name="Titre 2 7 2" xfId="2714" xr:uid="{00000000-0005-0000-0000-0000CA180000}"/>
    <cellStyle name="Titre 2 7 3" xfId="5127" xr:uid="{00000000-0005-0000-0000-0000CB180000}"/>
    <cellStyle name="Titre 2 8" xfId="427" xr:uid="{00000000-0005-0000-0000-0000CC180000}"/>
    <cellStyle name="Titre 2 8 2" xfId="2715" xr:uid="{00000000-0005-0000-0000-0000CD180000}"/>
    <cellStyle name="Titre 2 8 3" xfId="5128" xr:uid="{00000000-0005-0000-0000-0000CE180000}"/>
    <cellStyle name="Titre 2 9" xfId="2716" xr:uid="{00000000-0005-0000-0000-0000CF180000}"/>
    <cellStyle name="Titre 2 9 2" xfId="5129" xr:uid="{00000000-0005-0000-0000-0000D0180000}"/>
    <cellStyle name="Titre 3" xfId="63" builtinId="18"/>
    <cellStyle name="Titre 3 10" xfId="2717" xr:uid="{00000000-0005-0000-0000-0000D2180000}"/>
    <cellStyle name="Titre 3 10 2" xfId="5130" xr:uid="{00000000-0005-0000-0000-0000D3180000}"/>
    <cellStyle name="Titre 3 11" xfId="2718" xr:uid="{00000000-0005-0000-0000-0000D4180000}"/>
    <cellStyle name="Titre 3 11 2" xfId="5131" xr:uid="{00000000-0005-0000-0000-0000D5180000}"/>
    <cellStyle name="Titre 3 12" xfId="2719" xr:uid="{00000000-0005-0000-0000-0000D6180000}"/>
    <cellStyle name="Titre 3 12 2" xfId="5132" xr:uid="{00000000-0005-0000-0000-0000D7180000}"/>
    <cellStyle name="Titre 3 13" xfId="2720" xr:uid="{00000000-0005-0000-0000-0000D8180000}"/>
    <cellStyle name="Titre 3 13 2" xfId="5133" xr:uid="{00000000-0005-0000-0000-0000D9180000}"/>
    <cellStyle name="Titre 3 14" xfId="2721" xr:uid="{00000000-0005-0000-0000-0000DA180000}"/>
    <cellStyle name="Titre 3 14 2" xfId="5134" xr:uid="{00000000-0005-0000-0000-0000DB180000}"/>
    <cellStyle name="Titre 3 15" xfId="2722" xr:uid="{00000000-0005-0000-0000-0000DC180000}"/>
    <cellStyle name="Titre 3 15 2" xfId="5135" xr:uid="{00000000-0005-0000-0000-0000DD180000}"/>
    <cellStyle name="Titre 3 16" xfId="2723" xr:uid="{00000000-0005-0000-0000-0000DE180000}"/>
    <cellStyle name="Titre 3 16 2" xfId="5136" xr:uid="{00000000-0005-0000-0000-0000DF180000}"/>
    <cellStyle name="Titre 3 17" xfId="2724" xr:uid="{00000000-0005-0000-0000-0000E0180000}"/>
    <cellStyle name="Titre 3 17 2" xfId="5137" xr:uid="{00000000-0005-0000-0000-0000E1180000}"/>
    <cellStyle name="Titre 3 18" xfId="2725" xr:uid="{00000000-0005-0000-0000-0000E2180000}"/>
    <cellStyle name="Titre 3 18 2" xfId="5138" xr:uid="{00000000-0005-0000-0000-0000E3180000}"/>
    <cellStyle name="Titre 3 19" xfId="2726" xr:uid="{00000000-0005-0000-0000-0000E4180000}"/>
    <cellStyle name="Titre 3 19 2" xfId="5139" xr:uid="{00000000-0005-0000-0000-0000E5180000}"/>
    <cellStyle name="Titre 3 2" xfId="64" xr:uid="{00000000-0005-0000-0000-0000E6180000}"/>
    <cellStyle name="Titre 3 2 2" xfId="2727" xr:uid="{00000000-0005-0000-0000-0000E7180000}"/>
    <cellStyle name="Titre 3 2 3" xfId="5140" xr:uid="{00000000-0005-0000-0000-0000E8180000}"/>
    <cellStyle name="Titre 3 20" xfId="2728" xr:uid="{00000000-0005-0000-0000-0000E9180000}"/>
    <cellStyle name="Titre 3 20 2" xfId="5141" xr:uid="{00000000-0005-0000-0000-0000EA180000}"/>
    <cellStyle name="Titre 3 21" xfId="2729" xr:uid="{00000000-0005-0000-0000-0000EB180000}"/>
    <cellStyle name="Titre 3 21 2" xfId="5142" xr:uid="{00000000-0005-0000-0000-0000EC180000}"/>
    <cellStyle name="Titre 3 22" xfId="2730" xr:uid="{00000000-0005-0000-0000-0000ED180000}"/>
    <cellStyle name="Titre 3 22 2" xfId="5143" xr:uid="{00000000-0005-0000-0000-0000EE180000}"/>
    <cellStyle name="Titre 3 23" xfId="2731" xr:uid="{00000000-0005-0000-0000-0000EF180000}"/>
    <cellStyle name="Titre 3 23 2" xfId="5144" xr:uid="{00000000-0005-0000-0000-0000F0180000}"/>
    <cellStyle name="Titre 3 24" xfId="2732" xr:uid="{00000000-0005-0000-0000-0000F1180000}"/>
    <cellStyle name="Titre 3 24 2" xfId="5145" xr:uid="{00000000-0005-0000-0000-0000F2180000}"/>
    <cellStyle name="Titre 3 25" xfId="2733" xr:uid="{00000000-0005-0000-0000-0000F3180000}"/>
    <cellStyle name="Titre 3 25 2" xfId="5146" xr:uid="{00000000-0005-0000-0000-0000F4180000}"/>
    <cellStyle name="Titre 3 26" xfId="2734" xr:uid="{00000000-0005-0000-0000-0000F5180000}"/>
    <cellStyle name="Titre 3 26 2" xfId="5147" xr:uid="{00000000-0005-0000-0000-0000F6180000}"/>
    <cellStyle name="Titre 3 27" xfId="2735" xr:uid="{00000000-0005-0000-0000-0000F7180000}"/>
    <cellStyle name="Titre 3 27 2" xfId="5148" xr:uid="{00000000-0005-0000-0000-0000F8180000}"/>
    <cellStyle name="Titre 3 28" xfId="2736" xr:uid="{00000000-0005-0000-0000-0000F9180000}"/>
    <cellStyle name="Titre 3 28 2" xfId="5149" xr:uid="{00000000-0005-0000-0000-0000FA180000}"/>
    <cellStyle name="Titre 3 29" xfId="2737" xr:uid="{00000000-0005-0000-0000-0000FB180000}"/>
    <cellStyle name="Titre 3 29 2" xfId="5150" xr:uid="{00000000-0005-0000-0000-0000FC180000}"/>
    <cellStyle name="Titre 3 3" xfId="166" xr:uid="{00000000-0005-0000-0000-0000FD180000}"/>
    <cellStyle name="Titre 3 3 2" xfId="428" xr:uid="{00000000-0005-0000-0000-0000FE180000}"/>
    <cellStyle name="Titre 3 3 3" xfId="2738" xr:uid="{00000000-0005-0000-0000-0000FF180000}"/>
    <cellStyle name="Titre 3 30" xfId="2739" xr:uid="{00000000-0005-0000-0000-000000190000}"/>
    <cellStyle name="Titre 3 30 2" xfId="5151" xr:uid="{00000000-0005-0000-0000-000001190000}"/>
    <cellStyle name="Titre 3 31" xfId="2740" xr:uid="{00000000-0005-0000-0000-000002190000}"/>
    <cellStyle name="Titre 3 31 2" xfId="5152" xr:uid="{00000000-0005-0000-0000-000003190000}"/>
    <cellStyle name="Titre 3 32" xfId="2741" xr:uid="{00000000-0005-0000-0000-000004190000}"/>
    <cellStyle name="Titre 3 32 2" xfId="5153" xr:uid="{00000000-0005-0000-0000-000005190000}"/>
    <cellStyle name="Titre 3 33" xfId="2742" xr:uid="{00000000-0005-0000-0000-000006190000}"/>
    <cellStyle name="Titre 3 33 2" xfId="5154" xr:uid="{00000000-0005-0000-0000-000007190000}"/>
    <cellStyle name="Titre 3 34" xfId="2743" xr:uid="{00000000-0005-0000-0000-000008190000}"/>
    <cellStyle name="Titre 3 34 2" xfId="5155" xr:uid="{00000000-0005-0000-0000-000009190000}"/>
    <cellStyle name="Titre 3 35" xfId="2744" xr:uid="{00000000-0005-0000-0000-00000A190000}"/>
    <cellStyle name="Titre 3 35 2" xfId="5156" xr:uid="{00000000-0005-0000-0000-00000B190000}"/>
    <cellStyle name="Titre 3 36" xfId="2745" xr:uid="{00000000-0005-0000-0000-00000C190000}"/>
    <cellStyle name="Titre 3 36 2" xfId="5157" xr:uid="{00000000-0005-0000-0000-00000D190000}"/>
    <cellStyle name="Titre 3 37" xfId="2746" xr:uid="{00000000-0005-0000-0000-00000E190000}"/>
    <cellStyle name="Titre 3 37 2" xfId="5158" xr:uid="{00000000-0005-0000-0000-00000F190000}"/>
    <cellStyle name="Titre 3 38" xfId="2747" xr:uid="{00000000-0005-0000-0000-000010190000}"/>
    <cellStyle name="Titre 3 38 2" xfId="5159" xr:uid="{00000000-0005-0000-0000-000011190000}"/>
    <cellStyle name="Titre 3 39" xfId="2748" xr:uid="{00000000-0005-0000-0000-000012190000}"/>
    <cellStyle name="Titre 3 39 2" xfId="5160" xr:uid="{00000000-0005-0000-0000-000013190000}"/>
    <cellStyle name="Titre 3 4" xfId="429" xr:uid="{00000000-0005-0000-0000-000014190000}"/>
    <cellStyle name="Titre 3 4 2" xfId="2749" xr:uid="{00000000-0005-0000-0000-000015190000}"/>
    <cellStyle name="Titre 3 4 3" xfId="5161" xr:uid="{00000000-0005-0000-0000-000016190000}"/>
    <cellStyle name="Titre 3 40" xfId="2750" xr:uid="{00000000-0005-0000-0000-000017190000}"/>
    <cellStyle name="Titre 3 40 2" xfId="5162" xr:uid="{00000000-0005-0000-0000-000018190000}"/>
    <cellStyle name="Titre 3 41" xfId="2751" xr:uid="{00000000-0005-0000-0000-000019190000}"/>
    <cellStyle name="Titre 3 41 2" xfId="5163" xr:uid="{00000000-0005-0000-0000-00001A190000}"/>
    <cellStyle name="Titre 3 42" xfId="2752" xr:uid="{00000000-0005-0000-0000-00001B190000}"/>
    <cellStyle name="Titre 3 42 2" xfId="5164" xr:uid="{00000000-0005-0000-0000-00001C190000}"/>
    <cellStyle name="Titre 3 43" xfId="2753" xr:uid="{00000000-0005-0000-0000-00001D190000}"/>
    <cellStyle name="Titre 3 43 2" xfId="5165" xr:uid="{00000000-0005-0000-0000-00001E190000}"/>
    <cellStyle name="Titre 3 44" xfId="2754" xr:uid="{00000000-0005-0000-0000-00001F190000}"/>
    <cellStyle name="Titre 3 44 2" xfId="5166" xr:uid="{00000000-0005-0000-0000-000020190000}"/>
    <cellStyle name="Titre 3 45" xfId="2755" xr:uid="{00000000-0005-0000-0000-000021190000}"/>
    <cellStyle name="Titre 3 45 2" xfId="5167" xr:uid="{00000000-0005-0000-0000-000022190000}"/>
    <cellStyle name="Titre 3 46" xfId="2756" xr:uid="{00000000-0005-0000-0000-000023190000}"/>
    <cellStyle name="Titre 3 46 2" xfId="5168" xr:uid="{00000000-0005-0000-0000-000024190000}"/>
    <cellStyle name="Titre 3 47" xfId="2757" xr:uid="{00000000-0005-0000-0000-000025190000}"/>
    <cellStyle name="Titre 3 47 2" xfId="5169" xr:uid="{00000000-0005-0000-0000-000026190000}"/>
    <cellStyle name="Titre 3 48" xfId="2758" xr:uid="{00000000-0005-0000-0000-000027190000}"/>
    <cellStyle name="Titre 3 48 2" xfId="5170" xr:uid="{00000000-0005-0000-0000-000028190000}"/>
    <cellStyle name="Titre 3 49" xfId="2759" xr:uid="{00000000-0005-0000-0000-000029190000}"/>
    <cellStyle name="Titre 3 49 2" xfId="5171" xr:uid="{00000000-0005-0000-0000-00002A190000}"/>
    <cellStyle name="Titre 3 5" xfId="430" xr:uid="{00000000-0005-0000-0000-00002B190000}"/>
    <cellStyle name="Titre 3 5 2" xfId="2760" xr:uid="{00000000-0005-0000-0000-00002C190000}"/>
    <cellStyle name="Titre 3 5 3" xfId="5172" xr:uid="{00000000-0005-0000-0000-00002D190000}"/>
    <cellStyle name="Titre 3 50" xfId="2761" xr:uid="{00000000-0005-0000-0000-00002E190000}"/>
    <cellStyle name="Titre 3 50 2" xfId="5173" xr:uid="{00000000-0005-0000-0000-00002F190000}"/>
    <cellStyle name="Titre 3 51" xfId="2762" xr:uid="{00000000-0005-0000-0000-000030190000}"/>
    <cellStyle name="Titre 3 51 2" xfId="5174" xr:uid="{00000000-0005-0000-0000-000031190000}"/>
    <cellStyle name="Titre 3 52" xfId="2763" xr:uid="{00000000-0005-0000-0000-000032190000}"/>
    <cellStyle name="Titre 3 52 2" xfId="5175" xr:uid="{00000000-0005-0000-0000-000033190000}"/>
    <cellStyle name="Titre 3 53" xfId="2764" xr:uid="{00000000-0005-0000-0000-000034190000}"/>
    <cellStyle name="Titre 3 53 2" xfId="5176" xr:uid="{00000000-0005-0000-0000-000035190000}"/>
    <cellStyle name="Titre 3 54" xfId="2765" xr:uid="{00000000-0005-0000-0000-000036190000}"/>
    <cellStyle name="Titre 3 54 2" xfId="5177" xr:uid="{00000000-0005-0000-0000-000037190000}"/>
    <cellStyle name="Titre 3 55" xfId="2766" xr:uid="{00000000-0005-0000-0000-000038190000}"/>
    <cellStyle name="Titre 3 55 2" xfId="5178" xr:uid="{00000000-0005-0000-0000-000039190000}"/>
    <cellStyle name="Titre 3 56" xfId="2767" xr:uid="{00000000-0005-0000-0000-00003A190000}"/>
    <cellStyle name="Titre 3 56 2" xfId="5179" xr:uid="{00000000-0005-0000-0000-00003B190000}"/>
    <cellStyle name="Titre 3 57" xfId="2768" xr:uid="{00000000-0005-0000-0000-00003C190000}"/>
    <cellStyle name="Titre 3 57 2" xfId="5180" xr:uid="{00000000-0005-0000-0000-00003D190000}"/>
    <cellStyle name="Titre 3 58" xfId="2769" xr:uid="{00000000-0005-0000-0000-00003E190000}"/>
    <cellStyle name="Titre 3 58 2" xfId="5181" xr:uid="{00000000-0005-0000-0000-00003F190000}"/>
    <cellStyle name="Titre 3 59" xfId="2770" xr:uid="{00000000-0005-0000-0000-000040190000}"/>
    <cellStyle name="Titre 3 59 2" xfId="5182" xr:uid="{00000000-0005-0000-0000-000041190000}"/>
    <cellStyle name="Titre 3 6" xfId="431" xr:uid="{00000000-0005-0000-0000-000042190000}"/>
    <cellStyle name="Titre 3 6 2" xfId="2771" xr:uid="{00000000-0005-0000-0000-000043190000}"/>
    <cellStyle name="Titre 3 6 3" xfId="5183" xr:uid="{00000000-0005-0000-0000-000044190000}"/>
    <cellStyle name="Titre 3 7" xfId="432" xr:uid="{00000000-0005-0000-0000-000045190000}"/>
    <cellStyle name="Titre 3 7 2" xfId="2772" xr:uid="{00000000-0005-0000-0000-000046190000}"/>
    <cellStyle name="Titre 3 7 3" xfId="5184" xr:uid="{00000000-0005-0000-0000-000047190000}"/>
    <cellStyle name="Titre 3 8" xfId="433" xr:uid="{00000000-0005-0000-0000-000048190000}"/>
    <cellStyle name="Titre 3 8 2" xfId="2773" xr:uid="{00000000-0005-0000-0000-000049190000}"/>
    <cellStyle name="Titre 3 8 3" xfId="5185" xr:uid="{00000000-0005-0000-0000-00004A190000}"/>
    <cellStyle name="Titre 3 9" xfId="2774" xr:uid="{00000000-0005-0000-0000-00004B190000}"/>
    <cellStyle name="Titre 3 9 2" xfId="5186" xr:uid="{00000000-0005-0000-0000-00004C190000}"/>
    <cellStyle name="Titre 4 10" xfId="2775" xr:uid="{00000000-0005-0000-0000-00004D190000}"/>
    <cellStyle name="Titre 4 10 2" xfId="5187" xr:uid="{00000000-0005-0000-0000-00004E190000}"/>
    <cellStyle name="Titre 4 11" xfId="2776" xr:uid="{00000000-0005-0000-0000-00004F190000}"/>
    <cellStyle name="Titre 4 11 2" xfId="5188" xr:uid="{00000000-0005-0000-0000-000050190000}"/>
    <cellStyle name="Titre 4 12" xfId="2777" xr:uid="{00000000-0005-0000-0000-000051190000}"/>
    <cellStyle name="Titre 4 12 2" xfId="5189" xr:uid="{00000000-0005-0000-0000-000052190000}"/>
    <cellStyle name="Titre 4 13" xfId="2778" xr:uid="{00000000-0005-0000-0000-000053190000}"/>
    <cellStyle name="Titre 4 13 2" xfId="5190" xr:uid="{00000000-0005-0000-0000-000054190000}"/>
    <cellStyle name="Titre 4 14" xfId="2779" xr:uid="{00000000-0005-0000-0000-000055190000}"/>
    <cellStyle name="Titre 4 14 2" xfId="5191" xr:uid="{00000000-0005-0000-0000-000056190000}"/>
    <cellStyle name="Titre 4 15" xfId="2780" xr:uid="{00000000-0005-0000-0000-000057190000}"/>
    <cellStyle name="Titre 4 15 2" xfId="5192" xr:uid="{00000000-0005-0000-0000-000058190000}"/>
    <cellStyle name="Titre 4 16" xfId="2781" xr:uid="{00000000-0005-0000-0000-000059190000}"/>
    <cellStyle name="Titre 4 16 2" xfId="5193" xr:uid="{00000000-0005-0000-0000-00005A190000}"/>
    <cellStyle name="Titre 4 17" xfId="2782" xr:uid="{00000000-0005-0000-0000-00005B190000}"/>
    <cellStyle name="Titre 4 17 2" xfId="5194" xr:uid="{00000000-0005-0000-0000-00005C190000}"/>
    <cellStyle name="Titre 4 18" xfId="2783" xr:uid="{00000000-0005-0000-0000-00005D190000}"/>
    <cellStyle name="Titre 4 18 2" xfId="5195" xr:uid="{00000000-0005-0000-0000-00005E190000}"/>
    <cellStyle name="Titre 4 19" xfId="2784" xr:uid="{00000000-0005-0000-0000-00005F190000}"/>
    <cellStyle name="Titre 4 19 2" xfId="5196" xr:uid="{00000000-0005-0000-0000-000060190000}"/>
    <cellStyle name="Titre 4 2" xfId="65" xr:uid="{00000000-0005-0000-0000-000061190000}"/>
    <cellStyle name="Titre 4 2 2" xfId="2785" xr:uid="{00000000-0005-0000-0000-000062190000}"/>
    <cellStyle name="Titre 4 2 3" xfId="5197" xr:uid="{00000000-0005-0000-0000-000063190000}"/>
    <cellStyle name="Titre 4 20" xfId="2786" xr:uid="{00000000-0005-0000-0000-000064190000}"/>
    <cellStyle name="Titre 4 20 2" xfId="5198" xr:uid="{00000000-0005-0000-0000-000065190000}"/>
    <cellStyle name="Titre 4 21" xfId="2787" xr:uid="{00000000-0005-0000-0000-000066190000}"/>
    <cellStyle name="Titre 4 21 2" xfId="5199" xr:uid="{00000000-0005-0000-0000-000067190000}"/>
    <cellStyle name="Titre 4 22" xfId="2788" xr:uid="{00000000-0005-0000-0000-000068190000}"/>
    <cellStyle name="Titre 4 22 2" xfId="5200" xr:uid="{00000000-0005-0000-0000-000069190000}"/>
    <cellStyle name="Titre 4 23" xfId="2789" xr:uid="{00000000-0005-0000-0000-00006A190000}"/>
    <cellStyle name="Titre 4 23 2" xfId="5201" xr:uid="{00000000-0005-0000-0000-00006B190000}"/>
    <cellStyle name="Titre 4 24" xfId="2790" xr:uid="{00000000-0005-0000-0000-00006C190000}"/>
    <cellStyle name="Titre 4 24 2" xfId="5202" xr:uid="{00000000-0005-0000-0000-00006D190000}"/>
    <cellStyle name="Titre 4 25" xfId="2791" xr:uid="{00000000-0005-0000-0000-00006E190000}"/>
    <cellStyle name="Titre 4 25 2" xfId="5203" xr:uid="{00000000-0005-0000-0000-00006F190000}"/>
    <cellStyle name="Titre 4 26" xfId="2792" xr:uid="{00000000-0005-0000-0000-000070190000}"/>
    <cellStyle name="Titre 4 26 2" xfId="5204" xr:uid="{00000000-0005-0000-0000-000071190000}"/>
    <cellStyle name="Titre 4 27" xfId="2793" xr:uid="{00000000-0005-0000-0000-000072190000}"/>
    <cellStyle name="Titre 4 27 2" xfId="5205" xr:uid="{00000000-0005-0000-0000-000073190000}"/>
    <cellStyle name="Titre 4 28" xfId="2794" xr:uid="{00000000-0005-0000-0000-000074190000}"/>
    <cellStyle name="Titre 4 28 2" xfId="5206" xr:uid="{00000000-0005-0000-0000-000075190000}"/>
    <cellStyle name="Titre 4 29" xfId="2795" xr:uid="{00000000-0005-0000-0000-000076190000}"/>
    <cellStyle name="Titre 4 29 2" xfId="5207" xr:uid="{00000000-0005-0000-0000-000077190000}"/>
    <cellStyle name="Titre 4 3" xfId="434" xr:uid="{00000000-0005-0000-0000-000078190000}"/>
    <cellStyle name="Titre 4 3 2" xfId="2796" xr:uid="{00000000-0005-0000-0000-000079190000}"/>
    <cellStyle name="Titre 4 3 3" xfId="5208" xr:uid="{00000000-0005-0000-0000-00007A190000}"/>
    <cellStyle name="Titre 4 30" xfId="2797" xr:uid="{00000000-0005-0000-0000-00007B190000}"/>
    <cellStyle name="Titre 4 30 2" xfId="5209" xr:uid="{00000000-0005-0000-0000-00007C190000}"/>
    <cellStyle name="Titre 4 31" xfId="2798" xr:uid="{00000000-0005-0000-0000-00007D190000}"/>
    <cellStyle name="Titre 4 31 2" xfId="5210" xr:uid="{00000000-0005-0000-0000-00007E190000}"/>
    <cellStyle name="Titre 4 32" xfId="2799" xr:uid="{00000000-0005-0000-0000-00007F190000}"/>
    <cellStyle name="Titre 4 32 2" xfId="5211" xr:uid="{00000000-0005-0000-0000-000080190000}"/>
    <cellStyle name="Titre 4 33" xfId="2800" xr:uid="{00000000-0005-0000-0000-000081190000}"/>
    <cellStyle name="Titre 4 33 2" xfId="5212" xr:uid="{00000000-0005-0000-0000-000082190000}"/>
    <cellStyle name="Titre 4 34" xfId="2801" xr:uid="{00000000-0005-0000-0000-000083190000}"/>
    <cellStyle name="Titre 4 34 2" xfId="5213" xr:uid="{00000000-0005-0000-0000-000084190000}"/>
    <cellStyle name="Titre 4 35" xfId="2802" xr:uid="{00000000-0005-0000-0000-000085190000}"/>
    <cellStyle name="Titre 4 35 2" xfId="5214" xr:uid="{00000000-0005-0000-0000-000086190000}"/>
    <cellStyle name="Titre 4 36" xfId="2803" xr:uid="{00000000-0005-0000-0000-000087190000}"/>
    <cellStyle name="Titre 4 36 2" xfId="5215" xr:uid="{00000000-0005-0000-0000-000088190000}"/>
    <cellStyle name="Titre 4 37" xfId="2804" xr:uid="{00000000-0005-0000-0000-000089190000}"/>
    <cellStyle name="Titre 4 37 2" xfId="5216" xr:uid="{00000000-0005-0000-0000-00008A190000}"/>
    <cellStyle name="Titre 4 38" xfId="2805" xr:uid="{00000000-0005-0000-0000-00008B190000}"/>
    <cellStyle name="Titre 4 38 2" xfId="5217" xr:uid="{00000000-0005-0000-0000-00008C190000}"/>
    <cellStyle name="Titre 4 39" xfId="2806" xr:uid="{00000000-0005-0000-0000-00008D190000}"/>
    <cellStyle name="Titre 4 39 2" xfId="5218" xr:uid="{00000000-0005-0000-0000-00008E190000}"/>
    <cellStyle name="Titre 4 4" xfId="435" xr:uid="{00000000-0005-0000-0000-00008F190000}"/>
    <cellStyle name="Titre 4 4 2" xfId="2807" xr:uid="{00000000-0005-0000-0000-000090190000}"/>
    <cellStyle name="Titre 4 4 3" xfId="5219" xr:uid="{00000000-0005-0000-0000-000091190000}"/>
    <cellStyle name="Titre 4 40" xfId="2808" xr:uid="{00000000-0005-0000-0000-000092190000}"/>
    <cellStyle name="Titre 4 40 2" xfId="5220" xr:uid="{00000000-0005-0000-0000-000093190000}"/>
    <cellStyle name="Titre 4 41" xfId="2809" xr:uid="{00000000-0005-0000-0000-000094190000}"/>
    <cellStyle name="Titre 4 41 2" xfId="5221" xr:uid="{00000000-0005-0000-0000-000095190000}"/>
    <cellStyle name="Titre 4 42" xfId="2810" xr:uid="{00000000-0005-0000-0000-000096190000}"/>
    <cellStyle name="Titre 4 42 2" xfId="5222" xr:uid="{00000000-0005-0000-0000-000097190000}"/>
    <cellStyle name="Titre 4 43" xfId="2811" xr:uid="{00000000-0005-0000-0000-000098190000}"/>
    <cellStyle name="Titre 4 43 2" xfId="5223" xr:uid="{00000000-0005-0000-0000-000099190000}"/>
    <cellStyle name="Titre 4 44" xfId="2812" xr:uid="{00000000-0005-0000-0000-00009A190000}"/>
    <cellStyle name="Titre 4 44 2" xfId="5224" xr:uid="{00000000-0005-0000-0000-00009B190000}"/>
    <cellStyle name="Titre 4 45" xfId="2813" xr:uid="{00000000-0005-0000-0000-00009C190000}"/>
    <cellStyle name="Titre 4 45 2" xfId="5225" xr:uid="{00000000-0005-0000-0000-00009D190000}"/>
    <cellStyle name="Titre 4 46" xfId="2814" xr:uid="{00000000-0005-0000-0000-00009E190000}"/>
    <cellStyle name="Titre 4 46 2" xfId="5226" xr:uid="{00000000-0005-0000-0000-00009F190000}"/>
    <cellStyle name="Titre 4 47" xfId="2815" xr:uid="{00000000-0005-0000-0000-0000A0190000}"/>
    <cellStyle name="Titre 4 47 2" xfId="5227" xr:uid="{00000000-0005-0000-0000-0000A1190000}"/>
    <cellStyle name="Titre 4 48" xfId="2816" xr:uid="{00000000-0005-0000-0000-0000A2190000}"/>
    <cellStyle name="Titre 4 48 2" xfId="5228" xr:uid="{00000000-0005-0000-0000-0000A3190000}"/>
    <cellStyle name="Titre 4 49" xfId="2817" xr:uid="{00000000-0005-0000-0000-0000A4190000}"/>
    <cellStyle name="Titre 4 49 2" xfId="5229" xr:uid="{00000000-0005-0000-0000-0000A5190000}"/>
    <cellStyle name="Titre 4 5" xfId="436" xr:uid="{00000000-0005-0000-0000-0000A6190000}"/>
    <cellStyle name="Titre 4 5 2" xfId="2818" xr:uid="{00000000-0005-0000-0000-0000A7190000}"/>
    <cellStyle name="Titre 4 5 3" xfId="5230" xr:uid="{00000000-0005-0000-0000-0000A8190000}"/>
    <cellStyle name="Titre 4 50" xfId="2819" xr:uid="{00000000-0005-0000-0000-0000A9190000}"/>
    <cellStyle name="Titre 4 50 2" xfId="5231" xr:uid="{00000000-0005-0000-0000-0000AA190000}"/>
    <cellStyle name="Titre 4 51" xfId="2820" xr:uid="{00000000-0005-0000-0000-0000AB190000}"/>
    <cellStyle name="Titre 4 51 2" xfId="5232" xr:uid="{00000000-0005-0000-0000-0000AC190000}"/>
    <cellStyle name="Titre 4 52" xfId="2821" xr:uid="{00000000-0005-0000-0000-0000AD190000}"/>
    <cellStyle name="Titre 4 52 2" xfId="5233" xr:uid="{00000000-0005-0000-0000-0000AE190000}"/>
    <cellStyle name="Titre 4 53" xfId="2822" xr:uid="{00000000-0005-0000-0000-0000AF190000}"/>
    <cellStyle name="Titre 4 53 2" xfId="5234" xr:uid="{00000000-0005-0000-0000-0000B0190000}"/>
    <cellStyle name="Titre 4 54" xfId="2823" xr:uid="{00000000-0005-0000-0000-0000B1190000}"/>
    <cellStyle name="Titre 4 54 2" xfId="5235" xr:uid="{00000000-0005-0000-0000-0000B2190000}"/>
    <cellStyle name="Titre 4 55" xfId="2824" xr:uid="{00000000-0005-0000-0000-0000B3190000}"/>
    <cellStyle name="Titre 4 55 2" xfId="5236" xr:uid="{00000000-0005-0000-0000-0000B4190000}"/>
    <cellStyle name="Titre 4 56" xfId="2825" xr:uid="{00000000-0005-0000-0000-0000B5190000}"/>
    <cellStyle name="Titre 4 56 2" xfId="5237" xr:uid="{00000000-0005-0000-0000-0000B6190000}"/>
    <cellStyle name="Titre 4 57" xfId="2826" xr:uid="{00000000-0005-0000-0000-0000B7190000}"/>
    <cellStyle name="Titre 4 57 2" xfId="5238" xr:uid="{00000000-0005-0000-0000-0000B8190000}"/>
    <cellStyle name="Titre 4 58" xfId="2827" xr:uid="{00000000-0005-0000-0000-0000B9190000}"/>
    <cellStyle name="Titre 4 58 2" xfId="5239" xr:uid="{00000000-0005-0000-0000-0000BA190000}"/>
    <cellStyle name="Titre 4 59" xfId="2828" xr:uid="{00000000-0005-0000-0000-0000BB190000}"/>
    <cellStyle name="Titre 4 59 2" xfId="5240" xr:uid="{00000000-0005-0000-0000-0000BC190000}"/>
    <cellStyle name="Titre 4 6" xfId="437" xr:uid="{00000000-0005-0000-0000-0000BD190000}"/>
    <cellStyle name="Titre 4 6 2" xfId="2829" xr:uid="{00000000-0005-0000-0000-0000BE190000}"/>
    <cellStyle name="Titre 4 6 3" xfId="5241" xr:uid="{00000000-0005-0000-0000-0000BF190000}"/>
    <cellStyle name="Titre 4 7" xfId="438" xr:uid="{00000000-0005-0000-0000-0000C0190000}"/>
    <cellStyle name="Titre 4 7 2" xfId="2830" xr:uid="{00000000-0005-0000-0000-0000C1190000}"/>
    <cellStyle name="Titre 4 7 3" xfId="5242" xr:uid="{00000000-0005-0000-0000-0000C2190000}"/>
    <cellStyle name="Titre 4 8" xfId="439" xr:uid="{00000000-0005-0000-0000-0000C3190000}"/>
    <cellStyle name="Titre 4 8 2" xfId="2831" xr:uid="{00000000-0005-0000-0000-0000C4190000}"/>
    <cellStyle name="Titre 4 8 3" xfId="5243" xr:uid="{00000000-0005-0000-0000-0000C5190000}"/>
    <cellStyle name="Titre 4 9" xfId="2832" xr:uid="{00000000-0005-0000-0000-0000C6190000}"/>
    <cellStyle name="Titre 4 9 2" xfId="5244" xr:uid="{00000000-0005-0000-0000-0000C7190000}"/>
    <cellStyle name="Total" xfId="66" builtinId="25"/>
    <cellStyle name="Total 10" xfId="2833" xr:uid="{00000000-0005-0000-0000-0000C9190000}"/>
    <cellStyle name="Total 10 2" xfId="5245" xr:uid="{00000000-0005-0000-0000-0000CA190000}"/>
    <cellStyle name="Total 11" xfId="2834" xr:uid="{00000000-0005-0000-0000-0000CB190000}"/>
    <cellStyle name="Total 11 2" xfId="5246" xr:uid="{00000000-0005-0000-0000-0000CC190000}"/>
    <cellStyle name="Total 12" xfId="2835" xr:uid="{00000000-0005-0000-0000-0000CD190000}"/>
    <cellStyle name="Total 12 2" xfId="5247" xr:uid="{00000000-0005-0000-0000-0000CE190000}"/>
    <cellStyle name="Total 13" xfId="2836" xr:uid="{00000000-0005-0000-0000-0000CF190000}"/>
    <cellStyle name="Total 13 2" xfId="5248" xr:uid="{00000000-0005-0000-0000-0000D0190000}"/>
    <cellStyle name="Total 14" xfId="2837" xr:uid="{00000000-0005-0000-0000-0000D1190000}"/>
    <cellStyle name="Total 14 2" xfId="5249" xr:uid="{00000000-0005-0000-0000-0000D2190000}"/>
    <cellStyle name="Total 15" xfId="2838" xr:uid="{00000000-0005-0000-0000-0000D3190000}"/>
    <cellStyle name="Total 15 2" xfId="5250" xr:uid="{00000000-0005-0000-0000-0000D4190000}"/>
    <cellStyle name="Total 16" xfId="2839" xr:uid="{00000000-0005-0000-0000-0000D5190000}"/>
    <cellStyle name="Total 16 2" xfId="5251" xr:uid="{00000000-0005-0000-0000-0000D6190000}"/>
    <cellStyle name="Total 17" xfId="2840" xr:uid="{00000000-0005-0000-0000-0000D7190000}"/>
    <cellStyle name="Total 17 2" xfId="5252" xr:uid="{00000000-0005-0000-0000-0000D8190000}"/>
    <cellStyle name="Total 18" xfId="2841" xr:uid="{00000000-0005-0000-0000-0000D9190000}"/>
    <cellStyle name="Total 18 2" xfId="5253" xr:uid="{00000000-0005-0000-0000-0000DA190000}"/>
    <cellStyle name="Total 19" xfId="2842" xr:uid="{00000000-0005-0000-0000-0000DB190000}"/>
    <cellStyle name="Total 19 2" xfId="5254" xr:uid="{00000000-0005-0000-0000-0000DC190000}"/>
    <cellStyle name="Total 2" xfId="67" xr:uid="{00000000-0005-0000-0000-0000DD190000}"/>
    <cellStyle name="Total 2 2" xfId="2843" xr:uid="{00000000-0005-0000-0000-0000DE190000}"/>
    <cellStyle name="Total 2 3" xfId="5255" xr:uid="{00000000-0005-0000-0000-0000DF190000}"/>
    <cellStyle name="Total 20" xfId="2844" xr:uid="{00000000-0005-0000-0000-0000E0190000}"/>
    <cellStyle name="Total 20 2" xfId="5256" xr:uid="{00000000-0005-0000-0000-0000E1190000}"/>
    <cellStyle name="Total 21" xfId="2845" xr:uid="{00000000-0005-0000-0000-0000E2190000}"/>
    <cellStyle name="Total 21 2" xfId="5257" xr:uid="{00000000-0005-0000-0000-0000E3190000}"/>
    <cellStyle name="Total 22" xfId="2846" xr:uid="{00000000-0005-0000-0000-0000E4190000}"/>
    <cellStyle name="Total 22 2" xfId="5258" xr:uid="{00000000-0005-0000-0000-0000E5190000}"/>
    <cellStyle name="Total 23" xfId="2847" xr:uid="{00000000-0005-0000-0000-0000E6190000}"/>
    <cellStyle name="Total 23 2" xfId="5259" xr:uid="{00000000-0005-0000-0000-0000E7190000}"/>
    <cellStyle name="Total 24" xfId="2848" xr:uid="{00000000-0005-0000-0000-0000E8190000}"/>
    <cellStyle name="Total 24 2" xfId="5260" xr:uid="{00000000-0005-0000-0000-0000E9190000}"/>
    <cellStyle name="Total 25" xfId="2849" xr:uid="{00000000-0005-0000-0000-0000EA190000}"/>
    <cellStyle name="Total 25 2" xfId="5261" xr:uid="{00000000-0005-0000-0000-0000EB190000}"/>
    <cellStyle name="Total 26" xfId="2850" xr:uid="{00000000-0005-0000-0000-0000EC190000}"/>
    <cellStyle name="Total 26 2" xfId="5262" xr:uid="{00000000-0005-0000-0000-0000ED190000}"/>
    <cellStyle name="Total 27" xfId="2851" xr:uid="{00000000-0005-0000-0000-0000EE190000}"/>
    <cellStyle name="Total 27 2" xfId="5263" xr:uid="{00000000-0005-0000-0000-0000EF190000}"/>
    <cellStyle name="Total 28" xfId="2852" xr:uid="{00000000-0005-0000-0000-0000F0190000}"/>
    <cellStyle name="Total 28 2" xfId="5264" xr:uid="{00000000-0005-0000-0000-0000F1190000}"/>
    <cellStyle name="Total 29" xfId="2853" xr:uid="{00000000-0005-0000-0000-0000F2190000}"/>
    <cellStyle name="Total 29 2" xfId="5265" xr:uid="{00000000-0005-0000-0000-0000F3190000}"/>
    <cellStyle name="Total 3" xfId="441" xr:uid="{00000000-0005-0000-0000-0000F4190000}"/>
    <cellStyle name="Total 3 2" xfId="2854" xr:uid="{00000000-0005-0000-0000-0000F5190000}"/>
    <cellStyle name="Total 3 3" xfId="5266" xr:uid="{00000000-0005-0000-0000-0000F6190000}"/>
    <cellStyle name="Total 30" xfId="2855" xr:uid="{00000000-0005-0000-0000-0000F7190000}"/>
    <cellStyle name="Total 30 2" xfId="5267" xr:uid="{00000000-0005-0000-0000-0000F8190000}"/>
    <cellStyle name="Total 31" xfId="2856" xr:uid="{00000000-0005-0000-0000-0000F9190000}"/>
    <cellStyle name="Total 31 2" xfId="5268" xr:uid="{00000000-0005-0000-0000-0000FA190000}"/>
    <cellStyle name="Total 32" xfId="2857" xr:uid="{00000000-0005-0000-0000-0000FB190000}"/>
    <cellStyle name="Total 32 2" xfId="5269" xr:uid="{00000000-0005-0000-0000-0000FC190000}"/>
    <cellStyle name="Total 33" xfId="2858" xr:uid="{00000000-0005-0000-0000-0000FD190000}"/>
    <cellStyle name="Total 33 2" xfId="5270" xr:uid="{00000000-0005-0000-0000-0000FE190000}"/>
    <cellStyle name="Total 34" xfId="2859" xr:uid="{00000000-0005-0000-0000-0000FF190000}"/>
    <cellStyle name="Total 34 2" xfId="5271" xr:uid="{00000000-0005-0000-0000-0000001A0000}"/>
    <cellStyle name="Total 35" xfId="2860" xr:uid="{00000000-0005-0000-0000-0000011A0000}"/>
    <cellStyle name="Total 35 2" xfId="5272" xr:uid="{00000000-0005-0000-0000-0000021A0000}"/>
    <cellStyle name="Total 36" xfId="2861" xr:uid="{00000000-0005-0000-0000-0000031A0000}"/>
    <cellStyle name="Total 36 2" xfId="5273" xr:uid="{00000000-0005-0000-0000-0000041A0000}"/>
    <cellStyle name="Total 37" xfId="2862" xr:uid="{00000000-0005-0000-0000-0000051A0000}"/>
    <cellStyle name="Total 37 2" xfId="5274" xr:uid="{00000000-0005-0000-0000-0000061A0000}"/>
    <cellStyle name="Total 38" xfId="2863" xr:uid="{00000000-0005-0000-0000-0000071A0000}"/>
    <cellStyle name="Total 38 2" xfId="5275" xr:uid="{00000000-0005-0000-0000-0000081A0000}"/>
    <cellStyle name="Total 39" xfId="2864" xr:uid="{00000000-0005-0000-0000-0000091A0000}"/>
    <cellStyle name="Total 39 2" xfId="5276" xr:uid="{00000000-0005-0000-0000-00000A1A0000}"/>
    <cellStyle name="Total 4" xfId="442" xr:uid="{00000000-0005-0000-0000-00000B1A0000}"/>
    <cellStyle name="Total 4 2" xfId="2865" xr:uid="{00000000-0005-0000-0000-00000C1A0000}"/>
    <cellStyle name="Total 4 3" xfId="5277" xr:uid="{00000000-0005-0000-0000-00000D1A0000}"/>
    <cellStyle name="Total 40" xfId="2866" xr:uid="{00000000-0005-0000-0000-00000E1A0000}"/>
    <cellStyle name="Total 40 2" xfId="5278" xr:uid="{00000000-0005-0000-0000-00000F1A0000}"/>
    <cellStyle name="Total 41" xfId="2867" xr:uid="{00000000-0005-0000-0000-0000101A0000}"/>
    <cellStyle name="Total 41 2" xfId="5279" xr:uid="{00000000-0005-0000-0000-0000111A0000}"/>
    <cellStyle name="Total 42" xfId="2868" xr:uid="{00000000-0005-0000-0000-0000121A0000}"/>
    <cellStyle name="Total 42 2" xfId="5280" xr:uid="{00000000-0005-0000-0000-0000131A0000}"/>
    <cellStyle name="Total 43" xfId="2869" xr:uid="{00000000-0005-0000-0000-0000141A0000}"/>
    <cellStyle name="Total 43 2" xfId="5281" xr:uid="{00000000-0005-0000-0000-0000151A0000}"/>
    <cellStyle name="Total 44" xfId="2870" xr:uid="{00000000-0005-0000-0000-0000161A0000}"/>
    <cellStyle name="Total 44 2" xfId="5282" xr:uid="{00000000-0005-0000-0000-0000171A0000}"/>
    <cellStyle name="Total 45" xfId="2871" xr:uid="{00000000-0005-0000-0000-0000181A0000}"/>
    <cellStyle name="Total 45 2" xfId="5283" xr:uid="{00000000-0005-0000-0000-0000191A0000}"/>
    <cellStyle name="Total 46" xfId="2872" xr:uid="{00000000-0005-0000-0000-00001A1A0000}"/>
    <cellStyle name="Total 46 2" xfId="5284" xr:uid="{00000000-0005-0000-0000-00001B1A0000}"/>
    <cellStyle name="Total 47" xfId="2873" xr:uid="{00000000-0005-0000-0000-00001C1A0000}"/>
    <cellStyle name="Total 47 2" xfId="5285" xr:uid="{00000000-0005-0000-0000-00001D1A0000}"/>
    <cellStyle name="Total 48" xfId="2874" xr:uid="{00000000-0005-0000-0000-00001E1A0000}"/>
    <cellStyle name="Total 48 2" xfId="5286" xr:uid="{00000000-0005-0000-0000-00001F1A0000}"/>
    <cellStyle name="Total 49" xfId="2875" xr:uid="{00000000-0005-0000-0000-0000201A0000}"/>
    <cellStyle name="Total 49 2" xfId="5287" xr:uid="{00000000-0005-0000-0000-0000211A0000}"/>
    <cellStyle name="Total 5" xfId="443" xr:uid="{00000000-0005-0000-0000-0000221A0000}"/>
    <cellStyle name="Total 5 2" xfId="2876" xr:uid="{00000000-0005-0000-0000-0000231A0000}"/>
    <cellStyle name="Total 5 3" xfId="5288" xr:uid="{00000000-0005-0000-0000-0000241A0000}"/>
    <cellStyle name="Total 50" xfId="2877" xr:uid="{00000000-0005-0000-0000-0000251A0000}"/>
    <cellStyle name="Total 50 2" xfId="5289" xr:uid="{00000000-0005-0000-0000-0000261A0000}"/>
    <cellStyle name="Total 51" xfId="2878" xr:uid="{00000000-0005-0000-0000-0000271A0000}"/>
    <cellStyle name="Total 51 2" xfId="5290" xr:uid="{00000000-0005-0000-0000-0000281A0000}"/>
    <cellStyle name="Total 52" xfId="2879" xr:uid="{00000000-0005-0000-0000-0000291A0000}"/>
    <cellStyle name="Total 52 2" xfId="5291" xr:uid="{00000000-0005-0000-0000-00002A1A0000}"/>
    <cellStyle name="Total 53" xfId="2880" xr:uid="{00000000-0005-0000-0000-00002B1A0000}"/>
    <cellStyle name="Total 53 2" xfId="5292" xr:uid="{00000000-0005-0000-0000-00002C1A0000}"/>
    <cellStyle name="Total 54" xfId="2881" xr:uid="{00000000-0005-0000-0000-00002D1A0000}"/>
    <cellStyle name="Total 54 2" xfId="5293" xr:uid="{00000000-0005-0000-0000-00002E1A0000}"/>
    <cellStyle name="Total 55" xfId="2882" xr:uid="{00000000-0005-0000-0000-00002F1A0000}"/>
    <cellStyle name="Total 55 2" xfId="5294" xr:uid="{00000000-0005-0000-0000-0000301A0000}"/>
    <cellStyle name="Total 56" xfId="2883" xr:uid="{00000000-0005-0000-0000-0000311A0000}"/>
    <cellStyle name="Total 56 2" xfId="5295" xr:uid="{00000000-0005-0000-0000-0000321A0000}"/>
    <cellStyle name="Total 57" xfId="2884" xr:uid="{00000000-0005-0000-0000-0000331A0000}"/>
    <cellStyle name="Total 57 2" xfId="5296" xr:uid="{00000000-0005-0000-0000-0000341A0000}"/>
    <cellStyle name="Total 58" xfId="2885" xr:uid="{00000000-0005-0000-0000-0000351A0000}"/>
    <cellStyle name="Total 58 2" xfId="5297" xr:uid="{00000000-0005-0000-0000-0000361A0000}"/>
    <cellStyle name="Total 59" xfId="2886" xr:uid="{00000000-0005-0000-0000-0000371A0000}"/>
    <cellStyle name="Total 59 2" xfId="5298" xr:uid="{00000000-0005-0000-0000-0000381A0000}"/>
    <cellStyle name="Total 6" xfId="444" xr:uid="{00000000-0005-0000-0000-0000391A0000}"/>
    <cellStyle name="Total 6 2" xfId="2887" xr:uid="{00000000-0005-0000-0000-00003A1A0000}"/>
    <cellStyle name="Total 6 3" xfId="5299" xr:uid="{00000000-0005-0000-0000-00003B1A0000}"/>
    <cellStyle name="Total 7" xfId="445" xr:uid="{00000000-0005-0000-0000-00003C1A0000}"/>
    <cellStyle name="Total 7 2" xfId="2888" xr:uid="{00000000-0005-0000-0000-00003D1A0000}"/>
    <cellStyle name="Total 7 3" xfId="5300" xr:uid="{00000000-0005-0000-0000-00003E1A0000}"/>
    <cellStyle name="Total 8" xfId="446" xr:uid="{00000000-0005-0000-0000-00003F1A0000}"/>
    <cellStyle name="Total 8 2" xfId="2889" xr:uid="{00000000-0005-0000-0000-0000401A0000}"/>
    <cellStyle name="Total 8 3" xfId="5301" xr:uid="{00000000-0005-0000-0000-0000411A0000}"/>
    <cellStyle name="Total 9" xfId="2890" xr:uid="{00000000-0005-0000-0000-0000421A0000}"/>
    <cellStyle name="Total 9 2" xfId="5302" xr:uid="{00000000-0005-0000-0000-0000431A0000}"/>
    <cellStyle name="Vérification 10" xfId="2891" xr:uid="{00000000-0005-0000-0000-0000441A0000}"/>
    <cellStyle name="Vérification 10 2" xfId="5303" xr:uid="{00000000-0005-0000-0000-0000451A0000}"/>
    <cellStyle name="Vérification 11" xfId="2892" xr:uid="{00000000-0005-0000-0000-0000461A0000}"/>
    <cellStyle name="Vérification 11 2" xfId="5304" xr:uid="{00000000-0005-0000-0000-0000471A0000}"/>
    <cellStyle name="Vérification 12" xfId="2893" xr:uid="{00000000-0005-0000-0000-0000481A0000}"/>
    <cellStyle name="Vérification 12 2" xfId="5305" xr:uid="{00000000-0005-0000-0000-0000491A0000}"/>
    <cellStyle name="Vérification 13" xfId="2894" xr:uid="{00000000-0005-0000-0000-00004A1A0000}"/>
    <cellStyle name="Vérification 13 2" xfId="5306" xr:uid="{00000000-0005-0000-0000-00004B1A0000}"/>
    <cellStyle name="Vérification 14" xfId="2895" xr:uid="{00000000-0005-0000-0000-00004C1A0000}"/>
    <cellStyle name="Vérification 14 2" xfId="5307" xr:uid="{00000000-0005-0000-0000-00004D1A0000}"/>
    <cellStyle name="Vérification 15" xfId="2896" xr:uid="{00000000-0005-0000-0000-00004E1A0000}"/>
    <cellStyle name="Vérification 15 2" xfId="5308" xr:uid="{00000000-0005-0000-0000-00004F1A0000}"/>
    <cellStyle name="Vérification 16" xfId="2897" xr:uid="{00000000-0005-0000-0000-0000501A0000}"/>
    <cellStyle name="Vérification 16 2" xfId="5309" xr:uid="{00000000-0005-0000-0000-0000511A0000}"/>
    <cellStyle name="Vérification 17" xfId="2898" xr:uid="{00000000-0005-0000-0000-0000521A0000}"/>
    <cellStyle name="Vérification 17 2" xfId="5310" xr:uid="{00000000-0005-0000-0000-0000531A0000}"/>
    <cellStyle name="Vérification 18" xfId="2899" xr:uid="{00000000-0005-0000-0000-0000541A0000}"/>
    <cellStyle name="Vérification 18 2" xfId="5311" xr:uid="{00000000-0005-0000-0000-0000551A0000}"/>
    <cellStyle name="Vérification 19" xfId="2900" xr:uid="{00000000-0005-0000-0000-0000561A0000}"/>
    <cellStyle name="Vérification 19 2" xfId="5312" xr:uid="{00000000-0005-0000-0000-0000571A0000}"/>
    <cellStyle name="Vérification 2" xfId="68" xr:uid="{00000000-0005-0000-0000-0000581A0000}"/>
    <cellStyle name="Vérification 2 2" xfId="2901" xr:uid="{00000000-0005-0000-0000-0000591A0000}"/>
    <cellStyle name="Vérification 2 3" xfId="5313" xr:uid="{00000000-0005-0000-0000-00005A1A0000}"/>
    <cellStyle name="Vérification 20" xfId="2902" xr:uid="{00000000-0005-0000-0000-00005B1A0000}"/>
    <cellStyle name="Vérification 20 2" xfId="5314" xr:uid="{00000000-0005-0000-0000-00005C1A0000}"/>
    <cellStyle name="Vérification 21" xfId="2903" xr:uid="{00000000-0005-0000-0000-00005D1A0000}"/>
    <cellStyle name="Vérification 21 2" xfId="5315" xr:uid="{00000000-0005-0000-0000-00005E1A0000}"/>
    <cellStyle name="Vérification 22" xfId="2904" xr:uid="{00000000-0005-0000-0000-00005F1A0000}"/>
    <cellStyle name="Vérification 22 2" xfId="5316" xr:uid="{00000000-0005-0000-0000-0000601A0000}"/>
    <cellStyle name="Vérification 23" xfId="2905" xr:uid="{00000000-0005-0000-0000-0000611A0000}"/>
    <cellStyle name="Vérification 23 2" xfId="5317" xr:uid="{00000000-0005-0000-0000-0000621A0000}"/>
    <cellStyle name="Vérification 24" xfId="2906" xr:uid="{00000000-0005-0000-0000-0000631A0000}"/>
    <cellStyle name="Vérification 24 2" xfId="5318" xr:uid="{00000000-0005-0000-0000-0000641A0000}"/>
    <cellStyle name="Vérification 25" xfId="2907" xr:uid="{00000000-0005-0000-0000-0000651A0000}"/>
    <cellStyle name="Vérification 25 2" xfId="5319" xr:uid="{00000000-0005-0000-0000-0000661A0000}"/>
    <cellStyle name="Vérification 26" xfId="2908" xr:uid="{00000000-0005-0000-0000-0000671A0000}"/>
    <cellStyle name="Vérification 26 2" xfId="5320" xr:uid="{00000000-0005-0000-0000-0000681A0000}"/>
    <cellStyle name="Vérification 27" xfId="2909" xr:uid="{00000000-0005-0000-0000-0000691A0000}"/>
    <cellStyle name="Vérification 27 2" xfId="5321" xr:uid="{00000000-0005-0000-0000-00006A1A0000}"/>
    <cellStyle name="Vérification 28" xfId="2910" xr:uid="{00000000-0005-0000-0000-00006B1A0000}"/>
    <cellStyle name="Vérification 28 2" xfId="5322" xr:uid="{00000000-0005-0000-0000-00006C1A0000}"/>
    <cellStyle name="Vérification 29" xfId="2911" xr:uid="{00000000-0005-0000-0000-00006D1A0000}"/>
    <cellStyle name="Vérification 29 2" xfId="5323" xr:uid="{00000000-0005-0000-0000-00006E1A0000}"/>
    <cellStyle name="Vérification 3" xfId="448" xr:uid="{00000000-0005-0000-0000-00006F1A0000}"/>
    <cellStyle name="Vérification 3 2" xfId="2912" xr:uid="{00000000-0005-0000-0000-0000701A0000}"/>
    <cellStyle name="Vérification 3 3" xfId="5324" xr:uid="{00000000-0005-0000-0000-0000711A0000}"/>
    <cellStyle name="Vérification 30" xfId="2913" xr:uid="{00000000-0005-0000-0000-0000721A0000}"/>
    <cellStyle name="Vérification 30 2" xfId="5325" xr:uid="{00000000-0005-0000-0000-0000731A0000}"/>
    <cellStyle name="Vérification 31" xfId="2914" xr:uid="{00000000-0005-0000-0000-0000741A0000}"/>
    <cellStyle name="Vérification 31 2" xfId="5326" xr:uid="{00000000-0005-0000-0000-0000751A0000}"/>
    <cellStyle name="Vérification 32" xfId="2915" xr:uid="{00000000-0005-0000-0000-0000761A0000}"/>
    <cellStyle name="Vérification 32 2" xfId="5327" xr:uid="{00000000-0005-0000-0000-0000771A0000}"/>
    <cellStyle name="Vérification 33" xfId="2916" xr:uid="{00000000-0005-0000-0000-0000781A0000}"/>
    <cellStyle name="Vérification 33 2" xfId="5328" xr:uid="{00000000-0005-0000-0000-0000791A0000}"/>
    <cellStyle name="Vérification 34" xfId="2917" xr:uid="{00000000-0005-0000-0000-00007A1A0000}"/>
    <cellStyle name="Vérification 34 2" xfId="5329" xr:uid="{00000000-0005-0000-0000-00007B1A0000}"/>
    <cellStyle name="Vérification 35" xfId="2918" xr:uid="{00000000-0005-0000-0000-00007C1A0000}"/>
    <cellStyle name="Vérification 35 2" xfId="5330" xr:uid="{00000000-0005-0000-0000-00007D1A0000}"/>
    <cellStyle name="Vérification 36" xfId="2919" xr:uid="{00000000-0005-0000-0000-00007E1A0000}"/>
    <cellStyle name="Vérification 36 2" xfId="5331" xr:uid="{00000000-0005-0000-0000-00007F1A0000}"/>
    <cellStyle name="Vérification 37" xfId="2920" xr:uid="{00000000-0005-0000-0000-0000801A0000}"/>
    <cellStyle name="Vérification 37 2" xfId="5332" xr:uid="{00000000-0005-0000-0000-0000811A0000}"/>
    <cellStyle name="Vérification 38" xfId="2921" xr:uid="{00000000-0005-0000-0000-0000821A0000}"/>
    <cellStyle name="Vérification 38 2" xfId="5333" xr:uid="{00000000-0005-0000-0000-0000831A0000}"/>
    <cellStyle name="Vérification 39" xfId="2922" xr:uid="{00000000-0005-0000-0000-0000841A0000}"/>
    <cellStyle name="Vérification 39 2" xfId="5334" xr:uid="{00000000-0005-0000-0000-0000851A0000}"/>
    <cellStyle name="Vérification 4" xfId="449" xr:uid="{00000000-0005-0000-0000-0000861A0000}"/>
    <cellStyle name="Vérification 4 2" xfId="2923" xr:uid="{00000000-0005-0000-0000-0000871A0000}"/>
    <cellStyle name="Vérification 4 3" xfId="5335" xr:uid="{00000000-0005-0000-0000-0000881A0000}"/>
    <cellStyle name="Vérification 40" xfId="2924" xr:uid="{00000000-0005-0000-0000-0000891A0000}"/>
    <cellStyle name="Vérification 40 2" xfId="5336" xr:uid="{00000000-0005-0000-0000-00008A1A0000}"/>
    <cellStyle name="Vérification 41" xfId="2925" xr:uid="{00000000-0005-0000-0000-00008B1A0000}"/>
    <cellStyle name="Vérification 41 2" xfId="5337" xr:uid="{00000000-0005-0000-0000-00008C1A0000}"/>
    <cellStyle name="Vérification 42" xfId="2926" xr:uid="{00000000-0005-0000-0000-00008D1A0000}"/>
    <cellStyle name="Vérification 42 2" xfId="5338" xr:uid="{00000000-0005-0000-0000-00008E1A0000}"/>
    <cellStyle name="Vérification 43" xfId="2927" xr:uid="{00000000-0005-0000-0000-00008F1A0000}"/>
    <cellStyle name="Vérification 43 2" xfId="5339" xr:uid="{00000000-0005-0000-0000-0000901A0000}"/>
    <cellStyle name="Vérification 44" xfId="2928" xr:uid="{00000000-0005-0000-0000-0000911A0000}"/>
    <cellStyle name="Vérification 44 2" xfId="5340" xr:uid="{00000000-0005-0000-0000-0000921A0000}"/>
    <cellStyle name="Vérification 45" xfId="2929" xr:uid="{00000000-0005-0000-0000-0000931A0000}"/>
    <cellStyle name="Vérification 45 2" xfId="5341" xr:uid="{00000000-0005-0000-0000-0000941A0000}"/>
    <cellStyle name="Vérification 46" xfId="2930" xr:uid="{00000000-0005-0000-0000-0000951A0000}"/>
    <cellStyle name="Vérification 46 2" xfId="5342" xr:uid="{00000000-0005-0000-0000-0000961A0000}"/>
    <cellStyle name="Vérification 47" xfId="2931" xr:uid="{00000000-0005-0000-0000-0000971A0000}"/>
    <cellStyle name="Vérification 47 2" xfId="5343" xr:uid="{00000000-0005-0000-0000-0000981A0000}"/>
    <cellStyle name="Vérification 48" xfId="2932" xr:uid="{00000000-0005-0000-0000-0000991A0000}"/>
    <cellStyle name="Vérification 48 2" xfId="5344" xr:uid="{00000000-0005-0000-0000-00009A1A0000}"/>
    <cellStyle name="Vérification 49" xfId="2933" xr:uid="{00000000-0005-0000-0000-00009B1A0000}"/>
    <cellStyle name="Vérification 49 2" xfId="5345" xr:uid="{00000000-0005-0000-0000-00009C1A0000}"/>
    <cellStyle name="Vérification 5" xfId="450" xr:uid="{00000000-0005-0000-0000-00009D1A0000}"/>
    <cellStyle name="Vérification 5 2" xfId="2934" xr:uid="{00000000-0005-0000-0000-00009E1A0000}"/>
    <cellStyle name="Vérification 5 3" xfId="5346" xr:uid="{00000000-0005-0000-0000-00009F1A0000}"/>
    <cellStyle name="Vérification 50" xfId="2935" xr:uid="{00000000-0005-0000-0000-0000A01A0000}"/>
    <cellStyle name="Vérification 50 2" xfId="5347" xr:uid="{00000000-0005-0000-0000-0000A11A0000}"/>
    <cellStyle name="Vérification 51" xfId="2936" xr:uid="{00000000-0005-0000-0000-0000A21A0000}"/>
    <cellStyle name="Vérification 51 2" xfId="5348" xr:uid="{00000000-0005-0000-0000-0000A31A0000}"/>
    <cellStyle name="Vérification 52" xfId="2937" xr:uid="{00000000-0005-0000-0000-0000A41A0000}"/>
    <cellStyle name="Vérification 52 2" xfId="5349" xr:uid="{00000000-0005-0000-0000-0000A51A0000}"/>
    <cellStyle name="Vérification 53" xfId="2938" xr:uid="{00000000-0005-0000-0000-0000A61A0000}"/>
    <cellStyle name="Vérification 53 2" xfId="5350" xr:uid="{00000000-0005-0000-0000-0000A71A0000}"/>
    <cellStyle name="Vérification 54" xfId="2939" xr:uid="{00000000-0005-0000-0000-0000A81A0000}"/>
    <cellStyle name="Vérification 54 2" xfId="5351" xr:uid="{00000000-0005-0000-0000-0000A91A0000}"/>
    <cellStyle name="Vérification 55" xfId="2940" xr:uid="{00000000-0005-0000-0000-0000AA1A0000}"/>
    <cellStyle name="Vérification 55 2" xfId="5352" xr:uid="{00000000-0005-0000-0000-0000AB1A0000}"/>
    <cellStyle name="Vérification 56" xfId="2941" xr:uid="{00000000-0005-0000-0000-0000AC1A0000}"/>
    <cellStyle name="Vérification 56 2" xfId="5353" xr:uid="{00000000-0005-0000-0000-0000AD1A0000}"/>
    <cellStyle name="Vérification 57" xfId="2942" xr:uid="{00000000-0005-0000-0000-0000AE1A0000}"/>
    <cellStyle name="Vérification 57 2" xfId="5354" xr:uid="{00000000-0005-0000-0000-0000AF1A0000}"/>
    <cellStyle name="Vérification 58" xfId="2943" xr:uid="{00000000-0005-0000-0000-0000B01A0000}"/>
    <cellStyle name="Vérification 58 2" xfId="5355" xr:uid="{00000000-0005-0000-0000-0000B11A0000}"/>
    <cellStyle name="Vérification 59" xfId="2944" xr:uid="{00000000-0005-0000-0000-0000B21A0000}"/>
    <cellStyle name="Vérification 59 2" xfId="5356" xr:uid="{00000000-0005-0000-0000-0000B31A0000}"/>
    <cellStyle name="Vérification 6" xfId="451" xr:uid="{00000000-0005-0000-0000-0000B41A0000}"/>
    <cellStyle name="Vérification 6 2" xfId="2945" xr:uid="{00000000-0005-0000-0000-0000B51A0000}"/>
    <cellStyle name="Vérification 6 3" xfId="5357" xr:uid="{00000000-0005-0000-0000-0000B61A0000}"/>
    <cellStyle name="Vérification 7" xfId="452" xr:uid="{00000000-0005-0000-0000-0000B71A0000}"/>
    <cellStyle name="Vérification 7 2" xfId="2946" xr:uid="{00000000-0005-0000-0000-0000B81A0000}"/>
    <cellStyle name="Vérification 7 3" xfId="5358" xr:uid="{00000000-0005-0000-0000-0000B91A0000}"/>
    <cellStyle name="Vérification 8" xfId="453" xr:uid="{00000000-0005-0000-0000-0000BA1A0000}"/>
    <cellStyle name="Vérification 8 2" xfId="2947" xr:uid="{00000000-0005-0000-0000-0000BB1A0000}"/>
    <cellStyle name="Vérification 8 3" xfId="5359" xr:uid="{00000000-0005-0000-0000-0000BC1A0000}"/>
    <cellStyle name="Vérification 9" xfId="2948" xr:uid="{00000000-0005-0000-0000-0000BD1A0000}"/>
    <cellStyle name="Vérification 9 2" xfId="5360" xr:uid="{00000000-0005-0000-0000-0000BE1A0000}"/>
  </cellStyles>
  <dxfs count="112">
    <dxf>
      <font>
        <b/>
        <i val="0"/>
        <color rgb="FFFF0000"/>
      </font>
    </dxf>
    <dxf>
      <font>
        <b/>
        <i val="0"/>
        <color rgb="FFFF0000"/>
      </font>
    </dxf>
    <dxf>
      <font>
        <b val="0"/>
        <i val="0"/>
        <color rgb="FFFF0000"/>
      </font>
    </dxf>
    <dxf>
      <font>
        <color rgb="FF00B050"/>
      </font>
    </dxf>
    <dxf>
      <font>
        <b/>
        <i val="0"/>
        <color rgb="FFFF0000"/>
      </font>
    </dxf>
    <dxf>
      <font>
        <b/>
        <i val="0"/>
        <color rgb="FF00B050"/>
      </font>
    </dxf>
    <dxf>
      <font>
        <color rgb="FFFF0000"/>
      </font>
    </dxf>
    <dxf>
      <font>
        <color rgb="FF00B050"/>
      </font>
    </dxf>
    <dxf>
      <font>
        <color rgb="FFFF0000"/>
      </font>
    </dxf>
    <dxf>
      <font>
        <color rgb="FF00B050"/>
      </font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b/>
        <i val="0"/>
        <color rgb="FFFF0000"/>
      </font>
    </dxf>
    <dxf>
      <font>
        <b/>
        <i val="0"/>
        <color rgb="FF00B050"/>
      </font>
    </dxf>
    <dxf>
      <font>
        <b/>
        <i val="0"/>
        <color rgb="FFFF0000"/>
      </font>
    </dxf>
    <dxf>
      <font>
        <b/>
        <i val="0"/>
        <color rgb="FF00B050"/>
      </font>
    </dxf>
    <dxf>
      <font>
        <b/>
        <i val="0"/>
        <color rgb="FFFF0000"/>
      </font>
    </dxf>
    <dxf>
      <font>
        <color rgb="FF9C0006"/>
      </font>
      <fill>
        <patternFill>
          <bgColor rgb="FFFFC7CE"/>
        </patternFill>
      </fill>
    </dxf>
    <dxf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b/>
        <i val="0"/>
        <color rgb="FF00B050"/>
      </font>
    </dxf>
    <dxf>
      <font>
        <b/>
        <i val="0"/>
        <color rgb="FFFF0000"/>
      </font>
    </dxf>
    <dxf>
      <font>
        <b/>
        <i val="0"/>
        <color rgb="FF00B050"/>
      </font>
    </dxf>
    <dxf>
      <font>
        <b/>
        <i val="0"/>
        <color rgb="FFFF0000"/>
      </font>
    </dxf>
    <dxf>
      <font>
        <b/>
        <i val="0"/>
        <color rgb="FF00B050"/>
      </font>
    </dxf>
    <dxf>
      <font>
        <b/>
        <i val="0"/>
        <color rgb="FFFF0000"/>
      </font>
    </dxf>
    <dxf>
      <font>
        <b/>
        <i val="0"/>
        <color rgb="FF00B050"/>
      </font>
    </dxf>
    <dxf>
      <font>
        <b/>
        <i val="0"/>
        <color rgb="FFFF0000"/>
      </font>
    </dxf>
    <dxf>
      <font>
        <b/>
        <i val="0"/>
        <color rgb="FF00B050"/>
      </font>
    </dxf>
    <dxf>
      <font>
        <b/>
        <i val="0"/>
        <color rgb="FFFF0000"/>
      </font>
    </dxf>
    <dxf>
      <font>
        <b/>
        <i val="0"/>
        <color rgb="FF00B050"/>
      </font>
    </dxf>
    <dxf>
      <font>
        <b/>
        <i val="0"/>
        <color rgb="FFFF0000"/>
      </font>
    </dxf>
    <dxf>
      <font>
        <b/>
        <i val="0"/>
        <color rgb="FF00B050"/>
      </font>
    </dxf>
    <dxf>
      <font>
        <b/>
        <i val="0"/>
        <color rgb="FFFF0000"/>
      </font>
    </dxf>
    <dxf>
      <font>
        <b/>
        <i val="0"/>
        <color rgb="FF00B05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00B050"/>
      </font>
    </dxf>
    <dxf>
      <font>
        <b/>
        <i val="0"/>
        <color rgb="FFFF0000"/>
      </font>
    </dxf>
    <dxf>
      <font>
        <b/>
        <i val="0"/>
        <color rgb="FF00B050"/>
      </font>
    </dxf>
    <dxf>
      <font>
        <b/>
        <i val="0"/>
        <color rgb="FF00B050"/>
      </font>
    </dxf>
    <dxf>
      <font>
        <b/>
        <i val="0"/>
        <color rgb="FFFF0000"/>
      </font>
    </dxf>
    <dxf>
      <font>
        <b/>
        <i val="0"/>
        <color rgb="FF00B050"/>
      </font>
    </dxf>
    <dxf>
      <font>
        <b/>
        <i val="0"/>
        <color rgb="FFFF0000"/>
      </font>
    </dxf>
    <dxf>
      <font>
        <b/>
        <i val="0"/>
        <color rgb="FF00B050"/>
      </font>
    </dxf>
    <dxf>
      <font>
        <b/>
        <i val="0"/>
        <color rgb="FFFF0000"/>
      </font>
    </dxf>
    <dxf>
      <font>
        <b/>
        <i val="0"/>
        <color rgb="FF00B050"/>
      </font>
    </dxf>
    <dxf>
      <font>
        <b/>
        <i val="0"/>
        <color rgb="FFFF0000"/>
      </font>
    </dxf>
    <dxf>
      <font>
        <color rgb="FF9C0006"/>
      </font>
      <fill>
        <patternFill>
          <bgColor rgb="FFFFC7CE"/>
        </patternFill>
      </fill>
    </dxf>
    <dxf>
      <font>
        <b/>
        <i val="0"/>
        <color rgb="FF00B050"/>
      </font>
    </dxf>
    <dxf>
      <font>
        <b/>
        <i val="0"/>
        <color rgb="FFFF0000"/>
      </font>
    </dxf>
    <dxf>
      <font>
        <b/>
        <i val="0"/>
        <color rgb="FF00B050"/>
      </font>
    </dxf>
    <dxf>
      <font>
        <b/>
        <i val="0"/>
        <color rgb="FFFF0000"/>
      </font>
    </dxf>
    <dxf>
      <font>
        <b/>
        <i val="0"/>
        <color rgb="FF00B050"/>
      </font>
    </dxf>
    <dxf>
      <font>
        <b/>
        <i val="0"/>
        <color rgb="FFFF0000"/>
      </font>
    </dxf>
    <dxf>
      <font>
        <b/>
        <i val="0"/>
        <color rgb="FF00B050"/>
      </font>
    </dxf>
    <dxf>
      <font>
        <b/>
        <i val="0"/>
        <color rgb="FFFF0000"/>
      </font>
    </dxf>
    <dxf>
      <font>
        <color rgb="FFFF0000"/>
      </font>
    </dxf>
    <dxf>
      <font>
        <b/>
        <i val="0"/>
        <color rgb="FF00B050"/>
      </font>
    </dxf>
    <dxf>
      <font>
        <b/>
        <i val="0"/>
        <color rgb="FFFF0000"/>
      </font>
    </dxf>
    <dxf>
      <font>
        <b/>
        <i val="0"/>
        <color rgb="FF00B050"/>
      </font>
    </dxf>
    <dxf>
      <font>
        <b/>
        <i val="0"/>
        <color rgb="FFFF0000"/>
      </font>
    </dxf>
    <dxf>
      <font>
        <b/>
        <i val="0"/>
        <color rgb="FF00B050"/>
      </font>
    </dxf>
    <dxf>
      <font>
        <b/>
        <i val="0"/>
        <color rgb="FFFF0000"/>
      </font>
    </dxf>
    <dxf>
      <font>
        <b/>
        <i val="0"/>
        <color rgb="FF00B050"/>
      </font>
    </dxf>
    <dxf>
      <font>
        <b/>
        <i val="0"/>
        <color rgb="FFFF0000"/>
      </font>
    </dxf>
    <dxf>
      <font>
        <b/>
        <i val="0"/>
        <color rgb="FF00B050"/>
      </font>
    </dxf>
    <dxf>
      <font>
        <b/>
        <i val="0"/>
        <color rgb="FF00B050"/>
      </font>
    </dxf>
    <dxf>
      <font>
        <b/>
        <i val="0"/>
        <color rgb="FFFF0000"/>
      </font>
    </dxf>
    <dxf>
      <font>
        <b/>
        <i val="0"/>
        <color rgb="FF00B050"/>
      </font>
    </dxf>
    <dxf>
      <font>
        <b/>
        <i val="0"/>
        <color rgb="FF00B050"/>
      </font>
    </dxf>
    <dxf>
      <font>
        <b/>
        <i val="0"/>
        <color rgb="FFFF0000"/>
      </font>
    </dxf>
    <dxf>
      <font>
        <b/>
        <i val="0"/>
        <color rgb="FF00B050"/>
      </font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b/>
        <i val="0"/>
        <color rgb="FF00B050"/>
      </font>
    </dxf>
    <dxf>
      <font>
        <b/>
        <i val="0"/>
        <color rgb="FFFF0000"/>
      </font>
      <fill>
        <patternFill>
          <bgColor theme="5" tint="0.79998168889431442"/>
        </patternFill>
      </fill>
    </dxf>
    <dxf>
      <font>
        <b/>
        <i val="0"/>
        <color rgb="FF00B050"/>
      </font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b/>
        <i val="0"/>
        <color rgb="FF00B050"/>
      </font>
    </dxf>
    <dxf>
      <font>
        <color rgb="FFFF0000"/>
      </font>
      <fill>
        <patternFill>
          <bgColor theme="5" tint="0.79998168889431442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b/>
        <i val="0"/>
        <color rgb="FF00B050"/>
      </font>
    </dxf>
    <dxf>
      <font>
        <b/>
        <i val="0"/>
        <color rgb="FFFF0000"/>
      </font>
      <fill>
        <patternFill>
          <bgColor theme="5" tint="0.79998168889431442"/>
        </patternFill>
      </fill>
    </dxf>
    <dxf>
      <font>
        <b/>
        <i val="0"/>
        <color rgb="FF00B050"/>
      </font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lor rgb="FFFF0000"/>
      </font>
      <fill>
        <patternFill>
          <bgColor theme="5" tint="0.79998168889431442"/>
        </patternFill>
      </fill>
    </dxf>
    <dxf>
      <font>
        <b/>
        <i val="0"/>
        <color rgb="FF00B050"/>
      </font>
    </dxf>
    <dxf>
      <font>
        <b/>
        <i val="0"/>
        <color rgb="FFFF0000"/>
      </font>
      <fill>
        <patternFill>
          <bgColor theme="5" tint="0.79998168889431442"/>
        </patternFill>
      </fill>
    </dxf>
    <dxf>
      <font>
        <b/>
        <i val="0"/>
        <color rgb="FF00B050"/>
      </font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lor rgb="FFFF0000"/>
      </font>
      <fill>
        <patternFill>
          <bgColor theme="5" tint="0.79998168889431442"/>
        </patternFill>
      </fill>
    </dxf>
    <dxf>
      <font>
        <b/>
        <i val="0"/>
        <color rgb="FF00B050"/>
      </font>
    </dxf>
    <dxf>
      <font>
        <b/>
        <i val="0"/>
        <color rgb="FF00B050"/>
      </font>
    </dxf>
    <dxf>
      <font>
        <b/>
        <i val="0"/>
        <color rgb="FFFF0000"/>
      </font>
      <fill>
        <patternFill>
          <bgColor theme="5" tint="0.79998168889431442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b/>
        <i val="0"/>
        <color rgb="FFFF0000"/>
      </font>
      <fill>
        <patternFill>
          <bgColor theme="5" tint="0.79998168889431442"/>
        </patternFill>
      </fill>
    </dxf>
    <dxf>
      <font>
        <b/>
        <i val="0"/>
        <color rgb="FF00B050"/>
      </font>
    </dxf>
    <dxf>
      <font>
        <b/>
        <i val="0"/>
        <color rgb="FF00B050"/>
      </font>
    </dxf>
    <dxf>
      <font>
        <b/>
        <i val="0"/>
        <color rgb="FFFF0000"/>
      </font>
      <fill>
        <patternFill>
          <bgColor theme="5" tint="0.79998168889431442"/>
        </patternFill>
      </fill>
    </dxf>
    <dxf>
      <font>
        <color rgb="FFFF0000"/>
      </font>
      <fill>
        <patternFill>
          <bgColor theme="5" tint="0.79998168889431442"/>
        </patternFill>
      </fill>
    </dxf>
    <dxf>
      <font>
        <b/>
        <i val="0"/>
        <color rgb="FF00B050"/>
      </font>
    </dxf>
    <dxf>
      <font>
        <condense val="0"/>
        <extend val="0"/>
        <color rgb="FF9C0006"/>
      </font>
      <fill>
        <patternFill>
          <bgColor rgb="FFFFC7CE"/>
        </patternFill>
      </fill>
    </dxf>
  </dxfs>
  <tableStyles count="0" defaultTableStyle="TableStyleMedium9" defaultPivotStyle="PivotStyleLight16"/>
  <colors>
    <mruColors>
      <color rgb="FFC64674"/>
      <color rgb="FF5EC4E8"/>
      <color rgb="FFD882A1"/>
      <color rgb="FF3096DC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26" Type="http://schemas.openxmlformats.org/officeDocument/2006/relationships/worksheet" Target="worksheets/sheet26.xml"/><Relationship Id="rId39" Type="http://schemas.openxmlformats.org/officeDocument/2006/relationships/worksheet" Target="worksheets/sheet39.xml"/><Relationship Id="rId21" Type="http://schemas.openxmlformats.org/officeDocument/2006/relationships/worksheet" Target="worksheets/sheet21.xml"/><Relationship Id="rId34" Type="http://schemas.openxmlformats.org/officeDocument/2006/relationships/worksheet" Target="worksheets/sheet34.xml"/><Relationship Id="rId42" Type="http://schemas.openxmlformats.org/officeDocument/2006/relationships/externalLink" Target="externalLinks/externalLink2.xml"/><Relationship Id="rId47" Type="http://schemas.openxmlformats.org/officeDocument/2006/relationships/externalLink" Target="externalLinks/externalLink7.xml"/><Relationship Id="rId50" Type="http://schemas.openxmlformats.org/officeDocument/2006/relationships/externalLink" Target="externalLinks/externalLink10.xml"/><Relationship Id="rId55" Type="http://schemas.openxmlformats.org/officeDocument/2006/relationships/sharedStrings" Target="sharedStrings.xml"/><Relationship Id="rId7" Type="http://schemas.openxmlformats.org/officeDocument/2006/relationships/worksheet" Target="worksheets/sheet7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9" Type="http://schemas.openxmlformats.org/officeDocument/2006/relationships/worksheet" Target="worksheets/sheet29.xml"/><Relationship Id="rId11" Type="http://schemas.openxmlformats.org/officeDocument/2006/relationships/worksheet" Target="worksheets/sheet11.xml"/><Relationship Id="rId24" Type="http://schemas.openxmlformats.org/officeDocument/2006/relationships/worksheet" Target="worksheets/sheet24.xml"/><Relationship Id="rId32" Type="http://schemas.openxmlformats.org/officeDocument/2006/relationships/worksheet" Target="worksheets/sheet32.xml"/><Relationship Id="rId37" Type="http://schemas.openxmlformats.org/officeDocument/2006/relationships/worksheet" Target="worksheets/sheet37.xml"/><Relationship Id="rId40" Type="http://schemas.openxmlformats.org/officeDocument/2006/relationships/worksheet" Target="worksheets/sheet40.xml"/><Relationship Id="rId45" Type="http://schemas.openxmlformats.org/officeDocument/2006/relationships/externalLink" Target="externalLinks/externalLink5.xml"/><Relationship Id="rId53" Type="http://schemas.openxmlformats.org/officeDocument/2006/relationships/theme" Target="theme/theme1.xml"/><Relationship Id="rId5" Type="http://schemas.openxmlformats.org/officeDocument/2006/relationships/worksheet" Target="worksheets/sheet5.xml"/><Relationship Id="rId10" Type="http://schemas.openxmlformats.org/officeDocument/2006/relationships/worksheet" Target="worksheets/sheet10.xml"/><Relationship Id="rId19" Type="http://schemas.openxmlformats.org/officeDocument/2006/relationships/worksheet" Target="worksheets/sheet19.xml"/><Relationship Id="rId31" Type="http://schemas.openxmlformats.org/officeDocument/2006/relationships/worksheet" Target="worksheets/sheet31.xml"/><Relationship Id="rId44" Type="http://schemas.openxmlformats.org/officeDocument/2006/relationships/externalLink" Target="externalLinks/externalLink4.xml"/><Relationship Id="rId52" Type="http://schemas.openxmlformats.org/officeDocument/2006/relationships/externalLink" Target="externalLinks/externalLink12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Relationship Id="rId22" Type="http://schemas.openxmlformats.org/officeDocument/2006/relationships/worksheet" Target="worksheets/sheet22.xml"/><Relationship Id="rId27" Type="http://schemas.openxmlformats.org/officeDocument/2006/relationships/worksheet" Target="worksheets/sheet27.xml"/><Relationship Id="rId30" Type="http://schemas.openxmlformats.org/officeDocument/2006/relationships/worksheet" Target="worksheets/sheet30.xml"/><Relationship Id="rId35" Type="http://schemas.openxmlformats.org/officeDocument/2006/relationships/worksheet" Target="worksheets/sheet35.xml"/><Relationship Id="rId43" Type="http://schemas.openxmlformats.org/officeDocument/2006/relationships/externalLink" Target="externalLinks/externalLink3.xml"/><Relationship Id="rId48" Type="http://schemas.openxmlformats.org/officeDocument/2006/relationships/externalLink" Target="externalLinks/externalLink8.xml"/><Relationship Id="rId56" Type="http://schemas.openxmlformats.org/officeDocument/2006/relationships/calcChain" Target="calcChain.xml"/><Relationship Id="rId8" Type="http://schemas.openxmlformats.org/officeDocument/2006/relationships/worksheet" Target="worksheets/sheet8.xml"/><Relationship Id="rId51" Type="http://schemas.openxmlformats.org/officeDocument/2006/relationships/externalLink" Target="externalLinks/externalLink11.xml"/><Relationship Id="rId3" Type="http://schemas.openxmlformats.org/officeDocument/2006/relationships/worksheet" Target="worksheets/sheet3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25" Type="http://schemas.openxmlformats.org/officeDocument/2006/relationships/worksheet" Target="worksheets/sheet25.xml"/><Relationship Id="rId33" Type="http://schemas.openxmlformats.org/officeDocument/2006/relationships/worksheet" Target="worksheets/sheet33.xml"/><Relationship Id="rId38" Type="http://schemas.openxmlformats.org/officeDocument/2006/relationships/worksheet" Target="worksheets/sheet38.xml"/><Relationship Id="rId46" Type="http://schemas.openxmlformats.org/officeDocument/2006/relationships/externalLink" Target="externalLinks/externalLink6.xml"/><Relationship Id="rId20" Type="http://schemas.openxmlformats.org/officeDocument/2006/relationships/worksheet" Target="worksheets/sheet20.xml"/><Relationship Id="rId41" Type="http://schemas.openxmlformats.org/officeDocument/2006/relationships/externalLink" Target="externalLinks/externalLink1.xml"/><Relationship Id="rId54" Type="http://schemas.openxmlformats.org/officeDocument/2006/relationships/styles" Target="styles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5" Type="http://schemas.openxmlformats.org/officeDocument/2006/relationships/worksheet" Target="worksheets/sheet15.xml"/><Relationship Id="rId23" Type="http://schemas.openxmlformats.org/officeDocument/2006/relationships/worksheet" Target="worksheets/sheet23.xml"/><Relationship Id="rId28" Type="http://schemas.openxmlformats.org/officeDocument/2006/relationships/worksheet" Target="worksheets/sheet28.xml"/><Relationship Id="rId36" Type="http://schemas.openxmlformats.org/officeDocument/2006/relationships/worksheet" Target="worksheets/sheet36.xml"/><Relationship Id="rId49" Type="http://schemas.openxmlformats.org/officeDocument/2006/relationships/externalLink" Target="externalLinks/externalLink9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fr-F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fr-FR"/>
        </a:p>
      </c:txPr>
    </c:title>
    <c:autoTitleDeleted val="0"/>
    <c:plotArea>
      <c:layout/>
      <c:barChart>
        <c:barDir val="bar"/>
        <c:grouping val="clustered"/>
        <c:varyColors val="0"/>
        <c:ser>
          <c:idx val="0"/>
          <c:order val="0"/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Clientele!$A$5:$A$14</c:f>
              <c:strCache>
                <c:ptCount val="10"/>
                <c:pt idx="0">
                  <c:v>Blida</c:v>
                </c:pt>
                <c:pt idx="1">
                  <c:v>Bouira</c:v>
                </c:pt>
                <c:pt idx="2">
                  <c:v>Médéa</c:v>
                </c:pt>
                <c:pt idx="3">
                  <c:v>T.Ouzou</c:v>
                </c:pt>
                <c:pt idx="4">
                  <c:v>Djelfa</c:v>
                </c:pt>
                <c:pt idx="5">
                  <c:v>Tipaza</c:v>
                </c:pt>
                <c:pt idx="6">
                  <c:v>Boumerdes</c:v>
                </c:pt>
                <c:pt idx="7">
                  <c:v>Ain Defla</c:v>
                </c:pt>
                <c:pt idx="8">
                  <c:v>Chlef</c:v>
                </c:pt>
                <c:pt idx="9">
                  <c:v>Tissemssilt</c:v>
                </c:pt>
              </c:strCache>
            </c:strRef>
          </c:cat>
          <c:val>
            <c:numRef>
              <c:f>Clientele!$L$5:$L$14</c:f>
              <c:numCache>
                <c:formatCode>#,##0</c:formatCode>
                <c:ptCount val="10"/>
                <c:pt idx="0">
                  <c:v>395688</c:v>
                </c:pt>
                <c:pt idx="1">
                  <c:v>245813</c:v>
                </c:pt>
                <c:pt idx="2">
                  <c:v>250107</c:v>
                </c:pt>
                <c:pt idx="3">
                  <c:v>484671</c:v>
                </c:pt>
                <c:pt idx="4">
                  <c:v>246788</c:v>
                </c:pt>
                <c:pt idx="5">
                  <c:v>239659</c:v>
                </c:pt>
                <c:pt idx="6">
                  <c:v>339124</c:v>
                </c:pt>
                <c:pt idx="7">
                  <c:v>240768</c:v>
                </c:pt>
                <c:pt idx="8">
                  <c:v>318311</c:v>
                </c:pt>
                <c:pt idx="9">
                  <c:v>94024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502A-4F6C-A284-5E4ACCA033F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82"/>
        <c:axId val="381097896"/>
        <c:axId val="383139216"/>
      </c:barChart>
      <c:catAx>
        <c:axId val="381097896"/>
        <c:scaling>
          <c:orientation val="minMax"/>
        </c:scaling>
        <c:delete val="0"/>
        <c:axPos val="l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fr-FR"/>
          </a:p>
        </c:txPr>
        <c:crossAx val="383139216"/>
        <c:crosses val="autoZero"/>
        <c:auto val="1"/>
        <c:lblAlgn val="ctr"/>
        <c:lblOffset val="100"/>
        <c:noMultiLvlLbl val="0"/>
      </c:catAx>
      <c:valAx>
        <c:axId val="383139216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#,##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fr-FR"/>
          </a:p>
        </c:txPr>
        <c:crossAx val="381097896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fr-FR"/>
    </a:p>
  </c:txPr>
  <c:printSettings>
    <c:headerFooter/>
    <c:pageMargins b="0.75" l="0.7" r="0.7" t="0.75" header="0.3" footer="0.3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fr-F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view3D>
      <c:rotX val="15"/>
      <c:rotY val="20"/>
      <c:rAngAx val="1"/>
    </c:view3D>
    <c:floor>
      <c:thickness val="0"/>
      <c:spPr>
        <a:solidFill>
          <a:srgbClr val="4F81BD">
            <a:alpha val="72000"/>
          </a:srgbClr>
        </a:solidFill>
        <a:ln>
          <a:noFill/>
        </a:ln>
      </c:spPr>
    </c:floor>
    <c:sideWall>
      <c:thickness val="0"/>
    </c:sideWall>
    <c:backWall>
      <c:thickness val="0"/>
    </c:backWall>
    <c:plotArea>
      <c:layout/>
      <c:bar3DChart>
        <c:barDir val="bar"/>
        <c:grouping val="stacked"/>
        <c:varyColors val="0"/>
        <c:ser>
          <c:idx val="0"/>
          <c:order val="0"/>
          <c:tx>
            <c:strRef>
              <c:f>ventes_achats_élec!$F$50</c:f>
              <c:strCache>
                <c:ptCount val="1"/>
                <c:pt idx="0">
                  <c:v>Réalisations</c:v>
                </c:pt>
              </c:strCache>
            </c:strRef>
          </c:tx>
          <c:spPr>
            <a:solidFill>
              <a:srgbClr val="5EC4E8"/>
            </a:solidFill>
          </c:spPr>
          <c:invertIfNegative val="0"/>
          <c:dLbls>
            <c:spPr>
              <a:noFill/>
              <a:ln>
                <a:noFill/>
              </a:ln>
              <a:effectLst/>
            </c:sp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0"/>
              </c:ext>
            </c:extLst>
          </c:dLbls>
          <c:val>
            <c:numRef>
              <c:f>ventes_achats_élec!$F$51:$F$53</c:f>
              <c:numCache>
                <c:formatCode>#\ ##0.0</c:formatCode>
                <c:ptCount val="3"/>
                <c:pt idx="0">
                  <c:v>5778.6639788012399</c:v>
                </c:pt>
                <c:pt idx="1">
                  <c:v>2782.2528632369999</c:v>
                </c:pt>
                <c:pt idx="2">
                  <c:v>8560.916842038243</c:v>
                </c:pt>
              </c:numCache>
            </c:numRef>
          </c:val>
          <c:extLst>
            <c:ext xmlns:c15="http://schemas.microsoft.com/office/drawing/2012/chart" uri="{02D57815-91ED-43cb-92C2-25804820EDAC}">
              <c15:filteredCategoryTitle>
                <c15:cat>
                  <c:strRef>
                    <c:extLst>
                      <c:ext uri="{02D57815-91ED-43cb-92C2-25804820EDAC}">
                        <c15:formulaRef>
                          <c15:sqref>ventes_achats_élec!$E$51:$E$53</c15:sqref>
                        </c15:formulaRef>
                      </c:ext>
                    </c:extLst>
                    <c:strCache>
                      <c:ptCount val="3"/>
                      <c:pt idx="0">
                        <c:v>BT</c:v>
                      </c:pt>
                      <c:pt idx="1">
                        <c:v>HTA</c:v>
                      </c:pt>
                      <c:pt idx="2">
                        <c:v>BT+HTA</c:v>
                      </c:pt>
                    </c:strCache>
                  </c:strRef>
                </c15:cat>
              </c15:filteredCategoryTitle>
            </c:ext>
            <c:ext xmlns:c16="http://schemas.microsoft.com/office/drawing/2014/chart" uri="{C3380CC4-5D6E-409C-BE32-E72D297353CC}">
              <c16:uniqueId val="{00000000-EBE6-4862-8C3F-F43E5BC1F68A}"/>
            </c:ext>
          </c:extLst>
        </c:ser>
        <c:ser>
          <c:idx val="1"/>
          <c:order val="1"/>
          <c:tx>
            <c:strRef>
              <c:f>ventes_achats_élec!$G$50</c:f>
              <c:strCache>
                <c:ptCount val="1"/>
                <c:pt idx="0">
                  <c:v>reste à réaliser </c:v>
                </c:pt>
              </c:strCache>
            </c:strRef>
          </c:tx>
          <c:spPr>
            <a:solidFill>
              <a:srgbClr val="D882A1"/>
            </a:solidFill>
          </c:spPr>
          <c:invertIfNegative val="0"/>
          <c:dLbls>
            <c:spPr>
              <a:noFill/>
              <a:ln>
                <a:noFill/>
              </a:ln>
              <a:effectLst/>
            </c:sp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0"/>
              </c:ext>
            </c:extLst>
          </c:dLbls>
          <c:val>
            <c:numRef>
              <c:f>ventes_achats_élec!$G$51:$G$53</c:f>
              <c:numCache>
                <c:formatCode>#\ ##0.0</c:formatCode>
                <c:ptCount val="3"/>
                <c:pt idx="0">
                  <c:v>4127.5637207094696</c:v>
                </c:pt>
                <c:pt idx="1">
                  <c:v>1207.6516453630002</c:v>
                </c:pt>
                <c:pt idx="2">
                  <c:v>5335.2153660724671</c:v>
                </c:pt>
              </c:numCache>
            </c:numRef>
          </c:val>
          <c:extLst>
            <c:ext xmlns:c15="http://schemas.microsoft.com/office/drawing/2012/chart" uri="{02D57815-91ED-43cb-92C2-25804820EDAC}">
              <c15:filteredCategoryTitle>
                <c15:cat>
                  <c:strRef>
                    <c:extLst>
                      <c:ext uri="{02D57815-91ED-43cb-92C2-25804820EDAC}">
                        <c15:formulaRef>
                          <c15:sqref>ventes_achats_élec!$E$51:$E$53</c15:sqref>
                        </c15:formulaRef>
                      </c:ext>
                    </c:extLst>
                    <c:strCache>
                      <c:ptCount val="3"/>
                      <c:pt idx="0">
                        <c:v>BT</c:v>
                      </c:pt>
                      <c:pt idx="1">
                        <c:v>HTA</c:v>
                      </c:pt>
                      <c:pt idx="2">
                        <c:v>BT+HTA</c:v>
                      </c:pt>
                    </c:strCache>
                  </c:strRef>
                </c15:cat>
              </c15:filteredCategoryTitle>
            </c:ext>
            <c:ext xmlns:c16="http://schemas.microsoft.com/office/drawing/2014/chart" uri="{C3380CC4-5D6E-409C-BE32-E72D297353CC}">
              <c16:uniqueId val="{00000001-EBE6-4862-8C3F-F43E5BC1F68A}"/>
            </c:ext>
          </c:extLst>
        </c:ser>
        <c:dLbls>
          <c:showLegendKey val="0"/>
          <c:showVal val="1"/>
          <c:showCatName val="0"/>
          <c:showSerName val="0"/>
          <c:showPercent val="0"/>
          <c:showBubbleSize val="0"/>
        </c:dLbls>
        <c:gapWidth val="75"/>
        <c:shape val="cylinder"/>
        <c:axId val="382217968"/>
        <c:axId val="383016184"/>
        <c:axId val="0"/>
      </c:bar3DChart>
      <c:catAx>
        <c:axId val="382217968"/>
        <c:scaling>
          <c:orientation val="minMax"/>
        </c:scaling>
        <c:delete val="0"/>
        <c:axPos val="l"/>
        <c:numFmt formatCode="General" sourceLinked="0"/>
        <c:majorTickMark val="none"/>
        <c:minorTickMark val="none"/>
        <c:tickLblPos val="nextTo"/>
        <c:crossAx val="383016184"/>
        <c:crosses val="autoZero"/>
        <c:auto val="1"/>
        <c:lblAlgn val="ctr"/>
        <c:lblOffset val="100"/>
        <c:noMultiLvlLbl val="0"/>
      </c:catAx>
      <c:valAx>
        <c:axId val="383016184"/>
        <c:scaling>
          <c:orientation val="minMax"/>
        </c:scaling>
        <c:delete val="0"/>
        <c:axPos val="b"/>
        <c:numFmt formatCode="#\ ##0.0" sourceLinked="1"/>
        <c:majorTickMark val="none"/>
        <c:minorTickMark val="none"/>
        <c:tickLblPos val="nextTo"/>
        <c:crossAx val="382217968"/>
        <c:crosses val="autoZero"/>
        <c:crossBetween val="between"/>
      </c:valAx>
    </c:plotArea>
    <c:legend>
      <c:legendPos val="b"/>
      <c:overlay val="0"/>
    </c:legend>
    <c:plotVisOnly val="1"/>
    <c:dispBlanksAs val="gap"/>
    <c:showDLblsOverMax val="0"/>
  </c:chart>
  <c:spPr>
    <a:noFill/>
    <a:ln>
      <a:noFill/>
    </a:ln>
  </c:spPr>
  <c:printSettings>
    <c:headerFooter/>
    <c:pageMargins b="0.75000000000001277" l="0.70000000000000062" r="0.70000000000000062" t="0.75000000000001277" header="0.30000000000000032" footer="0.30000000000000032"/>
    <c:pageSetup/>
  </c:printSettings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fr-F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fr-FR"/>
              <a:t>Réalisation taux de pertes électricité</a:t>
            </a:r>
          </a:p>
        </c:rich>
      </c:tx>
      <c:overlay val="0"/>
    </c:title>
    <c:autoTitleDeleted val="0"/>
    <c:view3D>
      <c:rotX val="15"/>
      <c:rotY val="20"/>
      <c:rAngAx val="1"/>
    </c:view3D>
    <c:floor>
      <c:thickness val="0"/>
      <c:spPr>
        <a:solidFill>
          <a:srgbClr val="4F81BD">
            <a:alpha val="53000"/>
          </a:srgbClr>
        </a:solidFill>
        <a:ln>
          <a:noFill/>
        </a:ln>
      </c:spPr>
    </c:floor>
    <c:sideWall>
      <c:thickness val="0"/>
    </c:sideWall>
    <c:backWall>
      <c:thickness val="0"/>
    </c:backWall>
    <c:plotArea>
      <c:layout/>
      <c:bar3DChart>
        <c:barDir val="col"/>
        <c:grouping val="stacked"/>
        <c:varyColors val="0"/>
        <c:ser>
          <c:idx val="0"/>
          <c:order val="0"/>
          <c:tx>
            <c:strRef>
              <c:f>TP_élec!$A$19</c:f>
              <c:strCache>
                <c:ptCount val="1"/>
                <c:pt idx="0">
                  <c:v>réalist°</c:v>
                </c:pt>
              </c:strCache>
            </c:strRef>
          </c:tx>
          <c:spPr>
            <a:solidFill>
              <a:srgbClr val="00B0F0"/>
            </a:solidFill>
          </c:spPr>
          <c:invertIfNegative val="0"/>
          <c:dLbls>
            <c:spPr>
              <a:noFill/>
              <a:ln>
                <a:noFill/>
              </a:ln>
              <a:effectLst/>
            </c:sp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0"/>
              </c:ext>
            </c:extLst>
          </c:dLbls>
          <c:cat>
            <c:strRef>
              <c:f>TP_élec!$B$17:$L$17</c:f>
              <c:strCache>
                <c:ptCount val="11"/>
                <c:pt idx="0">
                  <c:v>Blida</c:v>
                </c:pt>
                <c:pt idx="1">
                  <c:v>Bouira</c:v>
                </c:pt>
                <c:pt idx="2">
                  <c:v>Médéa</c:v>
                </c:pt>
                <c:pt idx="3">
                  <c:v>T.Ouzou</c:v>
                </c:pt>
                <c:pt idx="4">
                  <c:v>Djelfa</c:v>
                </c:pt>
                <c:pt idx="5">
                  <c:v>Tipaza</c:v>
                </c:pt>
                <c:pt idx="6">
                  <c:v>Boumerdes</c:v>
                </c:pt>
                <c:pt idx="7">
                  <c:v>Ain Defla</c:v>
                </c:pt>
                <c:pt idx="8">
                  <c:v>Chlef</c:v>
                </c:pt>
                <c:pt idx="9">
                  <c:v>Tissemssilt</c:v>
                </c:pt>
                <c:pt idx="10">
                  <c:v>RDC</c:v>
                </c:pt>
              </c:strCache>
            </c:strRef>
          </c:cat>
          <c:val>
            <c:numRef>
              <c:f>TP_élec!$B$19:$L$19</c:f>
              <c:numCache>
                <c:formatCode>0.00</c:formatCode>
                <c:ptCount val="11"/>
                <c:pt idx="0">
                  <c:v>17.078621215264747</c:v>
                </c:pt>
                <c:pt idx="1">
                  <c:v>15.351295412529344</c:v>
                </c:pt>
                <c:pt idx="2">
                  <c:v>11.953904584469335</c:v>
                </c:pt>
                <c:pt idx="3">
                  <c:v>15.133515930199239</c:v>
                </c:pt>
                <c:pt idx="4">
                  <c:v>16.713023428768278</c:v>
                </c:pt>
                <c:pt idx="5">
                  <c:v>18.678505329492985</c:v>
                </c:pt>
                <c:pt idx="6">
                  <c:v>19.446657353512411</c:v>
                </c:pt>
                <c:pt idx="7">
                  <c:v>16.610119606700888</c:v>
                </c:pt>
                <c:pt idx="8">
                  <c:v>15.751500754132291</c:v>
                </c:pt>
                <c:pt idx="9">
                  <c:v>9.9687718562732535</c:v>
                </c:pt>
                <c:pt idx="10">
                  <c:v>14.137725415974423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CE0C-4975-86D7-FC285AA437A1}"/>
            </c:ext>
          </c:extLst>
        </c:ser>
        <c:ser>
          <c:idx val="1"/>
          <c:order val="1"/>
          <c:tx>
            <c:strRef>
              <c:f>TP_élec!$A$20</c:f>
              <c:strCache>
                <c:ptCount val="1"/>
                <c:pt idx="0">
                  <c:v>Ecart par rapport à l'objectif</c:v>
                </c:pt>
              </c:strCache>
            </c:strRef>
          </c:tx>
          <c:spPr>
            <a:solidFill>
              <a:schemeClr val="accent2">
                <a:lumMod val="40000"/>
                <a:lumOff val="60000"/>
              </a:schemeClr>
            </a:solidFill>
          </c:spPr>
          <c:invertIfNegative val="0"/>
          <c:dLbls>
            <c:spPr>
              <a:noFill/>
              <a:ln>
                <a:noFill/>
              </a:ln>
              <a:effectLst/>
            </c:sp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0"/>
              </c:ext>
            </c:extLst>
          </c:dLbls>
          <c:cat>
            <c:strRef>
              <c:f>TP_élec!$B$17:$L$17</c:f>
              <c:strCache>
                <c:ptCount val="11"/>
                <c:pt idx="0">
                  <c:v>Blida</c:v>
                </c:pt>
                <c:pt idx="1">
                  <c:v>Bouira</c:v>
                </c:pt>
                <c:pt idx="2">
                  <c:v>Médéa</c:v>
                </c:pt>
                <c:pt idx="3">
                  <c:v>T.Ouzou</c:v>
                </c:pt>
                <c:pt idx="4">
                  <c:v>Djelfa</c:v>
                </c:pt>
                <c:pt idx="5">
                  <c:v>Tipaza</c:v>
                </c:pt>
                <c:pt idx="6">
                  <c:v>Boumerdes</c:v>
                </c:pt>
                <c:pt idx="7">
                  <c:v>Ain Defla</c:v>
                </c:pt>
                <c:pt idx="8">
                  <c:v>Chlef</c:v>
                </c:pt>
                <c:pt idx="9">
                  <c:v>Tissemssilt</c:v>
                </c:pt>
                <c:pt idx="10">
                  <c:v>RDC</c:v>
                </c:pt>
              </c:strCache>
            </c:strRef>
          </c:cat>
          <c:val>
            <c:numRef>
              <c:f>TP_élec!$B$20:$L$20</c:f>
              <c:numCache>
                <c:formatCode>0.0</c:formatCode>
                <c:ptCount val="11"/>
                <c:pt idx="0">
                  <c:v>7.5336312152647498</c:v>
                </c:pt>
                <c:pt idx="1">
                  <c:v>7.3963054125293421</c:v>
                </c:pt>
                <c:pt idx="2">
                  <c:v>5.1889145844693303</c:v>
                </c:pt>
                <c:pt idx="3">
                  <c:v>6.6485259301992361</c:v>
                </c:pt>
                <c:pt idx="4">
                  <c:v>7.0880334287682789</c:v>
                </c:pt>
                <c:pt idx="5">
                  <c:v>7.8635153294929854</c:v>
                </c:pt>
                <c:pt idx="6">
                  <c:v>8.7316673535124121</c:v>
                </c:pt>
                <c:pt idx="7">
                  <c:v>8.4551296067008881</c:v>
                </c:pt>
                <c:pt idx="8">
                  <c:v>7.4565107541322906</c:v>
                </c:pt>
                <c:pt idx="9">
                  <c:v>1.6737818562732567</c:v>
                </c:pt>
                <c:pt idx="10">
                  <c:v>-2.3328227480587138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CE0C-4975-86D7-FC285AA437A1}"/>
            </c:ext>
          </c:extLst>
        </c:ser>
        <c:dLbls>
          <c:showLegendKey val="0"/>
          <c:showVal val="1"/>
          <c:showCatName val="0"/>
          <c:showSerName val="0"/>
          <c:showPercent val="0"/>
          <c:showBubbleSize val="0"/>
        </c:dLbls>
        <c:gapWidth val="95"/>
        <c:gapDepth val="95"/>
        <c:shape val="cylinder"/>
        <c:axId val="386467912"/>
        <c:axId val="380488720"/>
        <c:axId val="0"/>
      </c:bar3DChart>
      <c:catAx>
        <c:axId val="386467912"/>
        <c:scaling>
          <c:orientation val="minMax"/>
        </c:scaling>
        <c:delete val="0"/>
        <c:axPos val="b"/>
        <c:numFmt formatCode="General" sourceLinked="0"/>
        <c:majorTickMark val="none"/>
        <c:minorTickMark val="none"/>
        <c:tickLblPos val="nextTo"/>
        <c:txPr>
          <a:bodyPr rot="-5400000" vert="horz"/>
          <a:lstStyle/>
          <a:p>
            <a:pPr>
              <a:defRPr/>
            </a:pPr>
            <a:endParaRPr lang="fr-FR"/>
          </a:p>
        </c:txPr>
        <c:crossAx val="380488720"/>
        <c:crosses val="autoZero"/>
        <c:auto val="1"/>
        <c:lblAlgn val="ctr"/>
        <c:lblOffset val="100"/>
        <c:noMultiLvlLbl val="0"/>
      </c:catAx>
      <c:valAx>
        <c:axId val="380488720"/>
        <c:scaling>
          <c:orientation val="minMax"/>
        </c:scaling>
        <c:delete val="1"/>
        <c:axPos val="l"/>
        <c:numFmt formatCode="0.00" sourceLinked="1"/>
        <c:majorTickMark val="none"/>
        <c:minorTickMark val="none"/>
        <c:tickLblPos val="none"/>
        <c:crossAx val="386467912"/>
        <c:crosses val="autoZero"/>
        <c:crossBetween val="between"/>
      </c:valAx>
    </c:plotArea>
    <c:legend>
      <c:legendPos val="t"/>
      <c:overlay val="0"/>
    </c:legend>
    <c:plotVisOnly val="1"/>
    <c:dispBlanksAs val="gap"/>
    <c:showDLblsOverMax val="0"/>
  </c:chart>
  <c:spPr>
    <a:noFill/>
    <a:ln>
      <a:noFill/>
    </a:ln>
  </c:spPr>
  <c:printSettings>
    <c:headerFooter/>
    <c:pageMargins b="0.75000000000001377" l="0.70000000000000062" r="0.70000000000000062" t="0.75000000000001377" header="0.30000000000000032" footer="0.30000000000000032"/>
    <c:pageSetup/>
  </c:printSettings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fr-F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fr-FR"/>
              <a:t>Réalisation des ventes Gaz </a:t>
            </a:r>
          </a:p>
        </c:rich>
      </c:tx>
      <c:overlay val="0"/>
    </c:title>
    <c:autoTitleDeleted val="0"/>
    <c:view3D>
      <c:rotX val="15"/>
      <c:rotY val="20"/>
      <c:rAngAx val="1"/>
    </c:view3D>
    <c:floor>
      <c:thickness val="0"/>
      <c:spPr>
        <a:solidFill>
          <a:srgbClr val="4F81BD">
            <a:alpha val="72000"/>
          </a:srgbClr>
        </a:solidFill>
        <a:ln>
          <a:noFill/>
        </a:ln>
      </c:spPr>
    </c:floor>
    <c:sideWall>
      <c:thickness val="0"/>
    </c:sideWall>
    <c:backWall>
      <c:thickness val="0"/>
    </c:backWall>
    <c:plotArea>
      <c:layout/>
      <c:bar3DChart>
        <c:barDir val="bar"/>
        <c:grouping val="stacked"/>
        <c:varyColors val="0"/>
        <c:ser>
          <c:idx val="0"/>
          <c:order val="0"/>
          <c:tx>
            <c:strRef>
              <c:f>ventes_achats_gaz!$F$50</c:f>
              <c:strCache>
                <c:ptCount val="1"/>
                <c:pt idx="0">
                  <c:v>Réalisations</c:v>
                </c:pt>
              </c:strCache>
            </c:strRef>
          </c:tx>
          <c:spPr>
            <a:solidFill>
              <a:srgbClr val="5EC4E8"/>
            </a:solidFill>
          </c:spPr>
          <c:invertIfNegative val="0"/>
          <c:dLbls>
            <c:spPr>
              <a:noFill/>
              <a:ln>
                <a:noFill/>
              </a:ln>
              <a:effectLst/>
            </c:sp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0"/>
              </c:ext>
            </c:extLst>
          </c:dLbls>
          <c:val>
            <c:numRef>
              <c:f>ventes_achats_gaz!$F$51:$F$53</c:f>
              <c:numCache>
                <c:formatCode>#\ ##0.0</c:formatCode>
                <c:ptCount val="3"/>
                <c:pt idx="0">
                  <c:v>22195.447187523998</c:v>
                </c:pt>
                <c:pt idx="1">
                  <c:v>1963.2796621699997</c:v>
                </c:pt>
                <c:pt idx="2">
                  <c:v>24158.726849693994</c:v>
                </c:pt>
              </c:numCache>
            </c:numRef>
          </c:val>
          <c:extLst>
            <c:ext xmlns:c15="http://schemas.microsoft.com/office/drawing/2012/chart" uri="{02D57815-91ED-43cb-92C2-25804820EDAC}">
              <c15:filteredCategoryTitle>
                <c15:cat>
                  <c:strRef>
                    <c:extLst>
                      <c:ext uri="{02D57815-91ED-43cb-92C2-25804820EDAC}">
                        <c15:formulaRef>
                          <c15:sqref>ventes_achats_gaz!$E$51:$E$53</c15:sqref>
                        </c15:formulaRef>
                      </c:ext>
                    </c:extLst>
                    <c:strCache>
                      <c:ptCount val="3"/>
                      <c:pt idx="0">
                        <c:v>BP</c:v>
                      </c:pt>
                      <c:pt idx="1">
                        <c:v>MP</c:v>
                      </c:pt>
                      <c:pt idx="2">
                        <c:v>BP+MP</c:v>
                      </c:pt>
                    </c:strCache>
                  </c:strRef>
                </c15:cat>
              </c15:filteredCategoryTitle>
            </c:ext>
            <c:ext xmlns:c16="http://schemas.microsoft.com/office/drawing/2014/chart" uri="{C3380CC4-5D6E-409C-BE32-E72D297353CC}">
              <c16:uniqueId val="{00000000-98FB-44C6-BFCF-F1A8CE5E882C}"/>
            </c:ext>
          </c:extLst>
        </c:ser>
        <c:ser>
          <c:idx val="1"/>
          <c:order val="1"/>
          <c:tx>
            <c:strRef>
              <c:f>ventes_achats_gaz!$G$50</c:f>
              <c:strCache>
                <c:ptCount val="1"/>
                <c:pt idx="0">
                  <c:v>reste à réaliser </c:v>
                </c:pt>
              </c:strCache>
            </c:strRef>
          </c:tx>
          <c:spPr>
            <a:solidFill>
              <a:srgbClr val="C64674"/>
            </a:solidFill>
          </c:spPr>
          <c:invertIfNegative val="0"/>
          <c:dLbls>
            <c:dLbl>
              <c:idx val="1"/>
              <c:layout>
                <c:manualLayout>
                  <c:x val="7.7777777777777779E-2"/>
                  <c:y val="-1.3889253426655087E-2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1-98FB-44C6-BFCF-F1A8CE5E882C}"/>
                </c:ext>
              </c:extLst>
            </c:dLbl>
            <c:spPr>
              <a:noFill/>
              <a:ln>
                <a:noFill/>
              </a:ln>
              <a:effectLst/>
            </c:sp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0"/>
              </c:ext>
            </c:extLst>
          </c:dLbls>
          <c:val>
            <c:numRef>
              <c:f>ventes_achats_gaz!$G$51:$G$53</c:f>
              <c:numCache>
                <c:formatCode>#\ ##0.0</c:formatCode>
                <c:ptCount val="3"/>
                <c:pt idx="0">
                  <c:v>6977.203294065308</c:v>
                </c:pt>
                <c:pt idx="1">
                  <c:v>822.2215938300003</c:v>
                </c:pt>
                <c:pt idx="2">
                  <c:v>7799.424887895304</c:v>
                </c:pt>
              </c:numCache>
            </c:numRef>
          </c:val>
          <c:extLst>
            <c:ext xmlns:c15="http://schemas.microsoft.com/office/drawing/2012/chart" uri="{02D57815-91ED-43cb-92C2-25804820EDAC}">
              <c15:filteredCategoryTitle>
                <c15:cat>
                  <c:strRef>
                    <c:extLst>
                      <c:ext uri="{02D57815-91ED-43cb-92C2-25804820EDAC}">
                        <c15:formulaRef>
                          <c15:sqref>ventes_achats_gaz!$E$51:$E$53</c15:sqref>
                        </c15:formulaRef>
                      </c:ext>
                    </c:extLst>
                    <c:strCache>
                      <c:ptCount val="3"/>
                      <c:pt idx="0">
                        <c:v>BP</c:v>
                      </c:pt>
                      <c:pt idx="1">
                        <c:v>MP</c:v>
                      </c:pt>
                      <c:pt idx="2">
                        <c:v>BP+MP</c:v>
                      </c:pt>
                    </c:strCache>
                  </c:strRef>
                </c15:cat>
              </c15:filteredCategoryTitle>
            </c:ext>
            <c:ext xmlns:c16="http://schemas.microsoft.com/office/drawing/2014/chart" uri="{C3380CC4-5D6E-409C-BE32-E72D297353CC}">
              <c16:uniqueId val="{00000002-98FB-44C6-BFCF-F1A8CE5E882C}"/>
            </c:ext>
          </c:extLst>
        </c:ser>
        <c:dLbls>
          <c:showLegendKey val="0"/>
          <c:showVal val="1"/>
          <c:showCatName val="0"/>
          <c:showSerName val="0"/>
          <c:showPercent val="0"/>
          <c:showBubbleSize val="0"/>
        </c:dLbls>
        <c:gapWidth val="95"/>
        <c:gapDepth val="95"/>
        <c:shape val="cylinder"/>
        <c:axId val="386852392"/>
        <c:axId val="380900368"/>
        <c:axId val="0"/>
      </c:bar3DChart>
      <c:catAx>
        <c:axId val="386852392"/>
        <c:scaling>
          <c:orientation val="minMax"/>
        </c:scaling>
        <c:delete val="0"/>
        <c:axPos val="l"/>
        <c:numFmt formatCode="General" sourceLinked="0"/>
        <c:majorTickMark val="none"/>
        <c:minorTickMark val="none"/>
        <c:tickLblPos val="nextTo"/>
        <c:crossAx val="380900368"/>
        <c:crosses val="autoZero"/>
        <c:auto val="1"/>
        <c:lblAlgn val="ctr"/>
        <c:lblOffset val="100"/>
        <c:noMultiLvlLbl val="0"/>
      </c:catAx>
      <c:valAx>
        <c:axId val="380900368"/>
        <c:scaling>
          <c:orientation val="minMax"/>
        </c:scaling>
        <c:delete val="1"/>
        <c:axPos val="b"/>
        <c:numFmt formatCode="#\ ##0.0" sourceLinked="1"/>
        <c:majorTickMark val="out"/>
        <c:minorTickMark val="none"/>
        <c:tickLblPos val="nextTo"/>
        <c:crossAx val="386852392"/>
        <c:crosses val="autoZero"/>
        <c:crossBetween val="between"/>
      </c:valAx>
    </c:plotArea>
    <c:legend>
      <c:legendPos val="t"/>
      <c:overlay val="0"/>
    </c:legend>
    <c:plotVisOnly val="1"/>
    <c:dispBlanksAs val="gap"/>
    <c:showDLblsOverMax val="0"/>
  </c:chart>
  <c:spPr>
    <a:noFill/>
    <a:ln>
      <a:noFill/>
    </a:ln>
  </c:spPr>
  <c:printSettings>
    <c:headerFooter/>
    <c:pageMargins b="0.7500000000000111" l="0.70000000000000062" r="0.70000000000000062" t="0.7500000000000111" header="0.30000000000000032" footer="0.30000000000000032"/>
    <c:pageSetup/>
  </c:printSettings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fr-F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fr-FR"/>
              <a:t>ventes</a:t>
            </a:r>
          </a:p>
        </c:rich>
      </c:tx>
      <c:overlay val="0"/>
      <c:spPr>
        <a:noFill/>
        <a:ln>
          <a:noFill/>
        </a:ln>
        <a:effectLst/>
      </c:spPr>
    </c:title>
    <c:autoTitleDeleted val="0"/>
    <c:plotArea>
      <c:layout/>
      <c:scatterChart>
        <c:scatterStyle val="lineMarker"/>
        <c:varyColors val="0"/>
        <c:ser>
          <c:idx val="0"/>
          <c:order val="0"/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xVal>
            <c:numRef>
              <c:f>élec!#REF!</c:f>
            </c:numRef>
          </c:xVal>
          <c:yVal>
            <c:numRef>
              <c:f>élec!#REF!</c:f>
              <c:numCache>
                <c:formatCode>General</c:formatCode>
                <c:ptCount val="1"/>
                <c:pt idx="0">
                  <c:v>1</c:v>
                </c:pt>
              </c:numCache>
            </c:numRef>
          </c:yVal>
          <c:smooth val="0"/>
          <c:extLst>
            <c:ext xmlns:c15="http://schemas.microsoft.com/office/drawing/2012/chart" uri="{02D57815-91ED-43cb-92C2-25804820EDAC}">
              <c15:filteredSeriesTitle>
                <c15:tx>
                  <c:strRef>
                    <c:extLst xmlns:c16="http://schemas.microsoft.com/office/drawing/2014/chart">
                      <c:ext uri="{02D57815-91ED-43cb-92C2-25804820EDAC}">
                        <c15:formulaRef>
                          <c15:sqref>élec!#REF!</c15:sqref>
                        </c15:formulaRef>
                      </c:ext>
                    </c:extLst>
                    <c:strCache>
                      <c:ptCount val="1"/>
                      <c:pt idx="0">
                        <c:v>#REF!</c:v>
                      </c:pt>
                    </c:strCache>
                  </c:strRef>
                </c15:tx>
              </c15:filteredSeriesTitle>
            </c:ext>
            <c:ext xmlns:c16="http://schemas.microsoft.com/office/drawing/2014/chart" uri="{C3380CC4-5D6E-409C-BE32-E72D297353CC}">
              <c16:uniqueId val="{00000000-6E99-4D67-91E4-132C834DAF57}"/>
            </c:ext>
          </c:extLst>
        </c:ser>
        <c:ser>
          <c:idx val="1"/>
          <c:order val="1"/>
          <c:spPr>
            <a:ln w="19050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xVal>
            <c:numRef>
              <c:f>élec!#REF!</c:f>
            </c:numRef>
          </c:xVal>
          <c:yVal>
            <c:numRef>
              <c:f>élec!#REF!</c:f>
              <c:numCache>
                <c:formatCode>General</c:formatCode>
                <c:ptCount val="1"/>
                <c:pt idx="0">
                  <c:v>1</c:v>
                </c:pt>
              </c:numCache>
            </c:numRef>
          </c:yVal>
          <c:smooth val="0"/>
          <c:extLst>
            <c:ext xmlns:c15="http://schemas.microsoft.com/office/drawing/2012/chart" uri="{02D57815-91ED-43cb-92C2-25804820EDAC}">
              <c15:filteredSeriesTitle>
                <c15:tx>
                  <c:strRef>
                    <c:extLst xmlns:c16="http://schemas.microsoft.com/office/drawing/2014/chart">
                      <c:ext uri="{02D57815-91ED-43cb-92C2-25804820EDAC}">
                        <c15:formulaRef>
                          <c15:sqref>élec!#REF!</c15:sqref>
                        </c15:formulaRef>
                      </c:ext>
                    </c:extLst>
                    <c:strCache>
                      <c:ptCount val="1"/>
                      <c:pt idx="0">
                        <c:v>#REF!</c:v>
                      </c:pt>
                    </c:strCache>
                  </c:strRef>
                </c15:tx>
              </c15:filteredSeriesTitle>
            </c:ext>
            <c:ext xmlns:c16="http://schemas.microsoft.com/office/drawing/2014/chart" uri="{C3380CC4-5D6E-409C-BE32-E72D297353CC}">
              <c16:uniqueId val="{00000001-6E99-4D67-91E4-132C834DAF57}"/>
            </c:ext>
          </c:extLst>
        </c:ser>
        <c:ser>
          <c:idx val="2"/>
          <c:order val="2"/>
          <c:spPr>
            <a:ln w="19050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xVal>
            <c:numRef>
              <c:f>élec!#REF!</c:f>
            </c:numRef>
          </c:xVal>
          <c:yVal>
            <c:numRef>
              <c:f>élec!#REF!</c:f>
              <c:numCache>
                <c:formatCode>General</c:formatCode>
                <c:ptCount val="1"/>
                <c:pt idx="0">
                  <c:v>1</c:v>
                </c:pt>
              </c:numCache>
            </c:numRef>
          </c:yVal>
          <c:smooth val="0"/>
          <c:extLst>
            <c:ext xmlns:c15="http://schemas.microsoft.com/office/drawing/2012/chart" uri="{02D57815-91ED-43cb-92C2-25804820EDAC}">
              <c15:filteredSeriesTitle>
                <c15:tx>
                  <c:strRef>
                    <c:extLst xmlns:c16="http://schemas.microsoft.com/office/drawing/2014/chart">
                      <c:ext uri="{02D57815-91ED-43cb-92C2-25804820EDAC}">
                        <c15:formulaRef>
                          <c15:sqref>élec!#REF!</c15:sqref>
                        </c15:formulaRef>
                      </c:ext>
                    </c:extLst>
                    <c:strCache>
                      <c:ptCount val="1"/>
                      <c:pt idx="0">
                        <c:v>#REF!</c:v>
                      </c:pt>
                    </c:strCache>
                  </c:strRef>
                </c15:tx>
              </c15:filteredSeriesTitle>
            </c:ext>
            <c:ext xmlns:c16="http://schemas.microsoft.com/office/drawing/2014/chart" uri="{C3380CC4-5D6E-409C-BE32-E72D297353CC}">
              <c16:uniqueId val="{00000002-6E99-4D67-91E4-132C834DAF57}"/>
            </c:ext>
          </c:extLst>
        </c:ser>
        <c:ser>
          <c:idx val="3"/>
          <c:order val="3"/>
          <c:spPr>
            <a:ln w="19050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xVal>
            <c:numRef>
              <c:f>élec!#REF!</c:f>
            </c:numRef>
          </c:xVal>
          <c:yVal>
            <c:numRef>
              <c:f>élec!#REF!</c:f>
              <c:numCache>
                <c:formatCode>General</c:formatCode>
                <c:ptCount val="1"/>
                <c:pt idx="0">
                  <c:v>1</c:v>
                </c:pt>
              </c:numCache>
            </c:numRef>
          </c:yVal>
          <c:smooth val="0"/>
          <c:extLst>
            <c:ext xmlns:c15="http://schemas.microsoft.com/office/drawing/2012/chart" uri="{02D57815-91ED-43cb-92C2-25804820EDAC}">
              <c15:filteredSeriesTitle>
                <c15:tx>
                  <c:strRef>
                    <c:extLst xmlns:c16="http://schemas.microsoft.com/office/drawing/2014/chart">
                      <c:ext uri="{02D57815-91ED-43cb-92C2-25804820EDAC}">
                        <c15:formulaRef>
                          <c15:sqref>élec!#REF!</c15:sqref>
                        </c15:formulaRef>
                      </c:ext>
                    </c:extLst>
                    <c:strCache>
                      <c:ptCount val="1"/>
                      <c:pt idx="0">
                        <c:v>#REF!</c:v>
                      </c:pt>
                    </c:strCache>
                  </c:strRef>
                </c15:tx>
              </c15:filteredSeriesTitle>
            </c:ext>
            <c:ext xmlns:c16="http://schemas.microsoft.com/office/drawing/2014/chart" uri="{C3380CC4-5D6E-409C-BE32-E72D297353CC}">
              <c16:uniqueId val="{00000003-6E99-4D67-91E4-132C834DAF5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380901152"/>
        <c:axId val="380901544"/>
      </c:scatterChart>
      <c:valAx>
        <c:axId val="380901152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fr-FR"/>
          </a:p>
        </c:txPr>
        <c:crossAx val="380901544"/>
        <c:crosses val="autoZero"/>
        <c:crossBetween val="midCat"/>
      </c:valAx>
      <c:valAx>
        <c:axId val="38090154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fr-FR"/>
          </a:p>
        </c:txPr>
        <c:crossAx val="380901152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fr-FR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fr-FR"/>
    </a:p>
  </c:txPr>
  <c:printSettings>
    <c:headerFooter/>
    <c:pageMargins b="0.75" l="0.7" r="0.7" t="0.75" header="0.3" footer="0.3"/>
    <c:pageSetup/>
  </c:printSettings>
</c:chartSpace>
</file>

<file path=xl/charts/chart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fr-F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/>
      <c:scatterChart>
        <c:scatterStyle val="lineMarker"/>
        <c:varyColors val="0"/>
        <c:ser>
          <c:idx val="0"/>
          <c:order val="0"/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xVal>
            <c:numRef>
              <c:f>élec!#REF!</c:f>
            </c:numRef>
          </c:xVal>
          <c:yVal>
            <c:numRef>
              <c:f>élec!#REF!</c:f>
              <c:numCache>
                <c:formatCode>General</c:formatCode>
                <c:ptCount val="1"/>
                <c:pt idx="0">
                  <c:v>1</c:v>
                </c:pt>
              </c:numCache>
            </c:numRef>
          </c:yVal>
          <c:smooth val="0"/>
          <c:extLst>
            <c:ext xmlns:c15="http://schemas.microsoft.com/office/drawing/2012/chart" uri="{02D57815-91ED-43cb-92C2-25804820EDAC}">
              <c15:filteredSeriesTitle>
                <c15:tx>
                  <c:strRef>
                    <c:extLst xmlns:c16="http://schemas.microsoft.com/office/drawing/2014/chart">
                      <c:ext uri="{02D57815-91ED-43cb-92C2-25804820EDAC}">
                        <c15:formulaRef>
                          <c15:sqref>élec!#REF!</c15:sqref>
                        </c15:formulaRef>
                      </c:ext>
                    </c:extLst>
                    <c:strCache>
                      <c:ptCount val="1"/>
                      <c:pt idx="0">
                        <c:v>#REF!</c:v>
                      </c:pt>
                    </c:strCache>
                  </c:strRef>
                </c15:tx>
              </c15:filteredSeriesTitle>
            </c:ext>
            <c:ext xmlns:c16="http://schemas.microsoft.com/office/drawing/2014/chart" uri="{C3380CC4-5D6E-409C-BE32-E72D297353CC}">
              <c16:uniqueId val="{00000000-1039-431E-B75A-A768DF78760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387862144"/>
        <c:axId val="387860968"/>
      </c:scatterChart>
      <c:valAx>
        <c:axId val="387862144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fr-FR"/>
          </a:p>
        </c:txPr>
        <c:crossAx val="387860968"/>
        <c:crosses val="autoZero"/>
        <c:crossBetween val="midCat"/>
      </c:valAx>
      <c:valAx>
        <c:axId val="38786096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fr-FR"/>
          </a:p>
        </c:txPr>
        <c:crossAx val="387862144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fr-FR"/>
    </a:p>
  </c:txPr>
  <c:printSettings>
    <c:headerFooter/>
    <c:pageMargins b="0.75" l="0.7" r="0.7" t="0.75" header="0.3" footer="0.3"/>
    <c:pageSetup/>
  </c:printSettings>
</c:chartSpace>
</file>

<file path=xl/charts/chart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fr-F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fr-FR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élec!$E$421</c:f>
              <c:strCache>
                <c:ptCount val="1"/>
                <c:pt idx="0">
                  <c:v>pertes</c:v>
                </c:pt>
              </c:strCache>
            </c:strRef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xVal>
            <c:numRef>
              <c:f>élec!$D$422:$D$430</c:f>
              <c:numCache>
                <c:formatCode>m/d/yyyy</c:formatCode>
                <c:ptCount val="9"/>
                <c:pt idx="0">
                  <c:v>43466</c:v>
                </c:pt>
                <c:pt idx="1">
                  <c:v>43497</c:v>
                </c:pt>
                <c:pt idx="2">
                  <c:v>43525</c:v>
                </c:pt>
                <c:pt idx="3">
                  <c:v>43556</c:v>
                </c:pt>
                <c:pt idx="4">
                  <c:v>43586</c:v>
                </c:pt>
                <c:pt idx="5">
                  <c:v>43617</c:v>
                </c:pt>
                <c:pt idx="6">
                  <c:v>43647</c:v>
                </c:pt>
                <c:pt idx="7">
                  <c:v>43678</c:v>
                </c:pt>
                <c:pt idx="8">
                  <c:v>43709</c:v>
                </c:pt>
              </c:numCache>
            </c:numRef>
          </c:xVal>
          <c:yVal>
            <c:numRef>
              <c:f>élec!$E$422:$E$430</c:f>
              <c:numCache>
                <c:formatCode>General</c:formatCode>
                <c:ptCount val="9"/>
                <c:pt idx="0">
                  <c:v>257.02474737999933</c:v>
                </c:pt>
                <c:pt idx="1">
                  <c:v>113.3881915000004</c:v>
                </c:pt>
                <c:pt idx="2">
                  <c:v>140.62272934999987</c:v>
                </c:pt>
                <c:pt idx="3">
                  <c:v>20.284606549999808</c:v>
                </c:pt>
                <c:pt idx="4">
                  <c:v>237.45052657999963</c:v>
                </c:pt>
                <c:pt idx="5">
                  <c:v>711.12040488999946</c:v>
                </c:pt>
                <c:pt idx="6">
                  <c:v>769.84996945999956</c:v>
                </c:pt>
                <c:pt idx="7">
                  <c:v>521.96786410999925</c:v>
                </c:pt>
                <c:pt idx="8">
                  <c:v>17.589062740000827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8FE3-4F7A-B347-3701EB3ADA2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387863712"/>
        <c:axId val="387861752"/>
      </c:scatterChart>
      <c:valAx>
        <c:axId val="387863712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m/d/yyyy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fr-FR"/>
          </a:p>
        </c:txPr>
        <c:crossAx val="387861752"/>
        <c:crosses val="autoZero"/>
        <c:crossBetween val="midCat"/>
      </c:valAx>
      <c:valAx>
        <c:axId val="38786175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fr-FR"/>
          </a:p>
        </c:txPr>
        <c:crossAx val="387863712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fr-FR"/>
    </a:p>
  </c:txPr>
  <c:printSettings>
    <c:headerFooter/>
    <c:pageMargins b="0.75" l="0.7" r="0.7" t="0.75" header="0.3" footer="0.3"/>
    <c:pageSetup/>
  </c:printSettings>
</c:chartSpace>
</file>

<file path=xl/charts/chart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fr-F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vert="horz"/>
        <a:lstStyle/>
        <a:p>
          <a:pPr>
            <a:defRPr/>
          </a:pPr>
          <a:endParaRPr lang="fr-FR"/>
        </a:p>
      </c:txPr>
    </c:title>
    <c:autoTitleDeleted val="0"/>
    <c:view3D>
      <c:rotX val="50"/>
      <c:rotY val="0"/>
      <c:depthPercent val="100"/>
      <c:rAngAx val="0"/>
      <c:perspective val="60"/>
    </c:view3D>
    <c:floor>
      <c:thickness val="0"/>
      <c:spPr>
        <a:noFill/>
        <a:ln>
          <a:noFill/>
        </a:ln>
        <a:effectLst/>
        <a:sp3d/>
      </c:spPr>
    </c:floor>
    <c:sideWall>
      <c:thickness val="0"/>
      <c:spPr>
        <a:noFill/>
        <a:ln>
          <a:noFill/>
        </a:ln>
        <a:effectLst/>
        <a:sp3d/>
      </c:spPr>
    </c:sideWall>
    <c:backWall>
      <c:thickness val="0"/>
      <c:spPr>
        <a:noFill/>
        <a:ln>
          <a:noFill/>
        </a:ln>
        <a:effectLst/>
        <a:sp3d/>
      </c:spPr>
    </c:backWall>
    <c:plotArea>
      <c:layout/>
      <c:pie3DChart>
        <c:varyColors val="1"/>
        <c:ser>
          <c:idx val="0"/>
          <c:order val="0"/>
          <c:dPt>
            <c:idx val="0"/>
            <c:bubble3D val="0"/>
            <c:spPr>
              <a:solidFill>
                <a:schemeClr val="accent1"/>
              </a:solidFill>
              <a:ln>
                <a:noFill/>
              </a:ln>
              <a:effectLst>
                <a:outerShdw blurRad="88900" sx="102000" sy="102000" algn="ctr" rotWithShape="0">
                  <a:prstClr val="black">
                    <a:alpha val="20000"/>
                  </a:prstClr>
                </a:outerShdw>
              </a:effectLst>
              <a:scene3d>
                <a:camera prst="orthographicFront"/>
                <a:lightRig rig="threePt" dir="t"/>
              </a:scene3d>
              <a:sp3d prstMaterial="matte"/>
            </c:spPr>
            <c:extLst>
              <c:ext xmlns:c16="http://schemas.microsoft.com/office/drawing/2014/chart" uri="{C3380CC4-5D6E-409C-BE32-E72D297353CC}">
                <c16:uniqueId val="{00000001-1546-4B69-877C-F11F3A68843C}"/>
              </c:ext>
            </c:extLst>
          </c:dPt>
          <c:dPt>
            <c:idx val="1"/>
            <c:bubble3D val="0"/>
            <c:spPr>
              <a:solidFill>
                <a:schemeClr val="accent2"/>
              </a:solidFill>
              <a:ln>
                <a:noFill/>
              </a:ln>
              <a:effectLst>
                <a:outerShdw blurRad="88900" sx="102000" sy="102000" algn="ctr" rotWithShape="0">
                  <a:prstClr val="black">
                    <a:alpha val="20000"/>
                  </a:prstClr>
                </a:outerShdw>
              </a:effectLst>
              <a:scene3d>
                <a:camera prst="orthographicFront"/>
                <a:lightRig rig="threePt" dir="t"/>
              </a:scene3d>
              <a:sp3d prstMaterial="matte"/>
            </c:spPr>
            <c:extLst>
              <c:ext xmlns:c16="http://schemas.microsoft.com/office/drawing/2014/chart" uri="{C3380CC4-5D6E-409C-BE32-E72D297353CC}">
                <c16:uniqueId val="{00000003-1546-4B69-877C-F11F3A68843C}"/>
              </c:ext>
            </c:extLst>
          </c:dPt>
          <c:dPt>
            <c:idx val="2"/>
            <c:bubble3D val="0"/>
            <c:spPr>
              <a:solidFill>
                <a:schemeClr val="accent3"/>
              </a:solidFill>
              <a:ln>
                <a:noFill/>
              </a:ln>
              <a:effectLst>
                <a:outerShdw blurRad="88900" sx="102000" sy="102000" algn="ctr" rotWithShape="0">
                  <a:prstClr val="black">
                    <a:alpha val="20000"/>
                  </a:prstClr>
                </a:outerShdw>
              </a:effectLst>
              <a:scene3d>
                <a:camera prst="orthographicFront"/>
                <a:lightRig rig="threePt" dir="t"/>
              </a:scene3d>
              <a:sp3d prstMaterial="matte"/>
            </c:spPr>
            <c:extLst>
              <c:ext xmlns:c16="http://schemas.microsoft.com/office/drawing/2014/chart" uri="{C3380CC4-5D6E-409C-BE32-E72D297353CC}">
                <c16:uniqueId val="{00000005-1546-4B69-877C-F11F3A68843C}"/>
              </c:ext>
            </c:extLst>
          </c:dPt>
          <c:dPt>
            <c:idx val="3"/>
            <c:bubble3D val="0"/>
            <c:spPr>
              <a:solidFill>
                <a:schemeClr val="accent4"/>
              </a:solidFill>
              <a:ln>
                <a:noFill/>
              </a:ln>
              <a:effectLst>
                <a:outerShdw blurRad="88900" sx="102000" sy="102000" algn="ctr" rotWithShape="0">
                  <a:prstClr val="black">
                    <a:alpha val="20000"/>
                  </a:prstClr>
                </a:outerShdw>
              </a:effectLst>
              <a:scene3d>
                <a:camera prst="orthographicFront"/>
                <a:lightRig rig="threePt" dir="t"/>
              </a:scene3d>
              <a:sp3d prstMaterial="matte"/>
            </c:spPr>
            <c:extLst>
              <c:ext xmlns:c16="http://schemas.microsoft.com/office/drawing/2014/chart" uri="{C3380CC4-5D6E-409C-BE32-E72D297353CC}">
                <c16:uniqueId val="{00000007-1546-4B69-877C-F11F3A68843C}"/>
              </c:ext>
            </c:extLst>
          </c:dPt>
          <c:dPt>
            <c:idx val="4"/>
            <c:bubble3D val="0"/>
            <c:spPr>
              <a:solidFill>
                <a:schemeClr val="accent5"/>
              </a:solidFill>
              <a:ln>
                <a:noFill/>
              </a:ln>
              <a:effectLst>
                <a:outerShdw blurRad="88900" sx="102000" sy="102000" algn="ctr" rotWithShape="0">
                  <a:prstClr val="black">
                    <a:alpha val="20000"/>
                  </a:prstClr>
                </a:outerShdw>
              </a:effectLst>
              <a:scene3d>
                <a:camera prst="orthographicFront"/>
                <a:lightRig rig="threePt" dir="t"/>
              </a:scene3d>
              <a:sp3d prstMaterial="matte"/>
            </c:spPr>
            <c:extLst>
              <c:ext xmlns:c16="http://schemas.microsoft.com/office/drawing/2014/chart" uri="{C3380CC4-5D6E-409C-BE32-E72D297353CC}">
                <c16:uniqueId val="{00000009-1546-4B69-877C-F11F3A68843C}"/>
              </c:ext>
            </c:extLst>
          </c:dPt>
          <c:dPt>
            <c:idx val="5"/>
            <c:bubble3D val="0"/>
            <c:spPr>
              <a:solidFill>
                <a:schemeClr val="accent6"/>
              </a:solidFill>
              <a:ln>
                <a:noFill/>
              </a:ln>
              <a:effectLst>
                <a:outerShdw blurRad="88900" sx="102000" sy="102000" algn="ctr" rotWithShape="0">
                  <a:prstClr val="black">
                    <a:alpha val="20000"/>
                  </a:prstClr>
                </a:outerShdw>
              </a:effectLst>
              <a:scene3d>
                <a:camera prst="orthographicFront"/>
                <a:lightRig rig="threePt" dir="t"/>
              </a:scene3d>
              <a:sp3d prstMaterial="matte"/>
            </c:spPr>
            <c:extLst>
              <c:ext xmlns:c16="http://schemas.microsoft.com/office/drawing/2014/chart" uri="{C3380CC4-5D6E-409C-BE32-E72D297353CC}">
                <c16:uniqueId val="{0000000B-1546-4B69-877C-F11F3A68843C}"/>
              </c:ext>
            </c:extLst>
          </c:dPt>
          <c:dPt>
            <c:idx val="6"/>
            <c:bubble3D val="0"/>
            <c:spPr>
              <a:solidFill>
                <a:schemeClr val="accent1">
                  <a:lumMod val="60000"/>
                </a:schemeClr>
              </a:solidFill>
              <a:ln>
                <a:noFill/>
              </a:ln>
              <a:effectLst>
                <a:outerShdw blurRad="88900" sx="102000" sy="102000" algn="ctr" rotWithShape="0">
                  <a:prstClr val="black">
                    <a:alpha val="20000"/>
                  </a:prstClr>
                </a:outerShdw>
              </a:effectLst>
              <a:scene3d>
                <a:camera prst="orthographicFront"/>
                <a:lightRig rig="threePt" dir="t"/>
              </a:scene3d>
              <a:sp3d prstMaterial="matte"/>
            </c:spPr>
            <c:extLst>
              <c:ext xmlns:c16="http://schemas.microsoft.com/office/drawing/2014/chart" uri="{C3380CC4-5D6E-409C-BE32-E72D297353CC}">
                <c16:uniqueId val="{0000000D-1546-4B69-877C-F11F3A68843C}"/>
              </c:ext>
            </c:extLst>
          </c:dPt>
          <c:dLbls>
            <c:spPr>
              <a:noFill/>
              <a:ln>
                <a:noFill/>
              </a:ln>
              <a:effectLst/>
            </c:spPr>
            <c:txPr>
              <a:bodyPr rot="0" vert="horz"/>
              <a:lstStyle/>
              <a:p>
                <a:pPr>
                  <a:defRPr/>
                </a:pPr>
                <a:endParaRPr lang="fr-FR"/>
              </a:p>
            </c:txPr>
            <c:showLegendKey val="0"/>
            <c:showVal val="0"/>
            <c:showCatName val="1"/>
            <c:showSerName val="0"/>
            <c:showPercent val="1"/>
            <c:showBubbleSize val="0"/>
            <c:showLeaderLines val="1"/>
            <c:leaderLines>
              <c:spPr>
                <a:ln w="9525" cap="flat" cmpd="sng" algn="ctr">
                  <a:solidFill>
                    <a:schemeClr val="dk1">
                      <a:lumMod val="35000"/>
                      <a:lumOff val="65000"/>
                    </a:schemeClr>
                  </a:solidFill>
                  <a:round/>
                </a:ln>
                <a:effectLst/>
              </c:spPr>
            </c:leaderLines>
            <c:extLst>
              <c:ext xmlns:c15="http://schemas.microsoft.com/office/drawing/2012/chart" uri="{CE6537A1-D6FC-4f65-9D91-7224C49458BB}"/>
            </c:extLst>
          </c:dLbls>
          <c:cat>
            <c:strRef>
              <c:f>'Gros Débit'!$C$2:$I$2</c:f>
              <c:strCache>
                <c:ptCount val="7"/>
                <c:pt idx="0">
                  <c:v>ANP</c:v>
                </c:pt>
                <c:pt idx="1">
                  <c:v>APC</c:v>
                </c:pt>
                <c:pt idx="2">
                  <c:v>Eaux</c:v>
                </c:pt>
                <c:pt idx="3">
                  <c:v>DARAK</c:v>
                </c:pt>
                <c:pt idx="4">
                  <c:v>DGSN</c:v>
                </c:pt>
                <c:pt idx="5">
                  <c:v>Santé</c:v>
                </c:pt>
                <c:pt idx="6">
                  <c:v>Wilayas</c:v>
                </c:pt>
              </c:strCache>
            </c:strRef>
          </c:cat>
          <c:val>
            <c:numRef>
              <c:f>'Gros Débit'!$C$14:$I$14</c:f>
              <c:numCache>
                <c:formatCode>#\ ##0.0</c:formatCode>
                <c:ptCount val="7"/>
                <c:pt idx="0">
                  <c:v>0</c:v>
                </c:pt>
                <c:pt idx="1">
                  <c:v>0</c:v>
                </c:pt>
                <c:pt idx="2">
                  <c:v>3551.7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E-1546-4B69-877C-F11F3A68843C}"/>
            </c:ext>
          </c:extLst>
        </c:ser>
        <c:dLbls>
          <c:showLegendKey val="0"/>
          <c:showVal val="0"/>
          <c:showCatName val="1"/>
          <c:showSerName val="0"/>
          <c:showPercent val="1"/>
          <c:showBubbleSize val="0"/>
          <c:showLeaderLines val="1"/>
        </c:dLbls>
      </c:pie3DChart>
      <c:spPr>
        <a:noFill/>
        <a:ln>
          <a:noFill/>
        </a:ln>
        <a:effectLst/>
      </c:spPr>
    </c:plotArea>
    <c:plotVisOnly val="1"/>
    <c:dispBlanksAs val="zero"/>
    <c:showDLblsOverMax val="0"/>
  </c:chart>
  <c:spPr>
    <a:pattFill prst="dkDnDiag">
      <a:fgClr>
        <a:schemeClr val="lt1">
          <a:lumMod val="95000"/>
        </a:schemeClr>
      </a:fgClr>
      <a:bgClr>
        <a:schemeClr val="lt1"/>
      </a:bgClr>
    </a:pattFill>
    <a:ln w="9525" cap="flat" cmpd="sng" algn="ctr">
      <a:solidFill>
        <a:schemeClr val="dk1">
          <a:lumMod val="15000"/>
          <a:lumOff val="85000"/>
        </a:schemeClr>
      </a:solidFill>
      <a:round/>
    </a:ln>
    <a:effectLst/>
  </c:spPr>
  <c:txPr>
    <a:bodyPr/>
    <a:lstStyle/>
    <a:p>
      <a:pPr>
        <a:defRPr>
          <a:solidFill>
            <a:sysClr val="windowText" lastClr="000000"/>
          </a:solidFill>
        </a:defRPr>
      </a:pPr>
      <a:endParaRPr lang="fr-FR"/>
    </a:p>
  </c:txPr>
  <c:printSettings>
    <c:headerFooter/>
    <c:pageMargins b="0.75000000000000155" l="0.70000000000000062" r="0.70000000000000062" t="0.75000000000000155" header="0.30000000000000032" footer="0.30000000000000032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16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hyperlink" Target="#'Client-Elec Recap'!B2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hyperlink" Target="#'Client-GAZ Recap '!B2"/></Relationships>
</file>

<file path=xl/drawings/_rels/drawing5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_rels/drawing6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.xml"/></Relationships>
</file>

<file path=xl/drawings/_rels/drawing7.xml.rels><?xml version="1.0" encoding="UTF-8" standalone="yes"?>
<Relationships xmlns="http://schemas.openxmlformats.org/package/2006/relationships"><Relationship Id="rId1" Type="http://schemas.openxmlformats.org/officeDocument/2006/relationships/chart" Target="../charts/chart4.xml"/></Relationships>
</file>

<file path=xl/drawings/_rels/drawing8.xml.rels><?xml version="1.0" encoding="UTF-8" standalone="yes"?>
<Relationships xmlns="http://schemas.openxmlformats.org/package/2006/relationships"><Relationship Id="rId3" Type="http://schemas.openxmlformats.org/officeDocument/2006/relationships/chart" Target="../charts/chart7.xml"/><Relationship Id="rId2" Type="http://schemas.openxmlformats.org/officeDocument/2006/relationships/chart" Target="../charts/chart6.xml"/><Relationship Id="rId1" Type="http://schemas.openxmlformats.org/officeDocument/2006/relationships/chart" Target="../charts/chart5.xml"/></Relationships>
</file>

<file path=xl/drawings/_rels/drawing9.xml.rels><?xml version="1.0" encoding="UTF-8" standalone="yes"?>
<Relationships xmlns="http://schemas.openxmlformats.org/package/2006/relationships"><Relationship Id="rId1" Type="http://schemas.openxmlformats.org/officeDocument/2006/relationships/chart" Target="../charts/chart8.xml"/></Relationships>
</file>

<file path=xl/drawings/_rels/vmlDrawing1.vml.rels><?xml version="1.0" encoding="UTF-8" standalone="yes"?>
<Relationships xmlns="http://schemas.openxmlformats.org/package/2006/relationships"><Relationship Id="rId1" Type="http://schemas.openxmlformats.org/officeDocument/2006/relationships/image" Target="../media/image2.png"/></Relationships>
</file>

<file path=xl/drawings/_rels/vmlDrawing2.vml.rels><?xml version="1.0" encoding="UTF-8" standalone="yes"?>
<Relationships xmlns="http://schemas.openxmlformats.org/package/2006/relationships"><Relationship Id="rId1" Type="http://schemas.openxmlformats.org/officeDocument/2006/relationships/image" Target="../media/image2.png"/></Relationships>
</file>

<file path=xl/drawings/_rels/vmlDrawing5.vml.rels><?xml version="1.0" encoding="UTF-8" standalone="yes"?>
<Relationships xmlns="http://schemas.openxmlformats.org/package/2006/relationships"><Relationship Id="rId1" Type="http://schemas.openxmlformats.org/officeDocument/2006/relationships/image" Target="../media/image2.png"/></Relationships>
</file>

<file path=xl/drawings/_rels/vmlDrawing6.vml.rels><?xml version="1.0" encoding="UTF-8" standalone="yes"?>
<Relationships xmlns="http://schemas.openxmlformats.org/package/2006/relationships"><Relationship Id="rId1" Type="http://schemas.openxmlformats.org/officeDocument/2006/relationships/image" Target="../media/image2.png"/></Relationships>
</file>

<file path=xl/drawings/_rels/vmlDrawing7.vml.rels><?xml version="1.0" encoding="UTF-8" standalone="yes"?>
<Relationships xmlns="http://schemas.openxmlformats.org/package/2006/relationships"><Relationship Id="rId1" Type="http://schemas.openxmlformats.org/officeDocument/2006/relationships/image" Target="../media/image2.png"/></Relationships>
</file>

<file path=xl/drawings/_rels/vmlDrawing8.vml.rels><?xml version="1.0" encoding="UTF-8" standalone="yes"?>
<Relationships xmlns="http://schemas.openxmlformats.org/package/2006/relationships"><Relationship Id="rId1" Type="http://schemas.openxmlformats.org/officeDocument/2006/relationships/image" Target="../media/image2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1</xdr:row>
      <xdr:rowOff>0</xdr:rowOff>
    </xdr:from>
    <xdr:to>
      <xdr:col>9</xdr:col>
      <xdr:colOff>0</xdr:colOff>
      <xdr:row>4</xdr:row>
      <xdr:rowOff>104775</xdr:rowOff>
    </xdr:to>
    <xdr:pic>
      <xdr:nvPicPr>
        <xdr:cNvPr id="3" name="Image 2">
          <a:extLst>
            <a:ext uri="{FF2B5EF4-FFF2-40B4-BE49-F238E27FC236}">
              <a16:creationId xmlns:a16="http://schemas.microsoft.com/office/drawing/2014/main" id="{00000000-0008-0000-0000-000003000000}"/>
            </a:ext>
          </a:extLst>
        </xdr:cNvPr>
        <xdr:cNvPicPr/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61925"/>
          <a:ext cx="6315075" cy="590550"/>
        </a:xfrm>
        <a:prstGeom prst="rect">
          <a:avLst/>
        </a:prstGeom>
        <a:noFill/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14</xdr:col>
      <xdr:colOff>650875</xdr:colOff>
      <xdr:row>4</xdr:row>
      <xdr:rowOff>41275</xdr:rowOff>
    </xdr:from>
    <xdr:to>
      <xdr:col>20</xdr:col>
      <xdr:colOff>190500</xdr:colOff>
      <xdr:row>16</xdr:row>
      <xdr:rowOff>307975</xdr:rowOff>
    </xdr:to>
    <xdr:graphicFrame macro="">
      <xdr:nvGraphicFramePr>
        <xdr:cNvPr id="3" name="Graphique 2">
          <a:extLst>
            <a:ext uri="{FF2B5EF4-FFF2-40B4-BE49-F238E27FC236}">
              <a16:creationId xmlns:a16="http://schemas.microsoft.com/office/drawing/2014/main" id="{00000000-0008-0000-0400-000003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1</xdr:col>
      <xdr:colOff>0</xdr:colOff>
      <xdr:row>1</xdr:row>
      <xdr:rowOff>0</xdr:rowOff>
    </xdr:from>
    <xdr:to>
      <xdr:col>2</xdr:col>
      <xdr:colOff>619125</xdr:colOff>
      <xdr:row>2</xdr:row>
      <xdr:rowOff>154782</xdr:rowOff>
    </xdr:to>
    <xdr:sp macro="" textlink="">
      <xdr:nvSpPr>
        <xdr:cNvPr id="2" name="Rectangle à coins arrondis 1">
          <a:hlinkClick xmlns:r="http://schemas.openxmlformats.org/officeDocument/2006/relationships" r:id="rId1" tooltip="Pertes électricité: Récap"/>
          <a:extLst>
            <a:ext uri="{FF2B5EF4-FFF2-40B4-BE49-F238E27FC236}">
              <a16:creationId xmlns:a16="http://schemas.microsoft.com/office/drawing/2014/main" id="{00000000-0008-0000-0600-000002000000}"/>
            </a:ext>
          </a:extLst>
        </xdr:cNvPr>
        <xdr:cNvSpPr/>
      </xdr:nvSpPr>
      <xdr:spPr>
        <a:xfrm>
          <a:off x="104775" y="114300"/>
          <a:ext cx="819150" cy="354807"/>
        </a:xfrm>
        <a:prstGeom prst="roundRect">
          <a:avLst/>
        </a:prstGeom>
        <a:solidFill>
          <a:schemeClr val="bg1">
            <a:lumMod val="85000"/>
          </a:schemeClr>
        </a:solidFill>
        <a:ln>
          <a:noFill/>
        </a:ln>
        <a:scene3d>
          <a:camera prst="orthographicFront"/>
          <a:lightRig rig="threePt" dir="t"/>
        </a:scene3d>
        <a:sp3d>
          <a:bevelT/>
        </a:sp3d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r>
            <a:rPr lang="fr-FR" sz="1400" b="1">
              <a:solidFill>
                <a:srgbClr val="002060"/>
              </a:solidFill>
              <a:latin typeface="Arial Narrow" pitchFamily="34" charset="0"/>
            </a:rPr>
            <a:t>Récap</a:t>
          </a:r>
        </a:p>
      </xdr:txBody>
    </xdr:sp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1</xdr:col>
      <xdr:colOff>0</xdr:colOff>
      <xdr:row>1</xdr:row>
      <xdr:rowOff>0</xdr:rowOff>
    </xdr:from>
    <xdr:to>
      <xdr:col>2</xdr:col>
      <xdr:colOff>292894</xdr:colOff>
      <xdr:row>2</xdr:row>
      <xdr:rowOff>45244</xdr:rowOff>
    </xdr:to>
    <xdr:sp macro="" textlink="">
      <xdr:nvSpPr>
        <xdr:cNvPr id="2" name="Rectangle à coins arrondis 1">
          <a:hlinkClick xmlns:r="http://schemas.openxmlformats.org/officeDocument/2006/relationships" r:id="rId1" tooltip="Pertes électricité: Récap"/>
          <a:extLst>
            <a:ext uri="{FF2B5EF4-FFF2-40B4-BE49-F238E27FC236}">
              <a16:creationId xmlns:a16="http://schemas.microsoft.com/office/drawing/2014/main" id="{00000000-0008-0000-0700-000002000000}"/>
            </a:ext>
          </a:extLst>
        </xdr:cNvPr>
        <xdr:cNvSpPr/>
      </xdr:nvSpPr>
      <xdr:spPr>
        <a:xfrm>
          <a:off x="104775" y="95250"/>
          <a:ext cx="702469" cy="245269"/>
        </a:xfrm>
        <a:prstGeom prst="roundRect">
          <a:avLst/>
        </a:prstGeom>
        <a:solidFill>
          <a:schemeClr val="bg1">
            <a:lumMod val="85000"/>
          </a:schemeClr>
        </a:solidFill>
        <a:ln>
          <a:noFill/>
        </a:ln>
        <a:scene3d>
          <a:camera prst="orthographicFront"/>
          <a:lightRig rig="threePt" dir="t"/>
        </a:scene3d>
        <a:sp3d>
          <a:bevelT/>
        </a:sp3d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r>
            <a:rPr lang="fr-FR" sz="1200" b="1">
              <a:solidFill>
                <a:srgbClr val="002060"/>
              </a:solidFill>
              <a:latin typeface="Arial Narrow" pitchFamily="34" charset="0"/>
            </a:rPr>
            <a:t>Récap</a:t>
          </a:r>
        </a:p>
      </xdr:txBody>
    </xdr:sp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>
    <xdr:from>
      <xdr:col>8</xdr:col>
      <xdr:colOff>52916</xdr:colOff>
      <xdr:row>49</xdr:row>
      <xdr:rowOff>275166</xdr:rowOff>
    </xdr:from>
    <xdr:to>
      <xdr:col>19</xdr:col>
      <xdr:colOff>63499</xdr:colOff>
      <xdr:row>67</xdr:row>
      <xdr:rowOff>127000</xdr:rowOff>
    </xdr:to>
    <xdr:graphicFrame macro="">
      <xdr:nvGraphicFramePr>
        <xdr:cNvPr id="2" name="Graphique 1">
          <a:extLst>
            <a:ext uri="{FF2B5EF4-FFF2-40B4-BE49-F238E27FC236}">
              <a16:creationId xmlns:a16="http://schemas.microsoft.com/office/drawing/2014/main" id="{00000000-0008-0000-0D00-000002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421022</xdr:colOff>
      <xdr:row>23</xdr:row>
      <xdr:rowOff>96690</xdr:rowOff>
    </xdr:from>
    <xdr:to>
      <xdr:col>20</xdr:col>
      <xdr:colOff>468647</xdr:colOff>
      <xdr:row>39</xdr:row>
      <xdr:rowOff>70357</xdr:rowOff>
    </xdr:to>
    <xdr:graphicFrame macro="">
      <xdr:nvGraphicFramePr>
        <xdr:cNvPr id="4" name="Graphique 3">
          <a:extLst>
            <a:ext uri="{FF2B5EF4-FFF2-40B4-BE49-F238E27FC236}">
              <a16:creationId xmlns:a16="http://schemas.microsoft.com/office/drawing/2014/main" id="{00000000-0008-0000-0E00-000004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7.xml><?xml version="1.0" encoding="utf-8"?>
<xdr:wsDr xmlns:xdr="http://schemas.openxmlformats.org/drawingml/2006/spreadsheetDrawing" xmlns:a="http://schemas.openxmlformats.org/drawingml/2006/main">
  <xdr:twoCellAnchor>
    <xdr:from>
      <xdr:col>8</xdr:col>
      <xdr:colOff>104775</xdr:colOff>
      <xdr:row>47</xdr:row>
      <xdr:rowOff>142875</xdr:rowOff>
    </xdr:from>
    <xdr:to>
      <xdr:col>15</xdr:col>
      <xdr:colOff>476250</xdr:colOff>
      <xdr:row>63</xdr:row>
      <xdr:rowOff>133350</xdr:rowOff>
    </xdr:to>
    <xdr:graphicFrame macro="">
      <xdr:nvGraphicFramePr>
        <xdr:cNvPr id="3" name="Graphique 2">
          <a:extLst>
            <a:ext uri="{FF2B5EF4-FFF2-40B4-BE49-F238E27FC236}">
              <a16:creationId xmlns:a16="http://schemas.microsoft.com/office/drawing/2014/main" id="{00000000-0008-0000-0F00-000003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8.xml><?xml version="1.0" encoding="utf-8"?>
<xdr:wsDr xmlns:xdr="http://schemas.openxmlformats.org/drawingml/2006/spreadsheetDrawing" xmlns:a="http://schemas.openxmlformats.org/drawingml/2006/main">
  <xdr:twoCellAnchor>
    <xdr:from>
      <xdr:col>54</xdr:col>
      <xdr:colOff>614796</xdr:colOff>
      <xdr:row>317</xdr:row>
      <xdr:rowOff>136524</xdr:rowOff>
    </xdr:from>
    <xdr:to>
      <xdr:col>60</xdr:col>
      <xdr:colOff>207818</xdr:colOff>
      <xdr:row>318</xdr:row>
      <xdr:rowOff>0</xdr:rowOff>
    </xdr:to>
    <xdr:graphicFrame macro="">
      <xdr:nvGraphicFramePr>
        <xdr:cNvPr id="4" name="Graphique 3">
          <a:extLst>
            <a:ext uri="{FF2B5EF4-FFF2-40B4-BE49-F238E27FC236}">
              <a16:creationId xmlns:a16="http://schemas.microsoft.com/office/drawing/2014/main" id="{00000000-0008-0000-1500-000004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61</xdr:col>
      <xdr:colOff>37522</xdr:colOff>
      <xdr:row>317</xdr:row>
      <xdr:rowOff>143041</xdr:rowOff>
    </xdr:from>
    <xdr:to>
      <xdr:col>66</xdr:col>
      <xdr:colOff>599153</xdr:colOff>
      <xdr:row>318</xdr:row>
      <xdr:rowOff>0</xdr:rowOff>
    </xdr:to>
    <xdr:graphicFrame macro="">
      <xdr:nvGraphicFramePr>
        <xdr:cNvPr id="5" name="Graphique 4">
          <a:extLst>
            <a:ext uri="{FF2B5EF4-FFF2-40B4-BE49-F238E27FC236}">
              <a16:creationId xmlns:a16="http://schemas.microsoft.com/office/drawing/2014/main" id="{00000000-0008-0000-1500-000005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7</xdr:col>
      <xdr:colOff>141338</xdr:colOff>
      <xdr:row>420</xdr:row>
      <xdr:rowOff>64830</xdr:rowOff>
    </xdr:from>
    <xdr:to>
      <xdr:col>11</xdr:col>
      <xdr:colOff>688258</xdr:colOff>
      <xdr:row>436</xdr:row>
      <xdr:rowOff>92177</xdr:rowOff>
    </xdr:to>
    <xdr:graphicFrame macro="">
      <xdr:nvGraphicFramePr>
        <xdr:cNvPr id="32" name="Graphique 31">
          <a:extLst>
            <a:ext uri="{FF2B5EF4-FFF2-40B4-BE49-F238E27FC236}">
              <a16:creationId xmlns:a16="http://schemas.microsoft.com/office/drawing/2014/main" id="{00000000-0008-0000-1500-000020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9.xml><?xml version="1.0" encoding="utf-8"?>
<xdr:wsDr xmlns:xdr="http://schemas.openxmlformats.org/drawingml/2006/spreadsheetDrawing" xmlns:a="http://schemas.openxmlformats.org/drawingml/2006/main">
  <xdr:twoCellAnchor>
    <xdr:from>
      <xdr:col>12</xdr:col>
      <xdr:colOff>221155</xdr:colOff>
      <xdr:row>0</xdr:row>
      <xdr:rowOff>79045</xdr:rowOff>
    </xdr:from>
    <xdr:to>
      <xdr:col>18</xdr:col>
      <xdr:colOff>194880</xdr:colOff>
      <xdr:row>13</xdr:row>
      <xdr:rowOff>63279</xdr:rowOff>
    </xdr:to>
    <xdr:graphicFrame macro="">
      <xdr:nvGraphicFramePr>
        <xdr:cNvPr id="4" name="Graphique 3">
          <a:extLst>
            <a:ext uri="{FF2B5EF4-FFF2-40B4-BE49-F238E27FC236}">
              <a16:creationId xmlns:a16="http://schemas.microsoft.com/office/drawing/2014/main" id="{00000000-0008-0000-1800-000004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10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304800</xdr:colOff>
      <xdr:row>34</xdr:row>
      <xdr:rowOff>28575</xdr:rowOff>
    </xdr:from>
    <xdr:to>
      <xdr:col>6</xdr:col>
      <xdr:colOff>304800</xdr:colOff>
      <xdr:row>34</xdr:row>
      <xdr:rowOff>76200</xdr:rowOff>
    </xdr:to>
    <xdr:sp macro="" textlink="">
      <xdr:nvSpPr>
        <xdr:cNvPr id="1032" name="Line 8">
          <a:extLst>
            <a:ext uri="{FF2B5EF4-FFF2-40B4-BE49-F238E27FC236}">
              <a16:creationId xmlns:a16="http://schemas.microsoft.com/office/drawing/2014/main" id="{00000000-0008-0000-1A00-000008040000}"/>
            </a:ext>
          </a:extLst>
        </xdr:cNvPr>
        <xdr:cNvSpPr>
          <a:spLocks noChangeShapeType="1"/>
        </xdr:cNvSpPr>
      </xdr:nvSpPr>
      <xdr:spPr bwMode="auto">
        <a:xfrm>
          <a:off x="5257800" y="7781925"/>
          <a:ext cx="0" cy="47625"/>
        </a:xfrm>
        <a:prstGeom prst="line">
          <a:avLst/>
        </a:prstGeom>
        <a:noFill/>
        <a:ln w="0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6</xdr:col>
      <xdr:colOff>304800</xdr:colOff>
      <xdr:row>37</xdr:row>
      <xdr:rowOff>19050</xdr:rowOff>
    </xdr:from>
    <xdr:to>
      <xdr:col>6</xdr:col>
      <xdr:colOff>304800</xdr:colOff>
      <xdr:row>37</xdr:row>
      <xdr:rowOff>57150</xdr:rowOff>
    </xdr:to>
    <xdr:sp macro="" textlink="">
      <xdr:nvSpPr>
        <xdr:cNvPr id="1042" name="Line 18">
          <a:extLst>
            <a:ext uri="{FF2B5EF4-FFF2-40B4-BE49-F238E27FC236}">
              <a16:creationId xmlns:a16="http://schemas.microsoft.com/office/drawing/2014/main" id="{00000000-0008-0000-1A00-000012040000}"/>
            </a:ext>
          </a:extLst>
        </xdr:cNvPr>
        <xdr:cNvSpPr>
          <a:spLocks noChangeShapeType="1"/>
        </xdr:cNvSpPr>
      </xdr:nvSpPr>
      <xdr:spPr bwMode="auto">
        <a:xfrm>
          <a:off x="5257800" y="8258175"/>
          <a:ext cx="0" cy="38100"/>
        </a:xfrm>
        <a:prstGeom prst="line">
          <a:avLst/>
        </a:prstGeom>
        <a:noFill/>
        <a:ln w="0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6</xdr:col>
      <xdr:colOff>304800</xdr:colOff>
      <xdr:row>41</xdr:row>
      <xdr:rowOff>57150</xdr:rowOff>
    </xdr:from>
    <xdr:to>
      <xdr:col>6</xdr:col>
      <xdr:colOff>304800</xdr:colOff>
      <xdr:row>41</xdr:row>
      <xdr:rowOff>95250</xdr:rowOff>
    </xdr:to>
    <xdr:sp macro="" textlink="">
      <xdr:nvSpPr>
        <xdr:cNvPr id="4104" name="Line 8">
          <a:extLst>
            <a:ext uri="{FF2B5EF4-FFF2-40B4-BE49-F238E27FC236}">
              <a16:creationId xmlns:a16="http://schemas.microsoft.com/office/drawing/2014/main" id="{00000000-0008-0000-1A00-000008100000}"/>
            </a:ext>
          </a:extLst>
        </xdr:cNvPr>
        <xdr:cNvSpPr>
          <a:spLocks noChangeShapeType="1"/>
        </xdr:cNvSpPr>
      </xdr:nvSpPr>
      <xdr:spPr bwMode="auto">
        <a:xfrm>
          <a:off x="5257800" y="8943975"/>
          <a:ext cx="0" cy="38100"/>
        </a:xfrm>
        <a:prstGeom prst="line">
          <a:avLst/>
        </a:prstGeom>
        <a:noFill/>
        <a:ln w="0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6</xdr:col>
      <xdr:colOff>304800</xdr:colOff>
      <xdr:row>41</xdr:row>
      <xdr:rowOff>57150</xdr:rowOff>
    </xdr:from>
    <xdr:to>
      <xdr:col>6</xdr:col>
      <xdr:colOff>304800</xdr:colOff>
      <xdr:row>41</xdr:row>
      <xdr:rowOff>104775</xdr:rowOff>
    </xdr:to>
    <xdr:sp macro="" textlink="">
      <xdr:nvSpPr>
        <xdr:cNvPr id="2" name="Line 8">
          <a:extLst>
            <a:ext uri="{FF2B5EF4-FFF2-40B4-BE49-F238E27FC236}">
              <a16:creationId xmlns:a16="http://schemas.microsoft.com/office/drawing/2014/main" id="{00000000-0008-0000-1A00-000002000000}"/>
            </a:ext>
          </a:extLst>
        </xdr:cNvPr>
        <xdr:cNvSpPr>
          <a:spLocks noChangeShapeType="1"/>
        </xdr:cNvSpPr>
      </xdr:nvSpPr>
      <xdr:spPr bwMode="auto">
        <a:xfrm>
          <a:off x="5257800" y="8943975"/>
          <a:ext cx="0" cy="47625"/>
        </a:xfrm>
        <a:prstGeom prst="line">
          <a:avLst/>
        </a:prstGeom>
        <a:noFill/>
        <a:ln w="0">
          <a:solidFill>
            <a:srgbClr val="000000"/>
          </a:solidFill>
          <a:round/>
          <a:headEnd/>
          <a:tailEnd/>
        </a:ln>
      </xdr:spPr>
    </xdr:sp>
    <xdr:clientData/>
  </xdr:twoCellAnchor>
</xdr:wsDr>
</file>

<file path=xl/drawings/drawing11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1200150</xdr:colOff>
      <xdr:row>35</xdr:row>
      <xdr:rowOff>28575</xdr:rowOff>
    </xdr:from>
    <xdr:to>
      <xdr:col>4</xdr:col>
      <xdr:colOff>1200150</xdr:colOff>
      <xdr:row>35</xdr:row>
      <xdr:rowOff>38100</xdr:rowOff>
    </xdr:to>
    <xdr:sp macro="" textlink="">
      <xdr:nvSpPr>
        <xdr:cNvPr id="2067" name="Line 19">
          <a:extLst>
            <a:ext uri="{FF2B5EF4-FFF2-40B4-BE49-F238E27FC236}">
              <a16:creationId xmlns:a16="http://schemas.microsoft.com/office/drawing/2014/main" id="{00000000-0008-0000-2200-000013080000}"/>
            </a:ext>
          </a:extLst>
        </xdr:cNvPr>
        <xdr:cNvSpPr>
          <a:spLocks noChangeShapeType="1"/>
        </xdr:cNvSpPr>
      </xdr:nvSpPr>
      <xdr:spPr bwMode="auto">
        <a:xfrm>
          <a:off x="5943600" y="7105650"/>
          <a:ext cx="0" cy="9525"/>
        </a:xfrm>
        <a:prstGeom prst="line">
          <a:avLst/>
        </a:prstGeom>
        <a:noFill/>
        <a:ln w="0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4</xdr:col>
      <xdr:colOff>1200150</xdr:colOff>
      <xdr:row>27</xdr:row>
      <xdr:rowOff>85725</xdr:rowOff>
    </xdr:from>
    <xdr:to>
      <xdr:col>4</xdr:col>
      <xdr:colOff>1200150</xdr:colOff>
      <xdr:row>27</xdr:row>
      <xdr:rowOff>95250</xdr:rowOff>
    </xdr:to>
    <xdr:sp macro="" textlink="">
      <xdr:nvSpPr>
        <xdr:cNvPr id="2074" name="Line 26">
          <a:extLst>
            <a:ext uri="{FF2B5EF4-FFF2-40B4-BE49-F238E27FC236}">
              <a16:creationId xmlns:a16="http://schemas.microsoft.com/office/drawing/2014/main" id="{00000000-0008-0000-2200-00001A080000}"/>
            </a:ext>
          </a:extLst>
        </xdr:cNvPr>
        <xdr:cNvSpPr>
          <a:spLocks noChangeShapeType="1"/>
        </xdr:cNvSpPr>
      </xdr:nvSpPr>
      <xdr:spPr bwMode="auto">
        <a:xfrm>
          <a:off x="5943600" y="6029325"/>
          <a:ext cx="0" cy="9525"/>
        </a:xfrm>
        <a:prstGeom prst="line">
          <a:avLst/>
        </a:prstGeom>
        <a:noFill/>
        <a:ln w="0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4</xdr:col>
      <xdr:colOff>885825</xdr:colOff>
      <xdr:row>44</xdr:row>
      <xdr:rowOff>0</xdr:rowOff>
    </xdr:from>
    <xdr:to>
      <xdr:col>4</xdr:col>
      <xdr:colOff>885825</xdr:colOff>
      <xdr:row>44</xdr:row>
      <xdr:rowOff>0</xdr:rowOff>
    </xdr:to>
    <xdr:sp macro="" textlink="">
      <xdr:nvSpPr>
        <xdr:cNvPr id="8204" name="Line 12">
          <a:extLst>
            <a:ext uri="{FF2B5EF4-FFF2-40B4-BE49-F238E27FC236}">
              <a16:creationId xmlns:a16="http://schemas.microsoft.com/office/drawing/2014/main" id="{00000000-0008-0000-2200-00000C200000}"/>
            </a:ext>
          </a:extLst>
        </xdr:cNvPr>
        <xdr:cNvSpPr>
          <a:spLocks noChangeShapeType="1"/>
        </xdr:cNvSpPr>
      </xdr:nvSpPr>
      <xdr:spPr bwMode="auto">
        <a:xfrm>
          <a:off x="5943600" y="8629650"/>
          <a:ext cx="0" cy="0"/>
        </a:xfrm>
        <a:prstGeom prst="line">
          <a:avLst/>
        </a:prstGeom>
        <a:noFill/>
        <a:ln w="0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4</xdr:col>
      <xdr:colOff>885825</xdr:colOff>
      <xdr:row>44</xdr:row>
      <xdr:rowOff>76200</xdr:rowOff>
    </xdr:from>
    <xdr:to>
      <xdr:col>4</xdr:col>
      <xdr:colOff>885825</xdr:colOff>
      <xdr:row>44</xdr:row>
      <xdr:rowOff>76200</xdr:rowOff>
    </xdr:to>
    <xdr:sp macro="" textlink="">
      <xdr:nvSpPr>
        <xdr:cNvPr id="8225" name="Line 33">
          <a:extLst>
            <a:ext uri="{FF2B5EF4-FFF2-40B4-BE49-F238E27FC236}">
              <a16:creationId xmlns:a16="http://schemas.microsoft.com/office/drawing/2014/main" id="{00000000-0008-0000-2200-000021200000}"/>
            </a:ext>
          </a:extLst>
        </xdr:cNvPr>
        <xdr:cNvSpPr>
          <a:spLocks noChangeShapeType="1"/>
        </xdr:cNvSpPr>
      </xdr:nvSpPr>
      <xdr:spPr bwMode="auto">
        <a:xfrm>
          <a:off x="5943600" y="8705850"/>
          <a:ext cx="0" cy="0"/>
        </a:xfrm>
        <a:prstGeom prst="line">
          <a:avLst/>
        </a:prstGeom>
        <a:noFill/>
        <a:ln w="0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78</xdr:col>
      <xdr:colOff>142875</xdr:colOff>
      <xdr:row>38</xdr:row>
      <xdr:rowOff>152400</xdr:rowOff>
    </xdr:from>
    <xdr:to>
      <xdr:col>78</xdr:col>
      <xdr:colOff>142875</xdr:colOff>
      <xdr:row>39</xdr:row>
      <xdr:rowOff>0</xdr:rowOff>
    </xdr:to>
    <xdr:sp macro="" textlink="">
      <xdr:nvSpPr>
        <xdr:cNvPr id="1064" name="Line 40">
          <a:extLst>
            <a:ext uri="{FF2B5EF4-FFF2-40B4-BE49-F238E27FC236}">
              <a16:creationId xmlns:a16="http://schemas.microsoft.com/office/drawing/2014/main" id="{00000000-0008-0000-2200-000028040000}"/>
            </a:ext>
          </a:extLst>
        </xdr:cNvPr>
        <xdr:cNvSpPr>
          <a:spLocks noChangeShapeType="1"/>
        </xdr:cNvSpPr>
      </xdr:nvSpPr>
      <xdr:spPr bwMode="auto">
        <a:xfrm>
          <a:off x="5943600" y="7343775"/>
          <a:ext cx="0" cy="9525"/>
        </a:xfrm>
        <a:prstGeom prst="line">
          <a:avLst/>
        </a:prstGeom>
        <a:noFill/>
        <a:ln w="0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4</xdr:col>
      <xdr:colOff>885825</xdr:colOff>
      <xdr:row>30</xdr:row>
      <xdr:rowOff>76200</xdr:rowOff>
    </xdr:from>
    <xdr:to>
      <xdr:col>4</xdr:col>
      <xdr:colOff>885825</xdr:colOff>
      <xdr:row>30</xdr:row>
      <xdr:rowOff>85725</xdr:rowOff>
    </xdr:to>
    <xdr:sp macro="" textlink="">
      <xdr:nvSpPr>
        <xdr:cNvPr id="14342" name="Line 6">
          <a:extLst>
            <a:ext uri="{FF2B5EF4-FFF2-40B4-BE49-F238E27FC236}">
              <a16:creationId xmlns:a16="http://schemas.microsoft.com/office/drawing/2014/main" id="{00000000-0008-0000-2200-000006380000}"/>
            </a:ext>
          </a:extLst>
        </xdr:cNvPr>
        <xdr:cNvSpPr>
          <a:spLocks noChangeShapeType="1"/>
        </xdr:cNvSpPr>
      </xdr:nvSpPr>
      <xdr:spPr bwMode="auto">
        <a:xfrm>
          <a:off x="5943600" y="6115050"/>
          <a:ext cx="0" cy="9525"/>
        </a:xfrm>
        <a:prstGeom prst="line">
          <a:avLst/>
        </a:prstGeom>
        <a:noFill/>
        <a:ln w="0">
          <a:solidFill>
            <a:srgbClr val="000000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4</xdr:col>
      <xdr:colOff>885825</xdr:colOff>
      <xdr:row>33</xdr:row>
      <xdr:rowOff>57150</xdr:rowOff>
    </xdr:from>
    <xdr:to>
      <xdr:col>4</xdr:col>
      <xdr:colOff>885825</xdr:colOff>
      <xdr:row>33</xdr:row>
      <xdr:rowOff>66675</xdr:rowOff>
    </xdr:to>
    <xdr:sp macro="" textlink="">
      <xdr:nvSpPr>
        <xdr:cNvPr id="14349" name="Line 13">
          <a:extLst>
            <a:ext uri="{FF2B5EF4-FFF2-40B4-BE49-F238E27FC236}">
              <a16:creationId xmlns:a16="http://schemas.microsoft.com/office/drawing/2014/main" id="{00000000-0008-0000-2200-00000D380000}"/>
            </a:ext>
          </a:extLst>
        </xdr:cNvPr>
        <xdr:cNvSpPr>
          <a:spLocks noChangeShapeType="1"/>
        </xdr:cNvSpPr>
      </xdr:nvSpPr>
      <xdr:spPr bwMode="auto">
        <a:xfrm>
          <a:off x="5943600" y="6581775"/>
          <a:ext cx="0" cy="9525"/>
        </a:xfrm>
        <a:prstGeom prst="line">
          <a:avLst/>
        </a:prstGeom>
        <a:noFill/>
        <a:ln w="0">
          <a:solidFill>
            <a:srgbClr val="000000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4</xdr:col>
      <xdr:colOff>885825</xdr:colOff>
      <xdr:row>38</xdr:row>
      <xdr:rowOff>95250</xdr:rowOff>
    </xdr:from>
    <xdr:to>
      <xdr:col>4</xdr:col>
      <xdr:colOff>885825</xdr:colOff>
      <xdr:row>38</xdr:row>
      <xdr:rowOff>104775</xdr:rowOff>
    </xdr:to>
    <xdr:sp macro="" textlink="">
      <xdr:nvSpPr>
        <xdr:cNvPr id="14356" name="Line 20">
          <a:extLst>
            <a:ext uri="{FF2B5EF4-FFF2-40B4-BE49-F238E27FC236}">
              <a16:creationId xmlns:a16="http://schemas.microsoft.com/office/drawing/2014/main" id="{00000000-0008-0000-2200-000014380000}"/>
            </a:ext>
          </a:extLst>
        </xdr:cNvPr>
        <xdr:cNvSpPr>
          <a:spLocks noChangeShapeType="1"/>
        </xdr:cNvSpPr>
      </xdr:nvSpPr>
      <xdr:spPr bwMode="auto">
        <a:xfrm>
          <a:off x="5943600" y="7267575"/>
          <a:ext cx="0" cy="9525"/>
        </a:xfrm>
        <a:prstGeom prst="line">
          <a:avLst/>
        </a:prstGeom>
        <a:noFill/>
        <a:ln w="0">
          <a:solidFill>
            <a:srgbClr val="000000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4</xdr:col>
      <xdr:colOff>885825</xdr:colOff>
      <xdr:row>33</xdr:row>
      <xdr:rowOff>85725</xdr:rowOff>
    </xdr:from>
    <xdr:to>
      <xdr:col>4</xdr:col>
      <xdr:colOff>885825</xdr:colOff>
      <xdr:row>33</xdr:row>
      <xdr:rowOff>85725</xdr:rowOff>
    </xdr:to>
    <xdr:sp macro="" textlink="">
      <xdr:nvSpPr>
        <xdr:cNvPr id="14355" name="Line 19">
          <a:extLst>
            <a:ext uri="{FF2B5EF4-FFF2-40B4-BE49-F238E27FC236}">
              <a16:creationId xmlns:a16="http://schemas.microsoft.com/office/drawing/2014/main" id="{00000000-0008-0000-2200-000013380000}"/>
            </a:ext>
          </a:extLst>
        </xdr:cNvPr>
        <xdr:cNvSpPr>
          <a:spLocks noChangeShapeType="1"/>
        </xdr:cNvSpPr>
      </xdr:nvSpPr>
      <xdr:spPr bwMode="auto">
        <a:xfrm>
          <a:off x="5943600" y="6610350"/>
          <a:ext cx="0" cy="0"/>
        </a:xfrm>
        <a:prstGeom prst="line">
          <a:avLst/>
        </a:prstGeom>
        <a:noFill/>
        <a:ln w="0">
          <a:solidFill>
            <a:srgbClr val="000000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4</xdr:col>
      <xdr:colOff>885825</xdr:colOff>
      <xdr:row>30</xdr:row>
      <xdr:rowOff>76200</xdr:rowOff>
    </xdr:from>
    <xdr:to>
      <xdr:col>4</xdr:col>
      <xdr:colOff>885825</xdr:colOff>
      <xdr:row>30</xdr:row>
      <xdr:rowOff>85725</xdr:rowOff>
    </xdr:to>
    <xdr:sp macro="" textlink="">
      <xdr:nvSpPr>
        <xdr:cNvPr id="15379" name="Line 19">
          <a:extLst>
            <a:ext uri="{FF2B5EF4-FFF2-40B4-BE49-F238E27FC236}">
              <a16:creationId xmlns:a16="http://schemas.microsoft.com/office/drawing/2014/main" id="{00000000-0008-0000-2200-0000133C0000}"/>
            </a:ext>
          </a:extLst>
        </xdr:cNvPr>
        <xdr:cNvSpPr>
          <a:spLocks noChangeShapeType="1"/>
        </xdr:cNvSpPr>
      </xdr:nvSpPr>
      <xdr:spPr bwMode="auto">
        <a:xfrm>
          <a:off x="5943600" y="6115050"/>
          <a:ext cx="0" cy="9525"/>
        </a:xfrm>
        <a:prstGeom prst="line">
          <a:avLst/>
        </a:prstGeom>
        <a:noFill/>
        <a:ln w="0">
          <a:solidFill>
            <a:srgbClr val="000000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4</xdr:col>
      <xdr:colOff>781050</xdr:colOff>
      <xdr:row>30</xdr:row>
      <xdr:rowOff>57150</xdr:rowOff>
    </xdr:from>
    <xdr:to>
      <xdr:col>4</xdr:col>
      <xdr:colOff>781050</xdr:colOff>
      <xdr:row>30</xdr:row>
      <xdr:rowOff>66675</xdr:rowOff>
    </xdr:to>
    <xdr:sp macro="" textlink="">
      <xdr:nvSpPr>
        <xdr:cNvPr id="7180" name="Line 12">
          <a:extLst>
            <a:ext uri="{FF2B5EF4-FFF2-40B4-BE49-F238E27FC236}">
              <a16:creationId xmlns:a16="http://schemas.microsoft.com/office/drawing/2014/main" id="{00000000-0008-0000-2200-00000C1C0000}"/>
            </a:ext>
          </a:extLst>
        </xdr:cNvPr>
        <xdr:cNvSpPr>
          <a:spLocks noChangeShapeType="1"/>
        </xdr:cNvSpPr>
      </xdr:nvSpPr>
      <xdr:spPr bwMode="auto">
        <a:xfrm>
          <a:off x="5943600" y="6115050"/>
          <a:ext cx="0" cy="9525"/>
        </a:xfrm>
        <a:prstGeom prst="line">
          <a:avLst/>
        </a:prstGeom>
        <a:noFill/>
        <a:ln w="0">
          <a:solidFill>
            <a:srgbClr val="000000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4</xdr:col>
      <xdr:colOff>781050</xdr:colOff>
      <xdr:row>38</xdr:row>
      <xdr:rowOff>152400</xdr:rowOff>
    </xdr:from>
    <xdr:to>
      <xdr:col>4</xdr:col>
      <xdr:colOff>781050</xdr:colOff>
      <xdr:row>39</xdr:row>
      <xdr:rowOff>0</xdr:rowOff>
    </xdr:to>
    <xdr:sp macro="" textlink="">
      <xdr:nvSpPr>
        <xdr:cNvPr id="4" name="Line 12">
          <a:extLst>
            <a:ext uri="{FF2B5EF4-FFF2-40B4-BE49-F238E27FC236}">
              <a16:creationId xmlns:a16="http://schemas.microsoft.com/office/drawing/2014/main" id="{00000000-0008-0000-2200-000004000000}"/>
            </a:ext>
          </a:extLst>
        </xdr:cNvPr>
        <xdr:cNvSpPr>
          <a:spLocks noChangeShapeType="1"/>
        </xdr:cNvSpPr>
      </xdr:nvSpPr>
      <xdr:spPr bwMode="auto">
        <a:xfrm>
          <a:off x="5943600" y="7343775"/>
          <a:ext cx="0" cy="9525"/>
        </a:xfrm>
        <a:prstGeom prst="line">
          <a:avLst/>
        </a:prstGeom>
        <a:noFill/>
        <a:ln w="0">
          <a:solidFill>
            <a:srgbClr val="000000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5</xdr:col>
      <xdr:colOff>1200150</xdr:colOff>
      <xdr:row>27</xdr:row>
      <xdr:rowOff>85725</xdr:rowOff>
    </xdr:from>
    <xdr:to>
      <xdr:col>5</xdr:col>
      <xdr:colOff>1200150</xdr:colOff>
      <xdr:row>27</xdr:row>
      <xdr:rowOff>95250</xdr:rowOff>
    </xdr:to>
    <xdr:sp macro="" textlink="">
      <xdr:nvSpPr>
        <xdr:cNvPr id="17" name="Line 26">
          <a:extLst>
            <a:ext uri="{FF2B5EF4-FFF2-40B4-BE49-F238E27FC236}">
              <a16:creationId xmlns:a16="http://schemas.microsoft.com/office/drawing/2014/main" id="{00000000-0008-0000-2200-000011000000}"/>
            </a:ext>
          </a:extLst>
        </xdr:cNvPr>
        <xdr:cNvSpPr>
          <a:spLocks noChangeShapeType="1"/>
        </xdr:cNvSpPr>
      </xdr:nvSpPr>
      <xdr:spPr bwMode="auto">
        <a:xfrm>
          <a:off x="7228114" y="5011511"/>
          <a:ext cx="0" cy="9525"/>
        </a:xfrm>
        <a:prstGeom prst="line">
          <a:avLst/>
        </a:prstGeom>
        <a:noFill/>
        <a:ln w="0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4</xdr:col>
      <xdr:colOff>1200150</xdr:colOff>
      <xdr:row>35</xdr:row>
      <xdr:rowOff>28575</xdr:rowOff>
    </xdr:from>
    <xdr:to>
      <xdr:col>4</xdr:col>
      <xdr:colOff>1200150</xdr:colOff>
      <xdr:row>35</xdr:row>
      <xdr:rowOff>38100</xdr:rowOff>
    </xdr:to>
    <xdr:sp macro="" textlink="">
      <xdr:nvSpPr>
        <xdr:cNvPr id="18" name="Line 19">
          <a:extLst>
            <a:ext uri="{FF2B5EF4-FFF2-40B4-BE49-F238E27FC236}">
              <a16:creationId xmlns:a16="http://schemas.microsoft.com/office/drawing/2014/main" id="{00000000-0008-0000-2200-000012000000}"/>
            </a:ext>
          </a:extLst>
        </xdr:cNvPr>
        <xdr:cNvSpPr>
          <a:spLocks noChangeShapeType="1"/>
        </xdr:cNvSpPr>
      </xdr:nvSpPr>
      <xdr:spPr bwMode="auto">
        <a:xfrm>
          <a:off x="6991350" y="6324600"/>
          <a:ext cx="0" cy="9525"/>
        </a:xfrm>
        <a:prstGeom prst="line">
          <a:avLst/>
        </a:prstGeom>
        <a:noFill/>
        <a:ln w="0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4</xdr:col>
      <xdr:colOff>1200150</xdr:colOff>
      <xdr:row>27</xdr:row>
      <xdr:rowOff>85725</xdr:rowOff>
    </xdr:from>
    <xdr:to>
      <xdr:col>4</xdr:col>
      <xdr:colOff>1200150</xdr:colOff>
      <xdr:row>27</xdr:row>
      <xdr:rowOff>95250</xdr:rowOff>
    </xdr:to>
    <xdr:sp macro="" textlink="">
      <xdr:nvSpPr>
        <xdr:cNvPr id="19" name="Line 26">
          <a:extLst>
            <a:ext uri="{FF2B5EF4-FFF2-40B4-BE49-F238E27FC236}">
              <a16:creationId xmlns:a16="http://schemas.microsoft.com/office/drawing/2014/main" id="{00000000-0008-0000-2200-000013000000}"/>
            </a:ext>
          </a:extLst>
        </xdr:cNvPr>
        <xdr:cNvSpPr>
          <a:spLocks noChangeShapeType="1"/>
        </xdr:cNvSpPr>
      </xdr:nvSpPr>
      <xdr:spPr bwMode="auto">
        <a:xfrm>
          <a:off x="6991350" y="4981575"/>
          <a:ext cx="0" cy="9525"/>
        </a:xfrm>
        <a:prstGeom prst="line">
          <a:avLst/>
        </a:prstGeom>
        <a:noFill/>
        <a:ln w="0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4</xdr:col>
      <xdr:colOff>885825</xdr:colOff>
      <xdr:row>46</xdr:row>
      <xdr:rowOff>152400</xdr:rowOff>
    </xdr:from>
    <xdr:to>
      <xdr:col>4</xdr:col>
      <xdr:colOff>885825</xdr:colOff>
      <xdr:row>46</xdr:row>
      <xdr:rowOff>161925</xdr:rowOff>
    </xdr:to>
    <xdr:sp macro="" textlink="">
      <xdr:nvSpPr>
        <xdr:cNvPr id="20" name="Line 5">
          <a:extLst>
            <a:ext uri="{FF2B5EF4-FFF2-40B4-BE49-F238E27FC236}">
              <a16:creationId xmlns:a16="http://schemas.microsoft.com/office/drawing/2014/main" id="{00000000-0008-0000-2200-000014000000}"/>
            </a:ext>
          </a:extLst>
        </xdr:cNvPr>
        <xdr:cNvSpPr>
          <a:spLocks noChangeShapeType="1"/>
        </xdr:cNvSpPr>
      </xdr:nvSpPr>
      <xdr:spPr bwMode="auto">
        <a:xfrm>
          <a:off x="6677025" y="8543925"/>
          <a:ext cx="0" cy="9525"/>
        </a:xfrm>
        <a:prstGeom prst="line">
          <a:avLst/>
        </a:prstGeom>
        <a:noFill/>
        <a:ln w="0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4</xdr:col>
      <xdr:colOff>885825</xdr:colOff>
      <xdr:row>49</xdr:row>
      <xdr:rowOff>0</xdr:rowOff>
    </xdr:from>
    <xdr:to>
      <xdr:col>4</xdr:col>
      <xdr:colOff>885825</xdr:colOff>
      <xdr:row>49</xdr:row>
      <xdr:rowOff>0</xdr:rowOff>
    </xdr:to>
    <xdr:sp macro="" textlink="">
      <xdr:nvSpPr>
        <xdr:cNvPr id="21" name="Line 12">
          <a:extLst>
            <a:ext uri="{FF2B5EF4-FFF2-40B4-BE49-F238E27FC236}">
              <a16:creationId xmlns:a16="http://schemas.microsoft.com/office/drawing/2014/main" id="{00000000-0008-0000-2200-000015000000}"/>
            </a:ext>
          </a:extLst>
        </xdr:cNvPr>
        <xdr:cNvSpPr>
          <a:spLocks noChangeShapeType="1"/>
        </xdr:cNvSpPr>
      </xdr:nvSpPr>
      <xdr:spPr bwMode="auto">
        <a:xfrm>
          <a:off x="6677025" y="9039225"/>
          <a:ext cx="0" cy="0"/>
        </a:xfrm>
        <a:prstGeom prst="line">
          <a:avLst/>
        </a:prstGeom>
        <a:noFill/>
        <a:ln w="0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4</xdr:col>
      <xdr:colOff>885825</xdr:colOff>
      <xdr:row>46</xdr:row>
      <xdr:rowOff>228600</xdr:rowOff>
    </xdr:from>
    <xdr:to>
      <xdr:col>4</xdr:col>
      <xdr:colOff>885825</xdr:colOff>
      <xdr:row>46</xdr:row>
      <xdr:rowOff>238125</xdr:rowOff>
    </xdr:to>
    <xdr:sp macro="" textlink="">
      <xdr:nvSpPr>
        <xdr:cNvPr id="22" name="Line 26">
          <a:extLst>
            <a:ext uri="{FF2B5EF4-FFF2-40B4-BE49-F238E27FC236}">
              <a16:creationId xmlns:a16="http://schemas.microsoft.com/office/drawing/2014/main" id="{00000000-0008-0000-2200-000016000000}"/>
            </a:ext>
          </a:extLst>
        </xdr:cNvPr>
        <xdr:cNvSpPr>
          <a:spLocks noChangeShapeType="1"/>
        </xdr:cNvSpPr>
      </xdr:nvSpPr>
      <xdr:spPr bwMode="auto">
        <a:xfrm>
          <a:off x="6677025" y="8620125"/>
          <a:ext cx="0" cy="9525"/>
        </a:xfrm>
        <a:prstGeom prst="line">
          <a:avLst/>
        </a:prstGeom>
        <a:noFill/>
        <a:ln w="0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4</xdr:col>
      <xdr:colOff>885825</xdr:colOff>
      <xdr:row>49</xdr:row>
      <xdr:rowOff>76200</xdr:rowOff>
    </xdr:from>
    <xdr:to>
      <xdr:col>4</xdr:col>
      <xdr:colOff>885825</xdr:colOff>
      <xdr:row>49</xdr:row>
      <xdr:rowOff>76200</xdr:rowOff>
    </xdr:to>
    <xdr:sp macro="" textlink="">
      <xdr:nvSpPr>
        <xdr:cNvPr id="23" name="Line 33">
          <a:extLst>
            <a:ext uri="{FF2B5EF4-FFF2-40B4-BE49-F238E27FC236}">
              <a16:creationId xmlns:a16="http://schemas.microsoft.com/office/drawing/2014/main" id="{00000000-0008-0000-2200-000017000000}"/>
            </a:ext>
          </a:extLst>
        </xdr:cNvPr>
        <xdr:cNvSpPr>
          <a:spLocks noChangeShapeType="1"/>
        </xdr:cNvSpPr>
      </xdr:nvSpPr>
      <xdr:spPr bwMode="auto">
        <a:xfrm>
          <a:off x="6677025" y="9115425"/>
          <a:ext cx="0" cy="0"/>
        </a:xfrm>
        <a:prstGeom prst="line">
          <a:avLst/>
        </a:prstGeom>
        <a:noFill/>
        <a:ln w="0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4</xdr:col>
      <xdr:colOff>885825</xdr:colOff>
      <xdr:row>30</xdr:row>
      <xdr:rowOff>76200</xdr:rowOff>
    </xdr:from>
    <xdr:to>
      <xdr:col>4</xdr:col>
      <xdr:colOff>885825</xdr:colOff>
      <xdr:row>30</xdr:row>
      <xdr:rowOff>85725</xdr:rowOff>
    </xdr:to>
    <xdr:sp macro="" textlink="">
      <xdr:nvSpPr>
        <xdr:cNvPr id="24" name="Line 6">
          <a:extLst>
            <a:ext uri="{FF2B5EF4-FFF2-40B4-BE49-F238E27FC236}">
              <a16:creationId xmlns:a16="http://schemas.microsoft.com/office/drawing/2014/main" id="{00000000-0008-0000-2200-000018000000}"/>
            </a:ext>
          </a:extLst>
        </xdr:cNvPr>
        <xdr:cNvSpPr>
          <a:spLocks noChangeShapeType="1"/>
        </xdr:cNvSpPr>
      </xdr:nvSpPr>
      <xdr:spPr bwMode="auto">
        <a:xfrm>
          <a:off x="6677025" y="5572125"/>
          <a:ext cx="0" cy="9525"/>
        </a:xfrm>
        <a:prstGeom prst="line">
          <a:avLst/>
        </a:prstGeom>
        <a:noFill/>
        <a:ln w="0">
          <a:solidFill>
            <a:srgbClr val="000000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4</xdr:col>
      <xdr:colOff>885825</xdr:colOff>
      <xdr:row>33</xdr:row>
      <xdr:rowOff>57150</xdr:rowOff>
    </xdr:from>
    <xdr:to>
      <xdr:col>4</xdr:col>
      <xdr:colOff>885825</xdr:colOff>
      <xdr:row>33</xdr:row>
      <xdr:rowOff>66675</xdr:rowOff>
    </xdr:to>
    <xdr:sp macro="" textlink="">
      <xdr:nvSpPr>
        <xdr:cNvPr id="25" name="Line 13">
          <a:extLst>
            <a:ext uri="{FF2B5EF4-FFF2-40B4-BE49-F238E27FC236}">
              <a16:creationId xmlns:a16="http://schemas.microsoft.com/office/drawing/2014/main" id="{00000000-0008-0000-2200-000019000000}"/>
            </a:ext>
          </a:extLst>
        </xdr:cNvPr>
        <xdr:cNvSpPr>
          <a:spLocks noChangeShapeType="1"/>
        </xdr:cNvSpPr>
      </xdr:nvSpPr>
      <xdr:spPr bwMode="auto">
        <a:xfrm>
          <a:off x="6677025" y="6153150"/>
          <a:ext cx="0" cy="9525"/>
        </a:xfrm>
        <a:prstGeom prst="line">
          <a:avLst/>
        </a:prstGeom>
        <a:noFill/>
        <a:ln w="0">
          <a:solidFill>
            <a:srgbClr val="000000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4</xdr:col>
      <xdr:colOff>885825</xdr:colOff>
      <xdr:row>38</xdr:row>
      <xdr:rowOff>95250</xdr:rowOff>
    </xdr:from>
    <xdr:to>
      <xdr:col>4</xdr:col>
      <xdr:colOff>885825</xdr:colOff>
      <xdr:row>38</xdr:row>
      <xdr:rowOff>104775</xdr:rowOff>
    </xdr:to>
    <xdr:sp macro="" textlink="">
      <xdr:nvSpPr>
        <xdr:cNvPr id="26" name="Line 20">
          <a:extLst>
            <a:ext uri="{FF2B5EF4-FFF2-40B4-BE49-F238E27FC236}">
              <a16:creationId xmlns:a16="http://schemas.microsoft.com/office/drawing/2014/main" id="{00000000-0008-0000-2200-00001A000000}"/>
            </a:ext>
          </a:extLst>
        </xdr:cNvPr>
        <xdr:cNvSpPr>
          <a:spLocks noChangeShapeType="1"/>
        </xdr:cNvSpPr>
      </xdr:nvSpPr>
      <xdr:spPr bwMode="auto">
        <a:xfrm>
          <a:off x="6677025" y="6962775"/>
          <a:ext cx="0" cy="9525"/>
        </a:xfrm>
        <a:prstGeom prst="line">
          <a:avLst/>
        </a:prstGeom>
        <a:noFill/>
        <a:ln w="0">
          <a:solidFill>
            <a:srgbClr val="000000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4</xdr:col>
      <xdr:colOff>885825</xdr:colOff>
      <xdr:row>33</xdr:row>
      <xdr:rowOff>85725</xdr:rowOff>
    </xdr:from>
    <xdr:to>
      <xdr:col>4</xdr:col>
      <xdr:colOff>885825</xdr:colOff>
      <xdr:row>33</xdr:row>
      <xdr:rowOff>85725</xdr:rowOff>
    </xdr:to>
    <xdr:sp macro="" textlink="">
      <xdr:nvSpPr>
        <xdr:cNvPr id="28" name="Line 19">
          <a:extLst>
            <a:ext uri="{FF2B5EF4-FFF2-40B4-BE49-F238E27FC236}">
              <a16:creationId xmlns:a16="http://schemas.microsoft.com/office/drawing/2014/main" id="{00000000-0008-0000-2200-00001C000000}"/>
            </a:ext>
          </a:extLst>
        </xdr:cNvPr>
        <xdr:cNvSpPr>
          <a:spLocks noChangeShapeType="1"/>
        </xdr:cNvSpPr>
      </xdr:nvSpPr>
      <xdr:spPr bwMode="auto">
        <a:xfrm>
          <a:off x="6677025" y="6181725"/>
          <a:ext cx="0" cy="0"/>
        </a:xfrm>
        <a:prstGeom prst="line">
          <a:avLst/>
        </a:prstGeom>
        <a:noFill/>
        <a:ln w="0">
          <a:solidFill>
            <a:srgbClr val="000000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4</xdr:col>
      <xdr:colOff>885825</xdr:colOff>
      <xdr:row>30</xdr:row>
      <xdr:rowOff>76200</xdr:rowOff>
    </xdr:from>
    <xdr:to>
      <xdr:col>4</xdr:col>
      <xdr:colOff>885825</xdr:colOff>
      <xdr:row>30</xdr:row>
      <xdr:rowOff>85725</xdr:rowOff>
    </xdr:to>
    <xdr:sp macro="" textlink="">
      <xdr:nvSpPr>
        <xdr:cNvPr id="29" name="Line 19">
          <a:extLst>
            <a:ext uri="{FF2B5EF4-FFF2-40B4-BE49-F238E27FC236}">
              <a16:creationId xmlns:a16="http://schemas.microsoft.com/office/drawing/2014/main" id="{00000000-0008-0000-2200-00001D000000}"/>
            </a:ext>
          </a:extLst>
        </xdr:cNvPr>
        <xdr:cNvSpPr>
          <a:spLocks noChangeShapeType="1"/>
        </xdr:cNvSpPr>
      </xdr:nvSpPr>
      <xdr:spPr bwMode="auto">
        <a:xfrm>
          <a:off x="6677025" y="5572125"/>
          <a:ext cx="0" cy="9525"/>
        </a:xfrm>
        <a:prstGeom prst="line">
          <a:avLst/>
        </a:prstGeom>
        <a:noFill/>
        <a:ln w="0">
          <a:solidFill>
            <a:srgbClr val="000000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4</xdr:col>
      <xdr:colOff>781050</xdr:colOff>
      <xdr:row>30</xdr:row>
      <xdr:rowOff>57150</xdr:rowOff>
    </xdr:from>
    <xdr:to>
      <xdr:col>4</xdr:col>
      <xdr:colOff>781050</xdr:colOff>
      <xdr:row>30</xdr:row>
      <xdr:rowOff>66675</xdr:rowOff>
    </xdr:to>
    <xdr:sp macro="" textlink="">
      <xdr:nvSpPr>
        <xdr:cNvPr id="30" name="Line 12">
          <a:extLst>
            <a:ext uri="{FF2B5EF4-FFF2-40B4-BE49-F238E27FC236}">
              <a16:creationId xmlns:a16="http://schemas.microsoft.com/office/drawing/2014/main" id="{00000000-0008-0000-2200-00001E000000}"/>
            </a:ext>
          </a:extLst>
        </xdr:cNvPr>
        <xdr:cNvSpPr>
          <a:spLocks noChangeShapeType="1"/>
        </xdr:cNvSpPr>
      </xdr:nvSpPr>
      <xdr:spPr bwMode="auto">
        <a:xfrm>
          <a:off x="6572250" y="5553075"/>
          <a:ext cx="0" cy="9525"/>
        </a:xfrm>
        <a:prstGeom prst="line">
          <a:avLst/>
        </a:prstGeom>
        <a:noFill/>
        <a:ln w="0">
          <a:solidFill>
            <a:srgbClr val="000000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5</xdr:col>
      <xdr:colOff>1200150</xdr:colOff>
      <xdr:row>27</xdr:row>
      <xdr:rowOff>85725</xdr:rowOff>
    </xdr:from>
    <xdr:to>
      <xdr:col>5</xdr:col>
      <xdr:colOff>1200150</xdr:colOff>
      <xdr:row>27</xdr:row>
      <xdr:rowOff>95250</xdr:rowOff>
    </xdr:to>
    <xdr:sp macro="" textlink="">
      <xdr:nvSpPr>
        <xdr:cNvPr id="32" name="Line 26">
          <a:extLst>
            <a:ext uri="{FF2B5EF4-FFF2-40B4-BE49-F238E27FC236}">
              <a16:creationId xmlns:a16="http://schemas.microsoft.com/office/drawing/2014/main" id="{00000000-0008-0000-2200-000020000000}"/>
            </a:ext>
          </a:extLst>
        </xdr:cNvPr>
        <xdr:cNvSpPr>
          <a:spLocks noChangeShapeType="1"/>
        </xdr:cNvSpPr>
      </xdr:nvSpPr>
      <xdr:spPr bwMode="auto">
        <a:xfrm>
          <a:off x="8534400" y="4981575"/>
          <a:ext cx="0" cy="9525"/>
        </a:xfrm>
        <a:prstGeom prst="line">
          <a:avLst/>
        </a:prstGeom>
        <a:noFill/>
        <a:ln w="0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4</xdr:col>
      <xdr:colOff>1200150</xdr:colOff>
      <xdr:row>58</xdr:row>
      <xdr:rowOff>28575</xdr:rowOff>
    </xdr:from>
    <xdr:to>
      <xdr:col>4</xdr:col>
      <xdr:colOff>1200150</xdr:colOff>
      <xdr:row>58</xdr:row>
      <xdr:rowOff>38100</xdr:rowOff>
    </xdr:to>
    <xdr:sp macro="" textlink="">
      <xdr:nvSpPr>
        <xdr:cNvPr id="33" name="Line 19">
          <a:extLst>
            <a:ext uri="{FF2B5EF4-FFF2-40B4-BE49-F238E27FC236}">
              <a16:creationId xmlns:a16="http://schemas.microsoft.com/office/drawing/2014/main" id="{00000000-0008-0000-2200-000021000000}"/>
            </a:ext>
          </a:extLst>
        </xdr:cNvPr>
        <xdr:cNvSpPr>
          <a:spLocks noChangeShapeType="1"/>
        </xdr:cNvSpPr>
      </xdr:nvSpPr>
      <xdr:spPr bwMode="auto">
        <a:xfrm>
          <a:off x="6991350" y="10782300"/>
          <a:ext cx="0" cy="9525"/>
        </a:xfrm>
        <a:prstGeom prst="line">
          <a:avLst/>
        </a:prstGeom>
        <a:noFill/>
        <a:ln w="0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4</xdr:col>
      <xdr:colOff>1200150</xdr:colOff>
      <xdr:row>51</xdr:row>
      <xdr:rowOff>85725</xdr:rowOff>
    </xdr:from>
    <xdr:to>
      <xdr:col>4</xdr:col>
      <xdr:colOff>1200150</xdr:colOff>
      <xdr:row>51</xdr:row>
      <xdr:rowOff>95250</xdr:rowOff>
    </xdr:to>
    <xdr:sp macro="" textlink="">
      <xdr:nvSpPr>
        <xdr:cNvPr id="34" name="Line 26">
          <a:extLst>
            <a:ext uri="{FF2B5EF4-FFF2-40B4-BE49-F238E27FC236}">
              <a16:creationId xmlns:a16="http://schemas.microsoft.com/office/drawing/2014/main" id="{00000000-0008-0000-2200-000022000000}"/>
            </a:ext>
          </a:extLst>
        </xdr:cNvPr>
        <xdr:cNvSpPr>
          <a:spLocks noChangeShapeType="1"/>
        </xdr:cNvSpPr>
      </xdr:nvSpPr>
      <xdr:spPr bwMode="auto">
        <a:xfrm>
          <a:off x="6991350" y="9505950"/>
          <a:ext cx="0" cy="9525"/>
        </a:xfrm>
        <a:prstGeom prst="line">
          <a:avLst/>
        </a:prstGeom>
        <a:noFill/>
        <a:ln w="0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4</xdr:col>
      <xdr:colOff>885825</xdr:colOff>
      <xdr:row>54</xdr:row>
      <xdr:rowOff>76200</xdr:rowOff>
    </xdr:from>
    <xdr:to>
      <xdr:col>4</xdr:col>
      <xdr:colOff>885825</xdr:colOff>
      <xdr:row>54</xdr:row>
      <xdr:rowOff>85725</xdr:rowOff>
    </xdr:to>
    <xdr:sp macro="" textlink="">
      <xdr:nvSpPr>
        <xdr:cNvPr id="35" name="Line 6">
          <a:extLst>
            <a:ext uri="{FF2B5EF4-FFF2-40B4-BE49-F238E27FC236}">
              <a16:creationId xmlns:a16="http://schemas.microsoft.com/office/drawing/2014/main" id="{00000000-0008-0000-2200-000023000000}"/>
            </a:ext>
          </a:extLst>
        </xdr:cNvPr>
        <xdr:cNvSpPr>
          <a:spLocks noChangeShapeType="1"/>
        </xdr:cNvSpPr>
      </xdr:nvSpPr>
      <xdr:spPr bwMode="auto">
        <a:xfrm>
          <a:off x="6677025" y="10067925"/>
          <a:ext cx="0" cy="9525"/>
        </a:xfrm>
        <a:prstGeom prst="line">
          <a:avLst/>
        </a:prstGeom>
        <a:noFill/>
        <a:ln w="0">
          <a:solidFill>
            <a:srgbClr val="000000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4</xdr:col>
      <xdr:colOff>885825</xdr:colOff>
      <xdr:row>57</xdr:row>
      <xdr:rowOff>57150</xdr:rowOff>
    </xdr:from>
    <xdr:to>
      <xdr:col>4</xdr:col>
      <xdr:colOff>885825</xdr:colOff>
      <xdr:row>57</xdr:row>
      <xdr:rowOff>66675</xdr:rowOff>
    </xdr:to>
    <xdr:sp macro="" textlink="">
      <xdr:nvSpPr>
        <xdr:cNvPr id="36" name="Line 13">
          <a:extLst>
            <a:ext uri="{FF2B5EF4-FFF2-40B4-BE49-F238E27FC236}">
              <a16:creationId xmlns:a16="http://schemas.microsoft.com/office/drawing/2014/main" id="{00000000-0008-0000-2200-000024000000}"/>
            </a:ext>
          </a:extLst>
        </xdr:cNvPr>
        <xdr:cNvSpPr>
          <a:spLocks noChangeShapeType="1"/>
        </xdr:cNvSpPr>
      </xdr:nvSpPr>
      <xdr:spPr bwMode="auto">
        <a:xfrm>
          <a:off x="6677025" y="10620375"/>
          <a:ext cx="0" cy="9525"/>
        </a:xfrm>
        <a:prstGeom prst="line">
          <a:avLst/>
        </a:prstGeom>
        <a:noFill/>
        <a:ln w="0">
          <a:solidFill>
            <a:srgbClr val="000000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4</xdr:col>
      <xdr:colOff>885825</xdr:colOff>
      <xdr:row>61</xdr:row>
      <xdr:rowOff>95250</xdr:rowOff>
    </xdr:from>
    <xdr:to>
      <xdr:col>4</xdr:col>
      <xdr:colOff>885825</xdr:colOff>
      <xdr:row>61</xdr:row>
      <xdr:rowOff>104775</xdr:rowOff>
    </xdr:to>
    <xdr:sp macro="" textlink="">
      <xdr:nvSpPr>
        <xdr:cNvPr id="37" name="Line 20">
          <a:extLst>
            <a:ext uri="{FF2B5EF4-FFF2-40B4-BE49-F238E27FC236}">
              <a16:creationId xmlns:a16="http://schemas.microsoft.com/office/drawing/2014/main" id="{00000000-0008-0000-2200-000025000000}"/>
            </a:ext>
          </a:extLst>
        </xdr:cNvPr>
        <xdr:cNvSpPr>
          <a:spLocks noChangeShapeType="1"/>
        </xdr:cNvSpPr>
      </xdr:nvSpPr>
      <xdr:spPr bwMode="auto">
        <a:xfrm>
          <a:off x="6677025" y="11420475"/>
          <a:ext cx="0" cy="9525"/>
        </a:xfrm>
        <a:prstGeom prst="line">
          <a:avLst/>
        </a:prstGeom>
        <a:noFill/>
        <a:ln w="0">
          <a:solidFill>
            <a:srgbClr val="000000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4</xdr:col>
      <xdr:colOff>885825</xdr:colOff>
      <xdr:row>54</xdr:row>
      <xdr:rowOff>152400</xdr:rowOff>
    </xdr:from>
    <xdr:to>
      <xdr:col>4</xdr:col>
      <xdr:colOff>885825</xdr:colOff>
      <xdr:row>55</xdr:row>
      <xdr:rowOff>0</xdr:rowOff>
    </xdr:to>
    <xdr:sp macro="" textlink="">
      <xdr:nvSpPr>
        <xdr:cNvPr id="38" name="Line 27">
          <a:extLst>
            <a:ext uri="{FF2B5EF4-FFF2-40B4-BE49-F238E27FC236}">
              <a16:creationId xmlns:a16="http://schemas.microsoft.com/office/drawing/2014/main" id="{00000000-0008-0000-2200-000026000000}"/>
            </a:ext>
          </a:extLst>
        </xdr:cNvPr>
        <xdr:cNvSpPr>
          <a:spLocks noChangeShapeType="1"/>
        </xdr:cNvSpPr>
      </xdr:nvSpPr>
      <xdr:spPr bwMode="auto">
        <a:xfrm>
          <a:off x="6677025" y="10144125"/>
          <a:ext cx="0" cy="38100"/>
        </a:xfrm>
        <a:prstGeom prst="line">
          <a:avLst/>
        </a:prstGeom>
        <a:noFill/>
        <a:ln w="0">
          <a:solidFill>
            <a:srgbClr val="000000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4</xdr:col>
      <xdr:colOff>885825</xdr:colOff>
      <xdr:row>57</xdr:row>
      <xdr:rowOff>85725</xdr:rowOff>
    </xdr:from>
    <xdr:to>
      <xdr:col>4</xdr:col>
      <xdr:colOff>885825</xdr:colOff>
      <xdr:row>57</xdr:row>
      <xdr:rowOff>85725</xdr:rowOff>
    </xdr:to>
    <xdr:sp macro="" textlink="">
      <xdr:nvSpPr>
        <xdr:cNvPr id="39" name="Line 19">
          <a:extLst>
            <a:ext uri="{FF2B5EF4-FFF2-40B4-BE49-F238E27FC236}">
              <a16:creationId xmlns:a16="http://schemas.microsoft.com/office/drawing/2014/main" id="{00000000-0008-0000-2200-000027000000}"/>
            </a:ext>
          </a:extLst>
        </xdr:cNvPr>
        <xdr:cNvSpPr>
          <a:spLocks noChangeShapeType="1"/>
        </xdr:cNvSpPr>
      </xdr:nvSpPr>
      <xdr:spPr bwMode="auto">
        <a:xfrm>
          <a:off x="6677025" y="10648950"/>
          <a:ext cx="0" cy="0"/>
        </a:xfrm>
        <a:prstGeom prst="line">
          <a:avLst/>
        </a:prstGeom>
        <a:noFill/>
        <a:ln w="0">
          <a:solidFill>
            <a:srgbClr val="000000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4</xdr:col>
      <xdr:colOff>885825</xdr:colOff>
      <xdr:row>54</xdr:row>
      <xdr:rowOff>76200</xdr:rowOff>
    </xdr:from>
    <xdr:to>
      <xdr:col>4</xdr:col>
      <xdr:colOff>885825</xdr:colOff>
      <xdr:row>54</xdr:row>
      <xdr:rowOff>85725</xdr:rowOff>
    </xdr:to>
    <xdr:sp macro="" textlink="">
      <xdr:nvSpPr>
        <xdr:cNvPr id="40" name="Line 19">
          <a:extLst>
            <a:ext uri="{FF2B5EF4-FFF2-40B4-BE49-F238E27FC236}">
              <a16:creationId xmlns:a16="http://schemas.microsoft.com/office/drawing/2014/main" id="{00000000-0008-0000-2200-000028000000}"/>
            </a:ext>
          </a:extLst>
        </xdr:cNvPr>
        <xdr:cNvSpPr>
          <a:spLocks noChangeShapeType="1"/>
        </xdr:cNvSpPr>
      </xdr:nvSpPr>
      <xdr:spPr bwMode="auto">
        <a:xfrm>
          <a:off x="6677025" y="10067925"/>
          <a:ext cx="0" cy="9525"/>
        </a:xfrm>
        <a:prstGeom prst="line">
          <a:avLst/>
        </a:prstGeom>
        <a:noFill/>
        <a:ln w="0">
          <a:solidFill>
            <a:srgbClr val="000000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4</xdr:col>
      <xdr:colOff>781050</xdr:colOff>
      <xdr:row>54</xdr:row>
      <xdr:rowOff>57150</xdr:rowOff>
    </xdr:from>
    <xdr:to>
      <xdr:col>4</xdr:col>
      <xdr:colOff>781050</xdr:colOff>
      <xdr:row>54</xdr:row>
      <xdr:rowOff>66675</xdr:rowOff>
    </xdr:to>
    <xdr:sp macro="" textlink="">
      <xdr:nvSpPr>
        <xdr:cNvPr id="41" name="Line 12">
          <a:extLst>
            <a:ext uri="{FF2B5EF4-FFF2-40B4-BE49-F238E27FC236}">
              <a16:creationId xmlns:a16="http://schemas.microsoft.com/office/drawing/2014/main" id="{00000000-0008-0000-2200-000029000000}"/>
            </a:ext>
          </a:extLst>
        </xdr:cNvPr>
        <xdr:cNvSpPr>
          <a:spLocks noChangeShapeType="1"/>
        </xdr:cNvSpPr>
      </xdr:nvSpPr>
      <xdr:spPr bwMode="auto">
        <a:xfrm>
          <a:off x="6572250" y="10048875"/>
          <a:ext cx="0" cy="9525"/>
        </a:xfrm>
        <a:prstGeom prst="line">
          <a:avLst/>
        </a:prstGeom>
        <a:noFill/>
        <a:ln w="0">
          <a:solidFill>
            <a:srgbClr val="000000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5</xdr:col>
      <xdr:colOff>1200150</xdr:colOff>
      <xdr:row>51</xdr:row>
      <xdr:rowOff>85725</xdr:rowOff>
    </xdr:from>
    <xdr:to>
      <xdr:col>5</xdr:col>
      <xdr:colOff>1200150</xdr:colOff>
      <xdr:row>51</xdr:row>
      <xdr:rowOff>95250</xdr:rowOff>
    </xdr:to>
    <xdr:sp macro="" textlink="">
      <xdr:nvSpPr>
        <xdr:cNvPr id="43" name="Line 26">
          <a:extLst>
            <a:ext uri="{FF2B5EF4-FFF2-40B4-BE49-F238E27FC236}">
              <a16:creationId xmlns:a16="http://schemas.microsoft.com/office/drawing/2014/main" id="{00000000-0008-0000-2200-00002B000000}"/>
            </a:ext>
          </a:extLst>
        </xdr:cNvPr>
        <xdr:cNvSpPr>
          <a:spLocks noChangeShapeType="1"/>
        </xdr:cNvSpPr>
      </xdr:nvSpPr>
      <xdr:spPr bwMode="auto">
        <a:xfrm>
          <a:off x="8534400" y="9505950"/>
          <a:ext cx="0" cy="9525"/>
        </a:xfrm>
        <a:prstGeom prst="line">
          <a:avLst/>
        </a:prstGeom>
        <a:noFill/>
        <a:ln w="0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4</xdr:col>
      <xdr:colOff>885825</xdr:colOff>
      <xdr:row>72</xdr:row>
      <xdr:rowOff>0</xdr:rowOff>
    </xdr:from>
    <xdr:to>
      <xdr:col>4</xdr:col>
      <xdr:colOff>885825</xdr:colOff>
      <xdr:row>72</xdr:row>
      <xdr:rowOff>0</xdr:rowOff>
    </xdr:to>
    <xdr:sp macro="" textlink="">
      <xdr:nvSpPr>
        <xdr:cNvPr id="44" name="Line 12">
          <a:extLst>
            <a:ext uri="{FF2B5EF4-FFF2-40B4-BE49-F238E27FC236}">
              <a16:creationId xmlns:a16="http://schemas.microsoft.com/office/drawing/2014/main" id="{00000000-0008-0000-2200-00002C000000}"/>
            </a:ext>
          </a:extLst>
        </xdr:cNvPr>
        <xdr:cNvSpPr>
          <a:spLocks noChangeShapeType="1"/>
        </xdr:cNvSpPr>
      </xdr:nvSpPr>
      <xdr:spPr bwMode="auto">
        <a:xfrm>
          <a:off x="6677025" y="13496925"/>
          <a:ext cx="0" cy="0"/>
        </a:xfrm>
        <a:prstGeom prst="line">
          <a:avLst/>
        </a:prstGeom>
        <a:noFill/>
        <a:ln w="0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4</xdr:col>
      <xdr:colOff>885825</xdr:colOff>
      <xdr:row>72</xdr:row>
      <xdr:rowOff>76200</xdr:rowOff>
    </xdr:from>
    <xdr:to>
      <xdr:col>4</xdr:col>
      <xdr:colOff>885825</xdr:colOff>
      <xdr:row>72</xdr:row>
      <xdr:rowOff>76200</xdr:rowOff>
    </xdr:to>
    <xdr:sp macro="" textlink="">
      <xdr:nvSpPr>
        <xdr:cNvPr id="45" name="Line 33">
          <a:extLst>
            <a:ext uri="{FF2B5EF4-FFF2-40B4-BE49-F238E27FC236}">
              <a16:creationId xmlns:a16="http://schemas.microsoft.com/office/drawing/2014/main" id="{00000000-0008-0000-2200-00002D000000}"/>
            </a:ext>
          </a:extLst>
        </xdr:cNvPr>
        <xdr:cNvSpPr>
          <a:spLocks noChangeShapeType="1"/>
        </xdr:cNvSpPr>
      </xdr:nvSpPr>
      <xdr:spPr bwMode="auto">
        <a:xfrm>
          <a:off x="6677025" y="13573125"/>
          <a:ext cx="0" cy="0"/>
        </a:xfrm>
        <a:prstGeom prst="line">
          <a:avLst/>
        </a:prstGeom>
        <a:noFill/>
        <a:ln w="0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4</xdr:col>
      <xdr:colOff>1200150</xdr:colOff>
      <xdr:row>82</xdr:row>
      <xdr:rowOff>28575</xdr:rowOff>
    </xdr:from>
    <xdr:to>
      <xdr:col>4</xdr:col>
      <xdr:colOff>1200150</xdr:colOff>
      <xdr:row>82</xdr:row>
      <xdr:rowOff>38100</xdr:rowOff>
    </xdr:to>
    <xdr:sp macro="" textlink="">
      <xdr:nvSpPr>
        <xdr:cNvPr id="46" name="Line 19">
          <a:extLst>
            <a:ext uri="{FF2B5EF4-FFF2-40B4-BE49-F238E27FC236}">
              <a16:creationId xmlns:a16="http://schemas.microsoft.com/office/drawing/2014/main" id="{00000000-0008-0000-2200-00002E000000}"/>
            </a:ext>
          </a:extLst>
        </xdr:cNvPr>
        <xdr:cNvSpPr>
          <a:spLocks noChangeShapeType="1"/>
        </xdr:cNvSpPr>
      </xdr:nvSpPr>
      <xdr:spPr bwMode="auto">
        <a:xfrm>
          <a:off x="6991350" y="15240000"/>
          <a:ext cx="0" cy="9525"/>
        </a:xfrm>
        <a:prstGeom prst="line">
          <a:avLst/>
        </a:prstGeom>
        <a:noFill/>
        <a:ln w="0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4</xdr:col>
      <xdr:colOff>1200150</xdr:colOff>
      <xdr:row>74</xdr:row>
      <xdr:rowOff>85725</xdr:rowOff>
    </xdr:from>
    <xdr:to>
      <xdr:col>4</xdr:col>
      <xdr:colOff>1200150</xdr:colOff>
      <xdr:row>74</xdr:row>
      <xdr:rowOff>95250</xdr:rowOff>
    </xdr:to>
    <xdr:sp macro="" textlink="">
      <xdr:nvSpPr>
        <xdr:cNvPr id="47" name="Line 26">
          <a:extLst>
            <a:ext uri="{FF2B5EF4-FFF2-40B4-BE49-F238E27FC236}">
              <a16:creationId xmlns:a16="http://schemas.microsoft.com/office/drawing/2014/main" id="{00000000-0008-0000-2200-00002F000000}"/>
            </a:ext>
          </a:extLst>
        </xdr:cNvPr>
        <xdr:cNvSpPr>
          <a:spLocks noChangeShapeType="1"/>
        </xdr:cNvSpPr>
      </xdr:nvSpPr>
      <xdr:spPr bwMode="auto">
        <a:xfrm>
          <a:off x="6991350" y="13963650"/>
          <a:ext cx="0" cy="9525"/>
        </a:xfrm>
        <a:prstGeom prst="line">
          <a:avLst/>
        </a:prstGeom>
        <a:noFill/>
        <a:ln w="0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4</xdr:col>
      <xdr:colOff>885825</xdr:colOff>
      <xdr:row>77</xdr:row>
      <xdr:rowOff>76200</xdr:rowOff>
    </xdr:from>
    <xdr:to>
      <xdr:col>4</xdr:col>
      <xdr:colOff>885825</xdr:colOff>
      <xdr:row>77</xdr:row>
      <xdr:rowOff>85725</xdr:rowOff>
    </xdr:to>
    <xdr:sp macro="" textlink="">
      <xdr:nvSpPr>
        <xdr:cNvPr id="48" name="Line 6">
          <a:extLst>
            <a:ext uri="{FF2B5EF4-FFF2-40B4-BE49-F238E27FC236}">
              <a16:creationId xmlns:a16="http://schemas.microsoft.com/office/drawing/2014/main" id="{00000000-0008-0000-2200-000030000000}"/>
            </a:ext>
          </a:extLst>
        </xdr:cNvPr>
        <xdr:cNvSpPr>
          <a:spLocks noChangeShapeType="1"/>
        </xdr:cNvSpPr>
      </xdr:nvSpPr>
      <xdr:spPr bwMode="auto">
        <a:xfrm>
          <a:off x="6677025" y="14525625"/>
          <a:ext cx="0" cy="9525"/>
        </a:xfrm>
        <a:prstGeom prst="line">
          <a:avLst/>
        </a:prstGeom>
        <a:noFill/>
        <a:ln w="0">
          <a:solidFill>
            <a:srgbClr val="000000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4</xdr:col>
      <xdr:colOff>885825</xdr:colOff>
      <xdr:row>80</xdr:row>
      <xdr:rowOff>57150</xdr:rowOff>
    </xdr:from>
    <xdr:to>
      <xdr:col>4</xdr:col>
      <xdr:colOff>885825</xdr:colOff>
      <xdr:row>80</xdr:row>
      <xdr:rowOff>66675</xdr:rowOff>
    </xdr:to>
    <xdr:sp macro="" textlink="">
      <xdr:nvSpPr>
        <xdr:cNvPr id="49" name="Line 13">
          <a:extLst>
            <a:ext uri="{FF2B5EF4-FFF2-40B4-BE49-F238E27FC236}">
              <a16:creationId xmlns:a16="http://schemas.microsoft.com/office/drawing/2014/main" id="{00000000-0008-0000-2200-000031000000}"/>
            </a:ext>
          </a:extLst>
        </xdr:cNvPr>
        <xdr:cNvSpPr>
          <a:spLocks noChangeShapeType="1"/>
        </xdr:cNvSpPr>
      </xdr:nvSpPr>
      <xdr:spPr bwMode="auto">
        <a:xfrm>
          <a:off x="6677025" y="15078075"/>
          <a:ext cx="0" cy="9525"/>
        </a:xfrm>
        <a:prstGeom prst="line">
          <a:avLst/>
        </a:prstGeom>
        <a:noFill/>
        <a:ln w="0">
          <a:solidFill>
            <a:srgbClr val="000000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4</xdr:col>
      <xdr:colOff>885825</xdr:colOff>
      <xdr:row>85</xdr:row>
      <xdr:rowOff>95250</xdr:rowOff>
    </xdr:from>
    <xdr:to>
      <xdr:col>4</xdr:col>
      <xdr:colOff>885825</xdr:colOff>
      <xdr:row>85</xdr:row>
      <xdr:rowOff>104775</xdr:rowOff>
    </xdr:to>
    <xdr:sp macro="" textlink="">
      <xdr:nvSpPr>
        <xdr:cNvPr id="50" name="Line 20">
          <a:extLst>
            <a:ext uri="{FF2B5EF4-FFF2-40B4-BE49-F238E27FC236}">
              <a16:creationId xmlns:a16="http://schemas.microsoft.com/office/drawing/2014/main" id="{00000000-0008-0000-2200-000032000000}"/>
            </a:ext>
          </a:extLst>
        </xdr:cNvPr>
        <xdr:cNvSpPr>
          <a:spLocks noChangeShapeType="1"/>
        </xdr:cNvSpPr>
      </xdr:nvSpPr>
      <xdr:spPr bwMode="auto">
        <a:xfrm>
          <a:off x="6677025" y="15878175"/>
          <a:ext cx="0" cy="9525"/>
        </a:xfrm>
        <a:prstGeom prst="line">
          <a:avLst/>
        </a:prstGeom>
        <a:noFill/>
        <a:ln w="0">
          <a:solidFill>
            <a:srgbClr val="000000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4</xdr:col>
      <xdr:colOff>885825</xdr:colOff>
      <xdr:row>77</xdr:row>
      <xdr:rowOff>152400</xdr:rowOff>
    </xdr:from>
    <xdr:to>
      <xdr:col>4</xdr:col>
      <xdr:colOff>885825</xdr:colOff>
      <xdr:row>78</xdr:row>
      <xdr:rowOff>0</xdr:rowOff>
    </xdr:to>
    <xdr:sp macro="" textlink="">
      <xdr:nvSpPr>
        <xdr:cNvPr id="51" name="Line 27">
          <a:extLst>
            <a:ext uri="{FF2B5EF4-FFF2-40B4-BE49-F238E27FC236}">
              <a16:creationId xmlns:a16="http://schemas.microsoft.com/office/drawing/2014/main" id="{00000000-0008-0000-2200-000033000000}"/>
            </a:ext>
          </a:extLst>
        </xdr:cNvPr>
        <xdr:cNvSpPr>
          <a:spLocks noChangeShapeType="1"/>
        </xdr:cNvSpPr>
      </xdr:nvSpPr>
      <xdr:spPr bwMode="auto">
        <a:xfrm>
          <a:off x="6677025" y="14601825"/>
          <a:ext cx="0" cy="38100"/>
        </a:xfrm>
        <a:prstGeom prst="line">
          <a:avLst/>
        </a:prstGeom>
        <a:noFill/>
        <a:ln w="0">
          <a:solidFill>
            <a:srgbClr val="000000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4</xdr:col>
      <xdr:colOff>885825</xdr:colOff>
      <xdr:row>80</xdr:row>
      <xdr:rowOff>85725</xdr:rowOff>
    </xdr:from>
    <xdr:to>
      <xdr:col>4</xdr:col>
      <xdr:colOff>885825</xdr:colOff>
      <xdr:row>80</xdr:row>
      <xdr:rowOff>85725</xdr:rowOff>
    </xdr:to>
    <xdr:sp macro="" textlink="">
      <xdr:nvSpPr>
        <xdr:cNvPr id="52" name="Line 19">
          <a:extLst>
            <a:ext uri="{FF2B5EF4-FFF2-40B4-BE49-F238E27FC236}">
              <a16:creationId xmlns:a16="http://schemas.microsoft.com/office/drawing/2014/main" id="{00000000-0008-0000-2200-000034000000}"/>
            </a:ext>
          </a:extLst>
        </xdr:cNvPr>
        <xdr:cNvSpPr>
          <a:spLocks noChangeShapeType="1"/>
        </xdr:cNvSpPr>
      </xdr:nvSpPr>
      <xdr:spPr bwMode="auto">
        <a:xfrm>
          <a:off x="6677025" y="15106650"/>
          <a:ext cx="0" cy="0"/>
        </a:xfrm>
        <a:prstGeom prst="line">
          <a:avLst/>
        </a:prstGeom>
        <a:noFill/>
        <a:ln w="0">
          <a:solidFill>
            <a:srgbClr val="000000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4</xdr:col>
      <xdr:colOff>885825</xdr:colOff>
      <xdr:row>77</xdr:row>
      <xdr:rowOff>76200</xdr:rowOff>
    </xdr:from>
    <xdr:to>
      <xdr:col>4</xdr:col>
      <xdr:colOff>885825</xdr:colOff>
      <xdr:row>77</xdr:row>
      <xdr:rowOff>85725</xdr:rowOff>
    </xdr:to>
    <xdr:sp macro="" textlink="">
      <xdr:nvSpPr>
        <xdr:cNvPr id="53" name="Line 19">
          <a:extLst>
            <a:ext uri="{FF2B5EF4-FFF2-40B4-BE49-F238E27FC236}">
              <a16:creationId xmlns:a16="http://schemas.microsoft.com/office/drawing/2014/main" id="{00000000-0008-0000-2200-000035000000}"/>
            </a:ext>
          </a:extLst>
        </xdr:cNvPr>
        <xdr:cNvSpPr>
          <a:spLocks noChangeShapeType="1"/>
        </xdr:cNvSpPr>
      </xdr:nvSpPr>
      <xdr:spPr bwMode="auto">
        <a:xfrm>
          <a:off x="6677025" y="14525625"/>
          <a:ext cx="0" cy="9525"/>
        </a:xfrm>
        <a:prstGeom prst="line">
          <a:avLst/>
        </a:prstGeom>
        <a:noFill/>
        <a:ln w="0">
          <a:solidFill>
            <a:srgbClr val="000000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4</xdr:col>
      <xdr:colOff>781050</xdr:colOff>
      <xdr:row>77</xdr:row>
      <xdr:rowOff>57150</xdr:rowOff>
    </xdr:from>
    <xdr:to>
      <xdr:col>4</xdr:col>
      <xdr:colOff>781050</xdr:colOff>
      <xdr:row>77</xdr:row>
      <xdr:rowOff>66675</xdr:rowOff>
    </xdr:to>
    <xdr:sp macro="" textlink="">
      <xdr:nvSpPr>
        <xdr:cNvPr id="54" name="Line 12">
          <a:extLst>
            <a:ext uri="{FF2B5EF4-FFF2-40B4-BE49-F238E27FC236}">
              <a16:creationId xmlns:a16="http://schemas.microsoft.com/office/drawing/2014/main" id="{00000000-0008-0000-2200-000036000000}"/>
            </a:ext>
          </a:extLst>
        </xdr:cNvPr>
        <xdr:cNvSpPr>
          <a:spLocks noChangeShapeType="1"/>
        </xdr:cNvSpPr>
      </xdr:nvSpPr>
      <xdr:spPr bwMode="auto">
        <a:xfrm>
          <a:off x="6572250" y="14506575"/>
          <a:ext cx="0" cy="9525"/>
        </a:xfrm>
        <a:prstGeom prst="line">
          <a:avLst/>
        </a:prstGeom>
        <a:noFill/>
        <a:ln w="0">
          <a:solidFill>
            <a:srgbClr val="000000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4</xdr:col>
      <xdr:colOff>781050</xdr:colOff>
      <xdr:row>85</xdr:row>
      <xdr:rowOff>152400</xdr:rowOff>
    </xdr:from>
    <xdr:to>
      <xdr:col>4</xdr:col>
      <xdr:colOff>781050</xdr:colOff>
      <xdr:row>86</xdr:row>
      <xdr:rowOff>0</xdr:rowOff>
    </xdr:to>
    <xdr:sp macro="" textlink="">
      <xdr:nvSpPr>
        <xdr:cNvPr id="55" name="Line 12">
          <a:extLst>
            <a:ext uri="{FF2B5EF4-FFF2-40B4-BE49-F238E27FC236}">
              <a16:creationId xmlns:a16="http://schemas.microsoft.com/office/drawing/2014/main" id="{00000000-0008-0000-2200-000037000000}"/>
            </a:ext>
          </a:extLst>
        </xdr:cNvPr>
        <xdr:cNvSpPr>
          <a:spLocks noChangeShapeType="1"/>
        </xdr:cNvSpPr>
      </xdr:nvSpPr>
      <xdr:spPr bwMode="auto">
        <a:xfrm>
          <a:off x="6572250" y="15935325"/>
          <a:ext cx="0" cy="38100"/>
        </a:xfrm>
        <a:prstGeom prst="line">
          <a:avLst/>
        </a:prstGeom>
        <a:noFill/>
        <a:ln w="0">
          <a:solidFill>
            <a:srgbClr val="000000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5</xdr:col>
      <xdr:colOff>1200150</xdr:colOff>
      <xdr:row>74</xdr:row>
      <xdr:rowOff>85725</xdr:rowOff>
    </xdr:from>
    <xdr:to>
      <xdr:col>5</xdr:col>
      <xdr:colOff>1200150</xdr:colOff>
      <xdr:row>74</xdr:row>
      <xdr:rowOff>95250</xdr:rowOff>
    </xdr:to>
    <xdr:sp macro="" textlink="">
      <xdr:nvSpPr>
        <xdr:cNvPr id="56" name="Line 26">
          <a:extLst>
            <a:ext uri="{FF2B5EF4-FFF2-40B4-BE49-F238E27FC236}">
              <a16:creationId xmlns:a16="http://schemas.microsoft.com/office/drawing/2014/main" id="{00000000-0008-0000-2200-000038000000}"/>
            </a:ext>
          </a:extLst>
        </xdr:cNvPr>
        <xdr:cNvSpPr>
          <a:spLocks noChangeShapeType="1"/>
        </xdr:cNvSpPr>
      </xdr:nvSpPr>
      <xdr:spPr bwMode="auto">
        <a:xfrm>
          <a:off x="8534400" y="13963650"/>
          <a:ext cx="0" cy="9525"/>
        </a:xfrm>
        <a:prstGeom prst="line">
          <a:avLst/>
        </a:prstGeom>
        <a:noFill/>
        <a:ln w="0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4</xdr:col>
      <xdr:colOff>885825</xdr:colOff>
      <xdr:row>96</xdr:row>
      <xdr:rowOff>0</xdr:rowOff>
    </xdr:from>
    <xdr:to>
      <xdr:col>4</xdr:col>
      <xdr:colOff>885825</xdr:colOff>
      <xdr:row>96</xdr:row>
      <xdr:rowOff>0</xdr:rowOff>
    </xdr:to>
    <xdr:sp macro="" textlink="">
      <xdr:nvSpPr>
        <xdr:cNvPr id="57" name="Line 12">
          <a:extLst>
            <a:ext uri="{FF2B5EF4-FFF2-40B4-BE49-F238E27FC236}">
              <a16:creationId xmlns:a16="http://schemas.microsoft.com/office/drawing/2014/main" id="{00000000-0008-0000-2200-000039000000}"/>
            </a:ext>
          </a:extLst>
        </xdr:cNvPr>
        <xdr:cNvSpPr>
          <a:spLocks noChangeShapeType="1"/>
        </xdr:cNvSpPr>
      </xdr:nvSpPr>
      <xdr:spPr bwMode="auto">
        <a:xfrm>
          <a:off x="6677025" y="17954625"/>
          <a:ext cx="0" cy="0"/>
        </a:xfrm>
        <a:prstGeom prst="line">
          <a:avLst/>
        </a:prstGeom>
        <a:noFill/>
        <a:ln w="0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4</xdr:col>
      <xdr:colOff>885825</xdr:colOff>
      <xdr:row>96</xdr:row>
      <xdr:rowOff>76200</xdr:rowOff>
    </xdr:from>
    <xdr:to>
      <xdr:col>4</xdr:col>
      <xdr:colOff>885825</xdr:colOff>
      <xdr:row>96</xdr:row>
      <xdr:rowOff>76200</xdr:rowOff>
    </xdr:to>
    <xdr:sp macro="" textlink="">
      <xdr:nvSpPr>
        <xdr:cNvPr id="58" name="Line 33">
          <a:extLst>
            <a:ext uri="{FF2B5EF4-FFF2-40B4-BE49-F238E27FC236}">
              <a16:creationId xmlns:a16="http://schemas.microsoft.com/office/drawing/2014/main" id="{00000000-0008-0000-2200-00003A000000}"/>
            </a:ext>
          </a:extLst>
        </xdr:cNvPr>
        <xdr:cNvSpPr>
          <a:spLocks noChangeShapeType="1"/>
        </xdr:cNvSpPr>
      </xdr:nvSpPr>
      <xdr:spPr bwMode="auto">
        <a:xfrm>
          <a:off x="6677025" y="18030825"/>
          <a:ext cx="0" cy="0"/>
        </a:xfrm>
        <a:prstGeom prst="line">
          <a:avLst/>
        </a:prstGeom>
        <a:noFill/>
        <a:ln w="0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4</xdr:col>
      <xdr:colOff>1200150</xdr:colOff>
      <xdr:row>105</xdr:row>
      <xdr:rowOff>28575</xdr:rowOff>
    </xdr:from>
    <xdr:to>
      <xdr:col>4</xdr:col>
      <xdr:colOff>1200150</xdr:colOff>
      <xdr:row>105</xdr:row>
      <xdr:rowOff>38100</xdr:rowOff>
    </xdr:to>
    <xdr:sp macro="" textlink="">
      <xdr:nvSpPr>
        <xdr:cNvPr id="59" name="Line 19">
          <a:extLst>
            <a:ext uri="{FF2B5EF4-FFF2-40B4-BE49-F238E27FC236}">
              <a16:creationId xmlns:a16="http://schemas.microsoft.com/office/drawing/2014/main" id="{00000000-0008-0000-2200-00003B000000}"/>
            </a:ext>
          </a:extLst>
        </xdr:cNvPr>
        <xdr:cNvSpPr>
          <a:spLocks noChangeShapeType="1"/>
        </xdr:cNvSpPr>
      </xdr:nvSpPr>
      <xdr:spPr bwMode="auto">
        <a:xfrm>
          <a:off x="6991350" y="19697700"/>
          <a:ext cx="0" cy="9525"/>
        </a:xfrm>
        <a:prstGeom prst="line">
          <a:avLst/>
        </a:prstGeom>
        <a:noFill/>
        <a:ln w="0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4</xdr:col>
      <xdr:colOff>1200150</xdr:colOff>
      <xdr:row>98</xdr:row>
      <xdr:rowOff>85725</xdr:rowOff>
    </xdr:from>
    <xdr:to>
      <xdr:col>4</xdr:col>
      <xdr:colOff>1200150</xdr:colOff>
      <xdr:row>98</xdr:row>
      <xdr:rowOff>95250</xdr:rowOff>
    </xdr:to>
    <xdr:sp macro="" textlink="">
      <xdr:nvSpPr>
        <xdr:cNvPr id="60" name="Line 26">
          <a:extLst>
            <a:ext uri="{FF2B5EF4-FFF2-40B4-BE49-F238E27FC236}">
              <a16:creationId xmlns:a16="http://schemas.microsoft.com/office/drawing/2014/main" id="{00000000-0008-0000-2200-00003C000000}"/>
            </a:ext>
          </a:extLst>
        </xdr:cNvPr>
        <xdr:cNvSpPr>
          <a:spLocks noChangeShapeType="1"/>
        </xdr:cNvSpPr>
      </xdr:nvSpPr>
      <xdr:spPr bwMode="auto">
        <a:xfrm>
          <a:off x="6991350" y="18421350"/>
          <a:ext cx="0" cy="9525"/>
        </a:xfrm>
        <a:prstGeom prst="line">
          <a:avLst/>
        </a:prstGeom>
        <a:noFill/>
        <a:ln w="0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4</xdr:col>
      <xdr:colOff>885825</xdr:colOff>
      <xdr:row>101</xdr:row>
      <xdr:rowOff>76200</xdr:rowOff>
    </xdr:from>
    <xdr:to>
      <xdr:col>4</xdr:col>
      <xdr:colOff>885825</xdr:colOff>
      <xdr:row>101</xdr:row>
      <xdr:rowOff>85725</xdr:rowOff>
    </xdr:to>
    <xdr:sp macro="" textlink="">
      <xdr:nvSpPr>
        <xdr:cNvPr id="61" name="Line 6">
          <a:extLst>
            <a:ext uri="{FF2B5EF4-FFF2-40B4-BE49-F238E27FC236}">
              <a16:creationId xmlns:a16="http://schemas.microsoft.com/office/drawing/2014/main" id="{00000000-0008-0000-2200-00003D000000}"/>
            </a:ext>
          </a:extLst>
        </xdr:cNvPr>
        <xdr:cNvSpPr>
          <a:spLocks noChangeShapeType="1"/>
        </xdr:cNvSpPr>
      </xdr:nvSpPr>
      <xdr:spPr bwMode="auto">
        <a:xfrm>
          <a:off x="6677025" y="18983325"/>
          <a:ext cx="0" cy="9525"/>
        </a:xfrm>
        <a:prstGeom prst="line">
          <a:avLst/>
        </a:prstGeom>
        <a:noFill/>
        <a:ln w="0">
          <a:solidFill>
            <a:srgbClr val="000000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4</xdr:col>
      <xdr:colOff>885825</xdr:colOff>
      <xdr:row>104</xdr:row>
      <xdr:rowOff>57150</xdr:rowOff>
    </xdr:from>
    <xdr:to>
      <xdr:col>4</xdr:col>
      <xdr:colOff>885825</xdr:colOff>
      <xdr:row>104</xdr:row>
      <xdr:rowOff>66675</xdr:rowOff>
    </xdr:to>
    <xdr:sp macro="" textlink="">
      <xdr:nvSpPr>
        <xdr:cNvPr id="62" name="Line 13">
          <a:extLst>
            <a:ext uri="{FF2B5EF4-FFF2-40B4-BE49-F238E27FC236}">
              <a16:creationId xmlns:a16="http://schemas.microsoft.com/office/drawing/2014/main" id="{00000000-0008-0000-2200-00003E000000}"/>
            </a:ext>
          </a:extLst>
        </xdr:cNvPr>
        <xdr:cNvSpPr>
          <a:spLocks noChangeShapeType="1"/>
        </xdr:cNvSpPr>
      </xdr:nvSpPr>
      <xdr:spPr bwMode="auto">
        <a:xfrm>
          <a:off x="6677025" y="19535775"/>
          <a:ext cx="0" cy="9525"/>
        </a:xfrm>
        <a:prstGeom prst="line">
          <a:avLst/>
        </a:prstGeom>
        <a:noFill/>
        <a:ln w="0">
          <a:solidFill>
            <a:srgbClr val="000000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4</xdr:col>
      <xdr:colOff>885825</xdr:colOff>
      <xdr:row>108</xdr:row>
      <xdr:rowOff>95250</xdr:rowOff>
    </xdr:from>
    <xdr:to>
      <xdr:col>4</xdr:col>
      <xdr:colOff>885825</xdr:colOff>
      <xdr:row>108</xdr:row>
      <xdr:rowOff>104775</xdr:rowOff>
    </xdr:to>
    <xdr:sp macro="" textlink="">
      <xdr:nvSpPr>
        <xdr:cNvPr id="63" name="Line 20">
          <a:extLst>
            <a:ext uri="{FF2B5EF4-FFF2-40B4-BE49-F238E27FC236}">
              <a16:creationId xmlns:a16="http://schemas.microsoft.com/office/drawing/2014/main" id="{00000000-0008-0000-2200-00003F000000}"/>
            </a:ext>
          </a:extLst>
        </xdr:cNvPr>
        <xdr:cNvSpPr>
          <a:spLocks noChangeShapeType="1"/>
        </xdr:cNvSpPr>
      </xdr:nvSpPr>
      <xdr:spPr bwMode="auto">
        <a:xfrm>
          <a:off x="6677025" y="20335875"/>
          <a:ext cx="0" cy="9525"/>
        </a:xfrm>
        <a:prstGeom prst="line">
          <a:avLst/>
        </a:prstGeom>
        <a:noFill/>
        <a:ln w="0">
          <a:solidFill>
            <a:srgbClr val="000000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4</xdr:col>
      <xdr:colOff>885825</xdr:colOff>
      <xdr:row>101</xdr:row>
      <xdr:rowOff>152400</xdr:rowOff>
    </xdr:from>
    <xdr:to>
      <xdr:col>4</xdr:col>
      <xdr:colOff>885825</xdr:colOff>
      <xdr:row>102</xdr:row>
      <xdr:rowOff>0</xdr:rowOff>
    </xdr:to>
    <xdr:sp macro="" textlink="">
      <xdr:nvSpPr>
        <xdr:cNvPr id="64" name="Line 27">
          <a:extLst>
            <a:ext uri="{FF2B5EF4-FFF2-40B4-BE49-F238E27FC236}">
              <a16:creationId xmlns:a16="http://schemas.microsoft.com/office/drawing/2014/main" id="{00000000-0008-0000-2200-000040000000}"/>
            </a:ext>
          </a:extLst>
        </xdr:cNvPr>
        <xdr:cNvSpPr>
          <a:spLocks noChangeShapeType="1"/>
        </xdr:cNvSpPr>
      </xdr:nvSpPr>
      <xdr:spPr bwMode="auto">
        <a:xfrm>
          <a:off x="6677025" y="19059525"/>
          <a:ext cx="0" cy="38100"/>
        </a:xfrm>
        <a:prstGeom prst="line">
          <a:avLst/>
        </a:prstGeom>
        <a:noFill/>
        <a:ln w="0">
          <a:solidFill>
            <a:srgbClr val="000000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4</xdr:col>
      <xdr:colOff>885825</xdr:colOff>
      <xdr:row>104</xdr:row>
      <xdr:rowOff>85725</xdr:rowOff>
    </xdr:from>
    <xdr:to>
      <xdr:col>4</xdr:col>
      <xdr:colOff>885825</xdr:colOff>
      <xdr:row>104</xdr:row>
      <xdr:rowOff>85725</xdr:rowOff>
    </xdr:to>
    <xdr:sp macro="" textlink="">
      <xdr:nvSpPr>
        <xdr:cNvPr id="65" name="Line 19">
          <a:extLst>
            <a:ext uri="{FF2B5EF4-FFF2-40B4-BE49-F238E27FC236}">
              <a16:creationId xmlns:a16="http://schemas.microsoft.com/office/drawing/2014/main" id="{00000000-0008-0000-2200-000041000000}"/>
            </a:ext>
          </a:extLst>
        </xdr:cNvPr>
        <xdr:cNvSpPr>
          <a:spLocks noChangeShapeType="1"/>
        </xdr:cNvSpPr>
      </xdr:nvSpPr>
      <xdr:spPr bwMode="auto">
        <a:xfrm>
          <a:off x="6677025" y="19564350"/>
          <a:ext cx="0" cy="0"/>
        </a:xfrm>
        <a:prstGeom prst="line">
          <a:avLst/>
        </a:prstGeom>
        <a:noFill/>
        <a:ln w="0">
          <a:solidFill>
            <a:srgbClr val="000000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4</xdr:col>
      <xdr:colOff>885825</xdr:colOff>
      <xdr:row>101</xdr:row>
      <xdr:rowOff>76200</xdr:rowOff>
    </xdr:from>
    <xdr:to>
      <xdr:col>4</xdr:col>
      <xdr:colOff>885825</xdr:colOff>
      <xdr:row>101</xdr:row>
      <xdr:rowOff>85725</xdr:rowOff>
    </xdr:to>
    <xdr:sp macro="" textlink="">
      <xdr:nvSpPr>
        <xdr:cNvPr id="66" name="Line 19">
          <a:extLst>
            <a:ext uri="{FF2B5EF4-FFF2-40B4-BE49-F238E27FC236}">
              <a16:creationId xmlns:a16="http://schemas.microsoft.com/office/drawing/2014/main" id="{00000000-0008-0000-2200-000042000000}"/>
            </a:ext>
          </a:extLst>
        </xdr:cNvPr>
        <xdr:cNvSpPr>
          <a:spLocks noChangeShapeType="1"/>
        </xdr:cNvSpPr>
      </xdr:nvSpPr>
      <xdr:spPr bwMode="auto">
        <a:xfrm>
          <a:off x="6677025" y="18983325"/>
          <a:ext cx="0" cy="9525"/>
        </a:xfrm>
        <a:prstGeom prst="line">
          <a:avLst/>
        </a:prstGeom>
        <a:noFill/>
        <a:ln w="0">
          <a:solidFill>
            <a:srgbClr val="000000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4</xdr:col>
      <xdr:colOff>781050</xdr:colOff>
      <xdr:row>101</xdr:row>
      <xdr:rowOff>57150</xdr:rowOff>
    </xdr:from>
    <xdr:to>
      <xdr:col>4</xdr:col>
      <xdr:colOff>781050</xdr:colOff>
      <xdr:row>101</xdr:row>
      <xdr:rowOff>66675</xdr:rowOff>
    </xdr:to>
    <xdr:sp macro="" textlink="">
      <xdr:nvSpPr>
        <xdr:cNvPr id="67" name="Line 12">
          <a:extLst>
            <a:ext uri="{FF2B5EF4-FFF2-40B4-BE49-F238E27FC236}">
              <a16:creationId xmlns:a16="http://schemas.microsoft.com/office/drawing/2014/main" id="{00000000-0008-0000-2200-000043000000}"/>
            </a:ext>
          </a:extLst>
        </xdr:cNvPr>
        <xdr:cNvSpPr>
          <a:spLocks noChangeShapeType="1"/>
        </xdr:cNvSpPr>
      </xdr:nvSpPr>
      <xdr:spPr bwMode="auto">
        <a:xfrm>
          <a:off x="6572250" y="18964275"/>
          <a:ext cx="0" cy="9525"/>
        </a:xfrm>
        <a:prstGeom prst="line">
          <a:avLst/>
        </a:prstGeom>
        <a:noFill/>
        <a:ln w="0">
          <a:solidFill>
            <a:srgbClr val="000000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4</xdr:col>
      <xdr:colOff>781050</xdr:colOff>
      <xdr:row>108</xdr:row>
      <xdr:rowOff>152400</xdr:rowOff>
    </xdr:from>
    <xdr:to>
      <xdr:col>4</xdr:col>
      <xdr:colOff>781050</xdr:colOff>
      <xdr:row>109</xdr:row>
      <xdr:rowOff>0</xdr:rowOff>
    </xdr:to>
    <xdr:sp macro="" textlink="">
      <xdr:nvSpPr>
        <xdr:cNvPr id="68" name="Line 12">
          <a:extLst>
            <a:ext uri="{FF2B5EF4-FFF2-40B4-BE49-F238E27FC236}">
              <a16:creationId xmlns:a16="http://schemas.microsoft.com/office/drawing/2014/main" id="{00000000-0008-0000-2200-000044000000}"/>
            </a:ext>
          </a:extLst>
        </xdr:cNvPr>
        <xdr:cNvSpPr>
          <a:spLocks noChangeShapeType="1"/>
        </xdr:cNvSpPr>
      </xdr:nvSpPr>
      <xdr:spPr bwMode="auto">
        <a:xfrm>
          <a:off x="6572250" y="20393025"/>
          <a:ext cx="0" cy="38100"/>
        </a:xfrm>
        <a:prstGeom prst="line">
          <a:avLst/>
        </a:prstGeom>
        <a:noFill/>
        <a:ln w="0">
          <a:solidFill>
            <a:srgbClr val="000000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5</xdr:col>
      <xdr:colOff>1200150</xdr:colOff>
      <xdr:row>98</xdr:row>
      <xdr:rowOff>85725</xdr:rowOff>
    </xdr:from>
    <xdr:to>
      <xdr:col>5</xdr:col>
      <xdr:colOff>1200150</xdr:colOff>
      <xdr:row>98</xdr:row>
      <xdr:rowOff>95250</xdr:rowOff>
    </xdr:to>
    <xdr:sp macro="" textlink="">
      <xdr:nvSpPr>
        <xdr:cNvPr id="69" name="Line 26">
          <a:extLst>
            <a:ext uri="{FF2B5EF4-FFF2-40B4-BE49-F238E27FC236}">
              <a16:creationId xmlns:a16="http://schemas.microsoft.com/office/drawing/2014/main" id="{00000000-0008-0000-2200-000045000000}"/>
            </a:ext>
          </a:extLst>
        </xdr:cNvPr>
        <xdr:cNvSpPr>
          <a:spLocks noChangeShapeType="1"/>
        </xdr:cNvSpPr>
      </xdr:nvSpPr>
      <xdr:spPr bwMode="auto">
        <a:xfrm>
          <a:off x="8534400" y="18421350"/>
          <a:ext cx="0" cy="9525"/>
        </a:xfrm>
        <a:prstGeom prst="line">
          <a:avLst/>
        </a:prstGeom>
        <a:noFill/>
        <a:ln w="0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4</xdr:col>
      <xdr:colOff>885825</xdr:colOff>
      <xdr:row>119</xdr:row>
      <xdr:rowOff>0</xdr:rowOff>
    </xdr:from>
    <xdr:to>
      <xdr:col>4</xdr:col>
      <xdr:colOff>885825</xdr:colOff>
      <xdr:row>119</xdr:row>
      <xdr:rowOff>0</xdr:rowOff>
    </xdr:to>
    <xdr:sp macro="" textlink="">
      <xdr:nvSpPr>
        <xdr:cNvPr id="70" name="Line 12">
          <a:extLst>
            <a:ext uri="{FF2B5EF4-FFF2-40B4-BE49-F238E27FC236}">
              <a16:creationId xmlns:a16="http://schemas.microsoft.com/office/drawing/2014/main" id="{00000000-0008-0000-2200-000046000000}"/>
            </a:ext>
          </a:extLst>
        </xdr:cNvPr>
        <xdr:cNvSpPr>
          <a:spLocks noChangeShapeType="1"/>
        </xdr:cNvSpPr>
      </xdr:nvSpPr>
      <xdr:spPr bwMode="auto">
        <a:xfrm>
          <a:off x="6677025" y="22412325"/>
          <a:ext cx="0" cy="0"/>
        </a:xfrm>
        <a:prstGeom prst="line">
          <a:avLst/>
        </a:prstGeom>
        <a:noFill/>
        <a:ln w="0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4</xdr:col>
      <xdr:colOff>885825</xdr:colOff>
      <xdr:row>119</xdr:row>
      <xdr:rowOff>76200</xdr:rowOff>
    </xdr:from>
    <xdr:to>
      <xdr:col>4</xdr:col>
      <xdr:colOff>885825</xdr:colOff>
      <xdr:row>119</xdr:row>
      <xdr:rowOff>76200</xdr:rowOff>
    </xdr:to>
    <xdr:sp macro="" textlink="">
      <xdr:nvSpPr>
        <xdr:cNvPr id="71" name="Line 33">
          <a:extLst>
            <a:ext uri="{FF2B5EF4-FFF2-40B4-BE49-F238E27FC236}">
              <a16:creationId xmlns:a16="http://schemas.microsoft.com/office/drawing/2014/main" id="{00000000-0008-0000-2200-000047000000}"/>
            </a:ext>
          </a:extLst>
        </xdr:cNvPr>
        <xdr:cNvSpPr>
          <a:spLocks noChangeShapeType="1"/>
        </xdr:cNvSpPr>
      </xdr:nvSpPr>
      <xdr:spPr bwMode="auto">
        <a:xfrm>
          <a:off x="6677025" y="22488525"/>
          <a:ext cx="0" cy="0"/>
        </a:xfrm>
        <a:prstGeom prst="line">
          <a:avLst/>
        </a:prstGeom>
        <a:noFill/>
        <a:ln w="0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4</xdr:col>
      <xdr:colOff>1200150</xdr:colOff>
      <xdr:row>130</xdr:row>
      <xdr:rowOff>28575</xdr:rowOff>
    </xdr:from>
    <xdr:to>
      <xdr:col>4</xdr:col>
      <xdr:colOff>1200150</xdr:colOff>
      <xdr:row>130</xdr:row>
      <xdr:rowOff>38100</xdr:rowOff>
    </xdr:to>
    <xdr:sp macro="" textlink="">
      <xdr:nvSpPr>
        <xdr:cNvPr id="72" name="Line 19">
          <a:extLst>
            <a:ext uri="{FF2B5EF4-FFF2-40B4-BE49-F238E27FC236}">
              <a16:creationId xmlns:a16="http://schemas.microsoft.com/office/drawing/2014/main" id="{00000000-0008-0000-2200-000048000000}"/>
            </a:ext>
          </a:extLst>
        </xdr:cNvPr>
        <xdr:cNvSpPr>
          <a:spLocks noChangeShapeType="1"/>
        </xdr:cNvSpPr>
      </xdr:nvSpPr>
      <xdr:spPr bwMode="auto">
        <a:xfrm>
          <a:off x="6991350" y="24155400"/>
          <a:ext cx="0" cy="9525"/>
        </a:xfrm>
        <a:prstGeom prst="line">
          <a:avLst/>
        </a:prstGeom>
        <a:noFill/>
        <a:ln w="0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4</xdr:col>
      <xdr:colOff>1200150</xdr:colOff>
      <xdr:row>121</xdr:row>
      <xdr:rowOff>85725</xdr:rowOff>
    </xdr:from>
    <xdr:to>
      <xdr:col>4</xdr:col>
      <xdr:colOff>1200150</xdr:colOff>
      <xdr:row>121</xdr:row>
      <xdr:rowOff>95250</xdr:rowOff>
    </xdr:to>
    <xdr:sp macro="" textlink="">
      <xdr:nvSpPr>
        <xdr:cNvPr id="73" name="Line 26">
          <a:extLst>
            <a:ext uri="{FF2B5EF4-FFF2-40B4-BE49-F238E27FC236}">
              <a16:creationId xmlns:a16="http://schemas.microsoft.com/office/drawing/2014/main" id="{00000000-0008-0000-2200-000049000000}"/>
            </a:ext>
          </a:extLst>
        </xdr:cNvPr>
        <xdr:cNvSpPr>
          <a:spLocks noChangeShapeType="1"/>
        </xdr:cNvSpPr>
      </xdr:nvSpPr>
      <xdr:spPr bwMode="auto">
        <a:xfrm>
          <a:off x="6991350" y="22879050"/>
          <a:ext cx="0" cy="9525"/>
        </a:xfrm>
        <a:prstGeom prst="line">
          <a:avLst/>
        </a:prstGeom>
        <a:noFill/>
        <a:ln w="0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4</xdr:col>
      <xdr:colOff>885825</xdr:colOff>
      <xdr:row>124</xdr:row>
      <xdr:rowOff>76200</xdr:rowOff>
    </xdr:from>
    <xdr:to>
      <xdr:col>4</xdr:col>
      <xdr:colOff>885825</xdr:colOff>
      <xdr:row>124</xdr:row>
      <xdr:rowOff>85725</xdr:rowOff>
    </xdr:to>
    <xdr:sp macro="" textlink="">
      <xdr:nvSpPr>
        <xdr:cNvPr id="74" name="Line 6">
          <a:extLst>
            <a:ext uri="{FF2B5EF4-FFF2-40B4-BE49-F238E27FC236}">
              <a16:creationId xmlns:a16="http://schemas.microsoft.com/office/drawing/2014/main" id="{00000000-0008-0000-2200-00004A000000}"/>
            </a:ext>
          </a:extLst>
        </xdr:cNvPr>
        <xdr:cNvSpPr>
          <a:spLocks noChangeShapeType="1"/>
        </xdr:cNvSpPr>
      </xdr:nvSpPr>
      <xdr:spPr bwMode="auto">
        <a:xfrm>
          <a:off x="6677025" y="23441025"/>
          <a:ext cx="0" cy="9525"/>
        </a:xfrm>
        <a:prstGeom prst="line">
          <a:avLst/>
        </a:prstGeom>
        <a:noFill/>
        <a:ln w="0">
          <a:solidFill>
            <a:srgbClr val="000000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4</xdr:col>
      <xdr:colOff>885825</xdr:colOff>
      <xdr:row>127</xdr:row>
      <xdr:rowOff>57150</xdr:rowOff>
    </xdr:from>
    <xdr:to>
      <xdr:col>4</xdr:col>
      <xdr:colOff>885825</xdr:colOff>
      <xdr:row>127</xdr:row>
      <xdr:rowOff>66675</xdr:rowOff>
    </xdr:to>
    <xdr:sp macro="" textlink="">
      <xdr:nvSpPr>
        <xdr:cNvPr id="75" name="Line 13">
          <a:extLst>
            <a:ext uri="{FF2B5EF4-FFF2-40B4-BE49-F238E27FC236}">
              <a16:creationId xmlns:a16="http://schemas.microsoft.com/office/drawing/2014/main" id="{00000000-0008-0000-2200-00004B000000}"/>
            </a:ext>
          </a:extLst>
        </xdr:cNvPr>
        <xdr:cNvSpPr>
          <a:spLocks noChangeShapeType="1"/>
        </xdr:cNvSpPr>
      </xdr:nvSpPr>
      <xdr:spPr bwMode="auto">
        <a:xfrm>
          <a:off x="6677025" y="23993475"/>
          <a:ext cx="0" cy="9525"/>
        </a:xfrm>
        <a:prstGeom prst="line">
          <a:avLst/>
        </a:prstGeom>
        <a:noFill/>
        <a:ln w="0">
          <a:solidFill>
            <a:srgbClr val="000000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4</xdr:col>
      <xdr:colOff>885825</xdr:colOff>
      <xdr:row>133</xdr:row>
      <xdr:rowOff>95250</xdr:rowOff>
    </xdr:from>
    <xdr:to>
      <xdr:col>4</xdr:col>
      <xdr:colOff>885825</xdr:colOff>
      <xdr:row>133</xdr:row>
      <xdr:rowOff>104775</xdr:rowOff>
    </xdr:to>
    <xdr:sp macro="" textlink="">
      <xdr:nvSpPr>
        <xdr:cNvPr id="76" name="Line 20">
          <a:extLst>
            <a:ext uri="{FF2B5EF4-FFF2-40B4-BE49-F238E27FC236}">
              <a16:creationId xmlns:a16="http://schemas.microsoft.com/office/drawing/2014/main" id="{00000000-0008-0000-2200-00004C000000}"/>
            </a:ext>
          </a:extLst>
        </xdr:cNvPr>
        <xdr:cNvSpPr>
          <a:spLocks noChangeShapeType="1"/>
        </xdr:cNvSpPr>
      </xdr:nvSpPr>
      <xdr:spPr bwMode="auto">
        <a:xfrm>
          <a:off x="6677025" y="24793575"/>
          <a:ext cx="0" cy="9525"/>
        </a:xfrm>
        <a:prstGeom prst="line">
          <a:avLst/>
        </a:prstGeom>
        <a:noFill/>
        <a:ln w="0">
          <a:solidFill>
            <a:srgbClr val="000000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4</xdr:col>
      <xdr:colOff>885825</xdr:colOff>
      <xdr:row>124</xdr:row>
      <xdr:rowOff>152400</xdr:rowOff>
    </xdr:from>
    <xdr:to>
      <xdr:col>4</xdr:col>
      <xdr:colOff>885825</xdr:colOff>
      <xdr:row>125</xdr:row>
      <xdr:rowOff>0</xdr:rowOff>
    </xdr:to>
    <xdr:sp macro="" textlink="">
      <xdr:nvSpPr>
        <xdr:cNvPr id="77" name="Line 27">
          <a:extLst>
            <a:ext uri="{FF2B5EF4-FFF2-40B4-BE49-F238E27FC236}">
              <a16:creationId xmlns:a16="http://schemas.microsoft.com/office/drawing/2014/main" id="{00000000-0008-0000-2200-00004D000000}"/>
            </a:ext>
          </a:extLst>
        </xdr:cNvPr>
        <xdr:cNvSpPr>
          <a:spLocks noChangeShapeType="1"/>
        </xdr:cNvSpPr>
      </xdr:nvSpPr>
      <xdr:spPr bwMode="auto">
        <a:xfrm>
          <a:off x="6677025" y="23517225"/>
          <a:ext cx="0" cy="38100"/>
        </a:xfrm>
        <a:prstGeom prst="line">
          <a:avLst/>
        </a:prstGeom>
        <a:noFill/>
        <a:ln w="0">
          <a:solidFill>
            <a:srgbClr val="000000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4</xdr:col>
      <xdr:colOff>885825</xdr:colOff>
      <xdr:row>127</xdr:row>
      <xdr:rowOff>85725</xdr:rowOff>
    </xdr:from>
    <xdr:to>
      <xdr:col>4</xdr:col>
      <xdr:colOff>885825</xdr:colOff>
      <xdr:row>127</xdr:row>
      <xdr:rowOff>85725</xdr:rowOff>
    </xdr:to>
    <xdr:sp macro="" textlink="">
      <xdr:nvSpPr>
        <xdr:cNvPr id="78" name="Line 19">
          <a:extLst>
            <a:ext uri="{FF2B5EF4-FFF2-40B4-BE49-F238E27FC236}">
              <a16:creationId xmlns:a16="http://schemas.microsoft.com/office/drawing/2014/main" id="{00000000-0008-0000-2200-00004E000000}"/>
            </a:ext>
          </a:extLst>
        </xdr:cNvPr>
        <xdr:cNvSpPr>
          <a:spLocks noChangeShapeType="1"/>
        </xdr:cNvSpPr>
      </xdr:nvSpPr>
      <xdr:spPr bwMode="auto">
        <a:xfrm>
          <a:off x="6677025" y="24022050"/>
          <a:ext cx="0" cy="0"/>
        </a:xfrm>
        <a:prstGeom prst="line">
          <a:avLst/>
        </a:prstGeom>
        <a:noFill/>
        <a:ln w="0">
          <a:solidFill>
            <a:srgbClr val="000000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4</xdr:col>
      <xdr:colOff>885825</xdr:colOff>
      <xdr:row>124</xdr:row>
      <xdr:rowOff>76200</xdr:rowOff>
    </xdr:from>
    <xdr:to>
      <xdr:col>4</xdr:col>
      <xdr:colOff>885825</xdr:colOff>
      <xdr:row>124</xdr:row>
      <xdr:rowOff>85725</xdr:rowOff>
    </xdr:to>
    <xdr:sp macro="" textlink="">
      <xdr:nvSpPr>
        <xdr:cNvPr id="79" name="Line 19">
          <a:extLst>
            <a:ext uri="{FF2B5EF4-FFF2-40B4-BE49-F238E27FC236}">
              <a16:creationId xmlns:a16="http://schemas.microsoft.com/office/drawing/2014/main" id="{00000000-0008-0000-2200-00004F000000}"/>
            </a:ext>
          </a:extLst>
        </xdr:cNvPr>
        <xdr:cNvSpPr>
          <a:spLocks noChangeShapeType="1"/>
        </xdr:cNvSpPr>
      </xdr:nvSpPr>
      <xdr:spPr bwMode="auto">
        <a:xfrm>
          <a:off x="6677025" y="23441025"/>
          <a:ext cx="0" cy="9525"/>
        </a:xfrm>
        <a:prstGeom prst="line">
          <a:avLst/>
        </a:prstGeom>
        <a:noFill/>
        <a:ln w="0">
          <a:solidFill>
            <a:srgbClr val="000000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4</xdr:col>
      <xdr:colOff>781050</xdr:colOff>
      <xdr:row>124</xdr:row>
      <xdr:rowOff>57150</xdr:rowOff>
    </xdr:from>
    <xdr:to>
      <xdr:col>4</xdr:col>
      <xdr:colOff>781050</xdr:colOff>
      <xdr:row>124</xdr:row>
      <xdr:rowOff>66675</xdr:rowOff>
    </xdr:to>
    <xdr:sp macro="" textlink="">
      <xdr:nvSpPr>
        <xdr:cNvPr id="80" name="Line 12">
          <a:extLst>
            <a:ext uri="{FF2B5EF4-FFF2-40B4-BE49-F238E27FC236}">
              <a16:creationId xmlns:a16="http://schemas.microsoft.com/office/drawing/2014/main" id="{00000000-0008-0000-2200-000050000000}"/>
            </a:ext>
          </a:extLst>
        </xdr:cNvPr>
        <xdr:cNvSpPr>
          <a:spLocks noChangeShapeType="1"/>
        </xdr:cNvSpPr>
      </xdr:nvSpPr>
      <xdr:spPr bwMode="auto">
        <a:xfrm>
          <a:off x="6572250" y="23421975"/>
          <a:ext cx="0" cy="9525"/>
        </a:xfrm>
        <a:prstGeom prst="line">
          <a:avLst/>
        </a:prstGeom>
        <a:noFill/>
        <a:ln w="0">
          <a:solidFill>
            <a:srgbClr val="000000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4</xdr:col>
      <xdr:colOff>781050</xdr:colOff>
      <xdr:row>133</xdr:row>
      <xdr:rowOff>152400</xdr:rowOff>
    </xdr:from>
    <xdr:to>
      <xdr:col>4</xdr:col>
      <xdr:colOff>781050</xdr:colOff>
      <xdr:row>134</xdr:row>
      <xdr:rowOff>0</xdr:rowOff>
    </xdr:to>
    <xdr:sp macro="" textlink="">
      <xdr:nvSpPr>
        <xdr:cNvPr id="81" name="Line 12">
          <a:extLst>
            <a:ext uri="{FF2B5EF4-FFF2-40B4-BE49-F238E27FC236}">
              <a16:creationId xmlns:a16="http://schemas.microsoft.com/office/drawing/2014/main" id="{00000000-0008-0000-2200-000051000000}"/>
            </a:ext>
          </a:extLst>
        </xdr:cNvPr>
        <xdr:cNvSpPr>
          <a:spLocks noChangeShapeType="1"/>
        </xdr:cNvSpPr>
      </xdr:nvSpPr>
      <xdr:spPr bwMode="auto">
        <a:xfrm>
          <a:off x="6572250" y="24850725"/>
          <a:ext cx="0" cy="38100"/>
        </a:xfrm>
        <a:prstGeom prst="line">
          <a:avLst/>
        </a:prstGeom>
        <a:noFill/>
        <a:ln w="0">
          <a:solidFill>
            <a:srgbClr val="000000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5</xdr:col>
      <xdr:colOff>1200150</xdr:colOff>
      <xdr:row>121</xdr:row>
      <xdr:rowOff>85725</xdr:rowOff>
    </xdr:from>
    <xdr:to>
      <xdr:col>5</xdr:col>
      <xdr:colOff>1200150</xdr:colOff>
      <xdr:row>121</xdr:row>
      <xdr:rowOff>95250</xdr:rowOff>
    </xdr:to>
    <xdr:sp macro="" textlink="">
      <xdr:nvSpPr>
        <xdr:cNvPr id="82" name="Line 26">
          <a:extLst>
            <a:ext uri="{FF2B5EF4-FFF2-40B4-BE49-F238E27FC236}">
              <a16:creationId xmlns:a16="http://schemas.microsoft.com/office/drawing/2014/main" id="{00000000-0008-0000-2200-000052000000}"/>
            </a:ext>
          </a:extLst>
        </xdr:cNvPr>
        <xdr:cNvSpPr>
          <a:spLocks noChangeShapeType="1"/>
        </xdr:cNvSpPr>
      </xdr:nvSpPr>
      <xdr:spPr bwMode="auto">
        <a:xfrm>
          <a:off x="8534400" y="22879050"/>
          <a:ext cx="0" cy="9525"/>
        </a:xfrm>
        <a:prstGeom prst="line">
          <a:avLst/>
        </a:prstGeom>
        <a:noFill/>
        <a:ln w="0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4</xdr:col>
      <xdr:colOff>885825</xdr:colOff>
      <xdr:row>144</xdr:row>
      <xdr:rowOff>0</xdr:rowOff>
    </xdr:from>
    <xdr:to>
      <xdr:col>4</xdr:col>
      <xdr:colOff>885825</xdr:colOff>
      <xdr:row>144</xdr:row>
      <xdr:rowOff>0</xdr:rowOff>
    </xdr:to>
    <xdr:sp macro="" textlink="">
      <xdr:nvSpPr>
        <xdr:cNvPr id="83" name="Line 12">
          <a:extLst>
            <a:ext uri="{FF2B5EF4-FFF2-40B4-BE49-F238E27FC236}">
              <a16:creationId xmlns:a16="http://schemas.microsoft.com/office/drawing/2014/main" id="{00000000-0008-0000-2200-000053000000}"/>
            </a:ext>
          </a:extLst>
        </xdr:cNvPr>
        <xdr:cNvSpPr>
          <a:spLocks noChangeShapeType="1"/>
        </xdr:cNvSpPr>
      </xdr:nvSpPr>
      <xdr:spPr bwMode="auto">
        <a:xfrm>
          <a:off x="6677025" y="26870025"/>
          <a:ext cx="0" cy="0"/>
        </a:xfrm>
        <a:prstGeom prst="line">
          <a:avLst/>
        </a:prstGeom>
        <a:noFill/>
        <a:ln w="0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4</xdr:col>
      <xdr:colOff>885825</xdr:colOff>
      <xdr:row>144</xdr:row>
      <xdr:rowOff>76200</xdr:rowOff>
    </xdr:from>
    <xdr:to>
      <xdr:col>4</xdr:col>
      <xdr:colOff>885825</xdr:colOff>
      <xdr:row>144</xdr:row>
      <xdr:rowOff>76200</xdr:rowOff>
    </xdr:to>
    <xdr:sp macro="" textlink="">
      <xdr:nvSpPr>
        <xdr:cNvPr id="84" name="Line 33">
          <a:extLst>
            <a:ext uri="{FF2B5EF4-FFF2-40B4-BE49-F238E27FC236}">
              <a16:creationId xmlns:a16="http://schemas.microsoft.com/office/drawing/2014/main" id="{00000000-0008-0000-2200-000054000000}"/>
            </a:ext>
          </a:extLst>
        </xdr:cNvPr>
        <xdr:cNvSpPr>
          <a:spLocks noChangeShapeType="1"/>
        </xdr:cNvSpPr>
      </xdr:nvSpPr>
      <xdr:spPr bwMode="auto">
        <a:xfrm>
          <a:off x="6677025" y="26946225"/>
          <a:ext cx="0" cy="0"/>
        </a:xfrm>
        <a:prstGeom prst="line">
          <a:avLst/>
        </a:prstGeom>
        <a:noFill/>
        <a:ln w="0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4</xdr:col>
      <xdr:colOff>1200150</xdr:colOff>
      <xdr:row>153</xdr:row>
      <xdr:rowOff>28575</xdr:rowOff>
    </xdr:from>
    <xdr:to>
      <xdr:col>4</xdr:col>
      <xdr:colOff>1200150</xdr:colOff>
      <xdr:row>153</xdr:row>
      <xdr:rowOff>38100</xdr:rowOff>
    </xdr:to>
    <xdr:sp macro="" textlink="">
      <xdr:nvSpPr>
        <xdr:cNvPr id="85" name="Line 19">
          <a:extLst>
            <a:ext uri="{FF2B5EF4-FFF2-40B4-BE49-F238E27FC236}">
              <a16:creationId xmlns:a16="http://schemas.microsoft.com/office/drawing/2014/main" id="{00000000-0008-0000-2200-000055000000}"/>
            </a:ext>
          </a:extLst>
        </xdr:cNvPr>
        <xdr:cNvSpPr>
          <a:spLocks noChangeShapeType="1"/>
        </xdr:cNvSpPr>
      </xdr:nvSpPr>
      <xdr:spPr bwMode="auto">
        <a:xfrm>
          <a:off x="6991350" y="28613100"/>
          <a:ext cx="0" cy="9525"/>
        </a:xfrm>
        <a:prstGeom prst="line">
          <a:avLst/>
        </a:prstGeom>
        <a:noFill/>
        <a:ln w="0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4</xdr:col>
      <xdr:colOff>1200150</xdr:colOff>
      <xdr:row>146</xdr:row>
      <xdr:rowOff>85725</xdr:rowOff>
    </xdr:from>
    <xdr:to>
      <xdr:col>4</xdr:col>
      <xdr:colOff>1200150</xdr:colOff>
      <xdr:row>146</xdr:row>
      <xdr:rowOff>95250</xdr:rowOff>
    </xdr:to>
    <xdr:sp macro="" textlink="">
      <xdr:nvSpPr>
        <xdr:cNvPr id="86" name="Line 26">
          <a:extLst>
            <a:ext uri="{FF2B5EF4-FFF2-40B4-BE49-F238E27FC236}">
              <a16:creationId xmlns:a16="http://schemas.microsoft.com/office/drawing/2014/main" id="{00000000-0008-0000-2200-000056000000}"/>
            </a:ext>
          </a:extLst>
        </xdr:cNvPr>
        <xdr:cNvSpPr>
          <a:spLocks noChangeShapeType="1"/>
        </xdr:cNvSpPr>
      </xdr:nvSpPr>
      <xdr:spPr bwMode="auto">
        <a:xfrm>
          <a:off x="6991350" y="27336750"/>
          <a:ext cx="0" cy="9525"/>
        </a:xfrm>
        <a:prstGeom prst="line">
          <a:avLst/>
        </a:prstGeom>
        <a:noFill/>
        <a:ln w="0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4</xdr:col>
      <xdr:colOff>885825</xdr:colOff>
      <xdr:row>149</xdr:row>
      <xdr:rowOff>76200</xdr:rowOff>
    </xdr:from>
    <xdr:to>
      <xdr:col>4</xdr:col>
      <xdr:colOff>885825</xdr:colOff>
      <xdr:row>149</xdr:row>
      <xdr:rowOff>85725</xdr:rowOff>
    </xdr:to>
    <xdr:sp macro="" textlink="">
      <xdr:nvSpPr>
        <xdr:cNvPr id="87" name="Line 6">
          <a:extLst>
            <a:ext uri="{FF2B5EF4-FFF2-40B4-BE49-F238E27FC236}">
              <a16:creationId xmlns:a16="http://schemas.microsoft.com/office/drawing/2014/main" id="{00000000-0008-0000-2200-000057000000}"/>
            </a:ext>
          </a:extLst>
        </xdr:cNvPr>
        <xdr:cNvSpPr>
          <a:spLocks noChangeShapeType="1"/>
        </xdr:cNvSpPr>
      </xdr:nvSpPr>
      <xdr:spPr bwMode="auto">
        <a:xfrm>
          <a:off x="6677025" y="27898725"/>
          <a:ext cx="0" cy="9525"/>
        </a:xfrm>
        <a:prstGeom prst="line">
          <a:avLst/>
        </a:prstGeom>
        <a:noFill/>
        <a:ln w="0">
          <a:solidFill>
            <a:srgbClr val="000000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4</xdr:col>
      <xdr:colOff>885825</xdr:colOff>
      <xdr:row>152</xdr:row>
      <xdr:rowOff>57150</xdr:rowOff>
    </xdr:from>
    <xdr:to>
      <xdr:col>4</xdr:col>
      <xdr:colOff>885825</xdr:colOff>
      <xdr:row>152</xdr:row>
      <xdr:rowOff>66675</xdr:rowOff>
    </xdr:to>
    <xdr:sp macro="" textlink="">
      <xdr:nvSpPr>
        <xdr:cNvPr id="88" name="Line 13">
          <a:extLst>
            <a:ext uri="{FF2B5EF4-FFF2-40B4-BE49-F238E27FC236}">
              <a16:creationId xmlns:a16="http://schemas.microsoft.com/office/drawing/2014/main" id="{00000000-0008-0000-2200-000058000000}"/>
            </a:ext>
          </a:extLst>
        </xdr:cNvPr>
        <xdr:cNvSpPr>
          <a:spLocks noChangeShapeType="1"/>
        </xdr:cNvSpPr>
      </xdr:nvSpPr>
      <xdr:spPr bwMode="auto">
        <a:xfrm>
          <a:off x="6677025" y="28451175"/>
          <a:ext cx="0" cy="9525"/>
        </a:xfrm>
        <a:prstGeom prst="line">
          <a:avLst/>
        </a:prstGeom>
        <a:noFill/>
        <a:ln w="0">
          <a:solidFill>
            <a:srgbClr val="000000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4</xdr:col>
      <xdr:colOff>885825</xdr:colOff>
      <xdr:row>156</xdr:row>
      <xdr:rowOff>95250</xdr:rowOff>
    </xdr:from>
    <xdr:to>
      <xdr:col>4</xdr:col>
      <xdr:colOff>885825</xdr:colOff>
      <xdr:row>156</xdr:row>
      <xdr:rowOff>104775</xdr:rowOff>
    </xdr:to>
    <xdr:sp macro="" textlink="">
      <xdr:nvSpPr>
        <xdr:cNvPr id="89" name="Line 20">
          <a:extLst>
            <a:ext uri="{FF2B5EF4-FFF2-40B4-BE49-F238E27FC236}">
              <a16:creationId xmlns:a16="http://schemas.microsoft.com/office/drawing/2014/main" id="{00000000-0008-0000-2200-000059000000}"/>
            </a:ext>
          </a:extLst>
        </xdr:cNvPr>
        <xdr:cNvSpPr>
          <a:spLocks noChangeShapeType="1"/>
        </xdr:cNvSpPr>
      </xdr:nvSpPr>
      <xdr:spPr bwMode="auto">
        <a:xfrm>
          <a:off x="6677025" y="29251275"/>
          <a:ext cx="0" cy="9525"/>
        </a:xfrm>
        <a:prstGeom prst="line">
          <a:avLst/>
        </a:prstGeom>
        <a:noFill/>
        <a:ln w="0">
          <a:solidFill>
            <a:srgbClr val="000000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4</xdr:col>
      <xdr:colOff>885825</xdr:colOff>
      <xdr:row>149</xdr:row>
      <xdr:rowOff>152400</xdr:rowOff>
    </xdr:from>
    <xdr:to>
      <xdr:col>4</xdr:col>
      <xdr:colOff>885825</xdr:colOff>
      <xdr:row>150</xdr:row>
      <xdr:rowOff>0</xdr:rowOff>
    </xdr:to>
    <xdr:sp macro="" textlink="">
      <xdr:nvSpPr>
        <xdr:cNvPr id="90" name="Line 27">
          <a:extLst>
            <a:ext uri="{FF2B5EF4-FFF2-40B4-BE49-F238E27FC236}">
              <a16:creationId xmlns:a16="http://schemas.microsoft.com/office/drawing/2014/main" id="{00000000-0008-0000-2200-00005A000000}"/>
            </a:ext>
          </a:extLst>
        </xdr:cNvPr>
        <xdr:cNvSpPr>
          <a:spLocks noChangeShapeType="1"/>
        </xdr:cNvSpPr>
      </xdr:nvSpPr>
      <xdr:spPr bwMode="auto">
        <a:xfrm>
          <a:off x="6677025" y="27974925"/>
          <a:ext cx="0" cy="38100"/>
        </a:xfrm>
        <a:prstGeom prst="line">
          <a:avLst/>
        </a:prstGeom>
        <a:noFill/>
        <a:ln w="0">
          <a:solidFill>
            <a:srgbClr val="000000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4</xdr:col>
      <xdr:colOff>885825</xdr:colOff>
      <xdr:row>152</xdr:row>
      <xdr:rowOff>85725</xdr:rowOff>
    </xdr:from>
    <xdr:to>
      <xdr:col>4</xdr:col>
      <xdr:colOff>885825</xdr:colOff>
      <xdr:row>152</xdr:row>
      <xdr:rowOff>85725</xdr:rowOff>
    </xdr:to>
    <xdr:sp macro="" textlink="">
      <xdr:nvSpPr>
        <xdr:cNvPr id="91" name="Line 19">
          <a:extLst>
            <a:ext uri="{FF2B5EF4-FFF2-40B4-BE49-F238E27FC236}">
              <a16:creationId xmlns:a16="http://schemas.microsoft.com/office/drawing/2014/main" id="{00000000-0008-0000-2200-00005B000000}"/>
            </a:ext>
          </a:extLst>
        </xdr:cNvPr>
        <xdr:cNvSpPr>
          <a:spLocks noChangeShapeType="1"/>
        </xdr:cNvSpPr>
      </xdr:nvSpPr>
      <xdr:spPr bwMode="auto">
        <a:xfrm>
          <a:off x="6677025" y="28479750"/>
          <a:ext cx="0" cy="0"/>
        </a:xfrm>
        <a:prstGeom prst="line">
          <a:avLst/>
        </a:prstGeom>
        <a:noFill/>
        <a:ln w="0">
          <a:solidFill>
            <a:srgbClr val="000000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4</xdr:col>
      <xdr:colOff>885825</xdr:colOff>
      <xdr:row>149</xdr:row>
      <xdr:rowOff>76200</xdr:rowOff>
    </xdr:from>
    <xdr:to>
      <xdr:col>4</xdr:col>
      <xdr:colOff>885825</xdr:colOff>
      <xdr:row>149</xdr:row>
      <xdr:rowOff>85725</xdr:rowOff>
    </xdr:to>
    <xdr:sp macro="" textlink="">
      <xdr:nvSpPr>
        <xdr:cNvPr id="92" name="Line 19">
          <a:extLst>
            <a:ext uri="{FF2B5EF4-FFF2-40B4-BE49-F238E27FC236}">
              <a16:creationId xmlns:a16="http://schemas.microsoft.com/office/drawing/2014/main" id="{00000000-0008-0000-2200-00005C000000}"/>
            </a:ext>
          </a:extLst>
        </xdr:cNvPr>
        <xdr:cNvSpPr>
          <a:spLocks noChangeShapeType="1"/>
        </xdr:cNvSpPr>
      </xdr:nvSpPr>
      <xdr:spPr bwMode="auto">
        <a:xfrm>
          <a:off x="6677025" y="27898725"/>
          <a:ext cx="0" cy="9525"/>
        </a:xfrm>
        <a:prstGeom prst="line">
          <a:avLst/>
        </a:prstGeom>
        <a:noFill/>
        <a:ln w="0">
          <a:solidFill>
            <a:srgbClr val="000000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4</xdr:col>
      <xdr:colOff>781050</xdr:colOff>
      <xdr:row>149</xdr:row>
      <xdr:rowOff>57150</xdr:rowOff>
    </xdr:from>
    <xdr:to>
      <xdr:col>4</xdr:col>
      <xdr:colOff>781050</xdr:colOff>
      <xdr:row>149</xdr:row>
      <xdr:rowOff>66675</xdr:rowOff>
    </xdr:to>
    <xdr:sp macro="" textlink="">
      <xdr:nvSpPr>
        <xdr:cNvPr id="93" name="Line 12">
          <a:extLst>
            <a:ext uri="{FF2B5EF4-FFF2-40B4-BE49-F238E27FC236}">
              <a16:creationId xmlns:a16="http://schemas.microsoft.com/office/drawing/2014/main" id="{00000000-0008-0000-2200-00005D000000}"/>
            </a:ext>
          </a:extLst>
        </xdr:cNvPr>
        <xdr:cNvSpPr>
          <a:spLocks noChangeShapeType="1"/>
        </xdr:cNvSpPr>
      </xdr:nvSpPr>
      <xdr:spPr bwMode="auto">
        <a:xfrm>
          <a:off x="6572250" y="27879675"/>
          <a:ext cx="0" cy="9525"/>
        </a:xfrm>
        <a:prstGeom prst="line">
          <a:avLst/>
        </a:prstGeom>
        <a:noFill/>
        <a:ln w="0">
          <a:solidFill>
            <a:srgbClr val="000000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4</xdr:col>
      <xdr:colOff>781050</xdr:colOff>
      <xdr:row>156</xdr:row>
      <xdr:rowOff>152400</xdr:rowOff>
    </xdr:from>
    <xdr:to>
      <xdr:col>4</xdr:col>
      <xdr:colOff>781050</xdr:colOff>
      <xdr:row>157</xdr:row>
      <xdr:rowOff>0</xdr:rowOff>
    </xdr:to>
    <xdr:sp macro="" textlink="">
      <xdr:nvSpPr>
        <xdr:cNvPr id="94" name="Line 12">
          <a:extLst>
            <a:ext uri="{FF2B5EF4-FFF2-40B4-BE49-F238E27FC236}">
              <a16:creationId xmlns:a16="http://schemas.microsoft.com/office/drawing/2014/main" id="{00000000-0008-0000-2200-00005E000000}"/>
            </a:ext>
          </a:extLst>
        </xdr:cNvPr>
        <xdr:cNvSpPr>
          <a:spLocks noChangeShapeType="1"/>
        </xdr:cNvSpPr>
      </xdr:nvSpPr>
      <xdr:spPr bwMode="auto">
        <a:xfrm>
          <a:off x="6572250" y="29308425"/>
          <a:ext cx="0" cy="38100"/>
        </a:xfrm>
        <a:prstGeom prst="line">
          <a:avLst/>
        </a:prstGeom>
        <a:noFill/>
        <a:ln w="0">
          <a:solidFill>
            <a:srgbClr val="000000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5</xdr:col>
      <xdr:colOff>1200150</xdr:colOff>
      <xdr:row>146</xdr:row>
      <xdr:rowOff>85725</xdr:rowOff>
    </xdr:from>
    <xdr:to>
      <xdr:col>5</xdr:col>
      <xdr:colOff>1200150</xdr:colOff>
      <xdr:row>146</xdr:row>
      <xdr:rowOff>95250</xdr:rowOff>
    </xdr:to>
    <xdr:sp macro="" textlink="">
      <xdr:nvSpPr>
        <xdr:cNvPr id="95" name="Line 26">
          <a:extLst>
            <a:ext uri="{FF2B5EF4-FFF2-40B4-BE49-F238E27FC236}">
              <a16:creationId xmlns:a16="http://schemas.microsoft.com/office/drawing/2014/main" id="{00000000-0008-0000-2200-00005F000000}"/>
            </a:ext>
          </a:extLst>
        </xdr:cNvPr>
        <xdr:cNvSpPr>
          <a:spLocks noChangeShapeType="1"/>
        </xdr:cNvSpPr>
      </xdr:nvSpPr>
      <xdr:spPr bwMode="auto">
        <a:xfrm>
          <a:off x="8534400" y="27336750"/>
          <a:ext cx="0" cy="9525"/>
        </a:xfrm>
        <a:prstGeom prst="line">
          <a:avLst/>
        </a:prstGeom>
        <a:noFill/>
        <a:ln w="0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4</xdr:col>
      <xdr:colOff>885825</xdr:colOff>
      <xdr:row>167</xdr:row>
      <xdr:rowOff>0</xdr:rowOff>
    </xdr:from>
    <xdr:to>
      <xdr:col>4</xdr:col>
      <xdr:colOff>885825</xdr:colOff>
      <xdr:row>167</xdr:row>
      <xdr:rowOff>0</xdr:rowOff>
    </xdr:to>
    <xdr:sp macro="" textlink="">
      <xdr:nvSpPr>
        <xdr:cNvPr id="96" name="Line 12">
          <a:extLst>
            <a:ext uri="{FF2B5EF4-FFF2-40B4-BE49-F238E27FC236}">
              <a16:creationId xmlns:a16="http://schemas.microsoft.com/office/drawing/2014/main" id="{00000000-0008-0000-2200-000060000000}"/>
            </a:ext>
          </a:extLst>
        </xdr:cNvPr>
        <xdr:cNvSpPr>
          <a:spLocks noChangeShapeType="1"/>
        </xdr:cNvSpPr>
      </xdr:nvSpPr>
      <xdr:spPr bwMode="auto">
        <a:xfrm>
          <a:off x="6677025" y="31327725"/>
          <a:ext cx="0" cy="0"/>
        </a:xfrm>
        <a:prstGeom prst="line">
          <a:avLst/>
        </a:prstGeom>
        <a:noFill/>
        <a:ln w="0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4</xdr:col>
      <xdr:colOff>885825</xdr:colOff>
      <xdr:row>167</xdr:row>
      <xdr:rowOff>76200</xdr:rowOff>
    </xdr:from>
    <xdr:to>
      <xdr:col>4</xdr:col>
      <xdr:colOff>885825</xdr:colOff>
      <xdr:row>167</xdr:row>
      <xdr:rowOff>76200</xdr:rowOff>
    </xdr:to>
    <xdr:sp macro="" textlink="">
      <xdr:nvSpPr>
        <xdr:cNvPr id="97" name="Line 33">
          <a:extLst>
            <a:ext uri="{FF2B5EF4-FFF2-40B4-BE49-F238E27FC236}">
              <a16:creationId xmlns:a16="http://schemas.microsoft.com/office/drawing/2014/main" id="{00000000-0008-0000-2200-000061000000}"/>
            </a:ext>
          </a:extLst>
        </xdr:cNvPr>
        <xdr:cNvSpPr>
          <a:spLocks noChangeShapeType="1"/>
        </xdr:cNvSpPr>
      </xdr:nvSpPr>
      <xdr:spPr bwMode="auto">
        <a:xfrm>
          <a:off x="6677025" y="31403925"/>
          <a:ext cx="0" cy="0"/>
        </a:xfrm>
        <a:prstGeom prst="line">
          <a:avLst/>
        </a:prstGeom>
        <a:noFill/>
        <a:ln w="0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4</xdr:col>
      <xdr:colOff>1200150</xdr:colOff>
      <xdr:row>176</xdr:row>
      <xdr:rowOff>28575</xdr:rowOff>
    </xdr:from>
    <xdr:to>
      <xdr:col>4</xdr:col>
      <xdr:colOff>1200150</xdr:colOff>
      <xdr:row>176</xdr:row>
      <xdr:rowOff>38100</xdr:rowOff>
    </xdr:to>
    <xdr:sp macro="" textlink="">
      <xdr:nvSpPr>
        <xdr:cNvPr id="98" name="Line 19">
          <a:extLst>
            <a:ext uri="{FF2B5EF4-FFF2-40B4-BE49-F238E27FC236}">
              <a16:creationId xmlns:a16="http://schemas.microsoft.com/office/drawing/2014/main" id="{00000000-0008-0000-2200-000062000000}"/>
            </a:ext>
          </a:extLst>
        </xdr:cNvPr>
        <xdr:cNvSpPr>
          <a:spLocks noChangeShapeType="1"/>
        </xdr:cNvSpPr>
      </xdr:nvSpPr>
      <xdr:spPr bwMode="auto">
        <a:xfrm>
          <a:off x="6991350" y="33070800"/>
          <a:ext cx="0" cy="9525"/>
        </a:xfrm>
        <a:prstGeom prst="line">
          <a:avLst/>
        </a:prstGeom>
        <a:noFill/>
        <a:ln w="0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4</xdr:col>
      <xdr:colOff>1200150</xdr:colOff>
      <xdr:row>169</xdr:row>
      <xdr:rowOff>85725</xdr:rowOff>
    </xdr:from>
    <xdr:to>
      <xdr:col>4</xdr:col>
      <xdr:colOff>1200150</xdr:colOff>
      <xdr:row>169</xdr:row>
      <xdr:rowOff>95250</xdr:rowOff>
    </xdr:to>
    <xdr:sp macro="" textlink="">
      <xdr:nvSpPr>
        <xdr:cNvPr id="99" name="Line 26">
          <a:extLst>
            <a:ext uri="{FF2B5EF4-FFF2-40B4-BE49-F238E27FC236}">
              <a16:creationId xmlns:a16="http://schemas.microsoft.com/office/drawing/2014/main" id="{00000000-0008-0000-2200-000063000000}"/>
            </a:ext>
          </a:extLst>
        </xdr:cNvPr>
        <xdr:cNvSpPr>
          <a:spLocks noChangeShapeType="1"/>
        </xdr:cNvSpPr>
      </xdr:nvSpPr>
      <xdr:spPr bwMode="auto">
        <a:xfrm>
          <a:off x="6991350" y="31794450"/>
          <a:ext cx="0" cy="9525"/>
        </a:xfrm>
        <a:prstGeom prst="line">
          <a:avLst/>
        </a:prstGeom>
        <a:noFill/>
        <a:ln w="0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4</xdr:col>
      <xdr:colOff>885825</xdr:colOff>
      <xdr:row>172</xdr:row>
      <xdr:rowOff>76200</xdr:rowOff>
    </xdr:from>
    <xdr:to>
      <xdr:col>4</xdr:col>
      <xdr:colOff>885825</xdr:colOff>
      <xdr:row>172</xdr:row>
      <xdr:rowOff>85725</xdr:rowOff>
    </xdr:to>
    <xdr:sp macro="" textlink="">
      <xdr:nvSpPr>
        <xdr:cNvPr id="100" name="Line 6">
          <a:extLst>
            <a:ext uri="{FF2B5EF4-FFF2-40B4-BE49-F238E27FC236}">
              <a16:creationId xmlns:a16="http://schemas.microsoft.com/office/drawing/2014/main" id="{00000000-0008-0000-2200-000064000000}"/>
            </a:ext>
          </a:extLst>
        </xdr:cNvPr>
        <xdr:cNvSpPr>
          <a:spLocks noChangeShapeType="1"/>
        </xdr:cNvSpPr>
      </xdr:nvSpPr>
      <xdr:spPr bwMode="auto">
        <a:xfrm>
          <a:off x="6677025" y="32356425"/>
          <a:ext cx="0" cy="9525"/>
        </a:xfrm>
        <a:prstGeom prst="line">
          <a:avLst/>
        </a:prstGeom>
        <a:noFill/>
        <a:ln w="0">
          <a:solidFill>
            <a:srgbClr val="000000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4</xdr:col>
      <xdr:colOff>885825</xdr:colOff>
      <xdr:row>175</xdr:row>
      <xdr:rowOff>57150</xdr:rowOff>
    </xdr:from>
    <xdr:to>
      <xdr:col>4</xdr:col>
      <xdr:colOff>885825</xdr:colOff>
      <xdr:row>175</xdr:row>
      <xdr:rowOff>66675</xdr:rowOff>
    </xdr:to>
    <xdr:sp macro="" textlink="">
      <xdr:nvSpPr>
        <xdr:cNvPr id="101" name="Line 13">
          <a:extLst>
            <a:ext uri="{FF2B5EF4-FFF2-40B4-BE49-F238E27FC236}">
              <a16:creationId xmlns:a16="http://schemas.microsoft.com/office/drawing/2014/main" id="{00000000-0008-0000-2200-000065000000}"/>
            </a:ext>
          </a:extLst>
        </xdr:cNvPr>
        <xdr:cNvSpPr>
          <a:spLocks noChangeShapeType="1"/>
        </xdr:cNvSpPr>
      </xdr:nvSpPr>
      <xdr:spPr bwMode="auto">
        <a:xfrm>
          <a:off x="6677025" y="32908875"/>
          <a:ext cx="0" cy="9525"/>
        </a:xfrm>
        <a:prstGeom prst="line">
          <a:avLst/>
        </a:prstGeom>
        <a:noFill/>
        <a:ln w="0">
          <a:solidFill>
            <a:srgbClr val="000000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4</xdr:col>
      <xdr:colOff>885825</xdr:colOff>
      <xdr:row>179</xdr:row>
      <xdr:rowOff>95250</xdr:rowOff>
    </xdr:from>
    <xdr:to>
      <xdr:col>4</xdr:col>
      <xdr:colOff>885825</xdr:colOff>
      <xdr:row>179</xdr:row>
      <xdr:rowOff>104775</xdr:rowOff>
    </xdr:to>
    <xdr:sp macro="" textlink="">
      <xdr:nvSpPr>
        <xdr:cNvPr id="102" name="Line 20">
          <a:extLst>
            <a:ext uri="{FF2B5EF4-FFF2-40B4-BE49-F238E27FC236}">
              <a16:creationId xmlns:a16="http://schemas.microsoft.com/office/drawing/2014/main" id="{00000000-0008-0000-2200-000066000000}"/>
            </a:ext>
          </a:extLst>
        </xdr:cNvPr>
        <xdr:cNvSpPr>
          <a:spLocks noChangeShapeType="1"/>
        </xdr:cNvSpPr>
      </xdr:nvSpPr>
      <xdr:spPr bwMode="auto">
        <a:xfrm>
          <a:off x="6677025" y="33708975"/>
          <a:ext cx="0" cy="9525"/>
        </a:xfrm>
        <a:prstGeom prst="line">
          <a:avLst/>
        </a:prstGeom>
        <a:noFill/>
        <a:ln w="0">
          <a:solidFill>
            <a:srgbClr val="000000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4</xdr:col>
      <xdr:colOff>885825</xdr:colOff>
      <xdr:row>172</xdr:row>
      <xdr:rowOff>152400</xdr:rowOff>
    </xdr:from>
    <xdr:to>
      <xdr:col>4</xdr:col>
      <xdr:colOff>885825</xdr:colOff>
      <xdr:row>173</xdr:row>
      <xdr:rowOff>0</xdr:rowOff>
    </xdr:to>
    <xdr:sp macro="" textlink="">
      <xdr:nvSpPr>
        <xdr:cNvPr id="103" name="Line 27">
          <a:extLst>
            <a:ext uri="{FF2B5EF4-FFF2-40B4-BE49-F238E27FC236}">
              <a16:creationId xmlns:a16="http://schemas.microsoft.com/office/drawing/2014/main" id="{00000000-0008-0000-2200-000067000000}"/>
            </a:ext>
          </a:extLst>
        </xdr:cNvPr>
        <xdr:cNvSpPr>
          <a:spLocks noChangeShapeType="1"/>
        </xdr:cNvSpPr>
      </xdr:nvSpPr>
      <xdr:spPr bwMode="auto">
        <a:xfrm>
          <a:off x="6677025" y="32432625"/>
          <a:ext cx="0" cy="38100"/>
        </a:xfrm>
        <a:prstGeom prst="line">
          <a:avLst/>
        </a:prstGeom>
        <a:noFill/>
        <a:ln w="0">
          <a:solidFill>
            <a:srgbClr val="000000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4</xdr:col>
      <xdr:colOff>885825</xdr:colOff>
      <xdr:row>175</xdr:row>
      <xdr:rowOff>85725</xdr:rowOff>
    </xdr:from>
    <xdr:to>
      <xdr:col>4</xdr:col>
      <xdr:colOff>885825</xdr:colOff>
      <xdr:row>175</xdr:row>
      <xdr:rowOff>85725</xdr:rowOff>
    </xdr:to>
    <xdr:sp macro="" textlink="">
      <xdr:nvSpPr>
        <xdr:cNvPr id="104" name="Line 19">
          <a:extLst>
            <a:ext uri="{FF2B5EF4-FFF2-40B4-BE49-F238E27FC236}">
              <a16:creationId xmlns:a16="http://schemas.microsoft.com/office/drawing/2014/main" id="{00000000-0008-0000-2200-000068000000}"/>
            </a:ext>
          </a:extLst>
        </xdr:cNvPr>
        <xdr:cNvSpPr>
          <a:spLocks noChangeShapeType="1"/>
        </xdr:cNvSpPr>
      </xdr:nvSpPr>
      <xdr:spPr bwMode="auto">
        <a:xfrm>
          <a:off x="6677025" y="32937450"/>
          <a:ext cx="0" cy="0"/>
        </a:xfrm>
        <a:prstGeom prst="line">
          <a:avLst/>
        </a:prstGeom>
        <a:noFill/>
        <a:ln w="0">
          <a:solidFill>
            <a:srgbClr val="000000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4</xdr:col>
      <xdr:colOff>885825</xdr:colOff>
      <xdr:row>172</xdr:row>
      <xdr:rowOff>76200</xdr:rowOff>
    </xdr:from>
    <xdr:to>
      <xdr:col>4</xdr:col>
      <xdr:colOff>885825</xdr:colOff>
      <xdr:row>172</xdr:row>
      <xdr:rowOff>85725</xdr:rowOff>
    </xdr:to>
    <xdr:sp macro="" textlink="">
      <xdr:nvSpPr>
        <xdr:cNvPr id="105" name="Line 19">
          <a:extLst>
            <a:ext uri="{FF2B5EF4-FFF2-40B4-BE49-F238E27FC236}">
              <a16:creationId xmlns:a16="http://schemas.microsoft.com/office/drawing/2014/main" id="{00000000-0008-0000-2200-000069000000}"/>
            </a:ext>
          </a:extLst>
        </xdr:cNvPr>
        <xdr:cNvSpPr>
          <a:spLocks noChangeShapeType="1"/>
        </xdr:cNvSpPr>
      </xdr:nvSpPr>
      <xdr:spPr bwMode="auto">
        <a:xfrm>
          <a:off x="6677025" y="32356425"/>
          <a:ext cx="0" cy="9525"/>
        </a:xfrm>
        <a:prstGeom prst="line">
          <a:avLst/>
        </a:prstGeom>
        <a:noFill/>
        <a:ln w="0">
          <a:solidFill>
            <a:srgbClr val="000000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4</xdr:col>
      <xdr:colOff>781050</xdr:colOff>
      <xdr:row>172</xdr:row>
      <xdr:rowOff>57150</xdr:rowOff>
    </xdr:from>
    <xdr:to>
      <xdr:col>4</xdr:col>
      <xdr:colOff>781050</xdr:colOff>
      <xdr:row>172</xdr:row>
      <xdr:rowOff>66675</xdr:rowOff>
    </xdr:to>
    <xdr:sp macro="" textlink="">
      <xdr:nvSpPr>
        <xdr:cNvPr id="106" name="Line 12">
          <a:extLst>
            <a:ext uri="{FF2B5EF4-FFF2-40B4-BE49-F238E27FC236}">
              <a16:creationId xmlns:a16="http://schemas.microsoft.com/office/drawing/2014/main" id="{00000000-0008-0000-2200-00006A000000}"/>
            </a:ext>
          </a:extLst>
        </xdr:cNvPr>
        <xdr:cNvSpPr>
          <a:spLocks noChangeShapeType="1"/>
        </xdr:cNvSpPr>
      </xdr:nvSpPr>
      <xdr:spPr bwMode="auto">
        <a:xfrm>
          <a:off x="6572250" y="32337375"/>
          <a:ext cx="0" cy="9525"/>
        </a:xfrm>
        <a:prstGeom prst="line">
          <a:avLst/>
        </a:prstGeom>
        <a:noFill/>
        <a:ln w="0">
          <a:solidFill>
            <a:srgbClr val="000000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4</xdr:col>
      <xdr:colOff>781050</xdr:colOff>
      <xdr:row>179</xdr:row>
      <xdr:rowOff>152400</xdr:rowOff>
    </xdr:from>
    <xdr:to>
      <xdr:col>4</xdr:col>
      <xdr:colOff>781050</xdr:colOff>
      <xdr:row>180</xdr:row>
      <xdr:rowOff>0</xdr:rowOff>
    </xdr:to>
    <xdr:sp macro="" textlink="">
      <xdr:nvSpPr>
        <xdr:cNvPr id="107" name="Line 12">
          <a:extLst>
            <a:ext uri="{FF2B5EF4-FFF2-40B4-BE49-F238E27FC236}">
              <a16:creationId xmlns:a16="http://schemas.microsoft.com/office/drawing/2014/main" id="{00000000-0008-0000-2200-00006B000000}"/>
            </a:ext>
          </a:extLst>
        </xdr:cNvPr>
        <xdr:cNvSpPr>
          <a:spLocks noChangeShapeType="1"/>
        </xdr:cNvSpPr>
      </xdr:nvSpPr>
      <xdr:spPr bwMode="auto">
        <a:xfrm>
          <a:off x="6572250" y="33766125"/>
          <a:ext cx="0" cy="38100"/>
        </a:xfrm>
        <a:prstGeom prst="line">
          <a:avLst/>
        </a:prstGeom>
        <a:noFill/>
        <a:ln w="0">
          <a:solidFill>
            <a:srgbClr val="000000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5</xdr:col>
      <xdr:colOff>1200150</xdr:colOff>
      <xdr:row>169</xdr:row>
      <xdr:rowOff>85725</xdr:rowOff>
    </xdr:from>
    <xdr:to>
      <xdr:col>5</xdr:col>
      <xdr:colOff>1200150</xdr:colOff>
      <xdr:row>169</xdr:row>
      <xdr:rowOff>95250</xdr:rowOff>
    </xdr:to>
    <xdr:sp macro="" textlink="">
      <xdr:nvSpPr>
        <xdr:cNvPr id="108" name="Line 26">
          <a:extLst>
            <a:ext uri="{FF2B5EF4-FFF2-40B4-BE49-F238E27FC236}">
              <a16:creationId xmlns:a16="http://schemas.microsoft.com/office/drawing/2014/main" id="{00000000-0008-0000-2200-00006C000000}"/>
            </a:ext>
          </a:extLst>
        </xdr:cNvPr>
        <xdr:cNvSpPr>
          <a:spLocks noChangeShapeType="1"/>
        </xdr:cNvSpPr>
      </xdr:nvSpPr>
      <xdr:spPr bwMode="auto">
        <a:xfrm>
          <a:off x="8534400" y="31794450"/>
          <a:ext cx="0" cy="9525"/>
        </a:xfrm>
        <a:prstGeom prst="line">
          <a:avLst/>
        </a:prstGeom>
        <a:noFill/>
        <a:ln w="0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4</xdr:col>
      <xdr:colOff>885825</xdr:colOff>
      <xdr:row>190</xdr:row>
      <xdr:rowOff>0</xdr:rowOff>
    </xdr:from>
    <xdr:to>
      <xdr:col>4</xdr:col>
      <xdr:colOff>885825</xdr:colOff>
      <xdr:row>190</xdr:row>
      <xdr:rowOff>0</xdr:rowOff>
    </xdr:to>
    <xdr:sp macro="" textlink="">
      <xdr:nvSpPr>
        <xdr:cNvPr id="109" name="Line 12">
          <a:extLst>
            <a:ext uri="{FF2B5EF4-FFF2-40B4-BE49-F238E27FC236}">
              <a16:creationId xmlns:a16="http://schemas.microsoft.com/office/drawing/2014/main" id="{00000000-0008-0000-2200-00006D000000}"/>
            </a:ext>
          </a:extLst>
        </xdr:cNvPr>
        <xdr:cNvSpPr>
          <a:spLocks noChangeShapeType="1"/>
        </xdr:cNvSpPr>
      </xdr:nvSpPr>
      <xdr:spPr bwMode="auto">
        <a:xfrm>
          <a:off x="6677025" y="35785425"/>
          <a:ext cx="0" cy="0"/>
        </a:xfrm>
        <a:prstGeom prst="line">
          <a:avLst/>
        </a:prstGeom>
        <a:noFill/>
        <a:ln w="0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4</xdr:col>
      <xdr:colOff>885825</xdr:colOff>
      <xdr:row>190</xdr:row>
      <xdr:rowOff>76200</xdr:rowOff>
    </xdr:from>
    <xdr:to>
      <xdr:col>4</xdr:col>
      <xdr:colOff>885825</xdr:colOff>
      <xdr:row>190</xdr:row>
      <xdr:rowOff>76200</xdr:rowOff>
    </xdr:to>
    <xdr:sp macro="" textlink="">
      <xdr:nvSpPr>
        <xdr:cNvPr id="110" name="Line 33">
          <a:extLst>
            <a:ext uri="{FF2B5EF4-FFF2-40B4-BE49-F238E27FC236}">
              <a16:creationId xmlns:a16="http://schemas.microsoft.com/office/drawing/2014/main" id="{00000000-0008-0000-2200-00006E000000}"/>
            </a:ext>
          </a:extLst>
        </xdr:cNvPr>
        <xdr:cNvSpPr>
          <a:spLocks noChangeShapeType="1"/>
        </xdr:cNvSpPr>
      </xdr:nvSpPr>
      <xdr:spPr bwMode="auto">
        <a:xfrm>
          <a:off x="6677025" y="35861625"/>
          <a:ext cx="0" cy="0"/>
        </a:xfrm>
        <a:prstGeom prst="line">
          <a:avLst/>
        </a:prstGeom>
        <a:noFill/>
        <a:ln w="0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4</xdr:col>
      <xdr:colOff>1200150</xdr:colOff>
      <xdr:row>199</xdr:row>
      <xdr:rowOff>28575</xdr:rowOff>
    </xdr:from>
    <xdr:to>
      <xdr:col>4</xdr:col>
      <xdr:colOff>1200150</xdr:colOff>
      <xdr:row>199</xdr:row>
      <xdr:rowOff>38100</xdr:rowOff>
    </xdr:to>
    <xdr:sp macro="" textlink="">
      <xdr:nvSpPr>
        <xdr:cNvPr id="111" name="Line 19">
          <a:extLst>
            <a:ext uri="{FF2B5EF4-FFF2-40B4-BE49-F238E27FC236}">
              <a16:creationId xmlns:a16="http://schemas.microsoft.com/office/drawing/2014/main" id="{00000000-0008-0000-2200-00006F000000}"/>
            </a:ext>
          </a:extLst>
        </xdr:cNvPr>
        <xdr:cNvSpPr>
          <a:spLocks noChangeShapeType="1"/>
        </xdr:cNvSpPr>
      </xdr:nvSpPr>
      <xdr:spPr bwMode="auto">
        <a:xfrm>
          <a:off x="6991350" y="37528500"/>
          <a:ext cx="0" cy="9525"/>
        </a:xfrm>
        <a:prstGeom prst="line">
          <a:avLst/>
        </a:prstGeom>
        <a:noFill/>
        <a:ln w="0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4</xdr:col>
      <xdr:colOff>1200150</xdr:colOff>
      <xdr:row>192</xdr:row>
      <xdr:rowOff>85725</xdr:rowOff>
    </xdr:from>
    <xdr:to>
      <xdr:col>4</xdr:col>
      <xdr:colOff>1200150</xdr:colOff>
      <xdr:row>192</xdr:row>
      <xdr:rowOff>95250</xdr:rowOff>
    </xdr:to>
    <xdr:sp macro="" textlink="">
      <xdr:nvSpPr>
        <xdr:cNvPr id="112" name="Line 26">
          <a:extLst>
            <a:ext uri="{FF2B5EF4-FFF2-40B4-BE49-F238E27FC236}">
              <a16:creationId xmlns:a16="http://schemas.microsoft.com/office/drawing/2014/main" id="{00000000-0008-0000-2200-000070000000}"/>
            </a:ext>
          </a:extLst>
        </xdr:cNvPr>
        <xdr:cNvSpPr>
          <a:spLocks noChangeShapeType="1"/>
        </xdr:cNvSpPr>
      </xdr:nvSpPr>
      <xdr:spPr bwMode="auto">
        <a:xfrm>
          <a:off x="6991350" y="36252150"/>
          <a:ext cx="0" cy="9525"/>
        </a:xfrm>
        <a:prstGeom prst="line">
          <a:avLst/>
        </a:prstGeom>
        <a:noFill/>
        <a:ln w="0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4</xdr:col>
      <xdr:colOff>885825</xdr:colOff>
      <xdr:row>195</xdr:row>
      <xdr:rowOff>76200</xdr:rowOff>
    </xdr:from>
    <xdr:to>
      <xdr:col>4</xdr:col>
      <xdr:colOff>885825</xdr:colOff>
      <xdr:row>195</xdr:row>
      <xdr:rowOff>85725</xdr:rowOff>
    </xdr:to>
    <xdr:sp macro="" textlink="">
      <xdr:nvSpPr>
        <xdr:cNvPr id="113" name="Line 6">
          <a:extLst>
            <a:ext uri="{FF2B5EF4-FFF2-40B4-BE49-F238E27FC236}">
              <a16:creationId xmlns:a16="http://schemas.microsoft.com/office/drawing/2014/main" id="{00000000-0008-0000-2200-000071000000}"/>
            </a:ext>
          </a:extLst>
        </xdr:cNvPr>
        <xdr:cNvSpPr>
          <a:spLocks noChangeShapeType="1"/>
        </xdr:cNvSpPr>
      </xdr:nvSpPr>
      <xdr:spPr bwMode="auto">
        <a:xfrm>
          <a:off x="6677025" y="36814125"/>
          <a:ext cx="0" cy="9525"/>
        </a:xfrm>
        <a:prstGeom prst="line">
          <a:avLst/>
        </a:prstGeom>
        <a:noFill/>
        <a:ln w="0">
          <a:solidFill>
            <a:srgbClr val="000000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4</xdr:col>
      <xdr:colOff>885825</xdr:colOff>
      <xdr:row>198</xdr:row>
      <xdr:rowOff>57150</xdr:rowOff>
    </xdr:from>
    <xdr:to>
      <xdr:col>4</xdr:col>
      <xdr:colOff>885825</xdr:colOff>
      <xdr:row>198</xdr:row>
      <xdr:rowOff>66675</xdr:rowOff>
    </xdr:to>
    <xdr:sp macro="" textlink="">
      <xdr:nvSpPr>
        <xdr:cNvPr id="114" name="Line 13">
          <a:extLst>
            <a:ext uri="{FF2B5EF4-FFF2-40B4-BE49-F238E27FC236}">
              <a16:creationId xmlns:a16="http://schemas.microsoft.com/office/drawing/2014/main" id="{00000000-0008-0000-2200-000072000000}"/>
            </a:ext>
          </a:extLst>
        </xdr:cNvPr>
        <xdr:cNvSpPr>
          <a:spLocks noChangeShapeType="1"/>
        </xdr:cNvSpPr>
      </xdr:nvSpPr>
      <xdr:spPr bwMode="auto">
        <a:xfrm>
          <a:off x="6677025" y="37366575"/>
          <a:ext cx="0" cy="9525"/>
        </a:xfrm>
        <a:prstGeom prst="line">
          <a:avLst/>
        </a:prstGeom>
        <a:noFill/>
        <a:ln w="0">
          <a:solidFill>
            <a:srgbClr val="000000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4</xdr:col>
      <xdr:colOff>885825</xdr:colOff>
      <xdr:row>202</xdr:row>
      <xdr:rowOff>95250</xdr:rowOff>
    </xdr:from>
    <xdr:to>
      <xdr:col>4</xdr:col>
      <xdr:colOff>885825</xdr:colOff>
      <xdr:row>202</xdr:row>
      <xdr:rowOff>104775</xdr:rowOff>
    </xdr:to>
    <xdr:sp macro="" textlink="">
      <xdr:nvSpPr>
        <xdr:cNvPr id="115" name="Line 20">
          <a:extLst>
            <a:ext uri="{FF2B5EF4-FFF2-40B4-BE49-F238E27FC236}">
              <a16:creationId xmlns:a16="http://schemas.microsoft.com/office/drawing/2014/main" id="{00000000-0008-0000-2200-000073000000}"/>
            </a:ext>
          </a:extLst>
        </xdr:cNvPr>
        <xdr:cNvSpPr>
          <a:spLocks noChangeShapeType="1"/>
        </xdr:cNvSpPr>
      </xdr:nvSpPr>
      <xdr:spPr bwMode="auto">
        <a:xfrm>
          <a:off x="6677025" y="38166675"/>
          <a:ext cx="0" cy="9525"/>
        </a:xfrm>
        <a:prstGeom prst="line">
          <a:avLst/>
        </a:prstGeom>
        <a:noFill/>
        <a:ln w="0">
          <a:solidFill>
            <a:srgbClr val="000000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4</xdr:col>
      <xdr:colOff>885825</xdr:colOff>
      <xdr:row>195</xdr:row>
      <xdr:rowOff>152400</xdr:rowOff>
    </xdr:from>
    <xdr:to>
      <xdr:col>4</xdr:col>
      <xdr:colOff>885825</xdr:colOff>
      <xdr:row>196</xdr:row>
      <xdr:rowOff>0</xdr:rowOff>
    </xdr:to>
    <xdr:sp macro="" textlink="">
      <xdr:nvSpPr>
        <xdr:cNvPr id="116" name="Line 27">
          <a:extLst>
            <a:ext uri="{FF2B5EF4-FFF2-40B4-BE49-F238E27FC236}">
              <a16:creationId xmlns:a16="http://schemas.microsoft.com/office/drawing/2014/main" id="{00000000-0008-0000-2200-000074000000}"/>
            </a:ext>
          </a:extLst>
        </xdr:cNvPr>
        <xdr:cNvSpPr>
          <a:spLocks noChangeShapeType="1"/>
        </xdr:cNvSpPr>
      </xdr:nvSpPr>
      <xdr:spPr bwMode="auto">
        <a:xfrm>
          <a:off x="6677025" y="36890325"/>
          <a:ext cx="0" cy="38100"/>
        </a:xfrm>
        <a:prstGeom prst="line">
          <a:avLst/>
        </a:prstGeom>
        <a:noFill/>
        <a:ln w="0">
          <a:solidFill>
            <a:srgbClr val="000000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4</xdr:col>
      <xdr:colOff>885825</xdr:colOff>
      <xdr:row>198</xdr:row>
      <xdr:rowOff>85725</xdr:rowOff>
    </xdr:from>
    <xdr:to>
      <xdr:col>4</xdr:col>
      <xdr:colOff>885825</xdr:colOff>
      <xdr:row>198</xdr:row>
      <xdr:rowOff>85725</xdr:rowOff>
    </xdr:to>
    <xdr:sp macro="" textlink="">
      <xdr:nvSpPr>
        <xdr:cNvPr id="117" name="Line 19">
          <a:extLst>
            <a:ext uri="{FF2B5EF4-FFF2-40B4-BE49-F238E27FC236}">
              <a16:creationId xmlns:a16="http://schemas.microsoft.com/office/drawing/2014/main" id="{00000000-0008-0000-2200-000075000000}"/>
            </a:ext>
          </a:extLst>
        </xdr:cNvPr>
        <xdr:cNvSpPr>
          <a:spLocks noChangeShapeType="1"/>
        </xdr:cNvSpPr>
      </xdr:nvSpPr>
      <xdr:spPr bwMode="auto">
        <a:xfrm>
          <a:off x="6677025" y="37395150"/>
          <a:ext cx="0" cy="0"/>
        </a:xfrm>
        <a:prstGeom prst="line">
          <a:avLst/>
        </a:prstGeom>
        <a:noFill/>
        <a:ln w="0">
          <a:solidFill>
            <a:srgbClr val="000000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4</xdr:col>
      <xdr:colOff>885825</xdr:colOff>
      <xdr:row>195</xdr:row>
      <xdr:rowOff>76200</xdr:rowOff>
    </xdr:from>
    <xdr:to>
      <xdr:col>4</xdr:col>
      <xdr:colOff>885825</xdr:colOff>
      <xdr:row>195</xdr:row>
      <xdr:rowOff>85725</xdr:rowOff>
    </xdr:to>
    <xdr:sp macro="" textlink="">
      <xdr:nvSpPr>
        <xdr:cNvPr id="118" name="Line 19">
          <a:extLst>
            <a:ext uri="{FF2B5EF4-FFF2-40B4-BE49-F238E27FC236}">
              <a16:creationId xmlns:a16="http://schemas.microsoft.com/office/drawing/2014/main" id="{00000000-0008-0000-2200-000076000000}"/>
            </a:ext>
          </a:extLst>
        </xdr:cNvPr>
        <xdr:cNvSpPr>
          <a:spLocks noChangeShapeType="1"/>
        </xdr:cNvSpPr>
      </xdr:nvSpPr>
      <xdr:spPr bwMode="auto">
        <a:xfrm>
          <a:off x="6677025" y="36814125"/>
          <a:ext cx="0" cy="9525"/>
        </a:xfrm>
        <a:prstGeom prst="line">
          <a:avLst/>
        </a:prstGeom>
        <a:noFill/>
        <a:ln w="0">
          <a:solidFill>
            <a:srgbClr val="000000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4</xdr:col>
      <xdr:colOff>781050</xdr:colOff>
      <xdr:row>195</xdr:row>
      <xdr:rowOff>57150</xdr:rowOff>
    </xdr:from>
    <xdr:to>
      <xdr:col>4</xdr:col>
      <xdr:colOff>781050</xdr:colOff>
      <xdr:row>195</xdr:row>
      <xdr:rowOff>66675</xdr:rowOff>
    </xdr:to>
    <xdr:sp macro="" textlink="">
      <xdr:nvSpPr>
        <xdr:cNvPr id="119" name="Line 12">
          <a:extLst>
            <a:ext uri="{FF2B5EF4-FFF2-40B4-BE49-F238E27FC236}">
              <a16:creationId xmlns:a16="http://schemas.microsoft.com/office/drawing/2014/main" id="{00000000-0008-0000-2200-000077000000}"/>
            </a:ext>
          </a:extLst>
        </xdr:cNvPr>
        <xdr:cNvSpPr>
          <a:spLocks noChangeShapeType="1"/>
        </xdr:cNvSpPr>
      </xdr:nvSpPr>
      <xdr:spPr bwMode="auto">
        <a:xfrm>
          <a:off x="6572250" y="36795075"/>
          <a:ext cx="0" cy="9525"/>
        </a:xfrm>
        <a:prstGeom prst="line">
          <a:avLst/>
        </a:prstGeom>
        <a:noFill/>
        <a:ln w="0">
          <a:solidFill>
            <a:srgbClr val="000000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4</xdr:col>
      <xdr:colOff>781050</xdr:colOff>
      <xdr:row>202</xdr:row>
      <xdr:rowOff>152400</xdr:rowOff>
    </xdr:from>
    <xdr:to>
      <xdr:col>4</xdr:col>
      <xdr:colOff>781050</xdr:colOff>
      <xdr:row>203</xdr:row>
      <xdr:rowOff>0</xdr:rowOff>
    </xdr:to>
    <xdr:sp macro="" textlink="">
      <xdr:nvSpPr>
        <xdr:cNvPr id="120" name="Line 12">
          <a:extLst>
            <a:ext uri="{FF2B5EF4-FFF2-40B4-BE49-F238E27FC236}">
              <a16:creationId xmlns:a16="http://schemas.microsoft.com/office/drawing/2014/main" id="{00000000-0008-0000-2200-000078000000}"/>
            </a:ext>
          </a:extLst>
        </xdr:cNvPr>
        <xdr:cNvSpPr>
          <a:spLocks noChangeShapeType="1"/>
        </xdr:cNvSpPr>
      </xdr:nvSpPr>
      <xdr:spPr bwMode="auto">
        <a:xfrm>
          <a:off x="6572250" y="38223825"/>
          <a:ext cx="0" cy="38100"/>
        </a:xfrm>
        <a:prstGeom prst="line">
          <a:avLst/>
        </a:prstGeom>
        <a:noFill/>
        <a:ln w="0">
          <a:solidFill>
            <a:srgbClr val="000000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5</xdr:col>
      <xdr:colOff>1200150</xdr:colOff>
      <xdr:row>192</xdr:row>
      <xdr:rowOff>85725</xdr:rowOff>
    </xdr:from>
    <xdr:to>
      <xdr:col>5</xdr:col>
      <xdr:colOff>1200150</xdr:colOff>
      <xdr:row>192</xdr:row>
      <xdr:rowOff>95250</xdr:rowOff>
    </xdr:to>
    <xdr:sp macro="" textlink="">
      <xdr:nvSpPr>
        <xdr:cNvPr id="121" name="Line 26">
          <a:extLst>
            <a:ext uri="{FF2B5EF4-FFF2-40B4-BE49-F238E27FC236}">
              <a16:creationId xmlns:a16="http://schemas.microsoft.com/office/drawing/2014/main" id="{00000000-0008-0000-2200-000079000000}"/>
            </a:ext>
          </a:extLst>
        </xdr:cNvPr>
        <xdr:cNvSpPr>
          <a:spLocks noChangeShapeType="1"/>
        </xdr:cNvSpPr>
      </xdr:nvSpPr>
      <xdr:spPr bwMode="auto">
        <a:xfrm>
          <a:off x="8534400" y="36252150"/>
          <a:ext cx="0" cy="9525"/>
        </a:xfrm>
        <a:prstGeom prst="line">
          <a:avLst/>
        </a:prstGeom>
        <a:noFill/>
        <a:ln w="0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4</xdr:col>
      <xdr:colOff>885825</xdr:colOff>
      <xdr:row>213</xdr:row>
      <xdr:rowOff>0</xdr:rowOff>
    </xdr:from>
    <xdr:to>
      <xdr:col>4</xdr:col>
      <xdr:colOff>885825</xdr:colOff>
      <xdr:row>213</xdr:row>
      <xdr:rowOff>0</xdr:rowOff>
    </xdr:to>
    <xdr:sp macro="" textlink="">
      <xdr:nvSpPr>
        <xdr:cNvPr id="122" name="Line 12">
          <a:extLst>
            <a:ext uri="{FF2B5EF4-FFF2-40B4-BE49-F238E27FC236}">
              <a16:creationId xmlns:a16="http://schemas.microsoft.com/office/drawing/2014/main" id="{00000000-0008-0000-2200-00007A000000}"/>
            </a:ext>
          </a:extLst>
        </xdr:cNvPr>
        <xdr:cNvSpPr>
          <a:spLocks noChangeShapeType="1"/>
        </xdr:cNvSpPr>
      </xdr:nvSpPr>
      <xdr:spPr bwMode="auto">
        <a:xfrm>
          <a:off x="6677025" y="40243125"/>
          <a:ext cx="0" cy="0"/>
        </a:xfrm>
        <a:prstGeom prst="line">
          <a:avLst/>
        </a:prstGeom>
        <a:noFill/>
        <a:ln w="0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4</xdr:col>
      <xdr:colOff>885825</xdr:colOff>
      <xdr:row>213</xdr:row>
      <xdr:rowOff>76200</xdr:rowOff>
    </xdr:from>
    <xdr:to>
      <xdr:col>4</xdr:col>
      <xdr:colOff>885825</xdr:colOff>
      <xdr:row>213</xdr:row>
      <xdr:rowOff>76200</xdr:rowOff>
    </xdr:to>
    <xdr:sp macro="" textlink="">
      <xdr:nvSpPr>
        <xdr:cNvPr id="123" name="Line 33">
          <a:extLst>
            <a:ext uri="{FF2B5EF4-FFF2-40B4-BE49-F238E27FC236}">
              <a16:creationId xmlns:a16="http://schemas.microsoft.com/office/drawing/2014/main" id="{00000000-0008-0000-2200-00007B000000}"/>
            </a:ext>
          </a:extLst>
        </xdr:cNvPr>
        <xdr:cNvSpPr>
          <a:spLocks noChangeShapeType="1"/>
        </xdr:cNvSpPr>
      </xdr:nvSpPr>
      <xdr:spPr bwMode="auto">
        <a:xfrm>
          <a:off x="6677025" y="40319325"/>
          <a:ext cx="0" cy="0"/>
        </a:xfrm>
        <a:prstGeom prst="line">
          <a:avLst/>
        </a:prstGeom>
        <a:noFill/>
        <a:ln w="0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4</xdr:col>
      <xdr:colOff>1200150</xdr:colOff>
      <xdr:row>224</xdr:row>
      <xdr:rowOff>28575</xdr:rowOff>
    </xdr:from>
    <xdr:to>
      <xdr:col>4</xdr:col>
      <xdr:colOff>1200150</xdr:colOff>
      <xdr:row>224</xdr:row>
      <xdr:rowOff>38100</xdr:rowOff>
    </xdr:to>
    <xdr:sp macro="" textlink="">
      <xdr:nvSpPr>
        <xdr:cNvPr id="124" name="Line 19">
          <a:extLst>
            <a:ext uri="{FF2B5EF4-FFF2-40B4-BE49-F238E27FC236}">
              <a16:creationId xmlns:a16="http://schemas.microsoft.com/office/drawing/2014/main" id="{00000000-0008-0000-2200-00007C000000}"/>
            </a:ext>
          </a:extLst>
        </xdr:cNvPr>
        <xdr:cNvSpPr>
          <a:spLocks noChangeShapeType="1"/>
        </xdr:cNvSpPr>
      </xdr:nvSpPr>
      <xdr:spPr bwMode="auto">
        <a:xfrm>
          <a:off x="6991350" y="41986200"/>
          <a:ext cx="0" cy="9525"/>
        </a:xfrm>
        <a:prstGeom prst="line">
          <a:avLst/>
        </a:prstGeom>
        <a:noFill/>
        <a:ln w="0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4</xdr:col>
      <xdr:colOff>1200150</xdr:colOff>
      <xdr:row>215</xdr:row>
      <xdr:rowOff>85725</xdr:rowOff>
    </xdr:from>
    <xdr:to>
      <xdr:col>4</xdr:col>
      <xdr:colOff>1200150</xdr:colOff>
      <xdr:row>215</xdr:row>
      <xdr:rowOff>95250</xdr:rowOff>
    </xdr:to>
    <xdr:sp macro="" textlink="">
      <xdr:nvSpPr>
        <xdr:cNvPr id="125" name="Line 26">
          <a:extLst>
            <a:ext uri="{FF2B5EF4-FFF2-40B4-BE49-F238E27FC236}">
              <a16:creationId xmlns:a16="http://schemas.microsoft.com/office/drawing/2014/main" id="{00000000-0008-0000-2200-00007D000000}"/>
            </a:ext>
          </a:extLst>
        </xdr:cNvPr>
        <xdr:cNvSpPr>
          <a:spLocks noChangeShapeType="1"/>
        </xdr:cNvSpPr>
      </xdr:nvSpPr>
      <xdr:spPr bwMode="auto">
        <a:xfrm>
          <a:off x="6991350" y="40709850"/>
          <a:ext cx="0" cy="9525"/>
        </a:xfrm>
        <a:prstGeom prst="line">
          <a:avLst/>
        </a:prstGeom>
        <a:noFill/>
        <a:ln w="0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4</xdr:col>
      <xdr:colOff>885825</xdr:colOff>
      <xdr:row>218</xdr:row>
      <xdr:rowOff>76200</xdr:rowOff>
    </xdr:from>
    <xdr:to>
      <xdr:col>4</xdr:col>
      <xdr:colOff>885825</xdr:colOff>
      <xdr:row>218</xdr:row>
      <xdr:rowOff>85725</xdr:rowOff>
    </xdr:to>
    <xdr:sp macro="" textlink="">
      <xdr:nvSpPr>
        <xdr:cNvPr id="126" name="Line 6">
          <a:extLst>
            <a:ext uri="{FF2B5EF4-FFF2-40B4-BE49-F238E27FC236}">
              <a16:creationId xmlns:a16="http://schemas.microsoft.com/office/drawing/2014/main" id="{00000000-0008-0000-2200-00007E000000}"/>
            </a:ext>
          </a:extLst>
        </xdr:cNvPr>
        <xdr:cNvSpPr>
          <a:spLocks noChangeShapeType="1"/>
        </xdr:cNvSpPr>
      </xdr:nvSpPr>
      <xdr:spPr bwMode="auto">
        <a:xfrm>
          <a:off x="6677025" y="41271825"/>
          <a:ext cx="0" cy="9525"/>
        </a:xfrm>
        <a:prstGeom prst="line">
          <a:avLst/>
        </a:prstGeom>
        <a:noFill/>
        <a:ln w="0">
          <a:solidFill>
            <a:srgbClr val="000000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4</xdr:col>
      <xdr:colOff>885825</xdr:colOff>
      <xdr:row>221</xdr:row>
      <xdr:rowOff>57150</xdr:rowOff>
    </xdr:from>
    <xdr:to>
      <xdr:col>4</xdr:col>
      <xdr:colOff>885825</xdr:colOff>
      <xdr:row>221</xdr:row>
      <xdr:rowOff>66675</xdr:rowOff>
    </xdr:to>
    <xdr:sp macro="" textlink="">
      <xdr:nvSpPr>
        <xdr:cNvPr id="127" name="Line 13">
          <a:extLst>
            <a:ext uri="{FF2B5EF4-FFF2-40B4-BE49-F238E27FC236}">
              <a16:creationId xmlns:a16="http://schemas.microsoft.com/office/drawing/2014/main" id="{00000000-0008-0000-2200-00007F000000}"/>
            </a:ext>
          </a:extLst>
        </xdr:cNvPr>
        <xdr:cNvSpPr>
          <a:spLocks noChangeShapeType="1"/>
        </xdr:cNvSpPr>
      </xdr:nvSpPr>
      <xdr:spPr bwMode="auto">
        <a:xfrm>
          <a:off x="6677025" y="41824275"/>
          <a:ext cx="0" cy="9525"/>
        </a:xfrm>
        <a:prstGeom prst="line">
          <a:avLst/>
        </a:prstGeom>
        <a:noFill/>
        <a:ln w="0">
          <a:solidFill>
            <a:srgbClr val="000000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4</xdr:col>
      <xdr:colOff>885825</xdr:colOff>
      <xdr:row>227</xdr:row>
      <xdr:rowOff>95250</xdr:rowOff>
    </xdr:from>
    <xdr:to>
      <xdr:col>4</xdr:col>
      <xdr:colOff>885825</xdr:colOff>
      <xdr:row>227</xdr:row>
      <xdr:rowOff>104775</xdr:rowOff>
    </xdr:to>
    <xdr:sp macro="" textlink="">
      <xdr:nvSpPr>
        <xdr:cNvPr id="128" name="Line 20">
          <a:extLst>
            <a:ext uri="{FF2B5EF4-FFF2-40B4-BE49-F238E27FC236}">
              <a16:creationId xmlns:a16="http://schemas.microsoft.com/office/drawing/2014/main" id="{00000000-0008-0000-2200-000080000000}"/>
            </a:ext>
          </a:extLst>
        </xdr:cNvPr>
        <xdr:cNvSpPr>
          <a:spLocks noChangeShapeType="1"/>
        </xdr:cNvSpPr>
      </xdr:nvSpPr>
      <xdr:spPr bwMode="auto">
        <a:xfrm>
          <a:off x="6677025" y="42624375"/>
          <a:ext cx="0" cy="9525"/>
        </a:xfrm>
        <a:prstGeom prst="line">
          <a:avLst/>
        </a:prstGeom>
        <a:noFill/>
        <a:ln w="0">
          <a:solidFill>
            <a:srgbClr val="000000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4</xdr:col>
      <xdr:colOff>885825</xdr:colOff>
      <xdr:row>218</xdr:row>
      <xdr:rowOff>152400</xdr:rowOff>
    </xdr:from>
    <xdr:to>
      <xdr:col>4</xdr:col>
      <xdr:colOff>885825</xdr:colOff>
      <xdr:row>219</xdr:row>
      <xdr:rowOff>0</xdr:rowOff>
    </xdr:to>
    <xdr:sp macro="" textlink="">
      <xdr:nvSpPr>
        <xdr:cNvPr id="129" name="Line 27">
          <a:extLst>
            <a:ext uri="{FF2B5EF4-FFF2-40B4-BE49-F238E27FC236}">
              <a16:creationId xmlns:a16="http://schemas.microsoft.com/office/drawing/2014/main" id="{00000000-0008-0000-2200-000081000000}"/>
            </a:ext>
          </a:extLst>
        </xdr:cNvPr>
        <xdr:cNvSpPr>
          <a:spLocks noChangeShapeType="1"/>
        </xdr:cNvSpPr>
      </xdr:nvSpPr>
      <xdr:spPr bwMode="auto">
        <a:xfrm>
          <a:off x="6677025" y="41348025"/>
          <a:ext cx="0" cy="38100"/>
        </a:xfrm>
        <a:prstGeom prst="line">
          <a:avLst/>
        </a:prstGeom>
        <a:noFill/>
        <a:ln w="0">
          <a:solidFill>
            <a:srgbClr val="000000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4</xdr:col>
      <xdr:colOff>885825</xdr:colOff>
      <xdr:row>221</xdr:row>
      <xdr:rowOff>85725</xdr:rowOff>
    </xdr:from>
    <xdr:to>
      <xdr:col>4</xdr:col>
      <xdr:colOff>885825</xdr:colOff>
      <xdr:row>221</xdr:row>
      <xdr:rowOff>85725</xdr:rowOff>
    </xdr:to>
    <xdr:sp macro="" textlink="">
      <xdr:nvSpPr>
        <xdr:cNvPr id="130" name="Line 19">
          <a:extLst>
            <a:ext uri="{FF2B5EF4-FFF2-40B4-BE49-F238E27FC236}">
              <a16:creationId xmlns:a16="http://schemas.microsoft.com/office/drawing/2014/main" id="{00000000-0008-0000-2200-000082000000}"/>
            </a:ext>
          </a:extLst>
        </xdr:cNvPr>
        <xdr:cNvSpPr>
          <a:spLocks noChangeShapeType="1"/>
        </xdr:cNvSpPr>
      </xdr:nvSpPr>
      <xdr:spPr bwMode="auto">
        <a:xfrm>
          <a:off x="6677025" y="41852850"/>
          <a:ext cx="0" cy="0"/>
        </a:xfrm>
        <a:prstGeom prst="line">
          <a:avLst/>
        </a:prstGeom>
        <a:noFill/>
        <a:ln w="0">
          <a:solidFill>
            <a:srgbClr val="000000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4</xdr:col>
      <xdr:colOff>885825</xdr:colOff>
      <xdr:row>218</xdr:row>
      <xdr:rowOff>76200</xdr:rowOff>
    </xdr:from>
    <xdr:to>
      <xdr:col>4</xdr:col>
      <xdr:colOff>885825</xdr:colOff>
      <xdr:row>218</xdr:row>
      <xdr:rowOff>85725</xdr:rowOff>
    </xdr:to>
    <xdr:sp macro="" textlink="">
      <xdr:nvSpPr>
        <xdr:cNvPr id="131" name="Line 19">
          <a:extLst>
            <a:ext uri="{FF2B5EF4-FFF2-40B4-BE49-F238E27FC236}">
              <a16:creationId xmlns:a16="http://schemas.microsoft.com/office/drawing/2014/main" id="{00000000-0008-0000-2200-000083000000}"/>
            </a:ext>
          </a:extLst>
        </xdr:cNvPr>
        <xdr:cNvSpPr>
          <a:spLocks noChangeShapeType="1"/>
        </xdr:cNvSpPr>
      </xdr:nvSpPr>
      <xdr:spPr bwMode="auto">
        <a:xfrm>
          <a:off x="6677025" y="41271825"/>
          <a:ext cx="0" cy="9525"/>
        </a:xfrm>
        <a:prstGeom prst="line">
          <a:avLst/>
        </a:prstGeom>
        <a:noFill/>
        <a:ln w="0">
          <a:solidFill>
            <a:srgbClr val="000000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4</xdr:col>
      <xdr:colOff>781050</xdr:colOff>
      <xdr:row>218</xdr:row>
      <xdr:rowOff>57150</xdr:rowOff>
    </xdr:from>
    <xdr:to>
      <xdr:col>4</xdr:col>
      <xdr:colOff>781050</xdr:colOff>
      <xdr:row>218</xdr:row>
      <xdr:rowOff>66675</xdr:rowOff>
    </xdr:to>
    <xdr:sp macro="" textlink="">
      <xdr:nvSpPr>
        <xdr:cNvPr id="132" name="Line 12">
          <a:extLst>
            <a:ext uri="{FF2B5EF4-FFF2-40B4-BE49-F238E27FC236}">
              <a16:creationId xmlns:a16="http://schemas.microsoft.com/office/drawing/2014/main" id="{00000000-0008-0000-2200-000084000000}"/>
            </a:ext>
          </a:extLst>
        </xdr:cNvPr>
        <xdr:cNvSpPr>
          <a:spLocks noChangeShapeType="1"/>
        </xdr:cNvSpPr>
      </xdr:nvSpPr>
      <xdr:spPr bwMode="auto">
        <a:xfrm>
          <a:off x="6572250" y="41252775"/>
          <a:ext cx="0" cy="9525"/>
        </a:xfrm>
        <a:prstGeom prst="line">
          <a:avLst/>
        </a:prstGeom>
        <a:noFill/>
        <a:ln w="0">
          <a:solidFill>
            <a:srgbClr val="000000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4</xdr:col>
      <xdr:colOff>781050</xdr:colOff>
      <xdr:row>227</xdr:row>
      <xdr:rowOff>152400</xdr:rowOff>
    </xdr:from>
    <xdr:to>
      <xdr:col>4</xdr:col>
      <xdr:colOff>781050</xdr:colOff>
      <xdr:row>228</xdr:row>
      <xdr:rowOff>0</xdr:rowOff>
    </xdr:to>
    <xdr:sp macro="" textlink="">
      <xdr:nvSpPr>
        <xdr:cNvPr id="133" name="Line 12">
          <a:extLst>
            <a:ext uri="{FF2B5EF4-FFF2-40B4-BE49-F238E27FC236}">
              <a16:creationId xmlns:a16="http://schemas.microsoft.com/office/drawing/2014/main" id="{00000000-0008-0000-2200-000085000000}"/>
            </a:ext>
          </a:extLst>
        </xdr:cNvPr>
        <xdr:cNvSpPr>
          <a:spLocks noChangeShapeType="1"/>
        </xdr:cNvSpPr>
      </xdr:nvSpPr>
      <xdr:spPr bwMode="auto">
        <a:xfrm>
          <a:off x="6572250" y="42681525"/>
          <a:ext cx="0" cy="38100"/>
        </a:xfrm>
        <a:prstGeom prst="line">
          <a:avLst/>
        </a:prstGeom>
        <a:noFill/>
        <a:ln w="0">
          <a:solidFill>
            <a:srgbClr val="000000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5</xdr:col>
      <xdr:colOff>1200150</xdr:colOff>
      <xdr:row>215</xdr:row>
      <xdr:rowOff>85725</xdr:rowOff>
    </xdr:from>
    <xdr:to>
      <xdr:col>5</xdr:col>
      <xdr:colOff>1200150</xdr:colOff>
      <xdr:row>215</xdr:row>
      <xdr:rowOff>95250</xdr:rowOff>
    </xdr:to>
    <xdr:sp macro="" textlink="">
      <xdr:nvSpPr>
        <xdr:cNvPr id="134" name="Line 26">
          <a:extLst>
            <a:ext uri="{FF2B5EF4-FFF2-40B4-BE49-F238E27FC236}">
              <a16:creationId xmlns:a16="http://schemas.microsoft.com/office/drawing/2014/main" id="{00000000-0008-0000-2200-000086000000}"/>
            </a:ext>
          </a:extLst>
        </xdr:cNvPr>
        <xdr:cNvSpPr>
          <a:spLocks noChangeShapeType="1"/>
        </xdr:cNvSpPr>
      </xdr:nvSpPr>
      <xdr:spPr bwMode="auto">
        <a:xfrm>
          <a:off x="8534400" y="40709850"/>
          <a:ext cx="0" cy="9525"/>
        </a:xfrm>
        <a:prstGeom prst="line">
          <a:avLst/>
        </a:prstGeom>
        <a:noFill/>
        <a:ln w="0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4</xdr:col>
      <xdr:colOff>885825</xdr:colOff>
      <xdr:row>238</xdr:row>
      <xdr:rowOff>0</xdr:rowOff>
    </xdr:from>
    <xdr:to>
      <xdr:col>4</xdr:col>
      <xdr:colOff>885825</xdr:colOff>
      <xdr:row>238</xdr:row>
      <xdr:rowOff>0</xdr:rowOff>
    </xdr:to>
    <xdr:sp macro="" textlink="">
      <xdr:nvSpPr>
        <xdr:cNvPr id="135" name="Line 12">
          <a:extLst>
            <a:ext uri="{FF2B5EF4-FFF2-40B4-BE49-F238E27FC236}">
              <a16:creationId xmlns:a16="http://schemas.microsoft.com/office/drawing/2014/main" id="{00000000-0008-0000-2200-000087000000}"/>
            </a:ext>
          </a:extLst>
        </xdr:cNvPr>
        <xdr:cNvSpPr>
          <a:spLocks noChangeShapeType="1"/>
        </xdr:cNvSpPr>
      </xdr:nvSpPr>
      <xdr:spPr bwMode="auto">
        <a:xfrm>
          <a:off x="6677025" y="44700825"/>
          <a:ext cx="0" cy="0"/>
        </a:xfrm>
        <a:prstGeom prst="line">
          <a:avLst/>
        </a:prstGeom>
        <a:noFill/>
        <a:ln w="0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4</xdr:col>
      <xdr:colOff>885825</xdr:colOff>
      <xdr:row>238</xdr:row>
      <xdr:rowOff>76200</xdr:rowOff>
    </xdr:from>
    <xdr:to>
      <xdr:col>4</xdr:col>
      <xdr:colOff>885825</xdr:colOff>
      <xdr:row>238</xdr:row>
      <xdr:rowOff>76200</xdr:rowOff>
    </xdr:to>
    <xdr:sp macro="" textlink="">
      <xdr:nvSpPr>
        <xdr:cNvPr id="136" name="Line 33">
          <a:extLst>
            <a:ext uri="{FF2B5EF4-FFF2-40B4-BE49-F238E27FC236}">
              <a16:creationId xmlns:a16="http://schemas.microsoft.com/office/drawing/2014/main" id="{00000000-0008-0000-2200-000088000000}"/>
            </a:ext>
          </a:extLst>
        </xdr:cNvPr>
        <xdr:cNvSpPr>
          <a:spLocks noChangeShapeType="1"/>
        </xdr:cNvSpPr>
      </xdr:nvSpPr>
      <xdr:spPr bwMode="auto">
        <a:xfrm>
          <a:off x="6677025" y="44777025"/>
          <a:ext cx="0" cy="0"/>
        </a:xfrm>
        <a:prstGeom prst="line">
          <a:avLst/>
        </a:prstGeom>
        <a:noFill/>
        <a:ln w="0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4</xdr:col>
      <xdr:colOff>1200150</xdr:colOff>
      <xdr:row>247</xdr:row>
      <xdr:rowOff>28575</xdr:rowOff>
    </xdr:from>
    <xdr:to>
      <xdr:col>4</xdr:col>
      <xdr:colOff>1200150</xdr:colOff>
      <xdr:row>247</xdr:row>
      <xdr:rowOff>38100</xdr:rowOff>
    </xdr:to>
    <xdr:sp macro="" textlink="">
      <xdr:nvSpPr>
        <xdr:cNvPr id="137" name="Line 19">
          <a:extLst>
            <a:ext uri="{FF2B5EF4-FFF2-40B4-BE49-F238E27FC236}">
              <a16:creationId xmlns:a16="http://schemas.microsoft.com/office/drawing/2014/main" id="{00000000-0008-0000-2200-000089000000}"/>
            </a:ext>
          </a:extLst>
        </xdr:cNvPr>
        <xdr:cNvSpPr>
          <a:spLocks noChangeShapeType="1"/>
        </xdr:cNvSpPr>
      </xdr:nvSpPr>
      <xdr:spPr bwMode="auto">
        <a:xfrm>
          <a:off x="6991350" y="46443900"/>
          <a:ext cx="0" cy="9525"/>
        </a:xfrm>
        <a:prstGeom prst="line">
          <a:avLst/>
        </a:prstGeom>
        <a:noFill/>
        <a:ln w="0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4</xdr:col>
      <xdr:colOff>1200150</xdr:colOff>
      <xdr:row>240</xdr:row>
      <xdr:rowOff>85725</xdr:rowOff>
    </xdr:from>
    <xdr:to>
      <xdr:col>4</xdr:col>
      <xdr:colOff>1200150</xdr:colOff>
      <xdr:row>240</xdr:row>
      <xdr:rowOff>95250</xdr:rowOff>
    </xdr:to>
    <xdr:sp macro="" textlink="">
      <xdr:nvSpPr>
        <xdr:cNvPr id="138" name="Line 26">
          <a:extLst>
            <a:ext uri="{FF2B5EF4-FFF2-40B4-BE49-F238E27FC236}">
              <a16:creationId xmlns:a16="http://schemas.microsoft.com/office/drawing/2014/main" id="{00000000-0008-0000-2200-00008A000000}"/>
            </a:ext>
          </a:extLst>
        </xdr:cNvPr>
        <xdr:cNvSpPr>
          <a:spLocks noChangeShapeType="1"/>
        </xdr:cNvSpPr>
      </xdr:nvSpPr>
      <xdr:spPr bwMode="auto">
        <a:xfrm>
          <a:off x="6991350" y="45167550"/>
          <a:ext cx="0" cy="9525"/>
        </a:xfrm>
        <a:prstGeom prst="line">
          <a:avLst/>
        </a:prstGeom>
        <a:noFill/>
        <a:ln w="0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4</xdr:col>
      <xdr:colOff>885825</xdr:colOff>
      <xdr:row>243</xdr:row>
      <xdr:rowOff>76200</xdr:rowOff>
    </xdr:from>
    <xdr:to>
      <xdr:col>4</xdr:col>
      <xdr:colOff>885825</xdr:colOff>
      <xdr:row>243</xdr:row>
      <xdr:rowOff>85725</xdr:rowOff>
    </xdr:to>
    <xdr:sp macro="" textlink="">
      <xdr:nvSpPr>
        <xdr:cNvPr id="139" name="Line 6">
          <a:extLst>
            <a:ext uri="{FF2B5EF4-FFF2-40B4-BE49-F238E27FC236}">
              <a16:creationId xmlns:a16="http://schemas.microsoft.com/office/drawing/2014/main" id="{00000000-0008-0000-2200-00008B000000}"/>
            </a:ext>
          </a:extLst>
        </xdr:cNvPr>
        <xdr:cNvSpPr>
          <a:spLocks noChangeShapeType="1"/>
        </xdr:cNvSpPr>
      </xdr:nvSpPr>
      <xdr:spPr bwMode="auto">
        <a:xfrm>
          <a:off x="6677025" y="45729525"/>
          <a:ext cx="0" cy="9525"/>
        </a:xfrm>
        <a:prstGeom prst="line">
          <a:avLst/>
        </a:prstGeom>
        <a:noFill/>
        <a:ln w="0">
          <a:solidFill>
            <a:srgbClr val="000000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4</xdr:col>
      <xdr:colOff>885825</xdr:colOff>
      <xdr:row>246</xdr:row>
      <xdr:rowOff>57150</xdr:rowOff>
    </xdr:from>
    <xdr:to>
      <xdr:col>4</xdr:col>
      <xdr:colOff>885825</xdr:colOff>
      <xdr:row>246</xdr:row>
      <xdr:rowOff>66675</xdr:rowOff>
    </xdr:to>
    <xdr:sp macro="" textlink="">
      <xdr:nvSpPr>
        <xdr:cNvPr id="140" name="Line 13">
          <a:extLst>
            <a:ext uri="{FF2B5EF4-FFF2-40B4-BE49-F238E27FC236}">
              <a16:creationId xmlns:a16="http://schemas.microsoft.com/office/drawing/2014/main" id="{00000000-0008-0000-2200-00008C000000}"/>
            </a:ext>
          </a:extLst>
        </xdr:cNvPr>
        <xdr:cNvSpPr>
          <a:spLocks noChangeShapeType="1"/>
        </xdr:cNvSpPr>
      </xdr:nvSpPr>
      <xdr:spPr bwMode="auto">
        <a:xfrm>
          <a:off x="6677025" y="46281975"/>
          <a:ext cx="0" cy="9525"/>
        </a:xfrm>
        <a:prstGeom prst="line">
          <a:avLst/>
        </a:prstGeom>
        <a:noFill/>
        <a:ln w="0">
          <a:solidFill>
            <a:srgbClr val="000000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4</xdr:col>
      <xdr:colOff>885825</xdr:colOff>
      <xdr:row>250</xdr:row>
      <xdr:rowOff>95250</xdr:rowOff>
    </xdr:from>
    <xdr:to>
      <xdr:col>4</xdr:col>
      <xdr:colOff>885825</xdr:colOff>
      <xdr:row>250</xdr:row>
      <xdr:rowOff>104775</xdr:rowOff>
    </xdr:to>
    <xdr:sp macro="" textlink="">
      <xdr:nvSpPr>
        <xdr:cNvPr id="141" name="Line 20">
          <a:extLst>
            <a:ext uri="{FF2B5EF4-FFF2-40B4-BE49-F238E27FC236}">
              <a16:creationId xmlns:a16="http://schemas.microsoft.com/office/drawing/2014/main" id="{00000000-0008-0000-2200-00008D000000}"/>
            </a:ext>
          </a:extLst>
        </xdr:cNvPr>
        <xdr:cNvSpPr>
          <a:spLocks noChangeShapeType="1"/>
        </xdr:cNvSpPr>
      </xdr:nvSpPr>
      <xdr:spPr bwMode="auto">
        <a:xfrm>
          <a:off x="6677025" y="47082075"/>
          <a:ext cx="0" cy="9525"/>
        </a:xfrm>
        <a:prstGeom prst="line">
          <a:avLst/>
        </a:prstGeom>
        <a:noFill/>
        <a:ln w="0">
          <a:solidFill>
            <a:srgbClr val="000000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4</xdr:col>
      <xdr:colOff>885825</xdr:colOff>
      <xdr:row>243</xdr:row>
      <xdr:rowOff>152400</xdr:rowOff>
    </xdr:from>
    <xdr:to>
      <xdr:col>4</xdr:col>
      <xdr:colOff>885825</xdr:colOff>
      <xdr:row>244</xdr:row>
      <xdr:rowOff>0</xdr:rowOff>
    </xdr:to>
    <xdr:sp macro="" textlink="">
      <xdr:nvSpPr>
        <xdr:cNvPr id="142" name="Line 27">
          <a:extLst>
            <a:ext uri="{FF2B5EF4-FFF2-40B4-BE49-F238E27FC236}">
              <a16:creationId xmlns:a16="http://schemas.microsoft.com/office/drawing/2014/main" id="{00000000-0008-0000-2200-00008E000000}"/>
            </a:ext>
          </a:extLst>
        </xdr:cNvPr>
        <xdr:cNvSpPr>
          <a:spLocks noChangeShapeType="1"/>
        </xdr:cNvSpPr>
      </xdr:nvSpPr>
      <xdr:spPr bwMode="auto">
        <a:xfrm>
          <a:off x="6677025" y="45805725"/>
          <a:ext cx="0" cy="38100"/>
        </a:xfrm>
        <a:prstGeom prst="line">
          <a:avLst/>
        </a:prstGeom>
        <a:noFill/>
        <a:ln w="0">
          <a:solidFill>
            <a:srgbClr val="000000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4</xdr:col>
      <xdr:colOff>885825</xdr:colOff>
      <xdr:row>246</xdr:row>
      <xdr:rowOff>85725</xdr:rowOff>
    </xdr:from>
    <xdr:to>
      <xdr:col>4</xdr:col>
      <xdr:colOff>885825</xdr:colOff>
      <xdr:row>246</xdr:row>
      <xdr:rowOff>85725</xdr:rowOff>
    </xdr:to>
    <xdr:sp macro="" textlink="">
      <xdr:nvSpPr>
        <xdr:cNvPr id="143" name="Line 19">
          <a:extLst>
            <a:ext uri="{FF2B5EF4-FFF2-40B4-BE49-F238E27FC236}">
              <a16:creationId xmlns:a16="http://schemas.microsoft.com/office/drawing/2014/main" id="{00000000-0008-0000-2200-00008F000000}"/>
            </a:ext>
          </a:extLst>
        </xdr:cNvPr>
        <xdr:cNvSpPr>
          <a:spLocks noChangeShapeType="1"/>
        </xdr:cNvSpPr>
      </xdr:nvSpPr>
      <xdr:spPr bwMode="auto">
        <a:xfrm>
          <a:off x="6677025" y="46310550"/>
          <a:ext cx="0" cy="0"/>
        </a:xfrm>
        <a:prstGeom prst="line">
          <a:avLst/>
        </a:prstGeom>
        <a:noFill/>
        <a:ln w="0">
          <a:solidFill>
            <a:srgbClr val="000000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4</xdr:col>
      <xdr:colOff>885825</xdr:colOff>
      <xdr:row>243</xdr:row>
      <xdr:rowOff>76200</xdr:rowOff>
    </xdr:from>
    <xdr:to>
      <xdr:col>4</xdr:col>
      <xdr:colOff>885825</xdr:colOff>
      <xdr:row>243</xdr:row>
      <xdr:rowOff>85725</xdr:rowOff>
    </xdr:to>
    <xdr:sp macro="" textlink="">
      <xdr:nvSpPr>
        <xdr:cNvPr id="144" name="Line 19">
          <a:extLst>
            <a:ext uri="{FF2B5EF4-FFF2-40B4-BE49-F238E27FC236}">
              <a16:creationId xmlns:a16="http://schemas.microsoft.com/office/drawing/2014/main" id="{00000000-0008-0000-2200-000090000000}"/>
            </a:ext>
          </a:extLst>
        </xdr:cNvPr>
        <xdr:cNvSpPr>
          <a:spLocks noChangeShapeType="1"/>
        </xdr:cNvSpPr>
      </xdr:nvSpPr>
      <xdr:spPr bwMode="auto">
        <a:xfrm>
          <a:off x="6677025" y="45729525"/>
          <a:ext cx="0" cy="9525"/>
        </a:xfrm>
        <a:prstGeom prst="line">
          <a:avLst/>
        </a:prstGeom>
        <a:noFill/>
        <a:ln w="0">
          <a:solidFill>
            <a:srgbClr val="000000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4</xdr:col>
      <xdr:colOff>781050</xdr:colOff>
      <xdr:row>243</xdr:row>
      <xdr:rowOff>57150</xdr:rowOff>
    </xdr:from>
    <xdr:to>
      <xdr:col>4</xdr:col>
      <xdr:colOff>781050</xdr:colOff>
      <xdr:row>243</xdr:row>
      <xdr:rowOff>66675</xdr:rowOff>
    </xdr:to>
    <xdr:sp macro="" textlink="">
      <xdr:nvSpPr>
        <xdr:cNvPr id="145" name="Line 12">
          <a:extLst>
            <a:ext uri="{FF2B5EF4-FFF2-40B4-BE49-F238E27FC236}">
              <a16:creationId xmlns:a16="http://schemas.microsoft.com/office/drawing/2014/main" id="{00000000-0008-0000-2200-000091000000}"/>
            </a:ext>
          </a:extLst>
        </xdr:cNvPr>
        <xdr:cNvSpPr>
          <a:spLocks noChangeShapeType="1"/>
        </xdr:cNvSpPr>
      </xdr:nvSpPr>
      <xdr:spPr bwMode="auto">
        <a:xfrm>
          <a:off x="6572250" y="45710475"/>
          <a:ext cx="0" cy="9525"/>
        </a:xfrm>
        <a:prstGeom prst="line">
          <a:avLst/>
        </a:prstGeom>
        <a:noFill/>
        <a:ln w="0">
          <a:solidFill>
            <a:srgbClr val="000000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4</xdr:col>
      <xdr:colOff>781050</xdr:colOff>
      <xdr:row>250</xdr:row>
      <xdr:rowOff>152400</xdr:rowOff>
    </xdr:from>
    <xdr:to>
      <xdr:col>4</xdr:col>
      <xdr:colOff>781050</xdr:colOff>
      <xdr:row>251</xdr:row>
      <xdr:rowOff>0</xdr:rowOff>
    </xdr:to>
    <xdr:sp macro="" textlink="">
      <xdr:nvSpPr>
        <xdr:cNvPr id="146" name="Line 12">
          <a:extLst>
            <a:ext uri="{FF2B5EF4-FFF2-40B4-BE49-F238E27FC236}">
              <a16:creationId xmlns:a16="http://schemas.microsoft.com/office/drawing/2014/main" id="{00000000-0008-0000-2200-000092000000}"/>
            </a:ext>
          </a:extLst>
        </xdr:cNvPr>
        <xdr:cNvSpPr>
          <a:spLocks noChangeShapeType="1"/>
        </xdr:cNvSpPr>
      </xdr:nvSpPr>
      <xdr:spPr bwMode="auto">
        <a:xfrm>
          <a:off x="6572250" y="47139225"/>
          <a:ext cx="0" cy="38100"/>
        </a:xfrm>
        <a:prstGeom prst="line">
          <a:avLst/>
        </a:prstGeom>
        <a:noFill/>
        <a:ln w="0">
          <a:solidFill>
            <a:srgbClr val="000000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5</xdr:col>
      <xdr:colOff>1200150</xdr:colOff>
      <xdr:row>240</xdr:row>
      <xdr:rowOff>85725</xdr:rowOff>
    </xdr:from>
    <xdr:to>
      <xdr:col>5</xdr:col>
      <xdr:colOff>1200150</xdr:colOff>
      <xdr:row>240</xdr:row>
      <xdr:rowOff>95250</xdr:rowOff>
    </xdr:to>
    <xdr:sp macro="" textlink="">
      <xdr:nvSpPr>
        <xdr:cNvPr id="147" name="Line 26">
          <a:extLst>
            <a:ext uri="{FF2B5EF4-FFF2-40B4-BE49-F238E27FC236}">
              <a16:creationId xmlns:a16="http://schemas.microsoft.com/office/drawing/2014/main" id="{00000000-0008-0000-2200-000093000000}"/>
            </a:ext>
          </a:extLst>
        </xdr:cNvPr>
        <xdr:cNvSpPr>
          <a:spLocks noChangeShapeType="1"/>
        </xdr:cNvSpPr>
      </xdr:nvSpPr>
      <xdr:spPr bwMode="auto">
        <a:xfrm>
          <a:off x="8534400" y="45167550"/>
          <a:ext cx="0" cy="9525"/>
        </a:xfrm>
        <a:prstGeom prst="line">
          <a:avLst/>
        </a:prstGeom>
        <a:noFill/>
        <a:ln w="0">
          <a:solidFill>
            <a:srgbClr val="000000"/>
          </a:solidFill>
          <a:round/>
          <a:headEnd/>
          <a:tailEnd/>
        </a:ln>
      </xdr:spPr>
    </xdr:sp>
    <xdr:clientData/>
  </xdr:twoCellAnchor>
</xdr:wsDr>
</file>

<file path=xl/externalLinks/_rels/externalLink1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10.26.0.16\boite%20reception%20DCM\Users\Maya\AppData\Roaming\Microsoft\Excel\NBR%20ABONNES%202014.xlsx" TargetMode="External"/></Relationships>
</file>

<file path=xl/externalLinks/_rels/externalLink2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F:\Sofiane%202013\TB\2017\9-sept%202017\TB-consolid&#233;\CA-Mars-2017\Classeur225.xlsx" TargetMode="External"/></Relationships>
</file>

<file path=xl/externalLinks/_rels/externalLink3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10.26.0.16\boite%20reception%20DCM\Users\Maya\AppData\Roaming\Microsoft\Excel\KH.xlsx" TargetMode="External"/></Relationships>
</file>

<file path=xl/externalLinks/_rels/externalLink4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D:\Sauvegarde%20C\2018\CREANCES%202018\Janvier%202018\Param&#232;tres%20Recouvrement%20JANVIER%202018%20V2.xlsx" TargetMode="External"/></Relationships>
</file>

<file path=xl/externalLinks/_rels/externalLink5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D:\Users\redjem.khadija\Downloads\CA-Mars-2017\Classeur225.xlsx" TargetMode="External"/></Relationships>
</file>

<file path=xl/externalLinks/_rels/externalLink6.xml.rels><?xml version="1.0" encoding="UTF-8" standalone="yes"?>
<Relationships xmlns="http://schemas.openxmlformats.org/package/2006/relationships"><Relationship Id="rId1" Type="http://schemas.openxmlformats.org/officeDocument/2006/relationships/externalLinkPath" Target="/Users/moussaoui.meriem/Downloads/Sofiane%202013/TB/2016/12-D&#233;cembre%202016/T.B%20dec%202016.xlsx" TargetMode="External"/></Relationships>
</file>

<file path=xl/externalLinks/_rels/externalLink7.xml.rels><?xml version="1.0" encoding="UTF-8" standalone="yes"?>
<Relationships xmlns="http://schemas.openxmlformats.org/package/2006/relationships"><Relationship Id="rId1" Type="http://schemas.openxmlformats.org/officeDocument/2006/relationships/externalLinkPath" Target="/Users/moussaoui.meriem/Downloads/Sofiane%202013/TB/2016/11-novembre%202016/T.B%20nov%202016.xlsx" TargetMode="External"/></Relationships>
</file>

<file path=xl/externalLinks/_rels/externalLink8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D:\dossier%20djerfaf\Sofiane\TB\2022\janvier%202022\T.B%20avec%20apurm.xlsx" TargetMode="External"/></Relationships>
</file>

<file path=xl/externalLinks/_rels/externalLink9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D:\dossier%20djerfaf\Sofiane\TB\2023\Reporting\Mensuel\1-Janvier\3.Recouverement-DCC-RDC%20janv%202023.xlsx" TargetMode="External"/></Relationships>
</file>

<file path=xl/externalLinks/_rels/externalLink10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D:\dossier%20djerfaf\Sofiane\TB\2020\8-Aout%202020\TB\Fwd_%20CD%20GHARDAlA-%20Les%20Elements%20de%20TB%2008.2020\Cr&#233;ance%20TB.08.2020.xlsx" TargetMode="External"/></Relationships>
</file>

<file path=xl/externalLinks/_rels/externalLink11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E:\Travail%20urgent\Moussaoui-%20p&#244;le\Dossier%20mars\3-mars%202024\DFC\partie%20commerciale.xlsx" TargetMode="External"/></Relationships>
</file>

<file path=xl/externalLinks/_rels/externalLink12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G:\Sofiane\TB\2024\8-aout%202024\DFC\partie%20commerciale.xlsx" TargetMode="External"/></Relationships>
</file>

<file path=xl/externalLinks/externalLink1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EVOLUTION DU NOMBRE ABONNE"/>
      <sheetName val="NBR ABONNES 2014"/>
      <sheetName val="EVOLUTIONS DES SOLDES 18 DD2 ob"/>
      <sheetName val="solde dcc ca tx d'enc   "/>
      <sheetName val="GROS DEBITEUR"/>
    </sheetNames>
    <definedNames>
      <definedName name="Header_Row" refersTo="#REF!"/>
      <definedName name="Loan_Start" refersTo="#REF!"/>
      <definedName name="m" refersTo="#REF!"/>
      <definedName name="Values_Entered" refersTo="#REF!"/>
    </definedNames>
    <sheetDataSet>
      <sheetData sheetId="0" refreshError="1"/>
      <sheetData sheetId="1" refreshError="1"/>
      <sheetData sheetId="2" refreshError="1"/>
      <sheetData sheetId="3" refreshError="1"/>
      <sheetData sheetId="4" refreshError="1"/>
    </sheetDataSet>
  </externalBook>
</externalLink>
</file>

<file path=xl/externalLinks/externalLink2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presentation juin  pertes BT "/>
      <sheetName val="Classeur225"/>
    </sheetNames>
    <definedNames>
      <definedName name="Values_Entered" refersTo="#REF!"/>
    </definedNames>
    <sheetDataSet>
      <sheetData sheetId="0" refreshError="1"/>
      <sheetData sheetId="1" refreshError="1"/>
    </sheetDataSet>
  </externalBook>
</externalLink>
</file>

<file path=xl/externalLinks/externalLink3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Pertes elec  ACHAT DCM"/>
      <sheetName val="KH"/>
      <sheetName val="EVOLUTIONS DES SOLDES 18 DD2 ob"/>
      <sheetName val="Créances"/>
      <sheetName val="Créances par age"/>
      <sheetName val="C.I"/>
      <sheetName val=" JEA"/>
      <sheetName val="Créances (Explications)"/>
    </sheetNames>
    <definedNames>
      <definedName name="Number_of_Payments" sheetId="0"/>
    </definedNames>
    <sheetDataSet>
      <sheetData sheetId="0">
        <row r="27">
          <cell r="C27">
            <v>3.6366041258201358</v>
          </cell>
        </row>
      </sheetData>
      <sheetData sheetId="1" refreshError="1"/>
      <sheetData sheetId="2" refreshError="1"/>
      <sheetData sheetId="3"/>
      <sheetData sheetId="4"/>
      <sheetData sheetId="5"/>
      <sheetData sheetId="6"/>
      <sheetData sheetId="7"/>
    </sheetDataSet>
  </externalBook>
</externalLink>
</file>

<file path=xl/externalLinks/externalLink4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SITUATION CUMULEE DES CREANCES"/>
    </sheetNames>
    <sheetDataSet>
      <sheetData sheetId="0">
        <row r="34">
          <cell r="T34">
            <v>456616.18344000011</v>
          </cell>
        </row>
        <row r="175">
          <cell r="B175">
            <v>31</v>
          </cell>
        </row>
      </sheetData>
    </sheetDataSet>
  </externalBook>
</externalLink>
</file>

<file path=xl/externalLinks/externalLink5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presentation juin  pertes BT "/>
      <sheetName val="Classeur225"/>
    </sheetNames>
    <definedNames>
      <definedName name="Values_Entered" refersTo="#REF!"/>
    </definedNames>
    <sheetDataSet>
      <sheetData sheetId="0" refreshError="1"/>
      <sheetData sheetId="1" refreshError="1"/>
    </sheetDataSet>
  </externalBook>
</externalLink>
</file>

<file path=xl/externalLinks/externalLink6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tableau de bord"/>
      <sheetName val="Feuille-synthèse"/>
      <sheetName val="HT_HP"/>
      <sheetName val="Abonnés (2)"/>
      <sheetName val="délais "/>
      <sheetName val="ventes_achats_élec"/>
      <sheetName val="TP_élec"/>
      <sheetName val="ventes_achats_gaz"/>
      <sheetName val="TP_gaz"/>
      <sheetName val="CA_élec_gaz"/>
      <sheetName val="Créances_énergie "/>
      <sheetName val="répart_Créances_annexe "/>
      <sheetName val="enc-ag"/>
      <sheetName val="peretes-ag"/>
      <sheetName val="Achats et ventes agences "/>
      <sheetName val="Pertes de gestion agences"/>
      <sheetName val="RCN_Elec  "/>
      <sheetName val="RCN_Gaz  "/>
      <sheetName val="élec"/>
      <sheetName val="gaz"/>
      <sheetName val="gaz propane"/>
      <sheetName val="Créanc-agence-compare"/>
      <sheetName val="Gros Débit"/>
      <sheetName val="Créanc"/>
      <sheetName val="Crédit client"/>
      <sheetName val="DCC_MT-MP sans eaux"/>
      <sheetName val="quitancemult"/>
      <sheetName val="pertes de gestion2016"/>
      <sheetName val="pertes de gestion2015"/>
      <sheetName val="gains pertes"/>
      <sheetName val="Feuil-saisie"/>
      <sheetName val="les liens-créances"/>
      <sheetName val="Evol°-soldes-DCC-mois"/>
      <sheetName val="clients"/>
      <sheetName val="Année-mobile"/>
      <sheetName val="encais"/>
      <sheetName val="trim_elec"/>
      <sheetName val="trim_gaz"/>
      <sheetName val="CS"/>
      <sheetName val="Feuil1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>
        <row r="124">
          <cell r="C124">
            <v>68.978944999999996</v>
          </cell>
        </row>
      </sheetData>
      <sheetData sheetId="19">
        <row r="124">
          <cell r="AN124">
            <v>610.67853750000006</v>
          </cell>
        </row>
      </sheetData>
      <sheetData sheetId="20"/>
      <sheetData sheetId="21"/>
      <sheetData sheetId="22"/>
      <sheetData sheetId="23"/>
      <sheetData sheetId="24"/>
      <sheetData sheetId="25"/>
      <sheetData sheetId="26"/>
      <sheetData sheetId="27"/>
      <sheetData sheetId="28"/>
      <sheetData sheetId="29"/>
      <sheetData sheetId="30"/>
      <sheetData sheetId="31"/>
      <sheetData sheetId="32"/>
      <sheetData sheetId="33"/>
      <sheetData sheetId="34"/>
      <sheetData sheetId="35"/>
      <sheetData sheetId="36"/>
      <sheetData sheetId="37"/>
      <sheetData sheetId="38"/>
      <sheetData sheetId="39"/>
    </sheetDataSet>
  </externalBook>
</externalLink>
</file>

<file path=xl/externalLinks/externalLink7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tableau de bord"/>
      <sheetName val="Feuille-synthèse"/>
      <sheetName val="HT_HP"/>
      <sheetName val="Abonnés (2)"/>
      <sheetName val="délais "/>
      <sheetName val="ventes_achats_élec"/>
      <sheetName val="TP_élec"/>
      <sheetName val="ventes_achats_gaz"/>
      <sheetName val="TP_gaz"/>
      <sheetName val="CA_élec_gaz"/>
      <sheetName val="Créances_énergie "/>
      <sheetName val="répart_Créances_annexe "/>
      <sheetName val="enc-ag"/>
      <sheetName val="peretes-ag"/>
      <sheetName val="Achats et ventes agences "/>
      <sheetName val="Pertes de gestion agences"/>
      <sheetName val="RCN_Elec  "/>
      <sheetName val="RCN_Gaz  "/>
      <sheetName val="élec"/>
      <sheetName val="gaz"/>
      <sheetName val="gaz propane"/>
      <sheetName val="Créanc-agence-compare"/>
      <sheetName val="Gros Débit"/>
      <sheetName val="Créanc"/>
      <sheetName val="Crédit client"/>
      <sheetName val="DCC_MT-MP sans eaux"/>
      <sheetName val="quitancemult"/>
      <sheetName val="pertes de gestion2016"/>
      <sheetName val="pertes de gestion2015"/>
      <sheetName val="gains pertes"/>
      <sheetName val="Feuil-saisie"/>
      <sheetName val="les liens-créances"/>
      <sheetName val="Evol°-soldes-DCC-mois"/>
      <sheetName val="clients"/>
      <sheetName val="Année-mobile"/>
      <sheetName val="encais"/>
      <sheetName val="trim_elec"/>
      <sheetName val="trim_gaz"/>
      <sheetName val="CS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>
        <row r="208">
          <cell r="AG208">
            <v>63.805331379999991</v>
          </cell>
        </row>
      </sheetData>
      <sheetData sheetId="20"/>
      <sheetData sheetId="21"/>
      <sheetData sheetId="22"/>
      <sheetData sheetId="23"/>
      <sheetData sheetId="24"/>
      <sheetData sheetId="25"/>
      <sheetData sheetId="26"/>
      <sheetData sheetId="27"/>
      <sheetData sheetId="28"/>
      <sheetData sheetId="29"/>
      <sheetData sheetId="30"/>
      <sheetData sheetId="31"/>
      <sheetData sheetId="32"/>
      <sheetData sheetId="33"/>
      <sheetData sheetId="34"/>
      <sheetData sheetId="35"/>
      <sheetData sheetId="36"/>
      <sheetData sheetId="37"/>
      <sheetData sheetId="38"/>
    </sheetDataSet>
  </externalBook>
</externalLink>
</file>

<file path=xl/externalLinks/externalLink8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tableau de bord"/>
      <sheetName val="Feuille-synthèse"/>
      <sheetName val="synthése HT_HP"/>
      <sheetName val="HT-HP 2"/>
      <sheetName val="Clientele"/>
      <sheetName val="Motif Résiliation"/>
      <sheetName val="Client-Elec RDC"/>
      <sheetName val="Client-GAZ RDC"/>
      <sheetName val="délais "/>
      <sheetName val="RCN_Elec  "/>
      <sheetName val="RCN_Gaz  "/>
      <sheetName val="Instances"/>
      <sheetName val="ventes_achats_élec"/>
      <sheetName val="TP_élec"/>
      <sheetName val="ventes_achats_gaz"/>
      <sheetName val="TP_gaz"/>
      <sheetName val="CA_élec_gaz"/>
      <sheetName val="Créances_énergie "/>
      <sheetName val="répart_Créances_annexe "/>
      <sheetName val="enc-ag"/>
      <sheetName val="Achats et ventes BT agences (2"/>
      <sheetName val="Données agence 2019"/>
      <sheetName val="élec"/>
      <sheetName val="gaz"/>
      <sheetName val="Créanc-agence-compare"/>
      <sheetName val="Gros Débit"/>
      <sheetName val="Créanc"/>
      <sheetName val="Crédit client"/>
      <sheetName val="DCC_MT-MP sans eaux"/>
      <sheetName val="Solde créances_DCM"/>
      <sheetName val="Solde créances Privé-ADM"/>
      <sheetName val="créances Privé-ADM Mensuel"/>
      <sheetName val="quitancemult"/>
      <sheetName val="Feuil-saisie"/>
      <sheetName val="créances-DCC"/>
      <sheetName val="les liens-créances"/>
      <sheetName val="Année-mobile elec"/>
      <sheetName val="Année-mobile Gaz"/>
      <sheetName val="trim_elec"/>
      <sheetName val="trim_gaz"/>
      <sheetName val="CS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/>
      <sheetData sheetId="21"/>
      <sheetData sheetId="22"/>
      <sheetData sheetId="23"/>
      <sheetData sheetId="24">
        <row r="148">
          <cell r="E148">
            <v>13225.370872890002</v>
          </cell>
        </row>
      </sheetData>
      <sheetData sheetId="25"/>
      <sheetData sheetId="26"/>
      <sheetData sheetId="27"/>
      <sheetData sheetId="28"/>
      <sheetData sheetId="29"/>
      <sheetData sheetId="30"/>
      <sheetData sheetId="31"/>
      <sheetData sheetId="32"/>
      <sheetData sheetId="33"/>
      <sheetData sheetId="34"/>
      <sheetData sheetId="35"/>
      <sheetData sheetId="36"/>
      <sheetData sheetId="37"/>
      <sheetData sheetId="38"/>
      <sheetData sheetId="39"/>
      <sheetData sheetId="40"/>
    </sheetDataSet>
  </externalBook>
</externalLink>
</file>

<file path=xl/externalLinks/externalLink9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Chif.A RDC"/>
      <sheetName val="Feuil1"/>
      <sheetName val="Détail Solde"/>
      <sheetName val="Recrouv RDC"/>
      <sheetName val=" Créance exigible  RDC"/>
      <sheetName val="Encaisse RDC"/>
      <sheetName val="DCC RDC"/>
      <sheetName val="Solde-agences-RDC"/>
      <sheetName val="Quittances Multiples RDC"/>
      <sheetName val="EBP RDC"/>
      <sheetName val="Cheque impayé RDC"/>
      <sheetName val=" JEA RDC"/>
    </sheetNames>
    <sheetDataSet>
      <sheetData sheetId="0"/>
      <sheetData sheetId="1"/>
      <sheetData sheetId="2">
        <row r="47">
          <cell r="C47">
            <v>15506.813270470659</v>
          </cell>
        </row>
      </sheetData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</sheetDataSet>
  </externalBook>
</externalLink>
</file>

<file path=xl/externalLinks/externalLink10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Créances"/>
      <sheetName val="Suplément"/>
      <sheetName val="Détail créances activité"/>
    </sheetNames>
    <sheetDataSet>
      <sheetData sheetId="0"/>
      <sheetData sheetId="1"/>
      <sheetData sheetId="2"/>
    </sheetDataSet>
  </externalBook>
</externalLink>
</file>

<file path=xl/externalLinks/externalLink11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Feuil1"/>
      <sheetName val="apport"/>
      <sheetName val="pertes Elec"/>
      <sheetName val="pertes Gaz"/>
      <sheetName val="Chiff Aff "/>
      <sheetName val="créances"/>
      <sheetName val="créances (2)"/>
      <sheetName val="RCN"/>
    </sheetNames>
    <sheetDataSet>
      <sheetData sheetId="0"/>
      <sheetData sheetId="1"/>
      <sheetData sheetId="2"/>
      <sheetData sheetId="3"/>
      <sheetData sheetId="4"/>
      <sheetData sheetId="5">
        <row r="21">
          <cell r="C21">
            <v>1572.7108647299981</v>
          </cell>
        </row>
      </sheetData>
      <sheetData sheetId="6"/>
      <sheetData sheetId="7"/>
    </sheetDataSet>
  </externalBook>
</externalLink>
</file>

<file path=xl/externalLinks/externalLink12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Feuil1"/>
      <sheetName val="apport"/>
      <sheetName val="pertes Elec"/>
      <sheetName val="pertes Gaz"/>
      <sheetName val="Chiff Aff "/>
      <sheetName val="créances"/>
      <sheetName val="créances (2)"/>
      <sheetName val="RCN"/>
    </sheetNames>
    <sheetDataSet>
      <sheetData sheetId="0"/>
      <sheetData sheetId="1"/>
      <sheetData sheetId="2"/>
      <sheetData sheetId="3"/>
      <sheetData sheetId="4"/>
      <sheetData sheetId="5">
        <row r="27">
          <cell r="D27">
            <v>18171.900308685334</v>
          </cell>
        </row>
      </sheetData>
      <sheetData sheetId="6"/>
      <sheetData sheetId="7"/>
    </sheetDataSet>
  </externalBook>
</externalLink>
</file>

<file path=xl/theme/theme1.xml><?xml version="1.0" encoding="utf-8"?>
<a:theme xmlns:a="http://schemas.openxmlformats.org/drawingml/2006/main" name="Thème Offic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 bwMode="auto">
        <a:xfrm>
          <a:off x="0" y="0"/>
          <a:ext cx="1" cy="1"/>
        </a:xfrm>
        <a:custGeom>
          <a:avLst/>
          <a:gdLst/>
          <a:ahLst/>
          <a:cxnLst/>
          <a:rect l="0" t="0" r="0" b="0"/>
          <a:pathLst/>
        </a:custGeom>
        <a:solidFill>
          <a:srgbClr val="F0EAF6"/>
        </a:solidFill>
        <a:ln w="9525" cap="flat" cmpd="sng" algn="ctr">
          <a:solidFill>
            <a:srgbClr val="0000FF"/>
          </a:solidFill>
          <a:prstDash val="solid"/>
          <a:round/>
          <a:headEnd type="none" w="med" len="med"/>
          <a:tailEnd type="none" w="med" len="med"/>
        </a:ln>
        <a:effectLst>
          <a:prstShdw prst="shdw13" dist="53882" dir="13500000">
            <a:srgbClr val="000000">
              <a:alpha val="50000"/>
            </a:srgbClr>
          </a:prstShdw>
        </a:effectLst>
      </a:spPr>
      <a:bodyPr vertOverflow="clip" wrap="square" lIns="18288" tIns="0" rIns="0" bIns="0" upright="1"/>
      <a:lstStyle/>
    </a:spDef>
    <a:lnDef>
      <a:spPr bwMode="auto">
        <a:xfrm>
          <a:off x="0" y="0"/>
          <a:ext cx="1" cy="1"/>
        </a:xfrm>
        <a:custGeom>
          <a:avLst/>
          <a:gdLst/>
          <a:ahLst/>
          <a:cxnLst/>
          <a:rect l="0" t="0" r="0" b="0"/>
          <a:pathLst/>
        </a:custGeom>
        <a:solidFill>
          <a:srgbClr val="F0EAF6"/>
        </a:solidFill>
        <a:ln w="9525" cap="flat" cmpd="sng" algn="ctr">
          <a:solidFill>
            <a:srgbClr val="0000FF"/>
          </a:solidFill>
          <a:prstDash val="solid"/>
          <a:round/>
          <a:headEnd type="none" w="med" len="med"/>
          <a:tailEnd type="none" w="med" len="med"/>
        </a:ln>
        <a:effectLst>
          <a:prstShdw prst="shdw13" dist="53882" dir="13500000">
            <a:srgbClr val="000000">
              <a:alpha val="50000"/>
            </a:srgbClr>
          </a:prstShdw>
        </a:effectLst>
      </a:spPr>
      <a:bodyPr vertOverflow="clip" wrap="square" lIns="18288" tIns="0" rIns="0" bIns="0" upright="1"/>
      <a:lstStyle/>
    </a:lnDef>
  </a:objectDefaults>
  <a:extraClrSchemeLst/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.bin"/></Relationships>
</file>

<file path=xl/worksheets/_rels/sheet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rinterSettings" Target="../printerSettings/printerSettings5.bin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.bin"/></Relationships>
</file>

<file path=xl/worksheets/_rels/sheet7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rinterSettings" Target="../printerSettings/printerSettings7.bin"/></Relationships>
</file>

<file path=xl/worksheets/_rels/sheet8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.xml"/><Relationship Id="rId1" Type="http://schemas.openxmlformats.org/officeDocument/2006/relationships/printerSettings" Target="../printerSettings/printerSettings8.bin"/></Relationships>
</file>

<file path=xl/worksheets/_rels/sheet9.xml.rels><?xml version="1.0" encoding="UTF-8" standalone="yes"?>
<Relationships xmlns="http://schemas.openxmlformats.org/package/2006/relationships"><Relationship Id="rId2" Type="http://schemas.openxmlformats.org/officeDocument/2006/relationships/vmlDrawing" Target="../drawings/vmlDrawing1.vml"/><Relationship Id="rId1" Type="http://schemas.openxmlformats.org/officeDocument/2006/relationships/printerSettings" Target="../printerSettings/printerSettings9.bin"/></Relationships>
</file>

<file path=xl/worksheets/_rels/sheet10.xml.rels><?xml version="1.0" encoding="UTF-8" standalone="yes"?>
<Relationships xmlns="http://schemas.openxmlformats.org/package/2006/relationships"><Relationship Id="rId2" Type="http://schemas.openxmlformats.org/officeDocument/2006/relationships/vmlDrawing" Target="../drawings/vmlDrawing2.vml"/><Relationship Id="rId1" Type="http://schemas.openxmlformats.org/officeDocument/2006/relationships/printerSettings" Target="../printerSettings/printerSettings10.bin"/></Relationships>
</file>

<file path=xl/worksheets/_rels/sheet11.xml.rels><?xml version="1.0" encoding="UTF-8" standalone="yes"?>
<Relationships xmlns="http://schemas.openxmlformats.org/package/2006/relationships"><Relationship Id="rId3" Type="http://schemas.openxmlformats.org/officeDocument/2006/relationships/comments" Target="../comments1.xml"/><Relationship Id="rId2" Type="http://schemas.openxmlformats.org/officeDocument/2006/relationships/vmlDrawing" Target="../drawings/vmlDrawing3.vml"/><Relationship Id="rId1" Type="http://schemas.openxmlformats.org/officeDocument/2006/relationships/printerSettings" Target="../printerSettings/printerSettings11.bin"/></Relationships>
</file>

<file path=xl/worksheets/_rels/sheet12.xml.rels><?xml version="1.0" encoding="UTF-8" standalone="yes"?>
<Relationships xmlns="http://schemas.openxmlformats.org/package/2006/relationships"><Relationship Id="rId3" Type="http://schemas.openxmlformats.org/officeDocument/2006/relationships/comments" Target="../comments2.xml"/><Relationship Id="rId2" Type="http://schemas.openxmlformats.org/officeDocument/2006/relationships/vmlDrawing" Target="../drawings/vmlDrawing4.vml"/><Relationship Id="rId1" Type="http://schemas.openxmlformats.org/officeDocument/2006/relationships/printerSettings" Target="../printerSettings/printerSettings12.bin"/></Relationships>
</file>

<file path=xl/worksheets/_rels/sheet1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3.bin"/></Relationships>
</file>

<file path=xl/worksheets/_rels/sheet1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5.xml"/><Relationship Id="rId1" Type="http://schemas.openxmlformats.org/officeDocument/2006/relationships/printerSettings" Target="../printerSettings/printerSettings14.bin"/></Relationships>
</file>

<file path=xl/worksheets/_rels/sheet1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6.xml"/><Relationship Id="rId1" Type="http://schemas.openxmlformats.org/officeDocument/2006/relationships/printerSettings" Target="../printerSettings/printerSettings15.bin"/></Relationships>
</file>

<file path=xl/worksheets/_rels/sheet16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5.vml"/><Relationship Id="rId2" Type="http://schemas.openxmlformats.org/officeDocument/2006/relationships/drawing" Target="../drawings/drawing7.xml"/><Relationship Id="rId1" Type="http://schemas.openxmlformats.org/officeDocument/2006/relationships/printerSettings" Target="../printerSettings/printerSettings16.bin"/></Relationships>
</file>

<file path=xl/worksheets/_rels/sheet17.xml.rels><?xml version="1.0" encoding="UTF-8" standalone="yes"?>
<Relationships xmlns="http://schemas.openxmlformats.org/package/2006/relationships"><Relationship Id="rId2" Type="http://schemas.openxmlformats.org/officeDocument/2006/relationships/vmlDrawing" Target="../drawings/vmlDrawing6.vml"/><Relationship Id="rId1" Type="http://schemas.openxmlformats.org/officeDocument/2006/relationships/printerSettings" Target="../printerSettings/printerSettings17.bin"/></Relationships>
</file>

<file path=xl/worksheets/_rels/sheet1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8.bin"/></Relationships>
</file>

<file path=xl/worksheets/_rels/sheet1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9.bin"/></Relationships>
</file>

<file path=xl/worksheets/_rels/sheet2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0.bin"/></Relationships>
</file>

<file path=xl/worksheets/_rels/sheet2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1.bin"/></Relationships>
</file>

<file path=xl/worksheets/_rels/sheet2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8.xml"/><Relationship Id="rId1" Type="http://schemas.openxmlformats.org/officeDocument/2006/relationships/printerSettings" Target="../printerSettings/printerSettings22.bin"/></Relationships>
</file>

<file path=xl/worksheets/_rels/sheet2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3.bin"/></Relationships>
</file>

<file path=xl/worksheets/_rels/sheet2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4.bin"/></Relationships>
</file>

<file path=xl/worksheets/_rels/sheet2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9.xml"/><Relationship Id="rId1" Type="http://schemas.openxmlformats.org/officeDocument/2006/relationships/printerSettings" Target="../printerSettings/printerSettings25.bin"/></Relationships>
</file>

<file path=xl/worksheets/_rels/sheet26.xml.rels><?xml version="1.0" encoding="UTF-8" standalone="yes"?>
<Relationships xmlns="http://schemas.openxmlformats.org/package/2006/relationships"><Relationship Id="rId2" Type="http://schemas.openxmlformats.org/officeDocument/2006/relationships/vmlDrawing" Target="../drawings/vmlDrawing7.vml"/><Relationship Id="rId1" Type="http://schemas.openxmlformats.org/officeDocument/2006/relationships/printerSettings" Target="../printerSettings/printerSettings26.bin"/></Relationships>
</file>

<file path=xl/worksheets/_rels/sheet27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0.xml"/><Relationship Id="rId1" Type="http://schemas.openxmlformats.org/officeDocument/2006/relationships/printerSettings" Target="../printerSettings/printerSettings27.bin"/></Relationships>
</file>

<file path=xl/worksheets/_rels/sheet2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8.bin"/></Relationships>
</file>

<file path=xl/worksheets/_rels/sheet2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9.bin"/></Relationships>
</file>

<file path=xl/worksheets/_rels/sheet3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0.bin"/></Relationships>
</file>

<file path=xl/worksheets/_rels/sheet3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1.bin"/></Relationships>
</file>

<file path=xl/worksheets/_rels/sheet3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2.bin"/></Relationships>
</file>

<file path=xl/worksheets/_rels/sheet3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3.bin"/></Relationships>
</file>

<file path=xl/worksheets/_rels/sheet34.xml.rels><?xml version="1.0" encoding="UTF-8" standalone="yes"?>
<Relationships xmlns="http://schemas.openxmlformats.org/package/2006/relationships"><Relationship Id="rId2" Type="http://schemas.openxmlformats.org/officeDocument/2006/relationships/vmlDrawing" Target="../drawings/vmlDrawing8.vml"/><Relationship Id="rId1" Type="http://schemas.openxmlformats.org/officeDocument/2006/relationships/printerSettings" Target="../printerSettings/printerSettings34.bin"/></Relationships>
</file>

<file path=xl/worksheets/_rels/sheet3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1.xml"/><Relationship Id="rId1" Type="http://schemas.openxmlformats.org/officeDocument/2006/relationships/printerSettings" Target="../printerSettings/printerSettings35.bin"/></Relationships>
</file>

<file path=xl/worksheets/_rels/sheet3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6.bin"/></Relationships>
</file>

<file path=xl/worksheets/_rels/sheet3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7.bin"/></Relationships>
</file>

<file path=xl/worksheets/_rels/sheet3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8.bin"/></Relationships>
</file>

<file path=xl/worksheets/_rels/sheet3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9.bin"/></Relationships>
</file>

<file path=xl/worksheets/_rels/sheet4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0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 codeName="Feuil1"/>
  <dimension ref="A6:I46"/>
  <sheetViews>
    <sheetView showFormulas="1" showGridLines="0" showOutlineSymbols="0" workbookViewId="0">
      <selection activeCell="C20" sqref="C20:G20"/>
    </sheetView>
  </sheetViews>
  <sheetFormatPr baseColWidth="10" defaultColWidth="11.44140625" defaultRowHeight="13.8"/>
  <cols>
    <col min="1" max="1" width="8.44140625" style="87" customWidth="1"/>
    <col min="2" max="2" width="6.33203125" style="87" customWidth="1"/>
    <col min="3" max="3" width="2" style="87" customWidth="1"/>
    <col min="4" max="4" width="3.33203125" style="87" customWidth="1"/>
    <col min="5" max="5" width="2.109375" style="87" customWidth="1"/>
    <col min="6" max="6" width="8.5546875" style="87" customWidth="1"/>
    <col min="7" max="7" width="9.6640625" style="87" customWidth="1"/>
    <col min="8" max="8" width="0.109375" style="87" customWidth="1"/>
    <col min="9" max="9" width="10" style="87" customWidth="1"/>
    <col min="10" max="16384" width="11.44140625" style="87"/>
  </cols>
  <sheetData>
    <row r="6" spans="1:9" ht="18" customHeight="1">
      <c r="A6" s="2772" t="s">
        <v>645</v>
      </c>
      <c r="B6" s="2772"/>
      <c r="C6" s="2772"/>
      <c r="D6" s="2772"/>
      <c r="E6" s="2772"/>
      <c r="F6" s="86"/>
    </row>
    <row r="7" spans="1:9" ht="18" customHeight="1">
      <c r="A7" s="2772" t="s">
        <v>667</v>
      </c>
      <c r="B7" s="2772"/>
      <c r="C7" s="2772"/>
      <c r="D7" s="2772"/>
      <c r="E7" s="2772"/>
      <c r="F7" s="2772"/>
    </row>
    <row r="8" spans="1:9" ht="18" customHeight="1">
      <c r="A8" s="88"/>
      <c r="B8" s="88"/>
      <c r="C8" s="88"/>
      <c r="D8" s="88"/>
      <c r="E8" s="88"/>
      <c r="F8" s="88"/>
    </row>
    <row r="9" spans="1:9" ht="18" customHeight="1">
      <c r="A9" s="88"/>
      <c r="B9" s="88"/>
      <c r="C9" s="88"/>
      <c r="D9" s="88"/>
      <c r="E9" s="88"/>
      <c r="F9" s="88"/>
    </row>
    <row r="10" spans="1:9" ht="25.5" customHeight="1">
      <c r="B10" s="2776" t="s">
        <v>1223</v>
      </c>
      <c r="C10" s="2777"/>
      <c r="D10" s="2777"/>
      <c r="E10" s="2777"/>
      <c r="F10" s="2777"/>
      <c r="G10" s="2777"/>
      <c r="H10" s="2777"/>
      <c r="I10" s="2777"/>
    </row>
    <row r="12" spans="1:9" ht="23.25" customHeight="1">
      <c r="B12" s="89"/>
      <c r="C12" s="2773" t="s">
        <v>33</v>
      </c>
      <c r="D12" s="2773"/>
      <c r="E12" s="2773"/>
      <c r="F12" s="2773"/>
      <c r="G12" s="2773"/>
    </row>
    <row r="13" spans="1:9" ht="4.5" customHeight="1">
      <c r="B13" s="89"/>
      <c r="C13" s="86"/>
      <c r="D13" s="90"/>
      <c r="E13" s="90"/>
      <c r="F13" s="86"/>
      <c r="G13" s="86"/>
    </row>
    <row r="14" spans="1:9" ht="23.25" customHeight="1">
      <c r="B14" s="89"/>
      <c r="C14" s="2773" t="s">
        <v>235</v>
      </c>
      <c r="D14" s="2773"/>
      <c r="E14" s="2773"/>
      <c r="F14" s="2773"/>
      <c r="G14" s="2773"/>
    </row>
    <row r="15" spans="1:9" ht="4.5" customHeight="1">
      <c r="B15" s="89"/>
      <c r="C15" s="86"/>
      <c r="D15" s="90"/>
      <c r="E15" s="90"/>
      <c r="F15" s="86"/>
      <c r="G15" s="86"/>
    </row>
    <row r="16" spans="1:9" ht="23.25" customHeight="1">
      <c r="C16" s="2773" t="s">
        <v>30</v>
      </c>
      <c r="D16" s="2773"/>
      <c r="E16" s="2773"/>
      <c r="F16" s="2773"/>
      <c r="G16" s="2773"/>
    </row>
    <row r="17" spans="2:7" ht="5.25" customHeight="1">
      <c r="C17" s="86"/>
      <c r="D17" s="90"/>
      <c r="E17" s="90"/>
      <c r="F17" s="86"/>
      <c r="G17" s="86"/>
    </row>
    <row r="18" spans="2:7" ht="23.25" customHeight="1">
      <c r="C18" s="2773" t="s">
        <v>162</v>
      </c>
      <c r="D18" s="2773"/>
      <c r="E18" s="2773"/>
      <c r="F18" s="2773"/>
      <c r="G18" s="2773"/>
    </row>
    <row r="19" spans="2:7" ht="4.5" customHeight="1">
      <c r="B19" s="89"/>
      <c r="C19" s="86"/>
      <c r="D19" s="90"/>
      <c r="E19" s="90"/>
      <c r="F19" s="86"/>
      <c r="G19" s="86"/>
    </row>
    <row r="20" spans="2:7" ht="23.25" customHeight="1">
      <c r="B20" s="89"/>
      <c r="C20" s="2773" t="s">
        <v>59</v>
      </c>
      <c r="D20" s="2773"/>
      <c r="E20" s="2773"/>
      <c r="F20" s="2773"/>
      <c r="G20" s="2773"/>
    </row>
    <row r="21" spans="2:7" ht="6" customHeight="1">
      <c r="B21" s="89"/>
      <c r="C21" s="86"/>
      <c r="D21" s="90"/>
      <c r="E21" s="90"/>
      <c r="F21" s="86"/>
      <c r="G21" s="86"/>
    </row>
    <row r="22" spans="2:7" ht="22.5" customHeight="1">
      <c r="C22" s="2773" t="s">
        <v>62</v>
      </c>
      <c r="D22" s="2773"/>
      <c r="E22" s="2773"/>
      <c r="F22" s="2773"/>
      <c r="G22" s="2773"/>
    </row>
    <row r="23" spans="2:7" ht="5.25" customHeight="1">
      <c r="C23" s="86"/>
      <c r="D23" s="90"/>
      <c r="E23" s="90"/>
      <c r="F23" s="86"/>
      <c r="G23" s="86"/>
    </row>
    <row r="24" spans="2:7" ht="23.25" customHeight="1">
      <c r="C24" s="2773" t="s">
        <v>22</v>
      </c>
      <c r="D24" s="2773"/>
      <c r="E24" s="2773"/>
      <c r="F24" s="2773"/>
      <c r="G24" s="2773"/>
    </row>
    <row r="25" spans="2:7" ht="4.5" customHeight="1">
      <c r="C25" s="86"/>
      <c r="D25" s="90"/>
      <c r="E25" s="90"/>
      <c r="F25" s="86"/>
      <c r="G25" s="86"/>
    </row>
    <row r="26" spans="2:7" ht="23.25" customHeight="1">
      <c r="C26" s="2773" t="s">
        <v>289</v>
      </c>
      <c r="D26" s="2773"/>
      <c r="E26" s="2773"/>
      <c r="F26" s="2773"/>
      <c r="G26" s="2773"/>
    </row>
    <row r="27" spans="2:7" ht="5.25" customHeight="1">
      <c r="C27" s="86"/>
      <c r="D27" s="90"/>
      <c r="E27" s="90"/>
      <c r="F27" s="86"/>
      <c r="G27" s="86"/>
    </row>
    <row r="28" spans="2:7" ht="23.25" customHeight="1">
      <c r="C28" s="2773" t="s">
        <v>334</v>
      </c>
      <c r="D28" s="2773"/>
      <c r="E28" s="2773"/>
      <c r="F28" s="2773"/>
      <c r="G28" s="2773"/>
    </row>
    <row r="29" spans="2:7" ht="5.25" customHeight="1">
      <c r="C29" s="86"/>
      <c r="D29" s="90"/>
      <c r="E29" s="90"/>
      <c r="F29" s="86"/>
      <c r="G29" s="86"/>
    </row>
    <row r="30" spans="2:7" ht="22.5" customHeight="1">
      <c r="C30" s="2773" t="s">
        <v>161</v>
      </c>
      <c r="D30" s="2773"/>
      <c r="E30" s="2773"/>
      <c r="F30" s="2773"/>
      <c r="G30" s="2773"/>
    </row>
    <row r="31" spans="2:7" ht="4.5" customHeight="1">
      <c r="C31" s="86"/>
      <c r="D31" s="86"/>
      <c r="E31" s="86"/>
      <c r="F31" s="86"/>
      <c r="G31" s="86"/>
    </row>
    <row r="32" spans="2:7" ht="22.5" customHeight="1">
      <c r="C32" s="2773" t="s">
        <v>69</v>
      </c>
      <c r="D32" s="2773"/>
      <c r="E32" s="2773"/>
      <c r="F32" s="2773"/>
      <c r="G32" s="2773"/>
    </row>
    <row r="40" spans="1:9" ht="46.8">
      <c r="G40" s="91" t="s">
        <v>964</v>
      </c>
    </row>
    <row r="41" spans="1:9">
      <c r="G41" s="87" t="s">
        <v>268</v>
      </c>
    </row>
    <row r="44" spans="1:9" ht="15.6">
      <c r="A44" s="2775" t="s">
        <v>297</v>
      </c>
      <c r="B44" s="2775"/>
      <c r="C44" s="2775"/>
      <c r="D44" s="2775"/>
      <c r="E44" s="2775"/>
      <c r="F44" s="2775"/>
      <c r="G44" s="2775"/>
      <c r="H44" s="2775"/>
      <c r="I44" s="2775"/>
    </row>
    <row r="45" spans="1:9" ht="14.4">
      <c r="A45" s="2774" t="s">
        <v>298</v>
      </c>
      <c r="B45" s="2774"/>
      <c r="C45" s="2774"/>
      <c r="D45" s="2774"/>
      <c r="E45" s="2774"/>
      <c r="F45" s="2774"/>
      <c r="G45" s="2774"/>
      <c r="H45" s="2774"/>
      <c r="I45" s="2774"/>
    </row>
    <row r="46" spans="1:9" ht="14.4">
      <c r="A46" s="2774" t="s">
        <v>299</v>
      </c>
      <c r="B46" s="2774"/>
      <c r="C46" s="2774"/>
      <c r="D46" s="2774"/>
      <c r="E46" s="2774"/>
      <c r="F46" s="2774"/>
      <c r="G46" s="2774"/>
      <c r="H46" s="2774"/>
      <c r="I46" s="2774"/>
    </row>
  </sheetData>
  <mergeCells count="17">
    <mergeCell ref="A46:I46"/>
    <mergeCell ref="A45:I45"/>
    <mergeCell ref="A44:I44"/>
    <mergeCell ref="B10:I10"/>
    <mergeCell ref="C30:G30"/>
    <mergeCell ref="C28:G28"/>
    <mergeCell ref="C24:G24"/>
    <mergeCell ref="A6:E6"/>
    <mergeCell ref="A7:F7"/>
    <mergeCell ref="C14:G14"/>
    <mergeCell ref="C32:G32"/>
    <mergeCell ref="C12:G12"/>
    <mergeCell ref="C16:G16"/>
    <mergeCell ref="C26:G26"/>
    <mergeCell ref="C18:G18"/>
    <mergeCell ref="C20:G20"/>
    <mergeCell ref="C22:G22"/>
  </mergeCells>
  <phoneticPr fontId="28" type="noConversion"/>
  <hyperlinks>
    <hyperlink ref="C12:G12" location="'Abonnés (2)'!A1" tooltip="accroissement abonnés, apport abonnés (élec, gaz)" display="Apport abonnés" xr:uid="{00000000-0004-0000-0000-000000000000}"/>
    <hyperlink ref="C16:G16" location="ventes_achats_élec!A1" tooltip="ventes et Achats électricité du mois et cumulées" display="Ventes/Achats électricité" xr:uid="{00000000-0004-0000-0000-000001000000}"/>
    <hyperlink ref="C18:G18" location="TP_élec!A1" tooltip="taux de pertes mensuel et cumulé" display="Taux de pertes électricité" xr:uid="{00000000-0004-0000-0000-000002000000}"/>
    <hyperlink ref="C20:G20" location="ventes_achats_gaz!A1" tooltip="Ventes et Achats gaz par mois et cumulées" display="Ventes/Achats gaz" xr:uid="{00000000-0004-0000-0000-000003000000}"/>
    <hyperlink ref="C24:G24" location="CA_élec_gaz!A1" tooltip="Chiffres d'affaires élec et gaz" display="Chiffre d'affaires" xr:uid="{00000000-0004-0000-0000-000004000000}"/>
    <hyperlink ref="C26:G26" location="Créances_énergie!A1" tooltip="Soldes et Délais crédits SDC, suivi Quittances multiples par DR" display="Créances SDC" xr:uid="{00000000-0004-0000-0000-000005000000}"/>
    <hyperlink ref="C22:G22" location="TP_gaz!A1" tooltip="Taux de pertes gaz par mois et cumulé" display="Taux de perte gaz" xr:uid="{00000000-0004-0000-0000-000006000000}"/>
    <hyperlink ref="C32:G32" location="annexes!A1" tooltip="Achats Bruts par départ/ suivi des DCA par DR" display="Annexes" xr:uid="{00000000-0004-0000-0000-000007000000}"/>
    <hyperlink ref="C30:G30" location="'enc-ag'!K79" tooltip="Solde des créances et délais crédit client  par agence " display="Encaissement par agence" xr:uid="{00000000-0004-0000-0000-000008000000}"/>
    <hyperlink ref="C14:G14" location="délais!K50" tooltip="délais de réalisation de branchement" display="Délais de réalistion" xr:uid="{00000000-0004-0000-0000-000009000000}"/>
    <hyperlink ref="C28:G28" location="répart_Créances_annexe!A1" tooltip="Soldes et Délais crédits par DR" display="Créances par DR" xr:uid="{00000000-0004-0000-0000-00000A000000}"/>
  </hyperlinks>
  <pageMargins left="0.53" right="0.22" top="0.72" bottom="0.36" header="0.98" footer="2.46"/>
  <pageSetup paperSize="9" scale="85" orientation="portrait" r:id="rId1"/>
  <headerFooter alignWithMargins="0"/>
  <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sheetPr codeName="Feuil11">
    <tabColor indexed="12"/>
  </sheetPr>
  <dimension ref="A1:T62"/>
  <sheetViews>
    <sheetView showGridLines="0" zoomScale="85" zoomScaleNormal="85" workbookViewId="0">
      <selection activeCell="B19" sqref="B19"/>
    </sheetView>
  </sheetViews>
  <sheetFormatPr baseColWidth="10" defaultColWidth="11.44140625" defaultRowHeight="13.8"/>
  <cols>
    <col min="1" max="1" width="15.44140625" style="62" customWidth="1"/>
    <col min="2" max="2" width="9.44140625" style="62" bestFit="1" customWidth="1"/>
    <col min="3" max="3" width="9" style="62" customWidth="1"/>
    <col min="4" max="4" width="10.88671875" style="62" customWidth="1"/>
    <col min="5" max="5" width="8.88671875" style="62" customWidth="1"/>
    <col min="6" max="6" width="10" style="62" customWidth="1"/>
    <col min="7" max="7" width="8.5546875" style="62" customWidth="1"/>
    <col min="8" max="8" width="7.88671875" style="62" bestFit="1" customWidth="1"/>
    <col min="9" max="9" width="9.33203125" style="62" customWidth="1"/>
    <col min="10" max="11" width="7.88671875" style="62" bestFit="1" customWidth="1"/>
    <col min="12" max="12" width="8" style="62" bestFit="1" customWidth="1"/>
    <col min="13" max="13" width="7.88671875" style="62" bestFit="1" customWidth="1"/>
    <col min="14" max="14" width="7.33203125" style="62" bestFit="1" customWidth="1"/>
    <col min="15" max="15" width="6.88671875" style="62" bestFit="1" customWidth="1"/>
    <col min="16" max="16" width="11.88671875" style="62" bestFit="1" customWidth="1"/>
    <col min="17" max="17" width="7.33203125" style="62" customWidth="1"/>
    <col min="18" max="18" width="7.88671875" style="62" customWidth="1"/>
    <col min="19" max="19" width="13.33203125" style="62" customWidth="1"/>
    <col min="20" max="16384" width="11.44140625" style="62"/>
  </cols>
  <sheetData>
    <row r="1" spans="1:20" ht="21">
      <c r="B1" s="2778" t="s">
        <v>365</v>
      </c>
      <c r="C1" s="2778"/>
      <c r="D1" s="2778"/>
      <c r="E1" s="2778"/>
      <c r="F1" s="2778"/>
      <c r="G1" s="2778"/>
      <c r="H1" s="2778"/>
      <c r="I1" s="2778"/>
      <c r="J1" s="2778"/>
      <c r="K1" s="2778"/>
      <c r="L1" s="2778"/>
      <c r="M1" s="2778"/>
      <c r="N1" s="2778"/>
      <c r="O1" s="2778"/>
      <c r="P1" s="2778"/>
    </row>
    <row r="2" spans="1:20" ht="18.600000000000001" thickBot="1">
      <c r="B2" s="2779" t="str">
        <f>'tableau de bord'!B10:I10</f>
        <v>Tableau de bord mois de aout 2024</v>
      </c>
      <c r="C2" s="2779"/>
      <c r="D2" s="2779"/>
      <c r="E2" s="2779"/>
      <c r="F2" s="2779"/>
      <c r="G2" s="2779"/>
      <c r="H2" s="2780"/>
      <c r="I2" s="2780"/>
      <c r="J2" s="2780"/>
      <c r="K2" s="2780"/>
      <c r="L2" s="2780"/>
      <c r="M2" s="2780"/>
      <c r="N2" s="2780"/>
      <c r="O2" s="2780"/>
      <c r="P2" s="2780"/>
    </row>
    <row r="3" spans="1:20" ht="19.5" customHeight="1" thickBot="1">
      <c r="B3" s="2781" t="s">
        <v>343</v>
      </c>
      <c r="C3" s="2782"/>
      <c r="D3" s="2782"/>
      <c r="E3" s="2782"/>
      <c r="F3" s="2782"/>
      <c r="G3" s="2783"/>
      <c r="H3" s="2787" t="s">
        <v>348</v>
      </c>
      <c r="I3" s="2788"/>
      <c r="J3" s="2788"/>
      <c r="K3" s="2788"/>
      <c r="L3" s="2788"/>
      <c r="M3" s="2788"/>
      <c r="N3" s="2788"/>
      <c r="O3" s="2788"/>
      <c r="P3" s="2788"/>
      <c r="Q3" s="2788"/>
      <c r="R3" s="2788"/>
      <c r="S3" s="2789"/>
    </row>
    <row r="4" spans="1:20">
      <c r="B4" s="2784" t="s">
        <v>347</v>
      </c>
      <c r="C4" s="2785"/>
      <c r="D4" s="2786"/>
      <c r="E4" s="2784" t="s">
        <v>26</v>
      </c>
      <c r="F4" s="2785"/>
      <c r="G4" s="2786"/>
      <c r="H4" s="2784" t="s">
        <v>350</v>
      </c>
      <c r="I4" s="2785"/>
      <c r="J4" s="2786"/>
      <c r="K4" s="2784" t="s">
        <v>351</v>
      </c>
      <c r="L4" s="2785"/>
      <c r="M4" s="2786"/>
      <c r="N4" s="2784" t="s">
        <v>349</v>
      </c>
      <c r="O4" s="2785"/>
      <c r="P4" s="2786"/>
      <c r="Q4" s="2784" t="s">
        <v>89</v>
      </c>
      <c r="R4" s="2785"/>
      <c r="S4" s="2786"/>
      <c r="T4" s="1961">
        <v>2</v>
      </c>
    </row>
    <row r="5" spans="1:20" ht="27.6">
      <c r="B5" s="65" t="s">
        <v>344</v>
      </c>
      <c r="C5" s="63" t="s">
        <v>345</v>
      </c>
      <c r="D5" s="66" t="s">
        <v>346</v>
      </c>
      <c r="E5" s="65" t="s">
        <v>344</v>
      </c>
      <c r="F5" s="63" t="s">
        <v>345</v>
      </c>
      <c r="G5" s="66" t="s">
        <v>346</v>
      </c>
      <c r="H5" s="65" t="s">
        <v>344</v>
      </c>
      <c r="I5" s="63" t="s">
        <v>345</v>
      </c>
      <c r="J5" s="66" t="s">
        <v>346</v>
      </c>
      <c r="K5" s="65" t="s">
        <v>344</v>
      </c>
      <c r="L5" s="63" t="s">
        <v>345</v>
      </c>
      <c r="M5" s="66" t="s">
        <v>346</v>
      </c>
      <c r="N5" s="65" t="s">
        <v>344</v>
      </c>
      <c r="O5" s="63" t="s">
        <v>938</v>
      </c>
      <c r="P5" s="66" t="s">
        <v>939</v>
      </c>
      <c r="Q5" s="65" t="s">
        <v>344</v>
      </c>
      <c r="R5" s="63" t="s">
        <v>938</v>
      </c>
      <c r="S5" s="66" t="s">
        <v>939</v>
      </c>
    </row>
    <row r="6" spans="1:20">
      <c r="A6" s="1962" t="s">
        <v>6</v>
      </c>
      <c r="B6" s="67">
        <f>Clientele!AA113</f>
        <v>17630</v>
      </c>
      <c r="C6" s="1963">
        <f>Clientele!S113</f>
        <v>15.705191310625452</v>
      </c>
      <c r="D6" s="1964">
        <f>Clientele!AI113</f>
        <v>154.24321959755031</v>
      </c>
      <c r="E6" s="67">
        <f>Clientele!AA129</f>
        <v>13407</v>
      </c>
      <c r="F6" s="1967">
        <f>Clientele!S129</f>
        <v>20.177482968806025</v>
      </c>
      <c r="G6" s="1964">
        <f>Clientele!AI129</f>
        <v>139.58355023425298</v>
      </c>
      <c r="H6" s="1965">
        <f>ventes_achats_élec!M19</f>
        <v>1955.9128814300002</v>
      </c>
      <c r="I6" s="1963">
        <f>ventes_achats_élec!S19</f>
        <v>6.8897386425530645</v>
      </c>
      <c r="J6" s="1964">
        <f>ventes_achats_élec!S36</f>
        <v>62.095016299592757</v>
      </c>
      <c r="K6" s="1965">
        <f>ventes_achats_élec!L19</f>
        <v>1621.8699291100002</v>
      </c>
      <c r="L6" s="1963">
        <f>ventes_achats_élec!R19</f>
        <v>6.4348126095990681</v>
      </c>
      <c r="M6" s="1964">
        <f>ventes_achats_élec!R36</f>
        <v>56.923374031165771</v>
      </c>
      <c r="N6" s="1966">
        <f>TP_élec!H4</f>
        <v>17.078621215264747</v>
      </c>
      <c r="O6" s="1967">
        <f>TP_élec!I4</f>
        <v>0.35442439341705878</v>
      </c>
      <c r="P6" s="1964">
        <f>TP_élec!M4</f>
        <v>7.5336312152647498</v>
      </c>
      <c r="Q6" s="1966">
        <f>TP_élec!R4</f>
        <v>334.04295232000004</v>
      </c>
      <c r="R6" s="1967">
        <f>TP_élec!S4</f>
        <v>28.016645109999899</v>
      </c>
      <c r="S6" s="1964">
        <f>TP_élec!U4</f>
        <v>33.388084881903069</v>
      </c>
    </row>
    <row r="7" spans="1:20">
      <c r="A7" s="1962" t="s">
        <v>7</v>
      </c>
      <c r="B7" s="67">
        <f>Clientele!AA114</f>
        <v>8760</v>
      </c>
      <c r="C7" s="1963">
        <f>Clientele!S114</f>
        <v>-4.6271094175285787</v>
      </c>
      <c r="D7" s="1964">
        <f>Clientele!AI114</f>
        <v>105.68222946073109</v>
      </c>
      <c r="E7" s="67">
        <f>Clientele!AA130</f>
        <v>5639</v>
      </c>
      <c r="F7" s="1967">
        <f>Clientele!S130</f>
        <v>-15.898583146905295</v>
      </c>
      <c r="G7" s="1964">
        <f>Clientele!AI130</f>
        <v>65.349403175338978</v>
      </c>
      <c r="H7" s="1965">
        <f>ventes_achats_élec!M20</f>
        <v>800.05573700000002</v>
      </c>
      <c r="I7" s="1963">
        <f>ventes_achats_élec!S20</f>
        <v>5.5500845795041869</v>
      </c>
      <c r="J7" s="1964">
        <f>ventes_achats_élec!S37</f>
        <v>68.291151437853046</v>
      </c>
      <c r="K7" s="1965">
        <f>ventes_achats_élec!L20</f>
        <v>677.23681734824117</v>
      </c>
      <c r="L7" s="1963">
        <f>ventes_achats_élec!R20</f>
        <v>5.8236569984986213</v>
      </c>
      <c r="M7" s="1964">
        <f>ventes_achats_élec!R37</f>
        <v>62.803594719594734</v>
      </c>
      <c r="N7" s="1966">
        <f>TP_élec!H5</f>
        <v>15.351295412529344</v>
      </c>
      <c r="O7" s="1967">
        <f>TP_élec!I5</f>
        <v>-0.21883151211705787</v>
      </c>
      <c r="P7" s="1964">
        <f>TP_élec!M5</f>
        <v>7.3963054125293421</v>
      </c>
      <c r="Q7" s="1966">
        <f>TP_élec!R5</f>
        <v>122.81891965175885</v>
      </c>
      <c r="R7" s="1967">
        <f>TP_élec!S5</f>
        <v>4.7994086157588072</v>
      </c>
      <c r="S7" s="1964">
        <f>TP_élec!U5</f>
        <v>29.623311534513164</v>
      </c>
    </row>
    <row r="8" spans="1:20">
      <c r="A8" s="1962" t="s">
        <v>8</v>
      </c>
      <c r="B8" s="67">
        <f>Clientele!AA115</f>
        <v>8707</v>
      </c>
      <c r="C8" s="1963">
        <f>Clientele!S115</f>
        <v>5.2587040618955516</v>
      </c>
      <c r="D8" s="1964">
        <f>Clientele!AI115</f>
        <v>103.42083382824563</v>
      </c>
      <c r="E8" s="67">
        <f>Clientele!AA131</f>
        <v>8364</v>
      </c>
      <c r="F8" s="1967">
        <f>Clientele!S131</f>
        <v>-26.191316625485349</v>
      </c>
      <c r="G8" s="1964">
        <f>Clientele!AI131</f>
        <v>118.5374149659864</v>
      </c>
      <c r="H8" s="1965">
        <f>ventes_achats_élec!M21</f>
        <v>677.30711699999995</v>
      </c>
      <c r="I8" s="1963">
        <f>ventes_achats_élec!S21</f>
        <v>2.8218051062204901</v>
      </c>
      <c r="J8" s="1964">
        <f>ventes_achats_élec!S38</f>
        <v>66.663016218030023</v>
      </c>
      <c r="K8" s="1965">
        <f>ventes_achats_élec!L21</f>
        <v>596.34247048999987</v>
      </c>
      <c r="L8" s="1963">
        <f>ventes_achats_élec!R21</f>
        <v>4.0218128281639594</v>
      </c>
      <c r="M8" s="1964">
        <f>ventes_achats_élec!R38</f>
        <v>62.952943176814593</v>
      </c>
      <c r="N8" s="1966">
        <f>TP_élec!H6</f>
        <v>11.953904584469335</v>
      </c>
      <c r="O8" s="1967">
        <f>TP_élec!I6</f>
        <v>-1.015709989212974</v>
      </c>
      <c r="P8" s="1964">
        <f>TP_élec!M6</f>
        <v>5.1889145844693303</v>
      </c>
      <c r="Q8" s="1966">
        <f>TP_élec!R6</f>
        <v>80.96464651000008</v>
      </c>
      <c r="R8" s="1967">
        <f>TP_élec!S6</f>
        <v>-4.4687131399999771</v>
      </c>
      <c r="S8" s="1964">
        <f>TP_élec!U6</f>
        <v>12.231244792203711</v>
      </c>
    </row>
    <row r="9" spans="1:20">
      <c r="A9" s="1962" t="s">
        <v>4</v>
      </c>
      <c r="B9" s="67">
        <f>Clientele!AA116</f>
        <v>15593</v>
      </c>
      <c r="C9" s="1963">
        <f>Clientele!S116</f>
        <v>13.593647555911707</v>
      </c>
      <c r="D9" s="1964">
        <f>Clientele!AI116</f>
        <v>116.09708882436156</v>
      </c>
      <c r="E9" s="67">
        <f>Clientele!AA132</f>
        <v>12309</v>
      </c>
      <c r="F9" s="1967">
        <f>Clientele!S132</f>
        <v>27.448747152619589</v>
      </c>
      <c r="G9" s="1964">
        <f>Clientele!AI132</f>
        <v>58.347554038680315</v>
      </c>
      <c r="H9" s="1965">
        <f>ventes_achats_élec!M22</f>
        <v>1269.7754998</v>
      </c>
      <c r="I9" s="1963">
        <f>ventes_achats_élec!S22</f>
        <v>1.6136776870661669</v>
      </c>
      <c r="J9" s="1964">
        <f>ventes_achats_élec!S39</f>
        <v>62.69354940805141</v>
      </c>
      <c r="K9" s="1965">
        <f>ventes_achats_élec!L22</f>
        <v>1077.61382226</v>
      </c>
      <c r="L9" s="1963">
        <f>ventes_achats_élec!R22</f>
        <v>2.591884088547256</v>
      </c>
      <c r="M9" s="1964">
        <f>ventes_achats_élec!R39</f>
        <v>58.138890135264823</v>
      </c>
      <c r="N9" s="1966">
        <f>TP_élec!H7</f>
        <v>15.133515930199239</v>
      </c>
      <c r="O9" s="1967">
        <f>TP_élec!I7</f>
        <v>-0.80919595858693683</v>
      </c>
      <c r="P9" s="1964">
        <f>TP_élec!M7</f>
        <v>6.6485259301992361</v>
      </c>
      <c r="Q9" s="1966">
        <f>TP_élec!R7</f>
        <v>192.16167754000003</v>
      </c>
      <c r="R9" s="1967">
        <f>TP_élec!S7</f>
        <v>-7.0601734700001089</v>
      </c>
      <c r="S9" s="1964">
        <f>TP_élec!U7</f>
        <v>20.309349513021971</v>
      </c>
    </row>
    <row r="10" spans="1:20">
      <c r="A10" s="1962" t="s">
        <v>3</v>
      </c>
      <c r="B10" s="67">
        <f>Clientele!AA117</f>
        <v>5699</v>
      </c>
      <c r="C10" s="1963">
        <f>Clientele!S117</f>
        <v>2.3159784560143626</v>
      </c>
      <c r="D10" s="1964">
        <f>Clientele!AI117</f>
        <v>73.611469904417461</v>
      </c>
      <c r="E10" s="67">
        <f>Clientele!AA133</f>
        <v>3567</v>
      </c>
      <c r="F10" s="1967">
        <f>Clientele!S133</f>
        <v>-14.068899060467357</v>
      </c>
      <c r="G10" s="1964">
        <f>Clientele!AI133</f>
        <v>41.685170036227646</v>
      </c>
      <c r="H10" s="1965">
        <f>ventes_achats_élec!M23</f>
        <v>1096.83943316</v>
      </c>
      <c r="I10" s="1963">
        <f>ventes_achats_élec!S23</f>
        <v>13.352330323139357</v>
      </c>
      <c r="J10" s="1964">
        <f>ventes_achats_élec!S40</f>
        <v>77.734975008101799</v>
      </c>
      <c r="K10" s="1965">
        <f>ventes_achats_élec!L23</f>
        <v>913.5244017199999</v>
      </c>
      <c r="L10" s="1963">
        <f>ventes_achats_élec!R23</f>
        <v>14.286968473095801</v>
      </c>
      <c r="M10" s="1964">
        <f>ventes_achats_élec!R40</f>
        <v>71.638288529816549</v>
      </c>
      <c r="N10" s="1966">
        <f>TP_élec!H8</f>
        <v>16.713023428768278</v>
      </c>
      <c r="O10" s="1967">
        <f>TP_élec!I8</f>
        <v>-0.68112040014717934</v>
      </c>
      <c r="P10" s="1964">
        <f>TP_élec!M8</f>
        <v>7.0880334287682789</v>
      </c>
      <c r="Q10" s="1966">
        <f>TP_élec!R8</f>
        <v>183.3150314400001</v>
      </c>
      <c r="R10" s="1967">
        <f>TP_élec!S8</f>
        <v>15.002807040000221</v>
      </c>
      <c r="S10" s="1964">
        <f>TP_élec!U8</f>
        <v>47.506554307661986</v>
      </c>
    </row>
    <row r="11" spans="1:20">
      <c r="A11" s="1962" t="s">
        <v>397</v>
      </c>
      <c r="B11" s="67">
        <f>Clientele!AA118</f>
        <v>6449</v>
      </c>
      <c r="C11" s="1963">
        <f>Clientele!S118</f>
        <v>-27.555605481914174</v>
      </c>
      <c r="D11" s="1964">
        <f>Clientele!AI118</f>
        <v>78.732755463313396</v>
      </c>
      <c r="E11" s="67">
        <f>Clientele!AA134</f>
        <v>6011</v>
      </c>
      <c r="F11" s="1967">
        <f>Clientele!S134</f>
        <v>-21.424836601307192</v>
      </c>
      <c r="G11" s="1964">
        <f>Clientele!AI134</f>
        <v>82.580024728671518</v>
      </c>
      <c r="H11" s="1965">
        <f>ventes_achats_élec!M24</f>
        <v>836.17435503999991</v>
      </c>
      <c r="I11" s="1963">
        <f>ventes_achats_élec!S24</f>
        <v>3.3550255825180209</v>
      </c>
      <c r="J11" s="1964">
        <f>ventes_achats_élec!S41</f>
        <v>66.405595776201736</v>
      </c>
      <c r="K11" s="1965">
        <f>ventes_achats_élec!L24</f>
        <v>679.98948357000006</v>
      </c>
      <c r="L11" s="1963">
        <f>ventes_achats_élec!R24</f>
        <v>4.752804528416017</v>
      </c>
      <c r="M11" s="1964">
        <f>ventes_achats_élec!R41</f>
        <v>60.550560043736425</v>
      </c>
      <c r="N11" s="1966">
        <f>TP_élec!H9</f>
        <v>18.678505329492985</v>
      </c>
      <c r="O11" s="1967">
        <f>TP_élec!I9</f>
        <v>-1.0851210486546385</v>
      </c>
      <c r="P11" s="1964">
        <f>TP_élec!M9</f>
        <v>7.8635153294929854</v>
      </c>
      <c r="Q11" s="1966">
        <f>TP_élec!R9</f>
        <v>156.18487146999985</v>
      </c>
      <c r="R11" s="1967">
        <f>TP_élec!S9</f>
        <v>-3.7090228700000125</v>
      </c>
      <c r="S11" s="1964">
        <f>TP_élec!U9</f>
        <v>20.003316552681667</v>
      </c>
    </row>
    <row r="12" spans="1:20">
      <c r="A12" s="1962" t="s">
        <v>399</v>
      </c>
      <c r="B12" s="67">
        <f>Clientele!AA119</f>
        <v>12970</v>
      </c>
      <c r="C12" s="1963">
        <f>Clientele!S119</f>
        <v>14.849907022049058</v>
      </c>
      <c r="D12" s="1964">
        <f>Clientele!AI119</f>
        <v>118.57743646004755</v>
      </c>
      <c r="E12" s="67">
        <f>Clientele!AA135</f>
        <v>10688</v>
      </c>
      <c r="F12" s="1967">
        <f>Clientele!S135</f>
        <v>6.9227691076430578</v>
      </c>
      <c r="G12" s="1964">
        <f>Clientele!AI135</f>
        <v>103.5759278999903</v>
      </c>
      <c r="H12" s="1965">
        <f>ventes_achats_élec!M25</f>
        <v>1452.1211226</v>
      </c>
      <c r="I12" s="1963">
        <f>ventes_achats_élec!S25</f>
        <v>5.3434838125002759</v>
      </c>
      <c r="J12" s="1964">
        <f>ventes_achats_élec!S42</f>
        <v>67.048215979327281</v>
      </c>
      <c r="K12" s="1965">
        <f>ventes_achats_élec!L25</f>
        <v>1169.7321035300001</v>
      </c>
      <c r="L12" s="1963">
        <f>ventes_achats_élec!R25</f>
        <v>6.0353923545742987</v>
      </c>
      <c r="M12" s="1964">
        <f>ventes_achats_élec!R42</f>
        <v>60.491205809558124</v>
      </c>
      <c r="N12" s="1966">
        <f>TP_élec!H10</f>
        <v>19.446657353512411</v>
      </c>
      <c r="O12" s="1967">
        <f>TP_élec!I10</f>
        <v>-0.52563153332184953</v>
      </c>
      <c r="P12" s="1964">
        <f>TP_élec!M10</f>
        <v>8.7316673535124121</v>
      </c>
      <c r="Q12" s="1966">
        <f>TP_élec!R10</f>
        <v>282.3890190699999</v>
      </c>
      <c r="R12" s="1967">
        <f>TP_élec!S10</f>
        <v>7.0783732699999291</v>
      </c>
      <c r="S12" s="1964">
        <f>TP_élec!U10</f>
        <v>50.325226168408562</v>
      </c>
    </row>
    <row r="13" spans="1:20">
      <c r="A13" s="1962" t="s">
        <v>883</v>
      </c>
      <c r="B13" s="67">
        <f>Clientele!AA120</f>
        <v>5970</v>
      </c>
      <c r="C13" s="1963">
        <f>Clientele!S120</f>
        <v>-17.393109173931094</v>
      </c>
      <c r="D13" s="1964">
        <f>Clientele!AI120</f>
        <v>72.8759765625</v>
      </c>
      <c r="E13" s="67">
        <f>Clientele!AA136</f>
        <v>4688</v>
      </c>
      <c r="F13" s="1967">
        <f>Clientele!S136</f>
        <v>-25.669890597748534</v>
      </c>
      <c r="G13" s="1964">
        <f>Clientele!AI136</f>
        <v>71.332927571515526</v>
      </c>
      <c r="H13" s="1965">
        <f>ventes_achats_élec!M26</f>
        <v>881.64851299999987</v>
      </c>
      <c r="I13" s="1963">
        <f>ventes_achats_élec!S26</f>
        <v>6.469849583106198</v>
      </c>
      <c r="J13" s="1964">
        <f>ventes_achats_élec!S43</f>
        <v>72.836382717332242</v>
      </c>
      <c r="K13" s="1965">
        <f>ventes_achats_élec!L26</f>
        <v>735.20564048000006</v>
      </c>
      <c r="L13" s="1963">
        <f>ventes_achats_élec!R26</f>
        <v>7.325220036249906</v>
      </c>
      <c r="M13" s="1964">
        <f>ventes_achats_élec!R43</f>
        <v>66.131162085767031</v>
      </c>
      <c r="N13" s="1966">
        <f>TP_élec!H11</f>
        <v>16.610119606700888</v>
      </c>
      <c r="O13" s="1967">
        <f>TP_élec!I11</f>
        <v>-0.6646083721563798</v>
      </c>
      <c r="P13" s="1964">
        <f>TP_élec!M11</f>
        <v>8.4551296067008881</v>
      </c>
      <c r="Q13" s="1966">
        <f>TP_élec!R11</f>
        <v>146.44287251999981</v>
      </c>
      <c r="R13" s="1967">
        <f>TP_élec!S11</f>
        <v>3.39544364999972</v>
      </c>
      <c r="S13" s="1964">
        <f>TP_élec!U11</f>
        <v>47.73073802352701</v>
      </c>
    </row>
    <row r="14" spans="1:20">
      <c r="A14" s="1962" t="s">
        <v>884</v>
      </c>
      <c r="B14" s="67">
        <f>Clientele!AA121</f>
        <v>8933</v>
      </c>
      <c r="C14" s="1963">
        <f>Clientele!S121</f>
        <v>-20.757562317040719</v>
      </c>
      <c r="D14" s="1964">
        <f>Clientele!AI121</f>
        <v>79.053097345132741</v>
      </c>
      <c r="E14" s="67">
        <f>Clientele!AA137</f>
        <v>8937</v>
      </c>
      <c r="F14" s="1967">
        <f>Clientele!S137</f>
        <v>-24.050310189513045</v>
      </c>
      <c r="G14" s="1964">
        <f>Clientele!AI137</f>
        <v>116.30661114003122</v>
      </c>
      <c r="H14" s="1965">
        <f>ventes_achats_élec!M27</f>
        <v>1076.1029840000001</v>
      </c>
      <c r="I14" s="1963">
        <f>ventes_achats_élec!S27</f>
        <v>4.9479856657814176</v>
      </c>
      <c r="J14" s="1964">
        <f>ventes_achats_élec!S44</f>
        <v>69.215709935552866</v>
      </c>
      <c r="K14" s="1965">
        <f>ventes_achats_élec!L27</f>
        <v>906.60061436000001</v>
      </c>
      <c r="L14" s="1963">
        <f>ventes_achats_élec!R27</f>
        <v>5.9301827408717074</v>
      </c>
      <c r="M14" s="1964">
        <f>ventes_achats_élec!R44</f>
        <v>63.587798379909934</v>
      </c>
      <c r="N14" s="1966">
        <f>TP_élec!H12</f>
        <v>15.751500754132291</v>
      </c>
      <c r="O14" s="1967">
        <f>TP_élec!I12</f>
        <v>-0.78116196346474709</v>
      </c>
      <c r="P14" s="1964">
        <f>TP_élec!M12</f>
        <v>7.4565107541322906</v>
      </c>
      <c r="Q14" s="1966">
        <f>TP_élec!R12</f>
        <v>169.5023696400001</v>
      </c>
      <c r="R14" s="1967">
        <f>TP_élec!S12</f>
        <v>-1.8251179999765554E-2</v>
      </c>
      <c r="S14" s="1964">
        <f>TP_élec!U12</f>
        <v>40.539400112396379</v>
      </c>
    </row>
    <row r="15" spans="1:20">
      <c r="A15" s="1962" t="s">
        <v>885</v>
      </c>
      <c r="B15" s="67">
        <f>Clientele!AA122</f>
        <v>5145</v>
      </c>
      <c r="C15" s="1963">
        <f>Clientele!S122</f>
        <v>11.051154759335203</v>
      </c>
      <c r="D15" s="1964">
        <f>Clientele!AI122</f>
        <v>156.85975609756099</v>
      </c>
      <c r="E15" s="67">
        <f>Clientele!AA138</f>
        <v>4517</v>
      </c>
      <c r="F15" s="1967">
        <f>Clientele!S138</f>
        <v>-22.494852436513384</v>
      </c>
      <c r="G15" s="1964">
        <f>Clientele!AI138</f>
        <v>122.71121977723445</v>
      </c>
      <c r="H15" s="1965">
        <f>ventes_achats_élec!M28</f>
        <v>203.04239200000001</v>
      </c>
      <c r="I15" s="1963">
        <f>ventes_achats_élec!S28</f>
        <v>0.76318378967359468</v>
      </c>
      <c r="J15" s="1964">
        <f>ventes_achats_élec!S45</f>
        <v>62.406280286436278</v>
      </c>
      <c r="K15" s="1965">
        <f>ventes_achats_élec!L28</f>
        <v>182.80155917000002</v>
      </c>
      <c r="L15" s="1963">
        <f>ventes_achats_élec!R28</f>
        <v>1.969569651462302</v>
      </c>
      <c r="M15" s="1964">
        <f>ventes_achats_élec!R45</f>
        <v>61.267253098489405</v>
      </c>
      <c r="N15" s="1966">
        <f>TP_élec!H13</f>
        <v>9.9687718562732535</v>
      </c>
      <c r="O15" s="1967">
        <f>TP_élec!I13</f>
        <v>-1.0651452303202547</v>
      </c>
      <c r="P15" s="1964">
        <f>TP_élec!M13</f>
        <v>1.6737818562732567</v>
      </c>
      <c r="Q15" s="1966">
        <f>TP_élec!R13</f>
        <v>20.240832829999988</v>
      </c>
      <c r="R15" s="1967">
        <f>TP_élec!S13</f>
        <v>-1.9930112600000029</v>
      </c>
      <c r="S15" s="1964">
        <f>TP_élec!U13</f>
        <v>-6.7473902059776947</v>
      </c>
    </row>
    <row r="16" spans="1:20" ht="14.4" thickBot="1">
      <c r="A16" s="1968" t="s">
        <v>933</v>
      </c>
      <c r="B16" s="1969">
        <f>SUM(B6:B15)</f>
        <v>95856</v>
      </c>
      <c r="C16" s="1970">
        <f>Clientele!S123</f>
        <v>0.56337141598212315</v>
      </c>
      <c r="D16" s="1971">
        <f>Clientele!AI123</f>
        <v>105.09143533745559</v>
      </c>
      <c r="E16" s="1972">
        <f>SUM(E6:E15)</f>
        <v>78127</v>
      </c>
      <c r="F16" s="1970">
        <f>Clientele!S139</f>
        <v>-7.596688350088705</v>
      </c>
      <c r="G16" s="1971">
        <f>Clientele!AI139</f>
        <v>86.349167753487038</v>
      </c>
      <c r="H16" s="1973">
        <f>SUM(H6:H15)</f>
        <v>10248.980035029999</v>
      </c>
      <c r="I16" s="1970">
        <f>ventes_achats_élec!S29</f>
        <v>5.5917038848719045</v>
      </c>
      <c r="J16" s="1971">
        <f>ventes_achats_élec!S46</f>
        <v>67.033740662211443</v>
      </c>
      <c r="K16" s="1973">
        <f>SUM(K6:K15)</f>
        <v>8560.916842038243</v>
      </c>
      <c r="L16" s="1970">
        <f>ventes_achats_élec!R29</f>
        <v>6.2251768645130028</v>
      </c>
      <c r="M16" s="1971">
        <f>ventes_achats_élec!R46</f>
        <v>61.60647231782611</v>
      </c>
      <c r="N16" s="1974">
        <f>TP_élec!H14</f>
        <v>16.470548164033136</v>
      </c>
      <c r="O16" s="1975">
        <f>TP_élec!I14</f>
        <v>-0.49812720773162056</v>
      </c>
      <c r="P16" s="1971">
        <f>TP_élec!M14</f>
        <v>7.3585896532827135</v>
      </c>
      <c r="Q16" s="1974">
        <f>SUM(Q6:Q15)</f>
        <v>1688.0631929917588</v>
      </c>
      <c r="R16" s="1975">
        <f>SUM(R6:R15)</f>
        <v>41.043505765758709</v>
      </c>
      <c r="S16" s="1971">
        <f>SUM(S6:S15)</f>
        <v>294.90983568033982</v>
      </c>
    </row>
    <row r="21" spans="1:18" ht="14.4" thickBot="1"/>
    <row r="22" spans="1:18" ht="14.4" thickBot="1">
      <c r="B22" s="2787" t="s">
        <v>354</v>
      </c>
      <c r="C22" s="2788"/>
      <c r="D22" s="2788"/>
      <c r="E22" s="2788"/>
      <c r="F22" s="2788"/>
      <c r="G22" s="2788"/>
      <c r="H22" s="2788"/>
      <c r="I22" s="2789"/>
      <c r="J22" s="2788" t="s">
        <v>355</v>
      </c>
      <c r="K22" s="2788"/>
      <c r="L22" s="2788"/>
      <c r="M22" s="2788"/>
      <c r="N22" s="2788"/>
      <c r="O22" s="2788"/>
      <c r="P22" s="2788"/>
      <c r="Q22" s="2788"/>
      <c r="R22" s="2789"/>
    </row>
    <row r="23" spans="1:18">
      <c r="B23" s="2793" t="s">
        <v>347</v>
      </c>
      <c r="C23" s="2794"/>
      <c r="D23" s="2794"/>
      <c r="E23" s="2795"/>
      <c r="F23" s="2793" t="s">
        <v>26</v>
      </c>
      <c r="G23" s="2794"/>
      <c r="H23" s="2794"/>
      <c r="I23" s="2795"/>
      <c r="J23" s="2784" t="s">
        <v>356</v>
      </c>
      <c r="K23" s="2785"/>
      <c r="L23" s="2786"/>
      <c r="M23" s="2784" t="s">
        <v>357</v>
      </c>
      <c r="N23" s="2785"/>
      <c r="O23" s="2786"/>
      <c r="P23" s="2784" t="s">
        <v>349</v>
      </c>
      <c r="Q23" s="2785"/>
      <c r="R23" s="2786"/>
    </row>
    <row r="24" spans="1:18" ht="27.6">
      <c r="B24" s="65" t="s">
        <v>352</v>
      </c>
      <c r="C24" s="70" t="s">
        <v>392</v>
      </c>
      <c r="D24" s="63" t="s">
        <v>353</v>
      </c>
      <c r="E24" s="70" t="s">
        <v>392</v>
      </c>
      <c r="F24" s="65" t="s">
        <v>352</v>
      </c>
      <c r="G24" s="70" t="s">
        <v>392</v>
      </c>
      <c r="H24" s="63" t="s">
        <v>353</v>
      </c>
      <c r="I24" s="75" t="s">
        <v>392</v>
      </c>
      <c r="J24" s="65" t="s">
        <v>344</v>
      </c>
      <c r="K24" s="63" t="s">
        <v>345</v>
      </c>
      <c r="L24" s="66" t="s">
        <v>346</v>
      </c>
      <c r="M24" s="65" t="s">
        <v>344</v>
      </c>
      <c r="N24" s="63" t="s">
        <v>345</v>
      </c>
      <c r="O24" s="66" t="s">
        <v>346</v>
      </c>
      <c r="P24" s="65" t="s">
        <v>344</v>
      </c>
      <c r="Q24" s="63" t="s">
        <v>616</v>
      </c>
      <c r="R24" s="66" t="s">
        <v>615</v>
      </c>
    </row>
    <row r="25" spans="1:18">
      <c r="A25" s="1962" t="s">
        <v>6</v>
      </c>
      <c r="B25" s="71">
        <f>'délais '!C7</f>
        <v>2</v>
      </c>
      <c r="C25" s="72">
        <f>'délais '!G7</f>
        <v>-2</v>
      </c>
      <c r="D25" s="73">
        <f>'délais '!I7</f>
        <v>23</v>
      </c>
      <c r="E25" s="72">
        <f>'délais '!M7</f>
        <v>-4</v>
      </c>
      <c r="F25" s="71">
        <f>'délais '!P7</f>
        <v>2</v>
      </c>
      <c r="G25" s="72">
        <f>'délais '!T7</f>
        <v>-2</v>
      </c>
      <c r="H25" s="73">
        <f>'délais '!V7</f>
        <v>28</v>
      </c>
      <c r="I25" s="76">
        <f>'délais '!Z7</f>
        <v>-2</v>
      </c>
      <c r="J25" s="68">
        <f>ventes_achats_gaz!N20</f>
        <v>2804.7358327700008</v>
      </c>
      <c r="K25" s="1976">
        <f>ventes_achats_gaz!T20</f>
        <v>-1.1753846859035382</v>
      </c>
      <c r="L25" s="1976">
        <f>ventes_achats_gaz!T36</f>
        <v>63.058736166058317</v>
      </c>
      <c r="M25" s="68">
        <f>ventes_achats_gaz!M20</f>
        <v>3035.6858658400006</v>
      </c>
      <c r="N25" s="64">
        <f>ventes_achats_gaz!S20</f>
        <v>-0.58401955703850228</v>
      </c>
      <c r="O25" s="1976">
        <f>ventes_achats_gaz!S36</f>
        <v>69.644055375127294</v>
      </c>
      <c r="P25" s="1965">
        <f>TP_gaz!I4</f>
        <v>-8.2342882481702357</v>
      </c>
      <c r="Q25" s="1967">
        <f>TP_gaz!J4</f>
        <v>-0.64381987214034453</v>
      </c>
      <c r="R25" s="1964">
        <f>TP_gaz!L4</f>
        <v>-10.234288248170241</v>
      </c>
    </row>
    <row r="26" spans="1:18">
      <c r="A26" s="1962" t="s">
        <v>7</v>
      </c>
      <c r="B26" s="71">
        <f>'délais '!C8</f>
        <v>6</v>
      </c>
      <c r="C26" s="72">
        <f>'délais '!G8</f>
        <v>0</v>
      </c>
      <c r="D26" s="73">
        <f>'délais '!I8</f>
        <v>35</v>
      </c>
      <c r="E26" s="72">
        <f>'délais '!M8</f>
        <v>0</v>
      </c>
      <c r="F26" s="71">
        <f>'délais '!P8</f>
        <v>6</v>
      </c>
      <c r="G26" s="72">
        <f>'délais '!T8</f>
        <v>0</v>
      </c>
      <c r="H26" s="73">
        <f>'délais '!V8</f>
        <v>28</v>
      </c>
      <c r="I26" s="76">
        <f>'délais '!Z8</f>
        <v>-2</v>
      </c>
      <c r="J26" s="68">
        <f>ventes_achats_gaz!N21</f>
        <v>2250.7096760000004</v>
      </c>
      <c r="K26" s="1976">
        <f>ventes_achats_gaz!T21</f>
        <v>-0.19268166301589981</v>
      </c>
      <c r="L26" s="1976">
        <f>ventes_achats_gaz!T37</f>
        <v>65.874283375361742</v>
      </c>
      <c r="M26" s="68">
        <f>ventes_achats_gaz!M21</f>
        <v>2649.9152460399991</v>
      </c>
      <c r="N26" s="64">
        <f>ventes_achats_gaz!S21</f>
        <v>2.537969342890674</v>
      </c>
      <c r="O26" s="1976">
        <f>ventes_achats_gaz!S37</f>
        <v>79.141145831273249</v>
      </c>
      <c r="P26" s="1965">
        <f>TP_gaz!I5</f>
        <v>-17.736875364106208</v>
      </c>
      <c r="Q26" s="1967">
        <f>TP_gaz!J5</f>
        <v>-3.1354074905676281</v>
      </c>
      <c r="R26" s="1964">
        <f>TP_gaz!L5</f>
        <v>-19.736875364106201</v>
      </c>
    </row>
    <row r="27" spans="1:18">
      <c r="A27" s="1962" t="s">
        <v>8</v>
      </c>
      <c r="B27" s="71">
        <f>'délais '!C9</f>
        <v>6</v>
      </c>
      <c r="C27" s="72">
        <f>'délais '!G9</f>
        <v>0</v>
      </c>
      <c r="D27" s="73">
        <f>'délais '!I9</f>
        <v>35</v>
      </c>
      <c r="E27" s="72">
        <f>'délais '!M9</f>
        <v>0</v>
      </c>
      <c r="F27" s="71">
        <f>'délais '!P9</f>
        <v>6</v>
      </c>
      <c r="G27" s="72">
        <f>'délais '!T9</f>
        <v>0</v>
      </c>
      <c r="H27" s="73">
        <f>'délais '!V9</f>
        <v>35</v>
      </c>
      <c r="I27" s="76">
        <f>'délais '!Z9</f>
        <v>0</v>
      </c>
      <c r="J27" s="68">
        <f>ventes_achats_gaz!N22</f>
        <v>2155.7617600000003</v>
      </c>
      <c r="K27" s="1976">
        <f>ventes_achats_gaz!T22</f>
        <v>3.4507376805717436</v>
      </c>
      <c r="L27" s="1976">
        <f>ventes_achats_gaz!T38</f>
        <v>65.155612233112365</v>
      </c>
      <c r="M27" s="68">
        <f>ventes_achats_gaz!M22</f>
        <v>2572.4406428499992</v>
      </c>
      <c r="N27" s="64">
        <f>ventes_achats_gaz!S22</f>
        <v>6.6014169916546903</v>
      </c>
      <c r="O27" s="1976">
        <f>ventes_achats_gaz!S38</f>
        <v>79.336009621439189</v>
      </c>
      <c r="P27" s="1965">
        <f>TP_gaz!I6</f>
        <v>-19.328614626228401</v>
      </c>
      <c r="Q27" s="1967">
        <f>TP_gaz!J6</f>
        <v>-3.5268405236346911</v>
      </c>
      <c r="R27" s="1964">
        <f>TP_gaz!L6</f>
        <v>-21.328614626228404</v>
      </c>
    </row>
    <row r="28" spans="1:18">
      <c r="A28" s="1962" t="s">
        <v>4</v>
      </c>
      <c r="B28" s="71">
        <f>'délais '!C10</f>
        <v>5</v>
      </c>
      <c r="C28" s="72">
        <f>'délais '!G10</f>
        <v>0</v>
      </c>
      <c r="D28" s="73">
        <f>'délais '!I10</f>
        <v>34</v>
      </c>
      <c r="E28" s="72">
        <f>'délais '!M10</f>
        <v>-1</v>
      </c>
      <c r="F28" s="71">
        <f>'délais '!P10</f>
        <v>5</v>
      </c>
      <c r="G28" s="72">
        <f>'délais '!T10</f>
        <v>-1</v>
      </c>
      <c r="H28" s="73">
        <f>'délais '!V10</f>
        <v>24</v>
      </c>
      <c r="I28" s="76">
        <f>'délais '!Z10</f>
        <v>-1</v>
      </c>
      <c r="J28" s="68">
        <f>ventes_achats_gaz!N23</f>
        <v>3233.6893380000001</v>
      </c>
      <c r="K28" s="1976">
        <f>ventes_achats_gaz!T23</f>
        <v>-7.5518526663521142</v>
      </c>
      <c r="L28" s="1976">
        <f>ventes_achats_gaz!T39</f>
        <v>64.152101867612572</v>
      </c>
      <c r="M28" s="68">
        <f>ventes_achats_gaz!M23</f>
        <v>3999.1770321299991</v>
      </c>
      <c r="N28" s="64">
        <f>ventes_achats_gaz!S23</f>
        <v>-2.8018874435174101</v>
      </c>
      <c r="O28" s="1976">
        <f>ventes_achats_gaz!S39</f>
        <v>80.957511316545265</v>
      </c>
      <c r="P28" s="1965">
        <f>TP_gaz!I7</f>
        <v>-23.67227071365626</v>
      </c>
      <c r="Q28" s="1967">
        <f>TP_gaz!J7</f>
        <v>-6.0437283139371765</v>
      </c>
      <c r="R28" s="1964">
        <f>TP_gaz!L7</f>
        <v>-25.672270713656253</v>
      </c>
    </row>
    <row r="29" spans="1:18">
      <c r="A29" s="1962" t="s">
        <v>3</v>
      </c>
      <c r="B29" s="71">
        <f>'délais '!C11</f>
        <v>5</v>
      </c>
      <c r="C29" s="72">
        <f>'délais '!G11</f>
        <v>0</v>
      </c>
      <c r="D29" s="73">
        <f>'délais '!I11</f>
        <v>31</v>
      </c>
      <c r="E29" s="72">
        <f>'délais '!M11</f>
        <v>9</v>
      </c>
      <c r="F29" s="71">
        <f>'délais '!P11</f>
        <v>6</v>
      </c>
      <c r="G29" s="72">
        <f>'délais '!T11</f>
        <v>1</v>
      </c>
      <c r="H29" s="73">
        <f>'délais '!V11</f>
        <v>20</v>
      </c>
      <c r="I29" s="76">
        <f>'délais '!Z11</f>
        <v>2</v>
      </c>
      <c r="J29" s="68">
        <f>ventes_achats_gaz!N24</f>
        <v>3651.2215449999994</v>
      </c>
      <c r="K29" s="1976">
        <f>ventes_achats_gaz!T24</f>
        <v>-1.5261036083286967</v>
      </c>
      <c r="L29" s="1976">
        <f>ventes_achats_gaz!T40</f>
        <v>61.023360573188178</v>
      </c>
      <c r="M29" s="68">
        <f>ventes_achats_gaz!M24</f>
        <v>4059.2007137299993</v>
      </c>
      <c r="N29" s="64">
        <f>ventes_achats_gaz!S24</f>
        <v>-1.1715227406437023</v>
      </c>
      <c r="O29" s="1976">
        <f>ventes_achats_gaz!S40</f>
        <v>69.22650175329774</v>
      </c>
      <c r="P29" s="1965">
        <f>TP_gaz!I8</f>
        <v>-11.173771947327833</v>
      </c>
      <c r="Q29" s="1967">
        <f>TP_gaz!J8</f>
        <v>-0.39887382274894989</v>
      </c>
      <c r="R29" s="1964">
        <f>TP_gaz!L8</f>
        <v>-13.173771947327829</v>
      </c>
    </row>
    <row r="30" spans="1:18">
      <c r="A30" s="1962" t="s">
        <v>397</v>
      </c>
      <c r="B30" s="71">
        <f>'délais '!C12</f>
        <v>4</v>
      </c>
      <c r="C30" s="72">
        <f>'délais '!G12</f>
        <v>0</v>
      </c>
      <c r="D30" s="73">
        <f>'délais '!I12</f>
        <v>20</v>
      </c>
      <c r="E30" s="72">
        <f>'délais '!M12</f>
        <v>0</v>
      </c>
      <c r="F30" s="71">
        <f>'délais '!P12</f>
        <v>4</v>
      </c>
      <c r="G30" s="72">
        <f>'délais '!T12</f>
        <v>0</v>
      </c>
      <c r="H30" s="73">
        <f>'délais '!V12</f>
        <v>20</v>
      </c>
      <c r="I30" s="76">
        <f>'délais '!Z12</f>
        <v>0</v>
      </c>
      <c r="J30" s="68">
        <f>ventes_achats_gaz!N25</f>
        <v>1133.2621072299999</v>
      </c>
      <c r="K30" s="1976">
        <f>ventes_achats_gaz!T25</f>
        <v>-3.5389454634286754</v>
      </c>
      <c r="L30" s="1976">
        <f>ventes_achats_gaz!T41</f>
        <v>64.228810681786314</v>
      </c>
      <c r="M30" s="68">
        <f>ventes_achats_gaz!M25</f>
        <v>1173.4156620200024</v>
      </c>
      <c r="N30" s="64">
        <f>ventes_achats_gaz!S25</f>
        <v>-0.4762314145405725</v>
      </c>
      <c r="O30" s="1976">
        <f>ventes_achats_gaz!S41</f>
        <v>67.861791056946942</v>
      </c>
      <c r="P30" s="1965">
        <f>TP_gaz!I9</f>
        <v>-3.5431833936589241</v>
      </c>
      <c r="Q30" s="1967">
        <f>TP_gaz!J9</f>
        <v>-3.1864062922220242</v>
      </c>
      <c r="R30" s="1964">
        <f>TP_gaz!L9</f>
        <v>-5.5431833936589188</v>
      </c>
    </row>
    <row r="31" spans="1:18">
      <c r="A31" s="1962" t="s">
        <v>399</v>
      </c>
      <c r="B31" s="71">
        <f>'délais '!C13</f>
        <v>6</v>
      </c>
      <c r="C31" s="72">
        <f>'délais '!G13</f>
        <v>1</v>
      </c>
      <c r="D31" s="73">
        <f>'délais '!I13</f>
        <v>19</v>
      </c>
      <c r="E31" s="72">
        <f>'délais '!M13</f>
        <v>-3</v>
      </c>
      <c r="F31" s="71">
        <f>'délais '!P13</f>
        <v>6</v>
      </c>
      <c r="G31" s="72">
        <f>'délais '!T13</f>
        <v>0</v>
      </c>
      <c r="H31" s="73">
        <f>'délais '!V13</f>
        <v>20</v>
      </c>
      <c r="I31" s="76">
        <f>'délais '!Z13</f>
        <v>-2</v>
      </c>
      <c r="J31" s="68">
        <f>ventes_achats_gaz!N26</f>
        <v>2092.9558408000003</v>
      </c>
      <c r="K31" s="1976">
        <f>ventes_achats_gaz!T26</f>
        <v>0.74139825760793288</v>
      </c>
      <c r="L31" s="1976">
        <f>ventes_achats_gaz!T42</f>
        <v>69.090214073991746</v>
      </c>
      <c r="M31" s="68">
        <f>ventes_achats_gaz!M26</f>
        <v>2265.2661823600001</v>
      </c>
      <c r="N31" s="64">
        <f>ventes_achats_gaz!S26</f>
        <v>7.7550507706339227</v>
      </c>
      <c r="O31" s="1976">
        <f>ventes_achats_gaz!S42</f>
        <v>76.304410047435312</v>
      </c>
      <c r="P31" s="1965">
        <f>TP_gaz!I10</f>
        <v>-8.2328703836454036</v>
      </c>
      <c r="Q31" s="1967">
        <f>TP_gaz!J10</f>
        <v>-7.0447532429277784</v>
      </c>
      <c r="R31" s="1964">
        <f>TP_gaz!L10</f>
        <v>-10.2328703836454</v>
      </c>
    </row>
    <row r="32" spans="1:18">
      <c r="A32" s="1962" t="s">
        <v>883</v>
      </c>
      <c r="B32" s="71">
        <f>'délais '!C14</f>
        <v>5</v>
      </c>
      <c r="C32" s="72">
        <f>'délais '!G14</f>
        <v>-1</v>
      </c>
      <c r="D32" s="73">
        <f>'délais '!I14</f>
        <v>34</v>
      </c>
      <c r="E32" s="72">
        <f>'délais '!M14</f>
        <v>-1</v>
      </c>
      <c r="F32" s="71">
        <f>'délais '!P14</f>
        <v>5</v>
      </c>
      <c r="G32" s="72">
        <f>'délais '!T14</f>
        <v>-1</v>
      </c>
      <c r="H32" s="73">
        <f>'délais '!V14</f>
        <v>34</v>
      </c>
      <c r="I32" s="76">
        <f>'délais '!Z14</f>
        <v>-1</v>
      </c>
      <c r="J32" s="68">
        <f>ventes_achats_gaz!N27</f>
        <v>1360.5992479999998</v>
      </c>
      <c r="K32" s="1976">
        <f>ventes_achats_gaz!T27</f>
        <v>3.7417779134363012</v>
      </c>
      <c r="L32" s="1976">
        <f>ventes_achats_gaz!T43</f>
        <v>66.346421943191501</v>
      </c>
      <c r="M32" s="68">
        <f>ventes_achats_gaz!M27</f>
        <v>1583.2185636219997</v>
      </c>
      <c r="N32" s="64">
        <f>ventes_achats_gaz!S27</f>
        <v>8.5353122673585933</v>
      </c>
      <c r="O32" s="1976">
        <f>ventes_achats_gaz!S43</f>
        <v>78.777286753158819</v>
      </c>
      <c r="P32" s="1965">
        <f>TP_gaz!I11</f>
        <v>-16.361857905568971</v>
      </c>
      <c r="Q32" s="1967">
        <f>TP_gaz!J11</f>
        <v>-5.1391989547379762</v>
      </c>
      <c r="R32" s="1964">
        <f>TP_gaz!L11</f>
        <v>-18.361618992961233</v>
      </c>
    </row>
    <row r="33" spans="1:18">
      <c r="A33" s="1962" t="s">
        <v>884</v>
      </c>
      <c r="B33" s="71">
        <f>'délais '!C15</f>
        <v>5.211685552407932</v>
      </c>
      <c r="C33" s="72">
        <f>'délais '!G15</f>
        <v>-0.78831444759206803</v>
      </c>
      <c r="D33" s="73">
        <f>'délais '!I15</f>
        <v>30</v>
      </c>
      <c r="E33" s="72">
        <f>'délais '!M15</f>
        <v>-5</v>
      </c>
      <c r="F33" s="71">
        <f>'délais '!P15</f>
        <v>5</v>
      </c>
      <c r="G33" s="72">
        <f>'délais '!T15</f>
        <v>0</v>
      </c>
      <c r="H33" s="73">
        <f>'délais '!V15</f>
        <v>21</v>
      </c>
      <c r="I33" s="76">
        <f>'délais '!Z15</f>
        <v>-4</v>
      </c>
      <c r="J33" s="68">
        <f>ventes_achats_gaz!N28</f>
        <v>1474.2703550000001</v>
      </c>
      <c r="K33" s="1976">
        <f>ventes_achats_gaz!T28</f>
        <v>4.3614748506720362</v>
      </c>
      <c r="L33" s="1976">
        <f>ventes_achats_gaz!T44</f>
        <v>69.569216863931558</v>
      </c>
      <c r="M33" s="68">
        <f>ventes_achats_gaz!M28</f>
        <v>1730.02758296</v>
      </c>
      <c r="N33" s="64">
        <f>ventes_achats_gaz!S28</f>
        <v>11.44770027101889</v>
      </c>
      <c r="O33" s="1976">
        <f>ventes_achats_gaz!S44</f>
        <v>83.304206812554654</v>
      </c>
      <c r="P33" s="1965">
        <f>TP_gaz!I12</f>
        <v>-17.348054723653444</v>
      </c>
      <c r="Q33" s="1967">
        <f>TP_gaz!J12</f>
        <v>-7.461390108443954</v>
      </c>
      <c r="R33" s="1964">
        <f>TP_gaz!L12</f>
        <v>-19.348054723653455</v>
      </c>
    </row>
    <row r="34" spans="1:18">
      <c r="A34" s="1962" t="s">
        <v>885</v>
      </c>
      <c r="B34" s="71">
        <f>'délais '!C16</f>
        <v>5</v>
      </c>
      <c r="C34" s="72">
        <f>'délais '!G16</f>
        <v>-1</v>
      </c>
      <c r="D34" s="73">
        <f>'délais '!I16</f>
        <v>29</v>
      </c>
      <c r="E34" s="72">
        <f>'délais '!M16</f>
        <v>-6</v>
      </c>
      <c r="F34" s="71">
        <f>'délais '!P16</f>
        <v>5</v>
      </c>
      <c r="G34" s="72">
        <f>'délais '!T16</f>
        <v>-1</v>
      </c>
      <c r="H34" s="73">
        <f>'délais '!V16</f>
        <v>29</v>
      </c>
      <c r="I34" s="76">
        <f>'délais '!Z16</f>
        <v>-6</v>
      </c>
      <c r="J34" s="68">
        <f>ventes_achats_gaz!N29</f>
        <v>936.13161700000001</v>
      </c>
      <c r="K34" s="1976">
        <f>ventes_achats_gaz!T29</f>
        <v>4.874279277510726</v>
      </c>
      <c r="L34" s="1976">
        <f>ventes_achats_gaz!T45</f>
        <v>64.576963242656021</v>
      </c>
      <c r="M34" s="68">
        <f>ventes_achats_gaz!M29</f>
        <v>1090.379358142</v>
      </c>
      <c r="N34" s="64">
        <f>ventes_achats_gaz!S29</f>
        <v>8.0772615447927638</v>
      </c>
      <c r="O34" s="1976">
        <f>ventes_achats_gaz!S45</f>
        <v>76.752450552228495</v>
      </c>
      <c r="P34" s="1965">
        <f>TP_gaz!I13</f>
        <v>-16.47714256637483</v>
      </c>
      <c r="Q34" s="1967">
        <f>TP_gaz!J13</f>
        <v>-3.4519214944131367</v>
      </c>
      <c r="R34" s="1964">
        <f>TP_gaz!L13</f>
        <v>-18.477142566374827</v>
      </c>
    </row>
    <row r="35" spans="1:18" ht="12.75" customHeight="1" thickBot="1">
      <c r="A35" s="1968" t="s">
        <v>933</v>
      </c>
      <c r="B35" s="1977">
        <f>'délais '!C17</f>
        <v>5.0073789767538281</v>
      </c>
      <c r="C35" s="1978">
        <f>'délais '!G17</f>
        <v>7.3789767538281481E-3</v>
      </c>
      <c r="D35" s="1979">
        <f>'délais '!I17</f>
        <v>27.40893947806774</v>
      </c>
      <c r="E35" s="1978">
        <f>'délais '!M17</f>
        <v>-7.5910605219322598</v>
      </c>
      <c r="F35" s="1977">
        <f>'délais '!P17</f>
        <v>4.9509587923296614</v>
      </c>
      <c r="G35" s="1978">
        <f>'délais '!T17</f>
        <v>-1.0490412076703386</v>
      </c>
      <c r="H35" s="1979">
        <f>'délais '!V17</f>
        <v>24.409155261915998</v>
      </c>
      <c r="I35" s="1980">
        <f>'délais '!Z17</f>
        <v>-10.590844738084002</v>
      </c>
      <c r="J35" s="1981">
        <f>SUM(J25:J34)</f>
        <v>21093.337319800001</v>
      </c>
      <c r="K35" s="1982">
        <f>ventes_achats_gaz!T30</f>
        <v>-0.74586484099350969</v>
      </c>
      <c r="L35" s="1982">
        <f>ventes_achats_gaz!T46</f>
        <v>64.682945097326211</v>
      </c>
      <c r="M35" s="1981">
        <f>SUM(M25:M34)</f>
        <v>24158.726849693994</v>
      </c>
      <c r="N35" s="1983">
        <f>ventes_achats_gaz!S30</f>
        <v>2.4805895539525453</v>
      </c>
      <c r="O35" s="1982">
        <f>ventes_achats_gaz!S46</f>
        <v>75.594881231127047</v>
      </c>
      <c r="P35" s="1973">
        <f>TP_gaz!I14</f>
        <v>-14.532501345894458</v>
      </c>
      <c r="Q35" s="1970">
        <f>TP_gaz!J14</f>
        <v>-3.605891554098438</v>
      </c>
      <c r="R35" s="1971">
        <f>TP_gaz!L14</f>
        <v>-16.532486321524246</v>
      </c>
    </row>
    <row r="43" spans="1:18" ht="14.4" thickBot="1"/>
    <row r="44" spans="1:18" ht="12.75" customHeight="1">
      <c r="B44" s="2790" t="s">
        <v>361</v>
      </c>
      <c r="C44" s="2791"/>
      <c r="D44" s="2791"/>
      <c r="E44" s="2792"/>
      <c r="F44" s="2790" t="s">
        <v>940</v>
      </c>
      <c r="G44" s="2791"/>
      <c r="H44" s="2791"/>
      <c r="I44" s="2792"/>
      <c r="J44" s="2790" t="s">
        <v>941</v>
      </c>
      <c r="K44" s="2791"/>
      <c r="L44" s="2791"/>
      <c r="M44" s="2792" t="s">
        <v>363</v>
      </c>
      <c r="N44" s="2790" t="s">
        <v>942</v>
      </c>
      <c r="O44" s="2791" t="s">
        <v>364</v>
      </c>
      <c r="P44" s="2791"/>
      <c r="Q44" s="2792" t="s">
        <v>415</v>
      </c>
    </row>
    <row r="45" spans="1:18">
      <c r="B45" s="2798" t="s">
        <v>943</v>
      </c>
      <c r="C45" s="2799"/>
      <c r="D45" s="2796" t="s">
        <v>359</v>
      </c>
      <c r="E45" s="2797"/>
      <c r="F45" s="2798" t="s">
        <v>943</v>
      </c>
      <c r="G45" s="2799"/>
      <c r="H45" s="2796" t="s">
        <v>359</v>
      </c>
      <c r="I45" s="2797"/>
      <c r="J45" s="2798" t="s">
        <v>943</v>
      </c>
      <c r="K45" s="2799"/>
      <c r="L45" s="2796" t="s">
        <v>359</v>
      </c>
      <c r="M45" s="2797"/>
      <c r="N45" s="2798" t="s">
        <v>943</v>
      </c>
      <c r="O45" s="2799"/>
      <c r="P45" s="2796" t="s">
        <v>359</v>
      </c>
      <c r="Q45" s="2797"/>
    </row>
    <row r="46" spans="1:18" ht="41.4">
      <c r="B46" s="65" t="s">
        <v>583</v>
      </c>
      <c r="C46" s="63" t="s">
        <v>944</v>
      </c>
      <c r="D46" s="63" t="s">
        <v>360</v>
      </c>
      <c r="E46" s="66" t="s">
        <v>945</v>
      </c>
      <c r="F46" s="65" t="s">
        <v>583</v>
      </c>
      <c r="G46" s="63" t="s">
        <v>944</v>
      </c>
      <c r="H46" s="63" t="s">
        <v>360</v>
      </c>
      <c r="I46" s="66" t="s">
        <v>945</v>
      </c>
      <c r="J46" s="65" t="s">
        <v>583</v>
      </c>
      <c r="K46" s="63" t="s">
        <v>944</v>
      </c>
      <c r="L46" s="63" t="s">
        <v>360</v>
      </c>
      <c r="M46" s="66" t="s">
        <v>945</v>
      </c>
      <c r="N46" s="65" t="s">
        <v>583</v>
      </c>
      <c r="O46" s="63" t="s">
        <v>944</v>
      </c>
      <c r="P46" s="63" t="s">
        <v>360</v>
      </c>
      <c r="Q46" s="66" t="s">
        <v>945</v>
      </c>
    </row>
    <row r="47" spans="1:18">
      <c r="A47" s="1962" t="s">
        <v>6</v>
      </c>
      <c r="B47" s="1984">
        <f>'calcul-DCC-TX-Encais'!AW66</f>
        <v>61.973650423565118</v>
      </c>
      <c r="C47" s="1985">
        <f>'calcul-DCC-TX-Encais'!AW66-'calcul-DCC-TX-Encais'!K66</f>
        <v>-16.686823702024498</v>
      </c>
      <c r="D47" s="74">
        <f>'calcul-DCC-TX-Encais'!AW20</f>
        <v>3841.4016144199995</v>
      </c>
      <c r="E47" s="1986" t="str">
        <f>'calcul-DCC-TX-Encais'!BT20</f>
        <v>Blida</v>
      </c>
      <c r="F47" s="1984" t="e">
        <f>'calcul-DCC-TX-Encais'!#REF!</f>
        <v>#REF!</v>
      </c>
      <c r="G47" s="1985" t="e">
        <f>'calcul-DCC-TX-Encais'!#REF!-'calcul-DCC-TX-Encais'!#REF!</f>
        <v>#REF!</v>
      </c>
      <c r="H47" s="74" t="e">
        <f>'calcul-DCC-TX-Encais'!#REF!</f>
        <v>#REF!</v>
      </c>
      <c r="I47" s="1986">
        <f>'calcul-DCC-TX-Encais'!BU19</f>
        <v>0</v>
      </c>
      <c r="J47" s="1984">
        <f>'calcul-DCC-TX-Encais'!AS66</f>
        <v>66.525859367030023</v>
      </c>
      <c r="K47" s="1985" t="e">
        <f>'calcul-DCC-TX-Encais'!#REF!-'calcul-DCC-TX-Encais'!#REF!</f>
        <v>#REF!</v>
      </c>
      <c r="L47" s="74">
        <f>'calcul-DCC-TX-Encais'!AS20</f>
        <v>2845.6350513799998</v>
      </c>
      <c r="M47" s="1986">
        <f>'calcul-DCC-TX-Encais'!BV19</f>
        <v>0</v>
      </c>
      <c r="N47" s="1984" t="e">
        <f>'calcul-DCC-TX-Encais'!#REF!</f>
        <v>#REF!</v>
      </c>
      <c r="O47" s="1985" t="e">
        <f>'calcul-DCC-TX-Encais'!#REF!-'calcul-DCC-TX-Encais'!#REF!</f>
        <v>#REF!</v>
      </c>
      <c r="P47" s="74" t="e">
        <f>'calcul-DCC-TX-Encais'!#REF!</f>
        <v>#REF!</v>
      </c>
      <c r="Q47" s="1986">
        <f>'calcul-DCC-TX-Encais'!BW19</f>
        <v>0</v>
      </c>
    </row>
    <row r="48" spans="1:18">
      <c r="A48" s="1962" t="s">
        <v>7</v>
      </c>
      <c r="B48" s="1984">
        <f>'calcul-DCC-TX-Encais'!AW67</f>
        <v>69.853931885693399</v>
      </c>
      <c r="C48" s="1985">
        <f>'calcul-DCC-TX-Encais'!AW67-'calcul-DCC-TX-Encais'!K67</f>
        <v>-0.39634578763339334</v>
      </c>
      <c r="D48" s="74">
        <f>'calcul-DCC-TX-Encais'!AW21</f>
        <v>1925.5110949199993</v>
      </c>
      <c r="E48" s="1986" t="str">
        <f>'calcul-DCC-TX-Encais'!BT21</f>
        <v>Bouira</v>
      </c>
      <c r="F48" s="1984" t="e">
        <f>'calcul-DCC-TX-Encais'!#REF!</f>
        <v>#REF!</v>
      </c>
      <c r="G48" s="1985" t="e">
        <f>'calcul-DCC-TX-Encais'!#REF!-'calcul-DCC-TX-Encais'!#REF!</f>
        <v>#REF!</v>
      </c>
      <c r="H48" s="74" t="e">
        <f>'calcul-DCC-TX-Encais'!#REF!</f>
        <v>#REF!</v>
      </c>
      <c r="I48" s="1986">
        <f>'calcul-DCC-TX-Encais'!BU20</f>
        <v>61.165942489999999</v>
      </c>
      <c r="J48" s="1984">
        <f>'calcul-DCC-TX-Encais'!AS67</f>
        <v>67.834356436348102</v>
      </c>
      <c r="K48" s="1985" t="e">
        <f>'calcul-DCC-TX-Encais'!#REF!-'calcul-DCC-TX-Encais'!#REF!</f>
        <v>#REF!</v>
      </c>
      <c r="L48" s="74">
        <f>'calcul-DCC-TX-Encais'!AS21</f>
        <v>1806.0818649199994</v>
      </c>
      <c r="M48" s="1986">
        <f>'calcul-DCC-TX-Encais'!BV20</f>
        <v>1.4787361299999997</v>
      </c>
      <c r="N48" s="1984" t="e">
        <f>'calcul-DCC-TX-Encais'!#REF!</f>
        <v>#REF!</v>
      </c>
      <c r="O48" s="1985" t="e">
        <f>'calcul-DCC-TX-Encais'!#REF!-'calcul-DCC-TX-Encais'!#REF!</f>
        <v>#REF!</v>
      </c>
      <c r="P48" s="74" t="e">
        <f>'calcul-DCC-TX-Encais'!#REF!</f>
        <v>#REF!</v>
      </c>
      <c r="Q48" s="1986">
        <f>'calcul-DCC-TX-Encais'!BW20</f>
        <v>62.644678620000001</v>
      </c>
    </row>
    <row r="49" spans="1:17">
      <c r="A49" s="1962" t="s">
        <v>8</v>
      </c>
      <c r="B49" s="1984">
        <f>'calcul-DCC-TX-Encais'!AW68</f>
        <v>71.537860265105508</v>
      </c>
      <c r="C49" s="1985">
        <f>'calcul-DCC-TX-Encais'!AW68-'calcul-DCC-TX-Encais'!K68</f>
        <v>-2.0049045069420401</v>
      </c>
      <c r="D49" s="74">
        <f>'calcul-DCC-TX-Encais'!AW22</f>
        <v>1504.6927980000009</v>
      </c>
      <c r="E49" s="1986" t="str">
        <f>'calcul-DCC-TX-Encais'!BT22</f>
        <v>Médéa</v>
      </c>
      <c r="F49" s="1984" t="e">
        <f>'calcul-DCC-TX-Encais'!#REF!</f>
        <v>#REF!</v>
      </c>
      <c r="G49" s="1985" t="e">
        <f>'calcul-DCC-TX-Encais'!#REF!-'calcul-DCC-TX-Encais'!#REF!</f>
        <v>#REF!</v>
      </c>
      <c r="H49" s="74" t="e">
        <f>'calcul-DCC-TX-Encais'!#REF!</f>
        <v>#REF!</v>
      </c>
      <c r="I49" s="1986">
        <f>'calcul-DCC-TX-Encais'!BU21</f>
        <v>245.05284730000002</v>
      </c>
      <c r="J49" s="1984">
        <f>'calcul-DCC-TX-Encais'!AS68</f>
        <v>74.441762442936607</v>
      </c>
      <c r="K49" s="1985" t="e">
        <f>'calcul-DCC-TX-Encais'!#REF!-'calcul-DCC-TX-Encais'!#REF!</f>
        <v>#REF!</v>
      </c>
      <c r="L49" s="74">
        <f>'calcul-DCC-TX-Encais'!AS22</f>
        <v>1084.3801713800008</v>
      </c>
      <c r="M49" s="1986">
        <f>'calcul-DCC-TX-Encais'!BV21</f>
        <v>15.309970299999986</v>
      </c>
      <c r="N49" s="1984" t="e">
        <f>'calcul-DCC-TX-Encais'!#REF!</f>
        <v>#REF!</v>
      </c>
      <c r="O49" s="1985" t="e">
        <f>'calcul-DCC-TX-Encais'!#REF!-'calcul-DCC-TX-Encais'!#REF!</f>
        <v>#REF!</v>
      </c>
      <c r="P49" s="74" t="e">
        <f>'calcul-DCC-TX-Encais'!#REF!</f>
        <v>#REF!</v>
      </c>
      <c r="Q49" s="1986">
        <f>'calcul-DCC-TX-Encais'!BW21</f>
        <v>260.36281760000003</v>
      </c>
    </row>
    <row r="50" spans="1:17">
      <c r="A50" s="1962" t="s">
        <v>4</v>
      </c>
      <c r="B50" s="1984">
        <f>'calcul-DCC-TX-Encais'!AW69</f>
        <v>64.624729735871085</v>
      </c>
      <c r="C50" s="1985">
        <f>'calcul-DCC-TX-Encais'!AW69-'calcul-DCC-TX-Encais'!K69</f>
        <v>-6.1586672573684069</v>
      </c>
      <c r="D50" s="74">
        <f>'calcul-DCC-TX-Encais'!AW23</f>
        <v>3694.7301780400007</v>
      </c>
      <c r="E50" s="1986" t="str">
        <f>'calcul-DCC-TX-Encais'!BT23</f>
        <v>T.Ouzou</v>
      </c>
      <c r="F50" s="1984" t="e">
        <f>'calcul-DCC-TX-Encais'!#REF!</f>
        <v>#REF!</v>
      </c>
      <c r="G50" s="1985" t="e">
        <f>'calcul-DCC-TX-Encais'!#REF!-'calcul-DCC-TX-Encais'!#REF!</f>
        <v>#REF!</v>
      </c>
      <c r="H50" s="74" t="e">
        <f>'calcul-DCC-TX-Encais'!#REF!</f>
        <v>#REF!</v>
      </c>
      <c r="I50" s="1986">
        <f>'calcul-DCC-TX-Encais'!BU22</f>
        <v>0</v>
      </c>
      <c r="J50" s="1984">
        <f>'calcul-DCC-TX-Encais'!AS69</f>
        <v>66.734785627625229</v>
      </c>
      <c r="K50" s="1985" t="e">
        <f>'calcul-DCC-TX-Encais'!#REF!-'calcul-DCC-TX-Encais'!#REF!</f>
        <v>#REF!</v>
      </c>
      <c r="L50" s="74">
        <f>'calcul-DCC-TX-Encais'!AS23</f>
        <v>3037.3294815600007</v>
      </c>
      <c r="M50" s="1986">
        <f>'calcul-DCC-TX-Encais'!BV22</f>
        <v>16.583006649999994</v>
      </c>
      <c r="N50" s="1984" t="e">
        <f>'calcul-DCC-TX-Encais'!#REF!</f>
        <v>#REF!</v>
      </c>
      <c r="O50" s="1985" t="e">
        <f>'calcul-DCC-TX-Encais'!#REF!-'calcul-DCC-TX-Encais'!#REF!</f>
        <v>#REF!</v>
      </c>
      <c r="P50" s="74" t="e">
        <f>'calcul-DCC-TX-Encais'!#REF!</f>
        <v>#REF!</v>
      </c>
      <c r="Q50" s="1986">
        <f>'calcul-DCC-TX-Encais'!BW22</f>
        <v>16.583006649999994</v>
      </c>
    </row>
    <row r="51" spans="1:17">
      <c r="A51" s="1962" t="s">
        <v>3</v>
      </c>
      <c r="B51" s="1984">
        <f>'calcul-DCC-TX-Encais'!AW70</f>
        <v>47.400706265216719</v>
      </c>
      <c r="C51" s="1985">
        <f>'calcul-DCC-TX-Encais'!AW70-'calcul-DCC-TX-Encais'!K70</f>
        <v>-6.4504352113307633</v>
      </c>
      <c r="D51" s="74">
        <f>'calcul-DCC-TX-Encais'!AW24</f>
        <v>4514.4247141699998</v>
      </c>
      <c r="E51" s="1986" t="str">
        <f>'calcul-DCC-TX-Encais'!BT24</f>
        <v>Djelfa</v>
      </c>
      <c r="F51" s="1984" t="e">
        <f>'calcul-DCC-TX-Encais'!#REF!</f>
        <v>#REF!</v>
      </c>
      <c r="G51" s="1985" t="e">
        <f>'calcul-DCC-TX-Encais'!#REF!-'calcul-DCC-TX-Encais'!#REF!</f>
        <v>#REF!</v>
      </c>
      <c r="H51" s="74" t="e">
        <f>'calcul-DCC-TX-Encais'!#REF!</f>
        <v>#REF!</v>
      </c>
      <c r="I51" s="1986">
        <f>'calcul-DCC-TX-Encais'!BU23</f>
        <v>0</v>
      </c>
      <c r="J51" s="1984">
        <f>'calcul-DCC-TX-Encais'!AS70</f>
        <v>51.819468288152358</v>
      </c>
      <c r="K51" s="1985" t="e">
        <f>'calcul-DCC-TX-Encais'!#REF!-'calcul-DCC-TX-Encais'!#REF!</f>
        <v>#REF!</v>
      </c>
      <c r="L51" s="74">
        <f>'calcul-DCC-TX-Encais'!AS24</f>
        <v>3479.7406526599998</v>
      </c>
      <c r="M51" s="1986">
        <f>'calcul-DCC-TX-Encais'!BV23</f>
        <v>23.565210099999998</v>
      </c>
      <c r="N51" s="1984" t="e">
        <f>'calcul-DCC-TX-Encais'!#REF!</f>
        <v>#REF!</v>
      </c>
      <c r="O51" s="1985" t="e">
        <f>'calcul-DCC-TX-Encais'!#REF!-'calcul-DCC-TX-Encais'!#REF!</f>
        <v>#REF!</v>
      </c>
      <c r="P51" s="74" t="e">
        <f>'calcul-DCC-TX-Encais'!#REF!</f>
        <v>#REF!</v>
      </c>
      <c r="Q51" s="1986">
        <f>'calcul-DCC-TX-Encais'!BW23</f>
        <v>23.565210099999998</v>
      </c>
    </row>
    <row r="52" spans="1:17">
      <c r="A52" s="1962" t="s">
        <v>397</v>
      </c>
      <c r="B52" s="1984">
        <f>'calcul-DCC-TX-Encais'!AW71</f>
        <v>55.964626320405252</v>
      </c>
      <c r="C52" s="1985">
        <f>'calcul-DCC-TX-Encais'!AW71-'calcul-DCC-TX-Encais'!K71</f>
        <v>2.1738766450679492</v>
      </c>
      <c r="D52" s="74">
        <f>'calcul-DCC-TX-Encais'!AW25</f>
        <v>3823.0112935465313</v>
      </c>
      <c r="E52" s="1986" t="str">
        <f>'calcul-DCC-TX-Encais'!BT25</f>
        <v>Tipaza</v>
      </c>
      <c r="F52" s="1984" t="e">
        <f>'calcul-DCC-TX-Encais'!#REF!</f>
        <v>#REF!</v>
      </c>
      <c r="G52" s="1985" t="e">
        <f>'calcul-DCC-TX-Encais'!#REF!-'calcul-DCC-TX-Encais'!#REF!</f>
        <v>#REF!</v>
      </c>
      <c r="H52" s="74" t="e">
        <f>'calcul-DCC-TX-Encais'!#REF!</f>
        <v>#REF!</v>
      </c>
      <c r="I52" s="1986">
        <f>'calcul-DCC-TX-Encais'!BU24</f>
        <v>0</v>
      </c>
      <c r="J52" s="1984">
        <f>'calcul-DCC-TX-Encais'!AS71</f>
        <v>52.300967325443651</v>
      </c>
      <c r="K52" s="1985" t="e">
        <f>'calcul-DCC-TX-Encais'!#REF!-'calcul-DCC-TX-Encais'!#REF!</f>
        <v>#REF!</v>
      </c>
      <c r="L52" s="74">
        <f>'calcul-DCC-TX-Encais'!AS25</f>
        <v>3139.9132477165281</v>
      </c>
      <c r="M52" s="1986">
        <f>'calcul-DCC-TX-Encais'!BV24</f>
        <v>18.47395027</v>
      </c>
      <c r="N52" s="1984" t="e">
        <f>'calcul-DCC-TX-Encais'!#REF!</f>
        <v>#REF!</v>
      </c>
      <c r="O52" s="1985" t="e">
        <f>'calcul-DCC-TX-Encais'!#REF!-'calcul-DCC-TX-Encais'!#REF!</f>
        <v>#REF!</v>
      </c>
      <c r="P52" s="74" t="e">
        <f>'calcul-DCC-TX-Encais'!#REF!</f>
        <v>#REF!</v>
      </c>
      <c r="Q52" s="1986">
        <f>'calcul-DCC-TX-Encais'!BW24</f>
        <v>18.47395027</v>
      </c>
    </row>
    <row r="53" spans="1:17">
      <c r="A53" s="1962" t="s">
        <v>399</v>
      </c>
      <c r="B53" s="1984">
        <f>'calcul-DCC-TX-Encais'!AW72</f>
        <v>63.254245925949526</v>
      </c>
      <c r="C53" s="1985">
        <f>'calcul-DCC-TX-Encais'!AW72-'calcul-DCC-TX-Encais'!K72</f>
        <v>-1.0857531831855951</v>
      </c>
      <c r="D53" s="74">
        <f>'calcul-DCC-TX-Encais'!AW26</f>
        <v>3791.6046539620002</v>
      </c>
      <c r="E53" s="1986" t="str">
        <f>'calcul-DCC-TX-Encais'!BT26</f>
        <v>Boumerdes</v>
      </c>
      <c r="F53" s="1984" t="e">
        <f>'calcul-DCC-TX-Encais'!#REF!</f>
        <v>#REF!</v>
      </c>
      <c r="G53" s="1985" t="e">
        <f>'calcul-DCC-TX-Encais'!#REF!-'calcul-DCC-TX-Encais'!#REF!</f>
        <v>#REF!</v>
      </c>
      <c r="H53" s="74" t="e">
        <f>'calcul-DCC-TX-Encais'!#REF!</f>
        <v>#REF!</v>
      </c>
      <c r="I53" s="1986">
        <f>'calcul-DCC-TX-Encais'!BU25</f>
        <v>141.11683083999966</v>
      </c>
      <c r="J53" s="1984">
        <f>'calcul-DCC-TX-Encais'!AS72</f>
        <v>65.781853569270694</v>
      </c>
      <c r="K53" s="1985" t="e">
        <f>'calcul-DCC-TX-Encais'!#REF!-'calcul-DCC-TX-Encais'!#REF!</f>
        <v>#REF!</v>
      </c>
      <c r="L53" s="74">
        <f>'calcul-DCC-TX-Encais'!AS26</f>
        <v>3090.858854392</v>
      </c>
      <c r="M53" s="1986">
        <f>'calcul-DCC-TX-Encais'!BV25</f>
        <v>45.155324020000002</v>
      </c>
      <c r="N53" s="1984" t="e">
        <f>'calcul-DCC-TX-Encais'!#REF!</f>
        <v>#REF!</v>
      </c>
      <c r="O53" s="1985" t="e">
        <f>'calcul-DCC-TX-Encais'!#REF!-'calcul-DCC-TX-Encais'!#REF!</f>
        <v>#REF!</v>
      </c>
      <c r="P53" s="74" t="e">
        <f>'calcul-DCC-TX-Encais'!#REF!</f>
        <v>#REF!</v>
      </c>
      <c r="Q53" s="1986">
        <f>'calcul-DCC-TX-Encais'!BW25</f>
        <v>186.27215485999966</v>
      </c>
    </row>
    <row r="54" spans="1:17" ht="14.25" customHeight="1">
      <c r="A54" s="1962" t="s">
        <v>883</v>
      </c>
      <c r="B54" s="1984">
        <f>'calcul-DCC-TX-Encais'!AW73</f>
        <v>59.886082951842958</v>
      </c>
      <c r="C54" s="1985">
        <f>'calcul-DCC-TX-Encais'!AW73-'calcul-DCC-TX-Encais'!K73</f>
        <v>-3.3106680624986069</v>
      </c>
      <c r="D54" s="74">
        <f>'calcul-DCC-TX-Encais'!AW27</f>
        <v>2497.1064962729997</v>
      </c>
      <c r="E54" s="1986" t="str">
        <f>'calcul-DCC-TX-Encais'!BT27</f>
        <v>Ain Defla</v>
      </c>
      <c r="F54" s="1984" t="e">
        <f>'calcul-DCC-TX-Encais'!#REF!</f>
        <v>#REF!</v>
      </c>
      <c r="G54" s="1985" t="e">
        <f>'calcul-DCC-TX-Encais'!#REF!-'calcul-DCC-TX-Encais'!#REF!</f>
        <v>#REF!</v>
      </c>
      <c r="H54" s="74" t="e">
        <f>'calcul-DCC-TX-Encais'!#REF!</f>
        <v>#REF!</v>
      </c>
      <c r="I54" s="1986">
        <f>'calcul-DCC-TX-Encais'!BU26</f>
        <v>113.03100000000001</v>
      </c>
      <c r="J54" s="1984">
        <f>'calcul-DCC-TX-Encais'!AS73</f>
        <v>66.456701733550531</v>
      </c>
      <c r="K54" s="1985" t="e">
        <f>'calcul-DCC-TX-Encais'!#REF!-'calcul-DCC-TX-Encais'!#REF!</f>
        <v>#REF!</v>
      </c>
      <c r="L54" s="74">
        <f>'calcul-DCC-TX-Encais'!AS27</f>
        <v>1529.4730388429998</v>
      </c>
      <c r="M54" s="1986">
        <f>'calcul-DCC-TX-Encais'!BV26</f>
        <v>21.58</v>
      </c>
      <c r="N54" s="1984" t="e">
        <f>'calcul-DCC-TX-Encais'!#REF!</f>
        <v>#REF!</v>
      </c>
      <c r="O54" s="1985" t="e">
        <f>'calcul-DCC-TX-Encais'!#REF!-'calcul-DCC-TX-Encais'!#REF!</f>
        <v>#REF!</v>
      </c>
      <c r="P54" s="74" t="e">
        <f>'calcul-DCC-TX-Encais'!#REF!</f>
        <v>#REF!</v>
      </c>
      <c r="Q54" s="1986">
        <f>'calcul-DCC-TX-Encais'!BW26</f>
        <v>134.61099999999999</v>
      </c>
    </row>
    <row r="55" spans="1:17">
      <c r="A55" s="1962" t="s">
        <v>884</v>
      </c>
      <c r="B55" s="1984">
        <f>'calcul-DCC-TX-Encais'!AW74</f>
        <v>72.961807126863405</v>
      </c>
      <c r="C55" s="1985">
        <f>'calcul-DCC-TX-Encais'!AW74-'calcul-DCC-TX-Encais'!K74</f>
        <v>-1.1671716315866405</v>
      </c>
      <c r="D55" s="74">
        <f>'calcul-DCC-TX-Encais'!AW28</f>
        <v>2218.5701049099926</v>
      </c>
      <c r="E55" s="1986" t="str">
        <f>'calcul-DCC-TX-Encais'!BT28</f>
        <v>Chlef</v>
      </c>
      <c r="F55" s="1984" t="e">
        <f>'calcul-DCC-TX-Encais'!#REF!</f>
        <v>#REF!</v>
      </c>
      <c r="G55" s="1985" t="e">
        <f>'calcul-DCC-TX-Encais'!#REF!-'calcul-DCC-TX-Encais'!#REF!</f>
        <v>#REF!</v>
      </c>
      <c r="H55" s="74" t="e">
        <f>'calcul-DCC-TX-Encais'!#REF!</f>
        <v>#REF!</v>
      </c>
      <c r="I55" s="1986">
        <f>'calcul-DCC-TX-Encais'!BU27</f>
        <v>1.6441710899999997</v>
      </c>
      <c r="J55" s="1984">
        <f>'calcul-DCC-TX-Encais'!AS74</f>
        <v>83.403358331511569</v>
      </c>
      <c r="K55" s="1985" t="e">
        <f>'calcul-DCC-TX-Encais'!#REF!-'calcul-DCC-TX-Encais'!#REF!</f>
        <v>#REF!</v>
      </c>
      <c r="L55" s="74">
        <f>'calcul-DCC-TX-Encais'!AS28</f>
        <v>1064.5105808300023</v>
      </c>
      <c r="M55" s="1986">
        <f>'calcul-DCC-TX-Encais'!BV27</f>
        <v>4.9398891400000142</v>
      </c>
      <c r="N55" s="1984" t="e">
        <f>'calcul-DCC-TX-Encais'!#REF!</f>
        <v>#REF!</v>
      </c>
      <c r="O55" s="1985" t="e">
        <f>'calcul-DCC-TX-Encais'!#REF!-'calcul-DCC-TX-Encais'!#REF!</f>
        <v>#REF!</v>
      </c>
      <c r="P55" s="74" t="e">
        <f>'calcul-DCC-TX-Encais'!#REF!</f>
        <v>#REF!</v>
      </c>
      <c r="Q55" s="1986">
        <f>'calcul-DCC-TX-Encais'!BW27</f>
        <v>6.5840602300000137</v>
      </c>
    </row>
    <row r="56" spans="1:17">
      <c r="A56" s="1962" t="s">
        <v>885</v>
      </c>
      <c r="B56" s="1984">
        <f>'calcul-DCC-TX-Encais'!AW75</f>
        <v>63.803405167855118</v>
      </c>
      <c r="C56" s="1985">
        <f>'calcul-DCC-TX-Encais'!AW75-'calcul-DCC-TX-Encais'!K75</f>
        <v>5.2176346164236662</v>
      </c>
      <c r="D56" s="74">
        <f>'calcul-DCC-TX-Encais'!AW29</f>
        <v>686.45822381000005</v>
      </c>
      <c r="E56" s="1986" t="str">
        <f>'calcul-DCC-TX-Encais'!BT29</f>
        <v>Tissemssilt</v>
      </c>
      <c r="F56" s="1984" t="e">
        <f>'calcul-DCC-TX-Encais'!#REF!</f>
        <v>#REF!</v>
      </c>
      <c r="G56" s="1985" t="e">
        <f>'calcul-DCC-TX-Encais'!#REF!-'calcul-DCC-TX-Encais'!#REF!</f>
        <v>#REF!</v>
      </c>
      <c r="H56" s="74" t="e">
        <f>'calcul-DCC-TX-Encais'!#REF!</f>
        <v>#REF!</v>
      </c>
      <c r="I56" s="1986">
        <f>'calcul-DCC-TX-Encais'!BU28</f>
        <v>9.259098149999744</v>
      </c>
      <c r="J56" s="1984">
        <f>'calcul-DCC-TX-Encais'!AS75</f>
        <v>78.514178511547144</v>
      </c>
      <c r="K56" s="1985" t="e">
        <f>'calcul-DCC-TX-Encais'!#REF!-'calcul-DCC-TX-Encais'!#REF!</f>
        <v>#REF!</v>
      </c>
      <c r="L56" s="74">
        <f>'calcul-DCC-TX-Encais'!AS29</f>
        <v>271.42447512000001</v>
      </c>
      <c r="M56" s="1986">
        <f>'calcul-DCC-TX-Encais'!BV28</f>
        <v>18.424450720000198</v>
      </c>
      <c r="N56" s="1984" t="e">
        <f>'calcul-DCC-TX-Encais'!#REF!</f>
        <v>#REF!</v>
      </c>
      <c r="O56" s="1985" t="e">
        <f>'calcul-DCC-TX-Encais'!#REF!-'calcul-DCC-TX-Encais'!#REF!</f>
        <v>#REF!</v>
      </c>
      <c r="P56" s="74" t="e">
        <f>'calcul-DCC-TX-Encais'!#REF!</f>
        <v>#REF!</v>
      </c>
      <c r="Q56" s="1986">
        <f>'calcul-DCC-TX-Encais'!BW28</f>
        <v>27.683548869999942</v>
      </c>
    </row>
    <row r="57" spans="1:17" ht="14.4" thickBot="1">
      <c r="A57" s="1968" t="s">
        <v>933</v>
      </c>
      <c r="B57" s="1973">
        <f>'calcul-DCC-TX-Encais'!AW76</f>
        <v>62.565551950116841</v>
      </c>
      <c r="C57" s="1970">
        <f>'calcul-DCC-TX-Encais'!AW76-'calcul-DCC-TX-Encais'!K76</f>
        <v>-4.7351708660605141</v>
      </c>
      <c r="D57" s="1983">
        <f>SUM(D47:D56)</f>
        <v>28497.511172051527</v>
      </c>
      <c r="E57" s="1971">
        <f>'calcul-DCC-TX-Encais'!BT30</f>
        <v>0</v>
      </c>
      <c r="F57" s="1973" t="e">
        <f>'calcul-DCC-TX-Encais'!#REF!</f>
        <v>#REF!</v>
      </c>
      <c r="G57" s="1970" t="e">
        <f>'calcul-DCC-TX-Encais'!#REF!-'calcul-DCC-TX-Encais'!#REF!</f>
        <v>#REF!</v>
      </c>
      <c r="H57" s="1983" t="e">
        <f>SUM(H47:H56)</f>
        <v>#REF!</v>
      </c>
      <c r="I57" s="1971">
        <f>'calcul-DCC-TX-Encais'!BU29</f>
        <v>0</v>
      </c>
      <c r="J57" s="1973">
        <f>'calcul-DCC-TX-Encais'!AS76</f>
        <v>65.843263770769667</v>
      </c>
      <c r="K57" s="1970" t="e">
        <f>'calcul-DCC-TX-Encais'!#REF!-'calcul-DCC-TX-Encais'!#REF!</f>
        <v>#REF!</v>
      </c>
      <c r="L57" s="1983">
        <f>SUM(L47:L56)</f>
        <v>21349.347418801528</v>
      </c>
      <c r="M57" s="1971">
        <f>'calcul-DCC-TX-Encais'!BV29</f>
        <v>0</v>
      </c>
      <c r="N57" s="1973" t="e">
        <f>'calcul-DCC-TX-Encais'!#REF!</f>
        <v>#REF!</v>
      </c>
      <c r="O57" s="1970" t="e">
        <f>'calcul-DCC-TX-Encais'!#REF!-'calcul-DCC-TX-Encais'!#REF!</f>
        <v>#REF!</v>
      </c>
      <c r="P57" s="1983" t="e">
        <f>SUM(P47:P56)</f>
        <v>#REF!</v>
      </c>
      <c r="Q57" s="1971">
        <f>'calcul-DCC-TX-Encais'!BW29</f>
        <v>0</v>
      </c>
    </row>
    <row r="58" spans="1:17">
      <c r="D58" s="69"/>
    </row>
    <row r="59" spans="1:17">
      <c r="D59" s="69"/>
    </row>
    <row r="62" spans="1:17" ht="12.75" hidden="1" customHeight="1"/>
  </sheetData>
  <mergeCells count="29">
    <mergeCell ref="L45:M45"/>
    <mergeCell ref="N45:O45"/>
    <mergeCell ref="P45:Q45"/>
    <mergeCell ref="B45:C45"/>
    <mergeCell ref="D45:E45"/>
    <mergeCell ref="F45:G45"/>
    <mergeCell ref="H45:I45"/>
    <mergeCell ref="J45:K45"/>
    <mergeCell ref="B22:I22"/>
    <mergeCell ref="J22:R22"/>
    <mergeCell ref="B44:E44"/>
    <mergeCell ref="F44:I44"/>
    <mergeCell ref="J44:M44"/>
    <mergeCell ref="N44:Q44"/>
    <mergeCell ref="B23:E23"/>
    <mergeCell ref="F23:I23"/>
    <mergeCell ref="J23:L23"/>
    <mergeCell ref="M23:O23"/>
    <mergeCell ref="P23:R23"/>
    <mergeCell ref="B1:P1"/>
    <mergeCell ref="B2:P2"/>
    <mergeCell ref="B3:G3"/>
    <mergeCell ref="B4:D4"/>
    <mergeCell ref="E4:G4"/>
    <mergeCell ref="N4:P4"/>
    <mergeCell ref="H3:S3"/>
    <mergeCell ref="H4:J4"/>
    <mergeCell ref="K4:M4"/>
    <mergeCell ref="Q4:S4"/>
  </mergeCells>
  <phoneticPr fontId="38" type="noConversion"/>
  <conditionalFormatting sqref="C6:C15">
    <cfRule type="iconSet" priority="50">
      <iconSet iconSet="4Rating" reverse="1">
        <cfvo type="percent" val="0"/>
        <cfvo type="percent" val="25"/>
        <cfvo type="percent" val="50"/>
        <cfvo type="percent" val="75"/>
      </iconSet>
    </cfRule>
    <cfRule type="cellIs" dxfId="111" priority="48" stopIfTrue="1" operator="lessThan">
      <formula>0</formula>
    </cfRule>
    <cfRule type="iconSet" priority="49">
      <iconSet iconSet="4Rating">
        <cfvo type="percent" val="0"/>
        <cfvo type="percent" val="25"/>
        <cfvo type="percent" val="50"/>
        <cfvo type="percent" val="75"/>
      </iconSet>
    </cfRule>
  </conditionalFormatting>
  <conditionalFormatting sqref="C47:C56">
    <cfRule type="cellIs" dxfId="110" priority="23" operator="greaterThan">
      <formula>0</formula>
    </cfRule>
    <cfRule type="cellIs" dxfId="109" priority="24" operator="lessThan">
      <formula>0</formula>
    </cfRule>
  </conditionalFormatting>
  <conditionalFormatting sqref="D6:D16">
    <cfRule type="cellIs" dxfId="108" priority="5" operator="lessThan">
      <formula>16</formula>
    </cfRule>
    <cfRule type="cellIs" dxfId="107" priority="6" operator="greaterThan">
      <formula>16</formula>
    </cfRule>
  </conditionalFormatting>
  <conditionalFormatting sqref="E47:E57">
    <cfRule type="cellIs" dxfId="106" priority="21" operator="lessThan">
      <formula>0</formula>
    </cfRule>
    <cfRule type="cellIs" dxfId="105" priority="22" operator="greaterThan">
      <formula>0</formula>
    </cfRule>
  </conditionalFormatting>
  <conditionalFormatting sqref="F6:F15">
    <cfRule type="cellIs" dxfId="104" priority="51" stopIfTrue="1" operator="lessThan">
      <formula>0</formula>
    </cfRule>
    <cfRule type="iconSet" priority="52">
      <iconSet iconSet="4Rating">
        <cfvo type="percent" val="0"/>
        <cfvo type="percent" val="25"/>
        <cfvo type="percent" val="50"/>
        <cfvo type="percent" val="75"/>
      </iconSet>
    </cfRule>
    <cfRule type="iconSet" priority="53">
      <iconSet iconSet="4Rating" reverse="1">
        <cfvo type="percent" val="0"/>
        <cfvo type="percent" val="25"/>
        <cfvo type="percent" val="50"/>
        <cfvo type="percent" val="75"/>
      </iconSet>
    </cfRule>
  </conditionalFormatting>
  <conditionalFormatting sqref="G6:G16">
    <cfRule type="cellIs" dxfId="103" priority="1" operator="lessThan">
      <formula>16</formula>
    </cfRule>
    <cfRule type="cellIs" dxfId="102" priority="2" operator="greaterThan">
      <formula>16</formula>
    </cfRule>
  </conditionalFormatting>
  <conditionalFormatting sqref="G47:G56">
    <cfRule type="cellIs" dxfId="101" priority="19" operator="greaterThan">
      <formula>0</formula>
    </cfRule>
    <cfRule type="cellIs" dxfId="100" priority="20" operator="lessThan">
      <formula>0</formula>
    </cfRule>
  </conditionalFormatting>
  <conditionalFormatting sqref="I6:I15">
    <cfRule type="iconSet" priority="41">
      <iconSet iconSet="4Rating">
        <cfvo type="percent" val="0"/>
        <cfvo type="percent" val="25"/>
        <cfvo type="percent" val="50"/>
        <cfvo type="percent" val="75"/>
      </iconSet>
    </cfRule>
    <cfRule type="cellIs" dxfId="99" priority="40" stopIfTrue="1" operator="lessThan">
      <formula>0</formula>
    </cfRule>
    <cfRule type="iconSet" priority="42">
      <iconSet iconSet="4Rating" reverse="1">
        <cfvo type="percent" val="0"/>
        <cfvo type="percent" val="25"/>
        <cfvo type="percent" val="50"/>
        <cfvo type="percent" val="75"/>
      </iconSet>
    </cfRule>
  </conditionalFormatting>
  <conditionalFormatting sqref="I47:I57">
    <cfRule type="cellIs" dxfId="98" priority="17" operator="lessThan">
      <formula>0</formula>
    </cfRule>
    <cfRule type="cellIs" dxfId="97" priority="18" operator="greaterThan">
      <formula>0</formula>
    </cfRule>
  </conditionalFormatting>
  <conditionalFormatting sqref="K25:K34">
    <cfRule type="iconSet" priority="33">
      <iconSet iconSet="4Rating" reverse="1">
        <cfvo type="percent" val="0"/>
        <cfvo type="percent" val="25"/>
        <cfvo type="percent" val="50"/>
        <cfvo type="percent" val="75"/>
      </iconSet>
    </cfRule>
    <cfRule type="iconSet" priority="32">
      <iconSet iconSet="4Rating">
        <cfvo type="percent" val="0"/>
        <cfvo type="percent" val="25"/>
        <cfvo type="percent" val="50"/>
        <cfvo type="percent" val="75"/>
      </iconSet>
    </cfRule>
  </conditionalFormatting>
  <conditionalFormatting sqref="K47:K56">
    <cfRule type="cellIs" dxfId="96" priority="15" operator="greaterThan">
      <formula>0</formula>
    </cfRule>
    <cfRule type="cellIs" dxfId="95" priority="16" operator="lessThan">
      <formula>0</formula>
    </cfRule>
  </conditionalFormatting>
  <conditionalFormatting sqref="K25:L34">
    <cfRule type="cellIs" dxfId="94" priority="28" stopIfTrue="1" operator="lessThan">
      <formula>0</formula>
    </cfRule>
  </conditionalFormatting>
  <conditionalFormatting sqref="L6:L15">
    <cfRule type="iconSet" priority="38">
      <iconSet iconSet="4Rating">
        <cfvo type="percent" val="0"/>
        <cfvo type="percent" val="25"/>
        <cfvo type="percent" val="50"/>
        <cfvo type="percent" val="75"/>
      </iconSet>
    </cfRule>
    <cfRule type="cellIs" dxfId="93" priority="37" stopIfTrue="1" operator="lessThan">
      <formula>0</formula>
    </cfRule>
    <cfRule type="iconSet" priority="39">
      <iconSet iconSet="4Rating" reverse="1">
        <cfvo type="percent" val="0"/>
        <cfvo type="percent" val="25"/>
        <cfvo type="percent" val="50"/>
        <cfvo type="percent" val="75"/>
      </iconSet>
    </cfRule>
  </conditionalFormatting>
  <conditionalFormatting sqref="L25:L34">
    <cfRule type="iconSet" priority="30">
      <iconSet iconSet="4Rating" reverse="1">
        <cfvo type="percent" val="0"/>
        <cfvo type="percent" val="25"/>
        <cfvo type="percent" val="50"/>
        <cfvo type="percent" val="75"/>
      </iconSet>
    </cfRule>
    <cfRule type="iconSet" priority="29">
      <iconSet iconSet="4Rating">
        <cfvo type="percent" val="0"/>
        <cfvo type="percent" val="25"/>
        <cfvo type="percent" val="50"/>
        <cfvo type="percent" val="75"/>
      </iconSet>
    </cfRule>
  </conditionalFormatting>
  <conditionalFormatting sqref="M47:M57">
    <cfRule type="cellIs" dxfId="92" priority="13" operator="lessThan">
      <formula>0</formula>
    </cfRule>
    <cfRule type="cellIs" dxfId="91" priority="14" operator="greaterThan">
      <formula>0</formula>
    </cfRule>
  </conditionalFormatting>
  <conditionalFormatting sqref="N25:N34">
    <cfRule type="iconSet" priority="54">
      <iconSet iconSet="4Rating">
        <cfvo type="percent" val="0"/>
        <cfvo type="percent" val="25"/>
        <cfvo type="percent" val="50"/>
        <cfvo type="percent" val="75"/>
      </iconSet>
    </cfRule>
    <cfRule type="iconSet" priority="55">
      <iconSet iconSet="4Rating" reverse="1">
        <cfvo type="percent" val="0"/>
        <cfvo type="percent" val="25"/>
        <cfvo type="percent" val="50"/>
        <cfvo type="percent" val="75"/>
      </iconSet>
    </cfRule>
  </conditionalFormatting>
  <conditionalFormatting sqref="O6:O15">
    <cfRule type="cellIs" dxfId="90" priority="8" operator="lessThan">
      <formula>0</formula>
    </cfRule>
  </conditionalFormatting>
  <conditionalFormatting sqref="O25:O34">
    <cfRule type="iconSet" priority="27">
      <iconSet iconSet="4Rating" reverse="1">
        <cfvo type="percent" val="0"/>
        <cfvo type="percent" val="25"/>
        <cfvo type="percent" val="50"/>
        <cfvo type="percent" val="75"/>
      </iconSet>
    </cfRule>
    <cfRule type="cellIs" dxfId="89" priority="25" stopIfTrue="1" operator="lessThan">
      <formula>0</formula>
    </cfRule>
    <cfRule type="iconSet" priority="26">
      <iconSet iconSet="4Rating">
        <cfvo type="percent" val="0"/>
        <cfvo type="percent" val="25"/>
        <cfvo type="percent" val="50"/>
        <cfvo type="percent" val="75"/>
      </iconSet>
    </cfRule>
  </conditionalFormatting>
  <conditionalFormatting sqref="O47:O56">
    <cfRule type="cellIs" dxfId="88" priority="12" operator="lessThan">
      <formula>0</formula>
    </cfRule>
    <cfRule type="cellIs" dxfId="87" priority="11" operator="greaterThan">
      <formula>0</formula>
    </cfRule>
  </conditionalFormatting>
  <conditionalFormatting sqref="O6:P15 Q25:R34 C25:C35 E25:E35 G25:G35 I25:I35">
    <cfRule type="cellIs" dxfId="86" priority="47" stopIfTrue="1" operator="greaterThan">
      <formula>0</formula>
    </cfRule>
  </conditionalFormatting>
  <conditionalFormatting sqref="Q25:Q34">
    <cfRule type="cellIs" dxfId="85" priority="7" operator="lessThan">
      <formula>0</formula>
    </cfRule>
  </conditionalFormatting>
  <conditionalFormatting sqref="Q47:Q57">
    <cfRule type="cellIs" dxfId="84" priority="10" operator="greaterThan">
      <formula>0</formula>
    </cfRule>
    <cfRule type="cellIs" dxfId="83" priority="9" operator="lessThan">
      <formula>0</formula>
    </cfRule>
  </conditionalFormatting>
  <conditionalFormatting sqref="R6:S15">
    <cfRule type="cellIs" dxfId="82" priority="34" stopIfTrue="1" operator="greaterThan">
      <formula>0</formula>
    </cfRule>
  </conditionalFormatting>
  <pageMargins left="0.15748031496062992" right="0.15748031496062992" top="0.78740157480314965" bottom="3.12" header="1.0236220472440944" footer="0.51181102362204722"/>
  <pageSetup paperSize="9" scale="90" orientation="landscape" horizontalDpi="4294967294" verticalDpi="4294967294" r:id="rId1"/>
  <headerFooter alignWithMargins="0">
    <oddFooter>&amp;R&amp;P</oddFooter>
  </headerFooter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sheetPr>
    <tabColor indexed="10"/>
  </sheetPr>
  <dimension ref="A1:L20"/>
  <sheetViews>
    <sheetView showGridLines="0" workbookViewId="0">
      <selection activeCell="J16" sqref="J16"/>
    </sheetView>
  </sheetViews>
  <sheetFormatPr baseColWidth="10" defaultColWidth="11.44140625" defaultRowHeight="14.1" customHeight="1"/>
  <cols>
    <col min="1" max="1" width="35.109375" style="1199" customWidth="1"/>
    <col min="2" max="2" width="13.33203125" style="1199" bestFit="1" customWidth="1"/>
    <col min="3" max="3" width="17.5546875" style="1199" customWidth="1"/>
    <col min="4" max="4" width="13.109375" style="1199" customWidth="1"/>
    <col min="5" max="5" width="13.6640625" style="1199" bestFit="1" customWidth="1"/>
    <col min="6" max="6" width="14.44140625" style="1199" customWidth="1"/>
    <col min="7" max="7" width="18.6640625" style="1199" customWidth="1"/>
    <col min="8" max="8" width="21.44140625" style="1199" customWidth="1"/>
    <col min="9" max="10" width="11.44140625" style="1199"/>
    <col min="11" max="11" width="11.88671875" style="1199" customWidth="1"/>
    <col min="12" max="16384" width="11.44140625" style="1199"/>
  </cols>
  <sheetData>
    <row r="1" spans="1:12" ht="15" customHeight="1">
      <c r="C1" s="1287"/>
      <c r="D1" s="1288" t="s">
        <v>855</v>
      </c>
      <c r="E1" s="1287"/>
    </row>
    <row r="2" spans="1:12" ht="15.75" customHeight="1">
      <c r="C2" s="1287"/>
      <c r="D2" s="1289" t="s">
        <v>543</v>
      </c>
      <c r="E2" s="1287"/>
      <c r="H2" s="1290"/>
    </row>
    <row r="3" spans="1:12" ht="6" customHeight="1">
      <c r="B3" s="1291"/>
      <c r="C3" s="1291"/>
      <c r="D3" s="1291"/>
      <c r="E3" s="1291"/>
      <c r="F3" s="1285"/>
      <c r="G3" s="1292"/>
      <c r="H3" s="1285"/>
    </row>
    <row r="4" spans="1:12" ht="11.25" customHeight="1">
      <c r="A4" s="1293"/>
      <c r="B4" s="1291"/>
      <c r="C4" s="1291"/>
      <c r="D4" s="1291"/>
      <c r="E4" s="1291"/>
      <c r="F4" s="1285"/>
      <c r="G4" s="1292"/>
      <c r="H4" s="1285"/>
    </row>
    <row r="5" spans="1:12" ht="21" customHeight="1">
      <c r="A5" s="1300" t="s">
        <v>710</v>
      </c>
      <c r="B5" s="1291"/>
      <c r="C5" s="1291"/>
      <c r="D5" s="1291"/>
      <c r="E5" s="1291"/>
      <c r="F5" s="1286"/>
      <c r="G5" s="1292"/>
      <c r="H5" s="1286"/>
    </row>
    <row r="6" spans="1:12" ht="21.75" customHeight="1">
      <c r="A6" s="1298"/>
      <c r="B6" s="1291"/>
      <c r="C6" s="1291"/>
      <c r="D6" s="1291"/>
      <c r="E6" s="1291"/>
      <c r="F6" s="1286"/>
      <c r="G6" s="1292"/>
      <c r="H6" s="1286"/>
    </row>
    <row r="7" spans="1:12" s="1200" customFormat="1" ht="23.25" customHeight="1">
      <c r="A7" s="2800" t="s">
        <v>544</v>
      </c>
      <c r="B7" s="2800"/>
      <c r="C7" s="2338" t="s">
        <v>545</v>
      </c>
      <c r="D7" s="2800" t="s">
        <v>546</v>
      </c>
      <c r="E7" s="2800"/>
      <c r="F7" s="2338" t="s">
        <v>547</v>
      </c>
      <c r="G7" s="2338" t="s">
        <v>548</v>
      </c>
    </row>
    <row r="8" spans="1:12" s="1200" customFormat="1" ht="23.25" customHeight="1">
      <c r="A8" s="2809"/>
      <c r="B8" s="2810"/>
      <c r="C8" s="1301"/>
      <c r="D8" s="1466"/>
      <c r="E8" s="1467"/>
      <c r="F8" s="1301"/>
      <c r="G8" s="1302"/>
    </row>
    <row r="9" spans="1:12" ht="27.75" customHeight="1">
      <c r="A9" s="2813"/>
      <c r="B9" s="2814"/>
      <c r="C9" s="1301"/>
      <c r="D9" s="1466"/>
      <c r="E9" s="1303"/>
      <c r="F9" s="1301"/>
      <c r="G9" s="1302"/>
      <c r="K9" s="1299"/>
    </row>
    <row r="10" spans="1:12" ht="27.75" customHeight="1">
      <c r="A10" s="1304" t="s">
        <v>549</v>
      </c>
      <c r="B10" s="1305"/>
      <c r="C10" s="1200"/>
      <c r="D10" s="1200"/>
      <c r="E10" s="1306"/>
      <c r="F10" s="1200"/>
      <c r="G10" s="1307"/>
      <c r="K10" s="1299"/>
    </row>
    <row r="11" spans="1:12" s="1200" customFormat="1" ht="27.6">
      <c r="A11" s="2801" t="s">
        <v>544</v>
      </c>
      <c r="B11" s="2802"/>
      <c r="C11" s="2338" t="s">
        <v>550</v>
      </c>
      <c r="D11" s="2800" t="s">
        <v>546</v>
      </c>
      <c r="E11" s="2800"/>
      <c r="F11" s="2338" t="s">
        <v>547</v>
      </c>
      <c r="G11" s="2338" t="s">
        <v>548</v>
      </c>
      <c r="H11" s="2338" t="s">
        <v>707</v>
      </c>
    </row>
    <row r="12" spans="1:12" s="1200" customFormat="1" ht="21" customHeight="1">
      <c r="A12" s="2809" t="s">
        <v>1212</v>
      </c>
      <c r="B12" s="2810"/>
      <c r="C12" s="1301">
        <v>75000</v>
      </c>
      <c r="D12" s="2811" t="s">
        <v>1214</v>
      </c>
      <c r="E12" s="2812"/>
      <c r="F12" s="1301" t="s">
        <v>1183</v>
      </c>
      <c r="G12" s="1456"/>
      <c r="H12" s="1902">
        <v>45474</v>
      </c>
    </row>
    <row r="13" spans="1:12" ht="15" customHeight="1">
      <c r="A13" s="1308"/>
      <c r="B13" s="1308"/>
      <c r="C13" s="1309"/>
      <c r="D13" s="1306"/>
      <c r="E13" s="1306"/>
      <c r="F13" s="1306"/>
      <c r="G13" s="1299"/>
      <c r="H13" s="1299"/>
      <c r="L13" s="1299"/>
    </row>
    <row r="14" spans="1:12" ht="14.1" customHeight="1">
      <c r="A14" s="1304" t="s">
        <v>706</v>
      </c>
      <c r="B14" s="1291"/>
      <c r="C14" s="1291"/>
      <c r="D14" s="1291"/>
      <c r="E14" s="1291"/>
      <c r="F14" s="1286"/>
      <c r="G14" s="1292"/>
      <c r="H14" s="1286"/>
      <c r="I14" s="1310"/>
      <c r="J14" s="1310"/>
      <c r="K14" s="1311"/>
    </row>
    <row r="15" spans="1:12" ht="14.1" customHeight="1">
      <c r="A15" s="2800" t="s">
        <v>544</v>
      </c>
      <c r="B15" s="2800"/>
      <c r="C15" s="2338" t="s">
        <v>663</v>
      </c>
      <c r="D15" s="2801" t="s">
        <v>546</v>
      </c>
      <c r="E15" s="2802"/>
      <c r="F15" s="2338" t="s">
        <v>547</v>
      </c>
      <c r="G15" s="2338" t="s">
        <v>640</v>
      </c>
      <c r="H15" s="1200"/>
      <c r="I15" s="1310">
        <v>151</v>
      </c>
      <c r="J15" s="1310"/>
      <c r="K15" s="1311"/>
    </row>
    <row r="16" spans="1:12" ht="14.1" customHeight="1">
      <c r="A16" s="2809"/>
      <c r="B16" s="2810"/>
      <c r="C16" s="1294"/>
      <c r="D16" s="1295"/>
      <c r="E16" s="1296"/>
      <c r="F16" s="1294"/>
      <c r="G16" s="1297"/>
      <c r="H16" s="1200"/>
      <c r="I16" s="1310"/>
      <c r="J16" s="1310"/>
      <c r="K16" s="1311"/>
    </row>
    <row r="17" spans="1:11" ht="14.1" customHeight="1">
      <c r="A17" s="1304" t="s">
        <v>639</v>
      </c>
      <c r="B17" s="1291"/>
      <c r="C17" s="1291"/>
      <c r="D17" s="1291"/>
      <c r="E17" s="1291"/>
      <c r="F17" s="1286"/>
      <c r="G17" s="1292"/>
      <c r="H17" s="1286"/>
      <c r="I17" s="1311"/>
      <c r="J17" s="1311"/>
      <c r="K17" s="1311"/>
    </row>
    <row r="18" spans="1:11" ht="14.1" customHeight="1">
      <c r="A18" s="2800" t="s">
        <v>544</v>
      </c>
      <c r="B18" s="2800"/>
      <c r="C18" s="2338" t="s">
        <v>550</v>
      </c>
      <c r="D18" s="2800" t="s">
        <v>546</v>
      </c>
      <c r="E18" s="2800"/>
      <c r="F18" s="2338" t="s">
        <v>547</v>
      </c>
      <c r="G18" s="2339" t="s">
        <v>709</v>
      </c>
      <c r="H18" s="2339" t="s">
        <v>664</v>
      </c>
      <c r="I18" s="1311"/>
      <c r="J18" s="1311"/>
      <c r="K18" s="1311"/>
    </row>
    <row r="19" spans="1:11" ht="14.1" customHeight="1">
      <c r="A19" s="2807" t="s">
        <v>1182</v>
      </c>
      <c r="B19" s="2808"/>
      <c r="C19" s="2337">
        <v>6500</v>
      </c>
      <c r="D19" s="2803" t="s">
        <v>399</v>
      </c>
      <c r="E19" s="2804"/>
      <c r="F19" s="2337" t="s">
        <v>1183</v>
      </c>
      <c r="G19" s="2731">
        <v>45378</v>
      </c>
      <c r="H19" s="1901" t="s">
        <v>1191</v>
      </c>
      <c r="I19" s="1311"/>
      <c r="J19" s="1311"/>
      <c r="K19" s="1311"/>
    </row>
    <row r="20" spans="1:11" ht="14.1" customHeight="1">
      <c r="A20" s="2807"/>
      <c r="B20" s="2808"/>
      <c r="C20" s="1294"/>
      <c r="D20" s="2805"/>
      <c r="E20" s="2806"/>
      <c r="F20" s="1294"/>
      <c r="G20" s="1465"/>
      <c r="H20" s="1377"/>
      <c r="I20" s="1311"/>
      <c r="J20" s="1311"/>
      <c r="K20" s="1311"/>
    </row>
  </sheetData>
  <mergeCells count="17">
    <mergeCell ref="A12:B12"/>
    <mergeCell ref="D12:E12"/>
    <mergeCell ref="A7:B7"/>
    <mergeCell ref="D7:E7"/>
    <mergeCell ref="A8:B8"/>
    <mergeCell ref="A9:B9"/>
    <mergeCell ref="A11:B11"/>
    <mergeCell ref="D11:E11"/>
    <mergeCell ref="A15:B15"/>
    <mergeCell ref="D15:E15"/>
    <mergeCell ref="D19:E19"/>
    <mergeCell ref="D20:E20"/>
    <mergeCell ref="A20:B20"/>
    <mergeCell ref="A16:B16"/>
    <mergeCell ref="A18:B18"/>
    <mergeCell ref="D18:E18"/>
    <mergeCell ref="A19:B19"/>
  </mergeCells>
  <pageMargins left="0.52" right="0.24" top="0.64" bottom="0.27" header="0.61" footer="0.19"/>
  <pageSetup paperSize="9" scale="81" orientation="portrait" r:id="rId1"/>
  <headerFooter alignWithMargins="0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sheetPr>
    <tabColor theme="3" tint="0.79998168889431442"/>
  </sheetPr>
  <dimension ref="A1:DX187"/>
  <sheetViews>
    <sheetView showGridLines="0" topLeftCell="A67" zoomScale="62" zoomScaleNormal="62" zoomScaleSheetLayoutView="70" workbookViewId="0">
      <pane xSplit="1" topLeftCell="B1" activePane="topRight" state="frozen"/>
      <selection activeCell="A94" sqref="A94"/>
      <selection pane="topRight" activeCell="G187" sqref="G187"/>
    </sheetView>
  </sheetViews>
  <sheetFormatPr baseColWidth="10" defaultColWidth="11.44140625" defaultRowHeight="13.8"/>
  <cols>
    <col min="1" max="1" width="16.33203125" style="117" customWidth="1"/>
    <col min="2" max="3" width="14.44140625" style="117" customWidth="1"/>
    <col min="4" max="4" width="14.6640625" style="117" customWidth="1"/>
    <col min="5" max="5" width="12.109375" style="117" customWidth="1"/>
    <col min="6" max="6" width="15.5546875" style="117" customWidth="1"/>
    <col min="7" max="7" width="11.44140625" style="117" customWidth="1"/>
    <col min="8" max="8" width="16" style="117" customWidth="1"/>
    <col min="9" max="9" width="14.44140625" style="117" customWidth="1"/>
    <col min="10" max="10" width="12.88671875" style="117" customWidth="1"/>
    <col min="11" max="11" width="11.44140625" style="117" customWidth="1"/>
    <col min="12" max="12" width="15.88671875" style="117" customWidth="1"/>
    <col min="13" max="13" width="15.109375" style="117" customWidth="1"/>
    <col min="14" max="14" width="13.109375" style="117" customWidth="1"/>
    <col min="15" max="15" width="16.109375" style="117" customWidth="1"/>
    <col min="16" max="16" width="14.33203125" style="117" customWidth="1"/>
    <col min="17" max="17" width="12.5546875" style="117" customWidth="1"/>
    <col min="18" max="18" width="13.44140625" style="117" hidden="1" customWidth="1"/>
    <col min="19" max="19" width="11.44140625" style="117" hidden="1" customWidth="1"/>
    <col min="20" max="20" width="17.44140625" style="117" hidden="1" customWidth="1"/>
    <col min="21" max="21" width="13.109375" style="117" hidden="1" customWidth="1"/>
    <col min="22" max="22" width="16.109375" style="1091" hidden="1" customWidth="1"/>
    <col min="23" max="23" width="12.109375" style="117" hidden="1" customWidth="1"/>
    <col min="24" max="24" width="17.44140625" style="117" hidden="1" customWidth="1"/>
    <col min="25" max="25" width="12.109375" style="117" hidden="1" customWidth="1"/>
    <col min="26" max="26" width="25.44140625" style="117" customWidth="1"/>
    <col min="27" max="27" width="17.33203125" style="117" customWidth="1"/>
    <col min="28" max="28" width="10.6640625" style="117" customWidth="1"/>
    <col min="29" max="29" width="12.6640625" style="117" customWidth="1"/>
    <col min="30" max="30" width="10.6640625" style="117" customWidth="1"/>
    <col min="31" max="31" width="11.88671875" style="117" bestFit="1" customWidth="1"/>
    <col min="32" max="32" width="11.5546875" style="117" bestFit="1" customWidth="1"/>
    <col min="33" max="16384" width="11.44140625" style="117"/>
  </cols>
  <sheetData>
    <row r="1" spans="1:35" ht="18">
      <c r="A1" s="486" t="s">
        <v>84</v>
      </c>
      <c r="B1" s="487"/>
      <c r="C1" s="487"/>
      <c r="D1" s="487"/>
      <c r="E1" s="487"/>
      <c r="F1" s="487"/>
      <c r="G1" s="487"/>
      <c r="H1" s="487"/>
      <c r="I1" s="487"/>
    </row>
    <row r="2" spans="1:35" ht="18.600000000000001" thickBot="1">
      <c r="A2" s="489">
        <v>2023</v>
      </c>
      <c r="B2" s="487"/>
      <c r="C2" s="487"/>
      <c r="D2" s="623"/>
      <c r="E2" s="487"/>
      <c r="F2" s="487"/>
      <c r="G2" s="487"/>
      <c r="H2" s="487"/>
      <c r="I2" s="487"/>
    </row>
    <row r="3" spans="1:35">
      <c r="A3" s="2834" t="s">
        <v>308</v>
      </c>
      <c r="B3" s="2827" t="s">
        <v>71</v>
      </c>
      <c r="C3" s="2828"/>
      <c r="D3" s="2829" t="s">
        <v>72</v>
      </c>
      <c r="E3" s="2830"/>
      <c r="F3" s="2817" t="s">
        <v>73</v>
      </c>
      <c r="G3" s="2818"/>
      <c r="H3" s="2819" t="s">
        <v>74</v>
      </c>
      <c r="I3" s="2820"/>
      <c r="J3" s="2821" t="s">
        <v>75</v>
      </c>
      <c r="K3" s="2822"/>
      <c r="L3" s="2823" t="s">
        <v>76</v>
      </c>
      <c r="M3" s="2824"/>
      <c r="N3" s="2827" t="s">
        <v>77</v>
      </c>
      <c r="O3" s="2828"/>
      <c r="P3" s="2829" t="s">
        <v>78</v>
      </c>
      <c r="Q3" s="2830"/>
      <c r="R3" s="2817" t="s">
        <v>79</v>
      </c>
      <c r="S3" s="2818"/>
      <c r="T3" s="2819" t="s">
        <v>80</v>
      </c>
      <c r="U3" s="2820"/>
      <c r="V3" s="2821" t="s">
        <v>81</v>
      </c>
      <c r="W3" s="2822"/>
      <c r="X3" s="2823" t="s">
        <v>82</v>
      </c>
      <c r="Y3" s="2824"/>
      <c r="AE3" s="396">
        <v>44896</v>
      </c>
    </row>
    <row r="4" spans="1:35">
      <c r="A4" s="2835"/>
      <c r="B4" s="402" t="s">
        <v>198</v>
      </c>
      <c r="C4" s="403" t="s">
        <v>199</v>
      </c>
      <c r="D4" s="402" t="s">
        <v>198</v>
      </c>
      <c r="E4" s="403" t="s">
        <v>199</v>
      </c>
      <c r="F4" s="402" t="s">
        <v>198</v>
      </c>
      <c r="G4" s="403" t="s">
        <v>199</v>
      </c>
      <c r="H4" s="402" t="s">
        <v>198</v>
      </c>
      <c r="I4" s="403" t="s">
        <v>199</v>
      </c>
      <c r="J4" s="402" t="s">
        <v>198</v>
      </c>
      <c r="K4" s="403" t="s">
        <v>199</v>
      </c>
      <c r="L4" s="402" t="s">
        <v>198</v>
      </c>
      <c r="M4" s="403" t="s">
        <v>199</v>
      </c>
      <c r="N4" s="402" t="s">
        <v>198</v>
      </c>
      <c r="O4" s="403" t="s">
        <v>199</v>
      </c>
      <c r="P4" s="402" t="s">
        <v>198</v>
      </c>
      <c r="Q4" s="403" t="s">
        <v>199</v>
      </c>
      <c r="R4" s="402" t="s">
        <v>198</v>
      </c>
      <c r="S4" s="403" t="s">
        <v>199</v>
      </c>
      <c r="T4" s="402" t="s">
        <v>198</v>
      </c>
      <c r="U4" s="403" t="s">
        <v>199</v>
      </c>
      <c r="V4" s="1107" t="s">
        <v>198</v>
      </c>
      <c r="W4" s="403" t="s">
        <v>199</v>
      </c>
      <c r="X4" s="402" t="s">
        <v>198</v>
      </c>
      <c r="Y4" s="403" t="s">
        <v>199</v>
      </c>
      <c r="AA4" s="117" t="s">
        <v>198</v>
      </c>
      <c r="AB4" s="117" t="s">
        <v>199</v>
      </c>
      <c r="AE4" s="117" t="s">
        <v>198</v>
      </c>
      <c r="AF4" s="117" t="s">
        <v>199</v>
      </c>
    </row>
    <row r="5" spans="1:35">
      <c r="A5" s="397" t="s">
        <v>6</v>
      </c>
      <c r="B5" s="398">
        <v>4</v>
      </c>
      <c r="C5" s="399">
        <v>6</v>
      </c>
      <c r="D5" s="398">
        <v>4</v>
      </c>
      <c r="E5" s="399">
        <v>6</v>
      </c>
      <c r="F5" s="405">
        <v>4</v>
      </c>
      <c r="G5" s="406">
        <v>6</v>
      </c>
      <c r="H5" s="398">
        <v>4</v>
      </c>
      <c r="I5" s="399">
        <v>6</v>
      </c>
      <c r="J5" s="398">
        <v>4</v>
      </c>
      <c r="K5" s="399">
        <v>6</v>
      </c>
      <c r="L5" s="398">
        <v>4</v>
      </c>
      <c r="M5" s="399">
        <v>6</v>
      </c>
      <c r="N5" s="398">
        <v>4</v>
      </c>
      <c r="O5" s="399">
        <v>6</v>
      </c>
      <c r="P5" s="398">
        <v>4</v>
      </c>
      <c r="Q5" s="399">
        <v>6</v>
      </c>
      <c r="R5" s="398"/>
      <c r="S5" s="399"/>
      <c r="T5" s="398"/>
      <c r="U5" s="399"/>
      <c r="V5" s="398"/>
      <c r="W5" s="399"/>
      <c r="X5" s="398"/>
      <c r="Y5" s="399"/>
      <c r="AA5" s="395">
        <f>P5</f>
        <v>4</v>
      </c>
      <c r="AB5" s="395">
        <f>Q5</f>
        <v>6</v>
      </c>
      <c r="AC5" s="395"/>
      <c r="AD5" s="397" t="s">
        <v>6</v>
      </c>
      <c r="AE5" s="398">
        <v>4</v>
      </c>
      <c r="AF5" s="399">
        <v>6</v>
      </c>
      <c r="AH5" s="395"/>
      <c r="AI5" s="395"/>
    </row>
    <row r="6" spans="1:35">
      <c r="A6" s="397" t="s">
        <v>7</v>
      </c>
      <c r="B6" s="398">
        <v>4</v>
      </c>
      <c r="C6" s="399">
        <v>9</v>
      </c>
      <c r="D6" s="398">
        <v>4</v>
      </c>
      <c r="E6" s="399">
        <v>9</v>
      </c>
      <c r="F6" s="398">
        <v>4</v>
      </c>
      <c r="G6" s="399">
        <v>9</v>
      </c>
      <c r="H6" s="398">
        <v>4</v>
      </c>
      <c r="I6" s="399">
        <v>9</v>
      </c>
      <c r="J6" s="398">
        <v>4</v>
      </c>
      <c r="K6" s="399">
        <v>9</v>
      </c>
      <c r="L6" s="398">
        <v>4</v>
      </c>
      <c r="M6" s="399">
        <v>9</v>
      </c>
      <c r="N6" s="398">
        <v>4</v>
      </c>
      <c r="O6" s="399">
        <v>9</v>
      </c>
      <c r="P6" s="398">
        <v>4</v>
      </c>
      <c r="Q6" s="399">
        <v>9</v>
      </c>
      <c r="R6" s="398"/>
      <c r="S6" s="399"/>
      <c r="T6" s="398"/>
      <c r="U6" s="399"/>
      <c r="V6" s="398"/>
      <c r="W6" s="399"/>
      <c r="X6" s="398"/>
      <c r="Y6" s="399"/>
      <c r="AA6" s="395">
        <f t="shared" ref="AA6:AA15" si="0">P6</f>
        <v>4</v>
      </c>
      <c r="AB6" s="395">
        <f t="shared" ref="AB6:AB15" si="1">Q6</f>
        <v>9</v>
      </c>
      <c r="AD6" s="397" t="s">
        <v>7</v>
      </c>
      <c r="AE6" s="398">
        <v>4</v>
      </c>
      <c r="AF6" s="399">
        <v>9</v>
      </c>
      <c r="AH6" s="395"/>
      <c r="AI6" s="395"/>
    </row>
    <row r="7" spans="1:35">
      <c r="A7" s="397" t="s">
        <v>8</v>
      </c>
      <c r="B7" s="398">
        <v>2</v>
      </c>
      <c r="C7" s="399">
        <v>3</v>
      </c>
      <c r="D7" s="398">
        <v>2</v>
      </c>
      <c r="E7" s="399">
        <v>3</v>
      </c>
      <c r="F7" s="409">
        <v>2</v>
      </c>
      <c r="G7" s="410">
        <v>3</v>
      </c>
      <c r="H7" s="398">
        <v>2</v>
      </c>
      <c r="I7" s="399">
        <v>3</v>
      </c>
      <c r="J7" s="398">
        <v>2</v>
      </c>
      <c r="K7" s="399">
        <v>3</v>
      </c>
      <c r="L7" s="398">
        <v>2</v>
      </c>
      <c r="M7" s="399">
        <v>3</v>
      </c>
      <c r="N7" s="398">
        <v>2</v>
      </c>
      <c r="O7" s="399">
        <v>3</v>
      </c>
      <c r="P7" s="398">
        <v>2</v>
      </c>
      <c r="Q7" s="399">
        <v>3</v>
      </c>
      <c r="R7" s="398"/>
      <c r="S7" s="399"/>
      <c r="T7" s="398"/>
      <c r="U7" s="399"/>
      <c r="V7" s="398"/>
      <c r="W7" s="399"/>
      <c r="X7" s="398"/>
      <c r="Y7" s="399"/>
      <c r="AA7" s="395">
        <f t="shared" si="0"/>
        <v>2</v>
      </c>
      <c r="AB7" s="395">
        <f t="shared" si="1"/>
        <v>3</v>
      </c>
      <c r="AD7" s="397" t="s">
        <v>8</v>
      </c>
      <c r="AE7" s="398">
        <v>2</v>
      </c>
      <c r="AF7" s="399">
        <v>3</v>
      </c>
      <c r="AH7" s="395"/>
      <c r="AI7" s="395"/>
    </row>
    <row r="8" spans="1:35">
      <c r="A8" s="397" t="s">
        <v>4</v>
      </c>
      <c r="B8" s="398">
        <v>3</v>
      </c>
      <c r="C8" s="399">
        <v>8</v>
      </c>
      <c r="D8" s="398">
        <v>3</v>
      </c>
      <c r="E8" s="399">
        <v>8</v>
      </c>
      <c r="F8" s="409">
        <v>3</v>
      </c>
      <c r="G8" s="410">
        <v>8</v>
      </c>
      <c r="H8" s="398">
        <v>3</v>
      </c>
      <c r="I8" s="399">
        <v>8</v>
      </c>
      <c r="J8" s="398">
        <v>3</v>
      </c>
      <c r="K8" s="399">
        <v>8</v>
      </c>
      <c r="L8" s="398">
        <v>3</v>
      </c>
      <c r="M8" s="399">
        <v>8</v>
      </c>
      <c r="N8" s="416">
        <v>3</v>
      </c>
      <c r="O8" s="416">
        <v>8</v>
      </c>
      <c r="P8" s="398">
        <v>3</v>
      </c>
      <c r="Q8" s="399">
        <v>8</v>
      </c>
      <c r="R8" s="398"/>
      <c r="S8" s="399"/>
      <c r="T8" s="398"/>
      <c r="U8" s="399"/>
      <c r="V8" s="398"/>
      <c r="W8" s="399"/>
      <c r="X8" s="398"/>
      <c r="Y8" s="399"/>
      <c r="AA8" s="395">
        <f t="shared" si="0"/>
        <v>3</v>
      </c>
      <c r="AB8" s="395">
        <f t="shared" si="1"/>
        <v>8</v>
      </c>
      <c r="AD8" s="397" t="s">
        <v>4</v>
      </c>
      <c r="AE8" s="398">
        <v>3</v>
      </c>
      <c r="AF8" s="399">
        <v>8</v>
      </c>
      <c r="AH8" s="395"/>
      <c r="AI8" s="395"/>
    </row>
    <row r="9" spans="1:35">
      <c r="A9" s="397" t="s">
        <v>3</v>
      </c>
      <c r="B9" s="398">
        <v>0</v>
      </c>
      <c r="C9" s="399">
        <v>2</v>
      </c>
      <c r="D9" s="398">
        <v>0</v>
      </c>
      <c r="E9" s="399">
        <v>2</v>
      </c>
      <c r="F9" s="405">
        <v>0</v>
      </c>
      <c r="G9" s="406">
        <v>2</v>
      </c>
      <c r="H9" s="398">
        <v>0</v>
      </c>
      <c r="I9" s="399">
        <v>2</v>
      </c>
      <c r="J9" s="398">
        <v>0</v>
      </c>
      <c r="K9" s="399">
        <v>2</v>
      </c>
      <c r="L9" s="398">
        <v>0</v>
      </c>
      <c r="M9" s="399">
        <v>2</v>
      </c>
      <c r="N9" s="398">
        <v>0</v>
      </c>
      <c r="O9" s="399">
        <v>2</v>
      </c>
      <c r="P9" s="398">
        <v>0</v>
      </c>
      <c r="Q9" s="399">
        <v>2</v>
      </c>
      <c r="R9" s="398"/>
      <c r="S9" s="399"/>
      <c r="T9" s="398"/>
      <c r="U9" s="399"/>
      <c r="V9" s="398"/>
      <c r="W9" s="399"/>
      <c r="X9" s="398"/>
      <c r="Y9" s="399"/>
      <c r="AA9" s="395">
        <f t="shared" si="0"/>
        <v>0</v>
      </c>
      <c r="AB9" s="395">
        <f t="shared" si="1"/>
        <v>2</v>
      </c>
      <c r="AD9" s="397" t="s">
        <v>3</v>
      </c>
      <c r="AE9" s="398">
        <v>0</v>
      </c>
      <c r="AF9" s="399">
        <v>2</v>
      </c>
      <c r="AH9" s="395"/>
      <c r="AI9" s="395"/>
    </row>
    <row r="10" spans="1:35">
      <c r="A10" s="397" t="s">
        <v>397</v>
      </c>
      <c r="B10" s="398">
        <v>2</v>
      </c>
      <c r="C10" s="399">
        <v>4</v>
      </c>
      <c r="D10" s="398">
        <v>2</v>
      </c>
      <c r="E10" s="399">
        <v>4</v>
      </c>
      <c r="F10" s="411">
        <v>2</v>
      </c>
      <c r="G10" s="410">
        <v>4</v>
      </c>
      <c r="H10" s="398">
        <v>2</v>
      </c>
      <c r="I10" s="399">
        <v>4</v>
      </c>
      <c r="J10" s="398">
        <v>2</v>
      </c>
      <c r="K10" s="399">
        <v>4</v>
      </c>
      <c r="L10" s="398">
        <v>2</v>
      </c>
      <c r="M10" s="399">
        <v>4</v>
      </c>
      <c r="N10" s="398">
        <v>2</v>
      </c>
      <c r="O10" s="399">
        <v>4</v>
      </c>
      <c r="P10" s="398">
        <v>2</v>
      </c>
      <c r="Q10" s="399">
        <v>3</v>
      </c>
      <c r="R10" s="398"/>
      <c r="S10" s="399"/>
      <c r="T10" s="398"/>
      <c r="U10" s="399"/>
      <c r="V10" s="398"/>
      <c r="W10" s="399"/>
      <c r="X10" s="398"/>
      <c r="Y10" s="399"/>
      <c r="AA10" s="395">
        <f t="shared" si="0"/>
        <v>2</v>
      </c>
      <c r="AB10" s="395">
        <f t="shared" si="1"/>
        <v>3</v>
      </c>
      <c r="AD10" s="397" t="s">
        <v>397</v>
      </c>
      <c r="AE10" s="398">
        <v>2</v>
      </c>
      <c r="AF10" s="399">
        <v>4</v>
      </c>
      <c r="AH10" s="395"/>
      <c r="AI10" s="395"/>
    </row>
    <row r="11" spans="1:35" ht="14.4" thickBot="1">
      <c r="A11" s="397" t="s">
        <v>399</v>
      </c>
      <c r="B11" s="398">
        <v>3</v>
      </c>
      <c r="C11" s="399">
        <v>17</v>
      </c>
      <c r="D11" s="398">
        <v>3</v>
      </c>
      <c r="E11" s="399">
        <v>17</v>
      </c>
      <c r="F11" s="409">
        <v>3</v>
      </c>
      <c r="G11" s="410">
        <v>17</v>
      </c>
      <c r="H11" s="398">
        <v>3</v>
      </c>
      <c r="I11" s="399">
        <v>17</v>
      </c>
      <c r="J11" s="398">
        <v>3</v>
      </c>
      <c r="K11" s="399">
        <v>17</v>
      </c>
      <c r="L11" s="398">
        <v>3</v>
      </c>
      <c r="M11" s="399">
        <v>17</v>
      </c>
      <c r="N11" s="398">
        <v>3</v>
      </c>
      <c r="O11" s="399">
        <v>17</v>
      </c>
      <c r="P11" s="398">
        <v>3</v>
      </c>
      <c r="Q11" s="399">
        <v>17</v>
      </c>
      <c r="R11" s="398"/>
      <c r="S11" s="399"/>
      <c r="T11" s="398"/>
      <c r="U11" s="399"/>
      <c r="V11" s="398"/>
      <c r="W11" s="399"/>
      <c r="X11" s="398"/>
      <c r="Y11" s="399"/>
      <c r="AA11" s="395">
        <f t="shared" si="0"/>
        <v>3</v>
      </c>
      <c r="AB11" s="395">
        <f t="shared" si="1"/>
        <v>17</v>
      </c>
      <c r="AD11" s="397" t="s">
        <v>399</v>
      </c>
      <c r="AE11" s="398">
        <v>3</v>
      </c>
      <c r="AF11" s="399">
        <v>17</v>
      </c>
      <c r="AH11" s="395"/>
      <c r="AI11" s="395"/>
    </row>
    <row r="12" spans="1:35">
      <c r="A12" s="397" t="s">
        <v>883</v>
      </c>
      <c r="B12" s="398">
        <v>1</v>
      </c>
      <c r="C12" s="399">
        <v>9</v>
      </c>
      <c r="D12" s="398">
        <v>1</v>
      </c>
      <c r="E12" s="399">
        <v>9</v>
      </c>
      <c r="F12" s="409">
        <v>1</v>
      </c>
      <c r="G12" s="413">
        <v>9</v>
      </c>
      <c r="H12" s="415">
        <v>1</v>
      </c>
      <c r="I12" s="416">
        <v>9</v>
      </c>
      <c r="J12" s="398">
        <v>1</v>
      </c>
      <c r="K12" s="399">
        <v>9</v>
      </c>
      <c r="L12" s="398">
        <v>1</v>
      </c>
      <c r="M12" s="399">
        <v>9</v>
      </c>
      <c r="N12" s="398">
        <v>1</v>
      </c>
      <c r="O12" s="399">
        <v>9</v>
      </c>
      <c r="P12" s="398">
        <v>1</v>
      </c>
      <c r="Q12" s="399">
        <v>9</v>
      </c>
      <c r="R12" s="398"/>
      <c r="S12" s="399"/>
      <c r="T12" s="398"/>
      <c r="U12" s="399"/>
      <c r="V12" s="398"/>
      <c r="W12" s="399"/>
      <c r="X12" s="398"/>
      <c r="Y12" s="399"/>
      <c r="AA12" s="395">
        <f t="shared" si="0"/>
        <v>1</v>
      </c>
      <c r="AB12" s="395">
        <f t="shared" si="1"/>
        <v>9</v>
      </c>
      <c r="AD12" s="397" t="s">
        <v>883</v>
      </c>
      <c r="AE12" s="398">
        <v>1</v>
      </c>
      <c r="AF12" s="399">
        <v>9</v>
      </c>
      <c r="AH12" s="395"/>
      <c r="AI12" s="395"/>
    </row>
    <row r="13" spans="1:35">
      <c r="A13" s="397" t="s">
        <v>884</v>
      </c>
      <c r="B13" s="398">
        <v>4</v>
      </c>
      <c r="C13" s="399">
        <v>11</v>
      </c>
      <c r="D13" s="398">
        <v>4</v>
      </c>
      <c r="E13" s="399">
        <v>11</v>
      </c>
      <c r="F13" s="398">
        <v>4</v>
      </c>
      <c r="G13" s="399">
        <v>11</v>
      </c>
      <c r="H13" s="398">
        <v>4</v>
      </c>
      <c r="I13" s="399">
        <v>11</v>
      </c>
      <c r="J13" s="398">
        <v>4</v>
      </c>
      <c r="K13" s="399">
        <v>11</v>
      </c>
      <c r="L13" s="398">
        <v>4</v>
      </c>
      <c r="M13" s="399">
        <v>11</v>
      </c>
      <c r="N13" s="398">
        <v>4</v>
      </c>
      <c r="O13" s="399">
        <v>11</v>
      </c>
      <c r="P13" s="398">
        <v>4</v>
      </c>
      <c r="Q13" s="399">
        <v>11</v>
      </c>
      <c r="R13" s="398"/>
      <c r="S13" s="399"/>
      <c r="T13" s="398"/>
      <c r="U13" s="399"/>
      <c r="V13" s="398"/>
      <c r="W13" s="399"/>
      <c r="X13" s="398"/>
      <c r="Y13" s="399"/>
      <c r="AA13" s="395">
        <f t="shared" si="0"/>
        <v>4</v>
      </c>
      <c r="AB13" s="395">
        <f t="shared" si="1"/>
        <v>11</v>
      </c>
      <c r="AD13" s="397" t="s">
        <v>884</v>
      </c>
      <c r="AE13" s="398">
        <v>4</v>
      </c>
      <c r="AF13" s="399">
        <v>11</v>
      </c>
      <c r="AH13" s="395"/>
      <c r="AI13" s="395"/>
    </row>
    <row r="14" spans="1:35" ht="14.4" thickBot="1">
      <c r="A14" s="397" t="s">
        <v>885</v>
      </c>
      <c r="B14" s="398">
        <v>0</v>
      </c>
      <c r="C14" s="399">
        <v>1</v>
      </c>
      <c r="D14" s="398">
        <v>0</v>
      </c>
      <c r="E14" s="399">
        <v>1</v>
      </c>
      <c r="F14" s="409">
        <v>0</v>
      </c>
      <c r="G14" s="410">
        <v>1</v>
      </c>
      <c r="H14" s="416">
        <v>0</v>
      </c>
      <c r="I14" s="416">
        <v>1</v>
      </c>
      <c r="J14" s="398">
        <v>0</v>
      </c>
      <c r="K14" s="399">
        <v>1</v>
      </c>
      <c r="L14" s="398">
        <v>0</v>
      </c>
      <c r="M14" s="399">
        <v>1</v>
      </c>
      <c r="N14" s="416">
        <v>0</v>
      </c>
      <c r="O14" s="416">
        <v>1</v>
      </c>
      <c r="P14" s="398">
        <v>0</v>
      </c>
      <c r="Q14" s="399">
        <v>1</v>
      </c>
      <c r="R14" s="398"/>
      <c r="S14" s="399"/>
      <c r="T14" s="398"/>
      <c r="U14" s="399"/>
      <c r="V14" s="398"/>
      <c r="W14" s="399"/>
      <c r="X14" s="398"/>
      <c r="Y14" s="399"/>
      <c r="AA14" s="395">
        <f t="shared" si="0"/>
        <v>0</v>
      </c>
      <c r="AB14" s="395">
        <f t="shared" si="1"/>
        <v>1</v>
      </c>
      <c r="AD14" s="397" t="s">
        <v>885</v>
      </c>
      <c r="AE14" s="398">
        <v>0</v>
      </c>
      <c r="AF14" s="399">
        <v>1</v>
      </c>
      <c r="AH14" s="395"/>
      <c r="AI14" s="395"/>
    </row>
    <row r="15" spans="1:35" ht="14.4" thickBot="1">
      <c r="A15" s="418" t="s">
        <v>16</v>
      </c>
      <c r="B15" s="417">
        <f t="shared" ref="B15:Y15" si="2">SUM(B5:B14)</f>
        <v>23</v>
      </c>
      <c r="C15" s="417">
        <f t="shared" si="2"/>
        <v>70</v>
      </c>
      <c r="D15" s="417">
        <f t="shared" si="2"/>
        <v>23</v>
      </c>
      <c r="E15" s="417">
        <f t="shared" si="2"/>
        <v>70</v>
      </c>
      <c r="F15" s="417">
        <f t="shared" si="2"/>
        <v>23</v>
      </c>
      <c r="G15" s="417">
        <f t="shared" si="2"/>
        <v>70</v>
      </c>
      <c r="H15" s="417">
        <f t="shared" si="2"/>
        <v>23</v>
      </c>
      <c r="I15" s="417">
        <f t="shared" si="2"/>
        <v>70</v>
      </c>
      <c r="J15" s="417">
        <f t="shared" si="2"/>
        <v>23</v>
      </c>
      <c r="K15" s="417">
        <f t="shared" si="2"/>
        <v>70</v>
      </c>
      <c r="L15" s="417">
        <f t="shared" si="2"/>
        <v>23</v>
      </c>
      <c r="M15" s="417">
        <f t="shared" si="2"/>
        <v>70</v>
      </c>
      <c r="N15" s="417">
        <f t="shared" si="2"/>
        <v>23</v>
      </c>
      <c r="O15" s="417">
        <f t="shared" si="2"/>
        <v>70</v>
      </c>
      <c r="P15" s="417">
        <f t="shared" si="2"/>
        <v>23</v>
      </c>
      <c r="Q15" s="417">
        <f t="shared" si="2"/>
        <v>69</v>
      </c>
      <c r="R15" s="417">
        <f t="shared" si="2"/>
        <v>0</v>
      </c>
      <c r="S15" s="417">
        <f t="shared" si="2"/>
        <v>0</v>
      </c>
      <c r="T15" s="417">
        <f t="shared" si="2"/>
        <v>0</v>
      </c>
      <c r="U15" s="417">
        <f t="shared" si="2"/>
        <v>0</v>
      </c>
      <c r="V15" s="417">
        <f t="shared" si="2"/>
        <v>0</v>
      </c>
      <c r="W15" s="417">
        <f t="shared" si="2"/>
        <v>0</v>
      </c>
      <c r="X15" s="417">
        <f t="shared" si="2"/>
        <v>0</v>
      </c>
      <c r="Y15" s="419">
        <f t="shared" si="2"/>
        <v>0</v>
      </c>
      <c r="AA15" s="395">
        <f t="shared" si="0"/>
        <v>23</v>
      </c>
      <c r="AB15" s="395">
        <f t="shared" si="1"/>
        <v>69</v>
      </c>
      <c r="AC15" s="395"/>
      <c r="AE15" s="398">
        <f>SUM(AE5:AE14)</f>
        <v>23</v>
      </c>
      <c r="AF15" s="399">
        <f>SUM(AF5:AF14)</f>
        <v>70</v>
      </c>
      <c r="AH15" s="395"/>
      <c r="AI15" s="395"/>
    </row>
    <row r="16" spans="1:35">
      <c r="A16" s="487"/>
      <c r="B16" s="487"/>
      <c r="C16" s="487"/>
      <c r="D16" s="487"/>
      <c r="E16" s="487"/>
      <c r="F16" s="487"/>
      <c r="G16" s="487"/>
      <c r="H16" s="487"/>
      <c r="I16" s="487"/>
      <c r="Q16" s="426" t="s">
        <v>1081</v>
      </c>
      <c r="R16" s="426" t="s">
        <v>1079</v>
      </c>
      <c r="X16" s="395"/>
      <c r="Y16" s="395"/>
      <c r="AA16" s="395"/>
    </row>
    <row r="17" spans="1:128" ht="18.600000000000001" thickBot="1">
      <c r="A17" s="489">
        <v>2024</v>
      </c>
      <c r="B17" s="487"/>
      <c r="C17" s="487"/>
      <c r="D17" s="487"/>
      <c r="E17" s="487"/>
      <c r="F17" s="487"/>
      <c r="G17" s="487"/>
      <c r="H17" s="487"/>
      <c r="I17" s="487"/>
      <c r="P17" s="395"/>
      <c r="Q17" s="395"/>
      <c r="R17" s="395"/>
      <c r="S17" s="395"/>
      <c r="T17" s="395"/>
      <c r="U17" s="395"/>
      <c r="V17" s="395"/>
      <c r="W17" s="395"/>
      <c r="X17" s="395"/>
      <c r="Y17" s="395"/>
      <c r="AE17" s="396">
        <v>45261</v>
      </c>
    </row>
    <row r="18" spans="1:128">
      <c r="A18" s="2834" t="s">
        <v>308</v>
      </c>
      <c r="B18" s="2827" t="s">
        <v>71</v>
      </c>
      <c r="C18" s="2828"/>
      <c r="D18" s="2829" t="s">
        <v>72</v>
      </c>
      <c r="E18" s="2830"/>
      <c r="F18" s="2817" t="s">
        <v>73</v>
      </c>
      <c r="G18" s="2818"/>
      <c r="H18" s="2819" t="s">
        <v>74</v>
      </c>
      <c r="I18" s="2820"/>
      <c r="J18" s="2821" t="s">
        <v>75</v>
      </c>
      <c r="K18" s="2822"/>
      <c r="L18" s="2823" t="s">
        <v>76</v>
      </c>
      <c r="M18" s="2824"/>
      <c r="N18" s="2827" t="s">
        <v>77</v>
      </c>
      <c r="O18" s="2828"/>
      <c r="P18" s="2829" t="s">
        <v>78</v>
      </c>
      <c r="Q18" s="2830"/>
      <c r="R18" s="2817" t="s">
        <v>79</v>
      </c>
      <c r="S18" s="2818"/>
      <c r="T18" s="2819" t="s">
        <v>80</v>
      </c>
      <c r="U18" s="2820"/>
      <c r="V18" s="2821" t="s">
        <v>81</v>
      </c>
      <c r="W18" s="2822"/>
      <c r="X18" s="2832" t="s">
        <v>82</v>
      </c>
      <c r="Y18" s="2833"/>
      <c r="AE18" s="625" t="s">
        <v>82</v>
      </c>
      <c r="AF18" s="626"/>
    </row>
    <row r="19" spans="1:128">
      <c r="A19" s="2835"/>
      <c r="B19" s="402" t="s">
        <v>198</v>
      </c>
      <c r="C19" s="403" t="s">
        <v>199</v>
      </c>
      <c r="D19" s="402" t="s">
        <v>198</v>
      </c>
      <c r="E19" s="403" t="s">
        <v>199</v>
      </c>
      <c r="F19" s="402" t="s">
        <v>198</v>
      </c>
      <c r="G19" s="403" t="s">
        <v>199</v>
      </c>
      <c r="H19" s="402" t="s">
        <v>198</v>
      </c>
      <c r="I19" s="403" t="s">
        <v>199</v>
      </c>
      <c r="J19" s="402" t="s">
        <v>198</v>
      </c>
      <c r="K19" s="403" t="s">
        <v>199</v>
      </c>
      <c r="L19" s="402" t="s">
        <v>198</v>
      </c>
      <c r="M19" s="403" t="s">
        <v>199</v>
      </c>
      <c r="N19" s="402" t="s">
        <v>198</v>
      </c>
      <c r="O19" s="403" t="s">
        <v>199</v>
      </c>
      <c r="P19" s="402" t="s">
        <v>198</v>
      </c>
      <c r="Q19" s="403" t="s">
        <v>199</v>
      </c>
      <c r="R19" s="402" t="s">
        <v>198</v>
      </c>
      <c r="S19" s="403" t="s">
        <v>199</v>
      </c>
      <c r="T19" s="402" t="s">
        <v>198</v>
      </c>
      <c r="U19" s="403" t="s">
        <v>199</v>
      </c>
      <c r="V19" s="1107" t="s">
        <v>198</v>
      </c>
      <c r="W19" s="403" t="s">
        <v>199</v>
      </c>
      <c r="X19" s="402" t="s">
        <v>198</v>
      </c>
      <c r="Y19" s="403" t="s">
        <v>199</v>
      </c>
      <c r="AA19" s="117" t="s">
        <v>198</v>
      </c>
      <c r="AB19" s="117" t="s">
        <v>199</v>
      </c>
      <c r="AE19" s="628" t="s">
        <v>198</v>
      </c>
      <c r="AF19" s="629" t="s">
        <v>199</v>
      </c>
    </row>
    <row r="20" spans="1:128" ht="12.75" customHeight="1">
      <c r="A20" s="397" t="s">
        <v>6</v>
      </c>
      <c r="B20" s="398">
        <v>4</v>
      </c>
      <c r="C20" s="399">
        <v>6</v>
      </c>
      <c r="D20" s="398">
        <v>4</v>
      </c>
      <c r="E20" s="399">
        <v>6</v>
      </c>
      <c r="F20" s="398">
        <v>4</v>
      </c>
      <c r="G20" s="399">
        <v>6</v>
      </c>
      <c r="H20" s="398">
        <v>4</v>
      </c>
      <c r="I20" s="399">
        <v>6</v>
      </c>
      <c r="J20" s="398">
        <v>4</v>
      </c>
      <c r="K20" s="399">
        <v>6</v>
      </c>
      <c r="L20" s="398">
        <v>4</v>
      </c>
      <c r="M20" s="399">
        <v>6</v>
      </c>
      <c r="N20" s="398">
        <v>4</v>
      </c>
      <c r="O20" s="399">
        <v>6</v>
      </c>
      <c r="P20" s="398">
        <v>4</v>
      </c>
      <c r="Q20" s="399">
        <v>6</v>
      </c>
      <c r="R20" s="398"/>
      <c r="S20" s="399"/>
      <c r="T20" s="398"/>
      <c r="U20" s="398"/>
      <c r="V20" s="1116"/>
      <c r="W20" s="399"/>
      <c r="X20" s="398"/>
      <c r="Y20" s="399"/>
      <c r="AA20" s="395">
        <f>P20</f>
        <v>4</v>
      </c>
      <c r="AB20" s="395">
        <f>Q20</f>
        <v>6</v>
      </c>
      <c r="AD20" s="397" t="s">
        <v>6</v>
      </c>
      <c r="AE20" s="398">
        <v>4</v>
      </c>
      <c r="AF20" s="399">
        <v>6</v>
      </c>
      <c r="AH20" s="395"/>
      <c r="AI20" s="395"/>
    </row>
    <row r="21" spans="1:128" s="412" customFormat="1" ht="12.75" customHeight="1">
      <c r="A21" s="397" t="s">
        <v>7</v>
      </c>
      <c r="B21" s="398">
        <v>4</v>
      </c>
      <c r="C21" s="399">
        <v>9</v>
      </c>
      <c r="D21" s="398">
        <v>4</v>
      </c>
      <c r="E21" s="399">
        <v>9</v>
      </c>
      <c r="F21" s="398">
        <v>4</v>
      </c>
      <c r="G21" s="399">
        <v>9</v>
      </c>
      <c r="H21" s="398">
        <v>4</v>
      </c>
      <c r="I21" s="399">
        <v>9</v>
      </c>
      <c r="J21" s="398">
        <v>4</v>
      </c>
      <c r="K21" s="399">
        <v>9</v>
      </c>
      <c r="L21" s="398">
        <v>4</v>
      </c>
      <c r="M21" s="399">
        <v>9</v>
      </c>
      <c r="N21" s="398">
        <v>4</v>
      </c>
      <c r="O21" s="399">
        <v>9</v>
      </c>
      <c r="P21" s="398">
        <v>4</v>
      </c>
      <c r="Q21" s="399">
        <v>9</v>
      </c>
      <c r="R21" s="398"/>
      <c r="S21" s="399"/>
      <c r="T21" s="398"/>
      <c r="U21" s="398"/>
      <c r="V21" s="1116"/>
      <c r="W21" s="399"/>
      <c r="X21" s="398"/>
      <c r="Y21" s="399"/>
      <c r="Z21" s="117"/>
      <c r="AA21" s="395">
        <f t="shared" ref="AA21:AA30" si="3">P21</f>
        <v>4</v>
      </c>
      <c r="AB21" s="117">
        <f t="shared" ref="AB21:AB30" si="4">Q21</f>
        <v>9</v>
      </c>
      <c r="AC21" s="117"/>
      <c r="AD21" s="397" t="s">
        <v>7</v>
      </c>
      <c r="AE21" s="398">
        <v>4</v>
      </c>
      <c r="AF21" s="399">
        <v>9</v>
      </c>
      <c r="AG21" s="117"/>
      <c r="AH21" s="395"/>
      <c r="AI21" s="395"/>
      <c r="AJ21" s="117"/>
      <c r="AK21" s="117"/>
      <c r="AL21" s="117"/>
      <c r="AM21" s="117"/>
      <c r="AN21" s="117"/>
      <c r="AO21" s="117"/>
      <c r="AP21" s="117"/>
      <c r="AQ21" s="117"/>
      <c r="AR21" s="117"/>
      <c r="AS21" s="117"/>
      <c r="AT21" s="117"/>
      <c r="AU21" s="117"/>
      <c r="AV21" s="117"/>
      <c r="AW21" s="117"/>
      <c r="AX21" s="117"/>
      <c r="AY21" s="117"/>
      <c r="AZ21" s="117"/>
      <c r="BA21" s="117"/>
      <c r="BB21" s="117"/>
      <c r="BC21" s="117"/>
      <c r="BD21" s="117"/>
      <c r="BE21" s="117"/>
      <c r="BF21" s="117"/>
      <c r="BG21" s="117"/>
      <c r="BH21" s="117"/>
      <c r="BI21" s="117"/>
      <c r="BJ21" s="117"/>
      <c r="BK21" s="117"/>
      <c r="BL21" s="117"/>
      <c r="BM21" s="117"/>
      <c r="BN21" s="117"/>
      <c r="BO21" s="117"/>
      <c r="BP21" s="117"/>
      <c r="BQ21" s="117"/>
      <c r="BR21" s="117"/>
      <c r="BS21" s="117"/>
      <c r="BT21" s="117"/>
      <c r="BU21" s="117"/>
      <c r="BV21" s="117"/>
      <c r="BW21" s="117"/>
      <c r="BX21" s="117"/>
      <c r="BY21" s="117"/>
      <c r="BZ21" s="117"/>
      <c r="CA21" s="117"/>
      <c r="CB21" s="117"/>
      <c r="CC21" s="117"/>
      <c r="CD21" s="117"/>
      <c r="CE21" s="117"/>
      <c r="CF21" s="117"/>
      <c r="CG21" s="117"/>
      <c r="CH21" s="117"/>
      <c r="CI21" s="117"/>
      <c r="CJ21" s="117"/>
      <c r="CK21" s="117"/>
      <c r="CL21" s="117"/>
      <c r="CM21" s="117"/>
      <c r="CN21" s="117"/>
      <c r="CO21" s="117"/>
      <c r="CP21" s="117"/>
      <c r="CQ21" s="117"/>
      <c r="CR21" s="117"/>
      <c r="CS21" s="117"/>
      <c r="CT21" s="117"/>
      <c r="CU21" s="117"/>
      <c r="CV21" s="117"/>
      <c r="CW21" s="117"/>
      <c r="CX21" s="117"/>
      <c r="CY21" s="117"/>
      <c r="CZ21" s="117"/>
      <c r="DA21" s="117"/>
      <c r="DB21" s="117"/>
      <c r="DC21" s="117"/>
      <c r="DD21" s="117"/>
      <c r="DE21" s="117"/>
      <c r="DF21" s="117"/>
      <c r="DG21" s="117"/>
      <c r="DH21" s="117"/>
      <c r="DI21" s="117"/>
      <c r="DJ21" s="117"/>
      <c r="DK21" s="117"/>
      <c r="DL21" s="117"/>
      <c r="DM21" s="117"/>
      <c r="DN21" s="117"/>
      <c r="DO21" s="117"/>
      <c r="DP21" s="117"/>
      <c r="DQ21" s="117"/>
      <c r="DR21" s="117"/>
      <c r="DS21" s="117"/>
      <c r="DT21" s="117"/>
      <c r="DU21" s="117"/>
      <c r="DV21" s="117"/>
      <c r="DW21" s="117"/>
      <c r="DX21" s="117"/>
    </row>
    <row r="22" spans="1:128">
      <c r="A22" s="397" t="s">
        <v>8</v>
      </c>
      <c r="B22" s="398">
        <v>2</v>
      </c>
      <c r="C22" s="399">
        <v>3</v>
      </c>
      <c r="D22" s="398">
        <v>2</v>
      </c>
      <c r="E22" s="399">
        <v>3</v>
      </c>
      <c r="F22" s="398">
        <v>2</v>
      </c>
      <c r="G22" s="399">
        <v>3</v>
      </c>
      <c r="H22" s="398">
        <v>2</v>
      </c>
      <c r="I22" s="399">
        <v>3</v>
      </c>
      <c r="J22" s="398">
        <v>2</v>
      </c>
      <c r="K22" s="399">
        <v>3</v>
      </c>
      <c r="L22" s="398">
        <v>2</v>
      </c>
      <c r="M22" s="399">
        <v>3</v>
      </c>
      <c r="N22" s="398">
        <v>2</v>
      </c>
      <c r="O22" s="399">
        <v>3</v>
      </c>
      <c r="P22" s="398">
        <v>2</v>
      </c>
      <c r="Q22" s="399">
        <v>3</v>
      </c>
      <c r="R22" s="398"/>
      <c r="S22" s="399"/>
      <c r="T22" s="398"/>
      <c r="U22" s="398"/>
      <c r="V22" s="1116"/>
      <c r="W22" s="399"/>
      <c r="X22" s="398"/>
      <c r="Y22" s="399"/>
      <c r="AA22" s="395">
        <f t="shared" si="3"/>
        <v>2</v>
      </c>
      <c r="AB22" s="117">
        <f t="shared" si="4"/>
        <v>3</v>
      </c>
      <c r="AD22" s="397" t="s">
        <v>8</v>
      </c>
      <c r="AE22" s="398">
        <v>2</v>
      </c>
      <c r="AF22" s="399">
        <v>3</v>
      </c>
      <c r="AH22" s="395"/>
      <c r="AI22" s="395"/>
    </row>
    <row r="23" spans="1:128">
      <c r="A23" s="397" t="s">
        <v>4</v>
      </c>
      <c r="B23" s="398">
        <v>3</v>
      </c>
      <c r="C23" s="399">
        <v>8</v>
      </c>
      <c r="D23" s="398">
        <v>3</v>
      </c>
      <c r="E23" s="399">
        <v>8</v>
      </c>
      <c r="F23" s="398">
        <v>3</v>
      </c>
      <c r="G23" s="399">
        <v>8</v>
      </c>
      <c r="H23" s="398">
        <v>3</v>
      </c>
      <c r="I23" s="399">
        <v>8</v>
      </c>
      <c r="J23" s="398">
        <v>3</v>
      </c>
      <c r="K23" s="399">
        <v>8</v>
      </c>
      <c r="L23" s="398">
        <v>3</v>
      </c>
      <c r="M23" s="399">
        <v>8</v>
      </c>
      <c r="N23" s="398">
        <v>3</v>
      </c>
      <c r="O23" s="399">
        <v>9</v>
      </c>
      <c r="P23" s="398">
        <v>3</v>
      </c>
      <c r="Q23" s="399">
        <v>9</v>
      </c>
      <c r="R23" s="398"/>
      <c r="S23" s="399"/>
      <c r="T23" s="398"/>
      <c r="U23" s="398"/>
      <c r="V23" s="1116"/>
      <c r="W23" s="399"/>
      <c r="X23" s="398"/>
      <c r="Y23" s="399"/>
      <c r="AA23" s="395">
        <f t="shared" si="3"/>
        <v>3</v>
      </c>
      <c r="AB23" s="117">
        <f t="shared" si="4"/>
        <v>9</v>
      </c>
      <c r="AD23" s="397" t="s">
        <v>4</v>
      </c>
      <c r="AE23" s="398">
        <v>3</v>
      </c>
      <c r="AF23" s="399">
        <v>8</v>
      </c>
      <c r="AH23" s="395"/>
      <c r="AI23" s="395"/>
    </row>
    <row r="24" spans="1:128">
      <c r="A24" s="397" t="s">
        <v>3</v>
      </c>
      <c r="B24" s="398">
        <v>0</v>
      </c>
      <c r="C24" s="399">
        <v>2</v>
      </c>
      <c r="D24" s="398">
        <v>0</v>
      </c>
      <c r="E24" s="399">
        <v>2</v>
      </c>
      <c r="F24" s="398">
        <v>0</v>
      </c>
      <c r="G24" s="399">
        <v>2</v>
      </c>
      <c r="H24" s="398">
        <v>0</v>
      </c>
      <c r="I24" s="399">
        <v>2</v>
      </c>
      <c r="J24" s="398">
        <v>0</v>
      </c>
      <c r="K24" s="399">
        <v>2</v>
      </c>
      <c r="L24" s="398">
        <v>0</v>
      </c>
      <c r="M24" s="399">
        <v>2</v>
      </c>
      <c r="N24" s="398">
        <v>0</v>
      </c>
      <c r="O24" s="399">
        <v>2</v>
      </c>
      <c r="P24" s="398">
        <v>0</v>
      </c>
      <c r="Q24" s="399">
        <v>2</v>
      </c>
      <c r="R24" s="398"/>
      <c r="S24" s="399"/>
      <c r="T24" s="398"/>
      <c r="U24" s="398"/>
      <c r="V24" s="1116"/>
      <c r="W24" s="399"/>
      <c r="X24" s="398"/>
      <c r="Y24" s="399"/>
      <c r="AA24" s="395">
        <f t="shared" si="3"/>
        <v>0</v>
      </c>
      <c r="AB24" s="117">
        <f t="shared" si="4"/>
        <v>2</v>
      </c>
      <c r="AD24" s="397" t="s">
        <v>3</v>
      </c>
      <c r="AE24" s="398">
        <v>0</v>
      </c>
      <c r="AF24" s="399">
        <v>2</v>
      </c>
      <c r="AH24" s="395"/>
      <c r="AI24" s="395"/>
    </row>
    <row r="25" spans="1:128">
      <c r="A25" s="397" t="s">
        <v>397</v>
      </c>
      <c r="B25" s="398">
        <v>2</v>
      </c>
      <c r="C25" s="399">
        <v>3</v>
      </c>
      <c r="D25" s="398">
        <v>2</v>
      </c>
      <c r="E25" s="399">
        <v>3</v>
      </c>
      <c r="F25" s="398">
        <v>2</v>
      </c>
      <c r="G25" s="399">
        <v>3</v>
      </c>
      <c r="H25" s="398">
        <v>2</v>
      </c>
      <c r="I25" s="399">
        <v>3</v>
      </c>
      <c r="J25" s="398">
        <v>2</v>
      </c>
      <c r="K25" s="399">
        <v>3</v>
      </c>
      <c r="L25" s="398">
        <v>2</v>
      </c>
      <c r="M25" s="399">
        <v>3</v>
      </c>
      <c r="N25" s="398">
        <v>2</v>
      </c>
      <c r="O25" s="399">
        <v>3</v>
      </c>
      <c r="P25" s="398">
        <v>2</v>
      </c>
      <c r="Q25" s="399">
        <v>3</v>
      </c>
      <c r="R25" s="398"/>
      <c r="S25" s="399"/>
      <c r="T25" s="398"/>
      <c r="U25" s="398"/>
      <c r="V25" s="1116"/>
      <c r="W25" s="399"/>
      <c r="X25" s="398"/>
      <c r="Y25" s="399"/>
      <c r="AA25" s="395">
        <f t="shared" si="3"/>
        <v>2</v>
      </c>
      <c r="AB25" s="117">
        <f t="shared" si="4"/>
        <v>3</v>
      </c>
      <c r="AD25" s="397" t="s">
        <v>397</v>
      </c>
      <c r="AE25" s="398">
        <v>2</v>
      </c>
      <c r="AF25" s="399">
        <v>3</v>
      </c>
      <c r="AH25" s="395"/>
      <c r="AI25" s="395"/>
    </row>
    <row r="26" spans="1:128" ht="14.4" thickBot="1">
      <c r="A26" s="397" t="s">
        <v>399</v>
      </c>
      <c r="B26" s="398">
        <v>4</v>
      </c>
      <c r="C26" s="399">
        <v>17</v>
      </c>
      <c r="D26" s="398">
        <v>4</v>
      </c>
      <c r="E26" s="399">
        <v>17</v>
      </c>
      <c r="F26" s="398">
        <v>4</v>
      </c>
      <c r="G26" s="399">
        <v>17</v>
      </c>
      <c r="H26" s="398">
        <v>4</v>
      </c>
      <c r="I26" s="399">
        <v>16</v>
      </c>
      <c r="J26" s="398">
        <v>4</v>
      </c>
      <c r="K26" s="399">
        <v>16</v>
      </c>
      <c r="L26" s="398">
        <v>4</v>
      </c>
      <c r="M26" s="399">
        <v>16</v>
      </c>
      <c r="N26" s="398">
        <v>4</v>
      </c>
      <c r="O26" s="399">
        <v>16</v>
      </c>
      <c r="P26" s="398">
        <v>4</v>
      </c>
      <c r="Q26" s="399">
        <v>16</v>
      </c>
      <c r="R26" s="398"/>
      <c r="S26" s="399"/>
      <c r="T26" s="398"/>
      <c r="U26" s="398"/>
      <c r="V26" s="1116"/>
      <c r="W26" s="399"/>
      <c r="X26" s="398"/>
      <c r="Y26" s="399"/>
      <c r="AA26" s="395">
        <f t="shared" si="3"/>
        <v>4</v>
      </c>
      <c r="AB26" s="117">
        <f t="shared" si="4"/>
        <v>16</v>
      </c>
      <c r="AD26" s="397" t="s">
        <v>399</v>
      </c>
      <c r="AE26" s="398">
        <v>4</v>
      </c>
      <c r="AF26" s="399">
        <v>17</v>
      </c>
      <c r="AH26" s="395"/>
      <c r="AI26" s="395"/>
    </row>
    <row r="27" spans="1:128">
      <c r="A27" s="397" t="s">
        <v>883</v>
      </c>
      <c r="B27" s="398">
        <v>1</v>
      </c>
      <c r="C27" s="399">
        <v>9</v>
      </c>
      <c r="D27" s="398">
        <v>1</v>
      </c>
      <c r="E27" s="399">
        <v>9</v>
      </c>
      <c r="F27" s="398">
        <v>1</v>
      </c>
      <c r="G27" s="399">
        <v>9</v>
      </c>
      <c r="H27" s="398">
        <v>1</v>
      </c>
      <c r="I27" s="399">
        <v>9</v>
      </c>
      <c r="J27" s="398">
        <v>1</v>
      </c>
      <c r="K27" s="399">
        <v>9</v>
      </c>
      <c r="L27" s="398">
        <v>1</v>
      </c>
      <c r="M27" s="399">
        <v>9</v>
      </c>
      <c r="N27" s="398">
        <v>1</v>
      </c>
      <c r="O27" s="399">
        <v>9</v>
      </c>
      <c r="P27" s="398">
        <v>1</v>
      </c>
      <c r="Q27" s="399">
        <v>9</v>
      </c>
      <c r="R27" s="398"/>
      <c r="S27" s="399"/>
      <c r="T27" s="398"/>
      <c r="U27" s="398"/>
      <c r="V27" s="1116"/>
      <c r="W27" s="399"/>
      <c r="X27" s="398"/>
      <c r="Y27" s="399"/>
      <c r="AA27" s="395">
        <f t="shared" si="3"/>
        <v>1</v>
      </c>
      <c r="AB27" s="117">
        <f t="shared" si="4"/>
        <v>9</v>
      </c>
      <c r="AD27" s="397" t="s">
        <v>883</v>
      </c>
      <c r="AE27" s="398">
        <v>1</v>
      </c>
      <c r="AF27" s="399">
        <v>9</v>
      </c>
      <c r="AH27" s="395"/>
      <c r="AI27" s="395"/>
    </row>
    <row r="28" spans="1:128">
      <c r="A28" s="397" t="s">
        <v>884</v>
      </c>
      <c r="B28" s="398">
        <v>4</v>
      </c>
      <c r="C28" s="399">
        <v>11</v>
      </c>
      <c r="D28" s="398">
        <v>4</v>
      </c>
      <c r="E28" s="399">
        <v>11</v>
      </c>
      <c r="F28" s="398">
        <v>4</v>
      </c>
      <c r="G28" s="399">
        <v>11</v>
      </c>
      <c r="H28" s="398">
        <v>4</v>
      </c>
      <c r="I28" s="399">
        <v>11</v>
      </c>
      <c r="J28" s="398">
        <v>4</v>
      </c>
      <c r="K28" s="399">
        <v>11</v>
      </c>
      <c r="L28" s="398">
        <v>4</v>
      </c>
      <c r="M28" s="399">
        <v>11</v>
      </c>
      <c r="N28" s="398">
        <v>4</v>
      </c>
      <c r="O28" s="399">
        <v>11</v>
      </c>
      <c r="P28" s="398">
        <v>4</v>
      </c>
      <c r="Q28" s="399">
        <v>11</v>
      </c>
      <c r="R28" s="398"/>
      <c r="S28" s="399"/>
      <c r="T28" s="398"/>
      <c r="U28" s="398"/>
      <c r="V28" s="1116"/>
      <c r="W28" s="399"/>
      <c r="X28" s="398"/>
      <c r="Y28" s="399"/>
      <c r="AA28" s="395">
        <f t="shared" si="3"/>
        <v>4</v>
      </c>
      <c r="AB28" s="395">
        <f t="shared" si="4"/>
        <v>11</v>
      </c>
      <c r="AD28" s="397" t="s">
        <v>884</v>
      </c>
      <c r="AE28" s="398">
        <v>4</v>
      </c>
      <c r="AF28" s="399">
        <v>11</v>
      </c>
      <c r="AH28" s="395"/>
      <c r="AI28" s="395"/>
    </row>
    <row r="29" spans="1:128" ht="14.4" thickBot="1">
      <c r="A29" s="397" t="s">
        <v>885</v>
      </c>
      <c r="B29" s="398">
        <v>0</v>
      </c>
      <c r="C29" s="399">
        <v>1</v>
      </c>
      <c r="D29" s="398">
        <v>0</v>
      </c>
      <c r="E29" s="399">
        <v>1</v>
      </c>
      <c r="F29" s="398">
        <v>0</v>
      </c>
      <c r="G29" s="399">
        <v>1</v>
      </c>
      <c r="H29" s="398">
        <v>0</v>
      </c>
      <c r="I29" s="399">
        <v>1</v>
      </c>
      <c r="J29" s="398">
        <v>0</v>
      </c>
      <c r="K29" s="399">
        <v>1</v>
      </c>
      <c r="L29" s="398">
        <v>0</v>
      </c>
      <c r="M29" s="399">
        <v>1</v>
      </c>
      <c r="N29" s="398">
        <v>0</v>
      </c>
      <c r="O29" s="399">
        <v>1</v>
      </c>
      <c r="P29" s="398">
        <v>0</v>
      </c>
      <c r="Q29" s="399">
        <v>1</v>
      </c>
      <c r="R29" s="398"/>
      <c r="S29" s="399"/>
      <c r="T29" s="398"/>
      <c r="U29" s="398"/>
      <c r="V29" s="1116"/>
      <c r="W29" s="399"/>
      <c r="X29" s="398"/>
      <c r="Y29" s="399"/>
      <c r="AA29" s="395">
        <f t="shared" si="3"/>
        <v>0</v>
      </c>
      <c r="AB29" s="395">
        <f t="shared" si="4"/>
        <v>1</v>
      </c>
      <c r="AD29" s="397" t="s">
        <v>885</v>
      </c>
      <c r="AE29" s="398">
        <v>0</v>
      </c>
      <c r="AF29" s="399">
        <v>1</v>
      </c>
      <c r="AH29" s="395"/>
      <c r="AI29" s="395"/>
    </row>
    <row r="30" spans="1:128" ht="14.4" thickBot="1">
      <c r="A30" s="418" t="s">
        <v>16</v>
      </c>
      <c r="B30" s="417">
        <f t="shared" ref="B30:Y30" si="5">SUM(B20:B29)</f>
        <v>24</v>
      </c>
      <c r="C30" s="419">
        <f t="shared" si="5"/>
        <v>69</v>
      </c>
      <c r="D30" s="417">
        <f t="shared" si="5"/>
        <v>24</v>
      </c>
      <c r="E30" s="419">
        <f t="shared" si="5"/>
        <v>69</v>
      </c>
      <c r="F30" s="417">
        <f t="shared" si="5"/>
        <v>24</v>
      </c>
      <c r="G30" s="419">
        <f t="shared" si="5"/>
        <v>69</v>
      </c>
      <c r="H30" s="417">
        <f t="shared" si="5"/>
        <v>24</v>
      </c>
      <c r="I30" s="419">
        <f t="shared" si="5"/>
        <v>68</v>
      </c>
      <c r="J30" s="417">
        <f t="shared" si="5"/>
        <v>24</v>
      </c>
      <c r="K30" s="419">
        <f t="shared" si="5"/>
        <v>68</v>
      </c>
      <c r="L30" s="417">
        <f t="shared" si="5"/>
        <v>24</v>
      </c>
      <c r="M30" s="419">
        <f t="shared" si="5"/>
        <v>68</v>
      </c>
      <c r="N30" s="417">
        <f t="shared" si="5"/>
        <v>24</v>
      </c>
      <c r="O30" s="419">
        <f t="shared" si="5"/>
        <v>69</v>
      </c>
      <c r="P30" s="417">
        <f t="shared" si="5"/>
        <v>24</v>
      </c>
      <c r="Q30" s="419">
        <f t="shared" si="5"/>
        <v>69</v>
      </c>
      <c r="R30" s="417">
        <f t="shared" si="5"/>
        <v>0</v>
      </c>
      <c r="S30" s="419">
        <f t="shared" si="5"/>
        <v>0</v>
      </c>
      <c r="T30" s="417">
        <f t="shared" si="5"/>
        <v>0</v>
      </c>
      <c r="U30" s="419">
        <f t="shared" si="5"/>
        <v>0</v>
      </c>
      <c r="V30" s="417">
        <f t="shared" si="5"/>
        <v>0</v>
      </c>
      <c r="W30" s="419">
        <f t="shared" si="5"/>
        <v>0</v>
      </c>
      <c r="X30" s="417">
        <f t="shared" si="5"/>
        <v>0</v>
      </c>
      <c r="Y30" s="419">
        <f t="shared" si="5"/>
        <v>0</v>
      </c>
      <c r="AA30" s="395">
        <f t="shared" si="3"/>
        <v>24</v>
      </c>
      <c r="AB30" s="395">
        <f t="shared" si="4"/>
        <v>69</v>
      </c>
      <c r="AE30" s="398">
        <f>SUM(AE20:AE29)</f>
        <v>24</v>
      </c>
      <c r="AF30" s="399">
        <f>SUM(AF20:AF29)</f>
        <v>69</v>
      </c>
      <c r="AH30" s="395"/>
      <c r="AI30" s="395"/>
    </row>
    <row r="31" spans="1:128" s="487" customFormat="1">
      <c r="A31" s="483"/>
      <c r="B31" s="631"/>
      <c r="C31" s="631"/>
      <c r="D31" s="483"/>
      <c r="E31" s="483"/>
      <c r="F31" s="483"/>
      <c r="G31" s="483"/>
      <c r="H31" s="483"/>
      <c r="I31" s="483" t="s">
        <v>1184</v>
      </c>
      <c r="J31" s="483"/>
      <c r="K31" s="483"/>
      <c r="L31" s="483"/>
      <c r="M31" s="483"/>
      <c r="N31" s="483"/>
      <c r="O31" s="483"/>
      <c r="P31" s="483"/>
      <c r="Q31" s="483"/>
      <c r="R31" s="483"/>
      <c r="S31" s="483"/>
      <c r="T31" s="483"/>
      <c r="U31" s="483"/>
      <c r="V31" s="1110"/>
      <c r="W31" s="483"/>
      <c r="X31" s="483"/>
      <c r="Y31" s="483"/>
      <c r="Z31" s="483"/>
      <c r="AA31" s="631"/>
    </row>
    <row r="32" spans="1:128">
      <c r="A32" s="424"/>
      <c r="B32" s="424"/>
      <c r="C32" s="424"/>
      <c r="D32" s="424"/>
      <c r="E32" s="424"/>
      <c r="F32" s="424"/>
      <c r="G32" s="424"/>
      <c r="H32" s="424"/>
      <c r="I32" s="424"/>
      <c r="J32" s="424"/>
      <c r="K32" s="424"/>
      <c r="L32" s="424"/>
      <c r="M32" s="424"/>
      <c r="N32" s="425"/>
      <c r="O32" s="424"/>
      <c r="P32" s="424"/>
      <c r="Q32" s="424"/>
      <c r="R32" s="424"/>
      <c r="S32" s="424"/>
      <c r="T32" s="424"/>
      <c r="U32" s="424"/>
      <c r="V32" s="1111"/>
      <c r="W32" s="424"/>
      <c r="X32" s="424"/>
      <c r="Y32" s="424"/>
      <c r="Z32" s="427"/>
      <c r="AA32" s="424"/>
    </row>
    <row r="33" spans="1:46" ht="18">
      <c r="A33" s="393" t="s">
        <v>644</v>
      </c>
    </row>
    <row r="34" spans="1:46" ht="18.600000000000001" thickBot="1">
      <c r="A34" s="394">
        <f>A2</f>
        <v>2023</v>
      </c>
    </row>
    <row r="35" spans="1:46">
      <c r="A35" s="2815" t="s">
        <v>308</v>
      </c>
      <c r="B35" s="2827" t="s">
        <v>71</v>
      </c>
      <c r="C35" s="2828"/>
      <c r="D35" s="2829" t="s">
        <v>72</v>
      </c>
      <c r="E35" s="2830"/>
      <c r="F35" s="2817" t="s">
        <v>73</v>
      </c>
      <c r="G35" s="2818"/>
      <c r="H35" s="2819" t="s">
        <v>74</v>
      </c>
      <c r="I35" s="2820"/>
      <c r="J35" s="2821" t="s">
        <v>75</v>
      </c>
      <c r="K35" s="2822"/>
      <c r="L35" s="2823" t="s">
        <v>76</v>
      </c>
      <c r="M35" s="2824"/>
      <c r="N35" s="2827" t="s">
        <v>77</v>
      </c>
      <c r="O35" s="2828"/>
      <c r="P35" s="2829" t="s">
        <v>78</v>
      </c>
      <c r="Q35" s="2830"/>
      <c r="R35" s="2817" t="s">
        <v>79</v>
      </c>
      <c r="S35" s="2818"/>
      <c r="T35" s="2819" t="s">
        <v>80</v>
      </c>
      <c r="U35" s="2820"/>
      <c r="V35" s="2821" t="s">
        <v>81</v>
      </c>
      <c r="W35" s="2822"/>
      <c r="X35" s="2823" t="s">
        <v>82</v>
      </c>
      <c r="Y35" s="2824"/>
      <c r="Z35" s="2825" t="s">
        <v>83</v>
      </c>
      <c r="AA35" s="2826"/>
      <c r="AB35" s="634"/>
      <c r="AG35" s="430"/>
      <c r="AH35" s="430"/>
      <c r="AI35" s="430"/>
      <c r="AJ35" s="430"/>
      <c r="AK35" s="430"/>
      <c r="AL35" s="430"/>
      <c r="AM35" s="430"/>
      <c r="AN35" s="430"/>
      <c r="AO35" s="430"/>
      <c r="AP35" s="430"/>
      <c r="AQ35" s="430"/>
      <c r="AR35" s="430"/>
      <c r="AS35" s="430"/>
      <c r="AT35" s="430"/>
    </row>
    <row r="36" spans="1:46" ht="14.4" thickBot="1">
      <c r="A36" s="2816"/>
      <c r="B36" s="402" t="s">
        <v>198</v>
      </c>
      <c r="C36" s="403" t="s">
        <v>199</v>
      </c>
      <c r="D36" s="402" t="s">
        <v>198</v>
      </c>
      <c r="E36" s="403" t="s">
        <v>199</v>
      </c>
      <c r="F36" s="402" t="s">
        <v>198</v>
      </c>
      <c r="G36" s="403" t="s">
        <v>199</v>
      </c>
      <c r="H36" s="402" t="s">
        <v>198</v>
      </c>
      <c r="I36" s="403" t="s">
        <v>199</v>
      </c>
      <c r="J36" s="402" t="s">
        <v>198</v>
      </c>
      <c r="K36" s="403" t="s">
        <v>199</v>
      </c>
      <c r="L36" s="402" t="s">
        <v>198</v>
      </c>
      <c r="M36" s="403" t="s">
        <v>199</v>
      </c>
      <c r="N36" s="402" t="s">
        <v>198</v>
      </c>
      <c r="O36" s="403" t="s">
        <v>199</v>
      </c>
      <c r="P36" s="402" t="s">
        <v>198</v>
      </c>
      <c r="Q36" s="403" t="s">
        <v>199</v>
      </c>
      <c r="R36" s="402" t="s">
        <v>198</v>
      </c>
      <c r="S36" s="403" t="s">
        <v>199</v>
      </c>
      <c r="T36" s="402" t="s">
        <v>198</v>
      </c>
      <c r="U36" s="403" t="s">
        <v>199</v>
      </c>
      <c r="V36" s="1107" t="s">
        <v>198</v>
      </c>
      <c r="W36" s="403" t="s">
        <v>199</v>
      </c>
      <c r="X36" s="402" t="s">
        <v>198</v>
      </c>
      <c r="Y36" s="403" t="s">
        <v>199</v>
      </c>
      <c r="Z36" s="403" t="s">
        <v>198</v>
      </c>
      <c r="AA36" s="403" t="s">
        <v>199</v>
      </c>
      <c r="AC36" s="117" t="s">
        <v>198</v>
      </c>
      <c r="AD36" s="117" t="s">
        <v>199</v>
      </c>
    </row>
    <row r="37" spans="1:46" ht="14.4" thickBot="1">
      <c r="A37" s="397" t="s">
        <v>6</v>
      </c>
      <c r="B37" s="398">
        <f>B5-AE5</f>
        <v>0</v>
      </c>
      <c r="C37" s="399">
        <f>C5-AF5</f>
        <v>0</v>
      </c>
      <c r="D37" s="398">
        <f t="shared" ref="D37:D46" si="6">D5-B5</f>
        <v>0</v>
      </c>
      <c r="E37" s="399">
        <f t="shared" ref="E37:E46" si="7">E5-C5</f>
        <v>0</v>
      </c>
      <c r="F37" s="398">
        <f t="shared" ref="F37:F46" si="8">F5-D5</f>
        <v>0</v>
      </c>
      <c r="G37" s="398">
        <f t="shared" ref="G37:G46" si="9">G5-E5</f>
        <v>0</v>
      </c>
      <c r="H37" s="398">
        <f t="shared" ref="H37:H46" si="10">H5-F5</f>
        <v>0</v>
      </c>
      <c r="I37" s="398">
        <f t="shared" ref="I37:I46" si="11">I5-G5</f>
        <v>0</v>
      </c>
      <c r="J37" s="398">
        <f t="shared" ref="J37:J46" si="12">J5-H5</f>
        <v>0</v>
      </c>
      <c r="K37" s="399">
        <f t="shared" ref="K37:K46" si="13">K5-I5</f>
        <v>0</v>
      </c>
      <c r="L37" s="398">
        <f t="shared" ref="L37:L46" si="14">L5-J5</f>
        <v>0</v>
      </c>
      <c r="M37" s="399">
        <f t="shared" ref="M37:M46" si="15">M5-K5</f>
        <v>0</v>
      </c>
      <c r="N37" s="398">
        <f t="shared" ref="N37:N46" si="16">N5-L5</f>
        <v>0</v>
      </c>
      <c r="O37" s="399">
        <f t="shared" ref="O37:O46" si="17">O5-M5</f>
        <v>0</v>
      </c>
      <c r="P37" s="398">
        <f t="shared" ref="P37:P46" si="18">P5-N5</f>
        <v>0</v>
      </c>
      <c r="Q37" s="399">
        <f t="shared" ref="Q37:Q46" si="19">Q5-O5</f>
        <v>0</v>
      </c>
      <c r="R37" s="398"/>
      <c r="S37" s="399"/>
      <c r="T37" s="398">
        <f t="shared" ref="T37:T46" si="20">T5-R5</f>
        <v>0</v>
      </c>
      <c r="U37" s="399">
        <f t="shared" ref="U37:U46" si="21">U5-S5</f>
        <v>0</v>
      </c>
      <c r="V37" s="398">
        <f t="shared" ref="V37:V46" si="22">V5-T5</f>
        <v>0</v>
      </c>
      <c r="W37" s="399">
        <f t="shared" ref="W37:W46" si="23">W5-U5</f>
        <v>0</v>
      </c>
      <c r="X37" s="398">
        <f t="shared" ref="X37:X46" si="24">X5-V5</f>
        <v>0</v>
      </c>
      <c r="Y37" s="399">
        <f t="shared" ref="Y37:Y46" si="25">Y5-W5</f>
        <v>0</v>
      </c>
      <c r="Z37" s="432">
        <f>B37+D37+F37+H37+J37+L37+N37+P37+R37+T37+V37+X37</f>
        <v>0</v>
      </c>
      <c r="AA37" s="432">
        <f t="shared" ref="Z37:AA41" si="26">C37+E37+G37+I37+K37+M37+O37+Q37+S37+U37+W37+Y37</f>
        <v>0</v>
      </c>
      <c r="AC37" s="395">
        <f>P37</f>
        <v>0</v>
      </c>
      <c r="AD37" s="395">
        <f>Q37</f>
        <v>0</v>
      </c>
      <c r="AF37" s="395"/>
    </row>
    <row r="38" spans="1:46" ht="14.4" thickBot="1">
      <c r="A38" s="397" t="s">
        <v>7</v>
      </c>
      <c r="B38" s="398">
        <f t="shared" ref="B38:B46" si="27">B6-AE6</f>
        <v>0</v>
      </c>
      <c r="C38" s="399">
        <f>C6-AF6</f>
        <v>0</v>
      </c>
      <c r="D38" s="398">
        <f t="shared" si="6"/>
        <v>0</v>
      </c>
      <c r="E38" s="399">
        <f t="shared" si="7"/>
        <v>0</v>
      </c>
      <c r="F38" s="398">
        <f t="shared" si="8"/>
        <v>0</v>
      </c>
      <c r="G38" s="398">
        <f t="shared" si="9"/>
        <v>0</v>
      </c>
      <c r="H38" s="398">
        <f t="shared" si="10"/>
        <v>0</v>
      </c>
      <c r="I38" s="398">
        <f t="shared" si="11"/>
        <v>0</v>
      </c>
      <c r="J38" s="398">
        <f t="shared" si="12"/>
        <v>0</v>
      </c>
      <c r="K38" s="399">
        <f t="shared" si="13"/>
        <v>0</v>
      </c>
      <c r="L38" s="398">
        <f t="shared" si="14"/>
        <v>0</v>
      </c>
      <c r="M38" s="399">
        <f t="shared" si="15"/>
        <v>0</v>
      </c>
      <c r="N38" s="398">
        <f t="shared" si="16"/>
        <v>0</v>
      </c>
      <c r="O38" s="399">
        <f t="shared" si="17"/>
        <v>0</v>
      </c>
      <c r="P38" s="398">
        <f t="shared" si="18"/>
        <v>0</v>
      </c>
      <c r="Q38" s="399">
        <f t="shared" si="19"/>
        <v>0</v>
      </c>
      <c r="R38" s="398"/>
      <c r="S38" s="399"/>
      <c r="T38" s="398">
        <f t="shared" si="20"/>
        <v>0</v>
      </c>
      <c r="U38" s="399">
        <f t="shared" si="21"/>
        <v>0</v>
      </c>
      <c r="V38" s="398">
        <f t="shared" si="22"/>
        <v>0</v>
      </c>
      <c r="W38" s="399">
        <f t="shared" si="23"/>
        <v>0</v>
      </c>
      <c r="X38" s="398">
        <f t="shared" si="24"/>
        <v>0</v>
      </c>
      <c r="Y38" s="399">
        <f t="shared" si="25"/>
        <v>0</v>
      </c>
      <c r="Z38" s="432">
        <f t="shared" si="26"/>
        <v>0</v>
      </c>
      <c r="AA38" s="432">
        <f t="shared" si="26"/>
        <v>0</v>
      </c>
      <c r="AC38" s="395">
        <f t="shared" ref="AC38:AC47" si="28">P38</f>
        <v>0</v>
      </c>
      <c r="AD38" s="395">
        <f t="shared" ref="AD38:AD47" si="29">Q38</f>
        <v>0</v>
      </c>
      <c r="AF38" s="395"/>
    </row>
    <row r="39" spans="1:46" ht="14.4" thickBot="1">
      <c r="A39" s="397" t="s">
        <v>8</v>
      </c>
      <c r="B39" s="398">
        <f t="shared" si="27"/>
        <v>0</v>
      </c>
      <c r="C39" s="399">
        <f t="shared" ref="C39:C46" si="30">C7-AF7</f>
        <v>0</v>
      </c>
      <c r="D39" s="398">
        <f t="shared" si="6"/>
        <v>0</v>
      </c>
      <c r="E39" s="399">
        <f t="shared" si="7"/>
        <v>0</v>
      </c>
      <c r="F39" s="398">
        <f t="shared" si="8"/>
        <v>0</v>
      </c>
      <c r="G39" s="398">
        <f t="shared" si="9"/>
        <v>0</v>
      </c>
      <c r="H39" s="398">
        <f t="shared" si="10"/>
        <v>0</v>
      </c>
      <c r="I39" s="398">
        <f t="shared" si="11"/>
        <v>0</v>
      </c>
      <c r="J39" s="398">
        <f t="shared" si="12"/>
        <v>0</v>
      </c>
      <c r="K39" s="399">
        <f t="shared" si="13"/>
        <v>0</v>
      </c>
      <c r="L39" s="398">
        <f t="shared" si="14"/>
        <v>0</v>
      </c>
      <c r="M39" s="399">
        <f t="shared" si="15"/>
        <v>0</v>
      </c>
      <c r="N39" s="398">
        <f t="shared" si="16"/>
        <v>0</v>
      </c>
      <c r="O39" s="399">
        <f t="shared" si="17"/>
        <v>0</v>
      </c>
      <c r="P39" s="398">
        <f t="shared" si="18"/>
        <v>0</v>
      </c>
      <c r="Q39" s="399">
        <f t="shared" si="19"/>
        <v>0</v>
      </c>
      <c r="R39" s="398"/>
      <c r="S39" s="399"/>
      <c r="T39" s="398">
        <f t="shared" si="20"/>
        <v>0</v>
      </c>
      <c r="U39" s="399">
        <f t="shared" si="21"/>
        <v>0</v>
      </c>
      <c r="V39" s="398">
        <f t="shared" si="22"/>
        <v>0</v>
      </c>
      <c r="W39" s="399">
        <f t="shared" si="23"/>
        <v>0</v>
      </c>
      <c r="X39" s="398">
        <f t="shared" si="24"/>
        <v>0</v>
      </c>
      <c r="Y39" s="399">
        <f t="shared" si="25"/>
        <v>0</v>
      </c>
      <c r="Z39" s="432">
        <f t="shared" si="26"/>
        <v>0</v>
      </c>
      <c r="AA39" s="432">
        <f t="shared" si="26"/>
        <v>0</v>
      </c>
      <c r="AC39" s="395">
        <f t="shared" si="28"/>
        <v>0</v>
      </c>
      <c r="AD39" s="395">
        <f t="shared" si="29"/>
        <v>0</v>
      </c>
      <c r="AF39" s="395"/>
    </row>
    <row r="40" spans="1:46" ht="14.4" thickBot="1">
      <c r="A40" s="397" t="s">
        <v>4</v>
      </c>
      <c r="B40" s="398">
        <f t="shared" si="27"/>
        <v>0</v>
      </c>
      <c r="C40" s="399">
        <f t="shared" si="30"/>
        <v>0</v>
      </c>
      <c r="D40" s="398">
        <f t="shared" si="6"/>
        <v>0</v>
      </c>
      <c r="E40" s="399">
        <f t="shared" si="7"/>
        <v>0</v>
      </c>
      <c r="F40" s="398">
        <f t="shared" si="8"/>
        <v>0</v>
      </c>
      <c r="G40" s="398">
        <f t="shared" si="9"/>
        <v>0</v>
      </c>
      <c r="H40" s="398">
        <f t="shared" si="10"/>
        <v>0</v>
      </c>
      <c r="I40" s="398">
        <f t="shared" si="11"/>
        <v>0</v>
      </c>
      <c r="J40" s="398">
        <f t="shared" si="12"/>
        <v>0</v>
      </c>
      <c r="K40" s="399">
        <f t="shared" si="13"/>
        <v>0</v>
      </c>
      <c r="L40" s="398">
        <f t="shared" si="14"/>
        <v>0</v>
      </c>
      <c r="M40" s="399">
        <f t="shared" si="15"/>
        <v>0</v>
      </c>
      <c r="N40" s="398">
        <f t="shared" si="16"/>
        <v>0</v>
      </c>
      <c r="O40" s="399">
        <f t="shared" si="17"/>
        <v>0</v>
      </c>
      <c r="P40" s="398">
        <f t="shared" si="18"/>
        <v>0</v>
      </c>
      <c r="Q40" s="399">
        <f t="shared" si="19"/>
        <v>0</v>
      </c>
      <c r="R40" s="398"/>
      <c r="S40" s="399"/>
      <c r="T40" s="398">
        <f t="shared" si="20"/>
        <v>0</v>
      </c>
      <c r="U40" s="399">
        <f t="shared" si="21"/>
        <v>0</v>
      </c>
      <c r="V40" s="398">
        <f t="shared" si="22"/>
        <v>0</v>
      </c>
      <c r="W40" s="399">
        <f t="shared" si="23"/>
        <v>0</v>
      </c>
      <c r="X40" s="398">
        <f t="shared" si="24"/>
        <v>0</v>
      </c>
      <c r="Y40" s="399">
        <f t="shared" si="25"/>
        <v>0</v>
      </c>
      <c r="Z40" s="432">
        <f t="shared" si="26"/>
        <v>0</v>
      </c>
      <c r="AA40" s="432">
        <f t="shared" si="26"/>
        <v>0</v>
      </c>
      <c r="AC40" s="395">
        <f t="shared" si="28"/>
        <v>0</v>
      </c>
      <c r="AD40" s="395">
        <f t="shared" si="29"/>
        <v>0</v>
      </c>
      <c r="AF40" s="395"/>
    </row>
    <row r="41" spans="1:46" ht="14.4" thickBot="1">
      <c r="A41" s="397" t="s">
        <v>3</v>
      </c>
      <c r="B41" s="398">
        <f t="shared" si="27"/>
        <v>0</v>
      </c>
      <c r="C41" s="399">
        <f t="shared" si="30"/>
        <v>0</v>
      </c>
      <c r="D41" s="398">
        <f t="shared" si="6"/>
        <v>0</v>
      </c>
      <c r="E41" s="399">
        <f t="shared" si="7"/>
        <v>0</v>
      </c>
      <c r="F41" s="398">
        <f t="shared" si="8"/>
        <v>0</v>
      </c>
      <c r="G41" s="398">
        <f t="shared" si="9"/>
        <v>0</v>
      </c>
      <c r="H41" s="398">
        <f t="shared" si="10"/>
        <v>0</v>
      </c>
      <c r="I41" s="398">
        <f t="shared" si="11"/>
        <v>0</v>
      </c>
      <c r="J41" s="398">
        <f t="shared" si="12"/>
        <v>0</v>
      </c>
      <c r="K41" s="399">
        <f t="shared" si="13"/>
        <v>0</v>
      </c>
      <c r="L41" s="398">
        <f t="shared" si="14"/>
        <v>0</v>
      </c>
      <c r="M41" s="399">
        <f t="shared" si="15"/>
        <v>0</v>
      </c>
      <c r="N41" s="398">
        <f t="shared" si="16"/>
        <v>0</v>
      </c>
      <c r="O41" s="399">
        <f t="shared" si="17"/>
        <v>0</v>
      </c>
      <c r="P41" s="398">
        <f t="shared" si="18"/>
        <v>0</v>
      </c>
      <c r="Q41" s="399">
        <f t="shared" si="19"/>
        <v>0</v>
      </c>
      <c r="R41" s="398"/>
      <c r="S41" s="399"/>
      <c r="T41" s="398">
        <f t="shared" si="20"/>
        <v>0</v>
      </c>
      <c r="U41" s="399">
        <f t="shared" si="21"/>
        <v>0</v>
      </c>
      <c r="V41" s="398">
        <f t="shared" si="22"/>
        <v>0</v>
      </c>
      <c r="W41" s="399">
        <f t="shared" si="23"/>
        <v>0</v>
      </c>
      <c r="X41" s="398">
        <f t="shared" si="24"/>
        <v>0</v>
      </c>
      <c r="Y41" s="399">
        <f t="shared" si="25"/>
        <v>0</v>
      </c>
      <c r="Z41" s="432">
        <f t="shared" si="26"/>
        <v>0</v>
      </c>
      <c r="AA41" s="432">
        <f t="shared" si="26"/>
        <v>0</v>
      </c>
      <c r="AC41" s="395">
        <f t="shared" si="28"/>
        <v>0</v>
      </c>
      <c r="AD41" s="395">
        <f t="shared" si="29"/>
        <v>0</v>
      </c>
      <c r="AF41" s="395"/>
    </row>
    <row r="42" spans="1:46" ht="14.4" thickBot="1">
      <c r="A42" s="397" t="s">
        <v>397</v>
      </c>
      <c r="B42" s="398">
        <f t="shared" si="27"/>
        <v>0</v>
      </c>
      <c r="C42" s="399">
        <f t="shared" si="30"/>
        <v>0</v>
      </c>
      <c r="D42" s="398">
        <f t="shared" si="6"/>
        <v>0</v>
      </c>
      <c r="E42" s="399">
        <f t="shared" si="7"/>
        <v>0</v>
      </c>
      <c r="F42" s="398">
        <f t="shared" si="8"/>
        <v>0</v>
      </c>
      <c r="G42" s="398">
        <f t="shared" si="9"/>
        <v>0</v>
      </c>
      <c r="H42" s="398">
        <f t="shared" si="10"/>
        <v>0</v>
      </c>
      <c r="I42" s="398">
        <f t="shared" si="11"/>
        <v>0</v>
      </c>
      <c r="J42" s="398">
        <f t="shared" si="12"/>
        <v>0</v>
      </c>
      <c r="K42" s="399">
        <f t="shared" si="13"/>
        <v>0</v>
      </c>
      <c r="L42" s="398">
        <f t="shared" si="14"/>
        <v>0</v>
      </c>
      <c r="M42" s="399">
        <f t="shared" si="15"/>
        <v>0</v>
      </c>
      <c r="N42" s="398">
        <f t="shared" si="16"/>
        <v>0</v>
      </c>
      <c r="O42" s="399">
        <f t="shared" si="17"/>
        <v>0</v>
      </c>
      <c r="P42" s="398">
        <f t="shared" si="18"/>
        <v>0</v>
      </c>
      <c r="Q42" s="399">
        <f t="shared" si="19"/>
        <v>-1</v>
      </c>
      <c r="R42" s="398"/>
      <c r="S42" s="399"/>
      <c r="T42" s="398">
        <f t="shared" si="20"/>
        <v>0</v>
      </c>
      <c r="U42" s="399">
        <f t="shared" si="21"/>
        <v>0</v>
      </c>
      <c r="V42" s="398">
        <f t="shared" si="22"/>
        <v>0</v>
      </c>
      <c r="W42" s="399">
        <f t="shared" si="23"/>
        <v>0</v>
      </c>
      <c r="X42" s="398">
        <f t="shared" si="24"/>
        <v>0</v>
      </c>
      <c r="Y42" s="399">
        <f t="shared" si="25"/>
        <v>0</v>
      </c>
      <c r="Z42" s="432">
        <f t="shared" ref="Z42:AA46" si="31">B42+D42+F42+H42+J42+L42+N42+P42+R42+T42+V42+X42</f>
        <v>0</v>
      </c>
      <c r="AA42" s="432">
        <f t="shared" si="31"/>
        <v>-1</v>
      </c>
      <c r="AC42" s="395">
        <f t="shared" si="28"/>
        <v>0</v>
      </c>
      <c r="AD42" s="395">
        <f t="shared" si="29"/>
        <v>-1</v>
      </c>
      <c r="AF42" s="395"/>
    </row>
    <row r="43" spans="1:46" ht="14.4" thickBot="1">
      <c r="A43" s="397" t="s">
        <v>399</v>
      </c>
      <c r="B43" s="398">
        <f t="shared" si="27"/>
        <v>0</v>
      </c>
      <c r="C43" s="399">
        <f t="shared" si="30"/>
        <v>0</v>
      </c>
      <c r="D43" s="398">
        <f t="shared" si="6"/>
        <v>0</v>
      </c>
      <c r="E43" s="399">
        <f t="shared" si="7"/>
        <v>0</v>
      </c>
      <c r="F43" s="398">
        <f t="shared" si="8"/>
        <v>0</v>
      </c>
      <c r="G43" s="398">
        <f t="shared" si="9"/>
        <v>0</v>
      </c>
      <c r="H43" s="398">
        <f t="shared" si="10"/>
        <v>0</v>
      </c>
      <c r="I43" s="398">
        <f t="shared" si="11"/>
        <v>0</v>
      </c>
      <c r="J43" s="398">
        <f t="shared" si="12"/>
        <v>0</v>
      </c>
      <c r="K43" s="399">
        <f t="shared" si="13"/>
        <v>0</v>
      </c>
      <c r="L43" s="398">
        <f t="shared" si="14"/>
        <v>0</v>
      </c>
      <c r="M43" s="399">
        <f t="shared" si="15"/>
        <v>0</v>
      </c>
      <c r="N43" s="398">
        <f t="shared" si="16"/>
        <v>0</v>
      </c>
      <c r="O43" s="399">
        <f t="shared" si="17"/>
        <v>0</v>
      </c>
      <c r="P43" s="398">
        <f t="shared" si="18"/>
        <v>0</v>
      </c>
      <c r="Q43" s="399">
        <f t="shared" si="19"/>
        <v>0</v>
      </c>
      <c r="R43" s="398"/>
      <c r="S43" s="399"/>
      <c r="T43" s="398">
        <f t="shared" si="20"/>
        <v>0</v>
      </c>
      <c r="U43" s="399">
        <f t="shared" si="21"/>
        <v>0</v>
      </c>
      <c r="V43" s="398">
        <f t="shared" si="22"/>
        <v>0</v>
      </c>
      <c r="W43" s="399">
        <f t="shared" si="23"/>
        <v>0</v>
      </c>
      <c r="X43" s="398">
        <f t="shared" si="24"/>
        <v>0</v>
      </c>
      <c r="Y43" s="399">
        <f t="shared" si="25"/>
        <v>0</v>
      </c>
      <c r="Z43" s="432">
        <f t="shared" si="31"/>
        <v>0</v>
      </c>
      <c r="AA43" s="432">
        <f t="shared" si="31"/>
        <v>0</v>
      </c>
      <c r="AC43" s="395">
        <f t="shared" si="28"/>
        <v>0</v>
      </c>
      <c r="AD43" s="395">
        <f t="shared" si="29"/>
        <v>0</v>
      </c>
      <c r="AF43" s="395"/>
    </row>
    <row r="44" spans="1:46" ht="14.4" thickBot="1">
      <c r="A44" s="397" t="s">
        <v>883</v>
      </c>
      <c r="B44" s="398">
        <f t="shared" si="27"/>
        <v>0</v>
      </c>
      <c r="C44" s="399">
        <f t="shared" si="30"/>
        <v>0</v>
      </c>
      <c r="D44" s="398">
        <f t="shared" si="6"/>
        <v>0</v>
      </c>
      <c r="E44" s="399">
        <f t="shared" si="7"/>
        <v>0</v>
      </c>
      <c r="F44" s="398">
        <f t="shared" si="8"/>
        <v>0</v>
      </c>
      <c r="G44" s="398">
        <f t="shared" si="9"/>
        <v>0</v>
      </c>
      <c r="H44" s="398">
        <f t="shared" si="10"/>
        <v>0</v>
      </c>
      <c r="I44" s="398">
        <f t="shared" si="11"/>
        <v>0</v>
      </c>
      <c r="J44" s="398">
        <f t="shared" si="12"/>
        <v>0</v>
      </c>
      <c r="K44" s="399">
        <f t="shared" si="13"/>
        <v>0</v>
      </c>
      <c r="L44" s="398">
        <f t="shared" si="14"/>
        <v>0</v>
      </c>
      <c r="M44" s="399">
        <f t="shared" si="15"/>
        <v>0</v>
      </c>
      <c r="N44" s="398">
        <f t="shared" si="16"/>
        <v>0</v>
      </c>
      <c r="O44" s="399">
        <f t="shared" si="17"/>
        <v>0</v>
      </c>
      <c r="P44" s="398">
        <f t="shared" si="18"/>
        <v>0</v>
      </c>
      <c r="Q44" s="399">
        <f t="shared" si="19"/>
        <v>0</v>
      </c>
      <c r="R44" s="398"/>
      <c r="S44" s="399"/>
      <c r="T44" s="398">
        <f t="shared" si="20"/>
        <v>0</v>
      </c>
      <c r="U44" s="399">
        <f t="shared" si="21"/>
        <v>0</v>
      </c>
      <c r="V44" s="398">
        <f t="shared" si="22"/>
        <v>0</v>
      </c>
      <c r="W44" s="399">
        <f t="shared" si="23"/>
        <v>0</v>
      </c>
      <c r="X44" s="398">
        <f t="shared" si="24"/>
        <v>0</v>
      </c>
      <c r="Y44" s="399">
        <f t="shared" si="25"/>
        <v>0</v>
      </c>
      <c r="Z44" s="432">
        <f t="shared" si="31"/>
        <v>0</v>
      </c>
      <c r="AA44" s="432">
        <f t="shared" si="31"/>
        <v>0</v>
      </c>
      <c r="AC44" s="395">
        <f t="shared" si="28"/>
        <v>0</v>
      </c>
      <c r="AD44" s="395">
        <f t="shared" si="29"/>
        <v>0</v>
      </c>
      <c r="AF44" s="395"/>
    </row>
    <row r="45" spans="1:46" ht="14.4" thickBot="1">
      <c r="A45" s="397" t="s">
        <v>884</v>
      </c>
      <c r="B45" s="398">
        <f t="shared" si="27"/>
        <v>0</v>
      </c>
      <c r="C45" s="399">
        <f t="shared" si="30"/>
        <v>0</v>
      </c>
      <c r="D45" s="398">
        <f t="shared" si="6"/>
        <v>0</v>
      </c>
      <c r="E45" s="399">
        <f t="shared" si="7"/>
        <v>0</v>
      </c>
      <c r="F45" s="398">
        <f t="shared" si="8"/>
        <v>0</v>
      </c>
      <c r="G45" s="398">
        <f t="shared" si="9"/>
        <v>0</v>
      </c>
      <c r="H45" s="398">
        <f t="shared" si="10"/>
        <v>0</v>
      </c>
      <c r="I45" s="398">
        <f t="shared" si="11"/>
        <v>0</v>
      </c>
      <c r="J45" s="398">
        <f t="shared" si="12"/>
        <v>0</v>
      </c>
      <c r="K45" s="399">
        <f t="shared" si="13"/>
        <v>0</v>
      </c>
      <c r="L45" s="398">
        <f t="shared" si="14"/>
        <v>0</v>
      </c>
      <c r="M45" s="399">
        <f t="shared" si="15"/>
        <v>0</v>
      </c>
      <c r="N45" s="398">
        <f t="shared" si="16"/>
        <v>0</v>
      </c>
      <c r="O45" s="399">
        <f t="shared" si="17"/>
        <v>0</v>
      </c>
      <c r="P45" s="398">
        <f t="shared" si="18"/>
        <v>0</v>
      </c>
      <c r="Q45" s="399">
        <f t="shared" si="19"/>
        <v>0</v>
      </c>
      <c r="R45" s="398"/>
      <c r="S45" s="399"/>
      <c r="T45" s="398">
        <f t="shared" si="20"/>
        <v>0</v>
      </c>
      <c r="U45" s="399">
        <f t="shared" si="21"/>
        <v>0</v>
      </c>
      <c r="V45" s="398">
        <f t="shared" si="22"/>
        <v>0</v>
      </c>
      <c r="W45" s="399">
        <f t="shared" si="23"/>
        <v>0</v>
      </c>
      <c r="X45" s="398">
        <f t="shared" si="24"/>
        <v>0</v>
      </c>
      <c r="Y45" s="399">
        <f t="shared" si="25"/>
        <v>0</v>
      </c>
      <c r="Z45" s="432">
        <f t="shared" si="31"/>
        <v>0</v>
      </c>
      <c r="AA45" s="432">
        <f t="shared" si="31"/>
        <v>0</v>
      </c>
      <c r="AC45" s="395">
        <f t="shared" si="28"/>
        <v>0</v>
      </c>
      <c r="AD45" s="395">
        <f t="shared" si="29"/>
        <v>0</v>
      </c>
      <c r="AF45" s="395"/>
    </row>
    <row r="46" spans="1:46" ht="14.4" thickBot="1">
      <c r="A46" s="397" t="s">
        <v>885</v>
      </c>
      <c r="B46" s="398">
        <f t="shared" si="27"/>
        <v>0</v>
      </c>
      <c r="C46" s="399">
        <f t="shared" si="30"/>
        <v>0</v>
      </c>
      <c r="D46" s="398">
        <f t="shared" si="6"/>
        <v>0</v>
      </c>
      <c r="E46" s="399">
        <f t="shared" si="7"/>
        <v>0</v>
      </c>
      <c r="F46" s="398">
        <f t="shared" si="8"/>
        <v>0</v>
      </c>
      <c r="G46" s="398">
        <f t="shared" si="9"/>
        <v>0</v>
      </c>
      <c r="H46" s="398">
        <f t="shared" si="10"/>
        <v>0</v>
      </c>
      <c r="I46" s="398">
        <f t="shared" si="11"/>
        <v>0</v>
      </c>
      <c r="J46" s="398">
        <f t="shared" si="12"/>
        <v>0</v>
      </c>
      <c r="K46" s="399">
        <f t="shared" si="13"/>
        <v>0</v>
      </c>
      <c r="L46" s="398">
        <f t="shared" si="14"/>
        <v>0</v>
      </c>
      <c r="M46" s="399">
        <f t="shared" si="15"/>
        <v>0</v>
      </c>
      <c r="N46" s="398">
        <f t="shared" si="16"/>
        <v>0</v>
      </c>
      <c r="O46" s="399">
        <f t="shared" si="17"/>
        <v>0</v>
      </c>
      <c r="P46" s="398">
        <f t="shared" si="18"/>
        <v>0</v>
      </c>
      <c r="Q46" s="399">
        <f t="shared" si="19"/>
        <v>0</v>
      </c>
      <c r="R46" s="398"/>
      <c r="S46" s="399"/>
      <c r="T46" s="398">
        <f t="shared" si="20"/>
        <v>0</v>
      </c>
      <c r="U46" s="399">
        <f t="shared" si="21"/>
        <v>0</v>
      </c>
      <c r="V46" s="398">
        <f t="shared" si="22"/>
        <v>0</v>
      </c>
      <c r="W46" s="399">
        <f t="shared" si="23"/>
        <v>0</v>
      </c>
      <c r="X46" s="398">
        <f t="shared" si="24"/>
        <v>0</v>
      </c>
      <c r="Y46" s="399">
        <f t="shared" si="25"/>
        <v>0</v>
      </c>
      <c r="Z46" s="432">
        <f t="shared" si="31"/>
        <v>0</v>
      </c>
      <c r="AA46" s="432">
        <f t="shared" si="31"/>
        <v>0</v>
      </c>
      <c r="AC46" s="395">
        <f t="shared" si="28"/>
        <v>0</v>
      </c>
      <c r="AD46" s="395">
        <f t="shared" si="29"/>
        <v>0</v>
      </c>
      <c r="AF46" s="395"/>
    </row>
    <row r="47" spans="1:46" ht="14.4" thickBot="1">
      <c r="A47" s="433" t="s">
        <v>16</v>
      </c>
      <c r="B47" s="417">
        <f t="shared" ref="B47:AA47" si="32">SUM(B37:B46)</f>
        <v>0</v>
      </c>
      <c r="C47" s="419">
        <f t="shared" si="32"/>
        <v>0</v>
      </c>
      <c r="D47" s="417">
        <f>SUM(D37:D46)</f>
        <v>0</v>
      </c>
      <c r="E47" s="419">
        <f>SUM(E37:E46)</f>
        <v>0</v>
      </c>
      <c r="F47" s="417">
        <f t="shared" si="32"/>
        <v>0</v>
      </c>
      <c r="G47" s="419">
        <f t="shared" si="32"/>
        <v>0</v>
      </c>
      <c r="H47" s="417">
        <f t="shared" si="32"/>
        <v>0</v>
      </c>
      <c r="I47" s="419">
        <f t="shared" si="32"/>
        <v>0</v>
      </c>
      <c r="J47" s="417">
        <f t="shared" si="32"/>
        <v>0</v>
      </c>
      <c r="K47" s="419">
        <f t="shared" si="32"/>
        <v>0</v>
      </c>
      <c r="L47" s="417">
        <f t="shared" si="32"/>
        <v>0</v>
      </c>
      <c r="M47" s="419">
        <f t="shared" si="32"/>
        <v>0</v>
      </c>
      <c r="N47" s="417">
        <f t="shared" si="32"/>
        <v>0</v>
      </c>
      <c r="O47" s="419">
        <f t="shared" si="32"/>
        <v>0</v>
      </c>
      <c r="P47" s="417">
        <f t="shared" si="32"/>
        <v>0</v>
      </c>
      <c r="Q47" s="419">
        <f t="shared" si="32"/>
        <v>-1</v>
      </c>
      <c r="R47" s="417">
        <f t="shared" si="32"/>
        <v>0</v>
      </c>
      <c r="S47" s="419">
        <f t="shared" si="32"/>
        <v>0</v>
      </c>
      <c r="T47" s="417">
        <f t="shared" si="32"/>
        <v>0</v>
      </c>
      <c r="U47" s="419">
        <f t="shared" si="32"/>
        <v>0</v>
      </c>
      <c r="V47" s="417">
        <f t="shared" si="32"/>
        <v>0</v>
      </c>
      <c r="W47" s="419">
        <f t="shared" si="32"/>
        <v>0</v>
      </c>
      <c r="X47" s="417">
        <f t="shared" si="32"/>
        <v>0</v>
      </c>
      <c r="Y47" s="419">
        <f t="shared" si="32"/>
        <v>0</v>
      </c>
      <c r="Z47" s="434">
        <f t="shared" si="32"/>
        <v>0</v>
      </c>
      <c r="AA47" s="434">
        <f t="shared" si="32"/>
        <v>-1</v>
      </c>
      <c r="AC47" s="395">
        <f t="shared" si="28"/>
        <v>0</v>
      </c>
      <c r="AD47" s="395">
        <f t="shared" si="29"/>
        <v>-1</v>
      </c>
      <c r="AF47" s="395"/>
    </row>
    <row r="48" spans="1:46">
      <c r="AD48" s="395"/>
    </row>
    <row r="49" spans="1:46" ht="18.600000000000001" thickBot="1">
      <c r="A49" s="394">
        <f>A17</f>
        <v>2024</v>
      </c>
    </row>
    <row r="50" spans="1:46">
      <c r="A50" s="2815" t="s">
        <v>308</v>
      </c>
      <c r="B50" s="2827" t="s">
        <v>71</v>
      </c>
      <c r="C50" s="2828"/>
      <c r="D50" s="2829" t="s">
        <v>72</v>
      </c>
      <c r="E50" s="2830"/>
      <c r="F50" s="2817" t="s">
        <v>73</v>
      </c>
      <c r="G50" s="2818"/>
      <c r="H50" s="2819" t="s">
        <v>74</v>
      </c>
      <c r="I50" s="2820"/>
      <c r="J50" s="2821" t="s">
        <v>75</v>
      </c>
      <c r="K50" s="2822"/>
      <c r="L50" s="2823" t="s">
        <v>76</v>
      </c>
      <c r="M50" s="2824"/>
      <c r="N50" s="2827" t="s">
        <v>77</v>
      </c>
      <c r="O50" s="2828"/>
      <c r="P50" s="2829" t="s">
        <v>78</v>
      </c>
      <c r="Q50" s="2830"/>
      <c r="R50" s="2817" t="s">
        <v>79</v>
      </c>
      <c r="S50" s="2818"/>
      <c r="T50" s="2819" t="s">
        <v>80</v>
      </c>
      <c r="U50" s="2820"/>
      <c r="V50" s="2821" t="s">
        <v>81</v>
      </c>
      <c r="W50" s="2822"/>
      <c r="X50" s="2823" t="s">
        <v>82</v>
      </c>
      <c r="Y50" s="2824"/>
      <c r="Z50" s="2825" t="s">
        <v>83</v>
      </c>
      <c r="AA50" s="2826"/>
      <c r="AB50" s="634"/>
      <c r="AG50" s="430"/>
      <c r="AH50" s="430"/>
      <c r="AI50" s="430"/>
      <c r="AJ50" s="430"/>
      <c r="AK50" s="430"/>
      <c r="AL50" s="430"/>
      <c r="AM50" s="430"/>
      <c r="AN50" s="430"/>
      <c r="AO50" s="430"/>
      <c r="AP50" s="430"/>
      <c r="AQ50" s="430"/>
      <c r="AR50" s="430"/>
      <c r="AS50" s="430"/>
      <c r="AT50" s="430"/>
    </row>
    <row r="51" spans="1:46" ht="14.4" thickBot="1">
      <c r="A51" s="2816"/>
      <c r="B51" s="402" t="s">
        <v>198</v>
      </c>
      <c r="C51" s="403" t="s">
        <v>199</v>
      </c>
      <c r="D51" s="402" t="s">
        <v>198</v>
      </c>
      <c r="E51" s="403" t="s">
        <v>199</v>
      </c>
      <c r="F51" s="402" t="s">
        <v>198</v>
      </c>
      <c r="G51" s="403" t="s">
        <v>199</v>
      </c>
      <c r="H51" s="402" t="s">
        <v>198</v>
      </c>
      <c r="I51" s="403" t="s">
        <v>199</v>
      </c>
      <c r="J51" s="402" t="s">
        <v>198</v>
      </c>
      <c r="K51" s="403" t="s">
        <v>199</v>
      </c>
      <c r="L51" s="402" t="s">
        <v>198</v>
      </c>
      <c r="M51" s="403" t="s">
        <v>199</v>
      </c>
      <c r="N51" s="402" t="s">
        <v>198</v>
      </c>
      <c r="O51" s="403" t="s">
        <v>199</v>
      </c>
      <c r="P51" s="402" t="s">
        <v>198</v>
      </c>
      <c r="Q51" s="403" t="s">
        <v>199</v>
      </c>
      <c r="R51" s="402" t="s">
        <v>198</v>
      </c>
      <c r="S51" s="403" t="s">
        <v>199</v>
      </c>
      <c r="T51" s="402" t="s">
        <v>198</v>
      </c>
      <c r="U51" s="403" t="s">
        <v>199</v>
      </c>
      <c r="V51" s="1107" t="s">
        <v>198</v>
      </c>
      <c r="W51" s="403" t="s">
        <v>199</v>
      </c>
      <c r="X51" s="402" t="s">
        <v>198</v>
      </c>
      <c r="Y51" s="403" t="s">
        <v>199</v>
      </c>
      <c r="Z51" s="403" t="s">
        <v>198</v>
      </c>
      <c r="AA51" s="403" t="s">
        <v>199</v>
      </c>
      <c r="AC51" s="117" t="s">
        <v>198</v>
      </c>
      <c r="AD51" s="117" t="s">
        <v>199</v>
      </c>
      <c r="AG51" s="2831"/>
      <c r="AH51" s="2831"/>
    </row>
    <row r="52" spans="1:46" ht="14.4" thickBot="1">
      <c r="A52" s="397" t="s">
        <v>6</v>
      </c>
      <c r="B52" s="398">
        <f>B20-AE20</f>
        <v>0</v>
      </c>
      <c r="C52" s="399">
        <f>C20-AF20</f>
        <v>0</v>
      </c>
      <c r="D52" s="398">
        <f t="shared" ref="D52:D61" si="33">D20-B20</f>
        <v>0</v>
      </c>
      <c r="E52" s="398">
        <f t="shared" ref="E52:E61" si="34">E20-C20</f>
        <v>0</v>
      </c>
      <c r="F52" s="398">
        <f t="shared" ref="F52:F61" si="35">F20-D20</f>
        <v>0</v>
      </c>
      <c r="G52" s="398">
        <f t="shared" ref="G52:G61" si="36">G20-E20</f>
        <v>0</v>
      </c>
      <c r="H52" s="398">
        <f t="shared" ref="H52:H61" si="37">H20-F20</f>
        <v>0</v>
      </c>
      <c r="I52" s="398">
        <f t="shared" ref="I52:I61" si="38">I20-G20</f>
        <v>0</v>
      </c>
      <c r="J52" s="398">
        <f t="shared" ref="J52:J61" si="39">J20-H20</f>
        <v>0</v>
      </c>
      <c r="K52" s="399">
        <f t="shared" ref="K52:K61" si="40">K20-I20</f>
        <v>0</v>
      </c>
      <c r="L52" s="398">
        <f t="shared" ref="L52:L61" si="41">L20-J20</f>
        <v>0</v>
      </c>
      <c r="M52" s="399">
        <f t="shared" ref="M52:M61" si="42">M20-K20</f>
        <v>0</v>
      </c>
      <c r="N52" s="398">
        <f t="shared" ref="N52:N61" si="43">N20-L20</f>
        <v>0</v>
      </c>
      <c r="O52" s="399">
        <f t="shared" ref="O52:O61" si="44">O20-M20</f>
        <v>0</v>
      </c>
      <c r="P52" s="398">
        <f t="shared" ref="P52:P61" si="45">P20-N20</f>
        <v>0</v>
      </c>
      <c r="Q52" s="399">
        <f t="shared" ref="Q52:Q61" si="46">Q20-O20</f>
        <v>0</v>
      </c>
      <c r="R52" s="398"/>
      <c r="S52" s="399"/>
      <c r="T52" s="398">
        <f t="shared" ref="T52:T61" si="47">T20-R20</f>
        <v>0</v>
      </c>
      <c r="U52" s="399">
        <f t="shared" ref="U52:U60" si="48">U20-S20</f>
        <v>0</v>
      </c>
      <c r="V52" s="398">
        <f t="shared" ref="V52:V61" si="49">V20-T20</f>
        <v>0</v>
      </c>
      <c r="W52" s="399">
        <f t="shared" ref="W52:W61" si="50">W20-U20</f>
        <v>0</v>
      </c>
      <c r="X52" s="398">
        <f t="shared" ref="X52:X61" si="51">X20-V20</f>
        <v>0</v>
      </c>
      <c r="Y52" s="399">
        <f t="shared" ref="Y52:Y61" si="52">Y20-W20</f>
        <v>0</v>
      </c>
      <c r="Z52" s="432">
        <f>B52+D52+F52+H52+J52+L52+N52+P52+R52+T52+V52+X52</f>
        <v>0</v>
      </c>
      <c r="AA52" s="432">
        <f t="shared" ref="Z52:AA61" si="53">C52+E52+G52+I52+K52+M52+O52+Q52+S52+U52+W52+Y52</f>
        <v>0</v>
      </c>
      <c r="AB52" s="634"/>
      <c r="AC52" s="395">
        <f>P52</f>
        <v>0</v>
      </c>
      <c r="AD52" s="395">
        <f>Q52</f>
        <v>0</v>
      </c>
      <c r="AF52" s="395"/>
      <c r="AG52" s="427"/>
      <c r="AH52" s="427"/>
      <c r="AI52" s="395"/>
      <c r="AJ52" s="395"/>
      <c r="AK52" s="395"/>
      <c r="AL52" s="395"/>
    </row>
    <row r="53" spans="1:46" ht="14.4" thickBot="1">
      <c r="A53" s="397" t="s">
        <v>7</v>
      </c>
      <c r="B53" s="398">
        <f t="shared" ref="B53:B61" si="54">B21-AE21</f>
        <v>0</v>
      </c>
      <c r="C53" s="399">
        <f t="shared" ref="C53:C61" si="55">C21-AF21</f>
        <v>0</v>
      </c>
      <c r="D53" s="398">
        <f t="shared" si="33"/>
        <v>0</v>
      </c>
      <c r="E53" s="398">
        <f t="shared" si="34"/>
        <v>0</v>
      </c>
      <c r="F53" s="398">
        <f t="shared" si="35"/>
        <v>0</v>
      </c>
      <c r="G53" s="398">
        <f t="shared" si="36"/>
        <v>0</v>
      </c>
      <c r="H53" s="398">
        <f t="shared" si="37"/>
        <v>0</v>
      </c>
      <c r="I53" s="398">
        <f t="shared" si="38"/>
        <v>0</v>
      </c>
      <c r="J53" s="398">
        <f t="shared" si="39"/>
        <v>0</v>
      </c>
      <c r="K53" s="399">
        <f t="shared" si="40"/>
        <v>0</v>
      </c>
      <c r="L53" s="398">
        <f t="shared" si="41"/>
        <v>0</v>
      </c>
      <c r="M53" s="399">
        <f t="shared" si="42"/>
        <v>0</v>
      </c>
      <c r="N53" s="398">
        <f t="shared" si="43"/>
        <v>0</v>
      </c>
      <c r="O53" s="399">
        <f t="shared" si="44"/>
        <v>0</v>
      </c>
      <c r="P53" s="398">
        <f t="shared" si="45"/>
        <v>0</v>
      </c>
      <c r="Q53" s="399">
        <f t="shared" si="46"/>
        <v>0</v>
      </c>
      <c r="R53" s="398"/>
      <c r="S53" s="399"/>
      <c r="T53" s="398">
        <f t="shared" si="47"/>
        <v>0</v>
      </c>
      <c r="U53" s="399">
        <f t="shared" si="48"/>
        <v>0</v>
      </c>
      <c r="V53" s="398">
        <f t="shared" si="49"/>
        <v>0</v>
      </c>
      <c r="W53" s="399">
        <f t="shared" si="50"/>
        <v>0</v>
      </c>
      <c r="X53" s="398">
        <f t="shared" si="51"/>
        <v>0</v>
      </c>
      <c r="Y53" s="399">
        <f t="shared" si="52"/>
        <v>0</v>
      </c>
      <c r="Z53" s="432">
        <f t="shared" si="53"/>
        <v>0</v>
      </c>
      <c r="AA53" s="432">
        <f t="shared" si="53"/>
        <v>0</v>
      </c>
      <c r="AC53" s="395">
        <f t="shared" ref="AC53:AC62" si="56">P53</f>
        <v>0</v>
      </c>
      <c r="AD53" s="395">
        <f t="shared" ref="AD53:AD62" si="57">Q53</f>
        <v>0</v>
      </c>
      <c r="AF53" s="395"/>
      <c r="AG53" s="427"/>
      <c r="AH53" s="427"/>
      <c r="AI53" s="395"/>
      <c r="AJ53" s="395"/>
      <c r="AK53" s="395"/>
      <c r="AL53" s="395"/>
    </row>
    <row r="54" spans="1:46" ht="14.4" thickBot="1">
      <c r="A54" s="397" t="s">
        <v>8</v>
      </c>
      <c r="B54" s="398">
        <f t="shared" si="54"/>
        <v>0</v>
      </c>
      <c r="C54" s="399">
        <f t="shared" si="55"/>
        <v>0</v>
      </c>
      <c r="D54" s="398">
        <f t="shared" si="33"/>
        <v>0</v>
      </c>
      <c r="E54" s="398">
        <f t="shared" si="34"/>
        <v>0</v>
      </c>
      <c r="F54" s="398">
        <f t="shared" si="35"/>
        <v>0</v>
      </c>
      <c r="G54" s="398">
        <f t="shared" si="36"/>
        <v>0</v>
      </c>
      <c r="H54" s="398">
        <f t="shared" si="37"/>
        <v>0</v>
      </c>
      <c r="I54" s="398">
        <f t="shared" si="38"/>
        <v>0</v>
      </c>
      <c r="J54" s="398">
        <f t="shared" si="39"/>
        <v>0</v>
      </c>
      <c r="K54" s="399">
        <f t="shared" si="40"/>
        <v>0</v>
      </c>
      <c r="L54" s="398">
        <f t="shared" si="41"/>
        <v>0</v>
      </c>
      <c r="M54" s="399">
        <f t="shared" si="42"/>
        <v>0</v>
      </c>
      <c r="N54" s="398">
        <f t="shared" si="43"/>
        <v>0</v>
      </c>
      <c r="O54" s="399">
        <f t="shared" si="44"/>
        <v>0</v>
      </c>
      <c r="P54" s="398">
        <f t="shared" si="45"/>
        <v>0</v>
      </c>
      <c r="Q54" s="399">
        <f t="shared" si="46"/>
        <v>0</v>
      </c>
      <c r="R54" s="398"/>
      <c r="S54" s="399"/>
      <c r="T54" s="398">
        <f t="shared" si="47"/>
        <v>0</v>
      </c>
      <c r="U54" s="399">
        <f t="shared" si="48"/>
        <v>0</v>
      </c>
      <c r="V54" s="398">
        <f t="shared" si="49"/>
        <v>0</v>
      </c>
      <c r="W54" s="399">
        <f t="shared" si="50"/>
        <v>0</v>
      </c>
      <c r="X54" s="398">
        <f t="shared" si="51"/>
        <v>0</v>
      </c>
      <c r="Y54" s="399">
        <f t="shared" si="52"/>
        <v>0</v>
      </c>
      <c r="Z54" s="432">
        <f t="shared" si="53"/>
        <v>0</v>
      </c>
      <c r="AA54" s="432">
        <f t="shared" si="53"/>
        <v>0</v>
      </c>
      <c r="AB54" s="634"/>
      <c r="AC54" s="395">
        <f t="shared" si="56"/>
        <v>0</v>
      </c>
      <c r="AD54" s="395">
        <f t="shared" si="57"/>
        <v>0</v>
      </c>
      <c r="AF54" s="395"/>
      <c r="AG54" s="427"/>
      <c r="AH54" s="427"/>
      <c r="AI54" s="395"/>
      <c r="AJ54" s="395"/>
      <c r="AK54" s="395"/>
      <c r="AL54" s="395"/>
    </row>
    <row r="55" spans="1:46" ht="14.4" thickBot="1">
      <c r="A55" s="397" t="s">
        <v>4</v>
      </c>
      <c r="B55" s="398">
        <f t="shared" si="54"/>
        <v>0</v>
      </c>
      <c r="C55" s="399">
        <f t="shared" si="55"/>
        <v>0</v>
      </c>
      <c r="D55" s="398">
        <f t="shared" si="33"/>
        <v>0</v>
      </c>
      <c r="E55" s="398">
        <f t="shared" si="34"/>
        <v>0</v>
      </c>
      <c r="F55" s="398">
        <f t="shared" si="35"/>
        <v>0</v>
      </c>
      <c r="G55" s="398">
        <f t="shared" si="36"/>
        <v>0</v>
      </c>
      <c r="H55" s="398">
        <f t="shared" si="37"/>
        <v>0</v>
      </c>
      <c r="I55" s="398">
        <f t="shared" si="38"/>
        <v>0</v>
      </c>
      <c r="J55" s="398">
        <f t="shared" si="39"/>
        <v>0</v>
      </c>
      <c r="K55" s="399">
        <f t="shared" si="40"/>
        <v>0</v>
      </c>
      <c r="L55" s="398">
        <f t="shared" si="41"/>
        <v>0</v>
      </c>
      <c r="M55" s="399">
        <f t="shared" si="42"/>
        <v>0</v>
      </c>
      <c r="N55" s="398">
        <f t="shared" si="43"/>
        <v>0</v>
      </c>
      <c r="O55" s="399">
        <f t="shared" si="44"/>
        <v>1</v>
      </c>
      <c r="P55" s="398">
        <f t="shared" si="45"/>
        <v>0</v>
      </c>
      <c r="Q55" s="399">
        <f t="shared" si="46"/>
        <v>0</v>
      </c>
      <c r="R55" s="398"/>
      <c r="S55" s="399"/>
      <c r="T55" s="398">
        <f t="shared" si="47"/>
        <v>0</v>
      </c>
      <c r="U55" s="399">
        <f t="shared" si="48"/>
        <v>0</v>
      </c>
      <c r="V55" s="398">
        <f t="shared" si="49"/>
        <v>0</v>
      </c>
      <c r="W55" s="399">
        <f t="shared" si="50"/>
        <v>0</v>
      </c>
      <c r="X55" s="398">
        <f t="shared" si="51"/>
        <v>0</v>
      </c>
      <c r="Y55" s="399">
        <f t="shared" si="52"/>
        <v>0</v>
      </c>
      <c r="Z55" s="432">
        <f t="shared" si="53"/>
        <v>0</v>
      </c>
      <c r="AA55" s="432">
        <f t="shared" si="53"/>
        <v>1</v>
      </c>
      <c r="AC55" s="395">
        <f t="shared" si="56"/>
        <v>0</v>
      </c>
      <c r="AD55" s="395">
        <f t="shared" si="57"/>
        <v>0</v>
      </c>
      <c r="AF55" s="395"/>
      <c r="AG55" s="427"/>
      <c r="AH55" s="427"/>
      <c r="AI55" s="395"/>
      <c r="AJ55" s="395"/>
      <c r="AK55" s="395"/>
      <c r="AL55" s="395"/>
    </row>
    <row r="56" spans="1:46" ht="14.4" thickBot="1">
      <c r="A56" s="397" t="s">
        <v>3</v>
      </c>
      <c r="B56" s="398">
        <f t="shared" si="54"/>
        <v>0</v>
      </c>
      <c r="C56" s="399">
        <f t="shared" si="55"/>
        <v>0</v>
      </c>
      <c r="D56" s="398">
        <f t="shared" si="33"/>
        <v>0</v>
      </c>
      <c r="E56" s="398">
        <f t="shared" si="34"/>
        <v>0</v>
      </c>
      <c r="F56" s="398">
        <f t="shared" si="35"/>
        <v>0</v>
      </c>
      <c r="G56" s="398">
        <f t="shared" si="36"/>
        <v>0</v>
      </c>
      <c r="H56" s="398">
        <f t="shared" si="37"/>
        <v>0</v>
      </c>
      <c r="I56" s="398">
        <f t="shared" si="38"/>
        <v>0</v>
      </c>
      <c r="J56" s="398">
        <f t="shared" si="39"/>
        <v>0</v>
      </c>
      <c r="K56" s="399">
        <f t="shared" si="40"/>
        <v>0</v>
      </c>
      <c r="L56" s="398">
        <f t="shared" si="41"/>
        <v>0</v>
      </c>
      <c r="M56" s="399">
        <f t="shared" si="42"/>
        <v>0</v>
      </c>
      <c r="N56" s="398">
        <f t="shared" si="43"/>
        <v>0</v>
      </c>
      <c r="O56" s="399">
        <f t="shared" si="44"/>
        <v>0</v>
      </c>
      <c r="P56" s="398">
        <f t="shared" si="45"/>
        <v>0</v>
      </c>
      <c r="Q56" s="399">
        <f t="shared" si="46"/>
        <v>0</v>
      </c>
      <c r="R56" s="398"/>
      <c r="S56" s="399"/>
      <c r="T56" s="398">
        <f t="shared" si="47"/>
        <v>0</v>
      </c>
      <c r="U56" s="399">
        <f t="shared" si="48"/>
        <v>0</v>
      </c>
      <c r="V56" s="398">
        <f t="shared" si="49"/>
        <v>0</v>
      </c>
      <c r="W56" s="399">
        <f t="shared" si="50"/>
        <v>0</v>
      </c>
      <c r="X56" s="398">
        <f t="shared" si="51"/>
        <v>0</v>
      </c>
      <c r="Y56" s="399">
        <f t="shared" si="52"/>
        <v>0</v>
      </c>
      <c r="Z56" s="432">
        <f t="shared" si="53"/>
        <v>0</v>
      </c>
      <c r="AA56" s="432">
        <f t="shared" si="53"/>
        <v>0</v>
      </c>
      <c r="AB56" s="634"/>
      <c r="AC56" s="395">
        <f t="shared" si="56"/>
        <v>0</v>
      </c>
      <c r="AD56" s="395">
        <f t="shared" si="57"/>
        <v>0</v>
      </c>
      <c r="AF56" s="395"/>
      <c r="AG56" s="427"/>
      <c r="AH56" s="427"/>
      <c r="AI56" s="395"/>
      <c r="AJ56" s="395"/>
      <c r="AK56" s="395"/>
      <c r="AL56" s="395"/>
    </row>
    <row r="57" spans="1:46" ht="13.95" customHeight="1" thickBot="1">
      <c r="A57" s="397" t="s">
        <v>397</v>
      </c>
      <c r="B57" s="398">
        <f t="shared" si="54"/>
        <v>0</v>
      </c>
      <c r="C57" s="399">
        <f t="shared" si="55"/>
        <v>0</v>
      </c>
      <c r="D57" s="398">
        <f t="shared" si="33"/>
        <v>0</v>
      </c>
      <c r="E57" s="398">
        <f t="shared" si="34"/>
        <v>0</v>
      </c>
      <c r="F57" s="398">
        <f t="shared" si="35"/>
        <v>0</v>
      </c>
      <c r="G57" s="398">
        <f t="shared" si="36"/>
        <v>0</v>
      </c>
      <c r="H57" s="398">
        <f t="shared" si="37"/>
        <v>0</v>
      </c>
      <c r="I57" s="398">
        <f t="shared" si="38"/>
        <v>0</v>
      </c>
      <c r="J57" s="398">
        <f t="shared" si="39"/>
        <v>0</v>
      </c>
      <c r="K57" s="399">
        <f t="shared" si="40"/>
        <v>0</v>
      </c>
      <c r="L57" s="398">
        <f t="shared" si="41"/>
        <v>0</v>
      </c>
      <c r="M57" s="399">
        <f t="shared" si="42"/>
        <v>0</v>
      </c>
      <c r="N57" s="398">
        <f t="shared" si="43"/>
        <v>0</v>
      </c>
      <c r="O57" s="399">
        <f t="shared" si="44"/>
        <v>0</v>
      </c>
      <c r="P57" s="398">
        <f t="shared" si="45"/>
        <v>0</v>
      </c>
      <c r="Q57" s="399">
        <f t="shared" si="46"/>
        <v>0</v>
      </c>
      <c r="R57" s="398"/>
      <c r="S57" s="399"/>
      <c r="T57" s="398">
        <f t="shared" si="47"/>
        <v>0</v>
      </c>
      <c r="U57" s="399">
        <f t="shared" si="48"/>
        <v>0</v>
      </c>
      <c r="V57" s="398">
        <f t="shared" si="49"/>
        <v>0</v>
      </c>
      <c r="W57" s="399">
        <f t="shared" si="50"/>
        <v>0</v>
      </c>
      <c r="X57" s="398">
        <f t="shared" si="51"/>
        <v>0</v>
      </c>
      <c r="Y57" s="399">
        <f t="shared" si="52"/>
        <v>0</v>
      </c>
      <c r="Z57" s="432">
        <f t="shared" si="53"/>
        <v>0</v>
      </c>
      <c r="AA57" s="432">
        <f t="shared" si="53"/>
        <v>0</v>
      </c>
      <c r="AB57" s="634"/>
      <c r="AC57" s="395">
        <f t="shared" si="56"/>
        <v>0</v>
      </c>
      <c r="AD57" s="395">
        <f t="shared" si="57"/>
        <v>0</v>
      </c>
      <c r="AF57" s="395"/>
      <c r="AG57" s="427"/>
      <c r="AH57" s="427"/>
      <c r="AI57" s="395"/>
      <c r="AJ57" s="395"/>
      <c r="AK57" s="395"/>
      <c r="AL57" s="395"/>
    </row>
    <row r="58" spans="1:46" ht="14.4" thickBot="1">
      <c r="A58" s="397" t="s">
        <v>399</v>
      </c>
      <c r="B58" s="398">
        <f t="shared" si="54"/>
        <v>0</v>
      </c>
      <c r="C58" s="399">
        <f t="shared" si="55"/>
        <v>0</v>
      </c>
      <c r="D58" s="398">
        <f t="shared" si="33"/>
        <v>0</v>
      </c>
      <c r="E58" s="398">
        <f t="shared" si="34"/>
        <v>0</v>
      </c>
      <c r="F58" s="398">
        <f t="shared" si="35"/>
        <v>0</v>
      </c>
      <c r="G58" s="398">
        <f t="shared" si="36"/>
        <v>0</v>
      </c>
      <c r="H58" s="398">
        <f t="shared" si="37"/>
        <v>0</v>
      </c>
      <c r="I58" s="398">
        <f t="shared" si="38"/>
        <v>-1</v>
      </c>
      <c r="J58" s="398">
        <f t="shared" si="39"/>
        <v>0</v>
      </c>
      <c r="K58" s="399">
        <f t="shared" si="40"/>
        <v>0</v>
      </c>
      <c r="L58" s="398">
        <f t="shared" si="41"/>
        <v>0</v>
      </c>
      <c r="M58" s="399">
        <f t="shared" si="42"/>
        <v>0</v>
      </c>
      <c r="N58" s="398">
        <f t="shared" si="43"/>
        <v>0</v>
      </c>
      <c r="O58" s="399">
        <f t="shared" si="44"/>
        <v>0</v>
      </c>
      <c r="P58" s="398">
        <f t="shared" si="45"/>
        <v>0</v>
      </c>
      <c r="Q58" s="399">
        <f t="shared" si="46"/>
        <v>0</v>
      </c>
      <c r="R58" s="398"/>
      <c r="S58" s="399"/>
      <c r="T58" s="398">
        <f t="shared" si="47"/>
        <v>0</v>
      </c>
      <c r="U58" s="399">
        <f t="shared" si="48"/>
        <v>0</v>
      </c>
      <c r="V58" s="398">
        <f t="shared" si="49"/>
        <v>0</v>
      </c>
      <c r="W58" s="399">
        <f t="shared" si="50"/>
        <v>0</v>
      </c>
      <c r="X58" s="398">
        <f t="shared" si="51"/>
        <v>0</v>
      </c>
      <c r="Y58" s="399">
        <f t="shared" si="52"/>
        <v>0</v>
      </c>
      <c r="Z58" s="432">
        <f t="shared" si="53"/>
        <v>0</v>
      </c>
      <c r="AA58" s="432">
        <f t="shared" si="53"/>
        <v>-1</v>
      </c>
      <c r="AC58" s="395">
        <f t="shared" si="56"/>
        <v>0</v>
      </c>
      <c r="AD58" s="395">
        <f t="shared" si="57"/>
        <v>0</v>
      </c>
      <c r="AF58" s="395"/>
      <c r="AG58" s="427"/>
      <c r="AH58" s="427"/>
      <c r="AI58" s="395"/>
      <c r="AJ58" s="395"/>
      <c r="AK58" s="395"/>
      <c r="AL58" s="395"/>
    </row>
    <row r="59" spans="1:46" ht="14.4" thickBot="1">
      <c r="A59" s="397" t="s">
        <v>883</v>
      </c>
      <c r="B59" s="398">
        <f t="shared" si="54"/>
        <v>0</v>
      </c>
      <c r="C59" s="399">
        <f t="shared" si="55"/>
        <v>0</v>
      </c>
      <c r="D59" s="398">
        <f t="shared" si="33"/>
        <v>0</v>
      </c>
      <c r="E59" s="398">
        <f t="shared" si="34"/>
        <v>0</v>
      </c>
      <c r="F59" s="398">
        <f t="shared" si="35"/>
        <v>0</v>
      </c>
      <c r="G59" s="398">
        <f t="shared" si="36"/>
        <v>0</v>
      </c>
      <c r="H59" s="398">
        <f t="shared" si="37"/>
        <v>0</v>
      </c>
      <c r="I59" s="398">
        <f t="shared" si="38"/>
        <v>0</v>
      </c>
      <c r="J59" s="398">
        <f t="shared" si="39"/>
        <v>0</v>
      </c>
      <c r="K59" s="399">
        <f t="shared" si="40"/>
        <v>0</v>
      </c>
      <c r="L59" s="398">
        <f t="shared" si="41"/>
        <v>0</v>
      </c>
      <c r="M59" s="399">
        <f t="shared" si="42"/>
        <v>0</v>
      </c>
      <c r="N59" s="398">
        <f t="shared" si="43"/>
        <v>0</v>
      </c>
      <c r="O59" s="399">
        <f t="shared" si="44"/>
        <v>0</v>
      </c>
      <c r="P59" s="398">
        <f t="shared" si="45"/>
        <v>0</v>
      </c>
      <c r="Q59" s="399">
        <f t="shared" si="46"/>
        <v>0</v>
      </c>
      <c r="R59" s="398"/>
      <c r="S59" s="399"/>
      <c r="T59" s="398">
        <f t="shared" si="47"/>
        <v>0</v>
      </c>
      <c r="U59" s="399">
        <f t="shared" si="48"/>
        <v>0</v>
      </c>
      <c r="V59" s="398">
        <f t="shared" si="49"/>
        <v>0</v>
      </c>
      <c r="W59" s="399">
        <f t="shared" si="50"/>
        <v>0</v>
      </c>
      <c r="X59" s="398">
        <f t="shared" si="51"/>
        <v>0</v>
      </c>
      <c r="Y59" s="399">
        <f t="shared" si="52"/>
        <v>0</v>
      </c>
      <c r="Z59" s="432">
        <f t="shared" si="53"/>
        <v>0</v>
      </c>
      <c r="AA59" s="432">
        <f t="shared" si="53"/>
        <v>0</v>
      </c>
      <c r="AB59" s="634"/>
      <c r="AC59" s="395">
        <f t="shared" si="56"/>
        <v>0</v>
      </c>
      <c r="AD59" s="395">
        <f t="shared" si="57"/>
        <v>0</v>
      </c>
      <c r="AF59" s="395"/>
      <c r="AG59" s="427"/>
      <c r="AH59" s="427"/>
      <c r="AI59" s="395"/>
      <c r="AJ59" s="395"/>
      <c r="AK59" s="395"/>
      <c r="AL59" s="395"/>
    </row>
    <row r="60" spans="1:46" ht="14.4" thickBot="1">
      <c r="A60" s="397" t="s">
        <v>884</v>
      </c>
      <c r="B60" s="398">
        <f t="shared" si="54"/>
        <v>0</v>
      </c>
      <c r="C60" s="399">
        <f t="shared" si="55"/>
        <v>0</v>
      </c>
      <c r="D60" s="398">
        <f t="shared" si="33"/>
        <v>0</v>
      </c>
      <c r="E60" s="398">
        <f t="shared" si="34"/>
        <v>0</v>
      </c>
      <c r="F60" s="398">
        <f t="shared" si="35"/>
        <v>0</v>
      </c>
      <c r="G60" s="398">
        <f t="shared" si="36"/>
        <v>0</v>
      </c>
      <c r="H60" s="398">
        <f t="shared" si="37"/>
        <v>0</v>
      </c>
      <c r="I60" s="398">
        <f t="shared" si="38"/>
        <v>0</v>
      </c>
      <c r="J60" s="398">
        <f t="shared" si="39"/>
        <v>0</v>
      </c>
      <c r="K60" s="399">
        <f t="shared" si="40"/>
        <v>0</v>
      </c>
      <c r="L60" s="398">
        <f t="shared" si="41"/>
        <v>0</v>
      </c>
      <c r="M60" s="399">
        <f t="shared" si="42"/>
        <v>0</v>
      </c>
      <c r="N60" s="398">
        <f t="shared" si="43"/>
        <v>0</v>
      </c>
      <c r="O60" s="399">
        <f t="shared" si="44"/>
        <v>0</v>
      </c>
      <c r="P60" s="398">
        <f t="shared" si="45"/>
        <v>0</v>
      </c>
      <c r="Q60" s="399">
        <f t="shared" si="46"/>
        <v>0</v>
      </c>
      <c r="R60" s="398"/>
      <c r="S60" s="399"/>
      <c r="T60" s="398">
        <f t="shared" si="47"/>
        <v>0</v>
      </c>
      <c r="U60" s="399">
        <f t="shared" si="48"/>
        <v>0</v>
      </c>
      <c r="V60" s="398">
        <f t="shared" si="49"/>
        <v>0</v>
      </c>
      <c r="W60" s="399">
        <f t="shared" si="50"/>
        <v>0</v>
      </c>
      <c r="X60" s="398">
        <f t="shared" si="51"/>
        <v>0</v>
      </c>
      <c r="Y60" s="399">
        <f t="shared" si="52"/>
        <v>0</v>
      </c>
      <c r="Z60" s="432">
        <f t="shared" si="53"/>
        <v>0</v>
      </c>
      <c r="AA60" s="432">
        <f t="shared" si="53"/>
        <v>0</v>
      </c>
      <c r="AC60" s="395">
        <f t="shared" si="56"/>
        <v>0</v>
      </c>
      <c r="AD60" s="395">
        <f t="shared" si="57"/>
        <v>0</v>
      </c>
      <c r="AF60" s="395"/>
      <c r="AG60" s="427"/>
      <c r="AH60" s="427"/>
      <c r="AI60" s="395"/>
      <c r="AJ60" s="395"/>
      <c r="AK60" s="395"/>
      <c r="AL60" s="395"/>
    </row>
    <row r="61" spans="1:46" ht="14.4" thickBot="1">
      <c r="A61" s="397" t="s">
        <v>885</v>
      </c>
      <c r="B61" s="398">
        <f t="shared" si="54"/>
        <v>0</v>
      </c>
      <c r="C61" s="399">
        <f t="shared" si="55"/>
        <v>0</v>
      </c>
      <c r="D61" s="398">
        <f t="shared" si="33"/>
        <v>0</v>
      </c>
      <c r="E61" s="398">
        <f t="shared" si="34"/>
        <v>0</v>
      </c>
      <c r="F61" s="398">
        <f t="shared" si="35"/>
        <v>0</v>
      </c>
      <c r="G61" s="398">
        <f t="shared" si="36"/>
        <v>0</v>
      </c>
      <c r="H61" s="398">
        <f t="shared" si="37"/>
        <v>0</v>
      </c>
      <c r="I61" s="398">
        <f t="shared" si="38"/>
        <v>0</v>
      </c>
      <c r="J61" s="398">
        <f t="shared" si="39"/>
        <v>0</v>
      </c>
      <c r="K61" s="399">
        <f t="shared" si="40"/>
        <v>0</v>
      </c>
      <c r="L61" s="398">
        <f t="shared" si="41"/>
        <v>0</v>
      </c>
      <c r="M61" s="399">
        <f t="shared" si="42"/>
        <v>0</v>
      </c>
      <c r="N61" s="398">
        <f t="shared" si="43"/>
        <v>0</v>
      </c>
      <c r="O61" s="399">
        <f t="shared" si="44"/>
        <v>0</v>
      </c>
      <c r="P61" s="398">
        <f t="shared" si="45"/>
        <v>0</v>
      </c>
      <c r="Q61" s="399">
        <f t="shared" si="46"/>
        <v>0</v>
      </c>
      <c r="R61" s="398"/>
      <c r="S61" s="399"/>
      <c r="T61" s="398">
        <f t="shared" si="47"/>
        <v>0</v>
      </c>
      <c r="U61" s="399">
        <f>U29-S29</f>
        <v>0</v>
      </c>
      <c r="V61" s="398">
        <f t="shared" si="49"/>
        <v>0</v>
      </c>
      <c r="W61" s="399">
        <f t="shared" si="50"/>
        <v>0</v>
      </c>
      <c r="X61" s="398">
        <f t="shared" si="51"/>
        <v>0</v>
      </c>
      <c r="Y61" s="399">
        <f t="shared" si="52"/>
        <v>0</v>
      </c>
      <c r="Z61" s="432">
        <f t="shared" si="53"/>
        <v>0</v>
      </c>
      <c r="AA61" s="432">
        <f t="shared" si="53"/>
        <v>0</v>
      </c>
      <c r="AB61" s="634"/>
      <c r="AC61" s="395">
        <f t="shared" si="56"/>
        <v>0</v>
      </c>
      <c r="AD61" s="395">
        <f t="shared" si="57"/>
        <v>0</v>
      </c>
      <c r="AF61" s="395"/>
      <c r="AG61" s="427"/>
      <c r="AH61" s="427"/>
      <c r="AI61" s="395"/>
      <c r="AJ61" s="395"/>
      <c r="AK61" s="395"/>
      <c r="AL61" s="395"/>
    </row>
    <row r="62" spans="1:46" ht="14.4" thickBot="1">
      <c r="A62" s="433" t="s">
        <v>16</v>
      </c>
      <c r="B62" s="417">
        <f t="shared" ref="B62:AA62" si="58">SUM(B52:B61)</f>
        <v>0</v>
      </c>
      <c r="C62" s="419">
        <f t="shared" si="58"/>
        <v>0</v>
      </c>
      <c r="D62" s="417">
        <f t="shared" si="58"/>
        <v>0</v>
      </c>
      <c r="E62" s="419">
        <f t="shared" si="58"/>
        <v>0</v>
      </c>
      <c r="F62" s="417">
        <f t="shared" si="58"/>
        <v>0</v>
      </c>
      <c r="G62" s="419">
        <f t="shared" si="58"/>
        <v>0</v>
      </c>
      <c r="H62" s="417">
        <f t="shared" si="58"/>
        <v>0</v>
      </c>
      <c r="I62" s="419">
        <f t="shared" si="58"/>
        <v>-1</v>
      </c>
      <c r="J62" s="417">
        <f t="shared" si="58"/>
        <v>0</v>
      </c>
      <c r="K62" s="419">
        <f t="shared" si="58"/>
        <v>0</v>
      </c>
      <c r="L62" s="417">
        <f t="shared" si="58"/>
        <v>0</v>
      </c>
      <c r="M62" s="419">
        <f t="shared" si="58"/>
        <v>0</v>
      </c>
      <c r="N62" s="417">
        <f t="shared" si="58"/>
        <v>0</v>
      </c>
      <c r="O62" s="419">
        <f t="shared" si="58"/>
        <v>1</v>
      </c>
      <c r="P62" s="417">
        <f t="shared" si="58"/>
        <v>0</v>
      </c>
      <c r="Q62" s="419">
        <f t="shared" si="58"/>
        <v>0</v>
      </c>
      <c r="R62" s="417">
        <f t="shared" si="58"/>
        <v>0</v>
      </c>
      <c r="S62" s="419">
        <f t="shared" si="58"/>
        <v>0</v>
      </c>
      <c r="T62" s="417">
        <f t="shared" si="58"/>
        <v>0</v>
      </c>
      <c r="U62" s="419">
        <f t="shared" si="58"/>
        <v>0</v>
      </c>
      <c r="V62" s="417">
        <f t="shared" si="58"/>
        <v>0</v>
      </c>
      <c r="W62" s="419">
        <f t="shared" si="58"/>
        <v>0</v>
      </c>
      <c r="X62" s="417">
        <f t="shared" si="58"/>
        <v>0</v>
      </c>
      <c r="Y62" s="419">
        <f t="shared" si="58"/>
        <v>0</v>
      </c>
      <c r="Z62" s="434">
        <f t="shared" si="58"/>
        <v>0</v>
      </c>
      <c r="AA62" s="434">
        <f t="shared" si="58"/>
        <v>0</v>
      </c>
      <c r="AC62" s="395">
        <f t="shared" si="56"/>
        <v>0</v>
      </c>
      <c r="AD62" s="395">
        <f t="shared" si="57"/>
        <v>0</v>
      </c>
      <c r="AF62" s="395"/>
      <c r="AG62" s="427"/>
      <c r="AH62" s="427"/>
      <c r="AI62" s="395"/>
      <c r="AJ62" s="395"/>
      <c r="AK62" s="395"/>
      <c r="AL62" s="395"/>
    </row>
    <row r="63" spans="1:46">
      <c r="AB63" s="634"/>
    </row>
    <row r="64" spans="1:46" ht="18">
      <c r="A64" s="393" t="s">
        <v>738</v>
      </c>
    </row>
    <row r="65" spans="1:30" ht="18.600000000000001" thickBot="1">
      <c r="A65" s="394">
        <f>A34</f>
        <v>2023</v>
      </c>
    </row>
    <row r="66" spans="1:30">
      <c r="A66" s="2815" t="s">
        <v>308</v>
      </c>
      <c r="B66" s="2827" t="s">
        <v>71</v>
      </c>
      <c r="C66" s="2828"/>
      <c r="D66" s="2829" t="s">
        <v>72</v>
      </c>
      <c r="E66" s="2830"/>
      <c r="F66" s="2817" t="s">
        <v>73</v>
      </c>
      <c r="G66" s="2818"/>
      <c r="H66" s="2819" t="s">
        <v>74</v>
      </c>
      <c r="I66" s="2820"/>
      <c r="J66" s="2821" t="s">
        <v>75</v>
      </c>
      <c r="K66" s="2822"/>
      <c r="L66" s="2823" t="s">
        <v>76</v>
      </c>
      <c r="M66" s="2824"/>
      <c r="N66" s="2827" t="s">
        <v>77</v>
      </c>
      <c r="O66" s="2828"/>
      <c r="P66" s="2829" t="s">
        <v>78</v>
      </c>
      <c r="Q66" s="2830"/>
      <c r="R66" s="2817" t="s">
        <v>79</v>
      </c>
      <c r="S66" s="2818"/>
      <c r="T66" s="2819" t="s">
        <v>80</v>
      </c>
      <c r="U66" s="2820"/>
      <c r="V66" s="2821" t="s">
        <v>81</v>
      </c>
      <c r="W66" s="2822"/>
      <c r="X66" s="2823" t="s">
        <v>82</v>
      </c>
      <c r="Y66" s="2824"/>
      <c r="Z66" s="2825" t="s">
        <v>83</v>
      </c>
      <c r="AA66" s="2826"/>
      <c r="AB66" s="634"/>
    </row>
    <row r="67" spans="1:30" ht="14.4" thickBot="1">
      <c r="A67" s="2816"/>
      <c r="B67" s="402" t="s">
        <v>198</v>
      </c>
      <c r="C67" s="403" t="s">
        <v>199</v>
      </c>
      <c r="D67" s="402" t="s">
        <v>198</v>
      </c>
      <c r="E67" s="403" t="s">
        <v>199</v>
      </c>
      <c r="F67" s="402" t="s">
        <v>198</v>
      </c>
      <c r="G67" s="403" t="s">
        <v>199</v>
      </c>
      <c r="H67" s="402" t="s">
        <v>198</v>
      </c>
      <c r="I67" s="403" t="s">
        <v>199</v>
      </c>
      <c r="J67" s="402" t="s">
        <v>198</v>
      </c>
      <c r="K67" s="403" t="s">
        <v>199</v>
      </c>
      <c r="L67" s="402" t="s">
        <v>198</v>
      </c>
      <c r="M67" s="403" t="s">
        <v>199</v>
      </c>
      <c r="N67" s="402" t="s">
        <v>198</v>
      </c>
      <c r="O67" s="403" t="s">
        <v>199</v>
      </c>
      <c r="P67" s="402" t="s">
        <v>198</v>
      </c>
      <c r="Q67" s="403" t="s">
        <v>199</v>
      </c>
      <c r="R67" s="402" t="s">
        <v>198</v>
      </c>
      <c r="S67" s="403" t="s">
        <v>199</v>
      </c>
      <c r="T67" s="402" t="s">
        <v>198</v>
      </c>
      <c r="U67" s="403" t="s">
        <v>199</v>
      </c>
      <c r="V67" s="1107" t="s">
        <v>198</v>
      </c>
      <c r="W67" s="403" t="s">
        <v>199</v>
      </c>
      <c r="X67" s="402" t="s">
        <v>198</v>
      </c>
      <c r="Y67" s="403" t="s">
        <v>199</v>
      </c>
      <c r="Z67" s="403" t="s">
        <v>198</v>
      </c>
      <c r="AA67" s="403" t="s">
        <v>199</v>
      </c>
      <c r="AC67" s="117" t="s">
        <v>198</v>
      </c>
      <c r="AD67" s="117" t="s">
        <v>199</v>
      </c>
    </row>
    <row r="68" spans="1:30" ht="14.4" thickBot="1">
      <c r="A68" s="397" t="s">
        <v>6</v>
      </c>
      <c r="B68" s="398">
        <v>0</v>
      </c>
      <c r="C68" s="399">
        <v>0</v>
      </c>
      <c r="D68" s="398">
        <v>0</v>
      </c>
      <c r="E68" s="398">
        <v>0</v>
      </c>
      <c r="F68" s="398">
        <v>0</v>
      </c>
      <c r="G68" s="398">
        <v>0</v>
      </c>
      <c r="H68" s="398">
        <v>0</v>
      </c>
      <c r="I68" s="398">
        <v>0</v>
      </c>
      <c r="J68" s="398">
        <v>0</v>
      </c>
      <c r="K68" s="399">
        <v>0</v>
      </c>
      <c r="L68" s="398">
        <v>0</v>
      </c>
      <c r="M68" s="399">
        <v>0</v>
      </c>
      <c r="N68" s="398">
        <v>0</v>
      </c>
      <c r="O68" s="399">
        <v>0</v>
      </c>
      <c r="P68" s="398">
        <v>0</v>
      </c>
      <c r="Q68" s="399">
        <v>0</v>
      </c>
      <c r="R68" s="398"/>
      <c r="S68" s="399"/>
      <c r="T68" s="398"/>
      <c r="U68" s="399"/>
      <c r="V68" s="398"/>
      <c r="W68" s="399"/>
      <c r="X68" s="398"/>
      <c r="Y68" s="399"/>
      <c r="Z68" s="432">
        <f t="shared" ref="Z68:AA72" si="59">B68+D68+F68+H68+J68+L68+N68+P68+R68+T68+V68+X68</f>
        <v>0</v>
      </c>
      <c r="AA68" s="432">
        <f t="shared" si="59"/>
        <v>0</v>
      </c>
      <c r="AC68" s="395">
        <f>P68</f>
        <v>0</v>
      </c>
      <c r="AD68" s="395">
        <f>Q68</f>
        <v>0</v>
      </c>
    </row>
    <row r="69" spans="1:30" ht="14.4" thickBot="1">
      <c r="A69" s="397" t="s">
        <v>7</v>
      </c>
      <c r="B69" s="398">
        <v>0</v>
      </c>
      <c r="C69" s="399">
        <v>0</v>
      </c>
      <c r="D69" s="398">
        <v>0</v>
      </c>
      <c r="E69" s="398">
        <v>0</v>
      </c>
      <c r="F69" s="398">
        <v>0</v>
      </c>
      <c r="G69" s="398">
        <v>0</v>
      </c>
      <c r="H69" s="398">
        <v>0</v>
      </c>
      <c r="I69" s="398">
        <v>0</v>
      </c>
      <c r="J69" s="398">
        <v>0</v>
      </c>
      <c r="K69" s="399">
        <v>0</v>
      </c>
      <c r="L69" s="398">
        <v>0</v>
      </c>
      <c r="M69" s="399">
        <v>0</v>
      </c>
      <c r="N69" s="398">
        <v>0</v>
      </c>
      <c r="O69" s="399">
        <v>0</v>
      </c>
      <c r="P69" s="398">
        <v>0</v>
      </c>
      <c r="Q69" s="399">
        <v>0</v>
      </c>
      <c r="R69" s="398"/>
      <c r="S69" s="399"/>
      <c r="T69" s="398"/>
      <c r="U69" s="399"/>
      <c r="V69" s="398"/>
      <c r="W69" s="399"/>
      <c r="X69" s="398"/>
      <c r="Y69" s="399"/>
      <c r="Z69" s="432">
        <f t="shared" si="59"/>
        <v>0</v>
      </c>
      <c r="AA69" s="432">
        <f t="shared" si="59"/>
        <v>0</v>
      </c>
      <c r="AC69" s="395">
        <f t="shared" ref="AC69:AC78" si="60">P69</f>
        <v>0</v>
      </c>
      <c r="AD69" s="395">
        <f t="shared" ref="AD69:AD78" si="61">Q69</f>
        <v>0</v>
      </c>
    </row>
    <row r="70" spans="1:30" ht="14.4" thickBot="1">
      <c r="A70" s="397" t="s">
        <v>8</v>
      </c>
      <c r="B70" s="398">
        <v>0</v>
      </c>
      <c r="C70" s="399">
        <v>0</v>
      </c>
      <c r="D70" s="398">
        <v>0</v>
      </c>
      <c r="E70" s="398">
        <v>0</v>
      </c>
      <c r="F70" s="398">
        <v>0</v>
      </c>
      <c r="G70" s="398">
        <v>0</v>
      </c>
      <c r="H70" s="398">
        <v>0</v>
      </c>
      <c r="I70" s="398">
        <v>0</v>
      </c>
      <c r="J70" s="398">
        <v>0</v>
      </c>
      <c r="K70" s="399">
        <v>0</v>
      </c>
      <c r="L70" s="398">
        <v>0</v>
      </c>
      <c r="M70" s="399">
        <v>0</v>
      </c>
      <c r="N70" s="398">
        <v>0</v>
      </c>
      <c r="O70" s="399">
        <v>0</v>
      </c>
      <c r="P70" s="398">
        <v>0</v>
      </c>
      <c r="Q70" s="399">
        <v>0</v>
      </c>
      <c r="R70" s="398"/>
      <c r="S70" s="399"/>
      <c r="T70" s="398"/>
      <c r="U70" s="399"/>
      <c r="V70" s="398"/>
      <c r="W70" s="399"/>
      <c r="X70" s="398"/>
      <c r="Y70" s="399"/>
      <c r="Z70" s="432">
        <f t="shared" si="59"/>
        <v>0</v>
      </c>
      <c r="AA70" s="432">
        <f t="shared" si="59"/>
        <v>0</v>
      </c>
      <c r="AC70" s="395">
        <f t="shared" si="60"/>
        <v>0</v>
      </c>
      <c r="AD70" s="395">
        <f t="shared" si="61"/>
        <v>0</v>
      </c>
    </row>
    <row r="71" spans="1:30" ht="14.4" thickBot="1">
      <c r="A71" s="397" t="s">
        <v>4</v>
      </c>
      <c r="B71" s="398">
        <v>0</v>
      </c>
      <c r="C71" s="399">
        <v>0</v>
      </c>
      <c r="D71" s="398">
        <v>0</v>
      </c>
      <c r="E71" s="398">
        <v>0</v>
      </c>
      <c r="F71" s="398">
        <v>0</v>
      </c>
      <c r="G71" s="398">
        <v>0</v>
      </c>
      <c r="H71" s="398">
        <v>0</v>
      </c>
      <c r="I71" s="398">
        <v>0</v>
      </c>
      <c r="J71" s="398">
        <v>0</v>
      </c>
      <c r="K71" s="399">
        <v>0</v>
      </c>
      <c r="L71" s="398">
        <v>0</v>
      </c>
      <c r="M71" s="399">
        <v>0</v>
      </c>
      <c r="N71" s="398">
        <v>0</v>
      </c>
      <c r="O71" s="399">
        <v>0</v>
      </c>
      <c r="P71" s="398">
        <v>0</v>
      </c>
      <c r="Q71" s="399">
        <v>0</v>
      </c>
      <c r="R71" s="398"/>
      <c r="S71" s="399"/>
      <c r="T71" s="398"/>
      <c r="U71" s="399"/>
      <c r="V71" s="398"/>
      <c r="W71" s="399"/>
      <c r="X71" s="398"/>
      <c r="Y71" s="399"/>
      <c r="Z71" s="432">
        <f t="shared" si="59"/>
        <v>0</v>
      </c>
      <c r="AA71" s="432">
        <f t="shared" si="59"/>
        <v>0</v>
      </c>
      <c r="AC71" s="395">
        <f t="shared" si="60"/>
        <v>0</v>
      </c>
      <c r="AD71" s="395">
        <f t="shared" si="61"/>
        <v>0</v>
      </c>
    </row>
    <row r="72" spans="1:30" ht="14.4" thickBot="1">
      <c r="A72" s="397" t="s">
        <v>3</v>
      </c>
      <c r="B72" s="398">
        <v>0</v>
      </c>
      <c r="C72" s="399">
        <v>0</v>
      </c>
      <c r="D72" s="398">
        <v>0</v>
      </c>
      <c r="E72" s="398">
        <v>0</v>
      </c>
      <c r="F72" s="398">
        <v>0</v>
      </c>
      <c r="G72" s="398">
        <v>0</v>
      </c>
      <c r="H72" s="398">
        <v>0</v>
      </c>
      <c r="I72" s="398">
        <v>0</v>
      </c>
      <c r="J72" s="398">
        <v>0</v>
      </c>
      <c r="K72" s="399">
        <v>0</v>
      </c>
      <c r="L72" s="398">
        <v>0</v>
      </c>
      <c r="M72" s="399">
        <v>0</v>
      </c>
      <c r="N72" s="398">
        <v>0</v>
      </c>
      <c r="O72" s="399">
        <v>0</v>
      </c>
      <c r="P72" s="398">
        <v>0</v>
      </c>
      <c r="Q72" s="399">
        <v>0</v>
      </c>
      <c r="R72" s="398"/>
      <c r="S72" s="399"/>
      <c r="T72" s="398"/>
      <c r="U72" s="399"/>
      <c r="V72" s="398"/>
      <c r="W72" s="399"/>
      <c r="X72" s="398"/>
      <c r="Y72" s="399"/>
      <c r="Z72" s="432">
        <f t="shared" si="59"/>
        <v>0</v>
      </c>
      <c r="AA72" s="432">
        <f t="shared" si="59"/>
        <v>0</v>
      </c>
      <c r="AC72" s="395">
        <f t="shared" si="60"/>
        <v>0</v>
      </c>
      <c r="AD72" s="395">
        <f t="shared" si="61"/>
        <v>0</v>
      </c>
    </row>
    <row r="73" spans="1:30" ht="14.4" thickBot="1">
      <c r="A73" s="397" t="s">
        <v>397</v>
      </c>
      <c r="B73" s="398">
        <v>0</v>
      </c>
      <c r="C73" s="399">
        <v>0</v>
      </c>
      <c r="D73" s="398">
        <v>0</v>
      </c>
      <c r="E73" s="398">
        <v>0</v>
      </c>
      <c r="F73" s="398">
        <v>0</v>
      </c>
      <c r="G73" s="398">
        <v>0</v>
      </c>
      <c r="H73" s="398">
        <v>0</v>
      </c>
      <c r="I73" s="398">
        <v>0</v>
      </c>
      <c r="J73" s="398">
        <v>0</v>
      </c>
      <c r="K73" s="399">
        <v>0</v>
      </c>
      <c r="L73" s="398">
        <v>0</v>
      </c>
      <c r="M73" s="399">
        <v>0</v>
      </c>
      <c r="N73" s="398">
        <v>0</v>
      </c>
      <c r="O73" s="399">
        <v>0</v>
      </c>
      <c r="P73" s="398">
        <v>0</v>
      </c>
      <c r="Q73" s="399">
        <v>1</v>
      </c>
      <c r="R73" s="398"/>
      <c r="S73" s="399"/>
      <c r="T73" s="398"/>
      <c r="U73" s="399"/>
      <c r="V73" s="398"/>
      <c r="W73" s="399"/>
      <c r="X73" s="398"/>
      <c r="Y73" s="399"/>
      <c r="Z73" s="432">
        <f t="shared" ref="Z73:AA77" si="62">B73+D73+F73+H73+J73+L73+N73+P73+R73+T73+V73+X73</f>
        <v>0</v>
      </c>
      <c r="AA73" s="432">
        <f t="shared" si="62"/>
        <v>1</v>
      </c>
      <c r="AC73" s="395">
        <f t="shared" si="60"/>
        <v>0</v>
      </c>
      <c r="AD73" s="395">
        <f t="shared" si="61"/>
        <v>1</v>
      </c>
    </row>
    <row r="74" spans="1:30" ht="14.4" thickBot="1">
      <c r="A74" s="397" t="s">
        <v>399</v>
      </c>
      <c r="B74" s="398">
        <v>0</v>
      </c>
      <c r="C74" s="399">
        <v>0</v>
      </c>
      <c r="D74" s="398">
        <v>0</v>
      </c>
      <c r="E74" s="398">
        <v>0</v>
      </c>
      <c r="F74" s="398">
        <v>0</v>
      </c>
      <c r="G74" s="398">
        <v>0</v>
      </c>
      <c r="H74" s="398">
        <v>0</v>
      </c>
      <c r="I74" s="398">
        <v>0</v>
      </c>
      <c r="J74" s="398">
        <v>0</v>
      </c>
      <c r="K74" s="399">
        <v>0</v>
      </c>
      <c r="L74" s="398">
        <v>0</v>
      </c>
      <c r="M74" s="399">
        <v>0</v>
      </c>
      <c r="N74" s="398">
        <v>0</v>
      </c>
      <c r="O74" s="399">
        <v>0</v>
      </c>
      <c r="P74" s="398">
        <v>0</v>
      </c>
      <c r="Q74" s="399">
        <v>0</v>
      </c>
      <c r="R74" s="398"/>
      <c r="S74" s="399"/>
      <c r="T74" s="398"/>
      <c r="U74" s="399"/>
      <c r="V74" s="398"/>
      <c r="W74" s="399"/>
      <c r="X74" s="398"/>
      <c r="Y74" s="399"/>
      <c r="Z74" s="432">
        <f t="shared" si="62"/>
        <v>0</v>
      </c>
      <c r="AA74" s="432">
        <f t="shared" si="62"/>
        <v>0</v>
      </c>
      <c r="AC74" s="395">
        <f t="shared" si="60"/>
        <v>0</v>
      </c>
      <c r="AD74" s="395">
        <f t="shared" si="61"/>
        <v>0</v>
      </c>
    </row>
    <row r="75" spans="1:30" ht="14.4" thickBot="1">
      <c r="A75" s="397" t="s">
        <v>883</v>
      </c>
      <c r="B75" s="398">
        <v>0</v>
      </c>
      <c r="C75" s="399">
        <v>0</v>
      </c>
      <c r="D75" s="398">
        <v>0</v>
      </c>
      <c r="E75" s="398">
        <v>0</v>
      </c>
      <c r="F75" s="398">
        <v>0</v>
      </c>
      <c r="G75" s="398">
        <v>0</v>
      </c>
      <c r="H75" s="398">
        <v>0</v>
      </c>
      <c r="I75" s="398">
        <v>0</v>
      </c>
      <c r="J75" s="398">
        <v>0</v>
      </c>
      <c r="K75" s="399">
        <v>0</v>
      </c>
      <c r="L75" s="398">
        <v>0</v>
      </c>
      <c r="M75" s="399">
        <v>0</v>
      </c>
      <c r="N75" s="398">
        <v>0</v>
      </c>
      <c r="O75" s="399">
        <v>0</v>
      </c>
      <c r="P75" s="398">
        <v>0</v>
      </c>
      <c r="Q75" s="399">
        <v>0</v>
      </c>
      <c r="R75" s="398"/>
      <c r="S75" s="399"/>
      <c r="T75" s="398"/>
      <c r="U75" s="399"/>
      <c r="V75" s="398"/>
      <c r="W75" s="399"/>
      <c r="X75" s="398"/>
      <c r="Y75" s="399"/>
      <c r="Z75" s="432">
        <f t="shared" si="62"/>
        <v>0</v>
      </c>
      <c r="AA75" s="432">
        <f t="shared" si="62"/>
        <v>0</v>
      </c>
      <c r="AC75" s="395">
        <f t="shared" si="60"/>
        <v>0</v>
      </c>
      <c r="AD75" s="395">
        <f t="shared" si="61"/>
        <v>0</v>
      </c>
    </row>
    <row r="76" spans="1:30" ht="14.4" thickBot="1">
      <c r="A76" s="397" t="s">
        <v>884</v>
      </c>
      <c r="B76" s="398">
        <v>0</v>
      </c>
      <c r="C76" s="399">
        <v>0</v>
      </c>
      <c r="D76" s="398">
        <v>0</v>
      </c>
      <c r="E76" s="398">
        <v>0</v>
      </c>
      <c r="F76" s="398">
        <v>0</v>
      </c>
      <c r="G76" s="398">
        <v>0</v>
      </c>
      <c r="H76" s="398">
        <v>0</v>
      </c>
      <c r="I76" s="398">
        <v>0</v>
      </c>
      <c r="J76" s="398">
        <v>0</v>
      </c>
      <c r="K76" s="399">
        <v>0</v>
      </c>
      <c r="L76" s="398">
        <v>0</v>
      </c>
      <c r="M76" s="399">
        <v>0</v>
      </c>
      <c r="N76" s="398">
        <v>0</v>
      </c>
      <c r="O76" s="399">
        <v>0</v>
      </c>
      <c r="P76" s="398">
        <v>0</v>
      </c>
      <c r="Q76" s="399">
        <v>0</v>
      </c>
      <c r="R76" s="398"/>
      <c r="S76" s="399"/>
      <c r="T76" s="398"/>
      <c r="U76" s="399"/>
      <c r="V76" s="398"/>
      <c r="W76" s="399"/>
      <c r="X76" s="398"/>
      <c r="Y76" s="399"/>
      <c r="Z76" s="432">
        <f t="shared" si="62"/>
        <v>0</v>
      </c>
      <c r="AA76" s="432">
        <f t="shared" si="62"/>
        <v>0</v>
      </c>
      <c r="AC76" s="395">
        <f t="shared" si="60"/>
        <v>0</v>
      </c>
      <c r="AD76" s="395">
        <f t="shared" si="61"/>
        <v>0</v>
      </c>
    </row>
    <row r="77" spans="1:30" ht="14.4" thickBot="1">
      <c r="A77" s="397" t="s">
        <v>885</v>
      </c>
      <c r="B77" s="398">
        <v>0</v>
      </c>
      <c r="C77" s="399">
        <v>0</v>
      </c>
      <c r="D77" s="398">
        <v>0</v>
      </c>
      <c r="E77" s="398">
        <v>0</v>
      </c>
      <c r="F77" s="398">
        <v>0</v>
      </c>
      <c r="G77" s="398">
        <v>0</v>
      </c>
      <c r="H77" s="398">
        <v>0</v>
      </c>
      <c r="I77" s="398">
        <v>0</v>
      </c>
      <c r="J77" s="398">
        <v>0</v>
      </c>
      <c r="K77" s="399">
        <v>0</v>
      </c>
      <c r="L77" s="398">
        <v>0</v>
      </c>
      <c r="M77" s="399">
        <v>0</v>
      </c>
      <c r="N77" s="398">
        <v>0</v>
      </c>
      <c r="O77" s="399">
        <v>0</v>
      </c>
      <c r="P77" s="398">
        <v>0</v>
      </c>
      <c r="Q77" s="399">
        <v>0</v>
      </c>
      <c r="R77" s="398"/>
      <c r="S77" s="399"/>
      <c r="T77" s="398"/>
      <c r="U77" s="399"/>
      <c r="V77" s="398"/>
      <c r="W77" s="399"/>
      <c r="X77" s="398"/>
      <c r="Y77" s="399"/>
      <c r="Z77" s="432">
        <f t="shared" si="62"/>
        <v>0</v>
      </c>
      <c r="AA77" s="432">
        <f t="shared" si="62"/>
        <v>0</v>
      </c>
      <c r="AC77" s="395">
        <f t="shared" si="60"/>
        <v>0</v>
      </c>
      <c r="AD77" s="395">
        <f t="shared" si="61"/>
        <v>0</v>
      </c>
    </row>
    <row r="78" spans="1:30" ht="14.4" thickBot="1">
      <c r="A78" s="433" t="s">
        <v>16</v>
      </c>
      <c r="B78" s="417">
        <f t="shared" ref="B78:AA78" si="63">SUM(B68:B77)</f>
        <v>0</v>
      </c>
      <c r="C78" s="419">
        <f t="shared" si="63"/>
        <v>0</v>
      </c>
      <c r="D78" s="417">
        <f t="shared" si="63"/>
        <v>0</v>
      </c>
      <c r="E78" s="419">
        <f t="shared" si="63"/>
        <v>0</v>
      </c>
      <c r="F78" s="417">
        <f t="shared" si="63"/>
        <v>0</v>
      </c>
      <c r="G78" s="419">
        <f t="shared" si="63"/>
        <v>0</v>
      </c>
      <c r="H78" s="417">
        <f t="shared" si="63"/>
        <v>0</v>
      </c>
      <c r="I78" s="419">
        <f t="shared" si="63"/>
        <v>0</v>
      </c>
      <c r="J78" s="417">
        <f t="shared" si="63"/>
        <v>0</v>
      </c>
      <c r="K78" s="419">
        <f t="shared" si="63"/>
        <v>0</v>
      </c>
      <c r="L78" s="417">
        <f t="shared" si="63"/>
        <v>0</v>
      </c>
      <c r="M78" s="419">
        <f t="shared" si="63"/>
        <v>0</v>
      </c>
      <c r="N78" s="417">
        <f t="shared" si="63"/>
        <v>0</v>
      </c>
      <c r="O78" s="419">
        <f t="shared" si="63"/>
        <v>0</v>
      </c>
      <c r="P78" s="417">
        <f t="shared" si="63"/>
        <v>0</v>
      </c>
      <c r="Q78" s="419">
        <f t="shared" si="63"/>
        <v>1</v>
      </c>
      <c r="R78" s="417">
        <f t="shared" si="63"/>
        <v>0</v>
      </c>
      <c r="S78" s="419">
        <f t="shared" si="63"/>
        <v>0</v>
      </c>
      <c r="T78" s="417">
        <f t="shared" si="63"/>
        <v>0</v>
      </c>
      <c r="U78" s="419">
        <f t="shared" si="63"/>
        <v>0</v>
      </c>
      <c r="V78" s="417">
        <f t="shared" si="63"/>
        <v>0</v>
      </c>
      <c r="W78" s="419">
        <f t="shared" si="63"/>
        <v>0</v>
      </c>
      <c r="X78" s="417">
        <f t="shared" si="63"/>
        <v>0</v>
      </c>
      <c r="Y78" s="419">
        <f t="shared" si="63"/>
        <v>0</v>
      </c>
      <c r="Z78" s="434">
        <f t="shared" si="63"/>
        <v>0</v>
      </c>
      <c r="AA78" s="434">
        <f t="shared" si="63"/>
        <v>1</v>
      </c>
      <c r="AC78" s="395">
        <f t="shared" si="60"/>
        <v>0</v>
      </c>
      <c r="AD78" s="395">
        <f t="shared" si="61"/>
        <v>1</v>
      </c>
    </row>
    <row r="79" spans="1:30">
      <c r="Q79" s="117" t="s">
        <v>1081</v>
      </c>
      <c r="AD79" s="395"/>
    </row>
    <row r="80" spans="1:30" ht="18.600000000000001" thickBot="1">
      <c r="A80" s="394">
        <f>A49</f>
        <v>2024</v>
      </c>
    </row>
    <row r="81" spans="1:30">
      <c r="A81" s="2815" t="s">
        <v>308</v>
      </c>
      <c r="B81" s="2827" t="s">
        <v>71</v>
      </c>
      <c r="C81" s="2828"/>
      <c r="D81" s="2829" t="s">
        <v>72</v>
      </c>
      <c r="E81" s="2830"/>
      <c r="F81" s="2817" t="s">
        <v>73</v>
      </c>
      <c r="G81" s="2818"/>
      <c r="H81" s="2819" t="s">
        <v>74</v>
      </c>
      <c r="I81" s="2820"/>
      <c r="J81" s="2821" t="s">
        <v>75</v>
      </c>
      <c r="K81" s="2822"/>
      <c r="L81" s="2823" t="s">
        <v>76</v>
      </c>
      <c r="M81" s="2824"/>
      <c r="N81" s="2827" t="s">
        <v>77</v>
      </c>
      <c r="O81" s="2828"/>
      <c r="P81" s="2829" t="s">
        <v>78</v>
      </c>
      <c r="Q81" s="2830"/>
      <c r="R81" s="2817" t="s">
        <v>79</v>
      </c>
      <c r="S81" s="2818"/>
      <c r="T81" s="2819" t="s">
        <v>80</v>
      </c>
      <c r="U81" s="2820"/>
      <c r="V81" s="2821" t="s">
        <v>81</v>
      </c>
      <c r="W81" s="2822"/>
      <c r="X81" s="2823" t="s">
        <v>82</v>
      </c>
      <c r="Y81" s="2824"/>
      <c r="Z81" s="2825" t="s">
        <v>83</v>
      </c>
      <c r="AA81" s="2826"/>
      <c r="AB81" s="634"/>
    </row>
    <row r="82" spans="1:30" ht="14.4" thickBot="1">
      <c r="A82" s="2816"/>
      <c r="B82" s="402" t="s">
        <v>198</v>
      </c>
      <c r="C82" s="403" t="s">
        <v>199</v>
      </c>
      <c r="D82" s="402" t="s">
        <v>198</v>
      </c>
      <c r="E82" s="403" t="s">
        <v>199</v>
      </c>
      <c r="F82" s="402" t="s">
        <v>198</v>
      </c>
      <c r="G82" s="403" t="s">
        <v>199</v>
      </c>
      <c r="H82" s="402" t="s">
        <v>198</v>
      </c>
      <c r="I82" s="403" t="s">
        <v>199</v>
      </c>
      <c r="J82" s="402" t="s">
        <v>198</v>
      </c>
      <c r="K82" s="403" t="s">
        <v>199</v>
      </c>
      <c r="L82" s="402" t="s">
        <v>198</v>
      </c>
      <c r="M82" s="403" t="s">
        <v>199</v>
      </c>
      <c r="N82" s="402" t="s">
        <v>198</v>
      </c>
      <c r="O82" s="403" t="s">
        <v>199</v>
      </c>
      <c r="P82" s="402" t="s">
        <v>198</v>
      </c>
      <c r="Q82" s="403" t="s">
        <v>199</v>
      </c>
      <c r="R82" s="402" t="s">
        <v>198</v>
      </c>
      <c r="S82" s="403" t="s">
        <v>199</v>
      </c>
      <c r="T82" s="402" t="s">
        <v>198</v>
      </c>
      <c r="U82" s="403" t="s">
        <v>199</v>
      </c>
      <c r="V82" s="1107" t="s">
        <v>198</v>
      </c>
      <c r="W82" s="403" t="s">
        <v>199</v>
      </c>
      <c r="X82" s="402" t="s">
        <v>198</v>
      </c>
      <c r="Y82" s="403" t="s">
        <v>199</v>
      </c>
      <c r="Z82" s="403" t="s">
        <v>198</v>
      </c>
      <c r="AA82" s="403" t="s">
        <v>199</v>
      </c>
      <c r="AC82" s="117" t="s">
        <v>198</v>
      </c>
      <c r="AD82" s="117" t="s">
        <v>199</v>
      </c>
    </row>
    <row r="83" spans="1:30" ht="14.4" thickBot="1">
      <c r="A83" s="397" t="s">
        <v>6</v>
      </c>
      <c r="B83" s="398">
        <v>0</v>
      </c>
      <c r="C83" s="399">
        <v>0</v>
      </c>
      <c r="D83" s="398">
        <v>0</v>
      </c>
      <c r="E83" s="398">
        <v>0</v>
      </c>
      <c r="F83" s="398">
        <v>0</v>
      </c>
      <c r="G83" s="398">
        <v>0</v>
      </c>
      <c r="H83" s="398">
        <v>0</v>
      </c>
      <c r="I83" s="398">
        <v>0</v>
      </c>
      <c r="J83" s="398">
        <v>0</v>
      </c>
      <c r="K83" s="399">
        <v>0</v>
      </c>
      <c r="L83" s="398">
        <v>0</v>
      </c>
      <c r="M83" s="399">
        <v>0</v>
      </c>
      <c r="N83" s="398">
        <v>0</v>
      </c>
      <c r="O83" s="399">
        <v>0</v>
      </c>
      <c r="P83" s="398">
        <v>0</v>
      </c>
      <c r="Q83" s="399">
        <v>0</v>
      </c>
      <c r="R83" s="398"/>
      <c r="S83" s="399"/>
      <c r="T83" s="398"/>
      <c r="U83" s="399"/>
      <c r="V83" s="398"/>
      <c r="W83" s="399"/>
      <c r="X83" s="398"/>
      <c r="Y83" s="399"/>
      <c r="Z83" s="432">
        <f t="shared" ref="Z83:Z92" si="64">B83+D83+F83+H83+J83+L83+N83+P83+R83+T83+V83+X83</f>
        <v>0</v>
      </c>
      <c r="AA83" s="432">
        <f>C83+E83+G83+I83+K83+M83+O83+Q83+S83+U83+W83+Y83</f>
        <v>0</v>
      </c>
      <c r="AB83" s="634"/>
      <c r="AC83" s="395">
        <f>P83</f>
        <v>0</v>
      </c>
      <c r="AD83" s="395">
        <f>Q83</f>
        <v>0</v>
      </c>
    </row>
    <row r="84" spans="1:30" ht="14.4" thickBot="1">
      <c r="A84" s="397" t="s">
        <v>7</v>
      </c>
      <c r="B84" s="398">
        <v>0</v>
      </c>
      <c r="C84" s="399">
        <v>0</v>
      </c>
      <c r="D84" s="398">
        <v>0</v>
      </c>
      <c r="E84" s="398">
        <v>0</v>
      </c>
      <c r="F84" s="398">
        <v>0</v>
      </c>
      <c r="G84" s="398">
        <v>0</v>
      </c>
      <c r="H84" s="398">
        <v>0</v>
      </c>
      <c r="I84" s="398">
        <v>0</v>
      </c>
      <c r="J84" s="398">
        <v>0</v>
      </c>
      <c r="K84" s="399">
        <v>0</v>
      </c>
      <c r="L84" s="398">
        <v>0</v>
      </c>
      <c r="M84" s="399">
        <v>0</v>
      </c>
      <c r="N84" s="398">
        <v>0</v>
      </c>
      <c r="O84" s="399">
        <v>0</v>
      </c>
      <c r="P84" s="398">
        <v>0</v>
      </c>
      <c r="Q84" s="399">
        <v>0</v>
      </c>
      <c r="R84" s="398"/>
      <c r="S84" s="399"/>
      <c r="T84" s="398"/>
      <c r="U84" s="399"/>
      <c r="V84" s="398"/>
      <c r="W84" s="399"/>
      <c r="X84" s="398"/>
      <c r="Y84" s="399"/>
      <c r="Z84" s="432">
        <f t="shared" si="64"/>
        <v>0</v>
      </c>
      <c r="AA84" s="432">
        <f t="shared" ref="AA84:AA92" si="65">C84+E84+G84+I84+K84+M84+O84+Q84+S84+U84+W84+Y84</f>
        <v>0</v>
      </c>
      <c r="AC84" s="395">
        <f t="shared" ref="AC84:AC93" si="66">P84</f>
        <v>0</v>
      </c>
      <c r="AD84" s="395">
        <f t="shared" ref="AD84:AD93" si="67">Q84</f>
        <v>0</v>
      </c>
    </row>
    <row r="85" spans="1:30" ht="14.4" thickBot="1">
      <c r="A85" s="397" t="s">
        <v>8</v>
      </c>
      <c r="B85" s="398">
        <v>0</v>
      </c>
      <c r="C85" s="399">
        <v>0</v>
      </c>
      <c r="D85" s="398">
        <v>0</v>
      </c>
      <c r="E85" s="398">
        <v>0</v>
      </c>
      <c r="F85" s="398">
        <v>0</v>
      </c>
      <c r="G85" s="398">
        <v>0</v>
      </c>
      <c r="H85" s="398">
        <v>0</v>
      </c>
      <c r="I85" s="398">
        <v>0</v>
      </c>
      <c r="J85" s="398">
        <v>0</v>
      </c>
      <c r="K85" s="399">
        <v>0</v>
      </c>
      <c r="L85" s="398">
        <v>0</v>
      </c>
      <c r="M85" s="399">
        <v>0</v>
      </c>
      <c r="N85" s="398">
        <v>0</v>
      </c>
      <c r="O85" s="399">
        <v>0</v>
      </c>
      <c r="P85" s="398">
        <v>0</v>
      </c>
      <c r="Q85" s="399">
        <v>0</v>
      </c>
      <c r="R85" s="398"/>
      <c r="S85" s="399"/>
      <c r="T85" s="398"/>
      <c r="U85" s="399"/>
      <c r="V85" s="398"/>
      <c r="W85" s="399"/>
      <c r="X85" s="398"/>
      <c r="Y85" s="399"/>
      <c r="Z85" s="432">
        <f t="shared" si="64"/>
        <v>0</v>
      </c>
      <c r="AA85" s="432">
        <f t="shared" si="65"/>
        <v>0</v>
      </c>
      <c r="AB85" s="634"/>
      <c r="AC85" s="395">
        <f t="shared" si="66"/>
        <v>0</v>
      </c>
      <c r="AD85" s="395">
        <f t="shared" si="67"/>
        <v>0</v>
      </c>
    </row>
    <row r="86" spans="1:30" ht="14.4" thickBot="1">
      <c r="A86" s="397" t="s">
        <v>4</v>
      </c>
      <c r="B86" s="398">
        <v>0</v>
      </c>
      <c r="C86" s="399">
        <v>0</v>
      </c>
      <c r="D86" s="398">
        <v>0</v>
      </c>
      <c r="E86" s="398">
        <v>0</v>
      </c>
      <c r="F86" s="398">
        <v>0</v>
      </c>
      <c r="G86" s="398">
        <v>0</v>
      </c>
      <c r="H86" s="398">
        <v>0</v>
      </c>
      <c r="I86" s="398">
        <v>0</v>
      </c>
      <c r="J86" s="398">
        <v>0</v>
      </c>
      <c r="K86" s="399">
        <v>0</v>
      </c>
      <c r="L86" s="398">
        <v>0</v>
      </c>
      <c r="M86" s="399">
        <v>0</v>
      </c>
      <c r="N86" s="398">
        <v>0</v>
      </c>
      <c r="O86" s="399">
        <v>0</v>
      </c>
      <c r="P86" s="398">
        <v>0</v>
      </c>
      <c r="Q86" s="399">
        <v>0</v>
      </c>
      <c r="R86" s="398"/>
      <c r="S86" s="399"/>
      <c r="T86" s="398"/>
      <c r="U86" s="399"/>
      <c r="V86" s="398"/>
      <c r="W86" s="399"/>
      <c r="X86" s="398"/>
      <c r="Y86" s="399"/>
      <c r="Z86" s="432">
        <f t="shared" si="64"/>
        <v>0</v>
      </c>
      <c r="AA86" s="432">
        <f t="shared" si="65"/>
        <v>0</v>
      </c>
      <c r="AC86" s="395">
        <f t="shared" si="66"/>
        <v>0</v>
      </c>
      <c r="AD86" s="395">
        <f t="shared" si="67"/>
        <v>0</v>
      </c>
    </row>
    <row r="87" spans="1:30" ht="14.4" thickBot="1">
      <c r="A87" s="397" t="s">
        <v>3</v>
      </c>
      <c r="B87" s="398">
        <v>0</v>
      </c>
      <c r="C87" s="399">
        <v>0</v>
      </c>
      <c r="D87" s="398">
        <v>0</v>
      </c>
      <c r="E87" s="398">
        <v>0</v>
      </c>
      <c r="F87" s="398">
        <v>0</v>
      </c>
      <c r="G87" s="398">
        <v>0</v>
      </c>
      <c r="H87" s="398">
        <v>0</v>
      </c>
      <c r="I87" s="398">
        <v>0</v>
      </c>
      <c r="J87" s="398">
        <v>0</v>
      </c>
      <c r="K87" s="399">
        <v>0</v>
      </c>
      <c r="L87" s="398">
        <v>0</v>
      </c>
      <c r="M87" s="399">
        <v>0</v>
      </c>
      <c r="N87" s="398">
        <v>0</v>
      </c>
      <c r="O87" s="399">
        <v>0</v>
      </c>
      <c r="P87" s="398">
        <v>0</v>
      </c>
      <c r="Q87" s="399">
        <v>0</v>
      </c>
      <c r="R87" s="398"/>
      <c r="S87" s="399"/>
      <c r="T87" s="398"/>
      <c r="U87" s="399"/>
      <c r="V87" s="398"/>
      <c r="W87" s="399"/>
      <c r="X87" s="398"/>
      <c r="Y87" s="399"/>
      <c r="Z87" s="432">
        <f t="shared" si="64"/>
        <v>0</v>
      </c>
      <c r="AA87" s="432">
        <f t="shared" si="65"/>
        <v>0</v>
      </c>
      <c r="AB87" s="634"/>
      <c r="AC87" s="395">
        <f t="shared" si="66"/>
        <v>0</v>
      </c>
      <c r="AD87" s="395">
        <f t="shared" si="67"/>
        <v>0</v>
      </c>
    </row>
    <row r="88" spans="1:30" ht="14.4" thickBot="1">
      <c r="A88" s="397" t="s">
        <v>397</v>
      </c>
      <c r="B88" s="398">
        <v>0</v>
      </c>
      <c r="C88" s="399">
        <v>0</v>
      </c>
      <c r="D88" s="398">
        <v>0</v>
      </c>
      <c r="E88" s="398">
        <v>0</v>
      </c>
      <c r="F88" s="398">
        <v>0</v>
      </c>
      <c r="G88" s="398">
        <v>0</v>
      </c>
      <c r="H88" s="398">
        <v>0</v>
      </c>
      <c r="I88" s="398">
        <v>0</v>
      </c>
      <c r="J88" s="398">
        <v>0</v>
      </c>
      <c r="K88" s="399">
        <v>0</v>
      </c>
      <c r="L88" s="398">
        <v>0</v>
      </c>
      <c r="M88" s="399">
        <v>0</v>
      </c>
      <c r="N88" s="398">
        <v>0</v>
      </c>
      <c r="O88" s="399">
        <v>0</v>
      </c>
      <c r="P88" s="398">
        <v>0</v>
      </c>
      <c r="Q88" s="399">
        <v>0</v>
      </c>
      <c r="R88" s="398"/>
      <c r="S88" s="399"/>
      <c r="T88" s="398"/>
      <c r="U88" s="399"/>
      <c r="V88" s="398"/>
      <c r="W88" s="399"/>
      <c r="X88" s="398"/>
      <c r="Y88" s="399"/>
      <c r="Z88" s="432">
        <f t="shared" si="64"/>
        <v>0</v>
      </c>
      <c r="AA88" s="432">
        <f t="shared" si="65"/>
        <v>0</v>
      </c>
      <c r="AB88" s="634"/>
      <c r="AC88" s="395">
        <f t="shared" si="66"/>
        <v>0</v>
      </c>
      <c r="AD88" s="395">
        <f t="shared" si="67"/>
        <v>0</v>
      </c>
    </row>
    <row r="89" spans="1:30" ht="14.4" thickBot="1">
      <c r="A89" s="397" t="s">
        <v>399</v>
      </c>
      <c r="B89" s="398">
        <v>0</v>
      </c>
      <c r="C89" s="399">
        <v>0</v>
      </c>
      <c r="D89" s="398">
        <v>0</v>
      </c>
      <c r="E89" s="398">
        <v>0</v>
      </c>
      <c r="F89" s="398">
        <v>0</v>
      </c>
      <c r="G89" s="398">
        <v>0</v>
      </c>
      <c r="H89" s="398">
        <v>0</v>
      </c>
      <c r="I89" s="398">
        <v>1</v>
      </c>
      <c r="J89" s="398">
        <v>0</v>
      </c>
      <c r="K89" s="399">
        <v>0</v>
      </c>
      <c r="L89" s="398">
        <v>0</v>
      </c>
      <c r="M89" s="399">
        <v>0</v>
      </c>
      <c r="N89" s="398">
        <v>0</v>
      </c>
      <c r="O89" s="399">
        <v>0</v>
      </c>
      <c r="P89" s="398">
        <v>0</v>
      </c>
      <c r="Q89" s="399">
        <v>0</v>
      </c>
      <c r="R89" s="398"/>
      <c r="S89" s="399"/>
      <c r="T89" s="398"/>
      <c r="U89" s="399"/>
      <c r="V89" s="398"/>
      <c r="W89" s="399"/>
      <c r="X89" s="398"/>
      <c r="Y89" s="399"/>
      <c r="Z89" s="432">
        <f t="shared" si="64"/>
        <v>0</v>
      </c>
      <c r="AA89" s="432">
        <f t="shared" si="65"/>
        <v>1</v>
      </c>
      <c r="AC89" s="395">
        <f t="shared" si="66"/>
        <v>0</v>
      </c>
      <c r="AD89" s="395">
        <f t="shared" si="67"/>
        <v>0</v>
      </c>
    </row>
    <row r="90" spans="1:30" ht="14.4" thickBot="1">
      <c r="A90" s="397" t="s">
        <v>883</v>
      </c>
      <c r="B90" s="398">
        <v>0</v>
      </c>
      <c r="C90" s="399">
        <v>0</v>
      </c>
      <c r="D90" s="398">
        <v>0</v>
      </c>
      <c r="E90" s="398">
        <v>0</v>
      </c>
      <c r="F90" s="398">
        <v>0</v>
      </c>
      <c r="G90" s="398">
        <v>0</v>
      </c>
      <c r="H90" s="398">
        <v>0</v>
      </c>
      <c r="I90" s="398">
        <v>0</v>
      </c>
      <c r="J90" s="398">
        <v>0</v>
      </c>
      <c r="K90" s="399">
        <v>0</v>
      </c>
      <c r="L90" s="398">
        <v>0</v>
      </c>
      <c r="M90" s="399">
        <v>0</v>
      </c>
      <c r="N90" s="398">
        <v>0</v>
      </c>
      <c r="O90" s="399">
        <v>0</v>
      </c>
      <c r="P90" s="398">
        <v>0</v>
      </c>
      <c r="Q90" s="399">
        <v>0</v>
      </c>
      <c r="R90" s="398"/>
      <c r="S90" s="399"/>
      <c r="T90" s="398"/>
      <c r="U90" s="399"/>
      <c r="V90" s="398"/>
      <c r="W90" s="399"/>
      <c r="X90" s="398"/>
      <c r="Y90" s="399"/>
      <c r="Z90" s="432">
        <f t="shared" si="64"/>
        <v>0</v>
      </c>
      <c r="AA90" s="432">
        <f t="shared" si="65"/>
        <v>0</v>
      </c>
      <c r="AB90" s="634"/>
      <c r="AC90" s="395">
        <f t="shared" si="66"/>
        <v>0</v>
      </c>
      <c r="AD90" s="395">
        <f t="shared" si="67"/>
        <v>0</v>
      </c>
    </row>
    <row r="91" spans="1:30" ht="14.4" thickBot="1">
      <c r="A91" s="397" t="s">
        <v>884</v>
      </c>
      <c r="B91" s="398">
        <v>0</v>
      </c>
      <c r="C91" s="399">
        <v>0</v>
      </c>
      <c r="D91" s="398">
        <v>0</v>
      </c>
      <c r="E91" s="398">
        <v>0</v>
      </c>
      <c r="F91" s="398">
        <v>0</v>
      </c>
      <c r="G91" s="398">
        <v>0</v>
      </c>
      <c r="H91" s="398">
        <v>0</v>
      </c>
      <c r="I91" s="398">
        <v>0</v>
      </c>
      <c r="J91" s="398">
        <v>0</v>
      </c>
      <c r="K91" s="399">
        <v>0</v>
      </c>
      <c r="L91" s="398">
        <v>0</v>
      </c>
      <c r="M91" s="399">
        <v>0</v>
      </c>
      <c r="N91" s="398">
        <v>0</v>
      </c>
      <c r="O91" s="399">
        <v>0</v>
      </c>
      <c r="P91" s="398">
        <v>0</v>
      </c>
      <c r="Q91" s="399">
        <v>0</v>
      </c>
      <c r="R91" s="398"/>
      <c r="S91" s="399"/>
      <c r="T91" s="398"/>
      <c r="U91" s="399"/>
      <c r="V91" s="398"/>
      <c r="W91" s="399"/>
      <c r="X91" s="398"/>
      <c r="Y91" s="399"/>
      <c r="Z91" s="432">
        <f t="shared" si="64"/>
        <v>0</v>
      </c>
      <c r="AA91" s="432">
        <f t="shared" si="65"/>
        <v>0</v>
      </c>
      <c r="AC91" s="395">
        <f t="shared" si="66"/>
        <v>0</v>
      </c>
      <c r="AD91" s="395">
        <f t="shared" si="67"/>
        <v>0</v>
      </c>
    </row>
    <row r="92" spans="1:30" ht="14.4" thickBot="1">
      <c r="A92" s="397" t="s">
        <v>885</v>
      </c>
      <c r="B92" s="398">
        <v>0</v>
      </c>
      <c r="C92" s="399">
        <v>0</v>
      </c>
      <c r="D92" s="398">
        <v>0</v>
      </c>
      <c r="E92" s="398">
        <v>0</v>
      </c>
      <c r="F92" s="398">
        <v>0</v>
      </c>
      <c r="G92" s="398">
        <v>0</v>
      </c>
      <c r="H92" s="398">
        <v>0</v>
      </c>
      <c r="I92" s="398">
        <v>0</v>
      </c>
      <c r="J92" s="398">
        <v>0</v>
      </c>
      <c r="K92" s="399">
        <v>0</v>
      </c>
      <c r="L92" s="398">
        <v>0</v>
      </c>
      <c r="M92" s="399">
        <v>0</v>
      </c>
      <c r="N92" s="398">
        <v>0</v>
      </c>
      <c r="O92" s="399">
        <v>0</v>
      </c>
      <c r="P92" s="398">
        <v>0</v>
      </c>
      <c r="Q92" s="399">
        <v>0</v>
      </c>
      <c r="R92" s="398"/>
      <c r="S92" s="399"/>
      <c r="T92" s="398"/>
      <c r="U92" s="399"/>
      <c r="V92" s="398"/>
      <c r="W92" s="399"/>
      <c r="X92" s="398"/>
      <c r="Y92" s="399"/>
      <c r="Z92" s="432">
        <f t="shared" si="64"/>
        <v>0</v>
      </c>
      <c r="AA92" s="432">
        <f t="shared" si="65"/>
        <v>0</v>
      </c>
      <c r="AB92" s="634"/>
      <c r="AC92" s="395">
        <f t="shared" si="66"/>
        <v>0</v>
      </c>
      <c r="AD92" s="395">
        <f t="shared" si="67"/>
        <v>0</v>
      </c>
    </row>
    <row r="93" spans="1:30" ht="14.4" thickBot="1">
      <c r="A93" s="433" t="s">
        <v>16</v>
      </c>
      <c r="B93" s="417">
        <f t="shared" ref="B93:AA93" si="68">SUM(B83:B92)</f>
        <v>0</v>
      </c>
      <c r="C93" s="419">
        <f t="shared" si="68"/>
        <v>0</v>
      </c>
      <c r="D93" s="417">
        <f t="shared" si="68"/>
        <v>0</v>
      </c>
      <c r="E93" s="419">
        <f t="shared" si="68"/>
        <v>0</v>
      </c>
      <c r="F93" s="417">
        <f t="shared" si="68"/>
        <v>0</v>
      </c>
      <c r="G93" s="419">
        <f t="shared" si="68"/>
        <v>0</v>
      </c>
      <c r="H93" s="417">
        <f t="shared" si="68"/>
        <v>0</v>
      </c>
      <c r="I93" s="419">
        <f t="shared" si="68"/>
        <v>1</v>
      </c>
      <c r="J93" s="417">
        <f t="shared" si="68"/>
        <v>0</v>
      </c>
      <c r="K93" s="419">
        <f t="shared" si="68"/>
        <v>0</v>
      </c>
      <c r="L93" s="417">
        <f t="shared" si="68"/>
        <v>0</v>
      </c>
      <c r="M93" s="419">
        <f t="shared" si="68"/>
        <v>0</v>
      </c>
      <c r="N93" s="417">
        <f t="shared" si="68"/>
        <v>0</v>
      </c>
      <c r="O93" s="419">
        <f t="shared" si="68"/>
        <v>0</v>
      </c>
      <c r="P93" s="417">
        <f t="shared" si="68"/>
        <v>0</v>
      </c>
      <c r="Q93" s="419">
        <f t="shared" si="68"/>
        <v>0</v>
      </c>
      <c r="R93" s="417">
        <f t="shared" si="68"/>
        <v>0</v>
      </c>
      <c r="S93" s="419">
        <f t="shared" si="68"/>
        <v>0</v>
      </c>
      <c r="T93" s="417">
        <f t="shared" si="68"/>
        <v>0</v>
      </c>
      <c r="U93" s="419">
        <f t="shared" si="68"/>
        <v>0</v>
      </c>
      <c r="V93" s="417">
        <f t="shared" si="68"/>
        <v>0</v>
      </c>
      <c r="W93" s="419">
        <f t="shared" si="68"/>
        <v>0</v>
      </c>
      <c r="X93" s="417">
        <f t="shared" si="68"/>
        <v>0</v>
      </c>
      <c r="Y93" s="419">
        <f t="shared" si="68"/>
        <v>0</v>
      </c>
      <c r="Z93" s="434">
        <f t="shared" si="68"/>
        <v>0</v>
      </c>
      <c r="AA93" s="434">
        <f t="shared" si="68"/>
        <v>1</v>
      </c>
      <c r="AC93" s="395">
        <f t="shared" si="66"/>
        <v>0</v>
      </c>
      <c r="AD93" s="395">
        <f t="shared" si="67"/>
        <v>0</v>
      </c>
    </row>
    <row r="94" spans="1:30">
      <c r="C94" s="631"/>
      <c r="I94" s="2697" t="s">
        <v>1185</v>
      </c>
      <c r="AB94" s="634"/>
    </row>
    <row r="96" spans="1:30" ht="18">
      <c r="A96" s="393" t="s">
        <v>873</v>
      </c>
    </row>
    <row r="97" spans="1:30" ht="18.600000000000001" thickBot="1">
      <c r="A97" s="394">
        <f>A65</f>
        <v>2023</v>
      </c>
    </row>
    <row r="98" spans="1:30">
      <c r="A98" s="2815" t="s">
        <v>308</v>
      </c>
      <c r="B98" s="2827" t="s">
        <v>71</v>
      </c>
      <c r="C98" s="2828"/>
      <c r="D98" s="2829" t="s">
        <v>72</v>
      </c>
      <c r="E98" s="2830"/>
      <c r="F98" s="2817" t="s">
        <v>73</v>
      </c>
      <c r="G98" s="2818"/>
      <c r="H98" s="2819" t="s">
        <v>74</v>
      </c>
      <c r="I98" s="2820"/>
      <c r="J98" s="2821" t="s">
        <v>75</v>
      </c>
      <c r="K98" s="2822"/>
      <c r="L98" s="2823" t="s">
        <v>76</v>
      </c>
      <c r="M98" s="2824"/>
      <c r="N98" s="2827" t="s">
        <v>77</v>
      </c>
      <c r="O98" s="2828"/>
      <c r="P98" s="2829" t="s">
        <v>78</v>
      </c>
      <c r="Q98" s="2830"/>
      <c r="R98" s="2817" t="s">
        <v>79</v>
      </c>
      <c r="S98" s="2818"/>
      <c r="T98" s="2819" t="s">
        <v>80</v>
      </c>
      <c r="U98" s="2820"/>
      <c r="V98" s="2821" t="s">
        <v>81</v>
      </c>
      <c r="W98" s="2822"/>
      <c r="X98" s="2823" t="s">
        <v>82</v>
      </c>
      <c r="Y98" s="2824"/>
      <c r="Z98" s="2825" t="s">
        <v>83</v>
      </c>
      <c r="AA98" s="2826"/>
      <c r="AB98" s="634"/>
    </row>
    <row r="99" spans="1:30" ht="14.4" thickBot="1">
      <c r="A99" s="2816"/>
      <c r="B99" s="402" t="s">
        <v>198</v>
      </c>
      <c r="C99" s="403" t="s">
        <v>199</v>
      </c>
      <c r="D99" s="402" t="s">
        <v>198</v>
      </c>
      <c r="E99" s="403" t="s">
        <v>199</v>
      </c>
      <c r="F99" s="402" t="s">
        <v>198</v>
      </c>
      <c r="G99" s="403" t="s">
        <v>199</v>
      </c>
      <c r="H99" s="402" t="s">
        <v>198</v>
      </c>
      <c r="I99" s="403" t="s">
        <v>199</v>
      </c>
      <c r="J99" s="402" t="s">
        <v>198</v>
      </c>
      <c r="K99" s="403" t="s">
        <v>199</v>
      </c>
      <c r="L99" s="402" t="s">
        <v>198</v>
      </c>
      <c r="M99" s="403" t="s">
        <v>199</v>
      </c>
      <c r="N99" s="402" t="s">
        <v>198</v>
      </c>
      <c r="O99" s="403" t="s">
        <v>199</v>
      </c>
      <c r="P99" s="402" t="s">
        <v>198</v>
      </c>
      <c r="Q99" s="403" t="s">
        <v>199</v>
      </c>
      <c r="R99" s="402" t="s">
        <v>198</v>
      </c>
      <c r="S99" s="403" t="s">
        <v>199</v>
      </c>
      <c r="T99" s="402" t="s">
        <v>198</v>
      </c>
      <c r="U99" s="403" t="s">
        <v>199</v>
      </c>
      <c r="V99" s="1107" t="s">
        <v>198</v>
      </c>
      <c r="W99" s="403" t="s">
        <v>199</v>
      </c>
      <c r="X99" s="402" t="s">
        <v>198</v>
      </c>
      <c r="Y99" s="403" t="s">
        <v>199</v>
      </c>
      <c r="Z99" s="403" t="s">
        <v>198</v>
      </c>
      <c r="AA99" s="403" t="s">
        <v>199</v>
      </c>
      <c r="AC99" s="117" t="s">
        <v>198</v>
      </c>
      <c r="AD99" s="117" t="s">
        <v>199</v>
      </c>
    </row>
    <row r="100" spans="1:30" ht="14.4" thickBot="1">
      <c r="A100" s="397" t="s">
        <v>6</v>
      </c>
      <c r="B100" s="398">
        <f>B37+B68</f>
        <v>0</v>
      </c>
      <c r="C100" s="399">
        <f>C37+C68</f>
        <v>0</v>
      </c>
      <c r="D100" s="398">
        <f t="shared" ref="D100:Y100" si="69">D37+D68</f>
        <v>0</v>
      </c>
      <c r="E100" s="398">
        <f t="shared" si="69"/>
        <v>0</v>
      </c>
      <c r="F100" s="398">
        <f t="shared" si="69"/>
        <v>0</v>
      </c>
      <c r="G100" s="398">
        <f t="shared" si="69"/>
        <v>0</v>
      </c>
      <c r="H100" s="398">
        <f t="shared" si="69"/>
        <v>0</v>
      </c>
      <c r="I100" s="398">
        <f t="shared" si="69"/>
        <v>0</v>
      </c>
      <c r="J100" s="398">
        <f t="shared" si="69"/>
        <v>0</v>
      </c>
      <c r="K100" s="399">
        <f t="shared" si="69"/>
        <v>0</v>
      </c>
      <c r="L100" s="398">
        <f t="shared" si="69"/>
        <v>0</v>
      </c>
      <c r="M100" s="399">
        <f t="shared" si="69"/>
        <v>0</v>
      </c>
      <c r="N100" s="398">
        <f t="shared" si="69"/>
        <v>0</v>
      </c>
      <c r="O100" s="399">
        <f t="shared" si="69"/>
        <v>0</v>
      </c>
      <c r="P100" s="398">
        <f t="shared" si="69"/>
        <v>0</v>
      </c>
      <c r="Q100" s="399">
        <f t="shared" si="69"/>
        <v>0</v>
      </c>
      <c r="R100" s="398">
        <f t="shared" si="69"/>
        <v>0</v>
      </c>
      <c r="S100" s="399">
        <f t="shared" si="69"/>
        <v>0</v>
      </c>
      <c r="T100" s="398">
        <f t="shared" si="69"/>
        <v>0</v>
      </c>
      <c r="U100" s="399">
        <f t="shared" si="69"/>
        <v>0</v>
      </c>
      <c r="V100" s="398">
        <f t="shared" si="69"/>
        <v>0</v>
      </c>
      <c r="W100" s="399">
        <f t="shared" si="69"/>
        <v>0</v>
      </c>
      <c r="X100" s="398">
        <f t="shared" si="69"/>
        <v>0</v>
      </c>
      <c r="Y100" s="399">
        <f t="shared" si="69"/>
        <v>0</v>
      </c>
      <c r="Z100" s="432">
        <f t="shared" ref="Z100:Z109" si="70">B100+D100+F100+H100+J100+L100+N100+P100+R100+T100+V100+X100</f>
        <v>0</v>
      </c>
      <c r="AA100" s="432">
        <f t="shared" ref="AA100:AA109" si="71">C100+E100+G100+I100+K100+M100+O100+Q100+S100+U100+W100+Y100</f>
        <v>0</v>
      </c>
      <c r="AC100" s="395">
        <f>P100</f>
        <v>0</v>
      </c>
      <c r="AD100" s="395">
        <f>Q100</f>
        <v>0</v>
      </c>
    </row>
    <row r="101" spans="1:30" ht="14.4" thickBot="1">
      <c r="A101" s="397" t="s">
        <v>7</v>
      </c>
      <c r="B101" s="398">
        <f t="shared" ref="B101:Y101" si="72">B38+B69</f>
        <v>0</v>
      </c>
      <c r="C101" s="399">
        <f t="shared" si="72"/>
        <v>0</v>
      </c>
      <c r="D101" s="398">
        <f t="shared" si="72"/>
        <v>0</v>
      </c>
      <c r="E101" s="398">
        <f t="shared" si="72"/>
        <v>0</v>
      </c>
      <c r="F101" s="398">
        <f t="shared" si="72"/>
        <v>0</v>
      </c>
      <c r="G101" s="398">
        <f t="shared" si="72"/>
        <v>0</v>
      </c>
      <c r="H101" s="398">
        <f t="shared" si="72"/>
        <v>0</v>
      </c>
      <c r="I101" s="398">
        <f t="shared" si="72"/>
        <v>0</v>
      </c>
      <c r="J101" s="398">
        <f t="shared" si="72"/>
        <v>0</v>
      </c>
      <c r="K101" s="399">
        <f t="shared" si="72"/>
        <v>0</v>
      </c>
      <c r="L101" s="398">
        <f t="shared" si="72"/>
        <v>0</v>
      </c>
      <c r="M101" s="399">
        <f t="shared" si="72"/>
        <v>0</v>
      </c>
      <c r="N101" s="398">
        <f t="shared" si="72"/>
        <v>0</v>
      </c>
      <c r="O101" s="399">
        <f t="shared" si="72"/>
        <v>0</v>
      </c>
      <c r="P101" s="398">
        <f t="shared" si="72"/>
        <v>0</v>
      </c>
      <c r="Q101" s="399">
        <f t="shared" si="72"/>
        <v>0</v>
      </c>
      <c r="R101" s="398">
        <f t="shared" si="72"/>
        <v>0</v>
      </c>
      <c r="S101" s="399">
        <f t="shared" si="72"/>
        <v>0</v>
      </c>
      <c r="T101" s="398">
        <f t="shared" si="72"/>
        <v>0</v>
      </c>
      <c r="U101" s="399">
        <f t="shared" si="72"/>
        <v>0</v>
      </c>
      <c r="V101" s="398">
        <f t="shared" si="72"/>
        <v>0</v>
      </c>
      <c r="W101" s="399">
        <f t="shared" si="72"/>
        <v>0</v>
      </c>
      <c r="X101" s="398">
        <f t="shared" si="72"/>
        <v>0</v>
      </c>
      <c r="Y101" s="399">
        <f t="shared" si="72"/>
        <v>0</v>
      </c>
      <c r="Z101" s="432">
        <f t="shared" si="70"/>
        <v>0</v>
      </c>
      <c r="AA101" s="432">
        <f t="shared" si="71"/>
        <v>0</v>
      </c>
      <c r="AC101" s="395">
        <f t="shared" ref="AC101:AC110" si="73">P101</f>
        <v>0</v>
      </c>
      <c r="AD101" s="395">
        <f t="shared" ref="AD101:AD110" si="74">Q101</f>
        <v>0</v>
      </c>
    </row>
    <row r="102" spans="1:30" ht="14.4" thickBot="1">
      <c r="A102" s="397" t="s">
        <v>8</v>
      </c>
      <c r="B102" s="398">
        <f t="shared" ref="B102:Y102" si="75">B39+B70</f>
        <v>0</v>
      </c>
      <c r="C102" s="399">
        <f t="shared" si="75"/>
        <v>0</v>
      </c>
      <c r="D102" s="398">
        <f t="shared" si="75"/>
        <v>0</v>
      </c>
      <c r="E102" s="398">
        <f t="shared" si="75"/>
        <v>0</v>
      </c>
      <c r="F102" s="398">
        <f t="shared" si="75"/>
        <v>0</v>
      </c>
      <c r="G102" s="398">
        <f t="shared" si="75"/>
        <v>0</v>
      </c>
      <c r="H102" s="398">
        <f t="shared" si="75"/>
        <v>0</v>
      </c>
      <c r="I102" s="398">
        <f t="shared" si="75"/>
        <v>0</v>
      </c>
      <c r="J102" s="398">
        <f t="shared" si="75"/>
        <v>0</v>
      </c>
      <c r="K102" s="399">
        <f t="shared" si="75"/>
        <v>0</v>
      </c>
      <c r="L102" s="398">
        <f t="shared" si="75"/>
        <v>0</v>
      </c>
      <c r="M102" s="399">
        <f t="shared" si="75"/>
        <v>0</v>
      </c>
      <c r="N102" s="398">
        <f t="shared" si="75"/>
        <v>0</v>
      </c>
      <c r="O102" s="399">
        <f t="shared" si="75"/>
        <v>0</v>
      </c>
      <c r="P102" s="398">
        <f t="shared" si="75"/>
        <v>0</v>
      </c>
      <c r="Q102" s="399">
        <f t="shared" si="75"/>
        <v>0</v>
      </c>
      <c r="R102" s="398">
        <f t="shared" si="75"/>
        <v>0</v>
      </c>
      <c r="S102" s="399">
        <f t="shared" si="75"/>
        <v>0</v>
      </c>
      <c r="T102" s="398">
        <f t="shared" si="75"/>
        <v>0</v>
      </c>
      <c r="U102" s="399">
        <f t="shared" si="75"/>
        <v>0</v>
      </c>
      <c r="V102" s="398">
        <f t="shared" si="75"/>
        <v>0</v>
      </c>
      <c r="W102" s="399">
        <f t="shared" si="75"/>
        <v>0</v>
      </c>
      <c r="X102" s="398">
        <f t="shared" si="75"/>
        <v>0</v>
      </c>
      <c r="Y102" s="399">
        <f t="shared" si="75"/>
        <v>0</v>
      </c>
      <c r="Z102" s="432">
        <f t="shared" si="70"/>
        <v>0</v>
      </c>
      <c r="AA102" s="432">
        <f t="shared" si="71"/>
        <v>0</v>
      </c>
      <c r="AC102" s="395">
        <f t="shared" si="73"/>
        <v>0</v>
      </c>
      <c r="AD102" s="395">
        <f t="shared" si="74"/>
        <v>0</v>
      </c>
    </row>
    <row r="103" spans="1:30" ht="14.4" thickBot="1">
      <c r="A103" s="397" t="s">
        <v>4</v>
      </c>
      <c r="B103" s="398">
        <f t="shared" ref="B103:Y103" si="76">B40+B71</f>
        <v>0</v>
      </c>
      <c r="C103" s="399">
        <f t="shared" si="76"/>
        <v>0</v>
      </c>
      <c r="D103" s="398">
        <f t="shared" si="76"/>
        <v>0</v>
      </c>
      <c r="E103" s="398">
        <f t="shared" si="76"/>
        <v>0</v>
      </c>
      <c r="F103" s="398">
        <f t="shared" si="76"/>
        <v>0</v>
      </c>
      <c r="G103" s="398">
        <f t="shared" si="76"/>
        <v>0</v>
      </c>
      <c r="H103" s="398">
        <f t="shared" si="76"/>
        <v>0</v>
      </c>
      <c r="I103" s="398">
        <f t="shared" si="76"/>
        <v>0</v>
      </c>
      <c r="J103" s="398">
        <f t="shared" si="76"/>
        <v>0</v>
      </c>
      <c r="K103" s="399">
        <f t="shared" si="76"/>
        <v>0</v>
      </c>
      <c r="L103" s="398">
        <f t="shared" si="76"/>
        <v>0</v>
      </c>
      <c r="M103" s="399">
        <f t="shared" si="76"/>
        <v>0</v>
      </c>
      <c r="N103" s="398">
        <f t="shared" si="76"/>
        <v>0</v>
      </c>
      <c r="O103" s="399">
        <f t="shared" si="76"/>
        <v>0</v>
      </c>
      <c r="P103" s="398">
        <f t="shared" si="76"/>
        <v>0</v>
      </c>
      <c r="Q103" s="399">
        <f t="shared" si="76"/>
        <v>0</v>
      </c>
      <c r="R103" s="398">
        <f t="shared" si="76"/>
        <v>0</v>
      </c>
      <c r="S103" s="399">
        <f t="shared" si="76"/>
        <v>0</v>
      </c>
      <c r="T103" s="398">
        <f t="shared" si="76"/>
        <v>0</v>
      </c>
      <c r="U103" s="399">
        <f t="shared" si="76"/>
        <v>0</v>
      </c>
      <c r="V103" s="398">
        <f t="shared" si="76"/>
        <v>0</v>
      </c>
      <c r="W103" s="399">
        <f t="shared" si="76"/>
        <v>0</v>
      </c>
      <c r="X103" s="398">
        <f t="shared" si="76"/>
        <v>0</v>
      </c>
      <c r="Y103" s="399">
        <f t="shared" si="76"/>
        <v>0</v>
      </c>
      <c r="Z103" s="432">
        <f t="shared" si="70"/>
        <v>0</v>
      </c>
      <c r="AA103" s="432">
        <f t="shared" si="71"/>
        <v>0</v>
      </c>
      <c r="AC103" s="395">
        <f t="shared" si="73"/>
        <v>0</v>
      </c>
      <c r="AD103" s="395">
        <f t="shared" si="74"/>
        <v>0</v>
      </c>
    </row>
    <row r="104" spans="1:30" ht="14.4" thickBot="1">
      <c r="A104" s="397" t="s">
        <v>3</v>
      </c>
      <c r="B104" s="398">
        <f t="shared" ref="B104:Y104" si="77">B41+B72</f>
        <v>0</v>
      </c>
      <c r="C104" s="399">
        <f t="shared" si="77"/>
        <v>0</v>
      </c>
      <c r="D104" s="398">
        <f t="shared" si="77"/>
        <v>0</v>
      </c>
      <c r="E104" s="398">
        <f t="shared" si="77"/>
        <v>0</v>
      </c>
      <c r="F104" s="398">
        <f t="shared" si="77"/>
        <v>0</v>
      </c>
      <c r="G104" s="398">
        <f t="shared" si="77"/>
        <v>0</v>
      </c>
      <c r="H104" s="398">
        <f t="shared" si="77"/>
        <v>0</v>
      </c>
      <c r="I104" s="398">
        <f t="shared" si="77"/>
        <v>0</v>
      </c>
      <c r="J104" s="398">
        <f t="shared" si="77"/>
        <v>0</v>
      </c>
      <c r="K104" s="399">
        <f t="shared" si="77"/>
        <v>0</v>
      </c>
      <c r="L104" s="398">
        <f t="shared" si="77"/>
        <v>0</v>
      </c>
      <c r="M104" s="399">
        <f t="shared" si="77"/>
        <v>0</v>
      </c>
      <c r="N104" s="398">
        <f t="shared" si="77"/>
        <v>0</v>
      </c>
      <c r="O104" s="399">
        <f t="shared" si="77"/>
        <v>0</v>
      </c>
      <c r="P104" s="398">
        <f t="shared" si="77"/>
        <v>0</v>
      </c>
      <c r="Q104" s="399">
        <f t="shared" si="77"/>
        <v>0</v>
      </c>
      <c r="R104" s="398">
        <f t="shared" si="77"/>
        <v>0</v>
      </c>
      <c r="S104" s="399">
        <f t="shared" si="77"/>
        <v>0</v>
      </c>
      <c r="T104" s="398">
        <f t="shared" si="77"/>
        <v>0</v>
      </c>
      <c r="U104" s="399">
        <f t="shared" si="77"/>
        <v>0</v>
      </c>
      <c r="V104" s="398">
        <f t="shared" si="77"/>
        <v>0</v>
      </c>
      <c r="W104" s="399">
        <f t="shared" si="77"/>
        <v>0</v>
      </c>
      <c r="X104" s="398">
        <f t="shared" si="77"/>
        <v>0</v>
      </c>
      <c r="Y104" s="399">
        <f t="shared" si="77"/>
        <v>0</v>
      </c>
      <c r="Z104" s="432">
        <f t="shared" si="70"/>
        <v>0</v>
      </c>
      <c r="AA104" s="432">
        <f t="shared" si="71"/>
        <v>0</v>
      </c>
      <c r="AC104" s="395">
        <f t="shared" si="73"/>
        <v>0</v>
      </c>
      <c r="AD104" s="395">
        <f t="shared" si="74"/>
        <v>0</v>
      </c>
    </row>
    <row r="105" spans="1:30" ht="14.4" thickBot="1">
      <c r="A105" s="397" t="s">
        <v>397</v>
      </c>
      <c r="B105" s="398">
        <f t="shared" ref="B105:Y105" si="78">B42+B73</f>
        <v>0</v>
      </c>
      <c r="C105" s="399">
        <f t="shared" si="78"/>
        <v>0</v>
      </c>
      <c r="D105" s="398">
        <f t="shared" si="78"/>
        <v>0</v>
      </c>
      <c r="E105" s="398">
        <f t="shared" si="78"/>
        <v>0</v>
      </c>
      <c r="F105" s="398">
        <f t="shared" si="78"/>
        <v>0</v>
      </c>
      <c r="G105" s="398">
        <f t="shared" si="78"/>
        <v>0</v>
      </c>
      <c r="H105" s="398">
        <f t="shared" si="78"/>
        <v>0</v>
      </c>
      <c r="I105" s="398">
        <f t="shared" si="78"/>
        <v>0</v>
      </c>
      <c r="J105" s="398">
        <f t="shared" si="78"/>
        <v>0</v>
      </c>
      <c r="K105" s="399">
        <f t="shared" si="78"/>
        <v>0</v>
      </c>
      <c r="L105" s="398">
        <f t="shared" si="78"/>
        <v>0</v>
      </c>
      <c r="M105" s="399">
        <f t="shared" si="78"/>
        <v>0</v>
      </c>
      <c r="N105" s="398">
        <f t="shared" si="78"/>
        <v>0</v>
      </c>
      <c r="O105" s="399">
        <f t="shared" si="78"/>
        <v>0</v>
      </c>
      <c r="P105" s="398">
        <f t="shared" si="78"/>
        <v>0</v>
      </c>
      <c r="Q105" s="399">
        <f t="shared" si="78"/>
        <v>0</v>
      </c>
      <c r="R105" s="398">
        <f t="shared" si="78"/>
        <v>0</v>
      </c>
      <c r="S105" s="399">
        <f t="shared" si="78"/>
        <v>0</v>
      </c>
      <c r="T105" s="398">
        <f t="shared" si="78"/>
        <v>0</v>
      </c>
      <c r="U105" s="399">
        <f t="shared" si="78"/>
        <v>0</v>
      </c>
      <c r="V105" s="398">
        <f t="shared" si="78"/>
        <v>0</v>
      </c>
      <c r="W105" s="399">
        <f t="shared" si="78"/>
        <v>0</v>
      </c>
      <c r="X105" s="398">
        <f t="shared" si="78"/>
        <v>0</v>
      </c>
      <c r="Y105" s="399">
        <f t="shared" si="78"/>
        <v>0</v>
      </c>
      <c r="Z105" s="432">
        <f t="shared" si="70"/>
        <v>0</v>
      </c>
      <c r="AA105" s="432">
        <f t="shared" si="71"/>
        <v>0</v>
      </c>
      <c r="AC105" s="395">
        <f t="shared" si="73"/>
        <v>0</v>
      </c>
      <c r="AD105" s="395">
        <f t="shared" si="74"/>
        <v>0</v>
      </c>
    </row>
    <row r="106" spans="1:30" ht="14.4" thickBot="1">
      <c r="A106" s="397" t="s">
        <v>399</v>
      </c>
      <c r="B106" s="398">
        <f t="shared" ref="B106:Y106" si="79">B43+B74</f>
        <v>0</v>
      </c>
      <c r="C106" s="399">
        <f t="shared" si="79"/>
        <v>0</v>
      </c>
      <c r="D106" s="398">
        <f t="shared" si="79"/>
        <v>0</v>
      </c>
      <c r="E106" s="398">
        <f t="shared" si="79"/>
        <v>0</v>
      </c>
      <c r="F106" s="398">
        <f t="shared" si="79"/>
        <v>0</v>
      </c>
      <c r="G106" s="398">
        <f t="shared" si="79"/>
        <v>0</v>
      </c>
      <c r="H106" s="398">
        <f t="shared" si="79"/>
        <v>0</v>
      </c>
      <c r="I106" s="398">
        <f t="shared" si="79"/>
        <v>0</v>
      </c>
      <c r="J106" s="398">
        <f t="shared" si="79"/>
        <v>0</v>
      </c>
      <c r="K106" s="399">
        <f t="shared" si="79"/>
        <v>0</v>
      </c>
      <c r="L106" s="398">
        <f t="shared" si="79"/>
        <v>0</v>
      </c>
      <c r="M106" s="399">
        <f t="shared" si="79"/>
        <v>0</v>
      </c>
      <c r="N106" s="398">
        <f t="shared" si="79"/>
        <v>0</v>
      </c>
      <c r="O106" s="399">
        <f t="shared" si="79"/>
        <v>0</v>
      </c>
      <c r="P106" s="398">
        <f t="shared" si="79"/>
        <v>0</v>
      </c>
      <c r="Q106" s="399">
        <f t="shared" si="79"/>
        <v>0</v>
      </c>
      <c r="R106" s="398">
        <f t="shared" si="79"/>
        <v>0</v>
      </c>
      <c r="S106" s="399">
        <f t="shared" si="79"/>
        <v>0</v>
      </c>
      <c r="T106" s="398">
        <f t="shared" si="79"/>
        <v>0</v>
      </c>
      <c r="U106" s="399">
        <f t="shared" si="79"/>
        <v>0</v>
      </c>
      <c r="V106" s="398">
        <f t="shared" si="79"/>
        <v>0</v>
      </c>
      <c r="W106" s="399">
        <f t="shared" si="79"/>
        <v>0</v>
      </c>
      <c r="X106" s="398">
        <f t="shared" si="79"/>
        <v>0</v>
      </c>
      <c r="Y106" s="399">
        <f t="shared" si="79"/>
        <v>0</v>
      </c>
      <c r="Z106" s="432">
        <f t="shared" si="70"/>
        <v>0</v>
      </c>
      <c r="AA106" s="432">
        <f t="shared" si="71"/>
        <v>0</v>
      </c>
      <c r="AC106" s="395">
        <f t="shared" si="73"/>
        <v>0</v>
      </c>
      <c r="AD106" s="395">
        <f t="shared" si="74"/>
        <v>0</v>
      </c>
    </row>
    <row r="107" spans="1:30" ht="14.4" thickBot="1">
      <c r="A107" s="397" t="s">
        <v>883</v>
      </c>
      <c r="B107" s="398">
        <f t="shared" ref="B107:Y107" si="80">B44+B75</f>
        <v>0</v>
      </c>
      <c r="C107" s="399">
        <f t="shared" si="80"/>
        <v>0</v>
      </c>
      <c r="D107" s="398">
        <f t="shared" si="80"/>
        <v>0</v>
      </c>
      <c r="E107" s="398">
        <f t="shared" si="80"/>
        <v>0</v>
      </c>
      <c r="F107" s="398">
        <f t="shared" si="80"/>
        <v>0</v>
      </c>
      <c r="G107" s="398">
        <f t="shared" si="80"/>
        <v>0</v>
      </c>
      <c r="H107" s="398">
        <f t="shared" si="80"/>
        <v>0</v>
      </c>
      <c r="I107" s="398">
        <f t="shared" si="80"/>
        <v>0</v>
      </c>
      <c r="J107" s="398">
        <f t="shared" si="80"/>
        <v>0</v>
      </c>
      <c r="K107" s="399">
        <f t="shared" si="80"/>
        <v>0</v>
      </c>
      <c r="L107" s="398">
        <f t="shared" si="80"/>
        <v>0</v>
      </c>
      <c r="M107" s="399">
        <f t="shared" si="80"/>
        <v>0</v>
      </c>
      <c r="N107" s="398">
        <f t="shared" si="80"/>
        <v>0</v>
      </c>
      <c r="O107" s="399">
        <f t="shared" si="80"/>
        <v>0</v>
      </c>
      <c r="P107" s="398">
        <f t="shared" si="80"/>
        <v>0</v>
      </c>
      <c r="Q107" s="399">
        <f t="shared" si="80"/>
        <v>0</v>
      </c>
      <c r="R107" s="398">
        <f t="shared" si="80"/>
        <v>0</v>
      </c>
      <c r="S107" s="399">
        <f t="shared" si="80"/>
        <v>0</v>
      </c>
      <c r="T107" s="398">
        <f t="shared" si="80"/>
        <v>0</v>
      </c>
      <c r="U107" s="399">
        <f t="shared" si="80"/>
        <v>0</v>
      </c>
      <c r="V107" s="398">
        <f t="shared" si="80"/>
        <v>0</v>
      </c>
      <c r="W107" s="399">
        <f t="shared" si="80"/>
        <v>0</v>
      </c>
      <c r="X107" s="398">
        <f t="shared" si="80"/>
        <v>0</v>
      </c>
      <c r="Y107" s="399">
        <f t="shared" si="80"/>
        <v>0</v>
      </c>
      <c r="Z107" s="432">
        <f t="shared" si="70"/>
        <v>0</v>
      </c>
      <c r="AA107" s="432">
        <f t="shared" si="71"/>
        <v>0</v>
      </c>
      <c r="AC107" s="395">
        <f t="shared" si="73"/>
        <v>0</v>
      </c>
      <c r="AD107" s="395">
        <f t="shared" si="74"/>
        <v>0</v>
      </c>
    </row>
    <row r="108" spans="1:30" ht="14.4" thickBot="1">
      <c r="A108" s="397" t="s">
        <v>884</v>
      </c>
      <c r="B108" s="398">
        <f t="shared" ref="B108:Y108" si="81">B45+B76</f>
        <v>0</v>
      </c>
      <c r="C108" s="399">
        <f t="shared" si="81"/>
        <v>0</v>
      </c>
      <c r="D108" s="398">
        <f t="shared" si="81"/>
        <v>0</v>
      </c>
      <c r="E108" s="398">
        <f t="shared" si="81"/>
        <v>0</v>
      </c>
      <c r="F108" s="398">
        <f t="shared" si="81"/>
        <v>0</v>
      </c>
      <c r="G108" s="398">
        <f t="shared" si="81"/>
        <v>0</v>
      </c>
      <c r="H108" s="398">
        <f t="shared" si="81"/>
        <v>0</v>
      </c>
      <c r="I108" s="398">
        <f t="shared" si="81"/>
        <v>0</v>
      </c>
      <c r="J108" s="398">
        <f t="shared" si="81"/>
        <v>0</v>
      </c>
      <c r="K108" s="399">
        <f t="shared" si="81"/>
        <v>0</v>
      </c>
      <c r="L108" s="398">
        <f t="shared" si="81"/>
        <v>0</v>
      </c>
      <c r="M108" s="399">
        <f t="shared" si="81"/>
        <v>0</v>
      </c>
      <c r="N108" s="398">
        <f t="shared" si="81"/>
        <v>0</v>
      </c>
      <c r="O108" s="399">
        <f t="shared" si="81"/>
        <v>0</v>
      </c>
      <c r="P108" s="398">
        <f t="shared" si="81"/>
        <v>0</v>
      </c>
      <c r="Q108" s="399">
        <f t="shared" si="81"/>
        <v>0</v>
      </c>
      <c r="R108" s="398">
        <f t="shared" si="81"/>
        <v>0</v>
      </c>
      <c r="S108" s="399">
        <f t="shared" si="81"/>
        <v>0</v>
      </c>
      <c r="T108" s="398">
        <f t="shared" si="81"/>
        <v>0</v>
      </c>
      <c r="U108" s="399">
        <f t="shared" si="81"/>
        <v>0</v>
      </c>
      <c r="V108" s="398">
        <f t="shared" si="81"/>
        <v>0</v>
      </c>
      <c r="W108" s="399">
        <f t="shared" si="81"/>
        <v>0</v>
      </c>
      <c r="X108" s="398">
        <f t="shared" si="81"/>
        <v>0</v>
      </c>
      <c r="Y108" s="399">
        <f t="shared" si="81"/>
        <v>0</v>
      </c>
      <c r="Z108" s="432">
        <f t="shared" si="70"/>
        <v>0</v>
      </c>
      <c r="AA108" s="432">
        <f t="shared" si="71"/>
        <v>0</v>
      </c>
      <c r="AC108" s="395">
        <f t="shared" si="73"/>
        <v>0</v>
      </c>
      <c r="AD108" s="395">
        <f t="shared" si="74"/>
        <v>0</v>
      </c>
    </row>
    <row r="109" spans="1:30" ht="14.4" thickBot="1">
      <c r="A109" s="397" t="s">
        <v>885</v>
      </c>
      <c r="B109" s="398">
        <f t="shared" ref="B109:Y109" si="82">B46+B77</f>
        <v>0</v>
      </c>
      <c r="C109" s="399">
        <f t="shared" si="82"/>
        <v>0</v>
      </c>
      <c r="D109" s="398">
        <f t="shared" si="82"/>
        <v>0</v>
      </c>
      <c r="E109" s="398">
        <f t="shared" si="82"/>
        <v>0</v>
      </c>
      <c r="F109" s="398">
        <f t="shared" si="82"/>
        <v>0</v>
      </c>
      <c r="G109" s="398">
        <f t="shared" si="82"/>
        <v>0</v>
      </c>
      <c r="H109" s="398">
        <f t="shared" si="82"/>
        <v>0</v>
      </c>
      <c r="I109" s="398">
        <f t="shared" si="82"/>
        <v>0</v>
      </c>
      <c r="J109" s="398">
        <f t="shared" si="82"/>
        <v>0</v>
      </c>
      <c r="K109" s="399">
        <f t="shared" si="82"/>
        <v>0</v>
      </c>
      <c r="L109" s="398">
        <f t="shared" si="82"/>
        <v>0</v>
      </c>
      <c r="M109" s="399">
        <f t="shared" si="82"/>
        <v>0</v>
      </c>
      <c r="N109" s="398">
        <f t="shared" si="82"/>
        <v>0</v>
      </c>
      <c r="O109" s="399">
        <f t="shared" si="82"/>
        <v>0</v>
      </c>
      <c r="P109" s="398">
        <f t="shared" si="82"/>
        <v>0</v>
      </c>
      <c r="Q109" s="399">
        <f t="shared" si="82"/>
        <v>0</v>
      </c>
      <c r="R109" s="398">
        <f t="shared" si="82"/>
        <v>0</v>
      </c>
      <c r="S109" s="399">
        <f t="shared" si="82"/>
        <v>0</v>
      </c>
      <c r="T109" s="398">
        <f t="shared" si="82"/>
        <v>0</v>
      </c>
      <c r="U109" s="399">
        <f t="shared" si="82"/>
        <v>0</v>
      </c>
      <c r="V109" s="398">
        <f t="shared" si="82"/>
        <v>0</v>
      </c>
      <c r="W109" s="399">
        <f t="shared" si="82"/>
        <v>0</v>
      </c>
      <c r="X109" s="398">
        <f t="shared" si="82"/>
        <v>0</v>
      </c>
      <c r="Y109" s="399">
        <f t="shared" si="82"/>
        <v>0</v>
      </c>
      <c r="Z109" s="432">
        <f t="shared" si="70"/>
        <v>0</v>
      </c>
      <c r="AA109" s="432">
        <f t="shared" si="71"/>
        <v>0</v>
      </c>
      <c r="AC109" s="395">
        <f t="shared" si="73"/>
        <v>0</v>
      </c>
      <c r="AD109" s="395">
        <f t="shared" si="74"/>
        <v>0</v>
      </c>
    </row>
    <row r="110" spans="1:30" ht="14.4" thickBot="1">
      <c r="A110" s="433" t="s">
        <v>16</v>
      </c>
      <c r="B110" s="417">
        <f t="shared" ref="B110:AA110" si="83">SUM(B100:B109)</f>
        <v>0</v>
      </c>
      <c r="C110" s="419">
        <f t="shared" si="83"/>
        <v>0</v>
      </c>
      <c r="D110" s="417">
        <f t="shared" si="83"/>
        <v>0</v>
      </c>
      <c r="E110" s="419">
        <f t="shared" si="83"/>
        <v>0</v>
      </c>
      <c r="F110" s="417">
        <f t="shared" si="83"/>
        <v>0</v>
      </c>
      <c r="G110" s="419">
        <f t="shared" si="83"/>
        <v>0</v>
      </c>
      <c r="H110" s="417">
        <f t="shared" si="83"/>
        <v>0</v>
      </c>
      <c r="I110" s="419">
        <f t="shared" si="83"/>
        <v>0</v>
      </c>
      <c r="J110" s="417">
        <f t="shared" si="83"/>
        <v>0</v>
      </c>
      <c r="K110" s="419">
        <f t="shared" si="83"/>
        <v>0</v>
      </c>
      <c r="L110" s="417">
        <f t="shared" si="83"/>
        <v>0</v>
      </c>
      <c r="M110" s="419">
        <f t="shared" si="83"/>
        <v>0</v>
      </c>
      <c r="N110" s="417">
        <f t="shared" si="83"/>
        <v>0</v>
      </c>
      <c r="O110" s="419">
        <f t="shared" si="83"/>
        <v>0</v>
      </c>
      <c r="P110" s="417">
        <f t="shared" si="83"/>
        <v>0</v>
      </c>
      <c r="Q110" s="419">
        <f t="shared" si="83"/>
        <v>0</v>
      </c>
      <c r="R110" s="417">
        <f t="shared" si="83"/>
        <v>0</v>
      </c>
      <c r="S110" s="419">
        <f t="shared" si="83"/>
        <v>0</v>
      </c>
      <c r="T110" s="417">
        <f t="shared" si="83"/>
        <v>0</v>
      </c>
      <c r="U110" s="419">
        <f t="shared" si="83"/>
        <v>0</v>
      </c>
      <c r="V110" s="417">
        <f t="shared" si="83"/>
        <v>0</v>
      </c>
      <c r="W110" s="419">
        <f t="shared" si="83"/>
        <v>0</v>
      </c>
      <c r="X110" s="417">
        <f t="shared" si="83"/>
        <v>0</v>
      </c>
      <c r="Y110" s="419">
        <f t="shared" si="83"/>
        <v>0</v>
      </c>
      <c r="Z110" s="434">
        <f t="shared" si="83"/>
        <v>0</v>
      </c>
      <c r="AA110" s="434">
        <f t="shared" si="83"/>
        <v>0</v>
      </c>
      <c r="AC110" s="395">
        <f t="shared" si="73"/>
        <v>0</v>
      </c>
      <c r="AD110" s="395">
        <f t="shared" si="74"/>
        <v>0</v>
      </c>
    </row>
    <row r="111" spans="1:30">
      <c r="AD111" s="395"/>
    </row>
    <row r="112" spans="1:30" ht="18.600000000000001" thickBot="1">
      <c r="A112" s="394">
        <f>A80</f>
        <v>2024</v>
      </c>
    </row>
    <row r="113" spans="1:30">
      <c r="A113" s="2815" t="s">
        <v>308</v>
      </c>
      <c r="B113" s="2827" t="s">
        <v>71</v>
      </c>
      <c r="C113" s="2828"/>
      <c r="D113" s="2829" t="s">
        <v>72</v>
      </c>
      <c r="E113" s="2830"/>
      <c r="F113" s="2817" t="s">
        <v>73</v>
      </c>
      <c r="G113" s="2818"/>
      <c r="H113" s="2819" t="s">
        <v>74</v>
      </c>
      <c r="I113" s="2820"/>
      <c r="J113" s="2821" t="s">
        <v>75</v>
      </c>
      <c r="K113" s="2822"/>
      <c r="L113" s="2823" t="s">
        <v>76</v>
      </c>
      <c r="M113" s="2824"/>
      <c r="N113" s="2827" t="s">
        <v>77</v>
      </c>
      <c r="O113" s="2828"/>
      <c r="P113" s="2829" t="s">
        <v>78</v>
      </c>
      <c r="Q113" s="2830"/>
      <c r="R113" s="2817" t="s">
        <v>79</v>
      </c>
      <c r="S113" s="2818"/>
      <c r="T113" s="2819" t="s">
        <v>80</v>
      </c>
      <c r="U113" s="2820"/>
      <c r="V113" s="2821" t="s">
        <v>81</v>
      </c>
      <c r="W113" s="2822"/>
      <c r="X113" s="2823" t="s">
        <v>82</v>
      </c>
      <c r="Y113" s="2824"/>
      <c r="Z113" s="2825" t="s">
        <v>83</v>
      </c>
      <c r="AA113" s="2826"/>
      <c r="AB113" s="634"/>
    </row>
    <row r="114" spans="1:30" ht="14.4" thickBot="1">
      <c r="A114" s="2816"/>
      <c r="B114" s="402" t="s">
        <v>198</v>
      </c>
      <c r="C114" s="403" t="s">
        <v>199</v>
      </c>
      <c r="D114" s="402" t="s">
        <v>198</v>
      </c>
      <c r="E114" s="403" t="s">
        <v>199</v>
      </c>
      <c r="F114" s="402" t="s">
        <v>198</v>
      </c>
      <c r="G114" s="403" t="s">
        <v>199</v>
      </c>
      <c r="H114" s="402" t="s">
        <v>198</v>
      </c>
      <c r="I114" s="403" t="s">
        <v>199</v>
      </c>
      <c r="J114" s="402" t="s">
        <v>198</v>
      </c>
      <c r="K114" s="403" t="s">
        <v>199</v>
      </c>
      <c r="L114" s="402" t="s">
        <v>198</v>
      </c>
      <c r="M114" s="403" t="s">
        <v>199</v>
      </c>
      <c r="N114" s="402" t="s">
        <v>198</v>
      </c>
      <c r="O114" s="403" t="s">
        <v>199</v>
      </c>
      <c r="P114" s="402" t="s">
        <v>198</v>
      </c>
      <c r="Q114" s="403" t="s">
        <v>199</v>
      </c>
      <c r="R114" s="402" t="s">
        <v>198</v>
      </c>
      <c r="S114" s="403" t="s">
        <v>199</v>
      </c>
      <c r="T114" s="402" t="s">
        <v>198</v>
      </c>
      <c r="U114" s="403" t="s">
        <v>199</v>
      </c>
      <c r="V114" s="1107" t="s">
        <v>198</v>
      </c>
      <c r="W114" s="403" t="s">
        <v>199</v>
      </c>
      <c r="X114" s="402" t="s">
        <v>198</v>
      </c>
      <c r="Y114" s="403" t="s">
        <v>199</v>
      </c>
      <c r="Z114" s="403" t="s">
        <v>198</v>
      </c>
      <c r="AA114" s="403" t="s">
        <v>199</v>
      </c>
      <c r="AC114" s="117" t="s">
        <v>198</v>
      </c>
      <c r="AD114" s="117" t="s">
        <v>199</v>
      </c>
    </row>
    <row r="115" spans="1:30" ht="14.4" thickBot="1">
      <c r="A115" s="397" t="s">
        <v>6</v>
      </c>
      <c r="B115" s="398">
        <f>B52+B83</f>
        <v>0</v>
      </c>
      <c r="C115" s="399">
        <f t="shared" ref="C115:Y115" si="84">C52+C83</f>
        <v>0</v>
      </c>
      <c r="D115" s="398">
        <f t="shared" si="84"/>
        <v>0</v>
      </c>
      <c r="E115" s="398">
        <f t="shared" si="84"/>
        <v>0</v>
      </c>
      <c r="F115" s="398">
        <f t="shared" si="84"/>
        <v>0</v>
      </c>
      <c r="G115" s="398">
        <f t="shared" si="84"/>
        <v>0</v>
      </c>
      <c r="H115" s="398">
        <f t="shared" si="84"/>
        <v>0</v>
      </c>
      <c r="I115" s="398">
        <f t="shared" si="84"/>
        <v>0</v>
      </c>
      <c r="J115" s="398">
        <f t="shared" si="84"/>
        <v>0</v>
      </c>
      <c r="K115" s="399">
        <f t="shared" si="84"/>
        <v>0</v>
      </c>
      <c r="L115" s="398">
        <f t="shared" si="84"/>
        <v>0</v>
      </c>
      <c r="M115" s="399">
        <f t="shared" si="84"/>
        <v>0</v>
      </c>
      <c r="N115" s="398">
        <f t="shared" si="84"/>
        <v>0</v>
      </c>
      <c r="O115" s="399">
        <f t="shared" si="84"/>
        <v>0</v>
      </c>
      <c r="P115" s="398">
        <f t="shared" si="84"/>
        <v>0</v>
      </c>
      <c r="Q115" s="399">
        <f t="shared" si="84"/>
        <v>0</v>
      </c>
      <c r="R115" s="398">
        <f t="shared" si="84"/>
        <v>0</v>
      </c>
      <c r="S115" s="399">
        <f t="shared" si="84"/>
        <v>0</v>
      </c>
      <c r="T115" s="398">
        <f t="shared" si="84"/>
        <v>0</v>
      </c>
      <c r="U115" s="399">
        <f t="shared" si="84"/>
        <v>0</v>
      </c>
      <c r="V115" s="398">
        <f t="shared" si="84"/>
        <v>0</v>
      </c>
      <c r="W115" s="399">
        <f t="shared" si="84"/>
        <v>0</v>
      </c>
      <c r="X115" s="398">
        <f t="shared" si="84"/>
        <v>0</v>
      </c>
      <c r="Y115" s="399">
        <f t="shared" si="84"/>
        <v>0</v>
      </c>
      <c r="Z115" s="432">
        <f t="shared" ref="Z115:Z124" si="85">B115+D115+F115+H115+J115+L115+N115+P115+R115+T115+V115+X115</f>
        <v>0</v>
      </c>
      <c r="AA115" s="432">
        <f>C115+E115+G115+I115+K115+M115+O115+Q115+S115+U115+W115+Y115</f>
        <v>0</v>
      </c>
      <c r="AB115" s="634"/>
      <c r="AC115" s="395">
        <f>P115</f>
        <v>0</v>
      </c>
      <c r="AD115" s="395">
        <f>Q115</f>
        <v>0</v>
      </c>
    </row>
    <row r="116" spans="1:30" ht="14.4" thickBot="1">
      <c r="A116" s="397" t="s">
        <v>7</v>
      </c>
      <c r="B116" s="398">
        <f t="shared" ref="B116:Y116" si="86">B53+B84</f>
        <v>0</v>
      </c>
      <c r="C116" s="399">
        <f t="shared" si="86"/>
        <v>0</v>
      </c>
      <c r="D116" s="398">
        <f t="shared" si="86"/>
        <v>0</v>
      </c>
      <c r="E116" s="398">
        <f t="shared" si="86"/>
        <v>0</v>
      </c>
      <c r="F116" s="398">
        <f t="shared" si="86"/>
        <v>0</v>
      </c>
      <c r="G116" s="398">
        <f t="shared" si="86"/>
        <v>0</v>
      </c>
      <c r="H116" s="398">
        <f t="shared" si="86"/>
        <v>0</v>
      </c>
      <c r="I116" s="398">
        <f t="shared" si="86"/>
        <v>0</v>
      </c>
      <c r="J116" s="398">
        <f t="shared" si="86"/>
        <v>0</v>
      </c>
      <c r="K116" s="399">
        <f t="shared" si="86"/>
        <v>0</v>
      </c>
      <c r="L116" s="398">
        <f t="shared" si="86"/>
        <v>0</v>
      </c>
      <c r="M116" s="399">
        <f t="shared" si="86"/>
        <v>0</v>
      </c>
      <c r="N116" s="398">
        <f t="shared" si="86"/>
        <v>0</v>
      </c>
      <c r="O116" s="399">
        <f t="shared" si="86"/>
        <v>0</v>
      </c>
      <c r="P116" s="398">
        <f t="shared" si="86"/>
        <v>0</v>
      </c>
      <c r="Q116" s="399">
        <f t="shared" si="86"/>
        <v>0</v>
      </c>
      <c r="R116" s="398">
        <f t="shared" si="86"/>
        <v>0</v>
      </c>
      <c r="S116" s="399">
        <f t="shared" si="86"/>
        <v>0</v>
      </c>
      <c r="T116" s="398">
        <f t="shared" si="86"/>
        <v>0</v>
      </c>
      <c r="U116" s="399">
        <f t="shared" si="86"/>
        <v>0</v>
      </c>
      <c r="V116" s="398">
        <f t="shared" si="86"/>
        <v>0</v>
      </c>
      <c r="W116" s="399">
        <f t="shared" si="86"/>
        <v>0</v>
      </c>
      <c r="X116" s="398">
        <f t="shared" si="86"/>
        <v>0</v>
      </c>
      <c r="Y116" s="399">
        <f t="shared" si="86"/>
        <v>0</v>
      </c>
      <c r="Z116" s="432">
        <f t="shared" si="85"/>
        <v>0</v>
      </c>
      <c r="AA116" s="432">
        <f t="shared" ref="AA116:AA124" si="87">C116+E116+G116+I116+K116+M116+O116+Q116+S116+U116+W116+Y116</f>
        <v>0</v>
      </c>
      <c r="AC116" s="395">
        <f t="shared" ref="AC116:AC125" si="88">P116</f>
        <v>0</v>
      </c>
      <c r="AD116" s="395">
        <f t="shared" ref="AD116:AD125" si="89">Q116</f>
        <v>0</v>
      </c>
    </row>
    <row r="117" spans="1:30" ht="14.4" thickBot="1">
      <c r="A117" s="397" t="s">
        <v>8</v>
      </c>
      <c r="B117" s="398">
        <f t="shared" ref="B117:Y117" si="90">B54+B85</f>
        <v>0</v>
      </c>
      <c r="C117" s="399">
        <f t="shared" si="90"/>
        <v>0</v>
      </c>
      <c r="D117" s="398">
        <f t="shared" si="90"/>
        <v>0</v>
      </c>
      <c r="E117" s="398">
        <f t="shared" si="90"/>
        <v>0</v>
      </c>
      <c r="F117" s="398">
        <f t="shared" si="90"/>
        <v>0</v>
      </c>
      <c r="G117" s="398">
        <f t="shared" si="90"/>
        <v>0</v>
      </c>
      <c r="H117" s="398">
        <f t="shared" si="90"/>
        <v>0</v>
      </c>
      <c r="I117" s="398">
        <f t="shared" si="90"/>
        <v>0</v>
      </c>
      <c r="J117" s="398">
        <f t="shared" si="90"/>
        <v>0</v>
      </c>
      <c r="K117" s="399">
        <f t="shared" si="90"/>
        <v>0</v>
      </c>
      <c r="L117" s="398">
        <f t="shared" si="90"/>
        <v>0</v>
      </c>
      <c r="M117" s="399">
        <f t="shared" si="90"/>
        <v>0</v>
      </c>
      <c r="N117" s="398">
        <f t="shared" si="90"/>
        <v>0</v>
      </c>
      <c r="O117" s="399">
        <f t="shared" si="90"/>
        <v>0</v>
      </c>
      <c r="P117" s="398">
        <f t="shared" si="90"/>
        <v>0</v>
      </c>
      <c r="Q117" s="399">
        <f t="shared" si="90"/>
        <v>0</v>
      </c>
      <c r="R117" s="398">
        <f t="shared" si="90"/>
        <v>0</v>
      </c>
      <c r="S117" s="399">
        <f t="shared" si="90"/>
        <v>0</v>
      </c>
      <c r="T117" s="398">
        <f t="shared" si="90"/>
        <v>0</v>
      </c>
      <c r="U117" s="399">
        <f t="shared" si="90"/>
        <v>0</v>
      </c>
      <c r="V117" s="398">
        <f t="shared" si="90"/>
        <v>0</v>
      </c>
      <c r="W117" s="399">
        <f t="shared" si="90"/>
        <v>0</v>
      </c>
      <c r="X117" s="398">
        <f t="shared" si="90"/>
        <v>0</v>
      </c>
      <c r="Y117" s="399">
        <f t="shared" si="90"/>
        <v>0</v>
      </c>
      <c r="Z117" s="432">
        <f t="shared" si="85"/>
        <v>0</v>
      </c>
      <c r="AA117" s="432">
        <f t="shared" si="87"/>
        <v>0</v>
      </c>
      <c r="AB117" s="634"/>
      <c r="AC117" s="395">
        <f t="shared" si="88"/>
        <v>0</v>
      </c>
      <c r="AD117" s="395">
        <f t="shared" si="89"/>
        <v>0</v>
      </c>
    </row>
    <row r="118" spans="1:30" ht="14.4" thickBot="1">
      <c r="A118" s="397" t="s">
        <v>4</v>
      </c>
      <c r="B118" s="398">
        <f t="shared" ref="B118:Y118" si="91">B55+B86</f>
        <v>0</v>
      </c>
      <c r="C118" s="399">
        <f t="shared" si="91"/>
        <v>0</v>
      </c>
      <c r="D118" s="398">
        <f t="shared" si="91"/>
        <v>0</v>
      </c>
      <c r="E118" s="398">
        <f t="shared" si="91"/>
        <v>0</v>
      </c>
      <c r="F118" s="398">
        <f t="shared" si="91"/>
        <v>0</v>
      </c>
      <c r="G118" s="398">
        <f t="shared" si="91"/>
        <v>0</v>
      </c>
      <c r="H118" s="398">
        <f t="shared" si="91"/>
        <v>0</v>
      </c>
      <c r="I118" s="398">
        <f t="shared" si="91"/>
        <v>0</v>
      </c>
      <c r="J118" s="398">
        <f t="shared" si="91"/>
        <v>0</v>
      </c>
      <c r="K118" s="399">
        <f t="shared" si="91"/>
        <v>0</v>
      </c>
      <c r="L118" s="398">
        <f t="shared" si="91"/>
        <v>0</v>
      </c>
      <c r="M118" s="399">
        <f t="shared" si="91"/>
        <v>0</v>
      </c>
      <c r="N118" s="398">
        <f t="shared" si="91"/>
        <v>0</v>
      </c>
      <c r="O118" s="399">
        <f t="shared" si="91"/>
        <v>1</v>
      </c>
      <c r="P118" s="398">
        <f t="shared" si="91"/>
        <v>0</v>
      </c>
      <c r="Q118" s="399">
        <f t="shared" si="91"/>
        <v>0</v>
      </c>
      <c r="R118" s="398">
        <f t="shared" si="91"/>
        <v>0</v>
      </c>
      <c r="S118" s="399">
        <f t="shared" si="91"/>
        <v>0</v>
      </c>
      <c r="T118" s="398">
        <f t="shared" si="91"/>
        <v>0</v>
      </c>
      <c r="U118" s="399">
        <f t="shared" si="91"/>
        <v>0</v>
      </c>
      <c r="V118" s="398">
        <f t="shared" si="91"/>
        <v>0</v>
      </c>
      <c r="W118" s="399">
        <f t="shared" si="91"/>
        <v>0</v>
      </c>
      <c r="X118" s="398">
        <f t="shared" si="91"/>
        <v>0</v>
      </c>
      <c r="Y118" s="399">
        <f t="shared" si="91"/>
        <v>0</v>
      </c>
      <c r="Z118" s="432">
        <f t="shared" si="85"/>
        <v>0</v>
      </c>
      <c r="AA118" s="432">
        <f t="shared" si="87"/>
        <v>1</v>
      </c>
      <c r="AC118" s="395">
        <f t="shared" si="88"/>
        <v>0</v>
      </c>
      <c r="AD118" s="395">
        <f t="shared" si="89"/>
        <v>0</v>
      </c>
    </row>
    <row r="119" spans="1:30" ht="14.4" thickBot="1">
      <c r="A119" s="397" t="s">
        <v>3</v>
      </c>
      <c r="B119" s="398">
        <f t="shared" ref="B119:Y119" si="92">B56+B87</f>
        <v>0</v>
      </c>
      <c r="C119" s="399">
        <f t="shared" si="92"/>
        <v>0</v>
      </c>
      <c r="D119" s="398">
        <f t="shared" si="92"/>
        <v>0</v>
      </c>
      <c r="E119" s="398">
        <f t="shared" si="92"/>
        <v>0</v>
      </c>
      <c r="F119" s="398">
        <f t="shared" si="92"/>
        <v>0</v>
      </c>
      <c r="G119" s="398">
        <f t="shared" si="92"/>
        <v>0</v>
      </c>
      <c r="H119" s="398">
        <f t="shared" si="92"/>
        <v>0</v>
      </c>
      <c r="I119" s="398">
        <f t="shared" si="92"/>
        <v>0</v>
      </c>
      <c r="J119" s="398">
        <f t="shared" si="92"/>
        <v>0</v>
      </c>
      <c r="K119" s="399">
        <f t="shared" si="92"/>
        <v>0</v>
      </c>
      <c r="L119" s="398">
        <f t="shared" si="92"/>
        <v>0</v>
      </c>
      <c r="M119" s="399">
        <f t="shared" si="92"/>
        <v>0</v>
      </c>
      <c r="N119" s="398">
        <f t="shared" si="92"/>
        <v>0</v>
      </c>
      <c r="O119" s="399">
        <f t="shared" si="92"/>
        <v>0</v>
      </c>
      <c r="P119" s="398">
        <f t="shared" si="92"/>
        <v>0</v>
      </c>
      <c r="Q119" s="399">
        <f t="shared" si="92"/>
        <v>0</v>
      </c>
      <c r="R119" s="398">
        <f t="shared" si="92"/>
        <v>0</v>
      </c>
      <c r="S119" s="399">
        <f t="shared" si="92"/>
        <v>0</v>
      </c>
      <c r="T119" s="398">
        <f t="shared" si="92"/>
        <v>0</v>
      </c>
      <c r="U119" s="399">
        <f t="shared" si="92"/>
        <v>0</v>
      </c>
      <c r="V119" s="398">
        <f t="shared" si="92"/>
        <v>0</v>
      </c>
      <c r="W119" s="399">
        <f t="shared" si="92"/>
        <v>0</v>
      </c>
      <c r="X119" s="398">
        <f t="shared" si="92"/>
        <v>0</v>
      </c>
      <c r="Y119" s="399">
        <f t="shared" si="92"/>
        <v>0</v>
      </c>
      <c r="Z119" s="432">
        <f t="shared" si="85"/>
        <v>0</v>
      </c>
      <c r="AA119" s="432">
        <f t="shared" si="87"/>
        <v>0</v>
      </c>
      <c r="AB119" s="634"/>
      <c r="AC119" s="395">
        <f t="shared" si="88"/>
        <v>0</v>
      </c>
      <c r="AD119" s="395">
        <f t="shared" si="89"/>
        <v>0</v>
      </c>
    </row>
    <row r="120" spans="1:30" ht="14.4" thickBot="1">
      <c r="A120" s="397" t="s">
        <v>397</v>
      </c>
      <c r="B120" s="398">
        <f t="shared" ref="B120:Y120" si="93">B57+B88</f>
        <v>0</v>
      </c>
      <c r="C120" s="399">
        <f t="shared" si="93"/>
        <v>0</v>
      </c>
      <c r="D120" s="398">
        <f t="shared" si="93"/>
        <v>0</v>
      </c>
      <c r="E120" s="398">
        <f t="shared" si="93"/>
        <v>0</v>
      </c>
      <c r="F120" s="398">
        <f t="shared" si="93"/>
        <v>0</v>
      </c>
      <c r="G120" s="398">
        <f t="shared" si="93"/>
        <v>0</v>
      </c>
      <c r="H120" s="398">
        <f t="shared" si="93"/>
        <v>0</v>
      </c>
      <c r="I120" s="398">
        <f t="shared" si="93"/>
        <v>0</v>
      </c>
      <c r="J120" s="398">
        <f t="shared" si="93"/>
        <v>0</v>
      </c>
      <c r="K120" s="399">
        <f t="shared" si="93"/>
        <v>0</v>
      </c>
      <c r="L120" s="398">
        <f t="shared" si="93"/>
        <v>0</v>
      </c>
      <c r="M120" s="399">
        <f t="shared" si="93"/>
        <v>0</v>
      </c>
      <c r="N120" s="398">
        <f t="shared" si="93"/>
        <v>0</v>
      </c>
      <c r="O120" s="399">
        <f t="shared" si="93"/>
        <v>0</v>
      </c>
      <c r="P120" s="398">
        <f t="shared" si="93"/>
        <v>0</v>
      </c>
      <c r="Q120" s="399">
        <f t="shared" si="93"/>
        <v>0</v>
      </c>
      <c r="R120" s="398">
        <f t="shared" si="93"/>
        <v>0</v>
      </c>
      <c r="S120" s="399">
        <f t="shared" si="93"/>
        <v>0</v>
      </c>
      <c r="T120" s="398">
        <f t="shared" si="93"/>
        <v>0</v>
      </c>
      <c r="U120" s="399">
        <f t="shared" si="93"/>
        <v>0</v>
      </c>
      <c r="V120" s="398">
        <f t="shared" si="93"/>
        <v>0</v>
      </c>
      <c r="W120" s="399">
        <f t="shared" si="93"/>
        <v>0</v>
      </c>
      <c r="X120" s="398">
        <f t="shared" si="93"/>
        <v>0</v>
      </c>
      <c r="Y120" s="399">
        <f t="shared" si="93"/>
        <v>0</v>
      </c>
      <c r="Z120" s="432">
        <f t="shared" si="85"/>
        <v>0</v>
      </c>
      <c r="AA120" s="432">
        <f t="shared" si="87"/>
        <v>0</v>
      </c>
      <c r="AB120" s="634"/>
      <c r="AC120" s="395">
        <f t="shared" si="88"/>
        <v>0</v>
      </c>
      <c r="AD120" s="395">
        <f t="shared" si="89"/>
        <v>0</v>
      </c>
    </row>
    <row r="121" spans="1:30" ht="14.4" thickBot="1">
      <c r="A121" s="397" t="s">
        <v>399</v>
      </c>
      <c r="B121" s="398">
        <f t="shared" ref="B121:Y121" si="94">B58+B89</f>
        <v>0</v>
      </c>
      <c r="C121" s="399">
        <f t="shared" si="94"/>
        <v>0</v>
      </c>
      <c r="D121" s="398">
        <f t="shared" si="94"/>
        <v>0</v>
      </c>
      <c r="E121" s="398">
        <f t="shared" si="94"/>
        <v>0</v>
      </c>
      <c r="F121" s="398">
        <f t="shared" si="94"/>
        <v>0</v>
      </c>
      <c r="G121" s="398">
        <f t="shared" si="94"/>
        <v>0</v>
      </c>
      <c r="H121" s="398">
        <f t="shared" si="94"/>
        <v>0</v>
      </c>
      <c r="I121" s="398">
        <f t="shared" si="94"/>
        <v>0</v>
      </c>
      <c r="J121" s="398">
        <f t="shared" si="94"/>
        <v>0</v>
      </c>
      <c r="K121" s="399">
        <f t="shared" si="94"/>
        <v>0</v>
      </c>
      <c r="L121" s="398">
        <f t="shared" si="94"/>
        <v>0</v>
      </c>
      <c r="M121" s="399">
        <f t="shared" si="94"/>
        <v>0</v>
      </c>
      <c r="N121" s="398">
        <f t="shared" si="94"/>
        <v>0</v>
      </c>
      <c r="O121" s="399">
        <f t="shared" si="94"/>
        <v>0</v>
      </c>
      <c r="P121" s="398">
        <f t="shared" si="94"/>
        <v>0</v>
      </c>
      <c r="Q121" s="399">
        <f t="shared" si="94"/>
        <v>0</v>
      </c>
      <c r="R121" s="398">
        <f t="shared" si="94"/>
        <v>0</v>
      </c>
      <c r="S121" s="399">
        <f t="shared" si="94"/>
        <v>0</v>
      </c>
      <c r="T121" s="398">
        <f t="shared" si="94"/>
        <v>0</v>
      </c>
      <c r="U121" s="399">
        <f t="shared" si="94"/>
        <v>0</v>
      </c>
      <c r="V121" s="398">
        <f t="shared" si="94"/>
        <v>0</v>
      </c>
      <c r="W121" s="399">
        <f t="shared" si="94"/>
        <v>0</v>
      </c>
      <c r="X121" s="398">
        <f t="shared" si="94"/>
        <v>0</v>
      </c>
      <c r="Y121" s="399">
        <f t="shared" si="94"/>
        <v>0</v>
      </c>
      <c r="Z121" s="432">
        <f t="shared" si="85"/>
        <v>0</v>
      </c>
      <c r="AA121" s="432">
        <f t="shared" si="87"/>
        <v>0</v>
      </c>
      <c r="AC121" s="395">
        <f t="shared" si="88"/>
        <v>0</v>
      </c>
      <c r="AD121" s="395">
        <f t="shared" si="89"/>
        <v>0</v>
      </c>
    </row>
    <row r="122" spans="1:30" ht="14.4" thickBot="1">
      <c r="A122" s="397" t="s">
        <v>883</v>
      </c>
      <c r="B122" s="398">
        <f t="shared" ref="B122:Y122" si="95">B59+B90</f>
        <v>0</v>
      </c>
      <c r="C122" s="399">
        <f t="shared" si="95"/>
        <v>0</v>
      </c>
      <c r="D122" s="398">
        <f t="shared" si="95"/>
        <v>0</v>
      </c>
      <c r="E122" s="398">
        <f t="shared" si="95"/>
        <v>0</v>
      </c>
      <c r="F122" s="398">
        <f t="shared" si="95"/>
        <v>0</v>
      </c>
      <c r="G122" s="398">
        <f t="shared" si="95"/>
        <v>0</v>
      </c>
      <c r="H122" s="398">
        <f t="shared" si="95"/>
        <v>0</v>
      </c>
      <c r="I122" s="398">
        <f t="shared" si="95"/>
        <v>0</v>
      </c>
      <c r="J122" s="398">
        <f t="shared" si="95"/>
        <v>0</v>
      </c>
      <c r="K122" s="399">
        <f t="shared" si="95"/>
        <v>0</v>
      </c>
      <c r="L122" s="398">
        <f t="shared" si="95"/>
        <v>0</v>
      </c>
      <c r="M122" s="399">
        <f t="shared" si="95"/>
        <v>0</v>
      </c>
      <c r="N122" s="398">
        <f t="shared" si="95"/>
        <v>0</v>
      </c>
      <c r="O122" s="399">
        <f t="shared" si="95"/>
        <v>0</v>
      </c>
      <c r="P122" s="398">
        <f t="shared" si="95"/>
        <v>0</v>
      </c>
      <c r="Q122" s="399">
        <f t="shared" si="95"/>
        <v>0</v>
      </c>
      <c r="R122" s="398">
        <f t="shared" si="95"/>
        <v>0</v>
      </c>
      <c r="S122" s="399">
        <f t="shared" si="95"/>
        <v>0</v>
      </c>
      <c r="T122" s="398">
        <f t="shared" si="95"/>
        <v>0</v>
      </c>
      <c r="U122" s="399">
        <f t="shared" si="95"/>
        <v>0</v>
      </c>
      <c r="V122" s="398">
        <f t="shared" si="95"/>
        <v>0</v>
      </c>
      <c r="W122" s="399">
        <f t="shared" si="95"/>
        <v>0</v>
      </c>
      <c r="X122" s="398">
        <f t="shared" si="95"/>
        <v>0</v>
      </c>
      <c r="Y122" s="399">
        <f t="shared" si="95"/>
        <v>0</v>
      </c>
      <c r="Z122" s="432">
        <f t="shared" si="85"/>
        <v>0</v>
      </c>
      <c r="AA122" s="432">
        <f t="shared" si="87"/>
        <v>0</v>
      </c>
      <c r="AB122" s="634"/>
      <c r="AC122" s="395">
        <f t="shared" si="88"/>
        <v>0</v>
      </c>
      <c r="AD122" s="395">
        <f t="shared" si="89"/>
        <v>0</v>
      </c>
    </row>
    <row r="123" spans="1:30" ht="14.4" thickBot="1">
      <c r="A123" s="397" t="s">
        <v>884</v>
      </c>
      <c r="B123" s="398">
        <f t="shared" ref="B123:Y123" si="96">B60+B91</f>
        <v>0</v>
      </c>
      <c r="C123" s="399">
        <f t="shared" si="96"/>
        <v>0</v>
      </c>
      <c r="D123" s="398">
        <f t="shared" si="96"/>
        <v>0</v>
      </c>
      <c r="E123" s="398">
        <f t="shared" si="96"/>
        <v>0</v>
      </c>
      <c r="F123" s="398">
        <f t="shared" si="96"/>
        <v>0</v>
      </c>
      <c r="G123" s="398">
        <f t="shared" si="96"/>
        <v>0</v>
      </c>
      <c r="H123" s="398">
        <f t="shared" si="96"/>
        <v>0</v>
      </c>
      <c r="I123" s="398">
        <f t="shared" si="96"/>
        <v>0</v>
      </c>
      <c r="J123" s="398">
        <f t="shared" si="96"/>
        <v>0</v>
      </c>
      <c r="K123" s="399">
        <f t="shared" si="96"/>
        <v>0</v>
      </c>
      <c r="L123" s="398">
        <f t="shared" si="96"/>
        <v>0</v>
      </c>
      <c r="M123" s="399">
        <f t="shared" si="96"/>
        <v>0</v>
      </c>
      <c r="N123" s="398">
        <f t="shared" si="96"/>
        <v>0</v>
      </c>
      <c r="O123" s="399">
        <f t="shared" si="96"/>
        <v>0</v>
      </c>
      <c r="P123" s="398">
        <f t="shared" si="96"/>
        <v>0</v>
      </c>
      <c r="Q123" s="399">
        <f t="shared" si="96"/>
        <v>0</v>
      </c>
      <c r="R123" s="398">
        <f t="shared" si="96"/>
        <v>0</v>
      </c>
      <c r="S123" s="399">
        <f t="shared" si="96"/>
        <v>0</v>
      </c>
      <c r="T123" s="398">
        <f t="shared" si="96"/>
        <v>0</v>
      </c>
      <c r="U123" s="399">
        <f t="shared" si="96"/>
        <v>0</v>
      </c>
      <c r="V123" s="398">
        <f t="shared" si="96"/>
        <v>0</v>
      </c>
      <c r="W123" s="399">
        <f t="shared" si="96"/>
        <v>0</v>
      </c>
      <c r="X123" s="398">
        <f t="shared" si="96"/>
        <v>0</v>
      </c>
      <c r="Y123" s="399">
        <f t="shared" si="96"/>
        <v>0</v>
      </c>
      <c r="Z123" s="432">
        <f t="shared" si="85"/>
        <v>0</v>
      </c>
      <c r="AA123" s="432">
        <f t="shared" si="87"/>
        <v>0</v>
      </c>
      <c r="AC123" s="395">
        <f t="shared" si="88"/>
        <v>0</v>
      </c>
      <c r="AD123" s="395">
        <f t="shared" si="89"/>
        <v>0</v>
      </c>
    </row>
    <row r="124" spans="1:30" ht="14.4" thickBot="1">
      <c r="A124" s="397" t="s">
        <v>885</v>
      </c>
      <c r="B124" s="398">
        <f t="shared" ref="B124:Y124" si="97">B61+B92</f>
        <v>0</v>
      </c>
      <c r="C124" s="399">
        <f t="shared" si="97"/>
        <v>0</v>
      </c>
      <c r="D124" s="398">
        <f t="shared" si="97"/>
        <v>0</v>
      </c>
      <c r="E124" s="398">
        <f t="shared" si="97"/>
        <v>0</v>
      </c>
      <c r="F124" s="398">
        <f t="shared" si="97"/>
        <v>0</v>
      </c>
      <c r="G124" s="398">
        <f t="shared" si="97"/>
        <v>0</v>
      </c>
      <c r="H124" s="398">
        <f t="shared" si="97"/>
        <v>0</v>
      </c>
      <c r="I124" s="398">
        <f t="shared" si="97"/>
        <v>0</v>
      </c>
      <c r="J124" s="398">
        <f t="shared" si="97"/>
        <v>0</v>
      </c>
      <c r="K124" s="399">
        <f t="shared" si="97"/>
        <v>0</v>
      </c>
      <c r="L124" s="398">
        <f t="shared" si="97"/>
        <v>0</v>
      </c>
      <c r="M124" s="399">
        <f t="shared" si="97"/>
        <v>0</v>
      </c>
      <c r="N124" s="398">
        <f t="shared" si="97"/>
        <v>0</v>
      </c>
      <c r="O124" s="399">
        <f t="shared" si="97"/>
        <v>0</v>
      </c>
      <c r="P124" s="398">
        <f t="shared" si="97"/>
        <v>0</v>
      </c>
      <c r="Q124" s="399">
        <f t="shared" si="97"/>
        <v>0</v>
      </c>
      <c r="R124" s="398">
        <f t="shared" si="97"/>
        <v>0</v>
      </c>
      <c r="S124" s="399">
        <f t="shared" si="97"/>
        <v>0</v>
      </c>
      <c r="T124" s="398">
        <f t="shared" si="97"/>
        <v>0</v>
      </c>
      <c r="U124" s="399">
        <f t="shared" si="97"/>
        <v>0</v>
      </c>
      <c r="V124" s="398">
        <f t="shared" si="97"/>
        <v>0</v>
      </c>
      <c r="W124" s="399">
        <f t="shared" si="97"/>
        <v>0</v>
      </c>
      <c r="X124" s="398">
        <f t="shared" si="97"/>
        <v>0</v>
      </c>
      <c r="Y124" s="399">
        <f t="shared" si="97"/>
        <v>0</v>
      </c>
      <c r="Z124" s="432">
        <f t="shared" si="85"/>
        <v>0</v>
      </c>
      <c r="AA124" s="432">
        <f t="shared" si="87"/>
        <v>0</v>
      </c>
      <c r="AB124" s="634"/>
      <c r="AC124" s="395">
        <f t="shared" si="88"/>
        <v>0</v>
      </c>
      <c r="AD124" s="395">
        <f t="shared" si="89"/>
        <v>0</v>
      </c>
    </row>
    <row r="125" spans="1:30" ht="14.4" thickBot="1">
      <c r="A125" s="433" t="s">
        <v>16</v>
      </c>
      <c r="B125" s="417">
        <f t="shared" ref="B125:AA125" si="98">SUM(B115:B124)</f>
        <v>0</v>
      </c>
      <c r="C125" s="419">
        <f t="shared" si="98"/>
        <v>0</v>
      </c>
      <c r="D125" s="417">
        <f t="shared" si="98"/>
        <v>0</v>
      </c>
      <c r="E125" s="419">
        <f t="shared" si="98"/>
        <v>0</v>
      </c>
      <c r="F125" s="417">
        <f t="shared" si="98"/>
        <v>0</v>
      </c>
      <c r="G125" s="419">
        <f t="shared" si="98"/>
        <v>0</v>
      </c>
      <c r="H125" s="417">
        <f t="shared" si="98"/>
        <v>0</v>
      </c>
      <c r="I125" s="419">
        <f t="shared" si="98"/>
        <v>0</v>
      </c>
      <c r="J125" s="417">
        <f t="shared" si="98"/>
        <v>0</v>
      </c>
      <c r="K125" s="419">
        <f t="shared" si="98"/>
        <v>0</v>
      </c>
      <c r="L125" s="417">
        <f t="shared" si="98"/>
        <v>0</v>
      </c>
      <c r="M125" s="419">
        <f t="shared" si="98"/>
        <v>0</v>
      </c>
      <c r="N125" s="417">
        <f t="shared" si="98"/>
        <v>0</v>
      </c>
      <c r="O125" s="419">
        <f t="shared" si="98"/>
        <v>1</v>
      </c>
      <c r="P125" s="417">
        <f t="shared" si="98"/>
        <v>0</v>
      </c>
      <c r="Q125" s="419">
        <f t="shared" si="98"/>
        <v>0</v>
      </c>
      <c r="R125" s="417">
        <f t="shared" si="98"/>
        <v>0</v>
      </c>
      <c r="S125" s="419">
        <f t="shared" si="98"/>
        <v>0</v>
      </c>
      <c r="T125" s="417">
        <f t="shared" si="98"/>
        <v>0</v>
      </c>
      <c r="U125" s="419">
        <f t="shared" si="98"/>
        <v>0</v>
      </c>
      <c r="V125" s="417">
        <f t="shared" si="98"/>
        <v>0</v>
      </c>
      <c r="W125" s="419">
        <f t="shared" si="98"/>
        <v>0</v>
      </c>
      <c r="X125" s="417">
        <f t="shared" si="98"/>
        <v>0</v>
      </c>
      <c r="Y125" s="419">
        <f t="shared" si="98"/>
        <v>0</v>
      </c>
      <c r="Z125" s="434">
        <f t="shared" si="98"/>
        <v>0</v>
      </c>
      <c r="AA125" s="434">
        <f t="shared" si="98"/>
        <v>1</v>
      </c>
      <c r="AC125" s="395">
        <f t="shared" si="88"/>
        <v>0</v>
      </c>
      <c r="AD125" s="395">
        <f t="shared" si="89"/>
        <v>0</v>
      </c>
    </row>
    <row r="126" spans="1:30">
      <c r="AB126" s="634"/>
    </row>
    <row r="127" spans="1:30" ht="18">
      <c r="A127" s="393" t="s">
        <v>801</v>
      </c>
    </row>
    <row r="128" spans="1:30" ht="18.600000000000001" thickBot="1">
      <c r="A128" s="394">
        <f>A97</f>
        <v>2023</v>
      </c>
    </row>
    <row r="129" spans="1:30">
      <c r="A129" s="2815" t="s">
        <v>308</v>
      </c>
      <c r="B129" s="2827" t="s">
        <v>71</v>
      </c>
      <c r="C129" s="2828"/>
      <c r="D129" s="2829" t="s">
        <v>72</v>
      </c>
      <c r="E129" s="2830"/>
      <c r="F129" s="2817" t="s">
        <v>73</v>
      </c>
      <c r="G129" s="2818"/>
      <c r="H129" s="2819" t="s">
        <v>74</v>
      </c>
      <c r="I129" s="2820"/>
      <c r="J129" s="2821" t="s">
        <v>75</v>
      </c>
      <c r="K129" s="2822"/>
      <c r="L129" s="2823" t="s">
        <v>76</v>
      </c>
      <c r="M129" s="2824"/>
      <c r="N129" s="2827" t="s">
        <v>77</v>
      </c>
      <c r="O129" s="2828"/>
      <c r="P129" s="2829" t="s">
        <v>78</v>
      </c>
      <c r="Q129" s="2830"/>
      <c r="R129" s="2817" t="s">
        <v>79</v>
      </c>
      <c r="S129" s="2818"/>
      <c r="T129" s="2819" t="s">
        <v>80</v>
      </c>
      <c r="U129" s="2820"/>
      <c r="V129" s="2821" t="s">
        <v>81</v>
      </c>
      <c r="W129" s="2822"/>
      <c r="X129" s="2823" t="s">
        <v>82</v>
      </c>
      <c r="Y129" s="2824"/>
      <c r="Z129" s="2825" t="s">
        <v>83</v>
      </c>
      <c r="AA129" s="2826"/>
      <c r="AB129" s="634"/>
    </row>
    <row r="130" spans="1:30" ht="14.4" thickBot="1">
      <c r="A130" s="2816"/>
      <c r="B130" s="402" t="s">
        <v>198</v>
      </c>
      <c r="C130" s="403" t="s">
        <v>199</v>
      </c>
      <c r="D130" s="402" t="s">
        <v>198</v>
      </c>
      <c r="E130" s="403" t="s">
        <v>199</v>
      </c>
      <c r="F130" s="402" t="s">
        <v>198</v>
      </c>
      <c r="G130" s="403" t="s">
        <v>199</v>
      </c>
      <c r="H130" s="402" t="s">
        <v>198</v>
      </c>
      <c r="I130" s="403" t="s">
        <v>199</v>
      </c>
      <c r="J130" s="402" t="s">
        <v>198</v>
      </c>
      <c r="K130" s="403" t="s">
        <v>199</v>
      </c>
      <c r="L130" s="402" t="s">
        <v>198</v>
      </c>
      <c r="M130" s="403" t="s">
        <v>199</v>
      </c>
      <c r="N130" s="402" t="s">
        <v>198</v>
      </c>
      <c r="O130" s="403" t="s">
        <v>199</v>
      </c>
      <c r="P130" s="402" t="s">
        <v>198</v>
      </c>
      <c r="Q130" s="403" t="s">
        <v>199</v>
      </c>
      <c r="R130" s="402" t="s">
        <v>198</v>
      </c>
      <c r="S130" s="403" t="s">
        <v>199</v>
      </c>
      <c r="T130" s="402" t="s">
        <v>198</v>
      </c>
      <c r="U130" s="403" t="s">
        <v>199</v>
      </c>
      <c r="V130" s="1107" t="s">
        <v>198</v>
      </c>
      <c r="W130" s="403" t="s">
        <v>199</v>
      </c>
      <c r="X130" s="402" t="s">
        <v>198</v>
      </c>
      <c r="Y130" s="403" t="s">
        <v>199</v>
      </c>
      <c r="Z130" s="403" t="s">
        <v>198</v>
      </c>
      <c r="AA130" s="403" t="s">
        <v>199</v>
      </c>
      <c r="AC130" s="117" t="s">
        <v>198</v>
      </c>
      <c r="AD130" s="117" t="s">
        <v>199</v>
      </c>
    </row>
    <row r="131" spans="1:30" ht="14.4" thickBot="1">
      <c r="A131" s="397" t="s">
        <v>6</v>
      </c>
      <c r="B131" s="398">
        <v>0</v>
      </c>
      <c r="C131" s="399">
        <v>0</v>
      </c>
      <c r="D131" s="398">
        <v>0</v>
      </c>
      <c r="E131" s="398">
        <v>0</v>
      </c>
      <c r="F131" s="398">
        <v>0</v>
      </c>
      <c r="G131" s="398">
        <v>0</v>
      </c>
      <c r="H131" s="398">
        <v>0</v>
      </c>
      <c r="I131" s="398">
        <v>0</v>
      </c>
      <c r="J131" s="398">
        <v>0</v>
      </c>
      <c r="K131" s="399">
        <v>0</v>
      </c>
      <c r="L131" s="398">
        <v>0</v>
      </c>
      <c r="M131" s="399">
        <v>0</v>
      </c>
      <c r="N131" s="398">
        <v>0</v>
      </c>
      <c r="O131" s="399">
        <v>0</v>
      </c>
      <c r="P131" s="398">
        <v>0</v>
      </c>
      <c r="Q131" s="399">
        <v>0</v>
      </c>
      <c r="R131" s="398"/>
      <c r="S131" s="399"/>
      <c r="T131" s="398"/>
      <c r="U131" s="399"/>
      <c r="V131" s="398"/>
      <c r="W131" s="399"/>
      <c r="X131" s="398"/>
      <c r="Y131" s="399"/>
      <c r="Z131" s="432">
        <f t="shared" ref="Z131:Z140" si="99">B131+D131+F131+H131+J131+L131+N131+P131+R131+T131+V131+X131</f>
        <v>0</v>
      </c>
      <c r="AA131" s="432">
        <f t="shared" ref="AA131:AA140" si="100">C131+E131+G131+I131+K131+M131+O131+Q131+S131+U131+W131+Y131</f>
        <v>0</v>
      </c>
      <c r="AC131" s="395">
        <f>P131</f>
        <v>0</v>
      </c>
      <c r="AD131" s="395">
        <f>Q131</f>
        <v>0</v>
      </c>
    </row>
    <row r="132" spans="1:30" ht="14.4" thickBot="1">
      <c r="A132" s="397" t="s">
        <v>7</v>
      </c>
      <c r="B132" s="398">
        <v>0</v>
      </c>
      <c r="C132" s="399">
        <v>0</v>
      </c>
      <c r="D132" s="398">
        <v>0</v>
      </c>
      <c r="E132" s="398">
        <v>0</v>
      </c>
      <c r="F132" s="398">
        <v>0</v>
      </c>
      <c r="G132" s="398">
        <v>0</v>
      </c>
      <c r="H132" s="398">
        <v>0</v>
      </c>
      <c r="I132" s="398">
        <v>0</v>
      </c>
      <c r="J132" s="398">
        <v>0</v>
      </c>
      <c r="K132" s="399">
        <v>0</v>
      </c>
      <c r="L132" s="398">
        <v>0</v>
      </c>
      <c r="M132" s="399">
        <v>0</v>
      </c>
      <c r="N132" s="398">
        <v>0</v>
      </c>
      <c r="O132" s="399">
        <v>0</v>
      </c>
      <c r="P132" s="398">
        <v>0</v>
      </c>
      <c r="Q132" s="399">
        <v>0</v>
      </c>
      <c r="R132" s="398"/>
      <c r="S132" s="399"/>
      <c r="T132" s="398"/>
      <c r="U132" s="399"/>
      <c r="V132" s="398"/>
      <c r="W132" s="399"/>
      <c r="X132" s="398"/>
      <c r="Y132" s="399"/>
      <c r="Z132" s="432">
        <f t="shared" si="99"/>
        <v>0</v>
      </c>
      <c r="AA132" s="432">
        <f t="shared" si="100"/>
        <v>0</v>
      </c>
      <c r="AC132" s="395">
        <f t="shared" ref="AC132:AC141" si="101">P132</f>
        <v>0</v>
      </c>
      <c r="AD132" s="395">
        <f t="shared" ref="AD132:AD141" si="102">Q132</f>
        <v>0</v>
      </c>
    </row>
    <row r="133" spans="1:30" ht="14.4" thickBot="1">
      <c r="A133" s="397" t="s">
        <v>8</v>
      </c>
      <c r="B133" s="398">
        <v>0</v>
      </c>
      <c r="C133" s="399">
        <v>0</v>
      </c>
      <c r="D133" s="398">
        <v>0</v>
      </c>
      <c r="E133" s="398">
        <v>0</v>
      </c>
      <c r="F133" s="398">
        <v>0</v>
      </c>
      <c r="G133" s="398">
        <v>0</v>
      </c>
      <c r="H133" s="398">
        <v>0</v>
      </c>
      <c r="I133" s="398">
        <v>0</v>
      </c>
      <c r="J133" s="398">
        <v>0</v>
      </c>
      <c r="K133" s="399">
        <v>0</v>
      </c>
      <c r="L133" s="398">
        <v>0</v>
      </c>
      <c r="M133" s="399">
        <v>0</v>
      </c>
      <c r="N133" s="398">
        <v>0</v>
      </c>
      <c r="O133" s="399">
        <v>0</v>
      </c>
      <c r="P133" s="398">
        <v>0</v>
      </c>
      <c r="Q133" s="399">
        <v>0</v>
      </c>
      <c r="R133" s="398"/>
      <c r="S133" s="399"/>
      <c r="T133" s="398"/>
      <c r="U133" s="399"/>
      <c r="V133" s="398"/>
      <c r="W133" s="399"/>
      <c r="X133" s="398"/>
      <c r="Y133" s="399"/>
      <c r="Z133" s="432">
        <f t="shared" si="99"/>
        <v>0</v>
      </c>
      <c r="AA133" s="432">
        <f t="shared" si="100"/>
        <v>0</v>
      </c>
      <c r="AC133" s="395">
        <f t="shared" si="101"/>
        <v>0</v>
      </c>
      <c r="AD133" s="395">
        <f t="shared" si="102"/>
        <v>0</v>
      </c>
    </row>
    <row r="134" spans="1:30" ht="14.4" thickBot="1">
      <c r="A134" s="397" t="s">
        <v>4</v>
      </c>
      <c r="B134" s="398">
        <v>0</v>
      </c>
      <c r="C134" s="399">
        <v>0</v>
      </c>
      <c r="D134" s="398">
        <v>0</v>
      </c>
      <c r="E134" s="398">
        <v>0</v>
      </c>
      <c r="F134" s="398">
        <v>0</v>
      </c>
      <c r="G134" s="398">
        <v>0</v>
      </c>
      <c r="H134" s="398">
        <v>0</v>
      </c>
      <c r="I134" s="398">
        <v>0</v>
      </c>
      <c r="J134" s="398">
        <v>0</v>
      </c>
      <c r="K134" s="399">
        <v>0</v>
      </c>
      <c r="L134" s="398">
        <v>0</v>
      </c>
      <c r="M134" s="399">
        <v>0</v>
      </c>
      <c r="N134" s="398">
        <v>0</v>
      </c>
      <c r="O134" s="399">
        <v>0</v>
      </c>
      <c r="P134" s="398">
        <v>0</v>
      </c>
      <c r="Q134" s="399">
        <v>0</v>
      </c>
      <c r="R134" s="398"/>
      <c r="S134" s="399"/>
      <c r="T134" s="398"/>
      <c r="U134" s="399"/>
      <c r="V134" s="398"/>
      <c r="W134" s="399"/>
      <c r="X134" s="398"/>
      <c r="Y134" s="399"/>
      <c r="Z134" s="432">
        <f t="shared" si="99"/>
        <v>0</v>
      </c>
      <c r="AA134" s="432">
        <f t="shared" si="100"/>
        <v>0</v>
      </c>
      <c r="AC134" s="395">
        <f t="shared" si="101"/>
        <v>0</v>
      </c>
      <c r="AD134" s="395">
        <f t="shared" si="102"/>
        <v>0</v>
      </c>
    </row>
    <row r="135" spans="1:30" ht="14.4" thickBot="1">
      <c r="A135" s="397" t="s">
        <v>3</v>
      </c>
      <c r="B135" s="398">
        <v>0</v>
      </c>
      <c r="C135" s="399">
        <v>0</v>
      </c>
      <c r="D135" s="398">
        <v>0</v>
      </c>
      <c r="E135" s="398">
        <v>0</v>
      </c>
      <c r="F135" s="398">
        <v>0</v>
      </c>
      <c r="G135" s="398">
        <v>0</v>
      </c>
      <c r="H135" s="398">
        <v>0</v>
      </c>
      <c r="I135" s="398">
        <v>0</v>
      </c>
      <c r="J135" s="398">
        <v>0</v>
      </c>
      <c r="K135" s="399">
        <v>0</v>
      </c>
      <c r="L135" s="398">
        <v>0</v>
      </c>
      <c r="M135" s="399">
        <v>0</v>
      </c>
      <c r="N135" s="398">
        <v>0</v>
      </c>
      <c r="O135" s="399">
        <v>0</v>
      </c>
      <c r="P135" s="398">
        <v>0</v>
      </c>
      <c r="Q135" s="399">
        <v>0</v>
      </c>
      <c r="R135" s="398"/>
      <c r="S135" s="399"/>
      <c r="T135" s="398"/>
      <c r="U135" s="399"/>
      <c r="V135" s="398"/>
      <c r="W135" s="399"/>
      <c r="X135" s="398"/>
      <c r="Y135" s="399"/>
      <c r="Z135" s="432">
        <f t="shared" si="99"/>
        <v>0</v>
      </c>
      <c r="AA135" s="432">
        <f t="shared" si="100"/>
        <v>0</v>
      </c>
      <c r="AC135" s="395">
        <f t="shared" si="101"/>
        <v>0</v>
      </c>
      <c r="AD135" s="395">
        <f t="shared" si="102"/>
        <v>0</v>
      </c>
    </row>
    <row r="136" spans="1:30" ht="14.4" thickBot="1">
      <c r="A136" s="397" t="s">
        <v>397</v>
      </c>
      <c r="B136" s="398">
        <v>0</v>
      </c>
      <c r="C136" s="399">
        <v>0</v>
      </c>
      <c r="D136" s="398">
        <v>0</v>
      </c>
      <c r="E136" s="398">
        <v>0</v>
      </c>
      <c r="F136" s="398">
        <v>0</v>
      </c>
      <c r="G136" s="398">
        <v>0</v>
      </c>
      <c r="H136" s="398">
        <v>0</v>
      </c>
      <c r="I136" s="398">
        <v>0</v>
      </c>
      <c r="J136" s="398">
        <v>0</v>
      </c>
      <c r="K136" s="399">
        <v>0</v>
      </c>
      <c r="L136" s="398">
        <v>0</v>
      </c>
      <c r="M136" s="399">
        <v>0</v>
      </c>
      <c r="N136" s="398">
        <v>0</v>
      </c>
      <c r="O136" s="399">
        <v>0</v>
      </c>
      <c r="P136" s="398">
        <v>0</v>
      </c>
      <c r="Q136" s="399">
        <v>0</v>
      </c>
      <c r="R136" s="398"/>
      <c r="S136" s="399"/>
      <c r="T136" s="398"/>
      <c r="U136" s="399"/>
      <c r="V136" s="398"/>
      <c r="W136" s="399"/>
      <c r="X136" s="398"/>
      <c r="Y136" s="399"/>
      <c r="Z136" s="432">
        <f t="shared" si="99"/>
        <v>0</v>
      </c>
      <c r="AA136" s="432">
        <f t="shared" si="100"/>
        <v>0</v>
      </c>
      <c r="AC136" s="395">
        <f t="shared" si="101"/>
        <v>0</v>
      </c>
      <c r="AD136" s="395">
        <f t="shared" si="102"/>
        <v>0</v>
      </c>
    </row>
    <row r="137" spans="1:30" ht="14.4" thickBot="1">
      <c r="A137" s="397" t="s">
        <v>399</v>
      </c>
      <c r="B137" s="398">
        <v>0</v>
      </c>
      <c r="C137" s="399">
        <v>0</v>
      </c>
      <c r="D137" s="398">
        <v>0</v>
      </c>
      <c r="E137" s="398">
        <v>0</v>
      </c>
      <c r="F137" s="398">
        <v>0</v>
      </c>
      <c r="G137" s="398">
        <v>0</v>
      </c>
      <c r="H137" s="398">
        <v>0</v>
      </c>
      <c r="I137" s="398">
        <v>0</v>
      </c>
      <c r="J137" s="398">
        <v>0</v>
      </c>
      <c r="K137" s="399">
        <v>0</v>
      </c>
      <c r="L137" s="398">
        <v>0</v>
      </c>
      <c r="M137" s="399">
        <v>0</v>
      </c>
      <c r="N137" s="398">
        <v>0</v>
      </c>
      <c r="O137" s="399">
        <v>0</v>
      </c>
      <c r="P137" s="398">
        <v>0</v>
      </c>
      <c r="Q137" s="399">
        <v>0</v>
      </c>
      <c r="R137" s="398"/>
      <c r="S137" s="399"/>
      <c r="T137" s="398"/>
      <c r="U137" s="399"/>
      <c r="V137" s="398"/>
      <c r="W137" s="399"/>
      <c r="X137" s="398"/>
      <c r="Y137" s="399"/>
      <c r="Z137" s="432">
        <f t="shared" si="99"/>
        <v>0</v>
      </c>
      <c r="AA137" s="432">
        <f t="shared" si="100"/>
        <v>0</v>
      </c>
      <c r="AC137" s="395">
        <f t="shared" si="101"/>
        <v>0</v>
      </c>
      <c r="AD137" s="395">
        <f t="shared" si="102"/>
        <v>0</v>
      </c>
    </row>
    <row r="138" spans="1:30" ht="14.4" thickBot="1">
      <c r="A138" s="397" t="s">
        <v>883</v>
      </c>
      <c r="B138" s="398">
        <v>0</v>
      </c>
      <c r="C138" s="399">
        <v>0</v>
      </c>
      <c r="D138" s="398">
        <v>0</v>
      </c>
      <c r="E138" s="398">
        <v>0</v>
      </c>
      <c r="F138" s="398">
        <v>0</v>
      </c>
      <c r="G138" s="398">
        <v>0</v>
      </c>
      <c r="H138" s="398">
        <v>0</v>
      </c>
      <c r="I138" s="398">
        <v>0</v>
      </c>
      <c r="J138" s="398">
        <v>0</v>
      </c>
      <c r="K138" s="399">
        <v>0</v>
      </c>
      <c r="L138" s="398">
        <v>0</v>
      </c>
      <c r="M138" s="399">
        <v>0</v>
      </c>
      <c r="N138" s="398">
        <v>0</v>
      </c>
      <c r="O138" s="399">
        <v>0</v>
      </c>
      <c r="P138" s="398">
        <v>0</v>
      </c>
      <c r="Q138" s="399">
        <v>0</v>
      </c>
      <c r="R138" s="398"/>
      <c r="S138" s="399"/>
      <c r="T138" s="398"/>
      <c r="U138" s="399"/>
      <c r="V138" s="398"/>
      <c r="W138" s="399"/>
      <c r="X138" s="398"/>
      <c r="Y138" s="399"/>
      <c r="Z138" s="432">
        <f t="shared" si="99"/>
        <v>0</v>
      </c>
      <c r="AA138" s="432">
        <f t="shared" si="100"/>
        <v>0</v>
      </c>
      <c r="AC138" s="395">
        <f t="shared" si="101"/>
        <v>0</v>
      </c>
      <c r="AD138" s="395">
        <f t="shared" si="102"/>
        <v>0</v>
      </c>
    </row>
    <row r="139" spans="1:30" ht="14.4" thickBot="1">
      <c r="A139" s="397" t="s">
        <v>884</v>
      </c>
      <c r="B139" s="398">
        <v>0</v>
      </c>
      <c r="C139" s="399">
        <v>0</v>
      </c>
      <c r="D139" s="398">
        <v>0</v>
      </c>
      <c r="E139" s="398">
        <v>0</v>
      </c>
      <c r="F139" s="398">
        <v>0</v>
      </c>
      <c r="G139" s="398">
        <v>0</v>
      </c>
      <c r="H139" s="398">
        <v>0</v>
      </c>
      <c r="I139" s="398">
        <v>0</v>
      </c>
      <c r="J139" s="398">
        <v>0</v>
      </c>
      <c r="K139" s="399">
        <v>0</v>
      </c>
      <c r="L139" s="398">
        <v>0</v>
      </c>
      <c r="M139" s="399">
        <v>0</v>
      </c>
      <c r="N139" s="398">
        <v>0</v>
      </c>
      <c r="O139" s="399">
        <v>0</v>
      </c>
      <c r="P139" s="398">
        <v>0</v>
      </c>
      <c r="Q139" s="399">
        <v>0</v>
      </c>
      <c r="R139" s="398"/>
      <c r="S139" s="399"/>
      <c r="T139" s="398"/>
      <c r="U139" s="399"/>
      <c r="V139" s="398"/>
      <c r="W139" s="399"/>
      <c r="X139" s="398"/>
      <c r="Y139" s="399"/>
      <c r="Z139" s="432">
        <f t="shared" si="99"/>
        <v>0</v>
      </c>
      <c r="AA139" s="432">
        <f t="shared" si="100"/>
        <v>0</v>
      </c>
      <c r="AC139" s="395">
        <f t="shared" si="101"/>
        <v>0</v>
      </c>
      <c r="AD139" s="395">
        <f t="shared" si="102"/>
        <v>0</v>
      </c>
    </row>
    <row r="140" spans="1:30" ht="14.4" thickBot="1">
      <c r="A140" s="397" t="s">
        <v>885</v>
      </c>
      <c r="B140" s="398">
        <v>0</v>
      </c>
      <c r="C140" s="399">
        <v>0</v>
      </c>
      <c r="D140" s="398">
        <v>0</v>
      </c>
      <c r="E140" s="398">
        <v>0</v>
      </c>
      <c r="F140" s="398">
        <v>0</v>
      </c>
      <c r="G140" s="398">
        <v>0</v>
      </c>
      <c r="H140" s="398">
        <v>0</v>
      </c>
      <c r="I140" s="398">
        <v>0</v>
      </c>
      <c r="J140" s="398">
        <v>0</v>
      </c>
      <c r="K140" s="399">
        <v>0</v>
      </c>
      <c r="L140" s="398">
        <v>0</v>
      </c>
      <c r="M140" s="399">
        <v>0</v>
      </c>
      <c r="N140" s="398">
        <v>0</v>
      </c>
      <c r="O140" s="399">
        <v>0</v>
      </c>
      <c r="P140" s="398">
        <v>0</v>
      </c>
      <c r="Q140" s="399">
        <v>0</v>
      </c>
      <c r="R140" s="398"/>
      <c r="S140" s="399"/>
      <c r="T140" s="398"/>
      <c r="U140" s="399"/>
      <c r="V140" s="398"/>
      <c r="W140" s="399"/>
      <c r="X140" s="398"/>
      <c r="Y140" s="399"/>
      <c r="Z140" s="432">
        <f t="shared" si="99"/>
        <v>0</v>
      </c>
      <c r="AA140" s="432">
        <f t="shared" si="100"/>
        <v>0</v>
      </c>
      <c r="AC140" s="395">
        <f t="shared" si="101"/>
        <v>0</v>
      </c>
      <c r="AD140" s="395">
        <f t="shared" si="102"/>
        <v>0</v>
      </c>
    </row>
    <row r="141" spans="1:30" ht="14.4" thickBot="1">
      <c r="A141" s="433" t="s">
        <v>16</v>
      </c>
      <c r="B141" s="417">
        <f t="shared" ref="B141:AA141" si="103">SUM(B131:B140)</f>
        <v>0</v>
      </c>
      <c r="C141" s="419">
        <f t="shared" si="103"/>
        <v>0</v>
      </c>
      <c r="D141" s="417">
        <f t="shared" si="103"/>
        <v>0</v>
      </c>
      <c r="E141" s="419">
        <f t="shared" si="103"/>
        <v>0</v>
      </c>
      <c r="F141" s="417">
        <f t="shared" si="103"/>
        <v>0</v>
      </c>
      <c r="G141" s="419">
        <f t="shared" si="103"/>
        <v>0</v>
      </c>
      <c r="H141" s="417">
        <f t="shared" si="103"/>
        <v>0</v>
      </c>
      <c r="I141" s="419">
        <f t="shared" si="103"/>
        <v>0</v>
      </c>
      <c r="J141" s="417">
        <f t="shared" si="103"/>
        <v>0</v>
      </c>
      <c r="K141" s="419">
        <f t="shared" si="103"/>
        <v>0</v>
      </c>
      <c r="L141" s="417">
        <f t="shared" si="103"/>
        <v>0</v>
      </c>
      <c r="M141" s="419">
        <f t="shared" si="103"/>
        <v>0</v>
      </c>
      <c r="N141" s="417">
        <f t="shared" si="103"/>
        <v>0</v>
      </c>
      <c r="O141" s="419">
        <f t="shared" si="103"/>
        <v>0</v>
      </c>
      <c r="P141" s="417">
        <f t="shared" si="103"/>
        <v>0</v>
      </c>
      <c r="Q141" s="419">
        <f t="shared" si="103"/>
        <v>0</v>
      </c>
      <c r="R141" s="417">
        <f t="shared" si="103"/>
        <v>0</v>
      </c>
      <c r="S141" s="419">
        <f t="shared" si="103"/>
        <v>0</v>
      </c>
      <c r="T141" s="417">
        <f t="shared" si="103"/>
        <v>0</v>
      </c>
      <c r="U141" s="419">
        <f t="shared" si="103"/>
        <v>0</v>
      </c>
      <c r="V141" s="417">
        <f t="shared" si="103"/>
        <v>0</v>
      </c>
      <c r="W141" s="419">
        <f t="shared" si="103"/>
        <v>0</v>
      </c>
      <c r="X141" s="417">
        <f t="shared" si="103"/>
        <v>0</v>
      </c>
      <c r="Y141" s="419">
        <f t="shared" si="103"/>
        <v>0</v>
      </c>
      <c r="Z141" s="434">
        <f t="shared" si="103"/>
        <v>0</v>
      </c>
      <c r="AA141" s="434">
        <f t="shared" si="103"/>
        <v>0</v>
      </c>
      <c r="AC141" s="395">
        <f t="shared" si="101"/>
        <v>0</v>
      </c>
      <c r="AD141" s="395">
        <f t="shared" si="102"/>
        <v>0</v>
      </c>
    </row>
    <row r="142" spans="1:30">
      <c r="AD142" s="395"/>
    </row>
    <row r="143" spans="1:30" ht="18.600000000000001" thickBot="1">
      <c r="A143" s="394">
        <f>A112</f>
        <v>2024</v>
      </c>
    </row>
    <row r="144" spans="1:30">
      <c r="A144" s="2815" t="s">
        <v>308</v>
      </c>
      <c r="B144" s="2827" t="s">
        <v>71</v>
      </c>
      <c r="C144" s="2828"/>
      <c r="D144" s="2829" t="s">
        <v>72</v>
      </c>
      <c r="E144" s="2830"/>
      <c r="F144" s="2817" t="s">
        <v>73</v>
      </c>
      <c r="G144" s="2818"/>
      <c r="H144" s="2819" t="s">
        <v>74</v>
      </c>
      <c r="I144" s="2820"/>
      <c r="J144" s="2821" t="s">
        <v>75</v>
      </c>
      <c r="K144" s="2822"/>
      <c r="L144" s="2823" t="s">
        <v>76</v>
      </c>
      <c r="M144" s="2824"/>
      <c r="N144" s="2827" t="s">
        <v>77</v>
      </c>
      <c r="O144" s="2828"/>
      <c r="P144" s="2829" t="s">
        <v>78</v>
      </c>
      <c r="Q144" s="2830"/>
      <c r="R144" s="2817" t="s">
        <v>79</v>
      </c>
      <c r="S144" s="2818"/>
      <c r="T144" s="2819" t="s">
        <v>80</v>
      </c>
      <c r="U144" s="2820"/>
      <c r="V144" s="2821" t="s">
        <v>81</v>
      </c>
      <c r="W144" s="2822"/>
      <c r="X144" s="2823" t="s">
        <v>82</v>
      </c>
      <c r="Y144" s="2824"/>
      <c r="Z144" s="2825" t="s">
        <v>83</v>
      </c>
      <c r="AA144" s="2826"/>
      <c r="AB144" s="634"/>
    </row>
    <row r="145" spans="1:30" ht="14.4" thickBot="1">
      <c r="A145" s="2816"/>
      <c r="B145" s="402" t="s">
        <v>198</v>
      </c>
      <c r="C145" s="403" t="s">
        <v>199</v>
      </c>
      <c r="D145" s="402" t="s">
        <v>198</v>
      </c>
      <c r="E145" s="403" t="s">
        <v>199</v>
      </c>
      <c r="F145" s="402" t="s">
        <v>198</v>
      </c>
      <c r="G145" s="403" t="s">
        <v>199</v>
      </c>
      <c r="H145" s="402" t="s">
        <v>198</v>
      </c>
      <c r="I145" s="403" t="s">
        <v>199</v>
      </c>
      <c r="J145" s="402" t="s">
        <v>198</v>
      </c>
      <c r="K145" s="403" t="s">
        <v>199</v>
      </c>
      <c r="L145" s="402" t="s">
        <v>198</v>
      </c>
      <c r="M145" s="403" t="s">
        <v>199</v>
      </c>
      <c r="N145" s="402" t="s">
        <v>198</v>
      </c>
      <c r="O145" s="403" t="s">
        <v>199</v>
      </c>
      <c r="P145" s="402" t="s">
        <v>198</v>
      </c>
      <c r="Q145" s="403" t="s">
        <v>199</v>
      </c>
      <c r="R145" s="402" t="s">
        <v>198</v>
      </c>
      <c r="S145" s="403" t="s">
        <v>199</v>
      </c>
      <c r="T145" s="402" t="s">
        <v>198</v>
      </c>
      <c r="U145" s="403" t="s">
        <v>199</v>
      </c>
      <c r="V145" s="1107" t="s">
        <v>198</v>
      </c>
      <c r="W145" s="403" t="s">
        <v>199</v>
      </c>
      <c r="X145" s="402" t="s">
        <v>198</v>
      </c>
      <c r="Y145" s="403" t="s">
        <v>199</v>
      </c>
      <c r="Z145" s="403" t="s">
        <v>198</v>
      </c>
      <c r="AA145" s="403" t="s">
        <v>199</v>
      </c>
      <c r="AC145" s="117" t="s">
        <v>198</v>
      </c>
      <c r="AD145" s="117" t="s">
        <v>199</v>
      </c>
    </row>
    <row r="146" spans="1:30" ht="14.4" thickBot="1">
      <c r="A146" s="397" t="s">
        <v>6</v>
      </c>
      <c r="B146" s="398">
        <v>0</v>
      </c>
      <c r="C146" s="399">
        <v>0</v>
      </c>
      <c r="D146" s="398">
        <v>0</v>
      </c>
      <c r="E146" s="398">
        <v>0</v>
      </c>
      <c r="F146" s="398">
        <v>0</v>
      </c>
      <c r="G146" s="398">
        <v>0</v>
      </c>
      <c r="H146" s="398">
        <v>0</v>
      </c>
      <c r="I146" s="398">
        <v>0</v>
      </c>
      <c r="J146" s="398">
        <v>0</v>
      </c>
      <c r="K146" s="399">
        <v>0</v>
      </c>
      <c r="L146" s="398">
        <v>0</v>
      </c>
      <c r="M146" s="399">
        <v>0</v>
      </c>
      <c r="N146" s="398">
        <v>0</v>
      </c>
      <c r="O146" s="399">
        <v>0</v>
      </c>
      <c r="P146" s="398">
        <v>0</v>
      </c>
      <c r="Q146" s="399">
        <v>0</v>
      </c>
      <c r="R146" s="398"/>
      <c r="S146" s="399"/>
      <c r="T146" s="398"/>
      <c r="U146" s="399"/>
      <c r="V146" s="398"/>
      <c r="W146" s="399"/>
      <c r="X146" s="398"/>
      <c r="Y146" s="399"/>
      <c r="Z146" s="432">
        <f t="shared" ref="Z146:Z155" si="104">B146+D146+F146+H146+J146+L146+N146+P146+R146+T146+V146+X146</f>
        <v>0</v>
      </c>
      <c r="AA146" s="432">
        <f>C146+E146+G146+I146+K146+M146+O146+Q146+S146+U146+W146+Y146</f>
        <v>0</v>
      </c>
      <c r="AB146" s="634"/>
      <c r="AC146" s="395">
        <f>P146</f>
        <v>0</v>
      </c>
      <c r="AD146" s="395">
        <f>Q146</f>
        <v>0</v>
      </c>
    </row>
    <row r="147" spans="1:30" ht="14.4" thickBot="1">
      <c r="A147" s="397" t="s">
        <v>7</v>
      </c>
      <c r="B147" s="398">
        <v>0</v>
      </c>
      <c r="C147" s="399">
        <v>0</v>
      </c>
      <c r="D147" s="398">
        <v>0</v>
      </c>
      <c r="E147" s="398">
        <v>0</v>
      </c>
      <c r="F147" s="398">
        <v>0</v>
      </c>
      <c r="G147" s="398">
        <v>0</v>
      </c>
      <c r="H147" s="398">
        <v>0</v>
      </c>
      <c r="I147" s="398">
        <v>0</v>
      </c>
      <c r="J147" s="398">
        <v>0</v>
      </c>
      <c r="K147" s="399">
        <v>0</v>
      </c>
      <c r="L147" s="398">
        <v>0</v>
      </c>
      <c r="M147" s="399">
        <v>0</v>
      </c>
      <c r="N147" s="398">
        <v>0</v>
      </c>
      <c r="O147" s="399">
        <v>0</v>
      </c>
      <c r="P147" s="398">
        <v>0</v>
      </c>
      <c r="Q147" s="399">
        <v>0</v>
      </c>
      <c r="R147" s="398"/>
      <c r="S147" s="399"/>
      <c r="T147" s="398"/>
      <c r="U147" s="399"/>
      <c r="V147" s="398"/>
      <c r="W147" s="399"/>
      <c r="X147" s="398"/>
      <c r="Y147" s="399"/>
      <c r="Z147" s="432">
        <f t="shared" si="104"/>
        <v>0</v>
      </c>
      <c r="AA147" s="432">
        <f t="shared" ref="AA147:AA155" si="105">C147+E147+G147+I147+K147+M147+O147+Q147+S147+U147+W147+Y147</f>
        <v>0</v>
      </c>
      <c r="AC147" s="395">
        <f t="shared" ref="AC147:AC156" si="106">P147</f>
        <v>0</v>
      </c>
      <c r="AD147" s="395">
        <f t="shared" ref="AD147:AD156" si="107">Q147</f>
        <v>0</v>
      </c>
    </row>
    <row r="148" spans="1:30" ht="14.4" thickBot="1">
      <c r="A148" s="397" t="s">
        <v>8</v>
      </c>
      <c r="B148" s="398">
        <v>0</v>
      </c>
      <c r="C148" s="399">
        <v>0</v>
      </c>
      <c r="D148" s="398">
        <v>0</v>
      </c>
      <c r="E148" s="398">
        <v>0</v>
      </c>
      <c r="F148" s="398">
        <v>0</v>
      </c>
      <c r="G148" s="398">
        <v>0</v>
      </c>
      <c r="H148" s="398">
        <v>0</v>
      </c>
      <c r="I148" s="398">
        <v>0</v>
      </c>
      <c r="J148" s="398">
        <v>0</v>
      </c>
      <c r="K148" s="399">
        <v>0</v>
      </c>
      <c r="L148" s="398">
        <v>0</v>
      </c>
      <c r="M148" s="399">
        <v>0</v>
      </c>
      <c r="N148" s="398">
        <v>0</v>
      </c>
      <c r="O148" s="399">
        <v>0</v>
      </c>
      <c r="P148" s="398">
        <v>0</v>
      </c>
      <c r="Q148" s="399">
        <v>0</v>
      </c>
      <c r="R148" s="398"/>
      <c r="S148" s="399"/>
      <c r="T148" s="398"/>
      <c r="U148" s="399"/>
      <c r="V148" s="398"/>
      <c r="W148" s="399"/>
      <c r="X148" s="398"/>
      <c r="Y148" s="399"/>
      <c r="Z148" s="432">
        <f t="shared" si="104"/>
        <v>0</v>
      </c>
      <c r="AA148" s="432">
        <f t="shared" si="105"/>
        <v>0</v>
      </c>
      <c r="AB148" s="634"/>
      <c r="AC148" s="395">
        <f t="shared" si="106"/>
        <v>0</v>
      </c>
      <c r="AD148" s="395">
        <f t="shared" si="107"/>
        <v>0</v>
      </c>
    </row>
    <row r="149" spans="1:30" ht="14.4" thickBot="1">
      <c r="A149" s="397" t="s">
        <v>4</v>
      </c>
      <c r="B149" s="398">
        <v>0</v>
      </c>
      <c r="C149" s="399">
        <v>0</v>
      </c>
      <c r="D149" s="398">
        <v>0</v>
      </c>
      <c r="E149" s="398">
        <v>0</v>
      </c>
      <c r="F149" s="398">
        <v>0</v>
      </c>
      <c r="G149" s="398">
        <v>0</v>
      </c>
      <c r="H149" s="398">
        <v>0</v>
      </c>
      <c r="I149" s="398">
        <v>0</v>
      </c>
      <c r="J149" s="398">
        <v>0</v>
      </c>
      <c r="K149" s="399">
        <v>0</v>
      </c>
      <c r="L149" s="398">
        <v>0</v>
      </c>
      <c r="M149" s="399">
        <v>0</v>
      </c>
      <c r="N149" s="398">
        <v>0</v>
      </c>
      <c r="O149" s="399">
        <v>0</v>
      </c>
      <c r="P149" s="398">
        <v>0</v>
      </c>
      <c r="Q149" s="399">
        <v>0</v>
      </c>
      <c r="R149" s="398"/>
      <c r="S149" s="399"/>
      <c r="T149" s="398"/>
      <c r="U149" s="399"/>
      <c r="V149" s="398"/>
      <c r="W149" s="399"/>
      <c r="X149" s="398"/>
      <c r="Y149" s="399"/>
      <c r="Z149" s="432">
        <f t="shared" si="104"/>
        <v>0</v>
      </c>
      <c r="AA149" s="432">
        <f t="shared" si="105"/>
        <v>0</v>
      </c>
      <c r="AC149" s="395">
        <f t="shared" si="106"/>
        <v>0</v>
      </c>
      <c r="AD149" s="395">
        <f t="shared" si="107"/>
        <v>0</v>
      </c>
    </row>
    <row r="150" spans="1:30" ht="14.4" thickBot="1">
      <c r="A150" s="397" t="s">
        <v>3</v>
      </c>
      <c r="B150" s="398">
        <v>0</v>
      </c>
      <c r="C150" s="399">
        <v>0</v>
      </c>
      <c r="D150" s="398">
        <v>0</v>
      </c>
      <c r="E150" s="398">
        <v>0</v>
      </c>
      <c r="F150" s="398">
        <v>0</v>
      </c>
      <c r="G150" s="398">
        <v>0</v>
      </c>
      <c r="H150" s="398">
        <v>0</v>
      </c>
      <c r="I150" s="398">
        <v>0</v>
      </c>
      <c r="J150" s="398">
        <v>0</v>
      </c>
      <c r="K150" s="399">
        <v>0</v>
      </c>
      <c r="L150" s="398">
        <v>0</v>
      </c>
      <c r="M150" s="399">
        <v>0</v>
      </c>
      <c r="N150" s="398">
        <v>0</v>
      </c>
      <c r="O150" s="399">
        <v>0</v>
      </c>
      <c r="P150" s="398">
        <v>0</v>
      </c>
      <c r="Q150" s="399">
        <v>0</v>
      </c>
      <c r="R150" s="398"/>
      <c r="S150" s="399"/>
      <c r="T150" s="398"/>
      <c r="U150" s="399"/>
      <c r="V150" s="398"/>
      <c r="W150" s="399"/>
      <c r="X150" s="398"/>
      <c r="Y150" s="399"/>
      <c r="Z150" s="432">
        <f t="shared" si="104"/>
        <v>0</v>
      </c>
      <c r="AA150" s="432">
        <f t="shared" si="105"/>
        <v>0</v>
      </c>
      <c r="AB150" s="634"/>
      <c r="AC150" s="395">
        <f t="shared" si="106"/>
        <v>0</v>
      </c>
      <c r="AD150" s="395">
        <f t="shared" si="107"/>
        <v>0</v>
      </c>
    </row>
    <row r="151" spans="1:30" ht="14.4" thickBot="1">
      <c r="A151" s="397" t="s">
        <v>397</v>
      </c>
      <c r="B151" s="398">
        <v>0</v>
      </c>
      <c r="C151" s="399">
        <v>0</v>
      </c>
      <c r="D151" s="398">
        <v>0</v>
      </c>
      <c r="E151" s="398">
        <v>0</v>
      </c>
      <c r="F151" s="398">
        <v>0</v>
      </c>
      <c r="G151" s="398">
        <v>0</v>
      </c>
      <c r="H151" s="398">
        <v>0</v>
      </c>
      <c r="I151" s="398">
        <v>0</v>
      </c>
      <c r="J151" s="398">
        <v>0</v>
      </c>
      <c r="K151" s="399">
        <v>0</v>
      </c>
      <c r="L151" s="398">
        <v>0</v>
      </c>
      <c r="M151" s="399">
        <v>0</v>
      </c>
      <c r="N151" s="398">
        <v>0</v>
      </c>
      <c r="O151" s="399">
        <v>0</v>
      </c>
      <c r="P151" s="398">
        <v>0</v>
      </c>
      <c r="Q151" s="399">
        <v>0</v>
      </c>
      <c r="R151" s="398"/>
      <c r="S151" s="399"/>
      <c r="T151" s="398"/>
      <c r="U151" s="399"/>
      <c r="V151" s="398"/>
      <c r="W151" s="399"/>
      <c r="X151" s="398"/>
      <c r="Y151" s="399"/>
      <c r="Z151" s="432">
        <f t="shared" si="104"/>
        <v>0</v>
      </c>
      <c r="AA151" s="432">
        <f t="shared" si="105"/>
        <v>0</v>
      </c>
      <c r="AB151" s="634"/>
      <c r="AC151" s="395">
        <f t="shared" si="106"/>
        <v>0</v>
      </c>
      <c r="AD151" s="395">
        <f t="shared" si="107"/>
        <v>0</v>
      </c>
    </row>
    <row r="152" spans="1:30" ht="14.4" thickBot="1">
      <c r="A152" s="397" t="s">
        <v>399</v>
      </c>
      <c r="B152" s="398">
        <v>0</v>
      </c>
      <c r="C152" s="399">
        <v>0</v>
      </c>
      <c r="D152" s="398">
        <v>0</v>
      </c>
      <c r="E152" s="398">
        <v>0</v>
      </c>
      <c r="F152" s="398">
        <v>0</v>
      </c>
      <c r="G152" s="398">
        <v>0</v>
      </c>
      <c r="H152" s="398">
        <v>0</v>
      </c>
      <c r="I152" s="398">
        <v>0</v>
      </c>
      <c r="J152" s="398">
        <v>0</v>
      </c>
      <c r="K152" s="399">
        <v>0</v>
      </c>
      <c r="L152" s="398">
        <v>0</v>
      </c>
      <c r="M152" s="399">
        <v>0</v>
      </c>
      <c r="N152" s="398">
        <v>0</v>
      </c>
      <c r="O152" s="399">
        <v>0</v>
      </c>
      <c r="P152" s="398">
        <v>0</v>
      </c>
      <c r="Q152" s="399">
        <v>0</v>
      </c>
      <c r="R152" s="398"/>
      <c r="S152" s="399"/>
      <c r="T152" s="398"/>
      <c r="U152" s="399"/>
      <c r="V152" s="398"/>
      <c r="W152" s="399"/>
      <c r="X152" s="398"/>
      <c r="Y152" s="399"/>
      <c r="Z152" s="432">
        <f t="shared" si="104"/>
        <v>0</v>
      </c>
      <c r="AA152" s="432">
        <f t="shared" si="105"/>
        <v>0</v>
      </c>
      <c r="AC152" s="395">
        <f t="shared" si="106"/>
        <v>0</v>
      </c>
      <c r="AD152" s="395">
        <f t="shared" si="107"/>
        <v>0</v>
      </c>
    </row>
    <row r="153" spans="1:30" ht="14.4" thickBot="1">
      <c r="A153" s="397" t="s">
        <v>883</v>
      </c>
      <c r="B153" s="398">
        <v>0</v>
      </c>
      <c r="C153" s="399">
        <v>0</v>
      </c>
      <c r="D153" s="398">
        <v>0</v>
      </c>
      <c r="E153" s="398">
        <v>0</v>
      </c>
      <c r="F153" s="398">
        <v>0</v>
      </c>
      <c r="G153" s="398">
        <v>0</v>
      </c>
      <c r="H153" s="398">
        <v>0</v>
      </c>
      <c r="I153" s="398">
        <v>0</v>
      </c>
      <c r="J153" s="398">
        <v>0</v>
      </c>
      <c r="K153" s="399">
        <v>0</v>
      </c>
      <c r="L153" s="398">
        <v>0</v>
      </c>
      <c r="M153" s="399">
        <v>0</v>
      </c>
      <c r="N153" s="398">
        <v>0</v>
      </c>
      <c r="O153" s="399">
        <v>0</v>
      </c>
      <c r="P153" s="398">
        <v>0</v>
      </c>
      <c r="Q153" s="399">
        <v>0</v>
      </c>
      <c r="R153" s="398"/>
      <c r="S153" s="399"/>
      <c r="T153" s="398"/>
      <c r="U153" s="399"/>
      <c r="V153" s="398"/>
      <c r="W153" s="399"/>
      <c r="X153" s="398"/>
      <c r="Y153" s="399"/>
      <c r="Z153" s="432">
        <f t="shared" si="104"/>
        <v>0</v>
      </c>
      <c r="AA153" s="432">
        <f t="shared" si="105"/>
        <v>0</v>
      </c>
      <c r="AB153" s="634"/>
      <c r="AC153" s="395">
        <f t="shared" si="106"/>
        <v>0</v>
      </c>
      <c r="AD153" s="395">
        <f t="shared" si="107"/>
        <v>0</v>
      </c>
    </row>
    <row r="154" spans="1:30" ht="14.4" thickBot="1">
      <c r="A154" s="397" t="s">
        <v>884</v>
      </c>
      <c r="B154" s="398">
        <v>0</v>
      </c>
      <c r="C154" s="399">
        <v>0</v>
      </c>
      <c r="D154" s="398">
        <v>0</v>
      </c>
      <c r="E154" s="398">
        <v>0</v>
      </c>
      <c r="F154" s="398">
        <v>0</v>
      </c>
      <c r="G154" s="398">
        <v>0</v>
      </c>
      <c r="H154" s="398">
        <v>0</v>
      </c>
      <c r="I154" s="398">
        <v>0</v>
      </c>
      <c r="J154" s="398">
        <v>0</v>
      </c>
      <c r="K154" s="399">
        <v>0</v>
      </c>
      <c r="L154" s="398">
        <v>0</v>
      </c>
      <c r="M154" s="399">
        <v>0</v>
      </c>
      <c r="N154" s="398">
        <v>0</v>
      </c>
      <c r="O154" s="399">
        <v>0</v>
      </c>
      <c r="P154" s="398">
        <v>0</v>
      </c>
      <c r="Q154" s="399">
        <v>0</v>
      </c>
      <c r="R154" s="398"/>
      <c r="S154" s="399"/>
      <c r="T154" s="398"/>
      <c r="U154" s="399"/>
      <c r="V154" s="398"/>
      <c r="W154" s="399"/>
      <c r="X154" s="398"/>
      <c r="Y154" s="399"/>
      <c r="Z154" s="432">
        <f t="shared" si="104"/>
        <v>0</v>
      </c>
      <c r="AA154" s="432">
        <f t="shared" si="105"/>
        <v>0</v>
      </c>
      <c r="AC154" s="395">
        <f t="shared" si="106"/>
        <v>0</v>
      </c>
      <c r="AD154" s="395">
        <f t="shared" si="107"/>
        <v>0</v>
      </c>
    </row>
    <row r="155" spans="1:30" ht="14.4" thickBot="1">
      <c r="A155" s="397" t="s">
        <v>885</v>
      </c>
      <c r="B155" s="398">
        <v>0</v>
      </c>
      <c r="C155" s="399">
        <v>0</v>
      </c>
      <c r="D155" s="398">
        <v>0</v>
      </c>
      <c r="E155" s="398">
        <v>0</v>
      </c>
      <c r="F155" s="398">
        <v>0</v>
      </c>
      <c r="G155" s="398">
        <v>0</v>
      </c>
      <c r="H155" s="398">
        <v>0</v>
      </c>
      <c r="I155" s="398">
        <v>0</v>
      </c>
      <c r="J155" s="398">
        <v>0</v>
      </c>
      <c r="K155" s="399">
        <v>0</v>
      </c>
      <c r="L155" s="398">
        <v>0</v>
      </c>
      <c r="M155" s="399">
        <v>0</v>
      </c>
      <c r="N155" s="398">
        <v>0</v>
      </c>
      <c r="O155" s="399">
        <v>0</v>
      </c>
      <c r="P155" s="398">
        <v>0</v>
      </c>
      <c r="Q155" s="399">
        <v>0</v>
      </c>
      <c r="R155" s="398"/>
      <c r="S155" s="399"/>
      <c r="T155" s="398"/>
      <c r="U155" s="399"/>
      <c r="V155" s="398"/>
      <c r="W155" s="399"/>
      <c r="X155" s="398"/>
      <c r="Y155" s="399"/>
      <c r="Z155" s="432">
        <f t="shared" si="104"/>
        <v>0</v>
      </c>
      <c r="AA155" s="432">
        <f t="shared" si="105"/>
        <v>0</v>
      </c>
      <c r="AB155" s="634"/>
      <c r="AC155" s="395">
        <f t="shared" si="106"/>
        <v>0</v>
      </c>
      <c r="AD155" s="395">
        <f t="shared" si="107"/>
        <v>0</v>
      </c>
    </row>
    <row r="156" spans="1:30" ht="14.4" thickBot="1">
      <c r="A156" s="433" t="s">
        <v>16</v>
      </c>
      <c r="B156" s="417">
        <f t="shared" ref="B156:AA156" si="108">SUM(B146:B155)</f>
        <v>0</v>
      </c>
      <c r="C156" s="419">
        <f t="shared" si="108"/>
        <v>0</v>
      </c>
      <c r="D156" s="417">
        <f t="shared" si="108"/>
        <v>0</v>
      </c>
      <c r="E156" s="419">
        <f t="shared" si="108"/>
        <v>0</v>
      </c>
      <c r="F156" s="417">
        <f t="shared" si="108"/>
        <v>0</v>
      </c>
      <c r="G156" s="419">
        <f t="shared" si="108"/>
        <v>0</v>
      </c>
      <c r="H156" s="417">
        <f t="shared" si="108"/>
        <v>0</v>
      </c>
      <c r="I156" s="419">
        <f t="shared" si="108"/>
        <v>0</v>
      </c>
      <c r="J156" s="417">
        <f t="shared" si="108"/>
        <v>0</v>
      </c>
      <c r="K156" s="419">
        <f t="shared" si="108"/>
        <v>0</v>
      </c>
      <c r="L156" s="417">
        <f t="shared" si="108"/>
        <v>0</v>
      </c>
      <c r="M156" s="419">
        <f t="shared" si="108"/>
        <v>0</v>
      </c>
      <c r="N156" s="417">
        <f t="shared" si="108"/>
        <v>0</v>
      </c>
      <c r="O156" s="419">
        <f t="shared" si="108"/>
        <v>0</v>
      </c>
      <c r="P156" s="417">
        <f t="shared" si="108"/>
        <v>0</v>
      </c>
      <c r="Q156" s="419">
        <f t="shared" si="108"/>
        <v>0</v>
      </c>
      <c r="R156" s="417">
        <f t="shared" si="108"/>
        <v>0</v>
      </c>
      <c r="S156" s="419">
        <f t="shared" si="108"/>
        <v>0</v>
      </c>
      <c r="T156" s="417">
        <f t="shared" si="108"/>
        <v>0</v>
      </c>
      <c r="U156" s="419">
        <f t="shared" si="108"/>
        <v>0</v>
      </c>
      <c r="V156" s="417">
        <f t="shared" si="108"/>
        <v>0</v>
      </c>
      <c r="W156" s="419">
        <f t="shared" si="108"/>
        <v>0</v>
      </c>
      <c r="X156" s="417">
        <f t="shared" si="108"/>
        <v>0</v>
      </c>
      <c r="Y156" s="419">
        <f t="shared" si="108"/>
        <v>0</v>
      </c>
      <c r="Z156" s="434">
        <f t="shared" si="108"/>
        <v>0</v>
      </c>
      <c r="AA156" s="434">
        <f t="shared" si="108"/>
        <v>0</v>
      </c>
      <c r="AC156" s="395">
        <f t="shared" si="106"/>
        <v>0</v>
      </c>
      <c r="AD156" s="395">
        <f t="shared" si="107"/>
        <v>0</v>
      </c>
    </row>
    <row r="158" spans="1:30" ht="18">
      <c r="A158" s="393" t="s">
        <v>864</v>
      </c>
    </row>
    <row r="159" spans="1:30" ht="18.600000000000001" thickBot="1">
      <c r="A159" s="394">
        <f>A128</f>
        <v>2023</v>
      </c>
    </row>
    <row r="160" spans="1:30">
      <c r="A160" s="2815" t="s">
        <v>308</v>
      </c>
      <c r="B160" s="2827" t="s">
        <v>71</v>
      </c>
      <c r="C160" s="2828"/>
      <c r="D160" s="2829" t="s">
        <v>72</v>
      </c>
      <c r="E160" s="2830"/>
      <c r="F160" s="2817" t="s">
        <v>73</v>
      </c>
      <c r="G160" s="2818"/>
      <c r="H160" s="2819" t="s">
        <v>74</v>
      </c>
      <c r="I160" s="2820"/>
      <c r="J160" s="2821" t="s">
        <v>75</v>
      </c>
      <c r="K160" s="2822"/>
      <c r="L160" s="2823" t="s">
        <v>76</v>
      </c>
      <c r="M160" s="2824"/>
      <c r="N160" s="2827" t="s">
        <v>77</v>
      </c>
      <c r="O160" s="2828"/>
      <c r="P160" s="2829" t="s">
        <v>78</v>
      </c>
      <c r="Q160" s="2830"/>
      <c r="R160" s="2817" t="s">
        <v>79</v>
      </c>
      <c r="S160" s="2818"/>
      <c r="T160" s="2819" t="s">
        <v>80</v>
      </c>
      <c r="U160" s="2820"/>
      <c r="V160" s="2821" t="s">
        <v>81</v>
      </c>
      <c r="W160" s="2822"/>
      <c r="X160" s="2823" t="s">
        <v>82</v>
      </c>
      <c r="Y160" s="2824"/>
      <c r="Z160" s="2825" t="s">
        <v>83</v>
      </c>
      <c r="AA160" s="2826"/>
      <c r="AB160" s="634"/>
    </row>
    <row r="161" spans="1:30" ht="14.4" thickBot="1">
      <c r="A161" s="2816"/>
      <c r="B161" s="402" t="s">
        <v>198</v>
      </c>
      <c r="C161" s="403" t="s">
        <v>199</v>
      </c>
      <c r="D161" s="402" t="s">
        <v>198</v>
      </c>
      <c r="E161" s="403" t="s">
        <v>199</v>
      </c>
      <c r="F161" s="402" t="s">
        <v>198</v>
      </c>
      <c r="G161" s="403" t="s">
        <v>199</v>
      </c>
      <c r="H161" s="402" t="s">
        <v>198</v>
      </c>
      <c r="I161" s="403" t="s">
        <v>199</v>
      </c>
      <c r="J161" s="402" t="s">
        <v>198</v>
      </c>
      <c r="K161" s="403" t="s">
        <v>199</v>
      </c>
      <c r="L161" s="402" t="s">
        <v>198</v>
      </c>
      <c r="M161" s="403" t="s">
        <v>199</v>
      </c>
      <c r="N161" s="402" t="s">
        <v>198</v>
      </c>
      <c r="O161" s="403" t="s">
        <v>199</v>
      </c>
      <c r="P161" s="402" t="s">
        <v>198</v>
      </c>
      <c r="Q161" s="403" t="s">
        <v>199</v>
      </c>
      <c r="R161" s="402" t="s">
        <v>198</v>
      </c>
      <c r="S161" s="403" t="s">
        <v>199</v>
      </c>
      <c r="T161" s="402" t="s">
        <v>198</v>
      </c>
      <c r="U161" s="403" t="s">
        <v>199</v>
      </c>
      <c r="V161" s="1107" t="s">
        <v>198</v>
      </c>
      <c r="W161" s="403" t="s">
        <v>199</v>
      </c>
      <c r="X161" s="402" t="s">
        <v>198</v>
      </c>
      <c r="Y161" s="403" t="s">
        <v>199</v>
      </c>
      <c r="Z161" s="403" t="s">
        <v>198</v>
      </c>
      <c r="AA161" s="403" t="s">
        <v>199</v>
      </c>
      <c r="AC161" s="117" t="s">
        <v>198</v>
      </c>
      <c r="AD161" s="117" t="s">
        <v>199</v>
      </c>
    </row>
    <row r="162" spans="1:30" ht="14.4" thickBot="1">
      <c r="A162" s="397" t="s">
        <v>6</v>
      </c>
      <c r="B162" s="398">
        <f>B100-B131</f>
        <v>0</v>
      </c>
      <c r="C162" s="399">
        <f t="shared" ref="C162:Y162" si="109">C100-C131</f>
        <v>0</v>
      </c>
      <c r="D162" s="398">
        <f t="shared" si="109"/>
        <v>0</v>
      </c>
      <c r="E162" s="398">
        <f t="shared" si="109"/>
        <v>0</v>
      </c>
      <c r="F162" s="398">
        <f t="shared" si="109"/>
        <v>0</v>
      </c>
      <c r="G162" s="398">
        <f t="shared" si="109"/>
        <v>0</v>
      </c>
      <c r="H162" s="398">
        <f t="shared" si="109"/>
        <v>0</v>
      </c>
      <c r="I162" s="398">
        <f t="shared" si="109"/>
        <v>0</v>
      </c>
      <c r="J162" s="398">
        <f t="shared" si="109"/>
        <v>0</v>
      </c>
      <c r="K162" s="399">
        <f t="shared" si="109"/>
        <v>0</v>
      </c>
      <c r="L162" s="398">
        <f t="shared" si="109"/>
        <v>0</v>
      </c>
      <c r="M162" s="399">
        <f t="shared" si="109"/>
        <v>0</v>
      </c>
      <c r="N162" s="398">
        <f t="shared" si="109"/>
        <v>0</v>
      </c>
      <c r="O162" s="399">
        <f t="shared" si="109"/>
        <v>0</v>
      </c>
      <c r="P162" s="398">
        <f t="shared" si="109"/>
        <v>0</v>
      </c>
      <c r="Q162" s="399">
        <f t="shared" si="109"/>
        <v>0</v>
      </c>
      <c r="R162" s="398">
        <f t="shared" si="109"/>
        <v>0</v>
      </c>
      <c r="S162" s="399">
        <f t="shared" si="109"/>
        <v>0</v>
      </c>
      <c r="T162" s="398">
        <f t="shared" si="109"/>
        <v>0</v>
      </c>
      <c r="U162" s="399">
        <f t="shared" si="109"/>
        <v>0</v>
      </c>
      <c r="V162" s="398">
        <f t="shared" si="109"/>
        <v>0</v>
      </c>
      <c r="W162" s="399">
        <f t="shared" si="109"/>
        <v>0</v>
      </c>
      <c r="X162" s="398">
        <f t="shared" si="109"/>
        <v>0</v>
      </c>
      <c r="Y162" s="399">
        <f t="shared" si="109"/>
        <v>0</v>
      </c>
      <c r="Z162" s="432">
        <f t="shared" ref="Z162:Z171" si="110">B162+D162+F162+H162+J162+L162+N162+P162+R162+T162+V162+X162</f>
        <v>0</v>
      </c>
      <c r="AA162" s="432">
        <f t="shared" ref="AA162:AA171" si="111">C162+E162+G162+I162+K162+M162+O162+Q162+S162+U162+W162+Y162</f>
        <v>0</v>
      </c>
      <c r="AC162" s="395">
        <f>P162</f>
        <v>0</v>
      </c>
      <c r="AD162" s="395">
        <f>Q162</f>
        <v>0</v>
      </c>
    </row>
    <row r="163" spans="1:30" ht="14.4" thickBot="1">
      <c r="A163" s="397" t="s">
        <v>7</v>
      </c>
      <c r="B163" s="398">
        <f t="shared" ref="B163:Y163" si="112">B101-B132</f>
        <v>0</v>
      </c>
      <c r="C163" s="399">
        <f t="shared" si="112"/>
        <v>0</v>
      </c>
      <c r="D163" s="398">
        <f t="shared" si="112"/>
        <v>0</v>
      </c>
      <c r="E163" s="398">
        <f t="shared" si="112"/>
        <v>0</v>
      </c>
      <c r="F163" s="398">
        <f t="shared" si="112"/>
        <v>0</v>
      </c>
      <c r="G163" s="398">
        <f t="shared" si="112"/>
        <v>0</v>
      </c>
      <c r="H163" s="398">
        <f t="shared" si="112"/>
        <v>0</v>
      </c>
      <c r="I163" s="398">
        <f t="shared" si="112"/>
        <v>0</v>
      </c>
      <c r="J163" s="398">
        <f t="shared" si="112"/>
        <v>0</v>
      </c>
      <c r="K163" s="399">
        <f t="shared" si="112"/>
        <v>0</v>
      </c>
      <c r="L163" s="398">
        <f t="shared" si="112"/>
        <v>0</v>
      </c>
      <c r="M163" s="399">
        <f t="shared" si="112"/>
        <v>0</v>
      </c>
      <c r="N163" s="398">
        <f t="shared" si="112"/>
        <v>0</v>
      </c>
      <c r="O163" s="399">
        <f t="shared" si="112"/>
        <v>0</v>
      </c>
      <c r="P163" s="398">
        <f t="shared" si="112"/>
        <v>0</v>
      </c>
      <c r="Q163" s="399">
        <f t="shared" si="112"/>
        <v>0</v>
      </c>
      <c r="R163" s="398">
        <f t="shared" si="112"/>
        <v>0</v>
      </c>
      <c r="S163" s="399">
        <f t="shared" si="112"/>
        <v>0</v>
      </c>
      <c r="T163" s="398">
        <f t="shared" si="112"/>
        <v>0</v>
      </c>
      <c r="U163" s="399">
        <f t="shared" si="112"/>
        <v>0</v>
      </c>
      <c r="V163" s="398">
        <f t="shared" si="112"/>
        <v>0</v>
      </c>
      <c r="W163" s="399">
        <f t="shared" si="112"/>
        <v>0</v>
      </c>
      <c r="X163" s="398">
        <f t="shared" si="112"/>
        <v>0</v>
      </c>
      <c r="Y163" s="399">
        <f t="shared" si="112"/>
        <v>0</v>
      </c>
      <c r="Z163" s="432">
        <f t="shared" si="110"/>
        <v>0</v>
      </c>
      <c r="AA163" s="432">
        <f t="shared" si="111"/>
        <v>0</v>
      </c>
      <c r="AC163" s="395">
        <f t="shared" ref="AC163:AC172" si="113">P163</f>
        <v>0</v>
      </c>
      <c r="AD163" s="395">
        <f t="shared" ref="AD163:AD172" si="114">Q163</f>
        <v>0</v>
      </c>
    </row>
    <row r="164" spans="1:30" ht="14.4" thickBot="1">
      <c r="A164" s="397" t="s">
        <v>8</v>
      </c>
      <c r="B164" s="398">
        <f t="shared" ref="B164:Y164" si="115">B102-B133</f>
        <v>0</v>
      </c>
      <c r="C164" s="399">
        <f t="shared" si="115"/>
        <v>0</v>
      </c>
      <c r="D164" s="398">
        <f t="shared" si="115"/>
        <v>0</v>
      </c>
      <c r="E164" s="398">
        <f t="shared" si="115"/>
        <v>0</v>
      </c>
      <c r="F164" s="398">
        <f t="shared" si="115"/>
        <v>0</v>
      </c>
      <c r="G164" s="398">
        <f t="shared" si="115"/>
        <v>0</v>
      </c>
      <c r="H164" s="398">
        <f t="shared" si="115"/>
        <v>0</v>
      </c>
      <c r="I164" s="398">
        <f t="shared" si="115"/>
        <v>0</v>
      </c>
      <c r="J164" s="398">
        <f t="shared" si="115"/>
        <v>0</v>
      </c>
      <c r="K164" s="399">
        <f t="shared" si="115"/>
        <v>0</v>
      </c>
      <c r="L164" s="398">
        <f t="shared" si="115"/>
        <v>0</v>
      </c>
      <c r="M164" s="399">
        <f t="shared" si="115"/>
        <v>0</v>
      </c>
      <c r="N164" s="398">
        <f t="shared" si="115"/>
        <v>0</v>
      </c>
      <c r="O164" s="399">
        <f t="shared" si="115"/>
        <v>0</v>
      </c>
      <c r="P164" s="398">
        <f t="shared" si="115"/>
        <v>0</v>
      </c>
      <c r="Q164" s="399">
        <f t="shared" si="115"/>
        <v>0</v>
      </c>
      <c r="R164" s="398">
        <f t="shared" si="115"/>
        <v>0</v>
      </c>
      <c r="S164" s="399">
        <f t="shared" si="115"/>
        <v>0</v>
      </c>
      <c r="T164" s="398">
        <f t="shared" si="115"/>
        <v>0</v>
      </c>
      <c r="U164" s="399">
        <f t="shared" si="115"/>
        <v>0</v>
      </c>
      <c r="V164" s="398">
        <f t="shared" si="115"/>
        <v>0</v>
      </c>
      <c r="W164" s="399">
        <f t="shared" si="115"/>
        <v>0</v>
      </c>
      <c r="X164" s="398">
        <f t="shared" si="115"/>
        <v>0</v>
      </c>
      <c r="Y164" s="399">
        <f t="shared" si="115"/>
        <v>0</v>
      </c>
      <c r="Z164" s="432">
        <f t="shared" si="110"/>
        <v>0</v>
      </c>
      <c r="AA164" s="432">
        <f t="shared" si="111"/>
        <v>0</v>
      </c>
      <c r="AC164" s="395">
        <f t="shared" si="113"/>
        <v>0</v>
      </c>
      <c r="AD164" s="395">
        <f t="shared" si="114"/>
        <v>0</v>
      </c>
    </row>
    <row r="165" spans="1:30" ht="14.4" thickBot="1">
      <c r="A165" s="397" t="s">
        <v>4</v>
      </c>
      <c r="B165" s="398">
        <f t="shared" ref="B165:Y165" si="116">B103-B134</f>
        <v>0</v>
      </c>
      <c r="C165" s="399">
        <f t="shared" si="116"/>
        <v>0</v>
      </c>
      <c r="D165" s="398">
        <f t="shared" si="116"/>
        <v>0</v>
      </c>
      <c r="E165" s="398">
        <f t="shared" si="116"/>
        <v>0</v>
      </c>
      <c r="F165" s="398">
        <f t="shared" si="116"/>
        <v>0</v>
      </c>
      <c r="G165" s="398">
        <f t="shared" si="116"/>
        <v>0</v>
      </c>
      <c r="H165" s="398">
        <f t="shared" si="116"/>
        <v>0</v>
      </c>
      <c r="I165" s="398">
        <f t="shared" si="116"/>
        <v>0</v>
      </c>
      <c r="J165" s="398">
        <f t="shared" si="116"/>
        <v>0</v>
      </c>
      <c r="K165" s="399">
        <f t="shared" si="116"/>
        <v>0</v>
      </c>
      <c r="L165" s="398">
        <f t="shared" si="116"/>
        <v>0</v>
      </c>
      <c r="M165" s="399">
        <f t="shared" si="116"/>
        <v>0</v>
      </c>
      <c r="N165" s="398">
        <f t="shared" si="116"/>
        <v>0</v>
      </c>
      <c r="O165" s="399">
        <f t="shared" si="116"/>
        <v>0</v>
      </c>
      <c r="P165" s="398">
        <f t="shared" si="116"/>
        <v>0</v>
      </c>
      <c r="Q165" s="399">
        <f t="shared" si="116"/>
        <v>0</v>
      </c>
      <c r="R165" s="398">
        <f t="shared" si="116"/>
        <v>0</v>
      </c>
      <c r="S165" s="399">
        <f t="shared" si="116"/>
        <v>0</v>
      </c>
      <c r="T165" s="398">
        <f t="shared" si="116"/>
        <v>0</v>
      </c>
      <c r="U165" s="399">
        <f t="shared" si="116"/>
        <v>0</v>
      </c>
      <c r="V165" s="398">
        <f t="shared" si="116"/>
        <v>0</v>
      </c>
      <c r="W165" s="399">
        <f t="shared" si="116"/>
        <v>0</v>
      </c>
      <c r="X165" s="398">
        <f t="shared" si="116"/>
        <v>0</v>
      </c>
      <c r="Y165" s="399">
        <f t="shared" si="116"/>
        <v>0</v>
      </c>
      <c r="Z165" s="432">
        <f t="shared" si="110"/>
        <v>0</v>
      </c>
      <c r="AA165" s="432">
        <f t="shared" si="111"/>
        <v>0</v>
      </c>
      <c r="AC165" s="395">
        <f t="shared" si="113"/>
        <v>0</v>
      </c>
      <c r="AD165" s="395">
        <f t="shared" si="114"/>
        <v>0</v>
      </c>
    </row>
    <row r="166" spans="1:30" ht="14.4" thickBot="1">
      <c r="A166" s="397" t="s">
        <v>3</v>
      </c>
      <c r="B166" s="398">
        <f t="shared" ref="B166:Y166" si="117">B104-B135</f>
        <v>0</v>
      </c>
      <c r="C166" s="399">
        <f t="shared" si="117"/>
        <v>0</v>
      </c>
      <c r="D166" s="398">
        <f t="shared" si="117"/>
        <v>0</v>
      </c>
      <c r="E166" s="398">
        <f t="shared" si="117"/>
        <v>0</v>
      </c>
      <c r="F166" s="398">
        <f t="shared" si="117"/>
        <v>0</v>
      </c>
      <c r="G166" s="398">
        <f t="shared" si="117"/>
        <v>0</v>
      </c>
      <c r="H166" s="398">
        <f t="shared" si="117"/>
        <v>0</v>
      </c>
      <c r="I166" s="398">
        <f t="shared" si="117"/>
        <v>0</v>
      </c>
      <c r="J166" s="398">
        <f t="shared" si="117"/>
        <v>0</v>
      </c>
      <c r="K166" s="399">
        <f t="shared" si="117"/>
        <v>0</v>
      </c>
      <c r="L166" s="398">
        <f t="shared" si="117"/>
        <v>0</v>
      </c>
      <c r="M166" s="399">
        <f t="shared" si="117"/>
        <v>0</v>
      </c>
      <c r="N166" s="398">
        <f t="shared" si="117"/>
        <v>0</v>
      </c>
      <c r="O166" s="399">
        <f t="shared" si="117"/>
        <v>0</v>
      </c>
      <c r="P166" s="398">
        <f t="shared" si="117"/>
        <v>0</v>
      </c>
      <c r="Q166" s="399">
        <f t="shared" si="117"/>
        <v>0</v>
      </c>
      <c r="R166" s="398">
        <f t="shared" si="117"/>
        <v>0</v>
      </c>
      <c r="S166" s="399">
        <f t="shared" si="117"/>
        <v>0</v>
      </c>
      <c r="T166" s="398">
        <f t="shared" si="117"/>
        <v>0</v>
      </c>
      <c r="U166" s="399">
        <f t="shared" si="117"/>
        <v>0</v>
      </c>
      <c r="V166" s="398">
        <f t="shared" si="117"/>
        <v>0</v>
      </c>
      <c r="W166" s="399">
        <f t="shared" si="117"/>
        <v>0</v>
      </c>
      <c r="X166" s="398">
        <f t="shared" si="117"/>
        <v>0</v>
      </c>
      <c r="Y166" s="399">
        <f t="shared" si="117"/>
        <v>0</v>
      </c>
      <c r="Z166" s="432">
        <f t="shared" si="110"/>
        <v>0</v>
      </c>
      <c r="AA166" s="432">
        <f t="shared" si="111"/>
        <v>0</v>
      </c>
      <c r="AC166" s="395">
        <f t="shared" si="113"/>
        <v>0</v>
      </c>
      <c r="AD166" s="395">
        <f t="shared" si="114"/>
        <v>0</v>
      </c>
    </row>
    <row r="167" spans="1:30" ht="14.4" thickBot="1">
      <c r="A167" s="397" t="s">
        <v>397</v>
      </c>
      <c r="B167" s="398">
        <f t="shared" ref="B167:Y167" si="118">B105-B136</f>
        <v>0</v>
      </c>
      <c r="C167" s="399">
        <f t="shared" si="118"/>
        <v>0</v>
      </c>
      <c r="D167" s="398">
        <f t="shared" si="118"/>
        <v>0</v>
      </c>
      <c r="E167" s="398">
        <f t="shared" si="118"/>
        <v>0</v>
      </c>
      <c r="F167" s="398">
        <f t="shared" si="118"/>
        <v>0</v>
      </c>
      <c r="G167" s="398">
        <f t="shared" si="118"/>
        <v>0</v>
      </c>
      <c r="H167" s="398">
        <f t="shared" si="118"/>
        <v>0</v>
      </c>
      <c r="I167" s="398">
        <f t="shared" si="118"/>
        <v>0</v>
      </c>
      <c r="J167" s="398">
        <f t="shared" si="118"/>
        <v>0</v>
      </c>
      <c r="K167" s="399">
        <f t="shared" si="118"/>
        <v>0</v>
      </c>
      <c r="L167" s="398">
        <f t="shared" si="118"/>
        <v>0</v>
      </c>
      <c r="M167" s="399">
        <f t="shared" si="118"/>
        <v>0</v>
      </c>
      <c r="N167" s="398">
        <f t="shared" si="118"/>
        <v>0</v>
      </c>
      <c r="O167" s="399">
        <f t="shared" si="118"/>
        <v>0</v>
      </c>
      <c r="P167" s="398">
        <f t="shared" si="118"/>
        <v>0</v>
      </c>
      <c r="Q167" s="399">
        <f t="shared" si="118"/>
        <v>0</v>
      </c>
      <c r="R167" s="398">
        <f t="shared" si="118"/>
        <v>0</v>
      </c>
      <c r="S167" s="399">
        <f t="shared" si="118"/>
        <v>0</v>
      </c>
      <c r="T167" s="398">
        <f t="shared" si="118"/>
        <v>0</v>
      </c>
      <c r="U167" s="399">
        <f t="shared" si="118"/>
        <v>0</v>
      </c>
      <c r="V167" s="398">
        <f t="shared" si="118"/>
        <v>0</v>
      </c>
      <c r="W167" s="399">
        <f t="shared" si="118"/>
        <v>0</v>
      </c>
      <c r="X167" s="398">
        <f t="shared" si="118"/>
        <v>0</v>
      </c>
      <c r="Y167" s="399">
        <f t="shared" si="118"/>
        <v>0</v>
      </c>
      <c r="Z167" s="432">
        <f t="shared" si="110"/>
        <v>0</v>
      </c>
      <c r="AA167" s="432">
        <f t="shared" si="111"/>
        <v>0</v>
      </c>
      <c r="AC167" s="395">
        <f t="shared" si="113"/>
        <v>0</v>
      </c>
      <c r="AD167" s="395">
        <f t="shared" si="114"/>
        <v>0</v>
      </c>
    </row>
    <row r="168" spans="1:30" ht="14.4" thickBot="1">
      <c r="A168" s="397" t="s">
        <v>399</v>
      </c>
      <c r="B168" s="398">
        <f t="shared" ref="B168:Y168" si="119">B106-B137</f>
        <v>0</v>
      </c>
      <c r="C168" s="399">
        <f t="shared" si="119"/>
        <v>0</v>
      </c>
      <c r="D168" s="398">
        <f t="shared" si="119"/>
        <v>0</v>
      </c>
      <c r="E168" s="398">
        <f t="shared" si="119"/>
        <v>0</v>
      </c>
      <c r="F168" s="398">
        <f t="shared" si="119"/>
        <v>0</v>
      </c>
      <c r="G168" s="398">
        <f t="shared" si="119"/>
        <v>0</v>
      </c>
      <c r="H168" s="398">
        <f t="shared" si="119"/>
        <v>0</v>
      </c>
      <c r="I168" s="398">
        <f t="shared" si="119"/>
        <v>0</v>
      </c>
      <c r="J168" s="398">
        <f t="shared" si="119"/>
        <v>0</v>
      </c>
      <c r="K168" s="399">
        <f t="shared" si="119"/>
        <v>0</v>
      </c>
      <c r="L168" s="398">
        <f t="shared" si="119"/>
        <v>0</v>
      </c>
      <c r="M168" s="399">
        <f t="shared" si="119"/>
        <v>0</v>
      </c>
      <c r="N168" s="398">
        <f t="shared" si="119"/>
        <v>0</v>
      </c>
      <c r="O168" s="399">
        <f t="shared" si="119"/>
        <v>0</v>
      </c>
      <c r="P168" s="398">
        <f t="shared" si="119"/>
        <v>0</v>
      </c>
      <c r="Q168" s="399">
        <f t="shared" si="119"/>
        <v>0</v>
      </c>
      <c r="R168" s="398">
        <f t="shared" si="119"/>
        <v>0</v>
      </c>
      <c r="S168" s="399">
        <f t="shared" si="119"/>
        <v>0</v>
      </c>
      <c r="T168" s="398">
        <f t="shared" si="119"/>
        <v>0</v>
      </c>
      <c r="U168" s="399">
        <f t="shared" si="119"/>
        <v>0</v>
      </c>
      <c r="V168" s="398">
        <f t="shared" si="119"/>
        <v>0</v>
      </c>
      <c r="W168" s="399">
        <f t="shared" si="119"/>
        <v>0</v>
      </c>
      <c r="X168" s="398">
        <f t="shared" si="119"/>
        <v>0</v>
      </c>
      <c r="Y168" s="399">
        <f t="shared" si="119"/>
        <v>0</v>
      </c>
      <c r="Z168" s="432">
        <f t="shared" si="110"/>
        <v>0</v>
      </c>
      <c r="AA168" s="432">
        <f t="shared" si="111"/>
        <v>0</v>
      </c>
      <c r="AC168" s="395">
        <f t="shared" si="113"/>
        <v>0</v>
      </c>
      <c r="AD168" s="395">
        <f t="shared" si="114"/>
        <v>0</v>
      </c>
    </row>
    <row r="169" spans="1:30" ht="14.4" thickBot="1">
      <c r="A169" s="397" t="s">
        <v>883</v>
      </c>
      <c r="B169" s="398">
        <f t="shared" ref="B169:Y169" si="120">B107-B138</f>
        <v>0</v>
      </c>
      <c r="C169" s="399">
        <f t="shared" si="120"/>
        <v>0</v>
      </c>
      <c r="D169" s="398">
        <f t="shared" si="120"/>
        <v>0</v>
      </c>
      <c r="E169" s="398">
        <f t="shared" si="120"/>
        <v>0</v>
      </c>
      <c r="F169" s="398">
        <f t="shared" si="120"/>
        <v>0</v>
      </c>
      <c r="G169" s="398">
        <f t="shared" si="120"/>
        <v>0</v>
      </c>
      <c r="H169" s="398">
        <f t="shared" si="120"/>
        <v>0</v>
      </c>
      <c r="I169" s="398">
        <f t="shared" si="120"/>
        <v>0</v>
      </c>
      <c r="J169" s="398">
        <f t="shared" si="120"/>
        <v>0</v>
      </c>
      <c r="K169" s="399">
        <f t="shared" si="120"/>
        <v>0</v>
      </c>
      <c r="L169" s="398">
        <f t="shared" si="120"/>
        <v>0</v>
      </c>
      <c r="M169" s="399">
        <f t="shared" si="120"/>
        <v>0</v>
      </c>
      <c r="N169" s="398">
        <f t="shared" si="120"/>
        <v>0</v>
      </c>
      <c r="O169" s="399">
        <f t="shared" si="120"/>
        <v>0</v>
      </c>
      <c r="P169" s="398">
        <f t="shared" si="120"/>
        <v>0</v>
      </c>
      <c r="Q169" s="399">
        <f t="shared" si="120"/>
        <v>0</v>
      </c>
      <c r="R169" s="398">
        <f t="shared" si="120"/>
        <v>0</v>
      </c>
      <c r="S169" s="399">
        <f t="shared" si="120"/>
        <v>0</v>
      </c>
      <c r="T169" s="398">
        <f t="shared" si="120"/>
        <v>0</v>
      </c>
      <c r="U169" s="399">
        <f t="shared" si="120"/>
        <v>0</v>
      </c>
      <c r="V169" s="398">
        <f t="shared" si="120"/>
        <v>0</v>
      </c>
      <c r="W169" s="399">
        <f t="shared" si="120"/>
        <v>0</v>
      </c>
      <c r="X169" s="398">
        <f t="shared" si="120"/>
        <v>0</v>
      </c>
      <c r="Y169" s="399">
        <f t="shared" si="120"/>
        <v>0</v>
      </c>
      <c r="Z169" s="432">
        <f t="shared" si="110"/>
        <v>0</v>
      </c>
      <c r="AA169" s="432">
        <f t="shared" si="111"/>
        <v>0</v>
      </c>
      <c r="AC169" s="395">
        <f t="shared" si="113"/>
        <v>0</v>
      </c>
      <c r="AD169" s="395">
        <f t="shared" si="114"/>
        <v>0</v>
      </c>
    </row>
    <row r="170" spans="1:30" ht="14.4" thickBot="1">
      <c r="A170" s="397" t="s">
        <v>884</v>
      </c>
      <c r="B170" s="398">
        <f t="shared" ref="B170:Y170" si="121">B108-B139</f>
        <v>0</v>
      </c>
      <c r="C170" s="399">
        <f t="shared" si="121"/>
        <v>0</v>
      </c>
      <c r="D170" s="398">
        <f t="shared" si="121"/>
        <v>0</v>
      </c>
      <c r="E170" s="398">
        <f t="shared" si="121"/>
        <v>0</v>
      </c>
      <c r="F170" s="398">
        <f t="shared" si="121"/>
        <v>0</v>
      </c>
      <c r="G170" s="398">
        <f t="shared" si="121"/>
        <v>0</v>
      </c>
      <c r="H170" s="398">
        <f t="shared" si="121"/>
        <v>0</v>
      </c>
      <c r="I170" s="398">
        <f t="shared" si="121"/>
        <v>0</v>
      </c>
      <c r="J170" s="398">
        <f t="shared" si="121"/>
        <v>0</v>
      </c>
      <c r="K170" s="399">
        <f t="shared" si="121"/>
        <v>0</v>
      </c>
      <c r="L170" s="398">
        <f t="shared" si="121"/>
        <v>0</v>
      </c>
      <c r="M170" s="399">
        <f t="shared" si="121"/>
        <v>0</v>
      </c>
      <c r="N170" s="398">
        <f t="shared" si="121"/>
        <v>0</v>
      </c>
      <c r="O170" s="399">
        <f t="shared" si="121"/>
        <v>0</v>
      </c>
      <c r="P170" s="398">
        <f t="shared" si="121"/>
        <v>0</v>
      </c>
      <c r="Q170" s="399">
        <f t="shared" si="121"/>
        <v>0</v>
      </c>
      <c r="R170" s="398">
        <f t="shared" si="121"/>
        <v>0</v>
      </c>
      <c r="S170" s="399">
        <f t="shared" si="121"/>
        <v>0</v>
      </c>
      <c r="T170" s="398">
        <f t="shared" si="121"/>
        <v>0</v>
      </c>
      <c r="U170" s="399">
        <f t="shared" si="121"/>
        <v>0</v>
      </c>
      <c r="V170" s="398">
        <f t="shared" si="121"/>
        <v>0</v>
      </c>
      <c r="W170" s="399">
        <f t="shared" si="121"/>
        <v>0</v>
      </c>
      <c r="X170" s="398">
        <f t="shared" si="121"/>
        <v>0</v>
      </c>
      <c r="Y170" s="399">
        <f t="shared" si="121"/>
        <v>0</v>
      </c>
      <c r="Z170" s="432">
        <f t="shared" si="110"/>
        <v>0</v>
      </c>
      <c r="AA170" s="432">
        <f t="shared" si="111"/>
        <v>0</v>
      </c>
      <c r="AC170" s="395">
        <f t="shared" si="113"/>
        <v>0</v>
      </c>
      <c r="AD170" s="395">
        <f t="shared" si="114"/>
        <v>0</v>
      </c>
    </row>
    <row r="171" spans="1:30" ht="14.4" thickBot="1">
      <c r="A171" s="397" t="s">
        <v>885</v>
      </c>
      <c r="B171" s="398">
        <f t="shared" ref="B171:Y171" si="122">B109-B140</f>
        <v>0</v>
      </c>
      <c r="C171" s="399">
        <f t="shared" si="122"/>
        <v>0</v>
      </c>
      <c r="D171" s="398">
        <f t="shared" si="122"/>
        <v>0</v>
      </c>
      <c r="E171" s="398">
        <f t="shared" si="122"/>
        <v>0</v>
      </c>
      <c r="F171" s="398">
        <f t="shared" si="122"/>
        <v>0</v>
      </c>
      <c r="G171" s="398">
        <f t="shared" si="122"/>
        <v>0</v>
      </c>
      <c r="H171" s="398">
        <f t="shared" si="122"/>
        <v>0</v>
      </c>
      <c r="I171" s="398">
        <f t="shared" si="122"/>
        <v>0</v>
      </c>
      <c r="J171" s="398">
        <f t="shared" si="122"/>
        <v>0</v>
      </c>
      <c r="K171" s="399">
        <f t="shared" si="122"/>
        <v>0</v>
      </c>
      <c r="L171" s="398">
        <f t="shared" si="122"/>
        <v>0</v>
      </c>
      <c r="M171" s="399">
        <f t="shared" si="122"/>
        <v>0</v>
      </c>
      <c r="N171" s="398">
        <f t="shared" si="122"/>
        <v>0</v>
      </c>
      <c r="O171" s="399">
        <f t="shared" si="122"/>
        <v>0</v>
      </c>
      <c r="P171" s="398">
        <f t="shared" si="122"/>
        <v>0</v>
      </c>
      <c r="Q171" s="399">
        <f t="shared" si="122"/>
        <v>0</v>
      </c>
      <c r="R171" s="398">
        <f t="shared" si="122"/>
        <v>0</v>
      </c>
      <c r="S171" s="399">
        <f t="shared" si="122"/>
        <v>0</v>
      </c>
      <c r="T171" s="398">
        <f t="shared" si="122"/>
        <v>0</v>
      </c>
      <c r="U171" s="399">
        <f t="shared" si="122"/>
        <v>0</v>
      </c>
      <c r="V171" s="398">
        <f t="shared" si="122"/>
        <v>0</v>
      </c>
      <c r="W171" s="399">
        <f t="shared" si="122"/>
        <v>0</v>
      </c>
      <c r="X171" s="398">
        <f t="shared" si="122"/>
        <v>0</v>
      </c>
      <c r="Y171" s="399">
        <f t="shared" si="122"/>
        <v>0</v>
      </c>
      <c r="Z171" s="432">
        <f t="shared" si="110"/>
        <v>0</v>
      </c>
      <c r="AA171" s="432">
        <f t="shared" si="111"/>
        <v>0</v>
      </c>
      <c r="AC171" s="395">
        <f t="shared" si="113"/>
        <v>0</v>
      </c>
      <c r="AD171" s="395">
        <f t="shared" si="114"/>
        <v>0</v>
      </c>
    </row>
    <row r="172" spans="1:30" ht="14.4" thickBot="1">
      <c r="A172" s="433" t="s">
        <v>16</v>
      </c>
      <c r="B172" s="417">
        <f t="shared" ref="B172:AA172" si="123">SUM(B162:B171)</f>
        <v>0</v>
      </c>
      <c r="C172" s="419">
        <f t="shared" si="123"/>
        <v>0</v>
      </c>
      <c r="D172" s="417">
        <f t="shared" si="123"/>
        <v>0</v>
      </c>
      <c r="E172" s="419">
        <f t="shared" si="123"/>
        <v>0</v>
      </c>
      <c r="F172" s="417">
        <f t="shared" si="123"/>
        <v>0</v>
      </c>
      <c r="G172" s="419">
        <f t="shared" si="123"/>
        <v>0</v>
      </c>
      <c r="H172" s="417">
        <f t="shared" si="123"/>
        <v>0</v>
      </c>
      <c r="I172" s="419">
        <f t="shared" si="123"/>
        <v>0</v>
      </c>
      <c r="J172" s="417">
        <f t="shared" si="123"/>
        <v>0</v>
      </c>
      <c r="K172" s="419">
        <f t="shared" si="123"/>
        <v>0</v>
      </c>
      <c r="L172" s="417">
        <f t="shared" si="123"/>
        <v>0</v>
      </c>
      <c r="M172" s="419">
        <f t="shared" si="123"/>
        <v>0</v>
      </c>
      <c r="N172" s="417">
        <f t="shared" si="123"/>
        <v>0</v>
      </c>
      <c r="O172" s="419">
        <f t="shared" si="123"/>
        <v>0</v>
      </c>
      <c r="P172" s="417">
        <f t="shared" si="123"/>
        <v>0</v>
      </c>
      <c r="Q172" s="419">
        <f t="shared" si="123"/>
        <v>0</v>
      </c>
      <c r="R172" s="417">
        <f t="shared" si="123"/>
        <v>0</v>
      </c>
      <c r="S172" s="419">
        <f t="shared" si="123"/>
        <v>0</v>
      </c>
      <c r="T172" s="417">
        <f t="shared" si="123"/>
        <v>0</v>
      </c>
      <c r="U172" s="419">
        <f t="shared" si="123"/>
        <v>0</v>
      </c>
      <c r="V172" s="417">
        <f t="shared" si="123"/>
        <v>0</v>
      </c>
      <c r="W172" s="419">
        <f t="shared" si="123"/>
        <v>0</v>
      </c>
      <c r="X172" s="417">
        <f t="shared" si="123"/>
        <v>0</v>
      </c>
      <c r="Y172" s="419">
        <f t="shared" si="123"/>
        <v>0</v>
      </c>
      <c r="Z172" s="434">
        <f t="shared" si="123"/>
        <v>0</v>
      </c>
      <c r="AA172" s="434">
        <f t="shared" si="123"/>
        <v>0</v>
      </c>
      <c r="AC172" s="395">
        <f t="shared" si="113"/>
        <v>0</v>
      </c>
      <c r="AD172" s="395">
        <f t="shared" si="114"/>
        <v>0</v>
      </c>
    </row>
    <row r="173" spans="1:30">
      <c r="AD173" s="395"/>
    </row>
    <row r="174" spans="1:30" ht="18.600000000000001" thickBot="1">
      <c r="A174" s="394">
        <f>A143</f>
        <v>2024</v>
      </c>
    </row>
    <row r="175" spans="1:30">
      <c r="A175" s="2815" t="s">
        <v>308</v>
      </c>
      <c r="B175" s="2827" t="s">
        <v>71</v>
      </c>
      <c r="C175" s="2828"/>
      <c r="D175" s="2829" t="s">
        <v>72</v>
      </c>
      <c r="E175" s="2830"/>
      <c r="F175" s="2817" t="s">
        <v>73</v>
      </c>
      <c r="G175" s="2818"/>
      <c r="H175" s="2819" t="s">
        <v>74</v>
      </c>
      <c r="I175" s="2820"/>
      <c r="J175" s="2821" t="s">
        <v>75</v>
      </c>
      <c r="K175" s="2822"/>
      <c r="L175" s="2823" t="s">
        <v>76</v>
      </c>
      <c r="M175" s="2824"/>
      <c r="N175" s="2827" t="s">
        <v>77</v>
      </c>
      <c r="O175" s="2828"/>
      <c r="P175" s="2829" t="s">
        <v>78</v>
      </c>
      <c r="Q175" s="2830"/>
      <c r="R175" s="2817" t="s">
        <v>79</v>
      </c>
      <c r="S175" s="2818"/>
      <c r="T175" s="2819" t="s">
        <v>80</v>
      </c>
      <c r="U175" s="2820"/>
      <c r="V175" s="2821" t="s">
        <v>81</v>
      </c>
      <c r="W175" s="2822"/>
      <c r="X175" s="2823" t="s">
        <v>82</v>
      </c>
      <c r="Y175" s="2824"/>
      <c r="Z175" s="2825" t="s">
        <v>83</v>
      </c>
      <c r="AA175" s="2826"/>
      <c r="AB175" s="634"/>
    </row>
    <row r="176" spans="1:30" ht="14.4" thickBot="1">
      <c r="A176" s="2816"/>
      <c r="B176" s="402" t="s">
        <v>198</v>
      </c>
      <c r="C176" s="403" t="s">
        <v>199</v>
      </c>
      <c r="D176" s="402" t="s">
        <v>198</v>
      </c>
      <c r="E176" s="403" t="s">
        <v>199</v>
      </c>
      <c r="F176" s="402" t="s">
        <v>198</v>
      </c>
      <c r="G176" s="403" t="s">
        <v>199</v>
      </c>
      <c r="H176" s="402" t="s">
        <v>198</v>
      </c>
      <c r="I176" s="403" t="s">
        <v>199</v>
      </c>
      <c r="J176" s="402" t="s">
        <v>198</v>
      </c>
      <c r="K176" s="403" t="s">
        <v>199</v>
      </c>
      <c r="L176" s="402" t="s">
        <v>198</v>
      </c>
      <c r="M176" s="403" t="s">
        <v>199</v>
      </c>
      <c r="N176" s="402" t="s">
        <v>198</v>
      </c>
      <c r="O176" s="403" t="s">
        <v>199</v>
      </c>
      <c r="P176" s="402" t="s">
        <v>198</v>
      </c>
      <c r="Q176" s="403" t="s">
        <v>199</v>
      </c>
      <c r="R176" s="402" t="s">
        <v>198</v>
      </c>
      <c r="S176" s="403" t="s">
        <v>199</v>
      </c>
      <c r="T176" s="402" t="s">
        <v>198</v>
      </c>
      <c r="U176" s="403" t="s">
        <v>199</v>
      </c>
      <c r="V176" s="1107" t="s">
        <v>198</v>
      </c>
      <c r="W176" s="403" t="s">
        <v>199</v>
      </c>
      <c r="X176" s="402" t="s">
        <v>198</v>
      </c>
      <c r="Y176" s="403" t="s">
        <v>199</v>
      </c>
      <c r="Z176" s="403" t="s">
        <v>198</v>
      </c>
      <c r="AA176" s="403" t="s">
        <v>199</v>
      </c>
      <c r="AC176" s="117" t="s">
        <v>198</v>
      </c>
      <c r="AD176" s="117" t="s">
        <v>199</v>
      </c>
    </row>
    <row r="177" spans="1:30" ht="14.4" thickBot="1">
      <c r="A177" s="397" t="s">
        <v>6</v>
      </c>
      <c r="B177" s="398">
        <f t="shared" ref="B177:Y177" si="124">B115-B146</f>
        <v>0</v>
      </c>
      <c r="C177" s="399">
        <f t="shared" si="124"/>
        <v>0</v>
      </c>
      <c r="D177" s="398">
        <f t="shared" si="124"/>
        <v>0</v>
      </c>
      <c r="E177" s="398">
        <f t="shared" si="124"/>
        <v>0</v>
      </c>
      <c r="F177" s="398">
        <f t="shared" ref="F177:G186" si="125">F115-F146</f>
        <v>0</v>
      </c>
      <c r="G177" s="398">
        <f t="shared" si="125"/>
        <v>0</v>
      </c>
      <c r="H177" s="398">
        <f t="shared" si="124"/>
        <v>0</v>
      </c>
      <c r="I177" s="398">
        <f t="shared" si="124"/>
        <v>0</v>
      </c>
      <c r="J177" s="398">
        <f t="shared" si="124"/>
        <v>0</v>
      </c>
      <c r="K177" s="399">
        <f t="shared" si="124"/>
        <v>0</v>
      </c>
      <c r="L177" s="398">
        <f t="shared" si="124"/>
        <v>0</v>
      </c>
      <c r="M177" s="399">
        <f t="shared" si="124"/>
        <v>0</v>
      </c>
      <c r="N177" s="398">
        <f t="shared" si="124"/>
        <v>0</v>
      </c>
      <c r="O177" s="399">
        <f t="shared" si="124"/>
        <v>0</v>
      </c>
      <c r="P177" s="398">
        <f t="shared" si="124"/>
        <v>0</v>
      </c>
      <c r="Q177" s="399">
        <f t="shared" si="124"/>
        <v>0</v>
      </c>
      <c r="R177" s="398">
        <f t="shared" si="124"/>
        <v>0</v>
      </c>
      <c r="S177" s="399">
        <f t="shared" si="124"/>
        <v>0</v>
      </c>
      <c r="T177" s="398">
        <f t="shared" si="124"/>
        <v>0</v>
      </c>
      <c r="U177" s="399">
        <f t="shared" si="124"/>
        <v>0</v>
      </c>
      <c r="V177" s="398">
        <f t="shared" si="124"/>
        <v>0</v>
      </c>
      <c r="W177" s="399">
        <f t="shared" si="124"/>
        <v>0</v>
      </c>
      <c r="X177" s="398">
        <f t="shared" si="124"/>
        <v>0</v>
      </c>
      <c r="Y177" s="399">
        <f t="shared" si="124"/>
        <v>0</v>
      </c>
      <c r="Z177" s="432">
        <f t="shared" ref="Z177:Z186" si="126">B177+D177+F177+H177+J177+L177+N177+P177+R177+T177+V177+X177</f>
        <v>0</v>
      </c>
      <c r="AA177" s="432">
        <f>C177+E177+G177+I177+K177+M177+O177+Q177+S177+U177+W177+Y177</f>
        <v>0</v>
      </c>
      <c r="AB177" s="634"/>
      <c r="AC177" s="395">
        <f>P177</f>
        <v>0</v>
      </c>
      <c r="AD177" s="395">
        <f>Q177</f>
        <v>0</v>
      </c>
    </row>
    <row r="178" spans="1:30" ht="14.4" thickBot="1">
      <c r="A178" s="397" t="s">
        <v>7</v>
      </c>
      <c r="B178" s="398">
        <f t="shared" ref="B178:Y178" si="127">B116-B147</f>
        <v>0</v>
      </c>
      <c r="C178" s="399">
        <f t="shared" si="127"/>
        <v>0</v>
      </c>
      <c r="D178" s="398">
        <f t="shared" si="127"/>
        <v>0</v>
      </c>
      <c r="E178" s="398">
        <f t="shared" si="127"/>
        <v>0</v>
      </c>
      <c r="F178" s="398">
        <f t="shared" si="125"/>
        <v>0</v>
      </c>
      <c r="G178" s="398">
        <f t="shared" si="125"/>
        <v>0</v>
      </c>
      <c r="H178" s="398">
        <f t="shared" si="127"/>
        <v>0</v>
      </c>
      <c r="I178" s="398">
        <f t="shared" si="127"/>
        <v>0</v>
      </c>
      <c r="J178" s="398">
        <f t="shared" si="127"/>
        <v>0</v>
      </c>
      <c r="K178" s="399">
        <f t="shared" si="127"/>
        <v>0</v>
      </c>
      <c r="L178" s="398">
        <f t="shared" si="127"/>
        <v>0</v>
      </c>
      <c r="M178" s="399">
        <f t="shared" si="127"/>
        <v>0</v>
      </c>
      <c r="N178" s="398">
        <f t="shared" si="127"/>
        <v>0</v>
      </c>
      <c r="O178" s="399">
        <f t="shared" si="127"/>
        <v>0</v>
      </c>
      <c r="P178" s="398">
        <f t="shared" si="127"/>
        <v>0</v>
      </c>
      <c r="Q178" s="399">
        <f t="shared" si="127"/>
        <v>0</v>
      </c>
      <c r="R178" s="398">
        <f t="shared" si="127"/>
        <v>0</v>
      </c>
      <c r="S178" s="399">
        <f t="shared" si="127"/>
        <v>0</v>
      </c>
      <c r="T178" s="398">
        <f t="shared" si="127"/>
        <v>0</v>
      </c>
      <c r="U178" s="399">
        <f t="shared" si="127"/>
        <v>0</v>
      </c>
      <c r="V178" s="398">
        <f t="shared" si="127"/>
        <v>0</v>
      </c>
      <c r="W178" s="399">
        <f t="shared" si="127"/>
        <v>0</v>
      </c>
      <c r="X178" s="398">
        <f t="shared" si="127"/>
        <v>0</v>
      </c>
      <c r="Y178" s="399">
        <f t="shared" si="127"/>
        <v>0</v>
      </c>
      <c r="Z178" s="432">
        <f t="shared" si="126"/>
        <v>0</v>
      </c>
      <c r="AA178" s="432">
        <f t="shared" ref="AA178:AA186" si="128">C178+E178+G178+I178+K178+M178+O178+Q178+S178+U178+W178+Y178</f>
        <v>0</v>
      </c>
      <c r="AC178" s="395">
        <f t="shared" ref="AC178:AC187" si="129">P178</f>
        <v>0</v>
      </c>
      <c r="AD178" s="395">
        <f t="shared" ref="AD178:AD187" si="130">Q178</f>
        <v>0</v>
      </c>
    </row>
    <row r="179" spans="1:30" ht="14.4" thickBot="1">
      <c r="A179" s="397" t="s">
        <v>8</v>
      </c>
      <c r="B179" s="398">
        <f t="shared" ref="B179:Y179" si="131">B117-B148</f>
        <v>0</v>
      </c>
      <c r="C179" s="399">
        <f t="shared" si="131"/>
        <v>0</v>
      </c>
      <c r="D179" s="398">
        <f t="shared" si="131"/>
        <v>0</v>
      </c>
      <c r="E179" s="398">
        <f t="shared" si="131"/>
        <v>0</v>
      </c>
      <c r="F179" s="398">
        <f t="shared" si="125"/>
        <v>0</v>
      </c>
      <c r="G179" s="398">
        <f t="shared" si="125"/>
        <v>0</v>
      </c>
      <c r="H179" s="398">
        <f t="shared" si="131"/>
        <v>0</v>
      </c>
      <c r="I179" s="398">
        <f t="shared" si="131"/>
        <v>0</v>
      </c>
      <c r="J179" s="398">
        <f t="shared" si="131"/>
        <v>0</v>
      </c>
      <c r="K179" s="399">
        <f t="shared" si="131"/>
        <v>0</v>
      </c>
      <c r="L179" s="398">
        <f t="shared" si="131"/>
        <v>0</v>
      </c>
      <c r="M179" s="399">
        <f t="shared" si="131"/>
        <v>0</v>
      </c>
      <c r="N179" s="398">
        <f t="shared" si="131"/>
        <v>0</v>
      </c>
      <c r="O179" s="399">
        <f t="shared" si="131"/>
        <v>0</v>
      </c>
      <c r="P179" s="398">
        <f t="shared" si="131"/>
        <v>0</v>
      </c>
      <c r="Q179" s="399">
        <f t="shared" si="131"/>
        <v>0</v>
      </c>
      <c r="R179" s="398">
        <f t="shared" si="131"/>
        <v>0</v>
      </c>
      <c r="S179" s="399">
        <f t="shared" si="131"/>
        <v>0</v>
      </c>
      <c r="T179" s="398">
        <f t="shared" si="131"/>
        <v>0</v>
      </c>
      <c r="U179" s="399">
        <f t="shared" si="131"/>
        <v>0</v>
      </c>
      <c r="V179" s="398">
        <f t="shared" si="131"/>
        <v>0</v>
      </c>
      <c r="W179" s="399">
        <f t="shared" si="131"/>
        <v>0</v>
      </c>
      <c r="X179" s="398">
        <f t="shared" si="131"/>
        <v>0</v>
      </c>
      <c r="Y179" s="399">
        <f t="shared" si="131"/>
        <v>0</v>
      </c>
      <c r="Z179" s="432">
        <f t="shared" si="126"/>
        <v>0</v>
      </c>
      <c r="AA179" s="432">
        <f t="shared" si="128"/>
        <v>0</v>
      </c>
      <c r="AB179" s="634"/>
      <c r="AC179" s="395">
        <f t="shared" si="129"/>
        <v>0</v>
      </c>
      <c r="AD179" s="395">
        <f t="shared" si="130"/>
        <v>0</v>
      </c>
    </row>
    <row r="180" spans="1:30" ht="14.4" thickBot="1">
      <c r="A180" s="397" t="s">
        <v>4</v>
      </c>
      <c r="B180" s="398">
        <f t="shared" ref="B180:Y180" si="132">B118-B149</f>
        <v>0</v>
      </c>
      <c r="C180" s="399">
        <f t="shared" si="132"/>
        <v>0</v>
      </c>
      <c r="D180" s="398">
        <f t="shared" si="132"/>
        <v>0</v>
      </c>
      <c r="E180" s="398">
        <f t="shared" si="132"/>
        <v>0</v>
      </c>
      <c r="F180" s="398">
        <f t="shared" si="125"/>
        <v>0</v>
      </c>
      <c r="G180" s="398">
        <f t="shared" si="125"/>
        <v>0</v>
      </c>
      <c r="H180" s="398">
        <f t="shared" si="132"/>
        <v>0</v>
      </c>
      <c r="I180" s="398">
        <f t="shared" si="132"/>
        <v>0</v>
      </c>
      <c r="J180" s="398">
        <f t="shared" si="132"/>
        <v>0</v>
      </c>
      <c r="K180" s="399">
        <f t="shared" si="132"/>
        <v>0</v>
      </c>
      <c r="L180" s="398">
        <f t="shared" si="132"/>
        <v>0</v>
      </c>
      <c r="M180" s="399">
        <f t="shared" si="132"/>
        <v>0</v>
      </c>
      <c r="N180" s="398">
        <f t="shared" si="132"/>
        <v>0</v>
      </c>
      <c r="O180" s="399">
        <f t="shared" si="132"/>
        <v>1</v>
      </c>
      <c r="P180" s="398">
        <f t="shared" si="132"/>
        <v>0</v>
      </c>
      <c r="Q180" s="399">
        <f t="shared" si="132"/>
        <v>0</v>
      </c>
      <c r="R180" s="398">
        <f t="shared" si="132"/>
        <v>0</v>
      </c>
      <c r="S180" s="399">
        <f t="shared" si="132"/>
        <v>0</v>
      </c>
      <c r="T180" s="398">
        <f t="shared" si="132"/>
        <v>0</v>
      </c>
      <c r="U180" s="399">
        <f t="shared" si="132"/>
        <v>0</v>
      </c>
      <c r="V180" s="398">
        <f t="shared" si="132"/>
        <v>0</v>
      </c>
      <c r="W180" s="399">
        <f t="shared" si="132"/>
        <v>0</v>
      </c>
      <c r="X180" s="398">
        <f t="shared" si="132"/>
        <v>0</v>
      </c>
      <c r="Y180" s="399">
        <f t="shared" si="132"/>
        <v>0</v>
      </c>
      <c r="Z180" s="432">
        <f t="shared" si="126"/>
        <v>0</v>
      </c>
      <c r="AA180" s="432">
        <f t="shared" si="128"/>
        <v>1</v>
      </c>
      <c r="AC180" s="395">
        <f t="shared" si="129"/>
        <v>0</v>
      </c>
      <c r="AD180" s="395">
        <f t="shared" si="130"/>
        <v>0</v>
      </c>
    </row>
    <row r="181" spans="1:30" ht="14.4" thickBot="1">
      <c r="A181" s="397" t="s">
        <v>3</v>
      </c>
      <c r="B181" s="398">
        <f t="shared" ref="B181:Y181" si="133">B119-B150</f>
        <v>0</v>
      </c>
      <c r="C181" s="399">
        <f t="shared" si="133"/>
        <v>0</v>
      </c>
      <c r="D181" s="398">
        <f t="shared" si="133"/>
        <v>0</v>
      </c>
      <c r="E181" s="398">
        <f t="shared" si="133"/>
        <v>0</v>
      </c>
      <c r="F181" s="398">
        <f t="shared" si="125"/>
        <v>0</v>
      </c>
      <c r="G181" s="398">
        <f t="shared" si="125"/>
        <v>0</v>
      </c>
      <c r="H181" s="398">
        <f t="shared" si="133"/>
        <v>0</v>
      </c>
      <c r="I181" s="398">
        <f t="shared" si="133"/>
        <v>0</v>
      </c>
      <c r="J181" s="398">
        <f t="shared" si="133"/>
        <v>0</v>
      </c>
      <c r="K181" s="399">
        <f t="shared" si="133"/>
        <v>0</v>
      </c>
      <c r="L181" s="398">
        <f t="shared" si="133"/>
        <v>0</v>
      </c>
      <c r="M181" s="399">
        <f t="shared" si="133"/>
        <v>0</v>
      </c>
      <c r="N181" s="398">
        <f t="shared" si="133"/>
        <v>0</v>
      </c>
      <c r="O181" s="399">
        <f t="shared" si="133"/>
        <v>0</v>
      </c>
      <c r="P181" s="398">
        <f t="shared" si="133"/>
        <v>0</v>
      </c>
      <c r="Q181" s="399">
        <f t="shared" si="133"/>
        <v>0</v>
      </c>
      <c r="R181" s="398">
        <f t="shared" si="133"/>
        <v>0</v>
      </c>
      <c r="S181" s="399">
        <f t="shared" si="133"/>
        <v>0</v>
      </c>
      <c r="T181" s="398">
        <f t="shared" si="133"/>
        <v>0</v>
      </c>
      <c r="U181" s="399">
        <f t="shared" si="133"/>
        <v>0</v>
      </c>
      <c r="V181" s="398">
        <f t="shared" si="133"/>
        <v>0</v>
      </c>
      <c r="W181" s="399">
        <f t="shared" si="133"/>
        <v>0</v>
      </c>
      <c r="X181" s="398">
        <f t="shared" si="133"/>
        <v>0</v>
      </c>
      <c r="Y181" s="399">
        <f t="shared" si="133"/>
        <v>0</v>
      </c>
      <c r="Z181" s="432">
        <f t="shared" si="126"/>
        <v>0</v>
      </c>
      <c r="AA181" s="432">
        <f t="shared" si="128"/>
        <v>0</v>
      </c>
      <c r="AB181" s="634"/>
      <c r="AC181" s="395">
        <f t="shared" si="129"/>
        <v>0</v>
      </c>
      <c r="AD181" s="395">
        <f t="shared" si="130"/>
        <v>0</v>
      </c>
    </row>
    <row r="182" spans="1:30" ht="14.4" thickBot="1">
      <c r="A182" s="397" t="s">
        <v>397</v>
      </c>
      <c r="B182" s="398">
        <f t="shared" ref="B182:Y182" si="134">B120-B151</f>
        <v>0</v>
      </c>
      <c r="C182" s="399">
        <f t="shared" si="134"/>
        <v>0</v>
      </c>
      <c r="D182" s="398">
        <f t="shared" si="134"/>
        <v>0</v>
      </c>
      <c r="E182" s="398">
        <f t="shared" si="134"/>
        <v>0</v>
      </c>
      <c r="F182" s="398">
        <f t="shared" si="125"/>
        <v>0</v>
      </c>
      <c r="G182" s="398">
        <f t="shared" si="125"/>
        <v>0</v>
      </c>
      <c r="H182" s="398">
        <f t="shared" si="134"/>
        <v>0</v>
      </c>
      <c r="I182" s="398">
        <f t="shared" si="134"/>
        <v>0</v>
      </c>
      <c r="J182" s="398">
        <f t="shared" si="134"/>
        <v>0</v>
      </c>
      <c r="K182" s="399">
        <f t="shared" si="134"/>
        <v>0</v>
      </c>
      <c r="L182" s="398">
        <f t="shared" si="134"/>
        <v>0</v>
      </c>
      <c r="M182" s="399">
        <f t="shared" si="134"/>
        <v>0</v>
      </c>
      <c r="N182" s="398">
        <f t="shared" si="134"/>
        <v>0</v>
      </c>
      <c r="O182" s="399">
        <f t="shared" si="134"/>
        <v>0</v>
      </c>
      <c r="P182" s="398">
        <f t="shared" si="134"/>
        <v>0</v>
      </c>
      <c r="Q182" s="399">
        <f t="shared" si="134"/>
        <v>0</v>
      </c>
      <c r="R182" s="398">
        <f t="shared" si="134"/>
        <v>0</v>
      </c>
      <c r="S182" s="399">
        <f t="shared" si="134"/>
        <v>0</v>
      </c>
      <c r="T182" s="398">
        <f t="shared" si="134"/>
        <v>0</v>
      </c>
      <c r="U182" s="399">
        <f t="shared" si="134"/>
        <v>0</v>
      </c>
      <c r="V182" s="398">
        <f t="shared" si="134"/>
        <v>0</v>
      </c>
      <c r="W182" s="399">
        <f t="shared" si="134"/>
        <v>0</v>
      </c>
      <c r="X182" s="398">
        <f t="shared" si="134"/>
        <v>0</v>
      </c>
      <c r="Y182" s="399">
        <f t="shared" si="134"/>
        <v>0</v>
      </c>
      <c r="Z182" s="432">
        <f t="shared" si="126"/>
        <v>0</v>
      </c>
      <c r="AA182" s="432">
        <f t="shared" si="128"/>
        <v>0</v>
      </c>
      <c r="AB182" s="634"/>
      <c r="AC182" s="395">
        <f t="shared" si="129"/>
        <v>0</v>
      </c>
      <c r="AD182" s="395">
        <f t="shared" si="130"/>
        <v>0</v>
      </c>
    </row>
    <row r="183" spans="1:30" ht="14.4" thickBot="1">
      <c r="A183" s="397" t="s">
        <v>399</v>
      </c>
      <c r="B183" s="398">
        <f t="shared" ref="B183:Y183" si="135">B121-B152</f>
        <v>0</v>
      </c>
      <c r="C183" s="399">
        <f t="shared" si="135"/>
        <v>0</v>
      </c>
      <c r="D183" s="398">
        <f t="shared" si="135"/>
        <v>0</v>
      </c>
      <c r="E183" s="398">
        <f t="shared" si="135"/>
        <v>0</v>
      </c>
      <c r="F183" s="398">
        <f t="shared" si="125"/>
        <v>0</v>
      </c>
      <c r="G183" s="398">
        <f t="shared" si="125"/>
        <v>0</v>
      </c>
      <c r="H183" s="398">
        <f t="shared" si="135"/>
        <v>0</v>
      </c>
      <c r="I183" s="398">
        <f t="shared" si="135"/>
        <v>0</v>
      </c>
      <c r="J183" s="398">
        <f t="shared" si="135"/>
        <v>0</v>
      </c>
      <c r="K183" s="399">
        <f t="shared" si="135"/>
        <v>0</v>
      </c>
      <c r="L183" s="398">
        <f t="shared" si="135"/>
        <v>0</v>
      </c>
      <c r="M183" s="399">
        <f t="shared" si="135"/>
        <v>0</v>
      </c>
      <c r="N183" s="398">
        <f t="shared" si="135"/>
        <v>0</v>
      </c>
      <c r="O183" s="399">
        <f t="shared" si="135"/>
        <v>0</v>
      </c>
      <c r="P183" s="398">
        <f t="shared" si="135"/>
        <v>0</v>
      </c>
      <c r="Q183" s="399">
        <f t="shared" si="135"/>
        <v>0</v>
      </c>
      <c r="R183" s="398">
        <f t="shared" si="135"/>
        <v>0</v>
      </c>
      <c r="S183" s="399">
        <f t="shared" si="135"/>
        <v>0</v>
      </c>
      <c r="T183" s="398">
        <f t="shared" si="135"/>
        <v>0</v>
      </c>
      <c r="U183" s="399">
        <f t="shared" si="135"/>
        <v>0</v>
      </c>
      <c r="V183" s="398">
        <f t="shared" si="135"/>
        <v>0</v>
      </c>
      <c r="W183" s="399">
        <f t="shared" si="135"/>
        <v>0</v>
      </c>
      <c r="X183" s="398">
        <f t="shared" si="135"/>
        <v>0</v>
      </c>
      <c r="Y183" s="399">
        <f t="shared" si="135"/>
        <v>0</v>
      </c>
      <c r="Z183" s="432">
        <f t="shared" si="126"/>
        <v>0</v>
      </c>
      <c r="AA183" s="432">
        <f t="shared" si="128"/>
        <v>0</v>
      </c>
      <c r="AC183" s="395">
        <f t="shared" si="129"/>
        <v>0</v>
      </c>
      <c r="AD183" s="395">
        <f t="shared" si="130"/>
        <v>0</v>
      </c>
    </row>
    <row r="184" spans="1:30" ht="14.4" thickBot="1">
      <c r="A184" s="397" t="s">
        <v>883</v>
      </c>
      <c r="B184" s="398">
        <f t="shared" ref="B184:Y184" si="136">B122-B153</f>
        <v>0</v>
      </c>
      <c r="C184" s="399">
        <f t="shared" si="136"/>
        <v>0</v>
      </c>
      <c r="D184" s="398">
        <f t="shared" si="136"/>
        <v>0</v>
      </c>
      <c r="E184" s="398">
        <f t="shared" si="136"/>
        <v>0</v>
      </c>
      <c r="F184" s="398">
        <f t="shared" si="125"/>
        <v>0</v>
      </c>
      <c r="G184" s="398">
        <f t="shared" si="125"/>
        <v>0</v>
      </c>
      <c r="H184" s="398">
        <f t="shared" si="136"/>
        <v>0</v>
      </c>
      <c r="I184" s="398">
        <f t="shared" si="136"/>
        <v>0</v>
      </c>
      <c r="J184" s="398">
        <f t="shared" si="136"/>
        <v>0</v>
      </c>
      <c r="K184" s="399">
        <f t="shared" si="136"/>
        <v>0</v>
      </c>
      <c r="L184" s="398">
        <f t="shared" si="136"/>
        <v>0</v>
      </c>
      <c r="M184" s="399">
        <f t="shared" si="136"/>
        <v>0</v>
      </c>
      <c r="N184" s="398">
        <f t="shared" si="136"/>
        <v>0</v>
      </c>
      <c r="O184" s="399">
        <f t="shared" si="136"/>
        <v>0</v>
      </c>
      <c r="P184" s="398">
        <f t="shared" si="136"/>
        <v>0</v>
      </c>
      <c r="Q184" s="399">
        <f t="shared" si="136"/>
        <v>0</v>
      </c>
      <c r="R184" s="398">
        <f t="shared" si="136"/>
        <v>0</v>
      </c>
      <c r="S184" s="399">
        <f t="shared" si="136"/>
        <v>0</v>
      </c>
      <c r="T184" s="398">
        <f t="shared" si="136"/>
        <v>0</v>
      </c>
      <c r="U184" s="399">
        <f t="shared" si="136"/>
        <v>0</v>
      </c>
      <c r="V184" s="398">
        <f t="shared" si="136"/>
        <v>0</v>
      </c>
      <c r="W184" s="399">
        <f t="shared" si="136"/>
        <v>0</v>
      </c>
      <c r="X184" s="398">
        <f t="shared" si="136"/>
        <v>0</v>
      </c>
      <c r="Y184" s="399">
        <f t="shared" si="136"/>
        <v>0</v>
      </c>
      <c r="Z184" s="432">
        <f t="shared" si="126"/>
        <v>0</v>
      </c>
      <c r="AA184" s="432">
        <f t="shared" si="128"/>
        <v>0</v>
      </c>
      <c r="AB184" s="634"/>
      <c r="AC184" s="395">
        <f t="shared" si="129"/>
        <v>0</v>
      </c>
      <c r="AD184" s="395">
        <f t="shared" si="130"/>
        <v>0</v>
      </c>
    </row>
    <row r="185" spans="1:30" ht="14.4" thickBot="1">
      <c r="A185" s="397" t="s">
        <v>884</v>
      </c>
      <c r="B185" s="398">
        <f t="shared" ref="B185:Y185" si="137">B123-B154</f>
        <v>0</v>
      </c>
      <c r="C185" s="399">
        <f t="shared" si="137"/>
        <v>0</v>
      </c>
      <c r="D185" s="398">
        <f t="shared" si="137"/>
        <v>0</v>
      </c>
      <c r="E185" s="398">
        <f t="shared" si="137"/>
        <v>0</v>
      </c>
      <c r="F185" s="398">
        <f t="shared" si="125"/>
        <v>0</v>
      </c>
      <c r="G185" s="398">
        <f t="shared" si="125"/>
        <v>0</v>
      </c>
      <c r="H185" s="398">
        <f t="shared" si="137"/>
        <v>0</v>
      </c>
      <c r="I185" s="398">
        <f t="shared" si="137"/>
        <v>0</v>
      </c>
      <c r="J185" s="398">
        <f t="shared" si="137"/>
        <v>0</v>
      </c>
      <c r="K185" s="399">
        <f t="shared" si="137"/>
        <v>0</v>
      </c>
      <c r="L185" s="398">
        <f t="shared" si="137"/>
        <v>0</v>
      </c>
      <c r="M185" s="399">
        <f t="shared" si="137"/>
        <v>0</v>
      </c>
      <c r="N185" s="398">
        <f t="shared" si="137"/>
        <v>0</v>
      </c>
      <c r="O185" s="399">
        <f t="shared" si="137"/>
        <v>0</v>
      </c>
      <c r="P185" s="398">
        <f t="shared" si="137"/>
        <v>0</v>
      </c>
      <c r="Q185" s="399">
        <f t="shared" si="137"/>
        <v>0</v>
      </c>
      <c r="R185" s="398">
        <f t="shared" si="137"/>
        <v>0</v>
      </c>
      <c r="S185" s="399">
        <f t="shared" si="137"/>
        <v>0</v>
      </c>
      <c r="T185" s="398">
        <f t="shared" si="137"/>
        <v>0</v>
      </c>
      <c r="U185" s="399">
        <f t="shared" si="137"/>
        <v>0</v>
      </c>
      <c r="V185" s="398">
        <f t="shared" si="137"/>
        <v>0</v>
      </c>
      <c r="W185" s="399">
        <f t="shared" si="137"/>
        <v>0</v>
      </c>
      <c r="X185" s="398">
        <f t="shared" si="137"/>
        <v>0</v>
      </c>
      <c r="Y185" s="399">
        <f t="shared" si="137"/>
        <v>0</v>
      </c>
      <c r="Z185" s="432">
        <f t="shared" si="126"/>
        <v>0</v>
      </c>
      <c r="AA185" s="432">
        <f t="shared" si="128"/>
        <v>0</v>
      </c>
      <c r="AC185" s="395">
        <f t="shared" si="129"/>
        <v>0</v>
      </c>
      <c r="AD185" s="395">
        <f t="shared" si="130"/>
        <v>0</v>
      </c>
    </row>
    <row r="186" spans="1:30" ht="14.4" thickBot="1">
      <c r="A186" s="397" t="s">
        <v>885</v>
      </c>
      <c r="B186" s="398">
        <f t="shared" ref="B186:Y186" si="138">B124-B155</f>
        <v>0</v>
      </c>
      <c r="C186" s="399">
        <f t="shared" si="138"/>
        <v>0</v>
      </c>
      <c r="D186" s="398">
        <f t="shared" si="138"/>
        <v>0</v>
      </c>
      <c r="E186" s="398">
        <f t="shared" si="138"/>
        <v>0</v>
      </c>
      <c r="F186" s="398">
        <f t="shared" si="125"/>
        <v>0</v>
      </c>
      <c r="G186" s="398">
        <f t="shared" si="125"/>
        <v>0</v>
      </c>
      <c r="H186" s="398">
        <f t="shared" si="138"/>
        <v>0</v>
      </c>
      <c r="I186" s="398">
        <f t="shared" si="138"/>
        <v>0</v>
      </c>
      <c r="J186" s="398">
        <f t="shared" si="138"/>
        <v>0</v>
      </c>
      <c r="K186" s="399">
        <f t="shared" si="138"/>
        <v>0</v>
      </c>
      <c r="L186" s="398">
        <f t="shared" si="138"/>
        <v>0</v>
      </c>
      <c r="M186" s="399">
        <f t="shared" si="138"/>
        <v>0</v>
      </c>
      <c r="N186" s="398">
        <f t="shared" si="138"/>
        <v>0</v>
      </c>
      <c r="O186" s="399">
        <f t="shared" si="138"/>
        <v>0</v>
      </c>
      <c r="P186" s="398">
        <f t="shared" si="138"/>
        <v>0</v>
      </c>
      <c r="Q186" s="399">
        <f t="shared" si="138"/>
        <v>0</v>
      </c>
      <c r="R186" s="398">
        <f t="shared" si="138"/>
        <v>0</v>
      </c>
      <c r="S186" s="399">
        <f t="shared" si="138"/>
        <v>0</v>
      </c>
      <c r="T186" s="398">
        <f t="shared" si="138"/>
        <v>0</v>
      </c>
      <c r="U186" s="399">
        <f t="shared" si="138"/>
        <v>0</v>
      </c>
      <c r="V186" s="398">
        <f t="shared" si="138"/>
        <v>0</v>
      </c>
      <c r="W186" s="399">
        <f t="shared" si="138"/>
        <v>0</v>
      </c>
      <c r="X186" s="398">
        <f t="shared" si="138"/>
        <v>0</v>
      </c>
      <c r="Y186" s="399">
        <f t="shared" si="138"/>
        <v>0</v>
      </c>
      <c r="Z186" s="432">
        <f t="shared" si="126"/>
        <v>0</v>
      </c>
      <c r="AA186" s="432">
        <f t="shared" si="128"/>
        <v>0</v>
      </c>
      <c r="AB186" s="634"/>
      <c r="AC186" s="395">
        <f t="shared" si="129"/>
        <v>0</v>
      </c>
      <c r="AD186" s="395">
        <f t="shared" si="130"/>
        <v>0</v>
      </c>
    </row>
    <row r="187" spans="1:30" ht="14.4" thickBot="1">
      <c r="A187" s="433" t="s">
        <v>16</v>
      </c>
      <c r="B187" s="417">
        <f t="shared" ref="B187:AA187" si="139">SUM(B177:B186)</f>
        <v>0</v>
      </c>
      <c r="C187" s="419">
        <f t="shared" si="139"/>
        <v>0</v>
      </c>
      <c r="D187" s="417">
        <f t="shared" si="139"/>
        <v>0</v>
      </c>
      <c r="E187" s="419">
        <f t="shared" si="139"/>
        <v>0</v>
      </c>
      <c r="F187" s="417">
        <f t="shared" si="139"/>
        <v>0</v>
      </c>
      <c r="G187" s="419">
        <f t="shared" si="139"/>
        <v>0</v>
      </c>
      <c r="H187" s="417">
        <f t="shared" si="139"/>
        <v>0</v>
      </c>
      <c r="I187" s="419">
        <f t="shared" si="139"/>
        <v>0</v>
      </c>
      <c r="J187" s="417">
        <f t="shared" si="139"/>
        <v>0</v>
      </c>
      <c r="K187" s="419">
        <f t="shared" si="139"/>
        <v>0</v>
      </c>
      <c r="L187" s="417">
        <f t="shared" si="139"/>
        <v>0</v>
      </c>
      <c r="M187" s="419">
        <f t="shared" si="139"/>
        <v>0</v>
      </c>
      <c r="N187" s="417">
        <f t="shared" si="139"/>
        <v>0</v>
      </c>
      <c r="O187" s="419">
        <f t="shared" si="139"/>
        <v>1</v>
      </c>
      <c r="P187" s="417">
        <f t="shared" si="139"/>
        <v>0</v>
      </c>
      <c r="Q187" s="419">
        <f t="shared" si="139"/>
        <v>0</v>
      </c>
      <c r="R187" s="417">
        <f t="shared" si="139"/>
        <v>0</v>
      </c>
      <c r="S187" s="419">
        <f t="shared" si="139"/>
        <v>0</v>
      </c>
      <c r="T187" s="417">
        <f t="shared" si="139"/>
        <v>0</v>
      </c>
      <c r="U187" s="419">
        <f t="shared" si="139"/>
        <v>0</v>
      </c>
      <c r="V187" s="417">
        <f t="shared" si="139"/>
        <v>0</v>
      </c>
      <c r="W187" s="419">
        <f t="shared" si="139"/>
        <v>0</v>
      </c>
      <c r="X187" s="417">
        <f t="shared" si="139"/>
        <v>0</v>
      </c>
      <c r="Y187" s="419">
        <f t="shared" si="139"/>
        <v>0</v>
      </c>
      <c r="Z187" s="434">
        <f t="shared" si="139"/>
        <v>0</v>
      </c>
      <c r="AA187" s="434">
        <f t="shared" si="139"/>
        <v>1</v>
      </c>
      <c r="AC187" s="395">
        <f t="shared" si="129"/>
        <v>0</v>
      </c>
      <c r="AD187" s="395">
        <f t="shared" si="130"/>
        <v>0</v>
      </c>
    </row>
  </sheetData>
  <mergeCells count="167">
    <mergeCell ref="R160:S160"/>
    <mergeCell ref="T160:U160"/>
    <mergeCell ref="V160:W160"/>
    <mergeCell ref="X160:Y160"/>
    <mergeCell ref="Z160:AA160"/>
    <mergeCell ref="A175:A176"/>
    <mergeCell ref="B175:C175"/>
    <mergeCell ref="D175:E175"/>
    <mergeCell ref="F175:G175"/>
    <mergeCell ref="H175:I175"/>
    <mergeCell ref="J175:K175"/>
    <mergeCell ref="L175:M175"/>
    <mergeCell ref="N175:O175"/>
    <mergeCell ref="P175:Q175"/>
    <mergeCell ref="R175:S175"/>
    <mergeCell ref="T175:U175"/>
    <mergeCell ref="V175:W175"/>
    <mergeCell ref="X175:Y175"/>
    <mergeCell ref="Z175:AA175"/>
    <mergeCell ref="A160:A161"/>
    <mergeCell ref="B160:C160"/>
    <mergeCell ref="D160:E160"/>
    <mergeCell ref="F160:G160"/>
    <mergeCell ref="H160:I160"/>
    <mergeCell ref="J160:K160"/>
    <mergeCell ref="L160:M160"/>
    <mergeCell ref="N160:O160"/>
    <mergeCell ref="P160:Q160"/>
    <mergeCell ref="T129:U129"/>
    <mergeCell ref="V129:W129"/>
    <mergeCell ref="X129:Y129"/>
    <mergeCell ref="Z129:AA129"/>
    <mergeCell ref="A144:A145"/>
    <mergeCell ref="B144:C144"/>
    <mergeCell ref="D144:E144"/>
    <mergeCell ref="F144:G144"/>
    <mergeCell ref="H144:I144"/>
    <mergeCell ref="J144:K144"/>
    <mergeCell ref="L144:M144"/>
    <mergeCell ref="N144:O144"/>
    <mergeCell ref="P144:Q144"/>
    <mergeCell ref="R144:S144"/>
    <mergeCell ref="T144:U144"/>
    <mergeCell ref="V144:W144"/>
    <mergeCell ref="X144:Y144"/>
    <mergeCell ref="Z144:AA144"/>
    <mergeCell ref="B129:C129"/>
    <mergeCell ref="D129:E129"/>
    <mergeCell ref="R81:S81"/>
    <mergeCell ref="T81:U81"/>
    <mergeCell ref="V81:W81"/>
    <mergeCell ref="X81:Y81"/>
    <mergeCell ref="Z81:AA81"/>
    <mergeCell ref="F129:G129"/>
    <mergeCell ref="H129:I129"/>
    <mergeCell ref="J129:K129"/>
    <mergeCell ref="L129:M129"/>
    <mergeCell ref="N129:O129"/>
    <mergeCell ref="P129:Q129"/>
    <mergeCell ref="R129:S129"/>
    <mergeCell ref="J98:K98"/>
    <mergeCell ref="L98:M98"/>
    <mergeCell ref="N98:O98"/>
    <mergeCell ref="P98:Q98"/>
    <mergeCell ref="H98:I98"/>
    <mergeCell ref="A81:A82"/>
    <mergeCell ref="B81:C81"/>
    <mergeCell ref="D81:E81"/>
    <mergeCell ref="F81:G81"/>
    <mergeCell ref="H81:I81"/>
    <mergeCell ref="J81:K81"/>
    <mergeCell ref="L81:M81"/>
    <mergeCell ref="N81:O81"/>
    <mergeCell ref="P81:Q81"/>
    <mergeCell ref="X3:Y3"/>
    <mergeCell ref="A18:A19"/>
    <mergeCell ref="B18:C18"/>
    <mergeCell ref="D18:E18"/>
    <mergeCell ref="F18:G18"/>
    <mergeCell ref="H18:I18"/>
    <mergeCell ref="J18:K18"/>
    <mergeCell ref="L18:M18"/>
    <mergeCell ref="N18:O18"/>
    <mergeCell ref="P18:Q18"/>
    <mergeCell ref="L3:M3"/>
    <mergeCell ref="N3:O3"/>
    <mergeCell ref="P3:Q3"/>
    <mergeCell ref="R3:S3"/>
    <mergeCell ref="T3:U3"/>
    <mergeCell ref="V3:W3"/>
    <mergeCell ref="A3:A4"/>
    <mergeCell ref="B3:C3"/>
    <mergeCell ref="D3:E3"/>
    <mergeCell ref="F3:G3"/>
    <mergeCell ref="H3:I3"/>
    <mergeCell ref="J3:K3"/>
    <mergeCell ref="R18:S18"/>
    <mergeCell ref="T18:U18"/>
    <mergeCell ref="V18:W18"/>
    <mergeCell ref="X18:Y18"/>
    <mergeCell ref="A35:A36"/>
    <mergeCell ref="B35:C35"/>
    <mergeCell ref="D35:E35"/>
    <mergeCell ref="F35:G35"/>
    <mergeCell ref="H35:I35"/>
    <mergeCell ref="J35:K35"/>
    <mergeCell ref="P50:Q50"/>
    <mergeCell ref="R50:S50"/>
    <mergeCell ref="T50:U50"/>
    <mergeCell ref="V50:W50"/>
    <mergeCell ref="X50:Y50"/>
    <mergeCell ref="Z50:AA50"/>
    <mergeCell ref="X35:Y35"/>
    <mergeCell ref="Z35:AA35"/>
    <mergeCell ref="A50:A51"/>
    <mergeCell ref="B50:C50"/>
    <mergeCell ref="D50:E50"/>
    <mergeCell ref="F50:G50"/>
    <mergeCell ref="H50:I50"/>
    <mergeCell ref="J50:K50"/>
    <mergeCell ref="L50:M50"/>
    <mergeCell ref="N50:O50"/>
    <mergeCell ref="L35:M35"/>
    <mergeCell ref="N35:O35"/>
    <mergeCell ref="P35:Q35"/>
    <mergeCell ref="R35:S35"/>
    <mergeCell ref="T35:U35"/>
    <mergeCell ref="V35:W35"/>
    <mergeCell ref="AG51:AH51"/>
    <mergeCell ref="A66:A67"/>
    <mergeCell ref="B66:C66"/>
    <mergeCell ref="D66:E66"/>
    <mergeCell ref="F66:G66"/>
    <mergeCell ref="H66:I66"/>
    <mergeCell ref="J66:K66"/>
    <mergeCell ref="L66:M66"/>
    <mergeCell ref="N66:O66"/>
    <mergeCell ref="P66:Q66"/>
    <mergeCell ref="V66:W66"/>
    <mergeCell ref="X66:Y66"/>
    <mergeCell ref="Z66:AA66"/>
    <mergeCell ref="R66:S66"/>
    <mergeCell ref="T66:U66"/>
    <mergeCell ref="A129:A130"/>
    <mergeCell ref="R98:S98"/>
    <mergeCell ref="T98:U98"/>
    <mergeCell ref="V98:W98"/>
    <mergeCell ref="X98:Y98"/>
    <mergeCell ref="Z98:AA98"/>
    <mergeCell ref="A113:A114"/>
    <mergeCell ref="B113:C113"/>
    <mergeCell ref="D113:E113"/>
    <mergeCell ref="F113:G113"/>
    <mergeCell ref="H113:I113"/>
    <mergeCell ref="J113:K113"/>
    <mergeCell ref="L113:M113"/>
    <mergeCell ref="N113:O113"/>
    <mergeCell ref="P113:Q113"/>
    <mergeCell ref="R113:S113"/>
    <mergeCell ref="T113:U113"/>
    <mergeCell ref="V113:W113"/>
    <mergeCell ref="X113:Y113"/>
    <mergeCell ref="Z113:AA113"/>
    <mergeCell ref="A98:A99"/>
    <mergeCell ref="B98:C98"/>
    <mergeCell ref="D98:E98"/>
    <mergeCell ref="F98:G98"/>
  </mergeCells>
  <pageMargins left="1.0629921259842521" right="0.15748031496062992" top="0.78740157480314965" bottom="1.7322834645669292" header="0.51181102362204722" footer="0.51181102362204722"/>
  <pageSetup paperSize="9" scale="65" orientation="landscape" horizontalDpi="4294967294" verticalDpi="4294967294" r:id="rId1"/>
  <headerFooter alignWithMargins="0"/>
  <colBreaks count="1" manualBreakCount="1">
    <brk id="29" max="1048575" man="1"/>
  </colBreaks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sheetPr>
    <tabColor indexed="47"/>
  </sheetPr>
  <dimension ref="A1:AO165"/>
  <sheetViews>
    <sheetView showGridLines="0" topLeftCell="A10" zoomScale="70" zoomScaleNormal="70" workbookViewId="0">
      <selection activeCell="U132" sqref="U132:U133"/>
    </sheetView>
  </sheetViews>
  <sheetFormatPr baseColWidth="10" defaultColWidth="7.6640625" defaultRowHeight="13.8"/>
  <cols>
    <col min="1" max="1" width="12.33203125" style="87" customWidth="1"/>
    <col min="2" max="2" width="14.88671875" style="87" customWidth="1"/>
    <col min="3" max="3" width="11.5546875" style="87" customWidth="1"/>
    <col min="4" max="4" width="18.88671875" style="87" customWidth="1"/>
    <col min="5" max="5" width="14.88671875" style="87" customWidth="1"/>
    <col min="6" max="6" width="16.6640625" style="87" customWidth="1"/>
    <col min="7" max="7" width="13.6640625" style="87" customWidth="1"/>
    <col min="8" max="8" width="12.44140625" style="87" customWidth="1"/>
    <col min="9" max="9" width="14.6640625" style="87" customWidth="1"/>
    <col min="10" max="10" width="14.88671875" style="87" bestFit="1" customWidth="1"/>
    <col min="11" max="11" width="13.88671875" style="87" customWidth="1"/>
    <col min="12" max="12" width="11.5546875" style="87" bestFit="1" customWidth="1"/>
    <col min="13" max="13" width="12" style="87" customWidth="1"/>
    <col min="14" max="14" width="13.5546875" style="87" bestFit="1" customWidth="1"/>
    <col min="15" max="15" width="14.44140625" style="87" customWidth="1"/>
    <col min="16" max="16" width="12.6640625" style="87" customWidth="1"/>
    <col min="17" max="17" width="13.44140625" style="87" customWidth="1"/>
    <col min="18" max="19" width="13.44140625" style="87" bestFit="1" customWidth="1"/>
    <col min="20" max="20" width="15.33203125" style="87" customWidth="1"/>
    <col min="21" max="21" width="14" style="87" bestFit="1" customWidth="1"/>
    <col min="22" max="22" width="9.44140625" style="87" customWidth="1"/>
    <col min="23" max="23" width="13.5546875" style="87" bestFit="1" customWidth="1"/>
    <col min="24" max="24" width="14.88671875" style="87" customWidth="1"/>
    <col min="25" max="26" width="13" style="87" bestFit="1" customWidth="1"/>
    <col min="27" max="27" width="16.109375" style="87" customWidth="1"/>
    <col min="28" max="28" width="12.33203125" style="87" customWidth="1"/>
    <col min="29" max="30" width="9.88671875" style="87" customWidth="1"/>
    <col min="31" max="31" width="12.44140625" style="87" customWidth="1"/>
    <col min="32" max="32" width="15.109375" style="87" customWidth="1"/>
    <col min="33" max="33" width="10.88671875" style="87" bestFit="1" customWidth="1"/>
    <col min="34" max="34" width="10.5546875" style="87" customWidth="1"/>
    <col min="35" max="35" width="15.109375" style="87" customWidth="1"/>
    <col min="36" max="36" width="9.88671875" style="87" customWidth="1"/>
    <col min="37" max="37" width="10.5546875" style="87" bestFit="1" customWidth="1"/>
    <col min="38" max="38" width="9.88671875" style="87" customWidth="1"/>
    <col min="39" max="39" width="12.33203125" style="87" bestFit="1" customWidth="1"/>
    <col min="40" max="41" width="9.88671875" style="87" customWidth="1"/>
    <col min="42" max="42" width="13.5546875" style="87" bestFit="1" customWidth="1"/>
    <col min="43" max="65" width="9.88671875" style="87" customWidth="1"/>
    <col min="66" max="16384" width="7.6640625" style="87"/>
  </cols>
  <sheetData>
    <row r="1" spans="1:41" ht="16.5" customHeight="1">
      <c r="A1" s="87">
        <f>100/12*4</f>
        <v>33.333333333333336</v>
      </c>
      <c r="J1" s="106"/>
      <c r="AO1" s="92"/>
    </row>
    <row r="2" spans="1:41" ht="26.25" customHeight="1" thickBot="1">
      <c r="A2" s="2910" t="s">
        <v>200</v>
      </c>
      <c r="B2" s="2910"/>
      <c r="C2" s="2910"/>
      <c r="D2" s="2910"/>
      <c r="E2" s="2910"/>
      <c r="F2" s="2910"/>
      <c r="G2" s="2910"/>
      <c r="H2" s="2910"/>
      <c r="I2" s="2910"/>
      <c r="J2" s="2910"/>
    </row>
    <row r="3" spans="1:41" ht="16.5" customHeight="1">
      <c r="A3" s="1878"/>
      <c r="B3" s="2911">
        <v>45139</v>
      </c>
      <c r="C3" s="2912"/>
      <c r="D3" s="2913"/>
      <c r="E3" s="2914">
        <v>45505</v>
      </c>
      <c r="F3" s="2915"/>
      <c r="G3" s="2916"/>
      <c r="H3" s="2917" t="s">
        <v>38</v>
      </c>
      <c r="I3" s="2918"/>
      <c r="J3" s="2919"/>
    </row>
    <row r="4" spans="1:41" ht="46.5" customHeight="1">
      <c r="A4" s="1878"/>
      <c r="B4" s="110" t="s">
        <v>52</v>
      </c>
      <c r="C4" s="111" t="s">
        <v>19</v>
      </c>
      <c r="D4" s="112" t="s">
        <v>198</v>
      </c>
      <c r="E4" s="110" t="s">
        <v>52</v>
      </c>
      <c r="F4" s="111" t="s">
        <v>19</v>
      </c>
      <c r="G4" s="112" t="s">
        <v>198</v>
      </c>
      <c r="H4" s="110" t="s">
        <v>52</v>
      </c>
      <c r="I4" s="111" t="s">
        <v>19</v>
      </c>
      <c r="J4" s="112" t="s">
        <v>198</v>
      </c>
      <c r="O4" s="202" t="s">
        <v>1027</v>
      </c>
    </row>
    <row r="5" spans="1:41" ht="15.6">
      <c r="A5" s="96" t="s">
        <v>6</v>
      </c>
      <c r="B5" s="1886">
        <f>élec!AY5</f>
        <v>375453</v>
      </c>
      <c r="C5" s="1887">
        <f>élec!AZ5</f>
        <v>2910</v>
      </c>
      <c r="D5" s="1888">
        <f>'HT-HP 2'!AA5</f>
        <v>4</v>
      </c>
      <c r="E5" s="1886">
        <f>élec!AY20</f>
        <v>392678</v>
      </c>
      <c r="F5" s="1887">
        <f>élec!AZ20</f>
        <v>3006</v>
      </c>
      <c r="G5" s="1887">
        <f>'HT-HP 2'!AA20</f>
        <v>4</v>
      </c>
      <c r="H5" s="1889">
        <f t="shared" ref="H5:J15" si="0">((E5-B5)/B5)*100</f>
        <v>4.5877912814653232</v>
      </c>
      <c r="I5" s="1890">
        <f t="shared" si="0"/>
        <v>3.2989690721649487</v>
      </c>
      <c r="J5" s="1891">
        <f t="shared" si="0"/>
        <v>0</v>
      </c>
      <c r="K5" s="106" t="s">
        <v>6</v>
      </c>
      <c r="L5" s="106">
        <f>E5+F5+G5</f>
        <v>395688</v>
      </c>
      <c r="O5" s="2141">
        <f>E31/E15*100</f>
        <v>63.131107133321919</v>
      </c>
    </row>
    <row r="6" spans="1:41" ht="15.6">
      <c r="A6" s="96" t="s">
        <v>7</v>
      </c>
      <c r="B6" s="1886">
        <f>élec!AY6</f>
        <v>232999</v>
      </c>
      <c r="C6" s="1887">
        <f>élec!AZ6</f>
        <v>1358</v>
      </c>
      <c r="D6" s="1888">
        <f>'HT-HP 2'!AA6</f>
        <v>4</v>
      </c>
      <c r="E6" s="1886">
        <f>élec!AY21</f>
        <v>244369</v>
      </c>
      <c r="F6" s="1887">
        <f>élec!AZ21</f>
        <v>1440</v>
      </c>
      <c r="G6" s="1887">
        <f>'HT-HP 2'!AA21</f>
        <v>4</v>
      </c>
      <c r="H6" s="1889">
        <f t="shared" si="0"/>
        <v>4.8798492697393554</v>
      </c>
      <c r="I6" s="1890">
        <f t="shared" si="0"/>
        <v>6.0382916053019144</v>
      </c>
      <c r="J6" s="1891">
        <f t="shared" si="0"/>
        <v>0</v>
      </c>
      <c r="K6" s="106" t="s">
        <v>7</v>
      </c>
      <c r="L6" s="106">
        <f t="shared" ref="L6:L14" si="1">E6+F6+G6</f>
        <v>245813</v>
      </c>
    </row>
    <row r="7" spans="1:41" ht="15.6">
      <c r="A7" s="96" t="s">
        <v>8</v>
      </c>
      <c r="B7" s="1886">
        <f>élec!AY7</f>
        <v>237128</v>
      </c>
      <c r="C7" s="1887">
        <f>élec!AZ7</f>
        <v>1131</v>
      </c>
      <c r="D7" s="1888">
        <f>'HT-HP 2'!AA7</f>
        <v>2</v>
      </c>
      <c r="E7" s="1886">
        <f>élec!AY22</f>
        <v>248906</v>
      </c>
      <c r="F7" s="1887">
        <f>élec!AZ22</f>
        <v>1199</v>
      </c>
      <c r="G7" s="1887">
        <f>'HT-HP 2'!AA22</f>
        <v>2</v>
      </c>
      <c r="H7" s="1889">
        <f t="shared" si="0"/>
        <v>4.9669376876623597</v>
      </c>
      <c r="I7" s="1890">
        <f t="shared" si="0"/>
        <v>6.0123784261715292</v>
      </c>
      <c r="J7" s="1891">
        <f t="shared" si="0"/>
        <v>0</v>
      </c>
      <c r="K7" s="106" t="s">
        <v>8</v>
      </c>
      <c r="L7" s="106">
        <f t="shared" si="1"/>
        <v>250107</v>
      </c>
    </row>
    <row r="8" spans="1:41" ht="15.6">
      <c r="A8" s="96" t="s">
        <v>4</v>
      </c>
      <c r="B8" s="1886">
        <f>élec!AY8</f>
        <v>465656</v>
      </c>
      <c r="C8" s="1887">
        <f>élec!AZ8</f>
        <v>1551</v>
      </c>
      <c r="D8" s="1888">
        <f>'HT-HP 2'!AA8</f>
        <v>3</v>
      </c>
      <c r="E8" s="1886">
        <f>élec!AY23</f>
        <v>483086</v>
      </c>
      <c r="F8" s="1887">
        <f>élec!AZ23</f>
        <v>1582</v>
      </c>
      <c r="G8" s="1887">
        <f>'HT-HP 2'!AA23</f>
        <v>3</v>
      </c>
      <c r="H8" s="1889">
        <f t="shared" si="0"/>
        <v>3.7431064992183072</v>
      </c>
      <c r="I8" s="1890">
        <f t="shared" si="0"/>
        <v>1.9987105093488073</v>
      </c>
      <c r="J8" s="1891">
        <f t="shared" si="0"/>
        <v>0</v>
      </c>
      <c r="K8" s="106" t="s">
        <v>4</v>
      </c>
      <c r="L8" s="106">
        <f t="shared" si="1"/>
        <v>484671</v>
      </c>
    </row>
    <row r="9" spans="1:41" ht="15.6">
      <c r="A9" s="96" t="s">
        <v>3</v>
      </c>
      <c r="B9" s="1886">
        <f>élec!AY9</f>
        <v>236997</v>
      </c>
      <c r="C9" s="1887">
        <f>élec!AZ9</f>
        <v>1801</v>
      </c>
      <c r="D9" s="1888">
        <f>'HT-HP 2'!AA9</f>
        <v>0</v>
      </c>
      <c r="E9" s="1886">
        <f>élec!AY24</f>
        <v>244720</v>
      </c>
      <c r="F9" s="1887">
        <f>élec!AZ24</f>
        <v>2068</v>
      </c>
      <c r="G9" s="1887">
        <f>'HT-HP 2'!AA24</f>
        <v>0</v>
      </c>
      <c r="H9" s="1889">
        <f t="shared" si="0"/>
        <v>3.2586910382831853</v>
      </c>
      <c r="I9" s="1890">
        <f t="shared" si="0"/>
        <v>14.825097168239868</v>
      </c>
      <c r="J9" s="1891" t="e">
        <f>((G9-D9)/D9)*100</f>
        <v>#DIV/0!</v>
      </c>
      <c r="K9" s="106" t="s">
        <v>3</v>
      </c>
      <c r="L9" s="106">
        <f t="shared" si="1"/>
        <v>246788</v>
      </c>
    </row>
    <row r="10" spans="1:41" ht="15.6">
      <c r="A10" s="96" t="s">
        <v>397</v>
      </c>
      <c r="B10" s="1886">
        <f>élec!AY10</f>
        <v>229794</v>
      </c>
      <c r="C10" s="1887">
        <f>élec!AZ10</f>
        <v>1303</v>
      </c>
      <c r="D10" s="1888">
        <f>'HT-HP 2'!AA10</f>
        <v>2</v>
      </c>
      <c r="E10" s="1886">
        <f>élec!AY25</f>
        <v>238295</v>
      </c>
      <c r="F10" s="1887">
        <f>élec!AZ25</f>
        <v>1362</v>
      </c>
      <c r="G10" s="1887">
        <f>'HT-HP 2'!AA25</f>
        <v>2</v>
      </c>
      <c r="H10" s="1889">
        <f t="shared" si="0"/>
        <v>3.6994003324716918</v>
      </c>
      <c r="I10" s="1890">
        <f t="shared" si="0"/>
        <v>4.5280122793553339</v>
      </c>
      <c r="J10" s="1891">
        <f t="shared" si="0"/>
        <v>0</v>
      </c>
      <c r="K10" s="106" t="s">
        <v>397</v>
      </c>
      <c r="L10" s="106">
        <f t="shared" si="1"/>
        <v>239659</v>
      </c>
    </row>
    <row r="11" spans="1:41" ht="15.6">
      <c r="A11" s="96" t="s">
        <v>399</v>
      </c>
      <c r="B11" s="1886">
        <f>élec!AY11</f>
        <v>321061</v>
      </c>
      <c r="C11" s="1887">
        <f>élec!AZ11</f>
        <v>1563</v>
      </c>
      <c r="D11" s="1888">
        <f>'HT-HP 2'!AA11</f>
        <v>3</v>
      </c>
      <c r="E11" s="1886">
        <f>élec!AY26</f>
        <v>337499</v>
      </c>
      <c r="F11" s="1887">
        <f>élec!AZ26</f>
        <v>1621</v>
      </c>
      <c r="G11" s="1887">
        <f>'HT-HP 2'!AA26</f>
        <v>4</v>
      </c>
      <c r="H11" s="1889">
        <f t="shared" si="0"/>
        <v>5.119899333771464</v>
      </c>
      <c r="I11" s="1890">
        <f t="shared" si="0"/>
        <v>3.7108125399872045</v>
      </c>
      <c r="J11" s="1891">
        <f t="shared" si="0"/>
        <v>33.333333333333329</v>
      </c>
      <c r="K11" s="106" t="s">
        <v>399</v>
      </c>
      <c r="L11" s="106">
        <f t="shared" si="1"/>
        <v>339124</v>
      </c>
      <c r="AO11" s="106"/>
    </row>
    <row r="12" spans="1:41" ht="15.6">
      <c r="A12" s="96" t="s">
        <v>883</v>
      </c>
      <c r="B12" s="1886">
        <f>élec!AY12</f>
        <v>230225</v>
      </c>
      <c r="C12" s="1887">
        <f>élec!AZ12</f>
        <v>1463</v>
      </c>
      <c r="D12" s="1888">
        <f>'HT-HP 2'!AA12</f>
        <v>1</v>
      </c>
      <c r="E12" s="1886">
        <f>élec!AY27</f>
        <v>239220</v>
      </c>
      <c r="F12" s="1887">
        <f>élec!AZ27</f>
        <v>1547</v>
      </c>
      <c r="G12" s="1887">
        <f>'HT-HP 2'!AA27</f>
        <v>1</v>
      </c>
      <c r="H12" s="1889">
        <f t="shared" si="0"/>
        <v>3.9070474535780213</v>
      </c>
      <c r="I12" s="1890">
        <f t="shared" si="0"/>
        <v>5.741626794258373</v>
      </c>
      <c r="J12" s="1891">
        <f>((G12-D12)/D12)*100</f>
        <v>0</v>
      </c>
      <c r="K12" s="106" t="s">
        <v>883</v>
      </c>
      <c r="L12" s="106">
        <f t="shared" si="1"/>
        <v>240768</v>
      </c>
    </row>
    <row r="13" spans="1:41" ht="15.6">
      <c r="A13" s="96" t="s">
        <v>884</v>
      </c>
      <c r="B13" s="1886">
        <f>élec!AY13</f>
        <v>305866</v>
      </c>
      <c r="C13" s="1887">
        <f>élec!AZ13</f>
        <v>1686</v>
      </c>
      <c r="D13" s="1888">
        <f>'HT-HP 2'!AA13</f>
        <v>4</v>
      </c>
      <c r="E13" s="1886">
        <f>élec!AY28</f>
        <v>316568</v>
      </c>
      <c r="F13" s="1887">
        <f>élec!AZ28</f>
        <v>1739</v>
      </c>
      <c r="G13" s="1887">
        <f>'HT-HP 2'!AA28</f>
        <v>4</v>
      </c>
      <c r="H13" s="1889">
        <f t="shared" si="0"/>
        <v>3.4989178267607381</v>
      </c>
      <c r="I13" s="1890">
        <f>((F13-C13)/C13)*100</f>
        <v>3.1435349940688022</v>
      </c>
      <c r="J13" s="1891">
        <f t="shared" si="0"/>
        <v>0</v>
      </c>
      <c r="K13" s="106" t="s">
        <v>884</v>
      </c>
      <c r="L13" s="106">
        <f t="shared" si="1"/>
        <v>318311</v>
      </c>
    </row>
    <row r="14" spans="1:41" ht="16.2" thickBot="1">
      <c r="A14" s="96" t="s">
        <v>885</v>
      </c>
      <c r="B14" s="1886">
        <f>élec!AY14</f>
        <v>88700</v>
      </c>
      <c r="C14" s="1887">
        <f>élec!AZ14</f>
        <v>266</v>
      </c>
      <c r="D14" s="1888">
        <f>'HT-HP 2'!AA14</f>
        <v>0</v>
      </c>
      <c r="E14" s="1886">
        <f>élec!AY29</f>
        <v>93757</v>
      </c>
      <c r="F14" s="1887">
        <f>élec!AZ29</f>
        <v>267</v>
      </c>
      <c r="G14" s="1887">
        <f>'HT-HP 2'!AA29</f>
        <v>0</v>
      </c>
      <c r="H14" s="1889">
        <f t="shared" si="0"/>
        <v>5.7012401352874855</v>
      </c>
      <c r="I14" s="1890">
        <f t="shared" si="0"/>
        <v>0.37593984962406013</v>
      </c>
      <c r="J14" s="1891" t="e">
        <f>((G14-D14)/D14)*100</f>
        <v>#DIV/0!</v>
      </c>
      <c r="K14" s="106" t="s">
        <v>885</v>
      </c>
      <c r="L14" s="106">
        <f t="shared" si="1"/>
        <v>94024</v>
      </c>
    </row>
    <row r="15" spans="1:41" ht="16.2" thickBot="1">
      <c r="A15" s="105" t="s">
        <v>614</v>
      </c>
      <c r="B15" s="1892">
        <f t="shared" ref="B15:G15" si="2">SUM(B5:B14)</f>
        <v>2723879</v>
      </c>
      <c r="C15" s="1893">
        <f t="shared" si="2"/>
        <v>15032</v>
      </c>
      <c r="D15" s="1894">
        <f t="shared" si="2"/>
        <v>23</v>
      </c>
      <c r="E15" s="1892">
        <f t="shared" si="2"/>
        <v>2839098</v>
      </c>
      <c r="F15" s="1893">
        <f t="shared" si="2"/>
        <v>15831</v>
      </c>
      <c r="G15" s="1894">
        <f t="shared" si="2"/>
        <v>24</v>
      </c>
      <c r="H15" s="1895">
        <f t="shared" si="0"/>
        <v>4.2299602882506893</v>
      </c>
      <c r="I15" s="1896">
        <f t="shared" si="0"/>
        <v>5.3153273017562537</v>
      </c>
      <c r="J15" s="1897">
        <f>((G15-D15)/D15)*100</f>
        <v>4.3478260869565215</v>
      </c>
      <c r="K15" s="106"/>
      <c r="S15" s="106"/>
    </row>
    <row r="16" spans="1:41" ht="16.5" customHeight="1">
      <c r="A16" s="1879"/>
      <c r="B16" s="175"/>
      <c r="C16" s="175"/>
      <c r="D16" s="113">
        <f>D15+C15+B15</f>
        <v>2738934</v>
      </c>
      <c r="E16" s="175"/>
      <c r="F16" s="113"/>
      <c r="G16" s="113">
        <f>G15+F15+E15</f>
        <v>2854953</v>
      </c>
      <c r="H16" s="113"/>
      <c r="I16" s="114"/>
    </row>
    <row r="17" spans="1:12" ht="26.25" customHeight="1">
      <c r="A17" s="115"/>
      <c r="B17" s="115"/>
      <c r="C17" s="115"/>
      <c r="E17" s="113"/>
      <c r="F17" s="115"/>
      <c r="G17" s="113"/>
      <c r="H17" s="114"/>
      <c r="I17" s="114"/>
    </row>
    <row r="18" spans="1:12" ht="16.5" customHeight="1" thickBot="1">
      <c r="A18" s="2910" t="s">
        <v>201</v>
      </c>
      <c r="B18" s="2910"/>
      <c r="C18" s="2910"/>
      <c r="D18" s="2910"/>
      <c r="E18" s="2910"/>
      <c r="F18" s="2910"/>
      <c r="G18" s="2910"/>
      <c r="H18" s="2910"/>
      <c r="I18" s="2910"/>
      <c r="J18" s="2910"/>
    </row>
    <row r="19" spans="1:12" ht="12.75" customHeight="1">
      <c r="A19" s="1878"/>
      <c r="B19" s="2920">
        <f>B3</f>
        <v>45139</v>
      </c>
      <c r="C19" s="2912"/>
      <c r="D19" s="2913"/>
      <c r="E19" s="2920">
        <f>E3</f>
        <v>45505</v>
      </c>
      <c r="F19" s="2912"/>
      <c r="G19" s="2913"/>
      <c r="H19" s="2917" t="s">
        <v>38</v>
      </c>
      <c r="I19" s="2918"/>
      <c r="J19" s="2919"/>
    </row>
    <row r="20" spans="1:12">
      <c r="A20" s="1878"/>
      <c r="B20" s="110" t="s">
        <v>56</v>
      </c>
      <c r="C20" s="111" t="s">
        <v>21</v>
      </c>
      <c r="D20" s="112" t="s">
        <v>199</v>
      </c>
      <c r="E20" s="110" t="s">
        <v>56</v>
      </c>
      <c r="F20" s="111" t="s">
        <v>21</v>
      </c>
      <c r="G20" s="112" t="s">
        <v>199</v>
      </c>
      <c r="H20" s="110" t="s">
        <v>56</v>
      </c>
      <c r="I20" s="111" t="s">
        <v>21</v>
      </c>
      <c r="J20" s="112" t="s">
        <v>199</v>
      </c>
    </row>
    <row r="21" spans="1:12" ht="15.6">
      <c r="A21" s="96" t="s">
        <v>6</v>
      </c>
      <c r="B21" s="1886">
        <f>gaz!AY5</f>
        <v>234124</v>
      </c>
      <c r="C21" s="1887">
        <f>gaz!AZ5</f>
        <v>390</v>
      </c>
      <c r="D21" s="1888">
        <f>'HT-HP 2'!AB5</f>
        <v>6</v>
      </c>
      <c r="E21" s="1886">
        <f>gaz!AY20</f>
        <v>251190</v>
      </c>
      <c r="F21" s="1887">
        <f>gaz!AZ20</f>
        <v>386</v>
      </c>
      <c r="G21" s="1887">
        <f>'HT-HP 2'!AB20</f>
        <v>6</v>
      </c>
      <c r="H21" s="1889">
        <f t="shared" ref="H21:J31" si="3">((E21-B21)/B21)*100</f>
        <v>7.2892996873451672</v>
      </c>
      <c r="I21" s="1890">
        <f t="shared" si="3"/>
        <v>-1.0256410256410255</v>
      </c>
      <c r="J21" s="1891">
        <f t="shared" si="3"/>
        <v>0</v>
      </c>
      <c r="K21" s="106" t="s">
        <v>6</v>
      </c>
      <c r="L21" s="106">
        <f>E21+F21+G21</f>
        <v>251582</v>
      </c>
    </row>
    <row r="22" spans="1:12" ht="15.6">
      <c r="A22" s="96" t="s">
        <v>7</v>
      </c>
      <c r="B22" s="1886">
        <f>gaz!AY6</f>
        <v>163222</v>
      </c>
      <c r="C22" s="1887">
        <f>gaz!AZ6</f>
        <v>232</v>
      </c>
      <c r="D22" s="1888">
        <f>'HT-HP 2'!AB6</f>
        <v>9</v>
      </c>
      <c r="E22" s="1886">
        <f>gaz!AY21</f>
        <v>171971</v>
      </c>
      <c r="F22" s="1887">
        <f>gaz!AZ21</f>
        <v>241</v>
      </c>
      <c r="G22" s="1887">
        <f>'HT-HP 2'!AB21</f>
        <v>9</v>
      </c>
      <c r="H22" s="1889">
        <f t="shared" si="3"/>
        <v>5.3601842888826257</v>
      </c>
      <c r="I22" s="1890">
        <f t="shared" si="3"/>
        <v>3.8793103448275863</v>
      </c>
      <c r="J22" s="1891">
        <f t="shared" si="3"/>
        <v>0</v>
      </c>
      <c r="K22" s="106" t="s">
        <v>7</v>
      </c>
      <c r="L22" s="106">
        <f t="shared" ref="L22:L30" si="4">E22+F22+G22</f>
        <v>172221</v>
      </c>
    </row>
    <row r="23" spans="1:12" ht="15.6">
      <c r="A23" s="96" t="s">
        <v>8</v>
      </c>
      <c r="B23" s="1886">
        <f>gaz!AY7</f>
        <v>148478</v>
      </c>
      <c r="C23" s="1887">
        <f>gaz!AZ7</f>
        <v>167</v>
      </c>
      <c r="D23" s="1888">
        <f>'HT-HP 2'!AB7</f>
        <v>3</v>
      </c>
      <c r="E23" s="1886">
        <f>gaz!AY22</f>
        <v>162751</v>
      </c>
      <c r="F23" s="1887">
        <f>gaz!AZ22</f>
        <v>179</v>
      </c>
      <c r="G23" s="1887">
        <f>'HT-HP 2'!AB22</f>
        <v>3</v>
      </c>
      <c r="H23" s="1889">
        <f t="shared" si="3"/>
        <v>9.6128719406241991</v>
      </c>
      <c r="I23" s="1890">
        <f t="shared" si="3"/>
        <v>7.1856287425149699</v>
      </c>
      <c r="J23" s="1891">
        <f t="shared" si="3"/>
        <v>0</v>
      </c>
      <c r="K23" s="106" t="s">
        <v>8</v>
      </c>
      <c r="L23" s="106">
        <f t="shared" si="4"/>
        <v>162933</v>
      </c>
    </row>
    <row r="24" spans="1:12" ht="15.6">
      <c r="A24" s="96" t="s">
        <v>4</v>
      </c>
      <c r="B24" s="1886">
        <f>gaz!AY8</f>
        <v>306958</v>
      </c>
      <c r="C24" s="1887">
        <f>gaz!AZ8</f>
        <v>262</v>
      </c>
      <c r="D24" s="1888">
        <f>'HT-HP 2'!AB8</f>
        <v>8</v>
      </c>
      <c r="E24" s="1886">
        <f>gaz!AY23</f>
        <v>322419</v>
      </c>
      <c r="F24" s="1887">
        <f>gaz!AZ23</f>
        <v>280</v>
      </c>
      <c r="G24" s="1887">
        <f>'HT-HP 2'!AB23</f>
        <v>9</v>
      </c>
      <c r="H24" s="1889">
        <f t="shared" si="3"/>
        <v>5.0368454316225675</v>
      </c>
      <c r="I24" s="1890">
        <f t="shared" si="3"/>
        <v>6.8702290076335881</v>
      </c>
      <c r="J24" s="1891">
        <f t="shared" si="3"/>
        <v>12.5</v>
      </c>
      <c r="K24" s="106" t="s">
        <v>4</v>
      </c>
      <c r="L24" s="106">
        <f t="shared" si="4"/>
        <v>322708</v>
      </c>
    </row>
    <row r="25" spans="1:12" ht="15.6">
      <c r="A25" s="96" t="s">
        <v>3</v>
      </c>
      <c r="B25" s="1886">
        <f>gaz!AY9</f>
        <v>193089</v>
      </c>
      <c r="C25" s="1887">
        <f>gaz!AZ9</f>
        <v>176</v>
      </c>
      <c r="D25" s="1888">
        <f>'HT-HP 2'!AB9</f>
        <v>2</v>
      </c>
      <c r="E25" s="1886">
        <f>gaz!AY24</f>
        <v>199287</v>
      </c>
      <c r="F25" s="1887">
        <f>gaz!AZ24</f>
        <v>182</v>
      </c>
      <c r="G25" s="1887">
        <f>'HT-HP 2'!AB24</f>
        <v>2</v>
      </c>
      <c r="H25" s="1889">
        <f t="shared" si="3"/>
        <v>3.2099187421344566</v>
      </c>
      <c r="I25" s="1890">
        <f t="shared" si="3"/>
        <v>3.4090909090909087</v>
      </c>
      <c r="J25" s="1891">
        <f t="shared" ref="J25:J31" si="5">((G25-D25)/D25)*100</f>
        <v>0</v>
      </c>
      <c r="K25" s="106" t="s">
        <v>3</v>
      </c>
      <c r="L25" s="106">
        <f t="shared" si="4"/>
        <v>199471</v>
      </c>
    </row>
    <row r="26" spans="1:12" ht="14.25" customHeight="1">
      <c r="A26" s="96" t="s">
        <v>397</v>
      </c>
      <c r="B26" s="1886">
        <f>gaz!AY10</f>
        <v>121343</v>
      </c>
      <c r="C26" s="1887">
        <f>gaz!AZ10</f>
        <v>121</v>
      </c>
      <c r="D26" s="1888">
        <f>'HT-HP 2'!AB10</f>
        <v>3</v>
      </c>
      <c r="E26" s="1886">
        <f>gaz!AY25</f>
        <v>130473</v>
      </c>
      <c r="F26" s="1887">
        <f>gaz!AZ25</f>
        <v>130</v>
      </c>
      <c r="G26" s="1887">
        <f>'HT-HP 2'!AB25</f>
        <v>3</v>
      </c>
      <c r="H26" s="1889">
        <f t="shared" si="3"/>
        <v>7.5241258251403043</v>
      </c>
      <c r="I26" s="1890">
        <f t="shared" si="3"/>
        <v>7.4380165289256199</v>
      </c>
      <c r="J26" s="1891">
        <f t="shared" si="5"/>
        <v>0</v>
      </c>
      <c r="K26" s="106" t="s">
        <v>397</v>
      </c>
      <c r="L26" s="106">
        <f t="shared" si="4"/>
        <v>130606</v>
      </c>
    </row>
    <row r="27" spans="1:12" ht="15.6">
      <c r="A27" s="96" t="s">
        <v>399</v>
      </c>
      <c r="B27" s="1886">
        <f>gaz!AY11</f>
        <v>172322</v>
      </c>
      <c r="C27" s="1887">
        <f>gaz!AZ11</f>
        <v>254</v>
      </c>
      <c r="D27" s="1888">
        <f>'HT-HP 2'!AB11</f>
        <v>17</v>
      </c>
      <c r="E27" s="1886">
        <f>gaz!AY26</f>
        <v>188686</v>
      </c>
      <c r="F27" s="1887">
        <f>gaz!AZ26</f>
        <v>269</v>
      </c>
      <c r="G27" s="1887">
        <f>'HT-HP 2'!AB26</f>
        <v>16</v>
      </c>
      <c r="H27" s="1889">
        <f t="shared" si="3"/>
        <v>9.4961757639767406</v>
      </c>
      <c r="I27" s="1890">
        <f t="shared" si="3"/>
        <v>5.9055118110236222</v>
      </c>
      <c r="J27" s="1891">
        <f t="shared" si="5"/>
        <v>-5.8823529411764701</v>
      </c>
      <c r="K27" s="106" t="s">
        <v>399</v>
      </c>
      <c r="L27" s="106">
        <f t="shared" si="4"/>
        <v>188971</v>
      </c>
    </row>
    <row r="28" spans="1:12" ht="15.6">
      <c r="A28" s="96" t="s">
        <v>883</v>
      </c>
      <c r="B28" s="1886">
        <f>gaz!AY12</f>
        <v>121272</v>
      </c>
      <c r="C28" s="1887">
        <f>gaz!AZ12</f>
        <v>137</v>
      </c>
      <c r="D28" s="1888">
        <f>'HT-HP 2'!AB12</f>
        <v>9</v>
      </c>
      <c r="E28" s="1886">
        <f>gaz!AY27</f>
        <v>129507</v>
      </c>
      <c r="F28" s="1887">
        <f>gaz!AZ27</f>
        <v>148</v>
      </c>
      <c r="G28" s="1887">
        <f>'HT-HP 2'!AB27</f>
        <v>9</v>
      </c>
      <c r="H28" s="1889">
        <f t="shared" si="3"/>
        <v>6.7905204828814565</v>
      </c>
      <c r="I28" s="1890">
        <f t="shared" si="3"/>
        <v>8.0291970802919703</v>
      </c>
      <c r="J28" s="1891">
        <f t="shared" si="5"/>
        <v>0</v>
      </c>
      <c r="K28" s="106" t="s">
        <v>883</v>
      </c>
      <c r="L28" s="106">
        <f t="shared" si="4"/>
        <v>129664</v>
      </c>
    </row>
    <row r="29" spans="1:12" ht="15.6">
      <c r="A29" s="96" t="s">
        <v>884</v>
      </c>
      <c r="B29" s="1886">
        <f>gaz!AY13</f>
        <v>153417</v>
      </c>
      <c r="C29" s="1887">
        <f>gaz!AZ13</f>
        <v>164</v>
      </c>
      <c r="D29" s="1888">
        <f>'HT-HP 2'!AB13</f>
        <v>11</v>
      </c>
      <c r="E29" s="1886">
        <f>gaz!AY28</f>
        <v>165687</v>
      </c>
      <c r="F29" s="1887">
        <f>gaz!AZ28</f>
        <v>171</v>
      </c>
      <c r="G29" s="1887">
        <f>'HT-HP 2'!AB28</f>
        <v>11</v>
      </c>
      <c r="H29" s="1889">
        <f t="shared" si="3"/>
        <v>7.9978098906900801</v>
      </c>
      <c r="I29" s="1890">
        <f t="shared" si="3"/>
        <v>4.2682926829268295</v>
      </c>
      <c r="J29" s="1891">
        <f t="shared" si="5"/>
        <v>0</v>
      </c>
      <c r="K29" s="106" t="s">
        <v>884</v>
      </c>
      <c r="L29" s="106">
        <f t="shared" si="4"/>
        <v>165869</v>
      </c>
    </row>
    <row r="30" spans="1:12" ht="16.2" thickBot="1">
      <c r="A30" s="96" t="s">
        <v>885</v>
      </c>
      <c r="B30" s="1886">
        <f>gaz!AY14</f>
        <v>64429</v>
      </c>
      <c r="C30" s="1887">
        <f>gaz!AZ14</f>
        <v>33</v>
      </c>
      <c r="D30" s="1888">
        <f>'HT-HP 2'!AB14</f>
        <v>1</v>
      </c>
      <c r="E30" s="1886">
        <f>gaz!AY29</f>
        <v>70383</v>
      </c>
      <c r="F30" s="1887">
        <f>gaz!AZ29</f>
        <v>35</v>
      </c>
      <c r="G30" s="1887">
        <f>'HT-HP 2'!AB29</f>
        <v>1</v>
      </c>
      <c r="H30" s="1889">
        <f t="shared" si="3"/>
        <v>9.2411802138788435</v>
      </c>
      <c r="I30" s="1890">
        <f t="shared" si="3"/>
        <v>6.0606060606060606</v>
      </c>
      <c r="J30" s="1891">
        <f t="shared" si="5"/>
        <v>0</v>
      </c>
      <c r="K30" s="106" t="s">
        <v>885</v>
      </c>
      <c r="L30" s="106">
        <f t="shared" si="4"/>
        <v>70419</v>
      </c>
    </row>
    <row r="31" spans="1:12" ht="16.2" thickBot="1">
      <c r="A31" s="105" t="s">
        <v>614</v>
      </c>
      <c r="B31" s="1892">
        <f t="shared" ref="B31:G31" si="6">SUM(B21:B30)</f>
        <v>1678654</v>
      </c>
      <c r="C31" s="1893">
        <f t="shared" si="6"/>
        <v>1936</v>
      </c>
      <c r="D31" s="1894">
        <f t="shared" si="6"/>
        <v>69</v>
      </c>
      <c r="E31" s="1892">
        <f t="shared" si="6"/>
        <v>1792354</v>
      </c>
      <c r="F31" s="1893">
        <f t="shared" si="6"/>
        <v>2021</v>
      </c>
      <c r="G31" s="1894">
        <f t="shared" si="6"/>
        <v>69</v>
      </c>
      <c r="H31" s="1895">
        <f t="shared" si="3"/>
        <v>6.7732838333569632</v>
      </c>
      <c r="I31" s="1896">
        <f>((F31-C31)/C31)*100</f>
        <v>4.3904958677685952</v>
      </c>
      <c r="J31" s="1897">
        <f t="shared" si="5"/>
        <v>0</v>
      </c>
    </row>
    <row r="32" spans="1:12">
      <c r="D32" s="113">
        <f>D31+C31+B31</f>
        <v>1680659</v>
      </c>
      <c r="E32" s="175">
        <f>E31/E15</f>
        <v>0.63131107133321918</v>
      </c>
      <c r="F32" s="113"/>
      <c r="G32" s="113">
        <f>G31+F31+E31</f>
        <v>1794444</v>
      </c>
    </row>
    <row r="33" spans="1:23">
      <c r="F33" s="87">
        <f>597/F31</f>
        <v>0.29539831766452251</v>
      </c>
    </row>
    <row r="34" spans="1:23" ht="16.2" thickBot="1">
      <c r="B34" s="2922" t="s">
        <v>203</v>
      </c>
      <c r="C34" s="2922"/>
      <c r="D34" s="2922"/>
      <c r="E34" s="2922"/>
      <c r="F34" s="2922"/>
      <c r="G34" s="2922"/>
      <c r="H34" s="2922"/>
      <c r="I34" s="2922"/>
      <c r="J34" s="2922"/>
      <c r="K34" s="2922"/>
      <c r="L34" s="2922"/>
      <c r="M34" s="2922"/>
      <c r="N34" s="2922"/>
      <c r="O34" s="2922"/>
      <c r="P34" s="2922"/>
      <c r="Q34" s="2922"/>
      <c r="R34" s="2922"/>
      <c r="S34" s="2922"/>
      <c r="T34" s="2922"/>
      <c r="U34" s="2922"/>
    </row>
    <row r="35" spans="1:23">
      <c r="B35" s="2876" t="s">
        <v>175</v>
      </c>
      <c r="C35" s="2877"/>
      <c r="D35" s="2877"/>
      <c r="E35" s="2877"/>
      <c r="F35" s="2877"/>
      <c r="G35" s="2877"/>
      <c r="H35" s="2877"/>
      <c r="I35" s="2877"/>
      <c r="J35" s="2923" t="s">
        <v>174</v>
      </c>
      <c r="K35" s="2877" t="s">
        <v>143</v>
      </c>
      <c r="L35" s="2877"/>
      <c r="M35" s="2877"/>
      <c r="N35" s="2877"/>
      <c r="O35" s="2877"/>
      <c r="P35" s="2877"/>
      <c r="Q35" s="2877"/>
      <c r="R35" s="2877"/>
      <c r="S35" s="2923" t="s">
        <v>174</v>
      </c>
      <c r="T35" s="2923" t="s">
        <v>1083</v>
      </c>
      <c r="U35" s="2925" t="s">
        <v>202</v>
      </c>
    </row>
    <row r="36" spans="1:23">
      <c r="B36" s="2924">
        <f>B3</f>
        <v>45139</v>
      </c>
      <c r="C36" s="2881"/>
      <c r="D36" s="2881"/>
      <c r="E36" s="2881"/>
      <c r="F36" s="2881">
        <f>E3</f>
        <v>45505</v>
      </c>
      <c r="G36" s="2881"/>
      <c r="H36" s="2881"/>
      <c r="I36" s="2881"/>
      <c r="J36" s="2881"/>
      <c r="K36" s="2881">
        <f>B36</f>
        <v>45139</v>
      </c>
      <c r="L36" s="2881"/>
      <c r="M36" s="2881"/>
      <c r="N36" s="2881"/>
      <c r="O36" s="2881">
        <f>F36</f>
        <v>45505</v>
      </c>
      <c r="P36" s="2881"/>
      <c r="Q36" s="2881"/>
      <c r="R36" s="2881"/>
      <c r="S36" s="2881"/>
      <c r="T36" s="2881"/>
      <c r="U36" s="2926"/>
    </row>
    <row r="37" spans="1:23">
      <c r="B37" s="1876" t="s">
        <v>52</v>
      </c>
      <c r="C37" s="1874" t="s">
        <v>19</v>
      </c>
      <c r="D37" s="1874" t="s">
        <v>198</v>
      </c>
      <c r="E37" s="1874" t="s">
        <v>20</v>
      </c>
      <c r="F37" s="1874" t="s">
        <v>52</v>
      </c>
      <c r="G37" s="1874" t="s">
        <v>19</v>
      </c>
      <c r="H37" s="1874" t="s">
        <v>198</v>
      </c>
      <c r="I37" s="1874" t="s">
        <v>20</v>
      </c>
      <c r="J37" s="2881"/>
      <c r="K37" s="1874" t="s">
        <v>52</v>
      </c>
      <c r="L37" s="1874" t="s">
        <v>19</v>
      </c>
      <c r="M37" s="1874" t="s">
        <v>198</v>
      </c>
      <c r="N37" s="1874" t="s">
        <v>20</v>
      </c>
      <c r="O37" s="1874" t="s">
        <v>52</v>
      </c>
      <c r="P37" s="1874" t="s">
        <v>19</v>
      </c>
      <c r="Q37" s="1874" t="s">
        <v>198</v>
      </c>
      <c r="R37" s="1874" t="s">
        <v>20</v>
      </c>
      <c r="S37" s="2881"/>
      <c r="T37" s="2881"/>
      <c r="U37" s="2926"/>
    </row>
    <row r="38" spans="1:23">
      <c r="A38" s="1324" t="s">
        <v>6</v>
      </c>
      <c r="B38" s="1328">
        <f>élec!BD37</f>
        <v>532</v>
      </c>
      <c r="C38" s="1321">
        <f>élec!BE37</f>
        <v>6</v>
      </c>
      <c r="D38" s="1321">
        <f>'HT-HP 2'!AC37</f>
        <v>0</v>
      </c>
      <c r="E38" s="1321">
        <f t="shared" ref="E38:E48" si="7">B38+C38+D38</f>
        <v>538</v>
      </c>
      <c r="F38" s="1321">
        <f>élec!BD52</f>
        <v>1441</v>
      </c>
      <c r="G38" s="1321">
        <f>élec!BE52</f>
        <v>5</v>
      </c>
      <c r="H38" s="1321">
        <f>'HT-HP 2'!AC52</f>
        <v>0</v>
      </c>
      <c r="I38" s="1321">
        <f t="shared" ref="I38:I48" si="8">F38+G38+H38</f>
        <v>1446</v>
      </c>
      <c r="J38" s="1322">
        <f t="shared" ref="J38:J48" si="9">((I38-E38)/E38)*100</f>
        <v>168.7732342007435</v>
      </c>
      <c r="K38" s="1321">
        <f>élec!AZ37</f>
        <v>13035</v>
      </c>
      <c r="L38" s="1321">
        <f>élec!BA37</f>
        <v>35</v>
      </c>
      <c r="M38" s="1321">
        <f>'HT-HP 2'!Z37</f>
        <v>0</v>
      </c>
      <c r="N38" s="1321">
        <f t="shared" ref="N38:N48" si="10">K38+L38+M38</f>
        <v>13070</v>
      </c>
      <c r="O38" s="1321">
        <f>élec!AZ52</f>
        <v>12591</v>
      </c>
      <c r="P38" s="1321">
        <f>élec!BA52</f>
        <v>62</v>
      </c>
      <c r="Q38" s="1321">
        <f>'HT-HP 2'!Z52</f>
        <v>0</v>
      </c>
      <c r="R38" s="1321">
        <f t="shared" ref="R38:R48" si="11">O38+P38+Q38</f>
        <v>12653</v>
      </c>
      <c r="S38" s="1321">
        <f t="shared" ref="S38:S48" si="12">((R38-N38)/N38)*100</f>
        <v>-3.1905126243305277</v>
      </c>
      <c r="T38" s="1322">
        <f>T113</f>
        <v>11430</v>
      </c>
      <c r="U38" s="1329">
        <f t="shared" ref="U38:U48" si="13">(R38/T38)*100</f>
        <v>110.69991251093614</v>
      </c>
    </row>
    <row r="39" spans="1:23">
      <c r="A39" s="1324" t="s">
        <v>7</v>
      </c>
      <c r="B39" s="1328">
        <f>élec!BD38</f>
        <v>671</v>
      </c>
      <c r="C39" s="1321">
        <f>élec!BE38</f>
        <v>1</v>
      </c>
      <c r="D39" s="1321">
        <f>'HT-HP 2'!AC38</f>
        <v>0</v>
      </c>
      <c r="E39" s="1321">
        <f t="shared" si="7"/>
        <v>672</v>
      </c>
      <c r="F39" s="1321">
        <f>élec!BD53</f>
        <v>1158</v>
      </c>
      <c r="G39" s="1321">
        <f>élec!BE53</f>
        <v>8</v>
      </c>
      <c r="H39" s="1321">
        <f>'HT-HP 2'!AC53</f>
        <v>0</v>
      </c>
      <c r="I39" s="1321">
        <f t="shared" si="8"/>
        <v>1166</v>
      </c>
      <c r="J39" s="1322">
        <f t="shared" si="9"/>
        <v>73.511904761904773</v>
      </c>
      <c r="K39" s="1321">
        <f>élec!AZ38</f>
        <v>6200</v>
      </c>
      <c r="L39" s="1321">
        <f>élec!BA38</f>
        <v>23</v>
      </c>
      <c r="M39" s="1321">
        <f>'HT-HP 2'!Z38</f>
        <v>0</v>
      </c>
      <c r="N39" s="1321">
        <f t="shared" si="10"/>
        <v>6223</v>
      </c>
      <c r="O39" s="1321">
        <f>élec!AZ53</f>
        <v>7862</v>
      </c>
      <c r="P39" s="1321">
        <f>élec!BA53</f>
        <v>57</v>
      </c>
      <c r="Q39" s="1321">
        <f>'HT-HP 2'!Z53</f>
        <v>0</v>
      </c>
      <c r="R39" s="1321">
        <f t="shared" si="11"/>
        <v>7919</v>
      </c>
      <c r="S39" s="1321">
        <f t="shared" si="12"/>
        <v>27.253736140125341</v>
      </c>
      <c r="T39" s="1322">
        <f t="shared" ref="T39:T47" si="14">T114</f>
        <v>8289</v>
      </c>
      <c r="U39" s="1329">
        <f t="shared" si="13"/>
        <v>95.5362528652431</v>
      </c>
    </row>
    <row r="40" spans="1:23">
      <c r="A40" s="1324" t="s">
        <v>8</v>
      </c>
      <c r="B40" s="1328">
        <f>élec!BD39</f>
        <v>1103</v>
      </c>
      <c r="C40" s="1321">
        <f>élec!BE39</f>
        <v>6</v>
      </c>
      <c r="D40" s="1321">
        <f>'HT-HP 2'!AC39</f>
        <v>0</v>
      </c>
      <c r="E40" s="1321">
        <f t="shared" si="7"/>
        <v>1109</v>
      </c>
      <c r="F40" s="1321">
        <f>élec!BD54</f>
        <v>1208</v>
      </c>
      <c r="G40" s="1321">
        <f>élec!BE54</f>
        <v>3</v>
      </c>
      <c r="H40" s="1321">
        <f>'HT-HP 2'!AC54</f>
        <v>0</v>
      </c>
      <c r="I40" s="1321">
        <f t="shared" si="8"/>
        <v>1211</v>
      </c>
      <c r="J40" s="1322">
        <f t="shared" si="9"/>
        <v>9.1974752028854834</v>
      </c>
      <c r="K40" s="1321">
        <f>élec!AZ39</f>
        <v>6925</v>
      </c>
      <c r="L40" s="1321">
        <f>élec!BA39</f>
        <v>27</v>
      </c>
      <c r="M40" s="1321">
        <f>'HT-HP 2'!Z39</f>
        <v>0</v>
      </c>
      <c r="N40" s="1321">
        <f t="shared" si="10"/>
        <v>6952</v>
      </c>
      <c r="O40" s="1321">
        <f>élec!AZ54</f>
        <v>7011</v>
      </c>
      <c r="P40" s="1321">
        <f>élec!BA54</f>
        <v>43</v>
      </c>
      <c r="Q40" s="1321">
        <f>'HT-HP 2'!Z54</f>
        <v>0</v>
      </c>
      <c r="R40" s="1321">
        <f t="shared" si="11"/>
        <v>7054</v>
      </c>
      <c r="S40" s="1321">
        <f t="shared" si="12"/>
        <v>1.4672036823935559</v>
      </c>
      <c r="T40" s="1322">
        <f t="shared" si="14"/>
        <v>8419</v>
      </c>
      <c r="U40" s="1329">
        <f t="shared" si="13"/>
        <v>83.786673001544131</v>
      </c>
    </row>
    <row r="41" spans="1:23">
      <c r="A41" s="1324" t="s">
        <v>4</v>
      </c>
      <c r="B41" s="1328">
        <f>élec!BD40</f>
        <v>1998</v>
      </c>
      <c r="C41" s="1321">
        <f>élec!BE40</f>
        <v>2</v>
      </c>
      <c r="D41" s="1321">
        <f>'HT-HP 2'!AC40</f>
        <v>0</v>
      </c>
      <c r="E41" s="1321">
        <f t="shared" si="7"/>
        <v>2000</v>
      </c>
      <c r="F41" s="1321">
        <f>élec!BD55</f>
        <v>1513</v>
      </c>
      <c r="G41" s="1321">
        <f>élec!BE55</f>
        <v>1</v>
      </c>
      <c r="H41" s="1321">
        <f>'HT-HP 2'!AC55</f>
        <v>0</v>
      </c>
      <c r="I41" s="1321">
        <f t="shared" si="8"/>
        <v>1514</v>
      </c>
      <c r="J41" s="1322">
        <f t="shared" si="9"/>
        <v>-24.3</v>
      </c>
      <c r="K41" s="1321">
        <f>élec!AZ40</f>
        <v>8913</v>
      </c>
      <c r="L41" s="1321">
        <f>élec!BA40</f>
        <v>30</v>
      </c>
      <c r="M41" s="1321">
        <f>'HT-HP 2'!Z40</f>
        <v>0</v>
      </c>
      <c r="N41" s="1321">
        <f t="shared" si="10"/>
        <v>8943</v>
      </c>
      <c r="O41" s="1321">
        <f>élec!AZ55</f>
        <v>12661</v>
      </c>
      <c r="P41" s="1321">
        <f>élec!BA55</f>
        <v>18</v>
      </c>
      <c r="Q41" s="1321">
        <f>'HT-HP 2'!Z55</f>
        <v>0</v>
      </c>
      <c r="R41" s="1321">
        <f t="shared" si="11"/>
        <v>12679</v>
      </c>
      <c r="S41" s="1321">
        <f t="shared" si="12"/>
        <v>41.775690484177566</v>
      </c>
      <c r="T41" s="1322">
        <f t="shared" si="14"/>
        <v>13431</v>
      </c>
      <c r="U41" s="1329">
        <f t="shared" si="13"/>
        <v>94.401012582830774</v>
      </c>
    </row>
    <row r="42" spans="1:23">
      <c r="A42" s="1325" t="s">
        <v>3</v>
      </c>
      <c r="B42" s="1328">
        <f>élec!BD41</f>
        <v>603</v>
      </c>
      <c r="C42" s="1321">
        <f>élec!BE41</f>
        <v>20</v>
      </c>
      <c r="D42" s="1321">
        <f>'HT-HP 2'!AC41</f>
        <v>0</v>
      </c>
      <c r="E42" s="1321">
        <f t="shared" si="7"/>
        <v>623</v>
      </c>
      <c r="F42" s="1321">
        <f>élec!BD56</f>
        <v>778</v>
      </c>
      <c r="G42" s="1321">
        <f>élec!BE56</f>
        <v>18</v>
      </c>
      <c r="H42" s="1321">
        <f>'HT-HP 2'!AC56</f>
        <v>0</v>
      </c>
      <c r="I42" s="1321">
        <f t="shared" si="8"/>
        <v>796</v>
      </c>
      <c r="J42" s="1322">
        <f t="shared" si="9"/>
        <v>27.768860353130016</v>
      </c>
      <c r="K42" s="1321">
        <f>élec!AZ41</f>
        <v>4261</v>
      </c>
      <c r="L42" s="1321">
        <f>élec!BA41</f>
        <v>145</v>
      </c>
      <c r="M42" s="1321">
        <f>'HT-HP 2'!Z41</f>
        <v>0</v>
      </c>
      <c r="N42" s="1321">
        <f t="shared" si="10"/>
        <v>4406</v>
      </c>
      <c r="O42" s="1321">
        <f>élec!AZ56</f>
        <v>5259</v>
      </c>
      <c r="P42" s="1321">
        <f>élec!BA56</f>
        <v>183</v>
      </c>
      <c r="Q42" s="1321">
        <f>'HT-HP 2'!Z56</f>
        <v>0</v>
      </c>
      <c r="R42" s="1321">
        <f t="shared" si="11"/>
        <v>5442</v>
      </c>
      <c r="S42" s="1321">
        <f t="shared" si="12"/>
        <v>23.513390830685431</v>
      </c>
      <c r="T42" s="1322">
        <f t="shared" si="14"/>
        <v>7742</v>
      </c>
      <c r="U42" s="1329">
        <f t="shared" si="13"/>
        <v>70.291914234048051</v>
      </c>
      <c r="W42" s="87">
        <v>4058</v>
      </c>
    </row>
    <row r="43" spans="1:23">
      <c r="A43" s="1324" t="s">
        <v>397</v>
      </c>
      <c r="B43" s="1328">
        <f>élec!BD42</f>
        <v>599</v>
      </c>
      <c r="C43" s="1321">
        <f>élec!BE42</f>
        <v>6</v>
      </c>
      <c r="D43" s="1321">
        <f>'HT-HP 2'!AC42</f>
        <v>0</v>
      </c>
      <c r="E43" s="1321">
        <f t="shared" si="7"/>
        <v>605</v>
      </c>
      <c r="F43" s="1321">
        <f>élec!BD57</f>
        <v>714</v>
      </c>
      <c r="G43" s="1321">
        <f>élec!BE57</f>
        <v>0</v>
      </c>
      <c r="H43" s="1321">
        <f>'HT-HP 2'!AC57</f>
        <v>0</v>
      </c>
      <c r="I43" s="1321">
        <f t="shared" si="8"/>
        <v>714</v>
      </c>
      <c r="J43" s="1322">
        <f t="shared" si="9"/>
        <v>18.016528925619834</v>
      </c>
      <c r="K43" s="1321">
        <f>élec!AZ42</f>
        <v>7858</v>
      </c>
      <c r="L43" s="1321">
        <f>élec!BA42</f>
        <v>2</v>
      </c>
      <c r="M43" s="1321">
        <f>'HT-HP 2'!Z42</f>
        <v>0</v>
      </c>
      <c r="N43" s="1321">
        <f t="shared" si="10"/>
        <v>7860</v>
      </c>
      <c r="O43" s="1321">
        <f>élec!AZ57</f>
        <v>4571</v>
      </c>
      <c r="P43" s="1321">
        <f>élec!BA57</f>
        <v>43</v>
      </c>
      <c r="Q43" s="1321">
        <v>0</v>
      </c>
      <c r="R43" s="1321">
        <f t="shared" si="11"/>
        <v>4614</v>
      </c>
      <c r="S43" s="1321">
        <f t="shared" si="12"/>
        <v>-41.297709923664122</v>
      </c>
      <c r="T43" s="1322">
        <f t="shared" si="14"/>
        <v>8191</v>
      </c>
      <c r="U43" s="1329">
        <f t="shared" si="13"/>
        <v>56.330118422659012</v>
      </c>
      <c r="W43" s="87">
        <v>237</v>
      </c>
    </row>
    <row r="44" spans="1:23">
      <c r="A44" s="1324" t="s">
        <v>399</v>
      </c>
      <c r="B44" s="1328">
        <f>élec!BD43</f>
        <v>1238</v>
      </c>
      <c r="C44" s="1321">
        <f>élec!BE43</f>
        <v>0</v>
      </c>
      <c r="D44" s="1321">
        <f>'HT-HP 2'!AC43</f>
        <v>0</v>
      </c>
      <c r="E44" s="1321">
        <f t="shared" si="7"/>
        <v>1238</v>
      </c>
      <c r="F44" s="1321">
        <f>élec!BD58</f>
        <v>1340</v>
      </c>
      <c r="G44" s="1321">
        <f>élec!BE58</f>
        <v>12</v>
      </c>
      <c r="H44" s="1321">
        <f>'HT-HP 2'!AC58</f>
        <v>0</v>
      </c>
      <c r="I44" s="1321">
        <f t="shared" si="8"/>
        <v>1352</v>
      </c>
      <c r="J44" s="1322">
        <f t="shared" si="9"/>
        <v>9.2084006462035539</v>
      </c>
      <c r="K44" s="1321">
        <f>élec!AZ43</f>
        <v>9396</v>
      </c>
      <c r="L44" s="1321">
        <f>élec!BA43</f>
        <v>13</v>
      </c>
      <c r="M44" s="1321">
        <f>'HT-HP 2'!Z43</f>
        <v>0</v>
      </c>
      <c r="N44" s="1321">
        <f t="shared" si="10"/>
        <v>9409</v>
      </c>
      <c r="O44" s="1321">
        <f>élec!AZ58</f>
        <v>11329</v>
      </c>
      <c r="P44" s="1321">
        <f>élec!BA58</f>
        <v>36</v>
      </c>
      <c r="Q44" s="1321">
        <f>'HT-HP 2'!Z58</f>
        <v>0</v>
      </c>
      <c r="R44" s="1321">
        <f t="shared" si="11"/>
        <v>11365</v>
      </c>
      <c r="S44" s="1321">
        <f t="shared" si="12"/>
        <v>20.788606653204379</v>
      </c>
      <c r="T44" s="1322">
        <f t="shared" si="14"/>
        <v>10938</v>
      </c>
      <c r="U44" s="1329">
        <f t="shared" si="13"/>
        <v>103.90382153958677</v>
      </c>
      <c r="W44" s="87">
        <f>SUM(W42:W43)</f>
        <v>4295</v>
      </c>
    </row>
    <row r="45" spans="1:23">
      <c r="A45" s="1324" t="s">
        <v>883</v>
      </c>
      <c r="B45" s="1328">
        <f>élec!BD44</f>
        <v>924</v>
      </c>
      <c r="C45" s="1321">
        <f>élec!BE44</f>
        <v>1</v>
      </c>
      <c r="D45" s="1321">
        <f>'HT-HP 2'!AC44</f>
        <v>0</v>
      </c>
      <c r="E45" s="1321">
        <f t="shared" si="7"/>
        <v>925</v>
      </c>
      <c r="F45" s="1321">
        <f>élec!BD59</f>
        <v>515</v>
      </c>
      <c r="G45" s="1321">
        <f>élec!BE59</f>
        <v>13</v>
      </c>
      <c r="H45" s="1321">
        <f>'HT-HP 2'!AC59</f>
        <v>0</v>
      </c>
      <c r="I45" s="1321">
        <f t="shared" si="8"/>
        <v>528</v>
      </c>
      <c r="J45" s="1322">
        <f t="shared" si="9"/>
        <v>-42.918918918918919</v>
      </c>
      <c r="K45" s="1321">
        <f>élec!AZ44</f>
        <v>5693</v>
      </c>
      <c r="L45" s="1321">
        <f>élec!BA44</f>
        <v>46</v>
      </c>
      <c r="M45" s="1321">
        <f>'HT-HP 2'!Z44</f>
        <v>0</v>
      </c>
      <c r="N45" s="1321">
        <f t="shared" si="10"/>
        <v>5739</v>
      </c>
      <c r="O45" s="1321">
        <f>élec!AZ59</f>
        <v>5171</v>
      </c>
      <c r="P45" s="1321">
        <f>élec!BA59</f>
        <v>63</v>
      </c>
      <c r="Q45" s="1321">
        <f>'HT-HP 2'!Z59</f>
        <v>0</v>
      </c>
      <c r="R45" s="1321">
        <f t="shared" si="11"/>
        <v>5234</v>
      </c>
      <c r="S45" s="1321">
        <f t="shared" si="12"/>
        <v>-8.7994424115699612</v>
      </c>
      <c r="T45" s="1322">
        <f t="shared" si="14"/>
        <v>8192</v>
      </c>
      <c r="U45" s="1329">
        <f t="shared" si="13"/>
        <v>63.8916015625</v>
      </c>
      <c r="W45" s="87">
        <v>30</v>
      </c>
    </row>
    <row r="46" spans="1:23">
      <c r="A46" s="1324" t="s">
        <v>884</v>
      </c>
      <c r="B46" s="1328">
        <f>élec!BD45</f>
        <v>740</v>
      </c>
      <c r="C46" s="1321">
        <f>élec!BE45</f>
        <v>9</v>
      </c>
      <c r="D46" s="1321">
        <f>'HT-HP 2'!AC45</f>
        <v>0</v>
      </c>
      <c r="E46" s="1321">
        <f t="shared" si="7"/>
        <v>749</v>
      </c>
      <c r="F46" s="1321">
        <f>élec!BD60</f>
        <v>1402</v>
      </c>
      <c r="G46" s="1321">
        <f>élec!BE60</f>
        <v>5</v>
      </c>
      <c r="H46" s="1321">
        <f>'HT-HP 2'!AC60</f>
        <v>0</v>
      </c>
      <c r="I46" s="1321">
        <f t="shared" si="8"/>
        <v>1407</v>
      </c>
      <c r="J46" s="1322">
        <f t="shared" si="9"/>
        <v>87.850467289719631</v>
      </c>
      <c r="K46" s="1321">
        <f>élec!AZ45</f>
        <v>8972</v>
      </c>
      <c r="L46" s="1321">
        <f>élec!BA45</f>
        <v>41</v>
      </c>
      <c r="M46" s="1321">
        <f>'HT-HP 2'!Z45</f>
        <v>0</v>
      </c>
      <c r="N46" s="1321">
        <f t="shared" si="10"/>
        <v>9013</v>
      </c>
      <c r="O46" s="1321">
        <f>élec!AZ60</f>
        <v>7516</v>
      </c>
      <c r="P46" s="1321">
        <f>élec!BA60</f>
        <v>41</v>
      </c>
      <c r="Q46" s="1321">
        <f>'HT-HP 2'!Z60</f>
        <v>0</v>
      </c>
      <c r="R46" s="1321">
        <f t="shared" si="11"/>
        <v>7557</v>
      </c>
      <c r="S46" s="1321">
        <f t="shared" si="12"/>
        <v>-16.1544435814934</v>
      </c>
      <c r="T46" s="1322">
        <f t="shared" si="14"/>
        <v>11300</v>
      </c>
      <c r="U46" s="1329">
        <f t="shared" si="13"/>
        <v>66.876106194690266</v>
      </c>
    </row>
    <row r="47" spans="1:23" ht="14.4" thickBot="1">
      <c r="A47" s="1324" t="s">
        <v>885</v>
      </c>
      <c r="B47" s="1328">
        <f>élec!BD46</f>
        <v>92</v>
      </c>
      <c r="C47" s="1321">
        <f>élec!BE46</f>
        <v>0</v>
      </c>
      <c r="D47" s="1321">
        <f>'HT-HP 2'!AC46</f>
        <v>0</v>
      </c>
      <c r="E47" s="1321">
        <f t="shared" si="7"/>
        <v>92</v>
      </c>
      <c r="F47" s="1321">
        <f>élec!BD61</f>
        <v>241</v>
      </c>
      <c r="G47" s="1321">
        <f>élec!BE61</f>
        <v>0</v>
      </c>
      <c r="H47" s="1321">
        <f>'HT-HP 2'!AC61</f>
        <v>0</v>
      </c>
      <c r="I47" s="1321">
        <f t="shared" si="8"/>
        <v>241</v>
      </c>
      <c r="J47" s="1322">
        <f t="shared" si="9"/>
        <v>161.95652173913044</v>
      </c>
      <c r="K47" s="1321">
        <f>élec!AZ46</f>
        <v>3516</v>
      </c>
      <c r="L47" s="1321">
        <f>élec!BA46</f>
        <v>4</v>
      </c>
      <c r="M47" s="1321">
        <f>'HT-HP 2'!Z46</f>
        <v>0</v>
      </c>
      <c r="N47" s="1321">
        <f t="shared" si="10"/>
        <v>3520</v>
      </c>
      <c r="O47" s="1321">
        <f>élec!AZ61</f>
        <v>4205</v>
      </c>
      <c r="P47" s="1321">
        <f>élec!BA61</f>
        <v>1</v>
      </c>
      <c r="Q47" s="1321">
        <f>'HT-HP 2'!Z61</f>
        <v>0</v>
      </c>
      <c r="R47" s="1321">
        <f t="shared" si="11"/>
        <v>4206</v>
      </c>
      <c r="S47" s="1321">
        <f t="shared" si="12"/>
        <v>19.488636363636363</v>
      </c>
      <c r="T47" s="1322">
        <f t="shared" si="14"/>
        <v>3280</v>
      </c>
      <c r="U47" s="1329">
        <f t="shared" si="13"/>
        <v>128.23170731707316</v>
      </c>
    </row>
    <row r="48" spans="1:23" ht="14.4" thickBot="1">
      <c r="A48" s="105" t="s">
        <v>25</v>
      </c>
      <c r="B48" s="1340">
        <f>SUM(B38:B47)</f>
        <v>8500</v>
      </c>
      <c r="C48" s="1336">
        <f>SUM(C38:C47)</f>
        <v>51</v>
      </c>
      <c r="D48" s="1336">
        <f>SUM(D38:D47)</f>
        <v>0</v>
      </c>
      <c r="E48" s="1336">
        <f t="shared" si="7"/>
        <v>8551</v>
      </c>
      <c r="F48" s="1336">
        <f>SUM(F38:F47)</f>
        <v>10310</v>
      </c>
      <c r="G48" s="1336">
        <f>SUM(G38:G47)</f>
        <v>65</v>
      </c>
      <c r="H48" s="1336">
        <f>SUM(H38:H47)</f>
        <v>0</v>
      </c>
      <c r="I48" s="1336">
        <f t="shared" si="8"/>
        <v>10375</v>
      </c>
      <c r="J48" s="1337">
        <f t="shared" si="9"/>
        <v>21.330838498421237</v>
      </c>
      <c r="K48" s="1336">
        <f>SUM(K38:K47)</f>
        <v>74769</v>
      </c>
      <c r="L48" s="1336">
        <f>SUM(L38:L47)</f>
        <v>366</v>
      </c>
      <c r="M48" s="1336">
        <f>SUM(M38:M47)</f>
        <v>0</v>
      </c>
      <c r="N48" s="1336">
        <f t="shared" si="10"/>
        <v>75135</v>
      </c>
      <c r="O48" s="1336">
        <f>SUM(O38:O47)</f>
        <v>78176</v>
      </c>
      <c r="P48" s="1336">
        <f>SUM(P38:P47)</f>
        <v>547</v>
      </c>
      <c r="Q48" s="1336">
        <f>SUM(Q38:Q47)</f>
        <v>0</v>
      </c>
      <c r="R48" s="1336">
        <f t="shared" si="11"/>
        <v>78723</v>
      </c>
      <c r="S48" s="1337">
        <f t="shared" si="12"/>
        <v>4.7754042723098422</v>
      </c>
      <c r="T48" s="1337">
        <f>SUM(T38:T47)</f>
        <v>91212</v>
      </c>
      <c r="U48" s="1338">
        <f t="shared" si="13"/>
        <v>86.307722668069985</v>
      </c>
    </row>
    <row r="50" spans="1:21" ht="16.2" thickBot="1">
      <c r="B50" s="2929" t="s">
        <v>204</v>
      </c>
      <c r="C50" s="2929"/>
      <c r="D50" s="2929"/>
      <c r="E50" s="2929"/>
      <c r="F50" s="2929"/>
      <c r="G50" s="2929"/>
      <c r="H50" s="2929"/>
      <c r="I50" s="2929"/>
      <c r="J50" s="2929"/>
      <c r="K50" s="2929"/>
      <c r="L50" s="2929"/>
      <c r="M50" s="2929"/>
      <c r="N50" s="2929"/>
      <c r="O50" s="2929"/>
      <c r="P50" s="2929"/>
      <c r="Q50" s="2929"/>
      <c r="R50" s="2929"/>
      <c r="S50" s="2929"/>
      <c r="T50" s="2929"/>
      <c r="U50" s="2929"/>
    </row>
    <row r="51" spans="1:21">
      <c r="B51" s="2893" t="s">
        <v>175</v>
      </c>
      <c r="C51" s="2883"/>
      <c r="D51" s="2883"/>
      <c r="E51" s="2883"/>
      <c r="F51" s="2883"/>
      <c r="G51" s="2883"/>
      <c r="H51" s="2883"/>
      <c r="I51" s="2883"/>
      <c r="J51" s="2903" t="s">
        <v>174</v>
      </c>
      <c r="K51" s="2883" t="s">
        <v>143</v>
      </c>
      <c r="L51" s="2883"/>
      <c r="M51" s="2883"/>
      <c r="N51" s="2883"/>
      <c r="O51" s="2883"/>
      <c r="P51" s="2883"/>
      <c r="Q51" s="2883"/>
      <c r="R51" s="2883"/>
      <c r="S51" s="2903" t="s">
        <v>174</v>
      </c>
      <c r="T51" s="2903" t="str">
        <f>T35</f>
        <v>Objectif 2024</v>
      </c>
      <c r="U51" s="2927" t="s">
        <v>202</v>
      </c>
    </row>
    <row r="52" spans="1:21">
      <c r="B52" s="2895">
        <f>B36</f>
        <v>45139</v>
      </c>
      <c r="C52" s="2889"/>
      <c r="D52" s="2889"/>
      <c r="E52" s="2889"/>
      <c r="F52" s="2889">
        <f>F36</f>
        <v>45505</v>
      </c>
      <c r="G52" s="2889"/>
      <c r="H52" s="2889"/>
      <c r="I52" s="2889"/>
      <c r="J52" s="2889"/>
      <c r="K52" s="2889">
        <f>B52</f>
        <v>45139</v>
      </c>
      <c r="L52" s="2889"/>
      <c r="M52" s="2889"/>
      <c r="N52" s="2889"/>
      <c r="O52" s="2889">
        <f>F52</f>
        <v>45505</v>
      </c>
      <c r="P52" s="2889"/>
      <c r="Q52" s="2889"/>
      <c r="R52" s="2889"/>
      <c r="S52" s="2889"/>
      <c r="T52" s="2889"/>
      <c r="U52" s="2928"/>
    </row>
    <row r="53" spans="1:21">
      <c r="B53" s="1877" t="s">
        <v>56</v>
      </c>
      <c r="C53" s="1875" t="s">
        <v>21</v>
      </c>
      <c r="D53" s="1875" t="s">
        <v>199</v>
      </c>
      <c r="E53" s="1875" t="s">
        <v>20</v>
      </c>
      <c r="F53" s="1875" t="s">
        <v>56</v>
      </c>
      <c r="G53" s="1875" t="s">
        <v>21</v>
      </c>
      <c r="H53" s="1875" t="s">
        <v>199</v>
      </c>
      <c r="I53" s="1875" t="s">
        <v>20</v>
      </c>
      <c r="J53" s="2889"/>
      <c r="K53" s="1875" t="s">
        <v>56</v>
      </c>
      <c r="L53" s="1875" t="s">
        <v>21</v>
      </c>
      <c r="M53" s="1875" t="s">
        <v>199</v>
      </c>
      <c r="N53" s="1875" t="s">
        <v>20</v>
      </c>
      <c r="O53" s="1875" t="s">
        <v>56</v>
      </c>
      <c r="P53" s="1875" t="s">
        <v>21</v>
      </c>
      <c r="Q53" s="1875" t="s">
        <v>199</v>
      </c>
      <c r="R53" s="1875" t="s">
        <v>20</v>
      </c>
      <c r="S53" s="2889"/>
      <c r="T53" s="2889"/>
      <c r="U53" s="2928"/>
    </row>
    <row r="54" spans="1:21">
      <c r="A54" s="1324" t="s">
        <v>6</v>
      </c>
      <c r="B54" s="1328">
        <f>gaz!BD37</f>
        <v>666</v>
      </c>
      <c r="C54" s="1321">
        <f>gaz!BE37</f>
        <v>0</v>
      </c>
      <c r="D54" s="1321">
        <f>'HT-HP 2'!AD37</f>
        <v>0</v>
      </c>
      <c r="E54" s="1321">
        <f t="shared" ref="E54:E64" si="15">B54+C54+D54</f>
        <v>666</v>
      </c>
      <c r="F54" s="1321">
        <f>gaz!BD52</f>
        <v>1108</v>
      </c>
      <c r="G54" s="1321">
        <f>gaz!BE52</f>
        <v>0</v>
      </c>
      <c r="H54" s="1321">
        <f>'HT-HP 2'!AD52</f>
        <v>0</v>
      </c>
      <c r="I54" s="1321">
        <f t="shared" ref="I54:I64" si="16">F54+G54+H54</f>
        <v>1108</v>
      </c>
      <c r="J54" s="1322">
        <f t="shared" ref="J54:J64" si="17">((I54-E54)/E54)*100</f>
        <v>66.366366366366364</v>
      </c>
      <c r="K54" s="1321">
        <f>gaz!AZ37</f>
        <v>10374</v>
      </c>
      <c r="L54" s="1321">
        <f>gaz!BA37</f>
        <v>4</v>
      </c>
      <c r="M54" s="1321">
        <f>'HT-HP 2'!AA37</f>
        <v>0</v>
      </c>
      <c r="N54" s="1321">
        <f t="shared" ref="N54:N64" si="18">K54+L54+M54</f>
        <v>10378</v>
      </c>
      <c r="O54" s="1321">
        <f>gaz!AZ52</f>
        <v>12045</v>
      </c>
      <c r="P54" s="1321">
        <f>gaz!BA52</f>
        <v>-4</v>
      </c>
      <c r="Q54" s="1321">
        <f>'HT-HP 2'!AA52</f>
        <v>0</v>
      </c>
      <c r="R54" s="1321">
        <f t="shared" ref="R54:R64" si="19">O54+P54+Q54</f>
        <v>12041</v>
      </c>
      <c r="S54" s="1322">
        <f t="shared" ref="S54:S64" si="20">((R54-N54)/N54)*100</f>
        <v>16.024282135286182</v>
      </c>
      <c r="T54" s="1323">
        <f>T129</f>
        <v>9605</v>
      </c>
      <c r="U54" s="1329">
        <f t="shared" ref="U54:U64" si="21">(R54/T54)*100</f>
        <v>125.36179073399272</v>
      </c>
    </row>
    <row r="55" spans="1:21">
      <c r="A55" s="1324" t="s">
        <v>7</v>
      </c>
      <c r="B55" s="1328">
        <f>gaz!BD38</f>
        <v>359</v>
      </c>
      <c r="C55" s="1321">
        <f>gaz!BE38</f>
        <v>0</v>
      </c>
      <c r="D55" s="1321">
        <f>'HT-HP 2'!AD38</f>
        <v>0</v>
      </c>
      <c r="E55" s="1321">
        <f t="shared" si="15"/>
        <v>359</v>
      </c>
      <c r="F55" s="1321">
        <f>gaz!BD53</f>
        <v>417</v>
      </c>
      <c r="G55" s="1321">
        <f>gaz!BE53</f>
        <v>0</v>
      </c>
      <c r="H55" s="1321">
        <f>'HT-HP 2'!AD53</f>
        <v>0</v>
      </c>
      <c r="I55" s="1321">
        <f t="shared" si="16"/>
        <v>417</v>
      </c>
      <c r="J55" s="1322">
        <f t="shared" si="17"/>
        <v>16.15598885793872</v>
      </c>
      <c r="K55" s="1321">
        <f>gaz!AZ38</f>
        <v>5665</v>
      </c>
      <c r="L55" s="1321">
        <f>gaz!BA38</f>
        <v>9</v>
      </c>
      <c r="M55" s="1321">
        <f>'HT-HP 2'!AA38</f>
        <v>0</v>
      </c>
      <c r="N55" s="1321">
        <f t="shared" si="18"/>
        <v>5674</v>
      </c>
      <c r="O55" s="1321">
        <f>gaz!AZ53</f>
        <v>5043</v>
      </c>
      <c r="P55" s="1321">
        <f>gaz!BA53</f>
        <v>5</v>
      </c>
      <c r="Q55" s="1321">
        <f>'HT-HP 2'!AA53</f>
        <v>0</v>
      </c>
      <c r="R55" s="1321">
        <f t="shared" si="19"/>
        <v>5048</v>
      </c>
      <c r="S55" s="1322">
        <f t="shared" si="20"/>
        <v>-11.032781106802961</v>
      </c>
      <c r="T55" s="1323">
        <f t="shared" ref="T55:T63" si="22">T130</f>
        <v>8629</v>
      </c>
      <c r="U55" s="1329">
        <f t="shared" si="21"/>
        <v>58.500405608992935</v>
      </c>
    </row>
    <row r="56" spans="1:21">
      <c r="A56" s="1324" t="s">
        <v>8</v>
      </c>
      <c r="B56" s="1328">
        <f>gaz!BD39</f>
        <v>1145</v>
      </c>
      <c r="C56" s="1321">
        <f>gaz!BE39</f>
        <v>0</v>
      </c>
      <c r="D56" s="1321">
        <f>'HT-HP 2'!AD39</f>
        <v>0</v>
      </c>
      <c r="E56" s="1321">
        <f t="shared" si="15"/>
        <v>1145</v>
      </c>
      <c r="F56" s="1321">
        <f>gaz!BD54</f>
        <v>952</v>
      </c>
      <c r="G56" s="1321">
        <f>gaz!BE54</f>
        <v>0</v>
      </c>
      <c r="H56" s="1321">
        <f>'HT-HP 2'!AD54</f>
        <v>0</v>
      </c>
      <c r="I56" s="1321">
        <f t="shared" si="16"/>
        <v>952</v>
      </c>
      <c r="J56" s="1322">
        <f t="shared" si="17"/>
        <v>-16.855895196506552</v>
      </c>
      <c r="K56" s="1321">
        <f>gaz!AZ39</f>
        <v>10870</v>
      </c>
      <c r="L56" s="1321">
        <f>gaz!BA39</f>
        <v>0</v>
      </c>
      <c r="M56" s="1321">
        <f>'HT-HP 2'!AA39</f>
        <v>0</v>
      </c>
      <c r="N56" s="1321">
        <f t="shared" si="18"/>
        <v>10870</v>
      </c>
      <c r="O56" s="1321">
        <f>gaz!AZ54</f>
        <v>7694</v>
      </c>
      <c r="P56" s="1321">
        <f>gaz!BA54</f>
        <v>9</v>
      </c>
      <c r="Q56" s="1321">
        <f>'HT-HP 2'!AA54</f>
        <v>0</v>
      </c>
      <c r="R56" s="1321">
        <f t="shared" si="19"/>
        <v>7703</v>
      </c>
      <c r="S56" s="1322">
        <f t="shared" si="20"/>
        <v>-29.135234590616378</v>
      </c>
      <c r="T56" s="1323">
        <f t="shared" si="22"/>
        <v>7056</v>
      </c>
      <c r="U56" s="1329">
        <f t="shared" si="21"/>
        <v>109.16950113378685</v>
      </c>
    </row>
    <row r="57" spans="1:21">
      <c r="A57" s="1324" t="s">
        <v>4</v>
      </c>
      <c r="B57" s="1328">
        <f>gaz!BD40</f>
        <v>861</v>
      </c>
      <c r="C57" s="1321">
        <f>gaz!BE40</f>
        <v>0</v>
      </c>
      <c r="D57" s="1321">
        <f>'HT-HP 2'!AD40</f>
        <v>0</v>
      </c>
      <c r="E57" s="1321">
        <f t="shared" si="15"/>
        <v>861</v>
      </c>
      <c r="F57" s="1321">
        <f>gaz!BD55</f>
        <v>941</v>
      </c>
      <c r="G57" s="1321">
        <f>gaz!BE55</f>
        <v>0</v>
      </c>
      <c r="H57" s="1321">
        <f>'HT-HP 2'!AD55</f>
        <v>0</v>
      </c>
      <c r="I57" s="1321">
        <f t="shared" si="16"/>
        <v>941</v>
      </c>
      <c r="J57" s="1322">
        <f t="shared" si="17"/>
        <v>9.2915214866434379</v>
      </c>
      <c r="K57" s="1321">
        <f>gaz!AZ40</f>
        <v>8240</v>
      </c>
      <c r="L57" s="1321">
        <f>gaz!BA40</f>
        <v>1</v>
      </c>
      <c r="M57" s="1321">
        <f>'HT-HP 2'!AA40</f>
        <v>0</v>
      </c>
      <c r="N57" s="1321">
        <f t="shared" si="18"/>
        <v>8241</v>
      </c>
      <c r="O57" s="1321">
        <f>gaz!AZ55</f>
        <v>10412</v>
      </c>
      <c r="P57" s="1321">
        <f>gaz!BA55</f>
        <v>7</v>
      </c>
      <c r="Q57" s="1321">
        <f>'HT-HP 2'!AA55</f>
        <v>1</v>
      </c>
      <c r="R57" s="1321">
        <f t="shared" si="19"/>
        <v>10420</v>
      </c>
      <c r="S57" s="1322">
        <f t="shared" si="20"/>
        <v>26.440965902196332</v>
      </c>
      <c r="T57" s="1323">
        <f t="shared" si="22"/>
        <v>21096</v>
      </c>
      <c r="U57" s="1329">
        <f t="shared" si="21"/>
        <v>49.393249905195297</v>
      </c>
    </row>
    <row r="58" spans="1:21">
      <c r="A58" s="1325" t="s">
        <v>3</v>
      </c>
      <c r="B58" s="1328">
        <f>gaz!BD41</f>
        <v>372</v>
      </c>
      <c r="C58" s="1321">
        <f>gaz!BE41</f>
        <v>0</v>
      </c>
      <c r="D58" s="1321">
        <f>'HT-HP 2'!AD41</f>
        <v>0</v>
      </c>
      <c r="E58" s="1321">
        <f t="shared" si="15"/>
        <v>372</v>
      </c>
      <c r="F58" s="1321">
        <f>gaz!BD56</f>
        <v>462</v>
      </c>
      <c r="G58" s="1321">
        <f>gaz!BE56</f>
        <v>0</v>
      </c>
      <c r="H58" s="1321">
        <f>'HT-HP 2'!AD56</f>
        <v>0</v>
      </c>
      <c r="I58" s="1321">
        <f t="shared" si="16"/>
        <v>462</v>
      </c>
      <c r="J58" s="1322">
        <f t="shared" si="17"/>
        <v>24.193548387096776</v>
      </c>
      <c r="K58" s="1321">
        <f>gaz!AZ41</f>
        <v>3771</v>
      </c>
      <c r="L58" s="1321">
        <f>gaz!BA41</f>
        <v>2</v>
      </c>
      <c r="M58" s="1321">
        <f>'HT-HP 2'!AA41</f>
        <v>0</v>
      </c>
      <c r="N58" s="1321">
        <f t="shared" si="18"/>
        <v>3773</v>
      </c>
      <c r="O58" s="1321">
        <f>gaz!AZ56</f>
        <v>3480</v>
      </c>
      <c r="P58" s="1321">
        <f>gaz!BA56</f>
        <v>2</v>
      </c>
      <c r="Q58" s="1321">
        <f>'HT-HP 2'!AA56</f>
        <v>0</v>
      </c>
      <c r="R58" s="1321">
        <f t="shared" si="19"/>
        <v>3482</v>
      </c>
      <c r="S58" s="1322">
        <f t="shared" si="20"/>
        <v>-7.7126954677975093</v>
      </c>
      <c r="T58" s="1323">
        <f t="shared" si="22"/>
        <v>8557</v>
      </c>
      <c r="U58" s="1329">
        <f t="shared" si="21"/>
        <v>40.691831249269605</v>
      </c>
    </row>
    <row r="59" spans="1:21">
      <c r="A59" s="1324" t="s">
        <v>397</v>
      </c>
      <c r="B59" s="1328">
        <f>gaz!BD42</f>
        <v>385</v>
      </c>
      <c r="C59" s="1321">
        <f>gaz!BE42</f>
        <v>0</v>
      </c>
      <c r="D59" s="1321">
        <f>'HT-HP 2'!AD42</f>
        <v>-1</v>
      </c>
      <c r="E59" s="1321">
        <f t="shared" si="15"/>
        <v>384</v>
      </c>
      <c r="F59" s="1321">
        <f>gaz!BD57</f>
        <v>530</v>
      </c>
      <c r="G59" s="1321">
        <f>gaz!BE57</f>
        <v>0</v>
      </c>
      <c r="H59" s="1321">
        <v>0</v>
      </c>
      <c r="I59" s="1321">
        <f t="shared" si="16"/>
        <v>530</v>
      </c>
      <c r="J59" s="1322">
        <f t="shared" si="17"/>
        <v>38.020833333333329</v>
      </c>
      <c r="K59" s="1321">
        <f>gaz!AZ42</f>
        <v>7476</v>
      </c>
      <c r="L59" s="1321">
        <f>gaz!BA42</f>
        <v>0</v>
      </c>
      <c r="M59" s="1321">
        <f>'HT-HP 2'!AA42</f>
        <v>-1</v>
      </c>
      <c r="N59" s="1321">
        <f t="shared" si="18"/>
        <v>7475</v>
      </c>
      <c r="O59" s="1321">
        <f>gaz!AZ57</f>
        <v>5797</v>
      </c>
      <c r="P59" s="1321">
        <f>gaz!BA57</f>
        <v>4</v>
      </c>
      <c r="Q59" s="1321">
        <f>'HT-HP 2'!AA57</f>
        <v>0</v>
      </c>
      <c r="R59" s="1321">
        <f t="shared" si="19"/>
        <v>5801</v>
      </c>
      <c r="S59" s="1322">
        <f t="shared" si="20"/>
        <v>-22.394648829431439</v>
      </c>
      <c r="T59" s="1323">
        <f t="shared" si="22"/>
        <v>7279</v>
      </c>
      <c r="U59" s="1329">
        <f t="shared" si="21"/>
        <v>79.695013051243308</v>
      </c>
    </row>
    <row r="60" spans="1:21">
      <c r="A60" s="1324" t="s">
        <v>399</v>
      </c>
      <c r="B60" s="1328">
        <f>gaz!BD43</f>
        <v>691</v>
      </c>
      <c r="C60" s="1321">
        <f>gaz!BE43</f>
        <v>0</v>
      </c>
      <c r="D60" s="1321">
        <f>'HT-HP 2'!AD43</f>
        <v>0</v>
      </c>
      <c r="E60" s="1321">
        <f t="shared" si="15"/>
        <v>691</v>
      </c>
      <c r="F60" s="1321">
        <f>gaz!BD58</f>
        <v>915</v>
      </c>
      <c r="G60" s="1321">
        <f>gaz!BE58</f>
        <v>2</v>
      </c>
      <c r="H60" s="1321">
        <f>'HT-HP 2'!AD58</f>
        <v>0</v>
      </c>
      <c r="I60" s="1321">
        <f t="shared" si="16"/>
        <v>917</v>
      </c>
      <c r="J60" s="1322">
        <f t="shared" si="17"/>
        <v>32.706222865412443</v>
      </c>
      <c r="K60" s="1321">
        <f>gaz!AZ43</f>
        <v>9690</v>
      </c>
      <c r="L60" s="1321">
        <f>gaz!BA43</f>
        <v>3</v>
      </c>
      <c r="M60" s="1321">
        <f>'HT-HP 2'!AA43</f>
        <v>0</v>
      </c>
      <c r="N60" s="1321">
        <f t="shared" si="18"/>
        <v>9693</v>
      </c>
      <c r="O60" s="1321">
        <f>gaz!AZ58</f>
        <v>10328</v>
      </c>
      <c r="P60" s="1321">
        <f>gaz!BA58</f>
        <v>9</v>
      </c>
      <c r="Q60" s="1321">
        <f>'HT-HP 2'!AA58</f>
        <v>-1</v>
      </c>
      <c r="R60" s="1321">
        <f t="shared" si="19"/>
        <v>10336</v>
      </c>
      <c r="S60" s="1322">
        <f t="shared" si="20"/>
        <v>6.6336531517590016</v>
      </c>
      <c r="T60" s="1323">
        <f t="shared" si="22"/>
        <v>10319</v>
      </c>
      <c r="U60" s="1329">
        <f t="shared" si="21"/>
        <v>100.164744645799</v>
      </c>
    </row>
    <row r="61" spans="1:21">
      <c r="A61" s="1324" t="s">
        <v>883</v>
      </c>
      <c r="B61" s="1328">
        <f>gaz!BD44</f>
        <v>318</v>
      </c>
      <c r="C61" s="1321">
        <f>gaz!BE44</f>
        <v>0</v>
      </c>
      <c r="D61" s="1321">
        <f>'HT-HP 2'!AD44</f>
        <v>0</v>
      </c>
      <c r="E61" s="1321">
        <f t="shared" si="15"/>
        <v>318</v>
      </c>
      <c r="F61" s="1321">
        <f>gaz!BD59</f>
        <v>356</v>
      </c>
      <c r="G61" s="1321">
        <f>gaz!BE59</f>
        <v>0</v>
      </c>
      <c r="H61" s="1321">
        <f>'HT-HP 2'!AD59</f>
        <v>0</v>
      </c>
      <c r="I61" s="1321">
        <f t="shared" si="16"/>
        <v>356</v>
      </c>
      <c r="J61" s="1322">
        <f t="shared" si="17"/>
        <v>11.949685534591195</v>
      </c>
      <c r="K61" s="1321">
        <f>gaz!AZ44</f>
        <v>6075</v>
      </c>
      <c r="L61" s="1321">
        <f>gaz!BA44</f>
        <v>7</v>
      </c>
      <c r="M61" s="1321">
        <f>'HT-HP 2'!AA44</f>
        <v>0</v>
      </c>
      <c r="N61" s="1321">
        <f t="shared" si="18"/>
        <v>6082</v>
      </c>
      <c r="O61" s="1321">
        <f>gaz!AZ59</f>
        <v>4553</v>
      </c>
      <c r="P61" s="1321">
        <f>gaz!BA59</f>
        <v>4</v>
      </c>
      <c r="Q61" s="1321">
        <f>'HT-HP 2'!AA59</f>
        <v>0</v>
      </c>
      <c r="R61" s="1321">
        <f t="shared" si="19"/>
        <v>4557</v>
      </c>
      <c r="S61" s="1322">
        <f t="shared" si="20"/>
        <v>-25.073988819467282</v>
      </c>
      <c r="T61" s="1323">
        <f t="shared" si="22"/>
        <v>6572</v>
      </c>
      <c r="U61" s="1329">
        <f t="shared" si="21"/>
        <v>69.339622641509436</v>
      </c>
    </row>
    <row r="62" spans="1:21">
      <c r="A62" s="1324" t="s">
        <v>884</v>
      </c>
      <c r="B62" s="1328">
        <f>gaz!BD45</f>
        <v>363</v>
      </c>
      <c r="C62" s="1321">
        <f>gaz!BE45</f>
        <v>1</v>
      </c>
      <c r="D62" s="1321">
        <f>'HT-HP 2'!AD45</f>
        <v>0</v>
      </c>
      <c r="E62" s="1321">
        <f t="shared" si="15"/>
        <v>364</v>
      </c>
      <c r="F62" s="1321">
        <f>gaz!BD60</f>
        <v>1215</v>
      </c>
      <c r="G62" s="1321">
        <f>gaz!BE60</f>
        <v>2</v>
      </c>
      <c r="H62" s="1321">
        <f>'HT-HP 2'!AD60</f>
        <v>0</v>
      </c>
      <c r="I62" s="1321">
        <f t="shared" si="16"/>
        <v>1217</v>
      </c>
      <c r="J62" s="1322">
        <f t="shared" si="17"/>
        <v>234.34065934065936</v>
      </c>
      <c r="K62" s="1321">
        <f>gaz!AZ45</f>
        <v>11327</v>
      </c>
      <c r="L62" s="1321">
        <f>gaz!BA45</f>
        <v>3</v>
      </c>
      <c r="M62" s="1321">
        <f>'HT-HP 2'!AA45</f>
        <v>0</v>
      </c>
      <c r="N62" s="1321">
        <f t="shared" si="18"/>
        <v>11330</v>
      </c>
      <c r="O62" s="1321">
        <f>gaz!AZ60</f>
        <v>8406</v>
      </c>
      <c r="P62" s="1321">
        <f>gaz!BA60</f>
        <v>5</v>
      </c>
      <c r="Q62" s="1321">
        <f>'HT-HP 2'!AA60</f>
        <v>0</v>
      </c>
      <c r="R62" s="1321">
        <f t="shared" si="19"/>
        <v>8411</v>
      </c>
      <c r="S62" s="1322">
        <f t="shared" si="20"/>
        <v>-25.763459841129745</v>
      </c>
      <c r="T62" s="1323">
        <f t="shared" si="22"/>
        <v>7684</v>
      </c>
      <c r="U62" s="1329">
        <f t="shared" si="21"/>
        <v>109.46121811556482</v>
      </c>
    </row>
    <row r="63" spans="1:21" ht="14.4" thickBot="1">
      <c r="A63" s="1324" t="s">
        <v>885</v>
      </c>
      <c r="B63" s="1328">
        <f>gaz!BD46</f>
        <v>303</v>
      </c>
      <c r="C63" s="1321">
        <f>gaz!BE46</f>
        <v>0</v>
      </c>
      <c r="D63" s="1321">
        <f>'HT-HP 2'!AD46</f>
        <v>0</v>
      </c>
      <c r="E63" s="1321">
        <f t="shared" si="15"/>
        <v>303</v>
      </c>
      <c r="F63" s="1321">
        <f>gaz!BD61</f>
        <v>176</v>
      </c>
      <c r="G63" s="1321">
        <f>gaz!BE61</f>
        <v>0</v>
      </c>
      <c r="H63" s="1321">
        <f>'HT-HP 2'!AD61</f>
        <v>0</v>
      </c>
      <c r="I63" s="1321">
        <f t="shared" si="16"/>
        <v>176</v>
      </c>
      <c r="J63" s="1322">
        <f t="shared" si="17"/>
        <v>-41.914191419141915</v>
      </c>
      <c r="K63" s="1321">
        <f>gaz!AZ46</f>
        <v>5527</v>
      </c>
      <c r="L63" s="1321">
        <f>gaz!BA46</f>
        <v>0</v>
      </c>
      <c r="M63" s="1321">
        <f>'HT-HP 2'!AA46</f>
        <v>0</v>
      </c>
      <c r="N63" s="1321">
        <f t="shared" si="18"/>
        <v>5527</v>
      </c>
      <c r="O63" s="1321">
        <f>gaz!AZ61</f>
        <v>4161</v>
      </c>
      <c r="P63" s="1321">
        <f>gaz!BA61</f>
        <v>1</v>
      </c>
      <c r="Q63" s="1321">
        <f>'HT-HP 2'!AA61</f>
        <v>0</v>
      </c>
      <c r="R63" s="1321">
        <f t="shared" si="19"/>
        <v>4162</v>
      </c>
      <c r="S63" s="1322">
        <f t="shared" si="20"/>
        <v>-24.696942283336348</v>
      </c>
      <c r="T63" s="1323">
        <f t="shared" si="22"/>
        <v>3681</v>
      </c>
      <c r="U63" s="1329">
        <f t="shared" si="21"/>
        <v>113.06710133116</v>
      </c>
    </row>
    <row r="64" spans="1:21" ht="14.4" thickBot="1">
      <c r="A64" s="105" t="s">
        <v>25</v>
      </c>
      <c r="B64" s="1340">
        <f>SUM(B54:B63)</f>
        <v>5463</v>
      </c>
      <c r="C64" s="1336">
        <f>SUM(C54:C63)</f>
        <v>1</v>
      </c>
      <c r="D64" s="1336">
        <f>SUM(D54:D63)</f>
        <v>-1</v>
      </c>
      <c r="E64" s="1336">
        <f t="shared" si="15"/>
        <v>5463</v>
      </c>
      <c r="F64" s="1336">
        <f>SUM(F54:F63)</f>
        <v>7072</v>
      </c>
      <c r="G64" s="1336">
        <f>SUM(G54:G63)</f>
        <v>4</v>
      </c>
      <c r="H64" s="1336">
        <f>SUM(H54:H63)</f>
        <v>0</v>
      </c>
      <c r="I64" s="1336">
        <f t="shared" si="16"/>
        <v>7076</v>
      </c>
      <c r="J64" s="1337">
        <f t="shared" si="17"/>
        <v>29.525901519311731</v>
      </c>
      <c r="K64" s="1336">
        <f>SUM(K54:K63)</f>
        <v>79015</v>
      </c>
      <c r="L64" s="1336">
        <f>SUM(L54:L63)</f>
        <v>29</v>
      </c>
      <c r="M64" s="1336">
        <f>SUM(M54:M63)</f>
        <v>-1</v>
      </c>
      <c r="N64" s="1336">
        <f t="shared" si="18"/>
        <v>79043</v>
      </c>
      <c r="O64" s="1336">
        <f>SUM(O54:O63)</f>
        <v>71919</v>
      </c>
      <c r="P64" s="1336">
        <f>SUM(P54:P63)</f>
        <v>42</v>
      </c>
      <c r="Q64" s="1336">
        <f>SUM(Q54:Q63)</f>
        <v>0</v>
      </c>
      <c r="R64" s="1336">
        <f t="shared" si="19"/>
        <v>71961</v>
      </c>
      <c r="S64" s="1337">
        <f t="shared" si="20"/>
        <v>-8.959680174082461</v>
      </c>
      <c r="T64" s="1336">
        <f>SUM(T54:T63)</f>
        <v>90478</v>
      </c>
      <c r="U64" s="1338">
        <f t="shared" si="21"/>
        <v>79.534251420234753</v>
      </c>
    </row>
    <row r="66" spans="1:38" ht="16.5" hidden="1" customHeight="1" thickBot="1">
      <c r="B66" s="2921" t="s">
        <v>646</v>
      </c>
      <c r="C66" s="2921"/>
      <c r="D66" s="2921"/>
      <c r="E66" s="2921"/>
      <c r="F66" s="2921"/>
      <c r="G66" s="2921"/>
      <c r="H66" s="2921"/>
      <c r="I66" s="2921"/>
      <c r="J66" s="2921"/>
      <c r="K66" s="2921"/>
      <c r="L66" s="2921"/>
      <c r="M66" s="2921"/>
      <c r="N66" s="2921"/>
      <c r="O66" s="2921"/>
      <c r="P66" s="2921"/>
      <c r="Q66" s="2921"/>
      <c r="R66" s="2921"/>
      <c r="S66" s="2921"/>
      <c r="T66" s="2921"/>
      <c r="U66" s="2921"/>
    </row>
    <row r="67" spans="1:38" ht="23.25" hidden="1" customHeight="1">
      <c r="B67" s="2876" t="s">
        <v>175</v>
      </c>
      <c r="C67" s="2877"/>
      <c r="D67" s="2877"/>
      <c r="E67" s="2877"/>
      <c r="F67" s="2877"/>
      <c r="G67" s="2877"/>
      <c r="H67" s="2877"/>
      <c r="I67" s="2877"/>
      <c r="J67" s="2878"/>
      <c r="K67" s="2874" t="s">
        <v>143</v>
      </c>
      <c r="L67" s="2875"/>
      <c r="M67" s="2875"/>
      <c r="N67" s="2875"/>
      <c r="O67" s="2875"/>
      <c r="P67" s="2875"/>
      <c r="Q67" s="2875"/>
      <c r="R67" s="2875"/>
      <c r="S67" s="2875"/>
      <c r="T67" s="2904" t="s">
        <v>728</v>
      </c>
      <c r="U67" s="2907" t="s">
        <v>202</v>
      </c>
      <c r="W67" s="1557"/>
      <c r="X67" s="2847" t="s">
        <v>648</v>
      </c>
      <c r="Y67" s="2847"/>
      <c r="Z67" s="2847"/>
      <c r="AA67" s="2847"/>
      <c r="AB67" s="2847"/>
      <c r="AC67" s="2847"/>
      <c r="AD67" s="2847"/>
      <c r="AE67" s="2847"/>
      <c r="AF67" s="2847"/>
      <c r="AG67" s="2847"/>
      <c r="AH67" s="2847"/>
      <c r="AI67" s="2847"/>
    </row>
    <row r="68" spans="1:38" ht="23.25" hidden="1" customHeight="1">
      <c r="B68" s="2879">
        <f>K36</f>
        <v>45139</v>
      </c>
      <c r="C68" s="2880"/>
      <c r="D68" s="2880"/>
      <c r="E68" s="2880"/>
      <c r="F68" s="2881">
        <f>O36</f>
        <v>45505</v>
      </c>
      <c r="G68" s="2881"/>
      <c r="H68" s="2881"/>
      <c r="I68" s="2881"/>
      <c r="J68" s="1341"/>
      <c r="K68" s="2879">
        <f>B68</f>
        <v>45139</v>
      </c>
      <c r="L68" s="2880"/>
      <c r="M68" s="2880"/>
      <c r="N68" s="2880"/>
      <c r="O68" s="2881">
        <f>F68</f>
        <v>45505</v>
      </c>
      <c r="P68" s="2881"/>
      <c r="Q68" s="2881"/>
      <c r="R68" s="2881"/>
      <c r="S68" s="2894"/>
      <c r="T68" s="2905"/>
      <c r="U68" s="2908"/>
      <c r="W68" s="1558"/>
      <c r="X68" s="2848" t="s">
        <v>668</v>
      </c>
      <c r="Y68" s="2849"/>
      <c r="Z68" s="2849"/>
      <c r="AA68" s="2850"/>
      <c r="AB68" s="2848" t="s">
        <v>728</v>
      </c>
      <c r="AC68" s="2849"/>
      <c r="AD68" s="2849"/>
      <c r="AE68" s="2850"/>
      <c r="AF68" s="2848" t="s">
        <v>649</v>
      </c>
      <c r="AG68" s="2849"/>
      <c r="AH68" s="2849"/>
      <c r="AI68" s="2852"/>
    </row>
    <row r="69" spans="1:38" ht="30.75" hidden="1" customHeight="1" thickBot="1">
      <c r="B69" s="1356" t="s">
        <v>52</v>
      </c>
      <c r="C69" s="1357" t="s">
        <v>19</v>
      </c>
      <c r="D69" s="1357" t="s">
        <v>198</v>
      </c>
      <c r="E69" s="1357" t="s">
        <v>20</v>
      </c>
      <c r="F69" s="1352" t="s">
        <v>52</v>
      </c>
      <c r="G69" s="1352" t="s">
        <v>19</v>
      </c>
      <c r="H69" s="1352" t="s">
        <v>198</v>
      </c>
      <c r="I69" s="1352" t="s">
        <v>20</v>
      </c>
      <c r="J69" s="1353" t="s">
        <v>174</v>
      </c>
      <c r="K69" s="1356" t="s">
        <v>52</v>
      </c>
      <c r="L69" s="1357" t="s">
        <v>19</v>
      </c>
      <c r="M69" s="1357" t="s">
        <v>198</v>
      </c>
      <c r="N69" s="1357" t="s">
        <v>20</v>
      </c>
      <c r="O69" s="1352" t="s">
        <v>52</v>
      </c>
      <c r="P69" s="1352" t="s">
        <v>19</v>
      </c>
      <c r="Q69" s="1352" t="s">
        <v>198</v>
      </c>
      <c r="R69" s="1352" t="s">
        <v>20</v>
      </c>
      <c r="S69" s="1353" t="s">
        <v>174</v>
      </c>
      <c r="T69" s="2906"/>
      <c r="U69" s="2909"/>
      <c r="W69" s="1559"/>
      <c r="X69" s="1560" t="s">
        <v>52</v>
      </c>
      <c r="Y69" s="1561" t="s">
        <v>19</v>
      </c>
      <c r="Z69" s="1561" t="s">
        <v>198</v>
      </c>
      <c r="AA69" s="1562" t="s">
        <v>650</v>
      </c>
      <c r="AB69" s="1560" t="s">
        <v>52</v>
      </c>
      <c r="AC69" s="1561" t="s">
        <v>19</v>
      </c>
      <c r="AD69" s="1561" t="s">
        <v>198</v>
      </c>
      <c r="AE69" s="1562" t="s">
        <v>650</v>
      </c>
      <c r="AF69" s="1560" t="s">
        <v>52</v>
      </c>
      <c r="AG69" s="1561" t="s">
        <v>19</v>
      </c>
      <c r="AH69" s="1561" t="s">
        <v>198</v>
      </c>
      <c r="AI69" s="1561" t="s">
        <v>650</v>
      </c>
    </row>
    <row r="70" spans="1:38" ht="15.6" hidden="1">
      <c r="A70" s="1324" t="s">
        <v>6</v>
      </c>
      <c r="B70" s="1347">
        <f>élec!BC100</f>
        <v>1024</v>
      </c>
      <c r="C70" s="1348">
        <f>élec!BD100</f>
        <v>8</v>
      </c>
      <c r="D70" s="1348">
        <f>'HT-HP 2'!AC100</f>
        <v>0</v>
      </c>
      <c r="E70" s="1348">
        <f>B70+C70+D70</f>
        <v>1032</v>
      </c>
      <c r="F70" s="1348">
        <f>élec!BC115</f>
        <v>2056</v>
      </c>
      <c r="G70" s="1348">
        <f>élec!BD115</f>
        <v>5</v>
      </c>
      <c r="H70" s="1348">
        <f>'HT-HP 2'!AC115</f>
        <v>0</v>
      </c>
      <c r="I70" s="1348">
        <f t="shared" ref="I70:I84" si="23">F70+G70+H70</f>
        <v>2061</v>
      </c>
      <c r="J70" s="1349">
        <f t="shared" ref="J70:J84" si="24">((I70-E70)/E70)*100</f>
        <v>99.70930232558139</v>
      </c>
      <c r="K70" s="1347">
        <f>élec!AZ100</f>
        <v>15186</v>
      </c>
      <c r="L70" s="1348">
        <f>élec!BA100</f>
        <v>51</v>
      </c>
      <c r="M70" s="1348">
        <f>'HT-HP 2'!Z100</f>
        <v>0</v>
      </c>
      <c r="N70" s="1348">
        <f t="shared" ref="N70:N84" si="25">K70+L70+M70</f>
        <v>15237</v>
      </c>
      <c r="O70" s="1348">
        <f>élec!AZ115</f>
        <v>17565</v>
      </c>
      <c r="P70" s="1348">
        <f>élec!BA115</f>
        <v>65</v>
      </c>
      <c r="Q70" s="1348">
        <f>'HT-HP 2'!Z115</f>
        <v>0</v>
      </c>
      <c r="R70" s="1348">
        <f>O70+P70+Q70</f>
        <v>17630</v>
      </c>
      <c r="S70" s="1460">
        <f>((R70-N70)/N70)*100</f>
        <v>15.705191310625452</v>
      </c>
      <c r="T70" s="1350">
        <f>AE70</f>
        <v>15650</v>
      </c>
      <c r="U70" s="1351">
        <f t="shared" ref="U70:U84" si="26">(R70/T70)*100</f>
        <v>112.65175718849841</v>
      </c>
      <c r="W70" s="1563" t="s">
        <v>6</v>
      </c>
      <c r="X70" s="1564">
        <f>O70</f>
        <v>17565</v>
      </c>
      <c r="Y70" s="1565">
        <f>P70</f>
        <v>65</v>
      </c>
      <c r="Z70" s="1565">
        <f>Q70</f>
        <v>0</v>
      </c>
      <c r="AA70" s="1566">
        <f>X70+Y70+Z70</f>
        <v>17630</v>
      </c>
      <c r="AB70" s="1564">
        <v>15565</v>
      </c>
      <c r="AC70" s="1567">
        <v>85</v>
      </c>
      <c r="AD70" s="1567">
        <v>0</v>
      </c>
      <c r="AE70" s="1566">
        <f t="shared" ref="AE70:AE83" si="27">+AB70+AC70+AD70</f>
        <v>15650</v>
      </c>
      <c r="AF70" s="1568">
        <f t="shared" ref="AF70:AI74" si="28">X70/AB70*100</f>
        <v>112.8493414712496</v>
      </c>
      <c r="AG70" s="1569">
        <f t="shared" si="28"/>
        <v>76.470588235294116</v>
      </c>
      <c r="AH70" s="1569" t="e">
        <f t="shared" si="28"/>
        <v>#DIV/0!</v>
      </c>
      <c r="AI70" s="1569">
        <f t="shared" si="28"/>
        <v>112.65175718849841</v>
      </c>
    </row>
    <row r="71" spans="1:38" ht="15.6" hidden="1">
      <c r="A71" s="1324" t="s">
        <v>7</v>
      </c>
      <c r="B71" s="1347">
        <f>élec!BC101</f>
        <v>1426</v>
      </c>
      <c r="C71" s="1348">
        <f>élec!BD101</f>
        <v>1</v>
      </c>
      <c r="D71" s="1348">
        <f>'HT-HP 2'!AC101</f>
        <v>0</v>
      </c>
      <c r="E71" s="1321">
        <f t="shared" ref="E71:E84" si="29">B71+C71+D71</f>
        <v>1427</v>
      </c>
      <c r="F71" s="1348">
        <f>élec!BC116</f>
        <v>1246</v>
      </c>
      <c r="G71" s="1348">
        <f>élec!BD116</f>
        <v>8</v>
      </c>
      <c r="H71" s="1348">
        <f>'HT-HP 2'!AC116</f>
        <v>0</v>
      </c>
      <c r="I71" s="1321">
        <f t="shared" si="23"/>
        <v>1254</v>
      </c>
      <c r="J71" s="1342">
        <f t="shared" si="24"/>
        <v>-12.123335669236161</v>
      </c>
      <c r="K71" s="1347">
        <f>élec!AZ101</f>
        <v>9318</v>
      </c>
      <c r="L71" s="1348">
        <f>élec!BA101</f>
        <v>33</v>
      </c>
      <c r="M71" s="1348">
        <f>'HT-HP 2'!Z101</f>
        <v>0</v>
      </c>
      <c r="N71" s="1321">
        <f t="shared" si="25"/>
        <v>9351</v>
      </c>
      <c r="O71" s="1348">
        <f>élec!AZ116</f>
        <v>9127</v>
      </c>
      <c r="P71" s="1348">
        <f>élec!BA116</f>
        <v>57</v>
      </c>
      <c r="Q71" s="1348">
        <f>'HT-HP 2'!Z116</f>
        <v>0</v>
      </c>
      <c r="R71" s="1321">
        <f t="shared" ref="R71:R84" si="30">O71+P71+Q71</f>
        <v>9184</v>
      </c>
      <c r="S71" s="1360">
        <f t="shared" ref="S71:S84" si="31">((R71-N71)/N71)*100</f>
        <v>-1.7859052507753179</v>
      </c>
      <c r="T71" s="1344">
        <f t="shared" ref="T71:T83" si="32">AE71</f>
        <v>9265</v>
      </c>
      <c r="U71" s="1329">
        <f t="shared" si="26"/>
        <v>99.125742039935233</v>
      </c>
      <c r="W71" s="1563" t="s">
        <v>7</v>
      </c>
      <c r="X71" s="1564">
        <f t="shared" ref="X71:X83" si="33">O71</f>
        <v>9127</v>
      </c>
      <c r="Y71" s="1567">
        <f t="shared" ref="Y71:Y83" si="34">P71</f>
        <v>57</v>
      </c>
      <c r="Z71" s="1567">
        <f t="shared" ref="Z71:Z83" si="35">Q71</f>
        <v>0</v>
      </c>
      <c r="AA71" s="1566">
        <f t="shared" ref="AA71:AA83" si="36">X71+Y71+Z71</f>
        <v>9184</v>
      </c>
      <c r="AB71" s="1564">
        <v>9230</v>
      </c>
      <c r="AC71" s="1567">
        <v>35</v>
      </c>
      <c r="AD71" s="1567">
        <v>0</v>
      </c>
      <c r="AE71" s="1566">
        <f t="shared" si="27"/>
        <v>9265</v>
      </c>
      <c r="AF71" s="1568">
        <f t="shared" si="28"/>
        <v>98.884073672806068</v>
      </c>
      <c r="AG71" s="1569">
        <f t="shared" si="28"/>
        <v>162.85714285714286</v>
      </c>
      <c r="AH71" s="1569" t="e">
        <f t="shared" si="28"/>
        <v>#DIV/0!</v>
      </c>
      <c r="AI71" s="1569">
        <f t="shared" si="28"/>
        <v>99.125742039935233</v>
      </c>
    </row>
    <row r="72" spans="1:38" ht="15.6" hidden="1">
      <c r="A72" s="1324" t="s">
        <v>8</v>
      </c>
      <c r="B72" s="1347">
        <f>élec!BC102</f>
        <v>1272</v>
      </c>
      <c r="C72" s="1348">
        <f>élec!BD102</f>
        <v>6</v>
      </c>
      <c r="D72" s="1348">
        <f>'HT-HP 2'!AC102</f>
        <v>0</v>
      </c>
      <c r="E72" s="1321">
        <f t="shared" si="29"/>
        <v>1278</v>
      </c>
      <c r="F72" s="1348">
        <f>élec!BC117</f>
        <v>1311</v>
      </c>
      <c r="G72" s="1348">
        <f>élec!BD117</f>
        <v>3</v>
      </c>
      <c r="H72" s="1348">
        <f>'HT-HP 2'!AC117</f>
        <v>0</v>
      </c>
      <c r="I72" s="1321">
        <f t="shared" si="23"/>
        <v>1314</v>
      </c>
      <c r="J72" s="1342">
        <f t="shared" si="24"/>
        <v>2.8169014084507045</v>
      </c>
      <c r="K72" s="1347">
        <f>élec!AZ102</f>
        <v>8242</v>
      </c>
      <c r="L72" s="1348">
        <f>élec!BA102</f>
        <v>30</v>
      </c>
      <c r="M72" s="1348">
        <f>'HT-HP 2'!Z102</f>
        <v>0</v>
      </c>
      <c r="N72" s="1321">
        <f t="shared" si="25"/>
        <v>8272</v>
      </c>
      <c r="O72" s="1348">
        <f>élec!AZ117</f>
        <v>8660</v>
      </c>
      <c r="P72" s="1348">
        <f>élec!BA117</f>
        <v>47</v>
      </c>
      <c r="Q72" s="1348">
        <f>'HT-HP 2'!Z117</f>
        <v>0</v>
      </c>
      <c r="R72" s="1321">
        <f t="shared" si="30"/>
        <v>8707</v>
      </c>
      <c r="S72" s="1360">
        <f t="shared" si="31"/>
        <v>5.2587040618955516</v>
      </c>
      <c r="T72" s="1344">
        <f t="shared" si="32"/>
        <v>8845</v>
      </c>
      <c r="U72" s="1329">
        <f t="shared" si="26"/>
        <v>98.439796495195026</v>
      </c>
      <c r="W72" s="1563" t="s">
        <v>8</v>
      </c>
      <c r="X72" s="1564">
        <f t="shared" si="33"/>
        <v>8660</v>
      </c>
      <c r="Y72" s="1567">
        <f t="shared" si="34"/>
        <v>47</v>
      </c>
      <c r="Z72" s="1567">
        <f t="shared" si="35"/>
        <v>0</v>
      </c>
      <c r="AA72" s="1566">
        <f t="shared" si="36"/>
        <v>8707</v>
      </c>
      <c r="AB72" s="1564">
        <v>8815</v>
      </c>
      <c r="AC72" s="1567">
        <v>30</v>
      </c>
      <c r="AD72" s="1567">
        <v>0</v>
      </c>
      <c r="AE72" s="1566">
        <f t="shared" si="27"/>
        <v>8845</v>
      </c>
      <c r="AF72" s="1568">
        <f t="shared" si="28"/>
        <v>98.241633579126486</v>
      </c>
      <c r="AG72" s="1569">
        <f t="shared" si="28"/>
        <v>156.66666666666666</v>
      </c>
      <c r="AH72" s="1569" t="e">
        <f t="shared" si="28"/>
        <v>#DIV/0!</v>
      </c>
      <c r="AI72" s="1569">
        <f t="shared" si="28"/>
        <v>98.439796495195026</v>
      </c>
      <c r="AJ72" s="87">
        <f>8.33*10</f>
        <v>83.3</v>
      </c>
    </row>
    <row r="73" spans="1:38" ht="15.6" hidden="1">
      <c r="A73" s="1324" t="s">
        <v>4</v>
      </c>
      <c r="B73" s="1347">
        <f>élec!BC103</f>
        <v>2702</v>
      </c>
      <c r="C73" s="1348">
        <f>élec!BD103</f>
        <v>4</v>
      </c>
      <c r="D73" s="1348">
        <f>'HT-HP 2'!AC103</f>
        <v>0</v>
      </c>
      <c r="E73" s="1321">
        <f t="shared" si="29"/>
        <v>2706</v>
      </c>
      <c r="F73" s="1348">
        <f>élec!BC118</f>
        <v>1794</v>
      </c>
      <c r="G73" s="1348">
        <f>élec!BD118</f>
        <v>3</v>
      </c>
      <c r="H73" s="1348">
        <f>'HT-HP 2'!AC118</f>
        <v>0</v>
      </c>
      <c r="I73" s="1321">
        <f t="shared" si="23"/>
        <v>1797</v>
      </c>
      <c r="J73" s="1342">
        <f t="shared" si="24"/>
        <v>-33.592017738359203</v>
      </c>
      <c r="K73" s="1347">
        <f>élec!AZ103</f>
        <v>13684</v>
      </c>
      <c r="L73" s="1348">
        <f>élec!BA103</f>
        <v>43</v>
      </c>
      <c r="M73" s="1348">
        <f>'HT-HP 2'!Z103</f>
        <v>0</v>
      </c>
      <c r="N73" s="1321">
        <f t="shared" si="25"/>
        <v>13727</v>
      </c>
      <c r="O73" s="1348">
        <f>élec!AZ118</f>
        <v>15568</v>
      </c>
      <c r="P73" s="1348">
        <f>élec!BA118</f>
        <v>25</v>
      </c>
      <c r="Q73" s="1348">
        <f>'HT-HP 2'!Z118</f>
        <v>0</v>
      </c>
      <c r="R73" s="1321">
        <f t="shared" si="30"/>
        <v>15593</v>
      </c>
      <c r="S73" s="1360">
        <f t="shared" si="31"/>
        <v>13.593647555911707</v>
      </c>
      <c r="T73" s="1344">
        <f t="shared" si="32"/>
        <v>14693</v>
      </c>
      <c r="U73" s="1329">
        <f t="shared" si="26"/>
        <v>106.12536582045873</v>
      </c>
      <c r="W73" s="1563" t="s">
        <v>4</v>
      </c>
      <c r="X73" s="1564">
        <f t="shared" si="33"/>
        <v>15568</v>
      </c>
      <c r="Y73" s="1567">
        <f t="shared" si="34"/>
        <v>25</v>
      </c>
      <c r="Z73" s="1567">
        <f t="shared" si="35"/>
        <v>0</v>
      </c>
      <c r="AA73" s="1566">
        <f t="shared" si="36"/>
        <v>15593</v>
      </c>
      <c r="AB73" s="1564">
        <v>14660</v>
      </c>
      <c r="AC73" s="1567">
        <v>32</v>
      </c>
      <c r="AD73" s="1567">
        <v>1</v>
      </c>
      <c r="AE73" s="1566">
        <f t="shared" si="27"/>
        <v>14693</v>
      </c>
      <c r="AF73" s="1568">
        <f t="shared" si="28"/>
        <v>106.19372442019099</v>
      </c>
      <c r="AG73" s="1569">
        <f t="shared" si="28"/>
        <v>78.125</v>
      </c>
      <c r="AH73" s="1569">
        <f t="shared" si="28"/>
        <v>0</v>
      </c>
      <c r="AI73" s="1569">
        <f t="shared" si="28"/>
        <v>106.12536582045873</v>
      </c>
    </row>
    <row r="74" spans="1:38" ht="15.6" hidden="1">
      <c r="A74" s="1325" t="s">
        <v>3</v>
      </c>
      <c r="B74" s="1347">
        <f>élec!BC104</f>
        <v>787</v>
      </c>
      <c r="C74" s="1348">
        <f>élec!BD104</f>
        <v>21</v>
      </c>
      <c r="D74" s="1348">
        <f>'HT-HP 2'!AC104</f>
        <v>0</v>
      </c>
      <c r="E74" s="1321">
        <f t="shared" si="29"/>
        <v>808</v>
      </c>
      <c r="F74" s="1348">
        <f>élec!BC119</f>
        <v>804</v>
      </c>
      <c r="G74" s="1348">
        <f>élec!BD119</f>
        <v>20</v>
      </c>
      <c r="H74" s="1348">
        <f>'HT-HP 2'!AC119</f>
        <v>0</v>
      </c>
      <c r="I74" s="1321">
        <f t="shared" si="23"/>
        <v>824</v>
      </c>
      <c r="J74" s="1342">
        <f t="shared" si="24"/>
        <v>1.9801980198019802</v>
      </c>
      <c r="K74" s="1347">
        <f>élec!AZ104</f>
        <v>5463</v>
      </c>
      <c r="L74" s="1348">
        <f>élec!BA104</f>
        <v>151</v>
      </c>
      <c r="M74" s="1348">
        <f>'HT-HP 2'!Z104</f>
        <v>0</v>
      </c>
      <c r="N74" s="1321">
        <f t="shared" si="25"/>
        <v>5614</v>
      </c>
      <c r="O74" s="1348">
        <f>élec!AZ119</f>
        <v>5659</v>
      </c>
      <c r="P74" s="1348">
        <f>élec!BA119</f>
        <v>201</v>
      </c>
      <c r="Q74" s="1348">
        <f>'HT-HP 2'!Z119</f>
        <v>0</v>
      </c>
      <c r="R74" s="1321">
        <f t="shared" si="30"/>
        <v>5860</v>
      </c>
      <c r="S74" s="1360">
        <f t="shared" si="31"/>
        <v>4.3819023868899176</v>
      </c>
      <c r="T74" s="1344">
        <f t="shared" si="32"/>
        <v>10089</v>
      </c>
      <c r="U74" s="1329">
        <f t="shared" si="26"/>
        <v>58.083060759242741</v>
      </c>
      <c r="W74" s="1563" t="s">
        <v>3</v>
      </c>
      <c r="X74" s="1564">
        <f t="shared" si="33"/>
        <v>5659</v>
      </c>
      <c r="Y74" s="1567">
        <f t="shared" si="34"/>
        <v>201</v>
      </c>
      <c r="Z74" s="1567">
        <f t="shared" si="35"/>
        <v>0</v>
      </c>
      <c r="AA74" s="1566">
        <f t="shared" si="36"/>
        <v>5860</v>
      </c>
      <c r="AB74" s="1564">
        <v>10035</v>
      </c>
      <c r="AC74" s="1567">
        <v>54</v>
      </c>
      <c r="AD74" s="1567">
        <v>0</v>
      </c>
      <c r="AE74" s="1566">
        <f t="shared" si="27"/>
        <v>10089</v>
      </c>
      <c r="AF74" s="1568">
        <f t="shared" si="28"/>
        <v>56.392625809666164</v>
      </c>
      <c r="AG74" s="1569">
        <f t="shared" si="28"/>
        <v>372.22222222222223</v>
      </c>
      <c r="AH74" s="1569" t="e">
        <f t="shared" si="28"/>
        <v>#DIV/0!</v>
      </c>
      <c r="AI74" s="1569">
        <f t="shared" si="28"/>
        <v>58.083060759242741</v>
      </c>
    </row>
    <row r="75" spans="1:38" ht="15.6" hidden="1">
      <c r="A75" s="1325" t="s">
        <v>9</v>
      </c>
      <c r="B75" s="1347">
        <f>élec!BC105</f>
        <v>961</v>
      </c>
      <c r="C75" s="1348">
        <f>élec!BD105</f>
        <v>7</v>
      </c>
      <c r="D75" s="1348">
        <f>'HT-HP 2'!AC105</f>
        <v>0</v>
      </c>
      <c r="E75" s="1321">
        <f t="shared" si="29"/>
        <v>968</v>
      </c>
      <c r="F75" s="1348">
        <f>élec!BC120</f>
        <v>827</v>
      </c>
      <c r="G75" s="1348">
        <f>élec!BD120</f>
        <v>0</v>
      </c>
      <c r="H75" s="1348">
        <f>'HT-HP 2'!AC120</f>
        <v>0</v>
      </c>
      <c r="I75" s="1321">
        <f t="shared" si="23"/>
        <v>827</v>
      </c>
      <c r="J75" s="1342">
        <f t="shared" si="24"/>
        <v>-14.566115702479337</v>
      </c>
      <c r="K75" s="1347">
        <f>élec!AZ105</f>
        <v>8878</v>
      </c>
      <c r="L75" s="1348">
        <f>élec!BA105</f>
        <v>24</v>
      </c>
      <c r="M75" s="1348">
        <f>'HT-HP 2'!Z105</f>
        <v>0</v>
      </c>
      <c r="N75" s="1321">
        <f t="shared" si="25"/>
        <v>8902</v>
      </c>
      <c r="O75" s="1348">
        <f>élec!AZ120</f>
        <v>6404</v>
      </c>
      <c r="P75" s="1348">
        <f>élec!BA120</f>
        <v>45</v>
      </c>
      <c r="Q75" s="1348">
        <f>'HT-HP 2'!Z120</f>
        <v>0</v>
      </c>
      <c r="R75" s="1321">
        <f t="shared" si="30"/>
        <v>6449</v>
      </c>
      <c r="S75" s="1360">
        <f t="shared" si="31"/>
        <v>-27.555605481914174</v>
      </c>
      <c r="T75" s="1344">
        <f t="shared" si="32"/>
        <v>9517</v>
      </c>
      <c r="U75" s="1329">
        <f t="shared" si="26"/>
        <v>67.76295050961437</v>
      </c>
      <c r="W75" s="1563" t="s">
        <v>9</v>
      </c>
      <c r="X75" s="1564">
        <f t="shared" si="33"/>
        <v>6404</v>
      </c>
      <c r="Y75" s="1567">
        <f t="shared" si="34"/>
        <v>45</v>
      </c>
      <c r="Z75" s="1565">
        <f t="shared" si="35"/>
        <v>0</v>
      </c>
      <c r="AA75" s="1566">
        <f t="shared" si="36"/>
        <v>6449</v>
      </c>
      <c r="AB75" s="1564">
        <v>9485</v>
      </c>
      <c r="AC75" s="1567">
        <v>32</v>
      </c>
      <c r="AD75" s="1567">
        <v>0</v>
      </c>
      <c r="AE75" s="1566">
        <f t="shared" si="27"/>
        <v>9517</v>
      </c>
      <c r="AF75" s="1568">
        <f t="shared" ref="AF75:AF83" si="37">X75/AB75*100</f>
        <v>67.517132314180287</v>
      </c>
      <c r="AG75" s="1569">
        <f t="shared" ref="AG75:AI83" si="38">Y75/AC75*100</f>
        <v>140.625</v>
      </c>
      <c r="AH75" s="1569" t="e">
        <f t="shared" si="38"/>
        <v>#DIV/0!</v>
      </c>
      <c r="AI75" s="1569">
        <f t="shared" si="38"/>
        <v>67.76295050961437</v>
      </c>
    </row>
    <row r="76" spans="1:38" ht="15.6" hidden="1">
      <c r="A76" s="1325" t="s">
        <v>5</v>
      </c>
      <c r="B76" s="1347">
        <f>élec!BC106</f>
        <v>1641</v>
      </c>
      <c r="C76" s="1348">
        <f>élec!BD106</f>
        <v>3</v>
      </c>
      <c r="D76" s="1348">
        <f>'HT-HP 2'!AC106</f>
        <v>0</v>
      </c>
      <c r="E76" s="1321">
        <f t="shared" si="29"/>
        <v>1644</v>
      </c>
      <c r="F76" s="1348">
        <f>élec!BC121</f>
        <v>1459</v>
      </c>
      <c r="G76" s="1348">
        <f>élec!BD121</f>
        <v>12</v>
      </c>
      <c r="H76" s="1348">
        <f>'HT-HP 2'!AC121</f>
        <v>0</v>
      </c>
      <c r="I76" s="1321">
        <f t="shared" si="23"/>
        <v>1471</v>
      </c>
      <c r="J76" s="1342">
        <f t="shared" si="24"/>
        <v>-10.523114355231144</v>
      </c>
      <c r="K76" s="1347">
        <f>élec!AZ106</f>
        <v>11267</v>
      </c>
      <c r="L76" s="1348">
        <f>élec!BA106</f>
        <v>26</v>
      </c>
      <c r="M76" s="1348">
        <f>'HT-HP 2'!Z106</f>
        <v>0</v>
      </c>
      <c r="N76" s="1321">
        <f t="shared" si="25"/>
        <v>11293</v>
      </c>
      <c r="O76" s="1348">
        <f>élec!AZ121</f>
        <v>12934</v>
      </c>
      <c r="P76" s="1348">
        <f>élec!BA121</f>
        <v>36</v>
      </c>
      <c r="Q76" s="1348">
        <f>'HT-HP 2'!Z121</f>
        <v>0</v>
      </c>
      <c r="R76" s="1321">
        <f t="shared" si="30"/>
        <v>12970</v>
      </c>
      <c r="S76" s="1360">
        <f t="shared" si="31"/>
        <v>14.849907022049058</v>
      </c>
      <c r="T76" s="1344">
        <f t="shared" si="32"/>
        <v>5568</v>
      </c>
      <c r="U76" s="1329">
        <f t="shared" si="26"/>
        <v>232.93821839080459</v>
      </c>
      <c r="W76" s="1563" t="s">
        <v>5</v>
      </c>
      <c r="X76" s="1564">
        <f t="shared" si="33"/>
        <v>12934</v>
      </c>
      <c r="Y76" s="1567">
        <f t="shared" si="34"/>
        <v>36</v>
      </c>
      <c r="Z76" s="1567">
        <f t="shared" si="35"/>
        <v>0</v>
      </c>
      <c r="AA76" s="1566">
        <f t="shared" si="36"/>
        <v>12970</v>
      </c>
      <c r="AB76" s="1564">
        <v>5545</v>
      </c>
      <c r="AC76" s="1567">
        <v>23</v>
      </c>
      <c r="AD76" s="1567">
        <v>0</v>
      </c>
      <c r="AE76" s="1566">
        <f t="shared" si="27"/>
        <v>5568</v>
      </c>
      <c r="AF76" s="1568">
        <f t="shared" si="37"/>
        <v>233.25518485121731</v>
      </c>
      <c r="AG76" s="1569">
        <f t="shared" si="38"/>
        <v>156.52173913043478</v>
      </c>
      <c r="AH76" s="1569" t="e">
        <f t="shared" si="38"/>
        <v>#DIV/0!</v>
      </c>
      <c r="AI76" s="1569">
        <f t="shared" si="38"/>
        <v>232.93821839080459</v>
      </c>
    </row>
    <row r="77" spans="1:38" ht="15.6" hidden="1">
      <c r="A77" s="1325" t="s">
        <v>11</v>
      </c>
      <c r="B77" s="1347">
        <f>élec!BC107</f>
        <v>1044</v>
      </c>
      <c r="C77" s="1348">
        <f>élec!BD107</f>
        <v>3</v>
      </c>
      <c r="D77" s="1348">
        <f>'HT-HP 2'!AC107</f>
        <v>0</v>
      </c>
      <c r="E77" s="1321">
        <f t="shared" si="29"/>
        <v>1047</v>
      </c>
      <c r="F77" s="1348">
        <f>élec!BC122</f>
        <v>585</v>
      </c>
      <c r="G77" s="1348">
        <f>élec!BD122</f>
        <v>13</v>
      </c>
      <c r="H77" s="1348">
        <f>'HT-HP 2'!AC122</f>
        <v>0</v>
      </c>
      <c r="I77" s="1321">
        <f t="shared" si="23"/>
        <v>598</v>
      </c>
      <c r="J77" s="1342">
        <f t="shared" si="24"/>
        <v>-42.884431709646606</v>
      </c>
      <c r="K77" s="1347">
        <f>élec!AZ107</f>
        <v>7275</v>
      </c>
      <c r="L77" s="1348">
        <f>élec!BA107</f>
        <v>56</v>
      </c>
      <c r="M77" s="1348">
        <f>'HT-HP 2'!Z107</f>
        <v>0</v>
      </c>
      <c r="N77" s="1321">
        <f t="shared" si="25"/>
        <v>7331</v>
      </c>
      <c r="O77" s="1348">
        <f>élec!AZ122</f>
        <v>6062</v>
      </c>
      <c r="P77" s="1348">
        <f>élec!BA122</f>
        <v>66</v>
      </c>
      <c r="Q77" s="1348">
        <f>'HT-HP 2'!Z122</f>
        <v>0</v>
      </c>
      <c r="R77" s="1321">
        <f t="shared" si="30"/>
        <v>6128</v>
      </c>
      <c r="S77" s="1360">
        <f t="shared" si="31"/>
        <v>-16.409766743963988</v>
      </c>
      <c r="T77" s="1344">
        <f t="shared" si="32"/>
        <v>3084</v>
      </c>
      <c r="U77" s="1329">
        <f t="shared" si="26"/>
        <v>198.70298313878081</v>
      </c>
      <c r="W77" s="1563" t="s">
        <v>11</v>
      </c>
      <c r="X77" s="1564">
        <f t="shared" si="33"/>
        <v>6062</v>
      </c>
      <c r="Y77" s="1567">
        <f t="shared" si="34"/>
        <v>66</v>
      </c>
      <c r="Z77" s="1567">
        <f t="shared" si="35"/>
        <v>0</v>
      </c>
      <c r="AA77" s="1566">
        <f t="shared" si="36"/>
        <v>6128</v>
      </c>
      <c r="AB77" s="1564">
        <v>3052</v>
      </c>
      <c r="AC77" s="1567">
        <v>32</v>
      </c>
      <c r="AD77" s="1567">
        <v>0</v>
      </c>
      <c r="AE77" s="1566">
        <f t="shared" si="27"/>
        <v>3084</v>
      </c>
      <c r="AF77" s="1568">
        <f t="shared" si="37"/>
        <v>198.62385321100916</v>
      </c>
      <c r="AG77" s="1569">
        <f t="shared" si="38"/>
        <v>206.25</v>
      </c>
      <c r="AH77" s="1569" t="e">
        <f t="shared" si="38"/>
        <v>#DIV/0!</v>
      </c>
      <c r="AI77" s="1569">
        <f t="shared" si="38"/>
        <v>198.70298313878081</v>
      </c>
      <c r="AK77" s="87">
        <v>117273</v>
      </c>
      <c r="AL77" s="194">
        <v>52.818636855883284</v>
      </c>
    </row>
    <row r="78" spans="1:38" ht="15.6" hidden="1">
      <c r="A78" s="1325" t="s">
        <v>10</v>
      </c>
      <c r="B78" s="1347">
        <f>élec!BC108</f>
        <v>1218</v>
      </c>
      <c r="C78" s="1348">
        <f>élec!BD108</f>
        <v>9</v>
      </c>
      <c r="D78" s="1348">
        <f>'HT-HP 2'!AC108</f>
        <v>0</v>
      </c>
      <c r="E78" s="1321">
        <f t="shared" si="29"/>
        <v>1227</v>
      </c>
      <c r="F78" s="1348">
        <f>élec!BC123</f>
        <v>1568</v>
      </c>
      <c r="G78" s="1348">
        <f>élec!BD123</f>
        <v>9</v>
      </c>
      <c r="H78" s="1348">
        <f>'HT-HP 2'!AC123</f>
        <v>0</v>
      </c>
      <c r="I78" s="1321">
        <f t="shared" si="23"/>
        <v>1577</v>
      </c>
      <c r="J78" s="1342">
        <f t="shared" si="24"/>
        <v>28.524857375713118</v>
      </c>
      <c r="K78" s="1347">
        <f>élec!AZ108</f>
        <v>11575</v>
      </c>
      <c r="L78" s="1348">
        <f>élec!BA108</f>
        <v>50</v>
      </c>
      <c r="M78" s="1348">
        <f>'HT-HP 2'!Z108</f>
        <v>0</v>
      </c>
      <c r="N78" s="1321">
        <f t="shared" si="25"/>
        <v>11625</v>
      </c>
      <c r="O78" s="1348">
        <f>élec!AZ123</f>
        <v>9603</v>
      </c>
      <c r="P78" s="1348">
        <f>élec!BA123</f>
        <v>56</v>
      </c>
      <c r="Q78" s="1348">
        <f>'HT-HP 2'!Z123</f>
        <v>0</v>
      </c>
      <c r="R78" s="1321">
        <f t="shared" si="30"/>
        <v>9659</v>
      </c>
      <c r="S78" s="1360">
        <f t="shared" si="31"/>
        <v>-16.911827956989249</v>
      </c>
      <c r="T78" s="1344">
        <f t="shared" si="32"/>
        <v>10090</v>
      </c>
      <c r="U78" s="1329">
        <f t="shared" si="26"/>
        <v>95.728444003964313</v>
      </c>
      <c r="W78" s="1563" t="s">
        <v>10</v>
      </c>
      <c r="X78" s="1564">
        <f t="shared" si="33"/>
        <v>9603</v>
      </c>
      <c r="Y78" s="1567">
        <f t="shared" si="34"/>
        <v>56</v>
      </c>
      <c r="Z78" s="1567">
        <f t="shared" si="35"/>
        <v>0</v>
      </c>
      <c r="AA78" s="1566">
        <f t="shared" si="36"/>
        <v>9659</v>
      </c>
      <c r="AB78" s="1564">
        <v>10045</v>
      </c>
      <c r="AC78" s="1567">
        <v>45</v>
      </c>
      <c r="AD78" s="1567">
        <v>0</v>
      </c>
      <c r="AE78" s="1566">
        <f t="shared" si="27"/>
        <v>10090</v>
      </c>
      <c r="AF78" s="1568">
        <f t="shared" si="37"/>
        <v>95.599800895968144</v>
      </c>
      <c r="AG78" s="1569">
        <f t="shared" si="38"/>
        <v>124.44444444444444</v>
      </c>
      <c r="AH78" s="1569" t="e">
        <f t="shared" si="38"/>
        <v>#DIV/0!</v>
      </c>
      <c r="AI78" s="1569">
        <f t="shared" si="38"/>
        <v>95.728444003964313</v>
      </c>
      <c r="AK78" s="87">
        <v>585</v>
      </c>
      <c r="AL78" s="194">
        <v>62.905982905982903</v>
      </c>
    </row>
    <row r="79" spans="1:38" ht="15.6" hidden="1">
      <c r="A79" s="1325" t="s">
        <v>12</v>
      </c>
      <c r="B79" s="1347">
        <f>élec!BC109</f>
        <v>325</v>
      </c>
      <c r="C79" s="1348">
        <f>élec!BD109</f>
        <v>0</v>
      </c>
      <c r="D79" s="1348">
        <f>'HT-HP 2'!AC109</f>
        <v>0</v>
      </c>
      <c r="E79" s="1321">
        <f t="shared" si="29"/>
        <v>325</v>
      </c>
      <c r="F79" s="1348">
        <f>élec!BC124</f>
        <v>274</v>
      </c>
      <c r="G79" s="1348">
        <f>élec!BD124</f>
        <v>1</v>
      </c>
      <c r="H79" s="1348">
        <f>'HT-HP 2'!AC124</f>
        <v>0</v>
      </c>
      <c r="I79" s="1321">
        <f t="shared" si="23"/>
        <v>275</v>
      </c>
      <c r="J79" s="1342">
        <f t="shared" si="24"/>
        <v>-15.384615384615385</v>
      </c>
      <c r="K79" s="1347">
        <f>élec!AZ109</f>
        <v>4771</v>
      </c>
      <c r="L79" s="1348">
        <f>élec!BA109</f>
        <v>7</v>
      </c>
      <c r="M79" s="1348">
        <f>'HT-HP 2'!Z109</f>
        <v>0</v>
      </c>
      <c r="N79" s="1321">
        <f t="shared" si="25"/>
        <v>4778</v>
      </c>
      <c r="O79" s="1348">
        <f>élec!AZ124</f>
        <v>5368</v>
      </c>
      <c r="P79" s="1348">
        <f>élec!BA124</f>
        <v>4</v>
      </c>
      <c r="Q79" s="1348">
        <f>'HT-HP 2'!Z124</f>
        <v>0</v>
      </c>
      <c r="R79" s="1321">
        <f t="shared" si="30"/>
        <v>5372</v>
      </c>
      <c r="S79" s="1360">
        <f t="shared" si="31"/>
        <v>12.431979907911259</v>
      </c>
      <c r="T79" s="1344">
        <f t="shared" si="32"/>
        <v>5347</v>
      </c>
      <c r="U79" s="1329">
        <f t="shared" si="26"/>
        <v>100.46755189826071</v>
      </c>
      <c r="W79" s="1563" t="s">
        <v>12</v>
      </c>
      <c r="X79" s="1564">
        <f t="shared" si="33"/>
        <v>5368</v>
      </c>
      <c r="Y79" s="1567">
        <f t="shared" si="34"/>
        <v>4</v>
      </c>
      <c r="Z79" s="1567">
        <f t="shared" si="35"/>
        <v>0</v>
      </c>
      <c r="AA79" s="1566">
        <f t="shared" si="36"/>
        <v>5372</v>
      </c>
      <c r="AB79" s="1564">
        <v>5282</v>
      </c>
      <c r="AC79" s="1567">
        <v>65</v>
      </c>
      <c r="AD79" s="1567">
        <v>0</v>
      </c>
      <c r="AE79" s="1566">
        <f t="shared" si="27"/>
        <v>5347</v>
      </c>
      <c r="AF79" s="1568">
        <f t="shared" si="37"/>
        <v>101.6281711472927</v>
      </c>
      <c r="AG79" s="1569">
        <f t="shared" si="38"/>
        <v>6.1538461538461542</v>
      </c>
      <c r="AH79" s="1569" t="e">
        <f t="shared" si="38"/>
        <v>#DIV/0!</v>
      </c>
      <c r="AI79" s="1569">
        <f t="shared" si="38"/>
        <v>100.46755189826071</v>
      </c>
      <c r="AK79" s="87">
        <v>1</v>
      </c>
      <c r="AL79" s="194">
        <v>100</v>
      </c>
    </row>
    <row r="80" spans="1:38" ht="15.6" hidden="1">
      <c r="A80" s="1324" t="s">
        <v>563</v>
      </c>
      <c r="B80" s="1347" t="e">
        <f>élec!#REF!</f>
        <v>#REF!</v>
      </c>
      <c r="C80" s="1348" t="e">
        <f>élec!#REF!</f>
        <v>#REF!</v>
      </c>
      <c r="D80" s="1348" t="e">
        <f>'HT-HP 2'!#REF!</f>
        <v>#REF!</v>
      </c>
      <c r="E80" s="1321" t="e">
        <f t="shared" si="29"/>
        <v>#REF!</v>
      </c>
      <c r="F80" s="1348" t="e">
        <f>élec!#REF!</f>
        <v>#REF!</v>
      </c>
      <c r="G80" s="1348" t="e">
        <f>élec!#REF!</f>
        <v>#REF!</v>
      </c>
      <c r="H80" s="1348" t="e">
        <f>'HT-HP 2'!#REF!</f>
        <v>#REF!</v>
      </c>
      <c r="I80" s="1321" t="e">
        <f t="shared" si="23"/>
        <v>#REF!</v>
      </c>
      <c r="J80" s="1342" t="e">
        <f t="shared" si="24"/>
        <v>#REF!</v>
      </c>
      <c r="K80" s="1347" t="e">
        <f>élec!#REF!</f>
        <v>#REF!</v>
      </c>
      <c r="L80" s="1348" t="e">
        <f>élec!#REF!</f>
        <v>#REF!</v>
      </c>
      <c r="M80" s="1348" t="e">
        <f>'HT-HP 2'!#REF!</f>
        <v>#REF!</v>
      </c>
      <c r="N80" s="1321" t="e">
        <f t="shared" si="25"/>
        <v>#REF!</v>
      </c>
      <c r="O80" s="1348" t="e">
        <f>élec!#REF!</f>
        <v>#REF!</v>
      </c>
      <c r="P80" s="1348" t="e">
        <f>élec!#REF!</f>
        <v>#REF!</v>
      </c>
      <c r="Q80" s="1348" t="e">
        <f>'HT-HP 2'!#REF!</f>
        <v>#REF!</v>
      </c>
      <c r="R80" s="1321" t="e">
        <f t="shared" si="30"/>
        <v>#REF!</v>
      </c>
      <c r="S80" s="1360" t="e">
        <f t="shared" si="31"/>
        <v>#REF!</v>
      </c>
      <c r="T80" s="1344">
        <f t="shared" si="32"/>
        <v>6958</v>
      </c>
      <c r="U80" s="1329" t="e">
        <f t="shared" si="26"/>
        <v>#REF!</v>
      </c>
      <c r="W80" s="1563" t="s">
        <v>563</v>
      </c>
      <c r="X80" s="1564" t="e">
        <f t="shared" si="33"/>
        <v>#REF!</v>
      </c>
      <c r="Y80" s="1567" t="e">
        <f t="shared" si="34"/>
        <v>#REF!</v>
      </c>
      <c r="Z80" s="1567" t="e">
        <f t="shared" si="35"/>
        <v>#REF!</v>
      </c>
      <c r="AA80" s="1566" t="e">
        <f t="shared" si="36"/>
        <v>#REF!</v>
      </c>
      <c r="AB80" s="1564">
        <v>6856</v>
      </c>
      <c r="AC80" s="1567">
        <v>102</v>
      </c>
      <c r="AD80" s="1567">
        <v>0</v>
      </c>
      <c r="AE80" s="1566">
        <f t="shared" si="27"/>
        <v>6958</v>
      </c>
      <c r="AF80" s="1568" t="e">
        <f t="shared" si="37"/>
        <v>#REF!</v>
      </c>
      <c r="AG80" s="1569" t="e">
        <f t="shared" si="38"/>
        <v>#REF!</v>
      </c>
      <c r="AH80" s="1569" t="e">
        <f t="shared" si="38"/>
        <v>#REF!</v>
      </c>
      <c r="AI80" s="1569" t="e">
        <f t="shared" si="38"/>
        <v>#REF!</v>
      </c>
      <c r="AK80" s="87">
        <v>117859</v>
      </c>
      <c r="AL80" s="194">
        <v>52.869106304991554</v>
      </c>
    </row>
    <row r="81" spans="1:35" ht="15.6" hidden="1">
      <c r="A81" s="1324" t="s">
        <v>15</v>
      </c>
      <c r="B81" s="1347" t="e">
        <f>élec!#REF!</f>
        <v>#REF!</v>
      </c>
      <c r="C81" s="1348" t="e">
        <f>élec!#REF!</f>
        <v>#REF!</v>
      </c>
      <c r="D81" s="1348" t="e">
        <f>'HT-HP 2'!#REF!</f>
        <v>#REF!</v>
      </c>
      <c r="E81" s="1321" t="e">
        <f t="shared" si="29"/>
        <v>#REF!</v>
      </c>
      <c r="F81" s="1348" t="e">
        <f>élec!#REF!</f>
        <v>#REF!</v>
      </c>
      <c r="G81" s="1348" t="e">
        <f>élec!#REF!</f>
        <v>#REF!</v>
      </c>
      <c r="H81" s="1348" t="e">
        <f>'HT-HP 2'!#REF!</f>
        <v>#REF!</v>
      </c>
      <c r="I81" s="1321" t="e">
        <f t="shared" si="23"/>
        <v>#REF!</v>
      </c>
      <c r="J81" s="1342" t="e">
        <f t="shared" si="24"/>
        <v>#REF!</v>
      </c>
      <c r="K81" s="1347" t="e">
        <f>élec!#REF!</f>
        <v>#REF!</v>
      </c>
      <c r="L81" s="1348" t="e">
        <f>élec!#REF!</f>
        <v>#REF!</v>
      </c>
      <c r="M81" s="1348" t="e">
        <f>'HT-HP 2'!#REF!</f>
        <v>#REF!</v>
      </c>
      <c r="N81" s="1321" t="e">
        <f t="shared" si="25"/>
        <v>#REF!</v>
      </c>
      <c r="O81" s="1348" t="e">
        <f>élec!#REF!</f>
        <v>#REF!</v>
      </c>
      <c r="P81" s="1348" t="e">
        <f>élec!#REF!</f>
        <v>#REF!</v>
      </c>
      <c r="Q81" s="1348" t="e">
        <f>'HT-HP 2'!#REF!</f>
        <v>#REF!</v>
      </c>
      <c r="R81" s="1321" t="e">
        <f t="shared" si="30"/>
        <v>#REF!</v>
      </c>
      <c r="S81" s="1360" t="e">
        <f>((R81-N81)/N81)*100</f>
        <v>#REF!</v>
      </c>
      <c r="T81" s="1344">
        <f t="shared" si="32"/>
        <v>916</v>
      </c>
      <c r="U81" s="1329" t="e">
        <f>(R81/T81)*100</f>
        <v>#REF!</v>
      </c>
      <c r="W81" s="1563" t="s">
        <v>15</v>
      </c>
      <c r="X81" s="1570" t="e">
        <f t="shared" si="33"/>
        <v>#REF!</v>
      </c>
      <c r="Y81" s="1567" t="e">
        <f t="shared" si="34"/>
        <v>#REF!</v>
      </c>
      <c r="Z81" s="1567" t="e">
        <f t="shared" si="35"/>
        <v>#REF!</v>
      </c>
      <c r="AA81" s="1571" t="e">
        <f t="shared" si="36"/>
        <v>#REF!</v>
      </c>
      <c r="AB81" s="1570">
        <v>880</v>
      </c>
      <c r="AC81" s="1567">
        <v>36</v>
      </c>
      <c r="AD81" s="1567">
        <v>0</v>
      </c>
      <c r="AE81" s="1571">
        <f t="shared" si="27"/>
        <v>916</v>
      </c>
      <c r="AF81" s="1568" t="e">
        <f t="shared" si="37"/>
        <v>#REF!</v>
      </c>
      <c r="AG81" s="1569" t="e">
        <f t="shared" si="38"/>
        <v>#REF!</v>
      </c>
      <c r="AH81" s="1569" t="e">
        <f t="shared" si="38"/>
        <v>#REF!</v>
      </c>
      <c r="AI81" s="1569" t="e">
        <f t="shared" si="38"/>
        <v>#REF!</v>
      </c>
    </row>
    <row r="82" spans="1:35" ht="15.6" hidden="1">
      <c r="A82" s="1324" t="s">
        <v>397</v>
      </c>
      <c r="B82" s="1347" t="e">
        <f>élec!#REF!</f>
        <v>#REF!</v>
      </c>
      <c r="C82" s="1348" t="e">
        <f>élec!#REF!</f>
        <v>#REF!</v>
      </c>
      <c r="D82" s="1348" t="e">
        <f>'HT-HP 2'!#REF!</f>
        <v>#REF!</v>
      </c>
      <c r="E82" s="1321" t="e">
        <f t="shared" si="29"/>
        <v>#REF!</v>
      </c>
      <c r="F82" s="1348" t="e">
        <f>élec!#REF!</f>
        <v>#REF!</v>
      </c>
      <c r="G82" s="1348" t="e">
        <f>élec!#REF!</f>
        <v>#REF!</v>
      </c>
      <c r="H82" s="1348" t="e">
        <f>'HT-HP 2'!#REF!</f>
        <v>#REF!</v>
      </c>
      <c r="I82" s="1321" t="e">
        <f t="shared" si="23"/>
        <v>#REF!</v>
      </c>
      <c r="J82" s="1342" t="e">
        <f t="shared" si="24"/>
        <v>#REF!</v>
      </c>
      <c r="K82" s="1347" t="e">
        <f>élec!#REF!</f>
        <v>#REF!</v>
      </c>
      <c r="L82" s="1348" t="e">
        <f>élec!#REF!</f>
        <v>#REF!</v>
      </c>
      <c r="M82" s="1348" t="e">
        <f>'HT-HP 2'!#REF!</f>
        <v>#REF!</v>
      </c>
      <c r="N82" s="1321" t="e">
        <f t="shared" si="25"/>
        <v>#REF!</v>
      </c>
      <c r="O82" s="1348" t="e">
        <f>élec!#REF!</f>
        <v>#REF!</v>
      </c>
      <c r="P82" s="1348" t="e">
        <f>élec!#REF!</f>
        <v>#REF!</v>
      </c>
      <c r="Q82" s="1348" t="e">
        <f>'HT-HP 2'!#REF!</f>
        <v>#REF!</v>
      </c>
      <c r="R82" s="1321" t="e">
        <f t="shared" si="30"/>
        <v>#REF!</v>
      </c>
      <c r="S82" s="1360" t="e">
        <f t="shared" si="31"/>
        <v>#REF!</v>
      </c>
      <c r="T82" s="1344">
        <f t="shared" si="32"/>
        <v>10405</v>
      </c>
      <c r="U82" s="1329" t="e">
        <f t="shared" si="26"/>
        <v>#REF!</v>
      </c>
      <c r="W82" s="1563" t="s">
        <v>397</v>
      </c>
      <c r="X82" s="1564" t="e">
        <f t="shared" si="33"/>
        <v>#REF!</v>
      </c>
      <c r="Y82" s="1567" t="e">
        <f t="shared" si="34"/>
        <v>#REF!</v>
      </c>
      <c r="Z82" s="1567" t="e">
        <f t="shared" si="35"/>
        <v>#REF!</v>
      </c>
      <c r="AA82" s="1566" t="e">
        <f t="shared" si="36"/>
        <v>#REF!</v>
      </c>
      <c r="AB82" s="1564">
        <v>10360</v>
      </c>
      <c r="AC82" s="1567">
        <v>45</v>
      </c>
      <c r="AD82" s="1567">
        <v>0</v>
      </c>
      <c r="AE82" s="1566">
        <f t="shared" si="27"/>
        <v>10405</v>
      </c>
      <c r="AF82" s="1568" t="e">
        <f t="shared" si="37"/>
        <v>#REF!</v>
      </c>
      <c r="AG82" s="1569" t="e">
        <f t="shared" si="38"/>
        <v>#REF!</v>
      </c>
      <c r="AH82" s="1569" t="e">
        <f t="shared" si="38"/>
        <v>#REF!</v>
      </c>
      <c r="AI82" s="1569" t="e">
        <f t="shared" si="38"/>
        <v>#REF!</v>
      </c>
    </row>
    <row r="83" spans="1:35" ht="16.2" hidden="1" thickBot="1">
      <c r="A83" s="1332" t="s">
        <v>399</v>
      </c>
      <c r="B83" s="1347" t="e">
        <f>élec!#REF!</f>
        <v>#REF!</v>
      </c>
      <c r="C83" s="1348" t="e">
        <f>élec!#REF!</f>
        <v>#REF!</v>
      </c>
      <c r="D83" s="1348" t="e">
        <f>'HT-HP 2'!#REF!</f>
        <v>#REF!</v>
      </c>
      <c r="E83" s="1333" t="e">
        <f t="shared" si="29"/>
        <v>#REF!</v>
      </c>
      <c r="F83" s="1348" t="e">
        <f>élec!#REF!</f>
        <v>#REF!</v>
      </c>
      <c r="G83" s="1348" t="e">
        <f>élec!#REF!</f>
        <v>#REF!</v>
      </c>
      <c r="H83" s="1348" t="e">
        <f>'HT-HP 2'!#REF!</f>
        <v>#REF!</v>
      </c>
      <c r="I83" s="1333" t="e">
        <f t="shared" si="23"/>
        <v>#REF!</v>
      </c>
      <c r="J83" s="1343" t="e">
        <f t="shared" si="24"/>
        <v>#REF!</v>
      </c>
      <c r="K83" s="1347" t="e">
        <f>élec!#REF!</f>
        <v>#REF!</v>
      </c>
      <c r="L83" s="1348" t="e">
        <f>élec!#REF!</f>
        <v>#REF!</v>
      </c>
      <c r="M83" s="1348" t="e">
        <f>'HT-HP 2'!#REF!</f>
        <v>#REF!</v>
      </c>
      <c r="N83" s="1330" t="e">
        <f t="shared" si="25"/>
        <v>#REF!</v>
      </c>
      <c r="O83" s="1348" t="e">
        <f>élec!#REF!</f>
        <v>#REF!</v>
      </c>
      <c r="P83" s="1348" t="e">
        <f>élec!#REF!</f>
        <v>#REF!</v>
      </c>
      <c r="Q83" s="1348" t="e">
        <f>'HT-HP 2'!#REF!</f>
        <v>#REF!</v>
      </c>
      <c r="R83" s="1330" t="e">
        <f t="shared" si="30"/>
        <v>#REF!</v>
      </c>
      <c r="S83" s="1461" t="e">
        <f t="shared" si="31"/>
        <v>#REF!</v>
      </c>
      <c r="T83" s="1345">
        <f t="shared" si="32"/>
        <v>12175</v>
      </c>
      <c r="U83" s="1331" t="e">
        <f t="shared" si="26"/>
        <v>#REF!</v>
      </c>
      <c r="W83" s="1563" t="s">
        <v>399</v>
      </c>
      <c r="X83" s="1564" t="e">
        <f t="shared" si="33"/>
        <v>#REF!</v>
      </c>
      <c r="Y83" s="1567" t="e">
        <f t="shared" si="34"/>
        <v>#REF!</v>
      </c>
      <c r="Z83" s="1567" t="e">
        <f t="shared" si="35"/>
        <v>#REF!</v>
      </c>
      <c r="AA83" s="1566" t="e">
        <f t="shared" si="36"/>
        <v>#REF!</v>
      </c>
      <c r="AB83" s="1564">
        <v>12135</v>
      </c>
      <c r="AC83" s="1567">
        <v>40</v>
      </c>
      <c r="AD83" s="1567">
        <v>0</v>
      </c>
      <c r="AE83" s="1566">
        <f t="shared" si="27"/>
        <v>12175</v>
      </c>
      <c r="AF83" s="1568" t="e">
        <f t="shared" si="37"/>
        <v>#REF!</v>
      </c>
      <c r="AG83" s="1569" t="e">
        <f t="shared" si="38"/>
        <v>#REF!</v>
      </c>
      <c r="AH83" s="1569" t="e">
        <f t="shared" si="38"/>
        <v>#REF!</v>
      </c>
      <c r="AI83" s="1569" t="e">
        <f t="shared" si="38"/>
        <v>#REF!</v>
      </c>
    </row>
    <row r="84" spans="1:35" ht="16.2" hidden="1" thickBot="1">
      <c r="A84" s="1352" t="s">
        <v>25</v>
      </c>
      <c r="B84" s="1340" t="e">
        <f>SUM(B70:B83)</f>
        <v>#REF!</v>
      </c>
      <c r="C84" s="1336" t="e">
        <f>SUM(C70:C83)</f>
        <v>#REF!</v>
      </c>
      <c r="D84" s="1336" t="e">
        <f>SUM(D70:D83)</f>
        <v>#REF!</v>
      </c>
      <c r="E84" s="1336" t="e">
        <f t="shared" si="29"/>
        <v>#REF!</v>
      </c>
      <c r="F84" s="1336" t="e">
        <f>SUM(F70:F83)</f>
        <v>#REF!</v>
      </c>
      <c r="G84" s="1336" t="e">
        <f>SUM(G70:G83)</f>
        <v>#REF!</v>
      </c>
      <c r="H84" s="1336" t="e">
        <f>SUM(H70:H83)</f>
        <v>#REF!</v>
      </c>
      <c r="I84" s="1336" t="e">
        <f t="shared" si="23"/>
        <v>#REF!</v>
      </c>
      <c r="J84" s="1337" t="e">
        <f t="shared" si="24"/>
        <v>#REF!</v>
      </c>
      <c r="K84" s="1336" t="e">
        <f>SUM(K70:K83)</f>
        <v>#REF!</v>
      </c>
      <c r="L84" s="1336" t="e">
        <f>SUM(L70:L83)</f>
        <v>#REF!</v>
      </c>
      <c r="M84" s="1336" t="e">
        <f>SUM(M70:M83)</f>
        <v>#REF!</v>
      </c>
      <c r="N84" s="1336" t="e">
        <f t="shared" si="25"/>
        <v>#REF!</v>
      </c>
      <c r="O84" s="1336" t="e">
        <f>SUM(O70:O83)</f>
        <v>#REF!</v>
      </c>
      <c r="P84" s="1336" t="e">
        <f>SUM(P70:P83)</f>
        <v>#REF!</v>
      </c>
      <c r="Q84" s="1336" t="e">
        <f>SUM(Q70:Q83)</f>
        <v>#REF!</v>
      </c>
      <c r="R84" s="1336" t="e">
        <f t="shared" si="30"/>
        <v>#REF!</v>
      </c>
      <c r="S84" s="1462" t="e">
        <f t="shared" si="31"/>
        <v>#REF!</v>
      </c>
      <c r="T84" s="1346">
        <f>SUM(T70:T83)</f>
        <v>122602</v>
      </c>
      <c r="U84" s="1338" t="e">
        <f t="shared" si="26"/>
        <v>#REF!</v>
      </c>
      <c r="W84" s="1572" t="s">
        <v>25</v>
      </c>
      <c r="X84" s="1573" t="e">
        <f t="shared" ref="X84:AE84" si="39">SUM(X70:X83)</f>
        <v>#REF!</v>
      </c>
      <c r="Y84" s="1573" t="e">
        <f t="shared" si="39"/>
        <v>#REF!</v>
      </c>
      <c r="Z84" s="1573" t="e">
        <f t="shared" si="39"/>
        <v>#REF!</v>
      </c>
      <c r="AA84" s="1573" t="e">
        <f t="shared" si="39"/>
        <v>#REF!</v>
      </c>
      <c r="AB84" s="1573">
        <f t="shared" si="39"/>
        <v>121945</v>
      </c>
      <c r="AC84" s="1574">
        <f t="shared" si="39"/>
        <v>656</v>
      </c>
      <c r="AD84" s="1574">
        <f t="shared" si="39"/>
        <v>1</v>
      </c>
      <c r="AE84" s="1573">
        <f t="shared" si="39"/>
        <v>122602</v>
      </c>
      <c r="AF84" s="1575" t="e">
        <f>X84/AB84*100</f>
        <v>#REF!</v>
      </c>
      <c r="AG84" s="1575" t="e">
        <f>Y84/AC84*100</f>
        <v>#REF!</v>
      </c>
      <c r="AH84" s="1575" t="e">
        <f>Z84/AD84*100</f>
        <v>#REF!</v>
      </c>
      <c r="AI84" s="1575" t="e">
        <f>AA84/AE84*100</f>
        <v>#REF!</v>
      </c>
    </row>
    <row r="85" spans="1:35" hidden="1"/>
    <row r="86" spans="1:35" ht="24" hidden="1" customHeight="1" thickBot="1">
      <c r="A86" s="92"/>
      <c r="B86" s="2882" t="s">
        <v>647</v>
      </c>
      <c r="C86" s="2882"/>
      <c r="D86" s="2882"/>
      <c r="E86" s="2882"/>
      <c r="F86" s="2882"/>
      <c r="G86" s="2882"/>
      <c r="H86" s="2882"/>
      <c r="I86" s="2882"/>
      <c r="J86" s="2882"/>
      <c r="K86" s="2882"/>
      <c r="L86" s="2882"/>
      <c r="M86" s="2882"/>
      <c r="N86" s="2882"/>
      <c r="O86" s="2882"/>
      <c r="P86" s="2882"/>
      <c r="Q86" s="2882"/>
      <c r="R86" s="2882"/>
      <c r="S86" s="2882"/>
      <c r="T86" s="2882"/>
      <c r="U86" s="2882"/>
    </row>
    <row r="87" spans="1:35" ht="23.25" hidden="1" customHeight="1">
      <c r="B87" s="2893" t="s">
        <v>175</v>
      </c>
      <c r="C87" s="2883"/>
      <c r="D87" s="2883"/>
      <c r="E87" s="2883"/>
      <c r="F87" s="2883"/>
      <c r="G87" s="2883"/>
      <c r="H87" s="2883"/>
      <c r="I87" s="2883"/>
      <c r="J87" s="2883"/>
      <c r="K87" s="2883" t="s">
        <v>143</v>
      </c>
      <c r="L87" s="2883"/>
      <c r="M87" s="2883"/>
      <c r="N87" s="2883"/>
      <c r="O87" s="2883"/>
      <c r="P87" s="2883"/>
      <c r="Q87" s="2883"/>
      <c r="R87" s="2883"/>
      <c r="S87" s="2883"/>
      <c r="T87" s="2890" t="s">
        <v>728</v>
      </c>
      <c r="U87" s="2884" t="s">
        <v>34</v>
      </c>
      <c r="W87" s="1576"/>
      <c r="X87" s="2853" t="s">
        <v>651</v>
      </c>
      <c r="Y87" s="2853"/>
      <c r="Z87" s="2853"/>
      <c r="AA87" s="2853"/>
      <c r="AB87" s="2853"/>
      <c r="AC87" s="2853"/>
      <c r="AD87" s="2853"/>
      <c r="AE87" s="2853"/>
      <c r="AF87" s="2853"/>
      <c r="AG87" s="2853"/>
      <c r="AH87" s="2853"/>
      <c r="AI87" s="2853"/>
    </row>
    <row r="88" spans="1:35" ht="23.25" hidden="1" customHeight="1">
      <c r="B88" s="2887">
        <f>K52</f>
        <v>45139</v>
      </c>
      <c r="C88" s="2888"/>
      <c r="D88" s="2888"/>
      <c r="E88" s="2888"/>
      <c r="F88" s="2889">
        <f>O52</f>
        <v>45505</v>
      </c>
      <c r="G88" s="2889"/>
      <c r="H88" s="2889"/>
      <c r="I88" s="2889"/>
      <c r="J88" s="1354"/>
      <c r="K88" s="2888">
        <f>B88</f>
        <v>45139</v>
      </c>
      <c r="L88" s="2888"/>
      <c r="M88" s="2888"/>
      <c r="N88" s="2888"/>
      <c r="O88" s="2889">
        <f>F88</f>
        <v>45505</v>
      </c>
      <c r="P88" s="2889"/>
      <c r="Q88" s="2889"/>
      <c r="R88" s="2889"/>
      <c r="S88" s="2889"/>
      <c r="T88" s="2891"/>
      <c r="U88" s="2885"/>
      <c r="W88" s="1577"/>
      <c r="X88" s="2843" t="s">
        <v>669</v>
      </c>
      <c r="Y88" s="2844"/>
      <c r="Z88" s="2844"/>
      <c r="AA88" s="2845"/>
      <c r="AB88" s="2843" t="s">
        <v>728</v>
      </c>
      <c r="AC88" s="2844"/>
      <c r="AD88" s="2844"/>
      <c r="AE88" s="2845"/>
      <c r="AF88" s="2843" t="s">
        <v>649</v>
      </c>
      <c r="AG88" s="2844"/>
      <c r="AH88" s="2844"/>
      <c r="AI88" s="2846"/>
    </row>
    <row r="89" spans="1:35" ht="25.5" hidden="1" customHeight="1" thickBot="1">
      <c r="B89" s="1358" t="s">
        <v>56</v>
      </c>
      <c r="C89" s="1359" t="s">
        <v>21</v>
      </c>
      <c r="D89" s="1359" t="s">
        <v>199</v>
      </c>
      <c r="E89" s="1359" t="s">
        <v>20</v>
      </c>
      <c r="F89" s="1355" t="s">
        <v>56</v>
      </c>
      <c r="G89" s="1355" t="s">
        <v>21</v>
      </c>
      <c r="H89" s="1355" t="s">
        <v>199</v>
      </c>
      <c r="I89" s="1355" t="s">
        <v>20</v>
      </c>
      <c r="J89" s="1355" t="s">
        <v>174</v>
      </c>
      <c r="K89" s="1359" t="s">
        <v>56</v>
      </c>
      <c r="L89" s="1359" t="s">
        <v>21</v>
      </c>
      <c r="M89" s="1359" t="s">
        <v>199</v>
      </c>
      <c r="N89" s="1359" t="s">
        <v>20</v>
      </c>
      <c r="O89" s="1355" t="s">
        <v>56</v>
      </c>
      <c r="P89" s="1355" t="s">
        <v>21</v>
      </c>
      <c r="Q89" s="1355" t="s">
        <v>199</v>
      </c>
      <c r="R89" s="1355" t="s">
        <v>20</v>
      </c>
      <c r="S89" s="1355" t="s">
        <v>174</v>
      </c>
      <c r="T89" s="2892"/>
      <c r="U89" s="2886"/>
      <c r="W89" s="1355"/>
      <c r="X89" s="1578" t="s">
        <v>56</v>
      </c>
      <c r="Y89" s="1579" t="s">
        <v>21</v>
      </c>
      <c r="Z89" s="1579" t="s">
        <v>199</v>
      </c>
      <c r="AA89" s="1580" t="s">
        <v>652</v>
      </c>
      <c r="AB89" s="1578" t="s">
        <v>56</v>
      </c>
      <c r="AC89" s="1579" t="s">
        <v>21</v>
      </c>
      <c r="AD89" s="1579" t="s">
        <v>199</v>
      </c>
      <c r="AE89" s="1580" t="s">
        <v>652</v>
      </c>
      <c r="AF89" s="1578" t="s">
        <v>56</v>
      </c>
      <c r="AG89" s="1579" t="s">
        <v>21</v>
      </c>
      <c r="AH89" s="1579" t="s">
        <v>199</v>
      </c>
      <c r="AI89" s="1579" t="s">
        <v>652</v>
      </c>
    </row>
    <row r="90" spans="1:35" ht="15.6" hidden="1">
      <c r="A90" s="1324" t="s">
        <v>6</v>
      </c>
      <c r="B90" s="1347">
        <f>gaz!BD101</f>
        <v>841</v>
      </c>
      <c r="C90" s="1348">
        <f>gaz!BE101</f>
        <v>0</v>
      </c>
      <c r="D90" s="1348">
        <f>'HT-HP 2'!AD100</f>
        <v>0</v>
      </c>
      <c r="E90" s="1348">
        <f>B90+C90+D90</f>
        <v>841</v>
      </c>
      <c r="F90" s="1348">
        <f>gaz!BD116</f>
        <v>1295</v>
      </c>
      <c r="G90" s="1348">
        <f>gaz!BE116</f>
        <v>0</v>
      </c>
      <c r="H90" s="1348">
        <f>'HT-HP 2'!AD115</f>
        <v>0</v>
      </c>
      <c r="I90" s="1348">
        <f t="shared" ref="I90:I104" si="40">F90+G90+H90</f>
        <v>1295</v>
      </c>
      <c r="J90" s="1327">
        <f t="shared" ref="J90:J104" si="41">((I90-E90)/E90)*100</f>
        <v>53.983353151010704</v>
      </c>
      <c r="K90" s="1348">
        <f>gaz!AZ101</f>
        <v>11149</v>
      </c>
      <c r="L90" s="1348">
        <f>gaz!BA101</f>
        <v>7</v>
      </c>
      <c r="M90" s="1348">
        <f>'HT-HP 2'!AA100</f>
        <v>0</v>
      </c>
      <c r="N90" s="1348">
        <f t="shared" ref="N90:N104" si="42">K90+L90+M90</f>
        <v>11156</v>
      </c>
      <c r="O90" s="1348">
        <f>gaz!AZ116</f>
        <v>13403</v>
      </c>
      <c r="P90" s="1348">
        <f>gaz!BA116</f>
        <v>4</v>
      </c>
      <c r="Q90" s="1348">
        <f>'HT-HP 2'!AA115</f>
        <v>0</v>
      </c>
      <c r="R90" s="1348">
        <f>O90+P90+Q90</f>
        <v>13407</v>
      </c>
      <c r="S90" s="1327">
        <f>((R90-N90)/N90)*100</f>
        <v>20.177482968806025</v>
      </c>
      <c r="T90" s="1326">
        <f>AE90</f>
        <v>9185</v>
      </c>
      <c r="U90" s="1351">
        <f t="shared" ref="U90:U104" si="43">(R90/T90)*100</f>
        <v>145.96624931954273</v>
      </c>
      <c r="W90" s="1563" t="s">
        <v>6</v>
      </c>
      <c r="X90" s="1564">
        <f>O90</f>
        <v>13403</v>
      </c>
      <c r="Y90" s="1565">
        <f>P90</f>
        <v>4</v>
      </c>
      <c r="Z90" s="1565">
        <f>Q90</f>
        <v>0</v>
      </c>
      <c r="AA90" s="1566">
        <f>X90+Y90+Z90</f>
        <v>13407</v>
      </c>
      <c r="AB90" s="1564">
        <v>9175</v>
      </c>
      <c r="AC90" s="1567">
        <v>10</v>
      </c>
      <c r="AD90" s="1567">
        <v>0</v>
      </c>
      <c r="AE90" s="1566">
        <f>+AB90+AC90+AD90</f>
        <v>9185</v>
      </c>
      <c r="AF90" s="1568">
        <f>X90/AB90*100</f>
        <v>146.08174386920979</v>
      </c>
      <c r="AG90" s="1569">
        <f>Y90/AC90*100</f>
        <v>40</v>
      </c>
      <c r="AH90" s="1569" t="e">
        <f t="shared" ref="AG90:AI94" si="44">Z90/AD90*100</f>
        <v>#DIV/0!</v>
      </c>
      <c r="AI90" s="1569">
        <f>AA90/AE90*100</f>
        <v>145.96624931954273</v>
      </c>
    </row>
    <row r="91" spans="1:35" ht="15.75" hidden="1" customHeight="1">
      <c r="A91" s="1324" t="s">
        <v>7</v>
      </c>
      <c r="B91" s="1347">
        <f>gaz!BD102</f>
        <v>608</v>
      </c>
      <c r="C91" s="1348">
        <f>gaz!BE102</f>
        <v>0</v>
      </c>
      <c r="D91" s="1348">
        <f>'HT-HP 2'!AD101</f>
        <v>0</v>
      </c>
      <c r="E91" s="1321">
        <f t="shared" ref="E91:E104" si="45">B91+C91+D91</f>
        <v>608</v>
      </c>
      <c r="F91" s="1348">
        <f>gaz!BD117</f>
        <v>453</v>
      </c>
      <c r="G91" s="1348">
        <f>gaz!BE117</f>
        <v>0</v>
      </c>
      <c r="H91" s="1348">
        <f>'HT-HP 2'!AD116</f>
        <v>0</v>
      </c>
      <c r="I91" s="1321">
        <f t="shared" si="40"/>
        <v>453</v>
      </c>
      <c r="J91" s="1322">
        <f t="shared" si="41"/>
        <v>-25.493421052631575</v>
      </c>
      <c r="K91" s="1348">
        <f>gaz!AZ102</f>
        <v>6756</v>
      </c>
      <c r="L91" s="1348">
        <f>gaz!BA102</f>
        <v>9</v>
      </c>
      <c r="M91" s="1348">
        <f>'HT-HP 2'!AA101</f>
        <v>0</v>
      </c>
      <c r="N91" s="1321">
        <f t="shared" si="42"/>
        <v>6765</v>
      </c>
      <c r="O91" s="1348">
        <f>gaz!AZ117</f>
        <v>5770</v>
      </c>
      <c r="P91" s="1348">
        <f>gaz!BA117</f>
        <v>5</v>
      </c>
      <c r="Q91" s="1348">
        <f>'HT-HP 2'!AA116</f>
        <v>0</v>
      </c>
      <c r="R91" s="1321">
        <f t="shared" ref="R91:R104" si="46">O91+P91+Q91</f>
        <v>5775</v>
      </c>
      <c r="S91" s="1322">
        <f t="shared" ref="S91:S104" si="47">((R91-N91)/N91)*100</f>
        <v>-14.634146341463413</v>
      </c>
      <c r="T91" s="1323">
        <f t="shared" ref="T91:T102" si="48">AE91</f>
        <v>8072</v>
      </c>
      <c r="U91" s="1329">
        <f t="shared" si="43"/>
        <v>71.543607532210103</v>
      </c>
      <c r="W91" s="1563" t="s">
        <v>7</v>
      </c>
      <c r="X91" s="1564">
        <f t="shared" ref="X91:X103" si="49">O91</f>
        <v>5770</v>
      </c>
      <c r="Y91" s="1567">
        <f t="shared" ref="Y91:Y103" si="50">P91</f>
        <v>5</v>
      </c>
      <c r="Z91" s="1567">
        <f t="shared" ref="Z91:Z103" si="51">Q91</f>
        <v>0</v>
      </c>
      <c r="AA91" s="1566">
        <f t="shared" ref="AA91:AA103" si="52">X91+Y91+Z91</f>
        <v>5775</v>
      </c>
      <c r="AB91" s="1564">
        <v>8060</v>
      </c>
      <c r="AC91" s="1567">
        <v>12</v>
      </c>
      <c r="AD91" s="1567">
        <v>0</v>
      </c>
      <c r="AE91" s="1566">
        <f t="shared" ref="AE91:AE103" si="53">+AB91+AC91+AD91</f>
        <v>8072</v>
      </c>
      <c r="AF91" s="1568">
        <f>X91/AB91*100</f>
        <v>71.588089330024815</v>
      </c>
      <c r="AG91" s="1569">
        <f t="shared" si="44"/>
        <v>41.666666666666671</v>
      </c>
      <c r="AH91" s="1569" t="e">
        <f t="shared" si="44"/>
        <v>#DIV/0!</v>
      </c>
      <c r="AI91" s="1569">
        <f t="shared" si="44"/>
        <v>71.543607532210103</v>
      </c>
    </row>
    <row r="92" spans="1:35" ht="15.6" hidden="1">
      <c r="A92" s="1324" t="s">
        <v>8</v>
      </c>
      <c r="B92" s="1347">
        <f>gaz!BD103</f>
        <v>1218</v>
      </c>
      <c r="C92" s="1348">
        <f>gaz!BE103</f>
        <v>1</v>
      </c>
      <c r="D92" s="1348">
        <f>'HT-HP 2'!AD102</f>
        <v>0</v>
      </c>
      <c r="E92" s="1321">
        <f t="shared" si="45"/>
        <v>1219</v>
      </c>
      <c r="F92" s="1348">
        <f>gaz!BD118</f>
        <v>981</v>
      </c>
      <c r="G92" s="1348">
        <f>gaz!BE118</f>
        <v>0</v>
      </c>
      <c r="H92" s="1348">
        <f>'HT-HP 2'!AD117</f>
        <v>0</v>
      </c>
      <c r="I92" s="1321">
        <f t="shared" si="40"/>
        <v>981</v>
      </c>
      <c r="J92" s="1322">
        <f t="shared" si="41"/>
        <v>-19.524200164068908</v>
      </c>
      <c r="K92" s="1348">
        <f>gaz!AZ103</f>
        <v>11330</v>
      </c>
      <c r="L92" s="1348">
        <f>gaz!BA103</f>
        <v>2</v>
      </c>
      <c r="M92" s="1348">
        <f>'HT-HP 2'!AA102</f>
        <v>0</v>
      </c>
      <c r="N92" s="1321">
        <f t="shared" si="42"/>
        <v>11332</v>
      </c>
      <c r="O92" s="1348">
        <f>gaz!AZ118</f>
        <v>8355</v>
      </c>
      <c r="P92" s="1348">
        <f>gaz!BA118</f>
        <v>9</v>
      </c>
      <c r="Q92" s="1348">
        <f>'HT-HP 2'!AA117</f>
        <v>0</v>
      </c>
      <c r="R92" s="1321">
        <f t="shared" si="46"/>
        <v>8364</v>
      </c>
      <c r="S92" s="1322">
        <f t="shared" si="47"/>
        <v>-26.191316625485349</v>
      </c>
      <c r="T92" s="1323">
        <f t="shared" si="48"/>
        <v>10283</v>
      </c>
      <c r="U92" s="1329">
        <f t="shared" si="43"/>
        <v>81.338130895653009</v>
      </c>
      <c r="W92" s="1563" t="s">
        <v>8</v>
      </c>
      <c r="X92" s="1564">
        <f t="shared" si="49"/>
        <v>8355</v>
      </c>
      <c r="Y92" s="1567">
        <f t="shared" si="50"/>
        <v>9</v>
      </c>
      <c r="Z92" s="1567">
        <f t="shared" si="51"/>
        <v>0</v>
      </c>
      <c r="AA92" s="1566">
        <f t="shared" si="52"/>
        <v>8364</v>
      </c>
      <c r="AB92" s="1564">
        <v>10275</v>
      </c>
      <c r="AC92" s="1567">
        <v>8</v>
      </c>
      <c r="AD92" s="1567">
        <v>0</v>
      </c>
      <c r="AE92" s="1566">
        <f t="shared" si="53"/>
        <v>10283</v>
      </c>
      <c r="AF92" s="1568">
        <f>X92/AB92*100</f>
        <v>81.313868613138681</v>
      </c>
      <c r="AG92" s="1569">
        <f t="shared" si="44"/>
        <v>112.5</v>
      </c>
      <c r="AH92" s="1569" t="e">
        <f t="shared" si="44"/>
        <v>#DIV/0!</v>
      </c>
      <c r="AI92" s="1569">
        <f t="shared" si="44"/>
        <v>81.338130895653009</v>
      </c>
    </row>
    <row r="93" spans="1:35" ht="15.6" hidden="1">
      <c r="A93" s="1324" t="s">
        <v>4</v>
      </c>
      <c r="B93" s="1347">
        <f>gaz!BD104</f>
        <v>1105</v>
      </c>
      <c r="C93" s="1348">
        <f>gaz!BE104</f>
        <v>0</v>
      </c>
      <c r="D93" s="1348">
        <f>'HT-HP 2'!AD103</f>
        <v>0</v>
      </c>
      <c r="E93" s="1321">
        <f t="shared" si="45"/>
        <v>1105</v>
      </c>
      <c r="F93" s="1348">
        <f>gaz!BD119</f>
        <v>1042</v>
      </c>
      <c r="G93" s="1348">
        <f>gaz!BE119</f>
        <v>0</v>
      </c>
      <c r="H93" s="1348">
        <f>'HT-HP 2'!AD118</f>
        <v>0</v>
      </c>
      <c r="I93" s="1321">
        <f t="shared" si="40"/>
        <v>1042</v>
      </c>
      <c r="J93" s="1322">
        <f t="shared" si="41"/>
        <v>-5.7013574660633486</v>
      </c>
      <c r="K93" s="1348">
        <f>gaz!AZ104</f>
        <v>9657</v>
      </c>
      <c r="L93" s="1348">
        <f>gaz!BA104</f>
        <v>1</v>
      </c>
      <c r="M93" s="1348">
        <f>'HT-HP 2'!AA103</f>
        <v>0</v>
      </c>
      <c r="N93" s="1321">
        <f t="shared" si="42"/>
        <v>9658</v>
      </c>
      <c r="O93" s="1348">
        <f>gaz!AZ119</f>
        <v>12301</v>
      </c>
      <c r="P93" s="1348">
        <f>gaz!BA119</f>
        <v>7</v>
      </c>
      <c r="Q93" s="1348">
        <f>'HT-HP 2'!AA118</f>
        <v>1</v>
      </c>
      <c r="R93" s="1321">
        <f t="shared" si="46"/>
        <v>12309</v>
      </c>
      <c r="S93" s="1322">
        <f t="shared" si="47"/>
        <v>27.448747152619589</v>
      </c>
      <c r="T93" s="1323">
        <f t="shared" si="48"/>
        <v>22579</v>
      </c>
      <c r="U93" s="1329">
        <f t="shared" si="43"/>
        <v>54.515257540192216</v>
      </c>
      <c r="W93" s="1563" t="s">
        <v>4</v>
      </c>
      <c r="X93" s="1564">
        <f t="shared" si="49"/>
        <v>12301</v>
      </c>
      <c r="Y93" s="1567">
        <f t="shared" si="50"/>
        <v>7</v>
      </c>
      <c r="Z93" s="1567">
        <f t="shared" si="51"/>
        <v>1</v>
      </c>
      <c r="AA93" s="1566">
        <f t="shared" si="52"/>
        <v>12309</v>
      </c>
      <c r="AB93" s="1564">
        <v>22560</v>
      </c>
      <c r="AC93" s="1567">
        <v>18</v>
      </c>
      <c r="AD93" s="1567">
        <v>1</v>
      </c>
      <c r="AE93" s="1566">
        <f t="shared" si="53"/>
        <v>22579</v>
      </c>
      <c r="AF93" s="1568">
        <f>X93/AB93*100</f>
        <v>54.525709219858157</v>
      </c>
      <c r="AG93" s="1569">
        <f t="shared" si="44"/>
        <v>38.888888888888893</v>
      </c>
      <c r="AH93" s="1569">
        <f t="shared" si="44"/>
        <v>100</v>
      </c>
      <c r="AI93" s="1569">
        <f t="shared" si="44"/>
        <v>54.515257540192216</v>
      </c>
    </row>
    <row r="94" spans="1:35" ht="15.6" hidden="1">
      <c r="A94" s="1325" t="s">
        <v>3</v>
      </c>
      <c r="B94" s="1347">
        <f>gaz!BD105</f>
        <v>425</v>
      </c>
      <c r="C94" s="1348">
        <f>gaz!BE105</f>
        <v>0</v>
      </c>
      <c r="D94" s="1348">
        <f>'HT-HP 2'!AD104</f>
        <v>0</v>
      </c>
      <c r="E94" s="1321">
        <f t="shared" si="45"/>
        <v>425</v>
      </c>
      <c r="F94" s="1348">
        <f>gaz!BD120</f>
        <v>474</v>
      </c>
      <c r="G94" s="1348">
        <f>gaz!BE120</f>
        <v>0</v>
      </c>
      <c r="H94" s="1348">
        <f>'HT-HP 2'!AD119</f>
        <v>0</v>
      </c>
      <c r="I94" s="1321">
        <f t="shared" si="40"/>
        <v>474</v>
      </c>
      <c r="J94" s="1322">
        <f t="shared" si="41"/>
        <v>11.529411764705882</v>
      </c>
      <c r="K94" s="1348">
        <f>gaz!AZ105</f>
        <v>4177</v>
      </c>
      <c r="L94" s="1348">
        <f>gaz!BA105</f>
        <v>2</v>
      </c>
      <c r="M94" s="1348">
        <f>'HT-HP 2'!AA104</f>
        <v>0</v>
      </c>
      <c r="N94" s="1321">
        <f t="shared" si="42"/>
        <v>4179</v>
      </c>
      <c r="O94" s="1348">
        <f>gaz!AZ120</f>
        <v>3636</v>
      </c>
      <c r="P94" s="1348">
        <f>gaz!BA120</f>
        <v>2</v>
      </c>
      <c r="Q94" s="1348">
        <f>'HT-HP 2'!AA119</f>
        <v>0</v>
      </c>
      <c r="R94" s="1321">
        <f t="shared" si="46"/>
        <v>3638</v>
      </c>
      <c r="S94" s="1322">
        <f t="shared" si="47"/>
        <v>-12.945680784876764</v>
      </c>
      <c r="T94" s="1323">
        <f t="shared" si="48"/>
        <v>9601</v>
      </c>
      <c r="U94" s="1329">
        <f t="shared" si="43"/>
        <v>37.891886261847723</v>
      </c>
      <c r="W94" s="1563" t="s">
        <v>3</v>
      </c>
      <c r="X94" s="1564">
        <f t="shared" si="49"/>
        <v>3636</v>
      </c>
      <c r="Y94" s="1567">
        <f t="shared" si="50"/>
        <v>2</v>
      </c>
      <c r="Z94" s="1567">
        <f t="shared" si="51"/>
        <v>0</v>
      </c>
      <c r="AA94" s="1566">
        <f t="shared" si="52"/>
        <v>3638</v>
      </c>
      <c r="AB94" s="1564">
        <v>9595</v>
      </c>
      <c r="AC94" s="1567">
        <v>6</v>
      </c>
      <c r="AD94" s="1567">
        <v>0</v>
      </c>
      <c r="AE94" s="1566">
        <f t="shared" si="53"/>
        <v>9601</v>
      </c>
      <c r="AF94" s="1568">
        <f>X94/AB94*100</f>
        <v>37.894736842105267</v>
      </c>
      <c r="AG94" s="1569">
        <f t="shared" si="44"/>
        <v>33.333333333333329</v>
      </c>
      <c r="AH94" s="1569" t="e">
        <f t="shared" si="44"/>
        <v>#DIV/0!</v>
      </c>
      <c r="AI94" s="1569">
        <f t="shared" si="44"/>
        <v>37.891886261847723</v>
      </c>
    </row>
    <row r="95" spans="1:35" ht="15.6" hidden="1">
      <c r="A95" s="1324" t="s">
        <v>9</v>
      </c>
      <c r="B95" s="1347">
        <f>gaz!BD106</f>
        <v>416</v>
      </c>
      <c r="C95" s="1348">
        <f>gaz!BE106</f>
        <v>0</v>
      </c>
      <c r="D95" s="1348">
        <f>'HT-HP 2'!AD105</f>
        <v>0</v>
      </c>
      <c r="E95" s="1321">
        <f t="shared" si="45"/>
        <v>416</v>
      </c>
      <c r="F95" s="1348">
        <f>gaz!BD121</f>
        <v>577</v>
      </c>
      <c r="G95" s="1348">
        <f>gaz!BE121</f>
        <v>0</v>
      </c>
      <c r="H95" s="1348">
        <f>'HT-HP 2'!AD120</f>
        <v>0</v>
      </c>
      <c r="I95" s="1321">
        <f t="shared" si="40"/>
        <v>577</v>
      </c>
      <c r="J95" s="1322">
        <f t="shared" si="41"/>
        <v>38.70192307692308</v>
      </c>
      <c r="K95" s="1348">
        <f>gaz!AZ106</f>
        <v>7648</v>
      </c>
      <c r="L95" s="1348">
        <f>gaz!BA106</f>
        <v>2</v>
      </c>
      <c r="M95" s="1348">
        <f>'HT-HP 2'!AA105</f>
        <v>0</v>
      </c>
      <c r="N95" s="1321">
        <f t="shared" si="42"/>
        <v>7650</v>
      </c>
      <c r="O95" s="1348">
        <f>gaz!AZ121</f>
        <v>6007</v>
      </c>
      <c r="P95" s="1348">
        <f>gaz!BA121</f>
        <v>4</v>
      </c>
      <c r="Q95" s="1348">
        <f>'HT-HP 2'!AA120</f>
        <v>0</v>
      </c>
      <c r="R95" s="1321">
        <f t="shared" si="46"/>
        <v>6011</v>
      </c>
      <c r="S95" s="1322">
        <f t="shared" si="47"/>
        <v>-21.424836601307192</v>
      </c>
      <c r="T95" s="1323">
        <f t="shared" si="48"/>
        <v>7282</v>
      </c>
      <c r="U95" s="1329">
        <f t="shared" si="43"/>
        <v>82.546003845097502</v>
      </c>
      <c r="W95" s="1563" t="s">
        <v>9</v>
      </c>
      <c r="X95" s="1564">
        <f t="shared" si="49"/>
        <v>6007</v>
      </c>
      <c r="Y95" s="1567">
        <f t="shared" si="50"/>
        <v>4</v>
      </c>
      <c r="Z95" s="1567">
        <f t="shared" si="51"/>
        <v>0</v>
      </c>
      <c r="AA95" s="1566">
        <f t="shared" si="52"/>
        <v>6011</v>
      </c>
      <c r="AB95" s="1564">
        <v>7275</v>
      </c>
      <c r="AC95" s="1567">
        <v>5</v>
      </c>
      <c r="AD95" s="1567">
        <v>2</v>
      </c>
      <c r="AE95" s="1566">
        <f t="shared" si="53"/>
        <v>7282</v>
      </c>
      <c r="AF95" s="1568">
        <f t="shared" ref="AF95:AI104" si="54">X95/AB95*100</f>
        <v>82.57044673539518</v>
      </c>
      <c r="AG95" s="1569">
        <f t="shared" si="54"/>
        <v>80</v>
      </c>
      <c r="AH95" s="1569">
        <f t="shared" si="54"/>
        <v>0</v>
      </c>
      <c r="AI95" s="1569">
        <f t="shared" si="54"/>
        <v>82.546003845097502</v>
      </c>
    </row>
    <row r="96" spans="1:35" ht="15.6" hidden="1">
      <c r="A96" s="1324" t="s">
        <v>5</v>
      </c>
      <c r="B96" s="1347">
        <f>gaz!BD107</f>
        <v>750</v>
      </c>
      <c r="C96" s="1348">
        <f>gaz!BE107</f>
        <v>1</v>
      </c>
      <c r="D96" s="1348">
        <f>'HT-HP 2'!AD106</f>
        <v>0</v>
      </c>
      <c r="E96" s="1321">
        <f t="shared" si="45"/>
        <v>751</v>
      </c>
      <c r="F96" s="1348">
        <f>gaz!BD122</f>
        <v>943</v>
      </c>
      <c r="G96" s="1348">
        <f>gaz!BE122</f>
        <v>2</v>
      </c>
      <c r="H96" s="1348">
        <f>'HT-HP 2'!AD121</f>
        <v>0</v>
      </c>
      <c r="I96" s="1321">
        <f t="shared" si="40"/>
        <v>945</v>
      </c>
      <c r="J96" s="1322">
        <f t="shared" si="41"/>
        <v>25.832223701731028</v>
      </c>
      <c r="K96" s="1348">
        <f>gaz!AZ107</f>
        <v>9990</v>
      </c>
      <c r="L96" s="1348">
        <f>gaz!BA107</f>
        <v>6</v>
      </c>
      <c r="M96" s="1348">
        <f>'HT-HP 2'!AA106</f>
        <v>0</v>
      </c>
      <c r="N96" s="1321">
        <f t="shared" si="42"/>
        <v>9996</v>
      </c>
      <c r="O96" s="1348">
        <f>gaz!AZ122</f>
        <v>10679</v>
      </c>
      <c r="P96" s="1348">
        <f>gaz!BA122</f>
        <v>9</v>
      </c>
      <c r="Q96" s="1348">
        <f>'HT-HP 2'!AA121</f>
        <v>0</v>
      </c>
      <c r="R96" s="1321">
        <f t="shared" si="46"/>
        <v>10688</v>
      </c>
      <c r="S96" s="1322">
        <f t="shared" si="47"/>
        <v>6.9227691076430578</v>
      </c>
      <c r="T96" s="1323">
        <f t="shared" si="48"/>
        <v>4918</v>
      </c>
      <c r="U96" s="1329">
        <f t="shared" si="43"/>
        <v>217.3241154941033</v>
      </c>
      <c r="W96" s="1563" t="s">
        <v>5</v>
      </c>
      <c r="X96" s="1564">
        <f t="shared" si="49"/>
        <v>10679</v>
      </c>
      <c r="Y96" s="1567">
        <f t="shared" si="50"/>
        <v>9</v>
      </c>
      <c r="Z96" s="1567">
        <f t="shared" si="51"/>
        <v>0</v>
      </c>
      <c r="AA96" s="1566">
        <f t="shared" si="52"/>
        <v>10688</v>
      </c>
      <c r="AB96" s="1564">
        <v>4910</v>
      </c>
      <c r="AC96" s="1567">
        <v>8</v>
      </c>
      <c r="AD96" s="1567">
        <v>0</v>
      </c>
      <c r="AE96" s="1566">
        <f t="shared" si="53"/>
        <v>4918</v>
      </c>
      <c r="AF96" s="1568">
        <f t="shared" si="54"/>
        <v>217.49490835030548</v>
      </c>
      <c r="AG96" s="1569">
        <f t="shared" si="54"/>
        <v>112.5</v>
      </c>
      <c r="AH96" s="1569" t="e">
        <f t="shared" si="54"/>
        <v>#DIV/0!</v>
      </c>
      <c r="AI96" s="1569">
        <f t="shared" si="54"/>
        <v>217.3241154941033</v>
      </c>
    </row>
    <row r="97" spans="1:35" ht="15.6" hidden="1">
      <c r="A97" s="1324" t="s">
        <v>11</v>
      </c>
      <c r="B97" s="1347">
        <f>gaz!BD108</f>
        <v>332</v>
      </c>
      <c r="C97" s="1348">
        <f>gaz!BE108</f>
        <v>0</v>
      </c>
      <c r="D97" s="1348">
        <f>'HT-HP 2'!AD107</f>
        <v>0</v>
      </c>
      <c r="E97" s="1321">
        <f t="shared" si="45"/>
        <v>332</v>
      </c>
      <c r="F97" s="1348">
        <f>gaz!BD123</f>
        <v>361</v>
      </c>
      <c r="G97" s="1348">
        <f>gaz!BE123</f>
        <v>0</v>
      </c>
      <c r="H97" s="1348">
        <f>'HT-HP 2'!AD122</f>
        <v>0</v>
      </c>
      <c r="I97" s="1321">
        <f t="shared" si="40"/>
        <v>361</v>
      </c>
      <c r="J97" s="1322">
        <f t="shared" si="41"/>
        <v>8.7349397590361448</v>
      </c>
      <c r="K97" s="1348">
        <f>gaz!AZ108</f>
        <v>6301</v>
      </c>
      <c r="L97" s="1348">
        <f>gaz!BA108</f>
        <v>7</v>
      </c>
      <c r="M97" s="1348">
        <f>'HT-HP 2'!AA107</f>
        <v>0</v>
      </c>
      <c r="N97" s="1321">
        <f t="shared" si="42"/>
        <v>6308</v>
      </c>
      <c r="O97" s="1348">
        <f>gaz!AZ123</f>
        <v>4691</v>
      </c>
      <c r="P97" s="1348">
        <f>gaz!BA123</f>
        <v>4</v>
      </c>
      <c r="Q97" s="1348">
        <f>'HT-HP 2'!AA122</f>
        <v>0</v>
      </c>
      <c r="R97" s="1321">
        <f t="shared" si="46"/>
        <v>4695</v>
      </c>
      <c r="S97" s="1322">
        <f t="shared" si="47"/>
        <v>-25.570703868103994</v>
      </c>
      <c r="T97" s="1323">
        <f t="shared" si="48"/>
        <v>1032</v>
      </c>
      <c r="U97" s="1329">
        <f t="shared" si="43"/>
        <v>454.94186046511629</v>
      </c>
      <c r="W97" s="1563" t="s">
        <v>11</v>
      </c>
      <c r="X97" s="1564">
        <f t="shared" si="49"/>
        <v>4691</v>
      </c>
      <c r="Y97" s="1567">
        <f t="shared" si="50"/>
        <v>4</v>
      </c>
      <c r="Z97" s="1567">
        <f t="shared" si="51"/>
        <v>0</v>
      </c>
      <c r="AA97" s="1566">
        <f t="shared" si="52"/>
        <v>4695</v>
      </c>
      <c r="AB97" s="1564">
        <v>1032</v>
      </c>
      <c r="AC97" s="1567"/>
      <c r="AD97" s="1567">
        <v>0</v>
      </c>
      <c r="AE97" s="1566">
        <f t="shared" si="53"/>
        <v>1032</v>
      </c>
      <c r="AF97" s="1568">
        <f t="shared" si="54"/>
        <v>454.55426356589152</v>
      </c>
      <c r="AG97" s="1569" t="e">
        <f t="shared" si="54"/>
        <v>#DIV/0!</v>
      </c>
      <c r="AH97" s="1569" t="e">
        <f t="shared" si="54"/>
        <v>#DIV/0!</v>
      </c>
      <c r="AI97" s="1569">
        <f t="shared" si="54"/>
        <v>454.94186046511629</v>
      </c>
    </row>
    <row r="98" spans="1:35" ht="15.6" hidden="1">
      <c r="A98" s="1324" t="s">
        <v>10</v>
      </c>
      <c r="B98" s="1347">
        <f>gaz!BD109</f>
        <v>421</v>
      </c>
      <c r="C98" s="1348">
        <f>gaz!BE109</f>
        <v>1</v>
      </c>
      <c r="D98" s="1348">
        <f>'HT-HP 2'!AD108</f>
        <v>0</v>
      </c>
      <c r="E98" s="1321">
        <f t="shared" si="45"/>
        <v>422</v>
      </c>
      <c r="F98" s="1348">
        <f>gaz!BD124</f>
        <v>1287</v>
      </c>
      <c r="G98" s="1348">
        <f>gaz!BE124</f>
        <v>2</v>
      </c>
      <c r="H98" s="1348">
        <f>'HT-HP 2'!AD123</f>
        <v>0</v>
      </c>
      <c r="I98" s="1321">
        <f t="shared" si="40"/>
        <v>1289</v>
      </c>
      <c r="J98" s="1322">
        <f t="shared" si="41"/>
        <v>205.45023696682466</v>
      </c>
      <c r="K98" s="1348">
        <f>gaz!AZ109</f>
        <v>11770</v>
      </c>
      <c r="L98" s="1348">
        <f>gaz!BA109</f>
        <v>3</v>
      </c>
      <c r="M98" s="1348">
        <f>'HT-HP 2'!AA108</f>
        <v>0</v>
      </c>
      <c r="N98" s="1321">
        <f t="shared" si="42"/>
        <v>11773</v>
      </c>
      <c r="O98" s="1348">
        <f>gaz!AZ124</f>
        <v>8998</v>
      </c>
      <c r="P98" s="1348">
        <f>gaz!BA124</f>
        <v>5</v>
      </c>
      <c r="Q98" s="1348">
        <f>'HT-HP 2'!AA123</f>
        <v>0</v>
      </c>
      <c r="R98" s="1321">
        <f t="shared" si="46"/>
        <v>9003</v>
      </c>
      <c r="S98" s="1322">
        <f t="shared" si="47"/>
        <v>-23.528412469209208</v>
      </c>
      <c r="T98" s="1323">
        <f t="shared" si="48"/>
        <v>6316</v>
      </c>
      <c r="U98" s="1329">
        <f t="shared" si="43"/>
        <v>142.54274857504748</v>
      </c>
      <c r="W98" s="1563" t="s">
        <v>10</v>
      </c>
      <c r="X98" s="1564">
        <f t="shared" si="49"/>
        <v>8998</v>
      </c>
      <c r="Y98" s="1567">
        <f t="shared" si="50"/>
        <v>5</v>
      </c>
      <c r="Z98" s="1567">
        <f t="shared" si="51"/>
        <v>0</v>
      </c>
      <c r="AA98" s="1566">
        <f t="shared" si="52"/>
        <v>9003</v>
      </c>
      <c r="AB98" s="1564">
        <v>6310</v>
      </c>
      <c r="AC98" s="1567">
        <v>5</v>
      </c>
      <c r="AD98" s="1567">
        <v>1</v>
      </c>
      <c r="AE98" s="1566">
        <f t="shared" si="53"/>
        <v>6316</v>
      </c>
      <c r="AF98" s="1568">
        <f t="shared" si="54"/>
        <v>142.59904912836768</v>
      </c>
      <c r="AG98" s="1569">
        <f t="shared" si="54"/>
        <v>100</v>
      </c>
      <c r="AH98" s="1569">
        <f t="shared" si="54"/>
        <v>0</v>
      </c>
      <c r="AI98" s="1569">
        <f t="shared" si="54"/>
        <v>142.54274857504748</v>
      </c>
    </row>
    <row r="99" spans="1:35" ht="15.6" hidden="1">
      <c r="A99" s="1324" t="s">
        <v>12</v>
      </c>
      <c r="B99" s="1347">
        <f>gaz!BD110</f>
        <v>358</v>
      </c>
      <c r="C99" s="1348">
        <f>gaz!BE110</f>
        <v>0</v>
      </c>
      <c r="D99" s="1348">
        <f>'HT-HP 2'!AD109</f>
        <v>0</v>
      </c>
      <c r="E99" s="1321">
        <f t="shared" si="45"/>
        <v>358</v>
      </c>
      <c r="F99" s="1348">
        <f>gaz!BD125</f>
        <v>183</v>
      </c>
      <c r="G99" s="1348">
        <f>gaz!BE125</f>
        <v>0</v>
      </c>
      <c r="H99" s="1348">
        <f>'HT-HP 2'!AD124</f>
        <v>0</v>
      </c>
      <c r="I99" s="1321">
        <f t="shared" si="40"/>
        <v>183</v>
      </c>
      <c r="J99" s="1322">
        <f t="shared" si="41"/>
        <v>-48.882681564245814</v>
      </c>
      <c r="K99" s="1348">
        <f>gaz!AZ110</f>
        <v>5891</v>
      </c>
      <c r="L99" s="1348">
        <f>gaz!BA110</f>
        <v>0</v>
      </c>
      <c r="M99" s="1348">
        <f>'HT-HP 2'!AA109</f>
        <v>0</v>
      </c>
      <c r="N99" s="1321">
        <f t="shared" si="42"/>
        <v>5891</v>
      </c>
      <c r="O99" s="1348">
        <f>gaz!AZ125</f>
        <v>4682</v>
      </c>
      <c r="P99" s="1348">
        <f>gaz!BA125</f>
        <v>1</v>
      </c>
      <c r="Q99" s="1348">
        <f>'HT-HP 2'!AA124</f>
        <v>0</v>
      </c>
      <c r="R99" s="1321">
        <f t="shared" si="46"/>
        <v>4683</v>
      </c>
      <c r="S99" s="1322">
        <f t="shared" si="47"/>
        <v>-20.505856391105077</v>
      </c>
      <c r="T99" s="1323">
        <f t="shared" si="48"/>
        <v>3563</v>
      </c>
      <c r="U99" s="1329">
        <f t="shared" si="43"/>
        <v>131.43418467583496</v>
      </c>
      <c r="W99" s="1563" t="s">
        <v>12</v>
      </c>
      <c r="X99" s="1564">
        <f t="shared" si="49"/>
        <v>4682</v>
      </c>
      <c r="Y99" s="1567">
        <f t="shared" si="50"/>
        <v>1</v>
      </c>
      <c r="Z99" s="1567">
        <f t="shared" si="51"/>
        <v>0</v>
      </c>
      <c r="AA99" s="1566">
        <f t="shared" si="52"/>
        <v>4683</v>
      </c>
      <c r="AB99" s="1564">
        <v>3560</v>
      </c>
      <c r="AC99" s="1567">
        <v>3</v>
      </c>
      <c r="AD99" s="1567">
        <v>0</v>
      </c>
      <c r="AE99" s="1566">
        <f t="shared" si="53"/>
        <v>3563</v>
      </c>
      <c r="AF99" s="1568">
        <f t="shared" si="54"/>
        <v>131.51685393258427</v>
      </c>
      <c r="AG99" s="1569">
        <f t="shared" si="54"/>
        <v>33.333333333333329</v>
      </c>
      <c r="AH99" s="1569" t="e">
        <f t="shared" si="54"/>
        <v>#DIV/0!</v>
      </c>
      <c r="AI99" s="1569">
        <f t="shared" si="54"/>
        <v>131.43418467583496</v>
      </c>
    </row>
    <row r="100" spans="1:35" ht="15.6" hidden="1">
      <c r="A100" s="1324" t="s">
        <v>563</v>
      </c>
      <c r="B100" s="1347" t="e">
        <f>gaz!#REF!</f>
        <v>#REF!</v>
      </c>
      <c r="C100" s="1348" t="e">
        <f>gaz!#REF!</f>
        <v>#REF!</v>
      </c>
      <c r="D100" s="1348" t="e">
        <f>'HT-HP 2'!#REF!</f>
        <v>#REF!</v>
      </c>
      <c r="E100" s="1321" t="e">
        <f t="shared" si="45"/>
        <v>#REF!</v>
      </c>
      <c r="F100" s="1348" t="e">
        <f>gaz!#REF!</f>
        <v>#REF!</v>
      </c>
      <c r="G100" s="1348" t="e">
        <f>gaz!#REF!</f>
        <v>#REF!</v>
      </c>
      <c r="H100" s="1348" t="e">
        <f>'HT-HP 2'!#REF!</f>
        <v>#REF!</v>
      </c>
      <c r="I100" s="1321" t="e">
        <f t="shared" si="40"/>
        <v>#REF!</v>
      </c>
      <c r="J100" s="1322" t="e">
        <f t="shared" si="41"/>
        <v>#REF!</v>
      </c>
      <c r="K100" s="1348" t="e">
        <f>gaz!#REF!</f>
        <v>#REF!</v>
      </c>
      <c r="L100" s="1348" t="e">
        <f>gaz!#REF!</f>
        <v>#REF!</v>
      </c>
      <c r="M100" s="1348" t="e">
        <f>'HT-HP 2'!#REF!</f>
        <v>#REF!</v>
      </c>
      <c r="N100" s="1321" t="e">
        <f t="shared" si="42"/>
        <v>#REF!</v>
      </c>
      <c r="O100" s="1348" t="e">
        <f>gaz!#REF!</f>
        <v>#REF!</v>
      </c>
      <c r="P100" s="1348" t="e">
        <f>gaz!#REF!</f>
        <v>#REF!</v>
      </c>
      <c r="Q100" s="1348" t="e">
        <f>'HT-HP 2'!#REF!</f>
        <v>#REF!</v>
      </c>
      <c r="R100" s="1321" t="e">
        <f t="shared" si="46"/>
        <v>#REF!</v>
      </c>
      <c r="S100" s="1322" t="e">
        <f>((R100-N100)/N100)*100</f>
        <v>#REF!</v>
      </c>
      <c r="T100" s="1323">
        <f t="shared" si="48"/>
        <v>4747</v>
      </c>
      <c r="U100" s="1329" t="e">
        <f t="shared" si="43"/>
        <v>#REF!</v>
      </c>
      <c r="W100" s="1563" t="s">
        <v>563</v>
      </c>
      <c r="X100" s="1564" t="e">
        <f t="shared" si="49"/>
        <v>#REF!</v>
      </c>
      <c r="Y100" s="1567" t="e">
        <f t="shared" si="50"/>
        <v>#REF!</v>
      </c>
      <c r="Z100" s="1565" t="e">
        <f>Q100</f>
        <v>#REF!</v>
      </c>
      <c r="AA100" s="1566" t="e">
        <f t="shared" si="52"/>
        <v>#REF!</v>
      </c>
      <c r="AB100" s="1564">
        <v>4740</v>
      </c>
      <c r="AC100" s="1567">
        <v>7</v>
      </c>
      <c r="AD100" s="1567">
        <v>0</v>
      </c>
      <c r="AE100" s="1566">
        <f t="shared" si="53"/>
        <v>4747</v>
      </c>
      <c r="AF100" s="1568" t="e">
        <f t="shared" si="54"/>
        <v>#REF!</v>
      </c>
      <c r="AG100" s="1569" t="e">
        <f t="shared" si="54"/>
        <v>#REF!</v>
      </c>
      <c r="AH100" s="1569" t="e">
        <f t="shared" si="54"/>
        <v>#REF!</v>
      </c>
      <c r="AI100" s="1569" t="e">
        <f t="shared" si="54"/>
        <v>#REF!</v>
      </c>
    </row>
    <row r="101" spans="1:35" ht="15.6" hidden="1">
      <c r="A101" s="1324" t="s">
        <v>15</v>
      </c>
      <c r="B101" s="1347" t="e">
        <f>gaz!#REF!</f>
        <v>#REF!</v>
      </c>
      <c r="C101" s="1348" t="e">
        <f>gaz!#REF!</f>
        <v>#REF!</v>
      </c>
      <c r="D101" s="1348" t="e">
        <f>'HT-HP 2'!#REF!</f>
        <v>#REF!</v>
      </c>
      <c r="E101" s="1321" t="e">
        <f t="shared" si="45"/>
        <v>#REF!</v>
      </c>
      <c r="F101" s="1348" t="e">
        <f>gaz!#REF!</f>
        <v>#REF!</v>
      </c>
      <c r="G101" s="1348" t="e">
        <f>gaz!#REF!</f>
        <v>#REF!</v>
      </c>
      <c r="H101" s="1348" t="e">
        <f>'HT-HP 2'!#REF!</f>
        <v>#REF!</v>
      </c>
      <c r="I101" s="1321" t="e">
        <f t="shared" si="40"/>
        <v>#REF!</v>
      </c>
      <c r="J101" s="1322" t="e">
        <f t="shared" si="41"/>
        <v>#REF!</v>
      </c>
      <c r="K101" s="1348" t="e">
        <f>gaz!#REF!</f>
        <v>#REF!</v>
      </c>
      <c r="L101" s="1348" t="e">
        <f>gaz!#REF!</f>
        <v>#REF!</v>
      </c>
      <c r="M101" s="1348" t="e">
        <f>'HT-HP 2'!#REF!</f>
        <v>#REF!</v>
      </c>
      <c r="N101" s="1321" t="e">
        <f t="shared" si="42"/>
        <v>#REF!</v>
      </c>
      <c r="O101" s="1348" t="e">
        <f>gaz!#REF!</f>
        <v>#REF!</v>
      </c>
      <c r="P101" s="1348" t="e">
        <f>gaz!#REF!</f>
        <v>#REF!</v>
      </c>
      <c r="Q101" s="1348" t="e">
        <f>'HT-HP 2'!#REF!</f>
        <v>#REF!</v>
      </c>
      <c r="R101" s="1321" t="e">
        <f t="shared" si="46"/>
        <v>#REF!</v>
      </c>
      <c r="S101" s="1322" t="e">
        <f t="shared" si="47"/>
        <v>#REF!</v>
      </c>
      <c r="T101" s="1323">
        <f t="shared" si="48"/>
        <v>291</v>
      </c>
      <c r="U101" s="1329" t="e">
        <f>(R101/T101)*100</f>
        <v>#REF!</v>
      </c>
      <c r="W101" s="1563" t="s">
        <v>15</v>
      </c>
      <c r="X101" s="1564" t="e">
        <f t="shared" si="49"/>
        <v>#REF!</v>
      </c>
      <c r="Y101" s="1567" t="e">
        <f t="shared" si="50"/>
        <v>#REF!</v>
      </c>
      <c r="Z101" s="1567" t="e">
        <f t="shared" si="51"/>
        <v>#REF!</v>
      </c>
      <c r="AA101" s="1566" t="e">
        <f t="shared" si="52"/>
        <v>#REF!</v>
      </c>
      <c r="AB101" s="1564">
        <v>290</v>
      </c>
      <c r="AC101" s="1567">
        <v>1</v>
      </c>
      <c r="AD101" s="1567">
        <v>0</v>
      </c>
      <c r="AE101" s="1566">
        <f t="shared" si="53"/>
        <v>291</v>
      </c>
      <c r="AF101" s="1568" t="e">
        <f t="shared" si="54"/>
        <v>#REF!</v>
      </c>
      <c r="AG101" s="1569" t="e">
        <f t="shared" si="54"/>
        <v>#REF!</v>
      </c>
      <c r="AH101" s="1569" t="e">
        <f t="shared" si="54"/>
        <v>#REF!</v>
      </c>
      <c r="AI101" s="1569" t="e">
        <f t="shared" si="54"/>
        <v>#REF!</v>
      </c>
    </row>
    <row r="102" spans="1:35" ht="15.6" hidden="1">
      <c r="A102" s="1324" t="s">
        <v>397</v>
      </c>
      <c r="B102" s="1347" t="e">
        <f>gaz!#REF!</f>
        <v>#REF!</v>
      </c>
      <c r="C102" s="1348" t="e">
        <f>gaz!#REF!</f>
        <v>#REF!</v>
      </c>
      <c r="D102" s="1348" t="e">
        <f>'HT-HP 2'!#REF!</f>
        <v>#REF!</v>
      </c>
      <c r="E102" s="1321" t="e">
        <f t="shared" si="45"/>
        <v>#REF!</v>
      </c>
      <c r="F102" s="1348" t="e">
        <f>gaz!#REF!</f>
        <v>#REF!</v>
      </c>
      <c r="G102" s="1348" t="e">
        <f>gaz!#REF!</f>
        <v>#REF!</v>
      </c>
      <c r="H102" s="1348" t="e">
        <f>'HT-HP 2'!#REF!</f>
        <v>#REF!</v>
      </c>
      <c r="I102" s="1321" t="e">
        <f t="shared" si="40"/>
        <v>#REF!</v>
      </c>
      <c r="J102" s="1322" t="e">
        <f t="shared" si="41"/>
        <v>#REF!</v>
      </c>
      <c r="K102" s="1348" t="e">
        <f>gaz!#REF!</f>
        <v>#REF!</v>
      </c>
      <c r="L102" s="1348" t="e">
        <f>gaz!#REF!</f>
        <v>#REF!</v>
      </c>
      <c r="M102" s="1348" t="e">
        <f>'HT-HP 2'!#REF!</f>
        <v>#REF!</v>
      </c>
      <c r="N102" s="1321" t="e">
        <f t="shared" si="42"/>
        <v>#REF!</v>
      </c>
      <c r="O102" s="1348" t="e">
        <f>gaz!#REF!</f>
        <v>#REF!</v>
      </c>
      <c r="P102" s="1348" t="e">
        <f>gaz!#REF!</f>
        <v>#REF!</v>
      </c>
      <c r="Q102" s="1348" t="e">
        <f>'HT-HP 2'!#REF!</f>
        <v>#REF!</v>
      </c>
      <c r="R102" s="1321" t="e">
        <f t="shared" si="46"/>
        <v>#REF!</v>
      </c>
      <c r="S102" s="1322" t="e">
        <f t="shared" si="47"/>
        <v>#REF!</v>
      </c>
      <c r="T102" s="1323">
        <f t="shared" si="48"/>
        <v>7148</v>
      </c>
      <c r="U102" s="1329" t="e">
        <f t="shared" si="43"/>
        <v>#REF!</v>
      </c>
      <c r="W102" s="1563" t="s">
        <v>397</v>
      </c>
      <c r="X102" s="1570" t="e">
        <f t="shared" si="49"/>
        <v>#REF!</v>
      </c>
      <c r="Y102" s="1567" t="e">
        <f t="shared" si="50"/>
        <v>#REF!</v>
      </c>
      <c r="Z102" s="1567" t="e">
        <f t="shared" si="51"/>
        <v>#REF!</v>
      </c>
      <c r="AA102" s="1571" t="e">
        <f t="shared" si="52"/>
        <v>#REF!</v>
      </c>
      <c r="AB102" s="1570">
        <v>7142</v>
      </c>
      <c r="AC102" s="1567">
        <v>6</v>
      </c>
      <c r="AD102" s="1567">
        <v>0</v>
      </c>
      <c r="AE102" s="1571">
        <f t="shared" si="53"/>
        <v>7148</v>
      </c>
      <c r="AF102" s="1568" t="e">
        <f t="shared" si="54"/>
        <v>#REF!</v>
      </c>
      <c r="AG102" s="1569" t="e">
        <f t="shared" si="54"/>
        <v>#REF!</v>
      </c>
      <c r="AH102" s="1569" t="e">
        <f t="shared" si="54"/>
        <v>#REF!</v>
      </c>
      <c r="AI102" s="1569" t="e">
        <f t="shared" si="54"/>
        <v>#REF!</v>
      </c>
    </row>
    <row r="103" spans="1:35" ht="16.2" hidden="1" thickBot="1">
      <c r="A103" s="1332" t="s">
        <v>399</v>
      </c>
      <c r="B103" s="1347" t="e">
        <f>gaz!#REF!</f>
        <v>#REF!</v>
      </c>
      <c r="C103" s="1348" t="e">
        <f>gaz!#REF!</f>
        <v>#REF!</v>
      </c>
      <c r="D103" s="1348" t="e">
        <f>'HT-HP 2'!#REF!</f>
        <v>#REF!</v>
      </c>
      <c r="E103" s="1333" t="e">
        <f t="shared" si="45"/>
        <v>#REF!</v>
      </c>
      <c r="F103" s="1348" t="e">
        <f>gaz!#REF!</f>
        <v>#REF!</v>
      </c>
      <c r="G103" s="1348" t="e">
        <f>gaz!#REF!</f>
        <v>#REF!</v>
      </c>
      <c r="H103" s="1348" t="e">
        <f>'HT-HP 2'!#REF!</f>
        <v>#REF!</v>
      </c>
      <c r="I103" s="1333" t="e">
        <f t="shared" si="40"/>
        <v>#REF!</v>
      </c>
      <c r="J103" s="1334" t="e">
        <f t="shared" si="41"/>
        <v>#REF!</v>
      </c>
      <c r="K103" s="1348" t="e">
        <f>gaz!#REF!</f>
        <v>#REF!</v>
      </c>
      <c r="L103" s="1348" t="e">
        <f>gaz!#REF!</f>
        <v>#REF!</v>
      </c>
      <c r="M103" s="1348" t="e">
        <f>'HT-HP 2'!#REF!</f>
        <v>#REF!</v>
      </c>
      <c r="N103" s="1333" t="e">
        <f t="shared" si="42"/>
        <v>#REF!</v>
      </c>
      <c r="O103" s="1348" t="e">
        <f>gaz!#REF!</f>
        <v>#REF!</v>
      </c>
      <c r="P103" s="1348" t="e">
        <f>gaz!#REF!</f>
        <v>#REF!</v>
      </c>
      <c r="Q103" s="1348" t="e">
        <f>'HT-HP 2'!#REF!</f>
        <v>#REF!</v>
      </c>
      <c r="R103" s="1333" t="e">
        <f t="shared" si="46"/>
        <v>#REF!</v>
      </c>
      <c r="S103" s="1334" t="e">
        <f t="shared" si="47"/>
        <v>#REF!</v>
      </c>
      <c r="T103" s="1339">
        <f>AE103</f>
        <v>10035</v>
      </c>
      <c r="U103" s="1335" t="e">
        <f t="shared" si="43"/>
        <v>#REF!</v>
      </c>
      <c r="W103" s="1563" t="s">
        <v>399</v>
      </c>
      <c r="X103" s="1564" t="e">
        <f t="shared" si="49"/>
        <v>#REF!</v>
      </c>
      <c r="Y103" s="1567" t="e">
        <f t="shared" si="50"/>
        <v>#REF!</v>
      </c>
      <c r="Z103" s="1567" t="e">
        <f t="shared" si="51"/>
        <v>#REF!</v>
      </c>
      <c r="AA103" s="1566" t="e">
        <f t="shared" si="52"/>
        <v>#REF!</v>
      </c>
      <c r="AB103" s="1564">
        <v>10020</v>
      </c>
      <c r="AC103" s="1567">
        <v>15</v>
      </c>
      <c r="AD103" s="1567">
        <v>0</v>
      </c>
      <c r="AE103" s="1566">
        <f t="shared" si="53"/>
        <v>10035</v>
      </c>
      <c r="AF103" s="1568" t="e">
        <f t="shared" si="54"/>
        <v>#REF!</v>
      </c>
      <c r="AG103" s="1569" t="e">
        <f>Y103/AC103*100</f>
        <v>#REF!</v>
      </c>
      <c r="AH103" s="1569" t="e">
        <f t="shared" si="54"/>
        <v>#REF!</v>
      </c>
      <c r="AI103" s="1569" t="e">
        <f t="shared" si="54"/>
        <v>#REF!</v>
      </c>
    </row>
    <row r="104" spans="1:35" ht="16.2" hidden="1" thickBot="1">
      <c r="A104" s="1355" t="s">
        <v>26</v>
      </c>
      <c r="B104" s="1340" t="e">
        <f>SUM(B90:B103)</f>
        <v>#REF!</v>
      </c>
      <c r="C104" s="1336" t="e">
        <f>SUM(C90:C103)</f>
        <v>#REF!</v>
      </c>
      <c r="D104" s="1336" t="e">
        <f>SUM(D90:D103)</f>
        <v>#REF!</v>
      </c>
      <c r="E104" s="1336" t="e">
        <f t="shared" si="45"/>
        <v>#REF!</v>
      </c>
      <c r="F104" s="1336" t="e">
        <f>SUM(F90:F103)</f>
        <v>#REF!</v>
      </c>
      <c r="G104" s="1336" t="e">
        <f>SUM(G90:G103)</f>
        <v>#REF!</v>
      </c>
      <c r="H104" s="1336" t="e">
        <f>SUM(H90:H103)</f>
        <v>#REF!</v>
      </c>
      <c r="I104" s="1336" t="e">
        <f t="shared" si="40"/>
        <v>#REF!</v>
      </c>
      <c r="J104" s="1337" t="e">
        <f t="shared" si="41"/>
        <v>#REF!</v>
      </c>
      <c r="K104" s="1336" t="e">
        <f>SUM(K90:K103)</f>
        <v>#REF!</v>
      </c>
      <c r="L104" s="1336" t="e">
        <f>SUM(L90:L103)</f>
        <v>#REF!</v>
      </c>
      <c r="M104" s="1336" t="e">
        <f>SUM(M90:M103)</f>
        <v>#REF!</v>
      </c>
      <c r="N104" s="1336" t="e">
        <f t="shared" si="42"/>
        <v>#REF!</v>
      </c>
      <c r="O104" s="1336" t="e">
        <f>SUM(O90:O103)</f>
        <v>#REF!</v>
      </c>
      <c r="P104" s="1336" t="e">
        <f>SUM(P90:P103)</f>
        <v>#REF!</v>
      </c>
      <c r="Q104" s="1336" t="e">
        <f>SUM(Q90:Q103)</f>
        <v>#REF!</v>
      </c>
      <c r="R104" s="1336" t="e">
        <f t="shared" si="46"/>
        <v>#REF!</v>
      </c>
      <c r="S104" s="1337" t="e">
        <f t="shared" si="47"/>
        <v>#REF!</v>
      </c>
      <c r="T104" s="1336">
        <f>SUM(T90:T103)</f>
        <v>105052</v>
      </c>
      <c r="U104" s="1338" t="e">
        <f t="shared" si="43"/>
        <v>#REF!</v>
      </c>
      <c r="W104" s="1581" t="s">
        <v>26</v>
      </c>
      <c r="X104" s="1582" t="e">
        <f t="shared" ref="X104:AE104" si="55">SUM(X90:X103)</f>
        <v>#REF!</v>
      </c>
      <c r="Y104" s="1583" t="e">
        <f t="shared" si="55"/>
        <v>#REF!</v>
      </c>
      <c r="Z104" s="1583" t="e">
        <f t="shared" si="55"/>
        <v>#REF!</v>
      </c>
      <c r="AA104" s="1582" t="e">
        <f t="shared" si="55"/>
        <v>#REF!</v>
      </c>
      <c r="AB104" s="1582">
        <f t="shared" si="55"/>
        <v>104944</v>
      </c>
      <c r="AC104" s="1582">
        <f t="shared" si="55"/>
        <v>104</v>
      </c>
      <c r="AD104" s="1582">
        <f t="shared" si="55"/>
        <v>4</v>
      </c>
      <c r="AE104" s="1582">
        <f t="shared" si="55"/>
        <v>105052</v>
      </c>
      <c r="AF104" s="1584" t="e">
        <f>X104/AB104*100</f>
        <v>#REF!</v>
      </c>
      <c r="AG104" s="1584" t="e">
        <f t="shared" si="54"/>
        <v>#REF!</v>
      </c>
      <c r="AH104" s="1584" t="e">
        <f t="shared" si="54"/>
        <v>#REF!</v>
      </c>
      <c r="AI104" s="1584" t="e">
        <f t="shared" si="54"/>
        <v>#REF!</v>
      </c>
    </row>
    <row r="105" spans="1:35" hidden="1">
      <c r="AE105" s="106"/>
    </row>
    <row r="106" spans="1:35" ht="23.4">
      <c r="R106" s="2067"/>
    </row>
    <row r="107" spans="1:35">
      <c r="R107" s="106"/>
      <c r="T107" s="87">
        <f>8.33*6</f>
        <v>49.980000000000004</v>
      </c>
    </row>
    <row r="108" spans="1:35">
      <c r="O108" s="194"/>
      <c r="R108" s="194"/>
    </row>
    <row r="109" spans="1:35" s="77" customFormat="1" ht="15.6">
      <c r="A109" s="1585"/>
      <c r="B109" s="2873" t="s">
        <v>782</v>
      </c>
      <c r="C109" s="2873"/>
      <c r="D109" s="2873"/>
      <c r="E109" s="2873"/>
      <c r="F109" s="2873"/>
      <c r="G109" s="2873"/>
      <c r="H109" s="2873"/>
      <c r="I109" s="2873"/>
      <c r="J109" s="2873"/>
      <c r="K109" s="2873"/>
      <c r="L109" s="2873"/>
      <c r="M109" s="2873"/>
      <c r="N109" s="2873"/>
      <c r="O109" s="2873"/>
      <c r="P109" s="2873"/>
      <c r="Q109" s="2873"/>
      <c r="R109" s="2873"/>
      <c r="S109" s="2873"/>
      <c r="T109" s="2873"/>
      <c r="U109" s="2873"/>
    </row>
    <row r="110" spans="1:35" s="77" customFormat="1" ht="18" customHeight="1">
      <c r="A110" s="2854" t="s">
        <v>695</v>
      </c>
      <c r="B110" s="2867" t="s">
        <v>175</v>
      </c>
      <c r="C110" s="2868"/>
      <c r="D110" s="2868"/>
      <c r="E110" s="2868"/>
      <c r="F110" s="2868"/>
      <c r="G110" s="2868"/>
      <c r="H110" s="2868"/>
      <c r="I110" s="2868"/>
      <c r="J110" s="2869"/>
      <c r="K110" s="2870" t="s">
        <v>143</v>
      </c>
      <c r="L110" s="2871"/>
      <c r="M110" s="2871"/>
      <c r="N110" s="2871"/>
      <c r="O110" s="2871"/>
      <c r="P110" s="2871"/>
      <c r="Q110" s="2871"/>
      <c r="R110" s="2872"/>
      <c r="S110" s="2864" t="s">
        <v>174</v>
      </c>
      <c r="T110" s="2857" t="str">
        <f>T51</f>
        <v>Objectif 2024</v>
      </c>
      <c r="U110" s="2864" t="s">
        <v>34</v>
      </c>
      <c r="W110" s="1557"/>
      <c r="X110" s="2847" t="s">
        <v>648</v>
      </c>
      <c r="Y110" s="2847"/>
      <c r="Z110" s="2847"/>
      <c r="AA110" s="2847"/>
      <c r="AB110" s="2847"/>
      <c r="AC110" s="2847"/>
      <c r="AD110" s="2847"/>
      <c r="AE110" s="2847"/>
      <c r="AF110" s="2847"/>
      <c r="AG110" s="2847"/>
      <c r="AH110" s="2847"/>
      <c r="AI110" s="2847"/>
    </row>
    <row r="111" spans="1:35" s="77" customFormat="1" ht="23.4">
      <c r="A111" s="2855"/>
      <c r="B111" s="2860">
        <f>B88</f>
        <v>45139</v>
      </c>
      <c r="C111" s="2861"/>
      <c r="D111" s="2861"/>
      <c r="E111" s="2862"/>
      <c r="F111" s="2860">
        <f>F88</f>
        <v>45505</v>
      </c>
      <c r="G111" s="2861"/>
      <c r="H111" s="2861"/>
      <c r="I111" s="2863"/>
      <c r="J111" s="2865" t="s">
        <v>174</v>
      </c>
      <c r="K111" s="2860">
        <f>B111</f>
        <v>45139</v>
      </c>
      <c r="L111" s="2861"/>
      <c r="M111" s="2861"/>
      <c r="N111" s="2862"/>
      <c r="O111" s="2860">
        <f>F111</f>
        <v>45505</v>
      </c>
      <c r="P111" s="2861"/>
      <c r="Q111" s="2861"/>
      <c r="R111" s="2862"/>
      <c r="S111" s="2858"/>
      <c r="T111" s="2858"/>
      <c r="U111" s="2858"/>
      <c r="W111" s="1558"/>
      <c r="X111" s="2848" t="s">
        <v>1084</v>
      </c>
      <c r="Y111" s="2849"/>
      <c r="Z111" s="2849"/>
      <c r="AA111" s="2850"/>
      <c r="AB111" s="2851" t="str">
        <f>T110</f>
        <v>Objectif 2024</v>
      </c>
      <c r="AC111" s="2849"/>
      <c r="AD111" s="2849"/>
      <c r="AE111" s="2850"/>
      <c r="AF111" s="2848" t="s">
        <v>649</v>
      </c>
      <c r="AG111" s="2849"/>
      <c r="AH111" s="2849"/>
      <c r="AI111" s="2852"/>
    </row>
    <row r="112" spans="1:35" s="77" customFormat="1" ht="15" customHeight="1">
      <c r="A112" s="2856"/>
      <c r="B112" s="1586" t="s">
        <v>52</v>
      </c>
      <c r="C112" s="1586" t="s">
        <v>19</v>
      </c>
      <c r="D112" s="1586" t="s">
        <v>198</v>
      </c>
      <c r="E112" s="1586" t="s">
        <v>20</v>
      </c>
      <c r="F112" s="1586" t="s">
        <v>52</v>
      </c>
      <c r="G112" s="1586" t="s">
        <v>19</v>
      </c>
      <c r="H112" s="1586" t="s">
        <v>198</v>
      </c>
      <c r="I112" s="1586" t="s">
        <v>20</v>
      </c>
      <c r="J112" s="2866"/>
      <c r="K112" s="1586" t="s">
        <v>52</v>
      </c>
      <c r="L112" s="1586" t="s">
        <v>19</v>
      </c>
      <c r="M112" s="1586" t="s">
        <v>198</v>
      </c>
      <c r="N112" s="1586" t="s">
        <v>20</v>
      </c>
      <c r="O112" s="1586" t="s">
        <v>52</v>
      </c>
      <c r="P112" s="1586" t="s">
        <v>19</v>
      </c>
      <c r="Q112" s="1586" t="s">
        <v>198</v>
      </c>
      <c r="R112" s="1586" t="s">
        <v>20</v>
      </c>
      <c r="S112" s="2859"/>
      <c r="T112" s="2859"/>
      <c r="U112" s="2859"/>
      <c r="W112" s="1559"/>
      <c r="X112" s="1560" t="s">
        <v>52</v>
      </c>
      <c r="Y112" s="1561" t="s">
        <v>19</v>
      </c>
      <c r="Z112" s="1561" t="s">
        <v>198</v>
      </c>
      <c r="AA112" s="1562" t="s">
        <v>650</v>
      </c>
      <c r="AB112" s="1560" t="s">
        <v>52</v>
      </c>
      <c r="AC112" s="1561" t="s">
        <v>19</v>
      </c>
      <c r="AD112" s="1561" t="s">
        <v>198</v>
      </c>
      <c r="AE112" s="1562" t="s">
        <v>650</v>
      </c>
      <c r="AF112" s="1560" t="s">
        <v>52</v>
      </c>
      <c r="AG112" s="1561" t="s">
        <v>19</v>
      </c>
      <c r="AH112" s="1561" t="s">
        <v>198</v>
      </c>
      <c r="AI112" s="1561" t="s">
        <v>650</v>
      </c>
    </row>
    <row r="113" spans="1:37" s="77" customFormat="1" ht="15.6">
      <c r="A113" s="1587" t="s">
        <v>6</v>
      </c>
      <c r="B113" s="1326">
        <f>élec!BC162</f>
        <v>1024</v>
      </c>
      <c r="C113" s="1326">
        <f>élec!BD162</f>
        <v>8</v>
      </c>
      <c r="D113" s="1326">
        <f>'HT-HP 2'!AC100</f>
        <v>0</v>
      </c>
      <c r="E113" s="1326">
        <f>SUM(B113:D113)</f>
        <v>1032</v>
      </c>
      <c r="F113" s="1326">
        <f>élec!BC177</f>
        <v>2056</v>
      </c>
      <c r="G113" s="1326">
        <f>élec!BD177</f>
        <v>5</v>
      </c>
      <c r="H113" s="1326">
        <f>'HT-HP 2'!AC115</f>
        <v>0</v>
      </c>
      <c r="I113" s="1326">
        <f t="shared" ref="I113:I122" si="56">SUM(F113:H113)</f>
        <v>2061</v>
      </c>
      <c r="J113" s="1327">
        <f t="shared" ref="J113:J123" si="57">((I113-E113)/E113)*100</f>
        <v>99.70930232558139</v>
      </c>
      <c r="K113" s="1326">
        <f>élec!AZ162</f>
        <v>15186</v>
      </c>
      <c r="L113" s="1326">
        <f>élec!BA162</f>
        <v>51</v>
      </c>
      <c r="M113" s="1326">
        <f>'HT-HP 2'!Z100</f>
        <v>0</v>
      </c>
      <c r="N113" s="1326">
        <f>SUM(K113:M113)</f>
        <v>15237</v>
      </c>
      <c r="O113" s="1326">
        <f>élec!AZ177</f>
        <v>17565</v>
      </c>
      <c r="P113" s="1326">
        <f>élec!BA177</f>
        <v>65</v>
      </c>
      <c r="Q113" s="1326">
        <f>'HT-HP 2'!Z115</f>
        <v>0</v>
      </c>
      <c r="R113" s="1326">
        <f>SUM(O113:Q113)</f>
        <v>17630</v>
      </c>
      <c r="S113" s="1327">
        <f>((R113-N113)/N113)*100</f>
        <v>15.705191310625452</v>
      </c>
      <c r="T113" s="1326">
        <f>AE113</f>
        <v>11430</v>
      </c>
      <c r="U113" s="1329">
        <f t="shared" ref="U113:U123" si="58">(R113/T113)*100</f>
        <v>154.24321959755031</v>
      </c>
      <c r="W113" s="1563" t="s">
        <v>6</v>
      </c>
      <c r="X113" s="1564">
        <f>O113</f>
        <v>17565</v>
      </c>
      <c r="Y113" s="1565">
        <f>P113</f>
        <v>65</v>
      </c>
      <c r="Z113" s="1565">
        <f>Q113</f>
        <v>0</v>
      </c>
      <c r="AA113" s="1566">
        <f t="shared" ref="AA113:AA122" si="59">X113+Y113+Z113</f>
        <v>17630</v>
      </c>
      <c r="AB113" s="1564">
        <v>11340</v>
      </c>
      <c r="AC113" s="1567">
        <v>90</v>
      </c>
      <c r="AD113" s="1567">
        <v>0</v>
      </c>
      <c r="AE113" s="1566">
        <f t="shared" ref="AE113:AE122" si="60">+AB113+AC113+AD113</f>
        <v>11430</v>
      </c>
      <c r="AF113" s="1329">
        <f t="shared" ref="AF113:AI117" si="61">X113/AB113*100</f>
        <v>154.89417989417987</v>
      </c>
      <c r="AG113" s="1329">
        <f t="shared" si="61"/>
        <v>72.222222222222214</v>
      </c>
      <c r="AH113" s="1329" t="e">
        <f t="shared" si="61"/>
        <v>#DIV/0!</v>
      </c>
      <c r="AI113" s="1329">
        <f t="shared" si="61"/>
        <v>154.24321959755031</v>
      </c>
    </row>
    <row r="114" spans="1:37" s="77" customFormat="1" ht="15.6">
      <c r="A114" s="1587" t="s">
        <v>7</v>
      </c>
      <c r="B114" s="1326">
        <f>élec!BC163</f>
        <v>1351</v>
      </c>
      <c r="C114" s="1326">
        <f>élec!BD163</f>
        <v>1</v>
      </c>
      <c r="D114" s="1326">
        <f>'HT-HP 2'!AC101</f>
        <v>0</v>
      </c>
      <c r="E114" s="1323">
        <f>SUM(B114:D114)</f>
        <v>1352</v>
      </c>
      <c r="F114" s="1326">
        <f>élec!BC178</f>
        <v>1222</v>
      </c>
      <c r="G114" s="1326">
        <f>élec!BD178</f>
        <v>8</v>
      </c>
      <c r="H114" s="1326">
        <f>'HT-HP 2'!AC116</f>
        <v>0</v>
      </c>
      <c r="I114" s="1323">
        <f t="shared" si="56"/>
        <v>1230</v>
      </c>
      <c r="J114" s="1322">
        <f t="shared" si="57"/>
        <v>-9.0236686390532554</v>
      </c>
      <c r="K114" s="1326">
        <f>élec!AZ163</f>
        <v>9152</v>
      </c>
      <c r="L114" s="1326">
        <f>élec!BA163</f>
        <v>33</v>
      </c>
      <c r="M114" s="1326">
        <f>'HT-HP 2'!Z101</f>
        <v>0</v>
      </c>
      <c r="N114" s="1323">
        <f>SUM(K114:M114)</f>
        <v>9185</v>
      </c>
      <c r="O114" s="1326">
        <f>élec!AZ178</f>
        <v>8703</v>
      </c>
      <c r="P114" s="1326">
        <f>élec!BA178</f>
        <v>57</v>
      </c>
      <c r="Q114" s="1326">
        <f>'HT-HP 2'!Z116</f>
        <v>0</v>
      </c>
      <c r="R114" s="1323">
        <f>SUM(O114:Q114)</f>
        <v>8760</v>
      </c>
      <c r="S114" s="1322">
        <f t="shared" ref="S114:S122" si="62">((R114-N114)/N114)*100</f>
        <v>-4.6271094175285787</v>
      </c>
      <c r="T114" s="1326">
        <f t="shared" ref="T114:T122" si="63">AE114</f>
        <v>8289</v>
      </c>
      <c r="U114" s="1329">
        <f t="shared" si="58"/>
        <v>105.68222946073109</v>
      </c>
      <c r="W114" s="1563" t="s">
        <v>7</v>
      </c>
      <c r="X114" s="1564">
        <f t="shared" ref="X114:X122" si="64">O114</f>
        <v>8703</v>
      </c>
      <c r="Y114" s="1567">
        <f t="shared" ref="Y114:Y122" si="65">P114</f>
        <v>57</v>
      </c>
      <c r="Z114" s="1567">
        <f t="shared" ref="Z114:Z122" si="66">Q114</f>
        <v>0</v>
      </c>
      <c r="AA114" s="1566">
        <f t="shared" si="59"/>
        <v>8760</v>
      </c>
      <c r="AB114" s="1564">
        <v>8250</v>
      </c>
      <c r="AC114" s="1567">
        <v>38</v>
      </c>
      <c r="AD114" s="1567">
        <v>1</v>
      </c>
      <c r="AE114" s="1566">
        <f t="shared" si="60"/>
        <v>8289</v>
      </c>
      <c r="AF114" s="1329">
        <f t="shared" si="61"/>
        <v>105.4909090909091</v>
      </c>
      <c r="AG114" s="1329">
        <f t="shared" si="61"/>
        <v>150</v>
      </c>
      <c r="AH114" s="1329">
        <f t="shared" si="61"/>
        <v>0</v>
      </c>
      <c r="AI114" s="1329">
        <f t="shared" si="61"/>
        <v>105.68222946073109</v>
      </c>
    </row>
    <row r="115" spans="1:37" s="77" customFormat="1" ht="15.6">
      <c r="A115" s="1587" t="s">
        <v>8</v>
      </c>
      <c r="B115" s="1326">
        <f>élec!BC164</f>
        <v>1272</v>
      </c>
      <c r="C115" s="1326">
        <f>élec!BD164</f>
        <v>6</v>
      </c>
      <c r="D115" s="1326">
        <f>'HT-HP 2'!AC102</f>
        <v>0</v>
      </c>
      <c r="E115" s="1323">
        <f t="shared" ref="E115:E122" si="67">SUM(B115:D115)</f>
        <v>1278</v>
      </c>
      <c r="F115" s="1326">
        <f>élec!BC179</f>
        <v>1311</v>
      </c>
      <c r="G115" s="1326">
        <f>élec!BD179</f>
        <v>3</v>
      </c>
      <c r="H115" s="1326">
        <f>'HT-HP 2'!AC117</f>
        <v>0</v>
      </c>
      <c r="I115" s="1323">
        <f t="shared" si="56"/>
        <v>1314</v>
      </c>
      <c r="J115" s="1322">
        <f t="shared" si="57"/>
        <v>2.8169014084507045</v>
      </c>
      <c r="K115" s="1326">
        <f>élec!AZ164</f>
        <v>8242</v>
      </c>
      <c r="L115" s="1326">
        <f>élec!BA164</f>
        <v>30</v>
      </c>
      <c r="M115" s="1326">
        <f>'HT-HP 2'!Z102</f>
        <v>0</v>
      </c>
      <c r="N115" s="1323">
        <f t="shared" ref="N115:N122" si="68">SUM(K115:M115)</f>
        <v>8272</v>
      </c>
      <c r="O115" s="1326">
        <f>élec!AZ179</f>
        <v>8660</v>
      </c>
      <c r="P115" s="1326">
        <f>élec!BA179</f>
        <v>47</v>
      </c>
      <c r="Q115" s="1326">
        <f>'HT-HP 2'!Z117</f>
        <v>0</v>
      </c>
      <c r="R115" s="1323">
        <f t="shared" ref="R115:R122" si="69">SUM(O115:Q115)</f>
        <v>8707</v>
      </c>
      <c r="S115" s="1322">
        <f t="shared" si="62"/>
        <v>5.2587040618955516</v>
      </c>
      <c r="T115" s="1326">
        <f t="shared" si="63"/>
        <v>8419</v>
      </c>
      <c r="U115" s="1329">
        <f t="shared" si="58"/>
        <v>103.42083382824563</v>
      </c>
      <c r="W115" s="1563" t="s">
        <v>8</v>
      </c>
      <c r="X115" s="1564">
        <f t="shared" si="64"/>
        <v>8660</v>
      </c>
      <c r="Y115" s="1567">
        <f t="shared" si="65"/>
        <v>47</v>
      </c>
      <c r="Z115" s="1567">
        <f t="shared" si="66"/>
        <v>0</v>
      </c>
      <c r="AA115" s="1566">
        <f t="shared" si="59"/>
        <v>8707</v>
      </c>
      <c r="AB115" s="1564">
        <v>8385</v>
      </c>
      <c r="AC115" s="1567">
        <v>34</v>
      </c>
      <c r="AD115" s="1567">
        <v>0</v>
      </c>
      <c r="AE115" s="1566">
        <f t="shared" si="60"/>
        <v>8419</v>
      </c>
      <c r="AF115" s="1329">
        <f t="shared" si="61"/>
        <v>103.27966607036375</v>
      </c>
      <c r="AG115" s="1329">
        <f t="shared" si="61"/>
        <v>138.23529411764704</v>
      </c>
      <c r="AH115" s="1329" t="e">
        <f t="shared" si="61"/>
        <v>#DIV/0!</v>
      </c>
      <c r="AI115" s="1329">
        <f t="shared" si="61"/>
        <v>103.42083382824563</v>
      </c>
      <c r="AK115" s="580"/>
    </row>
    <row r="116" spans="1:37" s="77" customFormat="1" ht="15.6">
      <c r="A116" s="1587" t="s">
        <v>4</v>
      </c>
      <c r="B116" s="1326">
        <f>élec!BC165</f>
        <v>2702</v>
      </c>
      <c r="C116" s="1326">
        <f>élec!BD165</f>
        <v>4</v>
      </c>
      <c r="D116" s="1326">
        <f>'HT-HP 2'!AC103</f>
        <v>0</v>
      </c>
      <c r="E116" s="1323">
        <f t="shared" si="67"/>
        <v>2706</v>
      </c>
      <c r="F116" s="1326">
        <f>élec!BC180</f>
        <v>1794</v>
      </c>
      <c r="G116" s="1326">
        <f>élec!BD180</f>
        <v>3</v>
      </c>
      <c r="H116" s="1326">
        <f>'HT-HP 2'!AC118</f>
        <v>0</v>
      </c>
      <c r="I116" s="1323">
        <f t="shared" si="56"/>
        <v>1797</v>
      </c>
      <c r="J116" s="1322">
        <f t="shared" si="57"/>
        <v>-33.592017738359203</v>
      </c>
      <c r="K116" s="1326">
        <f>élec!AZ165</f>
        <v>13684</v>
      </c>
      <c r="L116" s="1326">
        <f>élec!BA165</f>
        <v>43</v>
      </c>
      <c r="M116" s="1326">
        <f>'HT-HP 2'!Z103</f>
        <v>0</v>
      </c>
      <c r="N116" s="1323">
        <f t="shared" si="68"/>
        <v>13727</v>
      </c>
      <c r="O116" s="1326">
        <f>élec!AZ180</f>
        <v>15568</v>
      </c>
      <c r="P116" s="1326">
        <f>élec!BA180</f>
        <v>25</v>
      </c>
      <c r="Q116" s="1326">
        <f>'HT-HP 2'!Z118</f>
        <v>0</v>
      </c>
      <c r="R116" s="1323">
        <f t="shared" si="69"/>
        <v>15593</v>
      </c>
      <c r="S116" s="1322">
        <f t="shared" si="62"/>
        <v>13.593647555911707</v>
      </c>
      <c r="T116" s="1326">
        <f t="shared" si="63"/>
        <v>13431</v>
      </c>
      <c r="U116" s="1329">
        <f t="shared" si="58"/>
        <v>116.09708882436156</v>
      </c>
      <c r="W116" s="1563" t="s">
        <v>4</v>
      </c>
      <c r="X116" s="1564">
        <f t="shared" si="64"/>
        <v>15568</v>
      </c>
      <c r="Y116" s="1567">
        <f t="shared" si="65"/>
        <v>25</v>
      </c>
      <c r="Z116" s="1567">
        <f t="shared" si="66"/>
        <v>0</v>
      </c>
      <c r="AA116" s="1566">
        <f t="shared" si="59"/>
        <v>15593</v>
      </c>
      <c r="AB116" s="1564">
        <v>13400</v>
      </c>
      <c r="AC116" s="1567">
        <v>30</v>
      </c>
      <c r="AD116" s="1567">
        <v>1</v>
      </c>
      <c r="AE116" s="1566">
        <f t="shared" si="60"/>
        <v>13431</v>
      </c>
      <c r="AF116" s="1329">
        <f t="shared" si="61"/>
        <v>116.17910447761194</v>
      </c>
      <c r="AG116" s="1329">
        <f t="shared" si="61"/>
        <v>83.333333333333343</v>
      </c>
      <c r="AH116" s="1329">
        <f>Z116/AD116*100</f>
        <v>0</v>
      </c>
      <c r="AI116" s="1329">
        <f t="shared" si="61"/>
        <v>116.09708882436156</v>
      </c>
    </row>
    <row r="117" spans="1:37" s="77" customFormat="1" ht="15.6">
      <c r="A117" s="1587" t="s">
        <v>3</v>
      </c>
      <c r="B117" s="1326">
        <f>élec!BC166</f>
        <v>771</v>
      </c>
      <c r="C117" s="1326">
        <f>élec!BD166</f>
        <v>21</v>
      </c>
      <c r="D117" s="1326">
        <f>'HT-HP 2'!AC104</f>
        <v>0</v>
      </c>
      <c r="E117" s="1323">
        <f t="shared" si="67"/>
        <v>792</v>
      </c>
      <c r="F117" s="1326">
        <f>élec!BC181</f>
        <v>788</v>
      </c>
      <c r="G117" s="1326">
        <f>élec!BD181</f>
        <v>20</v>
      </c>
      <c r="H117" s="1326">
        <f>'HT-HP 2'!AC119</f>
        <v>0</v>
      </c>
      <c r="I117" s="1323">
        <f t="shared" si="56"/>
        <v>808</v>
      </c>
      <c r="J117" s="1322">
        <f t="shared" si="57"/>
        <v>2.0202020202020203</v>
      </c>
      <c r="K117" s="1326">
        <f>élec!AZ166</f>
        <v>5419</v>
      </c>
      <c r="L117" s="1326">
        <f>élec!BA166</f>
        <v>151</v>
      </c>
      <c r="M117" s="1326">
        <f>'HT-HP 2'!Z104</f>
        <v>0</v>
      </c>
      <c r="N117" s="1323">
        <f t="shared" si="68"/>
        <v>5570</v>
      </c>
      <c r="O117" s="1326">
        <f>élec!AZ181</f>
        <v>5498</v>
      </c>
      <c r="P117" s="1326">
        <f>élec!BA181</f>
        <v>201</v>
      </c>
      <c r="Q117" s="1326">
        <f>'HT-HP 2'!Z119</f>
        <v>0</v>
      </c>
      <c r="R117" s="1323">
        <f t="shared" si="69"/>
        <v>5699</v>
      </c>
      <c r="S117" s="1322">
        <f t="shared" si="62"/>
        <v>2.3159784560143626</v>
      </c>
      <c r="T117" s="1326">
        <f t="shared" si="63"/>
        <v>7742</v>
      </c>
      <c r="U117" s="1329">
        <f t="shared" si="58"/>
        <v>73.611469904417461</v>
      </c>
      <c r="W117" s="1563" t="s">
        <v>3</v>
      </c>
      <c r="X117" s="1564">
        <f t="shared" si="64"/>
        <v>5498</v>
      </c>
      <c r="Y117" s="1567">
        <f t="shared" si="65"/>
        <v>201</v>
      </c>
      <c r="Z117" s="1567">
        <f t="shared" si="66"/>
        <v>0</v>
      </c>
      <c r="AA117" s="1566">
        <f t="shared" si="59"/>
        <v>5699</v>
      </c>
      <c r="AB117" s="1564">
        <v>7690</v>
      </c>
      <c r="AC117" s="1567">
        <v>52</v>
      </c>
      <c r="AD117" s="1567">
        <v>0</v>
      </c>
      <c r="AE117" s="1566">
        <f t="shared" si="60"/>
        <v>7742</v>
      </c>
      <c r="AF117" s="1329">
        <f t="shared" si="61"/>
        <v>71.495448634590375</v>
      </c>
      <c r="AG117" s="1329">
        <f t="shared" si="61"/>
        <v>386.53846153846155</v>
      </c>
      <c r="AH117" s="1329" t="e">
        <f t="shared" si="61"/>
        <v>#DIV/0!</v>
      </c>
      <c r="AI117" s="1329">
        <f t="shared" si="61"/>
        <v>73.611469904417461</v>
      </c>
    </row>
    <row r="118" spans="1:37" s="77" customFormat="1" ht="15.6">
      <c r="A118" s="1587" t="s">
        <v>397</v>
      </c>
      <c r="B118" s="1326">
        <f>élec!BC167</f>
        <v>961</v>
      </c>
      <c r="C118" s="1326">
        <f>élec!BD167</f>
        <v>7</v>
      </c>
      <c r="D118" s="1326">
        <f>'HT-HP 2'!AC105</f>
        <v>0</v>
      </c>
      <c r="E118" s="1323">
        <f t="shared" si="67"/>
        <v>968</v>
      </c>
      <c r="F118" s="1326">
        <f>élec!BC182</f>
        <v>827</v>
      </c>
      <c r="G118" s="1326">
        <f>élec!BD182</f>
        <v>0</v>
      </c>
      <c r="H118" s="1326">
        <f>'HT-HP 2'!AC120</f>
        <v>0</v>
      </c>
      <c r="I118" s="1323">
        <f t="shared" si="56"/>
        <v>827</v>
      </c>
      <c r="J118" s="1322">
        <f t="shared" si="57"/>
        <v>-14.566115702479337</v>
      </c>
      <c r="K118" s="1326">
        <f>élec!AZ167</f>
        <v>8878</v>
      </c>
      <c r="L118" s="1326">
        <f>élec!BA167</f>
        <v>24</v>
      </c>
      <c r="M118" s="1326">
        <f>'HT-HP 2'!Z105</f>
        <v>0</v>
      </c>
      <c r="N118" s="1323">
        <f t="shared" si="68"/>
        <v>8902</v>
      </c>
      <c r="O118" s="1326">
        <f>élec!AZ182</f>
        <v>6404</v>
      </c>
      <c r="P118" s="1326">
        <f>élec!BA182</f>
        <v>45</v>
      </c>
      <c r="Q118" s="1326">
        <f>'HT-HP 2'!Z120</f>
        <v>0</v>
      </c>
      <c r="R118" s="1323">
        <f t="shared" si="69"/>
        <v>6449</v>
      </c>
      <c r="S118" s="1322">
        <f t="shared" si="62"/>
        <v>-27.555605481914174</v>
      </c>
      <c r="T118" s="1326">
        <f t="shared" si="63"/>
        <v>8191</v>
      </c>
      <c r="U118" s="1329">
        <f t="shared" si="58"/>
        <v>78.732755463313396</v>
      </c>
      <c r="W118" s="1563" t="s">
        <v>397</v>
      </c>
      <c r="X118" s="1564">
        <f t="shared" si="64"/>
        <v>6404</v>
      </c>
      <c r="Y118" s="1567">
        <f t="shared" si="65"/>
        <v>45</v>
      </c>
      <c r="Z118" s="1565">
        <f t="shared" si="66"/>
        <v>0</v>
      </c>
      <c r="AA118" s="1566">
        <f t="shared" si="59"/>
        <v>6449</v>
      </c>
      <c r="AB118" s="1564">
        <v>8160</v>
      </c>
      <c r="AC118" s="1567">
        <v>30</v>
      </c>
      <c r="AD118" s="1567">
        <v>1</v>
      </c>
      <c r="AE118" s="1566">
        <f t="shared" si="60"/>
        <v>8191</v>
      </c>
      <c r="AF118" s="1329">
        <f t="shared" ref="AF118:AI123" si="70">X118/AB118*100</f>
        <v>78.480392156862749</v>
      </c>
      <c r="AG118" s="1329">
        <f t="shared" si="70"/>
        <v>150</v>
      </c>
      <c r="AH118" s="1329">
        <f t="shared" si="70"/>
        <v>0</v>
      </c>
      <c r="AI118" s="1329">
        <f t="shared" si="70"/>
        <v>78.732755463313396</v>
      </c>
    </row>
    <row r="119" spans="1:37" s="77" customFormat="1" ht="15.6">
      <c r="A119" s="1587" t="s">
        <v>399</v>
      </c>
      <c r="B119" s="1326">
        <f>élec!BC168</f>
        <v>1641</v>
      </c>
      <c r="C119" s="1326">
        <f>élec!BD168</f>
        <v>3</v>
      </c>
      <c r="D119" s="1326">
        <f>'HT-HP 2'!AC106</f>
        <v>0</v>
      </c>
      <c r="E119" s="1323">
        <f t="shared" si="67"/>
        <v>1644</v>
      </c>
      <c r="F119" s="1326">
        <f>élec!BC183</f>
        <v>1459</v>
      </c>
      <c r="G119" s="1326">
        <f>élec!BD183</f>
        <v>12</v>
      </c>
      <c r="H119" s="1326">
        <f>'HT-HP 2'!AC121</f>
        <v>0</v>
      </c>
      <c r="I119" s="1323">
        <f t="shared" si="56"/>
        <v>1471</v>
      </c>
      <c r="J119" s="1322">
        <f t="shared" si="57"/>
        <v>-10.523114355231144</v>
      </c>
      <c r="K119" s="1326">
        <f>élec!AZ168</f>
        <v>11267</v>
      </c>
      <c r="L119" s="1326">
        <f>élec!BA168</f>
        <v>26</v>
      </c>
      <c r="M119" s="1326">
        <f>'HT-HP 2'!Z106</f>
        <v>0</v>
      </c>
      <c r="N119" s="1323">
        <f t="shared" si="68"/>
        <v>11293</v>
      </c>
      <c r="O119" s="1326">
        <f>élec!AZ183</f>
        <v>12934</v>
      </c>
      <c r="P119" s="1326">
        <f>élec!BA183</f>
        <v>36</v>
      </c>
      <c r="Q119" s="1326">
        <f>'HT-HP 2'!Z121</f>
        <v>0</v>
      </c>
      <c r="R119" s="1323">
        <f t="shared" si="69"/>
        <v>12970</v>
      </c>
      <c r="S119" s="1322">
        <f t="shared" si="62"/>
        <v>14.849907022049058</v>
      </c>
      <c r="T119" s="1326">
        <f t="shared" si="63"/>
        <v>10938</v>
      </c>
      <c r="U119" s="1329">
        <f t="shared" si="58"/>
        <v>118.57743646004755</v>
      </c>
      <c r="W119" s="1563" t="s">
        <v>399</v>
      </c>
      <c r="X119" s="1564">
        <f t="shared" si="64"/>
        <v>12934</v>
      </c>
      <c r="Y119" s="1567">
        <f t="shared" si="65"/>
        <v>36</v>
      </c>
      <c r="Z119" s="1567">
        <f t="shared" si="66"/>
        <v>0</v>
      </c>
      <c r="AA119" s="1566">
        <f t="shared" si="59"/>
        <v>12970</v>
      </c>
      <c r="AB119" s="1564">
        <v>10899</v>
      </c>
      <c r="AC119" s="1567">
        <v>38</v>
      </c>
      <c r="AD119" s="1567">
        <v>1</v>
      </c>
      <c r="AE119" s="1566">
        <f t="shared" si="60"/>
        <v>10938</v>
      </c>
      <c r="AF119" s="1329">
        <f t="shared" si="70"/>
        <v>118.67143774658227</v>
      </c>
      <c r="AG119" s="1329">
        <f t="shared" si="70"/>
        <v>94.73684210526315</v>
      </c>
      <c r="AH119" s="1329">
        <f t="shared" si="70"/>
        <v>0</v>
      </c>
      <c r="AI119" s="1329">
        <f t="shared" si="70"/>
        <v>118.57743646004755</v>
      </c>
    </row>
    <row r="120" spans="1:37" s="77" customFormat="1" ht="15.6">
      <c r="A120" s="1587" t="s">
        <v>883</v>
      </c>
      <c r="B120" s="1326">
        <f>élec!BC169</f>
        <v>1024</v>
      </c>
      <c r="C120" s="1326">
        <f>élec!BD169</f>
        <v>3</v>
      </c>
      <c r="D120" s="1326">
        <f>'HT-HP 2'!AC107</f>
        <v>0</v>
      </c>
      <c r="E120" s="1323">
        <f t="shared" si="67"/>
        <v>1027</v>
      </c>
      <c r="F120" s="1326">
        <f>élec!BC184</f>
        <v>573</v>
      </c>
      <c r="G120" s="1326">
        <f>élec!BD184</f>
        <v>13</v>
      </c>
      <c r="H120" s="1326">
        <f>'HT-HP 2'!AC122</f>
        <v>0</v>
      </c>
      <c r="I120" s="1323">
        <f t="shared" si="56"/>
        <v>586</v>
      </c>
      <c r="J120" s="1322">
        <f t="shared" si="57"/>
        <v>-42.94060370009737</v>
      </c>
      <c r="K120" s="1326">
        <f>élec!AZ169</f>
        <v>7171</v>
      </c>
      <c r="L120" s="1326">
        <f>élec!BA169</f>
        <v>56</v>
      </c>
      <c r="M120" s="1326">
        <f>'HT-HP 2'!Z107</f>
        <v>0</v>
      </c>
      <c r="N120" s="1323">
        <f t="shared" si="68"/>
        <v>7227</v>
      </c>
      <c r="O120" s="1326">
        <f>élec!AZ184</f>
        <v>5904</v>
      </c>
      <c r="P120" s="1326">
        <f>élec!BA184</f>
        <v>66</v>
      </c>
      <c r="Q120" s="1326">
        <f>'HT-HP 2'!Z122</f>
        <v>0</v>
      </c>
      <c r="R120" s="1323">
        <f t="shared" si="69"/>
        <v>5970</v>
      </c>
      <c r="S120" s="1322">
        <f t="shared" si="62"/>
        <v>-17.393109173931094</v>
      </c>
      <c r="T120" s="1326">
        <f t="shared" si="63"/>
        <v>8192</v>
      </c>
      <c r="U120" s="1329">
        <f t="shared" si="58"/>
        <v>72.8759765625</v>
      </c>
      <c r="W120" s="1563" t="s">
        <v>883</v>
      </c>
      <c r="X120" s="1564">
        <f t="shared" si="64"/>
        <v>5904</v>
      </c>
      <c r="Y120" s="1567">
        <f t="shared" si="65"/>
        <v>66</v>
      </c>
      <c r="Z120" s="1567">
        <f t="shared" si="66"/>
        <v>0</v>
      </c>
      <c r="AA120" s="1566">
        <f t="shared" si="59"/>
        <v>5970</v>
      </c>
      <c r="AB120" s="1564">
        <v>8162</v>
      </c>
      <c r="AC120" s="1567">
        <v>30</v>
      </c>
      <c r="AD120" s="1567">
        <v>0</v>
      </c>
      <c r="AE120" s="1566">
        <f t="shared" si="60"/>
        <v>8192</v>
      </c>
      <c r="AF120" s="1329">
        <f t="shared" si="70"/>
        <v>72.33521195785346</v>
      </c>
      <c r="AG120" s="1329">
        <f t="shared" si="70"/>
        <v>220.00000000000003</v>
      </c>
      <c r="AH120" s="1329" t="e">
        <f t="shared" si="70"/>
        <v>#DIV/0!</v>
      </c>
      <c r="AI120" s="1329">
        <f t="shared" si="70"/>
        <v>72.8759765625</v>
      </c>
    </row>
    <row r="121" spans="1:37" s="77" customFormat="1" ht="15.6">
      <c r="A121" s="1587" t="s">
        <v>884</v>
      </c>
      <c r="B121" s="1326">
        <f>élec!BC170</f>
        <v>1134</v>
      </c>
      <c r="C121" s="1326">
        <f>élec!BD170</f>
        <v>9</v>
      </c>
      <c r="D121" s="1326">
        <f>'HT-HP 2'!AC108</f>
        <v>0</v>
      </c>
      <c r="E121" s="1323">
        <f t="shared" si="67"/>
        <v>1143</v>
      </c>
      <c r="F121" s="1326">
        <f>élec!BC185</f>
        <v>1488</v>
      </c>
      <c r="G121" s="1326">
        <f>élec!BD185</f>
        <v>9</v>
      </c>
      <c r="H121" s="1326">
        <f>'HT-HP 2'!AC123</f>
        <v>0</v>
      </c>
      <c r="I121" s="1323">
        <f t="shared" si="56"/>
        <v>1497</v>
      </c>
      <c r="J121" s="1322">
        <f t="shared" si="57"/>
        <v>30.971128608923888</v>
      </c>
      <c r="K121" s="1326">
        <f>élec!AZ170</f>
        <v>11223</v>
      </c>
      <c r="L121" s="1326">
        <f>élec!BA170</f>
        <v>50</v>
      </c>
      <c r="M121" s="1326">
        <f>'HT-HP 2'!Z108</f>
        <v>0</v>
      </c>
      <c r="N121" s="1323">
        <f t="shared" si="68"/>
        <v>11273</v>
      </c>
      <c r="O121" s="1326">
        <f>élec!AZ185</f>
        <v>8877</v>
      </c>
      <c r="P121" s="1326">
        <f>élec!BA185</f>
        <v>56</v>
      </c>
      <c r="Q121" s="1326">
        <f>'HT-HP 2'!Z123</f>
        <v>0</v>
      </c>
      <c r="R121" s="1323">
        <f t="shared" si="69"/>
        <v>8933</v>
      </c>
      <c r="S121" s="1322">
        <f t="shared" si="62"/>
        <v>-20.757562317040719</v>
      </c>
      <c r="T121" s="1326">
        <f t="shared" si="63"/>
        <v>11300</v>
      </c>
      <c r="U121" s="1329">
        <f t="shared" si="58"/>
        <v>79.053097345132741</v>
      </c>
      <c r="W121" s="1563" t="s">
        <v>884</v>
      </c>
      <c r="X121" s="1564">
        <f t="shared" si="64"/>
        <v>8877</v>
      </c>
      <c r="Y121" s="1567">
        <f t="shared" si="65"/>
        <v>56</v>
      </c>
      <c r="Z121" s="1567">
        <f t="shared" si="66"/>
        <v>0</v>
      </c>
      <c r="AA121" s="1566">
        <f t="shared" si="59"/>
        <v>8933</v>
      </c>
      <c r="AB121" s="1564">
        <v>11270</v>
      </c>
      <c r="AC121" s="1567">
        <v>30</v>
      </c>
      <c r="AD121" s="1567">
        <v>0</v>
      </c>
      <c r="AE121" s="1566">
        <f t="shared" si="60"/>
        <v>11300</v>
      </c>
      <c r="AF121" s="1329">
        <f t="shared" si="70"/>
        <v>78.766637089618456</v>
      </c>
      <c r="AG121" s="1329">
        <f t="shared" si="70"/>
        <v>186.66666666666666</v>
      </c>
      <c r="AH121" s="1329" t="e">
        <f t="shared" si="70"/>
        <v>#DIV/0!</v>
      </c>
      <c r="AI121" s="1329">
        <f t="shared" si="70"/>
        <v>79.053097345132741</v>
      </c>
    </row>
    <row r="122" spans="1:37" s="77" customFormat="1" ht="16.2" thickBot="1">
      <c r="A122" s="1587" t="s">
        <v>885</v>
      </c>
      <c r="B122" s="1326">
        <f>élec!BC171</f>
        <v>303</v>
      </c>
      <c r="C122" s="1326">
        <f>élec!BD171</f>
        <v>0</v>
      </c>
      <c r="D122" s="1326">
        <f>'HT-HP 2'!AC109</f>
        <v>0</v>
      </c>
      <c r="E122" s="1323">
        <f t="shared" si="67"/>
        <v>303</v>
      </c>
      <c r="F122" s="1326">
        <f>élec!BC186</f>
        <v>252</v>
      </c>
      <c r="G122" s="1326">
        <f>élec!BD186</f>
        <v>1</v>
      </c>
      <c r="H122" s="1326">
        <f>'HT-HP 2'!AC124</f>
        <v>0</v>
      </c>
      <c r="I122" s="1323">
        <f t="shared" si="56"/>
        <v>253</v>
      </c>
      <c r="J122" s="1322">
        <f t="shared" si="57"/>
        <v>-16.5016501650165</v>
      </c>
      <c r="K122" s="1326">
        <f>élec!AZ171</f>
        <v>4626</v>
      </c>
      <c r="L122" s="1326">
        <f>élec!BA171</f>
        <v>7</v>
      </c>
      <c r="M122" s="1326">
        <f>'HT-HP 2'!Z109</f>
        <v>0</v>
      </c>
      <c r="N122" s="1323">
        <f t="shared" si="68"/>
        <v>4633</v>
      </c>
      <c r="O122" s="1326">
        <f>élec!AZ186</f>
        <v>5141</v>
      </c>
      <c r="P122" s="1326">
        <f>élec!BA186</f>
        <v>4</v>
      </c>
      <c r="Q122" s="1326">
        <f>'HT-HP 2'!Z124</f>
        <v>0</v>
      </c>
      <c r="R122" s="1323">
        <f t="shared" si="69"/>
        <v>5145</v>
      </c>
      <c r="S122" s="1322">
        <f t="shared" si="62"/>
        <v>11.051154759335203</v>
      </c>
      <c r="T122" s="1326">
        <f t="shared" si="63"/>
        <v>3280</v>
      </c>
      <c r="U122" s="1329">
        <f t="shared" si="58"/>
        <v>156.85975609756099</v>
      </c>
      <c r="W122" s="1563" t="s">
        <v>885</v>
      </c>
      <c r="X122" s="1564">
        <f t="shared" si="64"/>
        <v>5141</v>
      </c>
      <c r="Y122" s="1567">
        <f t="shared" si="65"/>
        <v>4</v>
      </c>
      <c r="Z122" s="1567">
        <f t="shared" si="66"/>
        <v>0</v>
      </c>
      <c r="AA122" s="1566">
        <f t="shared" si="59"/>
        <v>5145</v>
      </c>
      <c r="AB122" s="1564">
        <v>3275</v>
      </c>
      <c r="AC122" s="1567">
        <v>5</v>
      </c>
      <c r="AD122" s="1567">
        <v>0</v>
      </c>
      <c r="AE122" s="1566">
        <f t="shared" si="60"/>
        <v>3280</v>
      </c>
      <c r="AF122" s="1329">
        <f t="shared" si="70"/>
        <v>156.97709923664124</v>
      </c>
      <c r="AG122" s="1329">
        <f t="shared" si="70"/>
        <v>80</v>
      </c>
      <c r="AH122" s="1329" t="e">
        <f t="shared" si="70"/>
        <v>#DIV/0!</v>
      </c>
      <c r="AI122" s="1329">
        <f t="shared" si="70"/>
        <v>156.85975609756099</v>
      </c>
    </row>
    <row r="123" spans="1:37" s="77" customFormat="1" ht="16.2" thickBot="1">
      <c r="A123" s="1588" t="s">
        <v>20</v>
      </c>
      <c r="B123" s="1802">
        <f t="shared" ref="B123:I123" si="71">SUM(B113:B122)</f>
        <v>12183</v>
      </c>
      <c r="C123" s="1802">
        <f t="shared" si="71"/>
        <v>62</v>
      </c>
      <c r="D123" s="1802">
        <f t="shared" si="71"/>
        <v>0</v>
      </c>
      <c r="E123" s="1802">
        <f t="shared" si="71"/>
        <v>12245</v>
      </c>
      <c r="F123" s="1802">
        <f t="shared" si="71"/>
        <v>11770</v>
      </c>
      <c r="G123" s="1802">
        <f t="shared" si="71"/>
        <v>74</v>
      </c>
      <c r="H123" s="1802">
        <f t="shared" si="71"/>
        <v>0</v>
      </c>
      <c r="I123" s="1802">
        <f t="shared" si="71"/>
        <v>11844</v>
      </c>
      <c r="J123" s="1803">
        <f t="shared" si="57"/>
        <v>-3.2748060432829726</v>
      </c>
      <c r="K123" s="1802">
        <f t="shared" ref="K123:R123" si="72">SUM(K113:K122)</f>
        <v>94848</v>
      </c>
      <c r="L123" s="1802">
        <f t="shared" si="72"/>
        <v>471</v>
      </c>
      <c r="M123" s="1802">
        <f t="shared" si="72"/>
        <v>0</v>
      </c>
      <c r="N123" s="1802">
        <f t="shared" si="72"/>
        <v>95319</v>
      </c>
      <c r="O123" s="1802">
        <f t="shared" si="72"/>
        <v>95254</v>
      </c>
      <c r="P123" s="1802">
        <f t="shared" si="72"/>
        <v>602</v>
      </c>
      <c r="Q123" s="1802">
        <f t="shared" si="72"/>
        <v>0</v>
      </c>
      <c r="R123" s="1802">
        <f t="shared" si="72"/>
        <v>95856</v>
      </c>
      <c r="S123" s="1803">
        <f>((R123-N123)/N123)*100</f>
        <v>0.56337141598212315</v>
      </c>
      <c r="T123" s="1802">
        <f>SUM(T113:T122)</f>
        <v>91212</v>
      </c>
      <c r="U123" s="2103">
        <f t="shared" si="58"/>
        <v>105.09143533745559</v>
      </c>
      <c r="W123" s="1572" t="s">
        <v>25</v>
      </c>
      <c r="X123" s="1573">
        <f t="shared" ref="X123:AE123" si="73">SUM(X113:X122)</f>
        <v>95254</v>
      </c>
      <c r="Y123" s="1573">
        <f t="shared" si="73"/>
        <v>602</v>
      </c>
      <c r="Z123" s="1573">
        <f t="shared" si="73"/>
        <v>0</v>
      </c>
      <c r="AA123" s="1573">
        <f t="shared" si="73"/>
        <v>95856</v>
      </c>
      <c r="AB123" s="1573">
        <f t="shared" si="73"/>
        <v>90831</v>
      </c>
      <c r="AC123" s="1574">
        <f>SUM(AC113:AC122)</f>
        <v>377</v>
      </c>
      <c r="AD123" s="1574">
        <f t="shared" si="73"/>
        <v>4</v>
      </c>
      <c r="AE123" s="1573">
        <f t="shared" si="73"/>
        <v>91212</v>
      </c>
      <c r="AF123" s="2103">
        <f t="shared" si="70"/>
        <v>104.86948288579889</v>
      </c>
      <c r="AG123" s="2103">
        <f t="shared" si="70"/>
        <v>159.68169761273211</v>
      </c>
      <c r="AH123" s="2103">
        <f t="shared" si="70"/>
        <v>0</v>
      </c>
      <c r="AI123" s="2103">
        <f t="shared" si="70"/>
        <v>105.09143533745559</v>
      </c>
    </row>
    <row r="125" spans="1:37" s="1589" customFormat="1" ht="15.6">
      <c r="B125" s="2896" t="s">
        <v>783</v>
      </c>
      <c r="C125" s="2896"/>
      <c r="D125" s="2896"/>
      <c r="E125" s="2896"/>
      <c r="F125" s="2896"/>
      <c r="G125" s="2896"/>
      <c r="H125" s="2896"/>
      <c r="I125" s="2896"/>
      <c r="J125" s="2896"/>
      <c r="K125" s="2896"/>
      <c r="L125" s="2896"/>
      <c r="M125" s="2896"/>
      <c r="N125" s="2896"/>
      <c r="O125" s="2896"/>
      <c r="P125" s="2896"/>
      <c r="Q125" s="2896"/>
      <c r="R125" s="2896"/>
      <c r="S125" s="2896"/>
      <c r="T125" s="2896"/>
      <c r="U125" s="2896"/>
    </row>
    <row r="126" spans="1:37" s="1589" customFormat="1" ht="18" customHeight="1">
      <c r="A126" s="2836" t="s">
        <v>695</v>
      </c>
      <c r="B126" s="2897" t="s">
        <v>175</v>
      </c>
      <c r="C126" s="2898"/>
      <c r="D126" s="2898"/>
      <c r="E126" s="2898"/>
      <c r="F126" s="2898"/>
      <c r="G126" s="2898"/>
      <c r="H126" s="2898"/>
      <c r="I126" s="2899"/>
      <c r="K126" s="2897" t="s">
        <v>143</v>
      </c>
      <c r="L126" s="2898"/>
      <c r="M126" s="2898"/>
      <c r="N126" s="2898"/>
      <c r="O126" s="2898"/>
      <c r="P126" s="2898"/>
      <c r="Q126" s="2898"/>
      <c r="R126" s="2899"/>
      <c r="S126" s="2839" t="s">
        <v>174</v>
      </c>
      <c r="T126" s="2842" t="str">
        <f>T110</f>
        <v>Objectif 2024</v>
      </c>
      <c r="U126" s="2839" t="s">
        <v>34</v>
      </c>
      <c r="W126" s="1576"/>
      <c r="X126" s="2853" t="s">
        <v>651</v>
      </c>
      <c r="Y126" s="2853"/>
      <c r="Z126" s="2853"/>
      <c r="AA126" s="2853"/>
      <c r="AB126" s="2853"/>
      <c r="AC126" s="2853"/>
      <c r="AD126" s="2853"/>
      <c r="AE126" s="2853"/>
      <c r="AF126" s="2853"/>
      <c r="AG126" s="2853"/>
      <c r="AH126" s="2853"/>
      <c r="AI126" s="2853"/>
    </row>
    <row r="127" spans="1:37" s="1589" customFormat="1" ht="23.4">
      <c r="A127" s="2837"/>
      <c r="B127" s="2900">
        <f>B111</f>
        <v>45139</v>
      </c>
      <c r="C127" s="2901"/>
      <c r="D127" s="2901"/>
      <c r="E127" s="2902"/>
      <c r="F127" s="2900">
        <f>F111</f>
        <v>45505</v>
      </c>
      <c r="G127" s="2901"/>
      <c r="H127" s="2901"/>
      <c r="I127" s="2902"/>
      <c r="J127" s="2839" t="s">
        <v>174</v>
      </c>
      <c r="K127" s="2900">
        <f>K111</f>
        <v>45139</v>
      </c>
      <c r="L127" s="2901"/>
      <c r="M127" s="2901"/>
      <c r="N127" s="2902"/>
      <c r="O127" s="2900">
        <f>O111</f>
        <v>45505</v>
      </c>
      <c r="P127" s="2901"/>
      <c r="Q127" s="2901"/>
      <c r="R127" s="2902"/>
      <c r="S127" s="2840"/>
      <c r="T127" s="2840"/>
      <c r="U127" s="2840"/>
      <c r="W127" s="1577"/>
      <c r="X127" s="2843" t="str">
        <f>X111</f>
        <v>Réalisation 2024</v>
      </c>
      <c r="Y127" s="2844"/>
      <c r="Z127" s="2844"/>
      <c r="AA127" s="2845"/>
      <c r="AB127" s="2843" t="str">
        <f>AB111</f>
        <v>Objectif 2024</v>
      </c>
      <c r="AC127" s="2844"/>
      <c r="AD127" s="2844"/>
      <c r="AE127" s="2845"/>
      <c r="AF127" s="2843" t="s">
        <v>649</v>
      </c>
      <c r="AG127" s="2844"/>
      <c r="AH127" s="2844"/>
      <c r="AI127" s="2846"/>
    </row>
    <row r="128" spans="1:37" s="1589" customFormat="1" ht="15" customHeight="1" thickBot="1">
      <c r="A128" s="2838"/>
      <c r="B128" s="1590" t="s">
        <v>56</v>
      </c>
      <c r="C128" s="1590" t="s">
        <v>21</v>
      </c>
      <c r="D128" s="1590" t="s">
        <v>199</v>
      </c>
      <c r="E128" s="1590" t="s">
        <v>20</v>
      </c>
      <c r="F128" s="1590" t="s">
        <v>56</v>
      </c>
      <c r="G128" s="1590" t="s">
        <v>21</v>
      </c>
      <c r="H128" s="1590" t="s">
        <v>199</v>
      </c>
      <c r="I128" s="1590" t="s">
        <v>20</v>
      </c>
      <c r="J128" s="2840"/>
      <c r="K128" s="1590" t="s">
        <v>56</v>
      </c>
      <c r="L128" s="1590" t="s">
        <v>21</v>
      </c>
      <c r="M128" s="1590" t="s">
        <v>199</v>
      </c>
      <c r="N128" s="1590" t="s">
        <v>20</v>
      </c>
      <c r="O128" s="1590" t="s">
        <v>56</v>
      </c>
      <c r="P128" s="1590" t="s">
        <v>21</v>
      </c>
      <c r="Q128" s="1590" t="s">
        <v>199</v>
      </c>
      <c r="R128" s="1590" t="s">
        <v>20</v>
      </c>
      <c r="S128" s="2841"/>
      <c r="T128" s="2841"/>
      <c r="U128" s="2841"/>
      <c r="W128" s="1355"/>
      <c r="X128" s="1578" t="s">
        <v>56</v>
      </c>
      <c r="Y128" s="1579" t="s">
        <v>21</v>
      </c>
      <c r="Z128" s="1579" t="s">
        <v>199</v>
      </c>
      <c r="AA128" s="1580" t="s">
        <v>652</v>
      </c>
      <c r="AB128" s="1578" t="s">
        <v>56</v>
      </c>
      <c r="AC128" s="1579" t="s">
        <v>21</v>
      </c>
      <c r="AD128" s="1579" t="s">
        <v>199</v>
      </c>
      <c r="AE128" s="1580" t="s">
        <v>652</v>
      </c>
      <c r="AF128" s="1578" t="s">
        <v>56</v>
      </c>
      <c r="AG128" s="1579" t="s">
        <v>21</v>
      </c>
      <c r="AH128" s="1579" t="s">
        <v>199</v>
      </c>
      <c r="AI128" s="1579" t="s">
        <v>652</v>
      </c>
    </row>
    <row r="129" spans="1:35" s="1589" customFormat="1" ht="15.6">
      <c r="A129" s="1591" t="s">
        <v>6</v>
      </c>
      <c r="B129" s="1326">
        <f>gaz!BD164</f>
        <v>841</v>
      </c>
      <c r="C129" s="1326">
        <f>gaz!BE164</f>
        <v>0</v>
      </c>
      <c r="D129" s="1326">
        <f>'HT-HP 2'!AD100</f>
        <v>0</v>
      </c>
      <c r="E129" s="1326">
        <f>SUM(B129:D129)</f>
        <v>841</v>
      </c>
      <c r="F129" s="1326">
        <f>gaz!BD179</f>
        <v>1295</v>
      </c>
      <c r="G129" s="1326">
        <f>gaz!BE179</f>
        <v>0</v>
      </c>
      <c r="H129" s="1326">
        <f>'HT-HP 2'!AD115</f>
        <v>0</v>
      </c>
      <c r="I129" s="1326">
        <f t="shared" ref="I129:I138" si="74">SUM(F129:H129)</f>
        <v>1295</v>
      </c>
      <c r="J129" s="1327">
        <f t="shared" ref="J129:J139" si="75">((I129-E129)/E129)*100</f>
        <v>53.983353151010704</v>
      </c>
      <c r="K129" s="1326">
        <f>gaz!AZ164</f>
        <v>11149</v>
      </c>
      <c r="L129" s="1326">
        <f>gaz!BA164</f>
        <v>7</v>
      </c>
      <c r="M129" s="1326">
        <f>'HT-HP 2'!AA100</f>
        <v>0</v>
      </c>
      <c r="N129" s="1326">
        <f>SUM(K129:M129)</f>
        <v>11156</v>
      </c>
      <c r="O129" s="1326">
        <f>gaz!AZ179</f>
        <v>13403</v>
      </c>
      <c r="P129" s="1326">
        <f>gaz!BA179</f>
        <v>4</v>
      </c>
      <c r="Q129" s="1326">
        <f>'HT-HP 2'!AA115</f>
        <v>0</v>
      </c>
      <c r="R129" s="1326">
        <f t="shared" ref="R129:R138" si="76">SUM(O129:Q129)</f>
        <v>13407</v>
      </c>
      <c r="S129" s="1804">
        <f>((R129-N129)/N129)*100</f>
        <v>20.177482968806025</v>
      </c>
      <c r="T129" s="1326">
        <f>AE129</f>
        <v>9605</v>
      </c>
      <c r="U129" s="1329">
        <f t="shared" ref="U129:U139" si="77">(R129/T129)*100</f>
        <v>139.58355023425298</v>
      </c>
      <c r="W129" s="1563" t="s">
        <v>6</v>
      </c>
      <c r="X129" s="1564">
        <f>O129</f>
        <v>13403</v>
      </c>
      <c r="Y129" s="1565">
        <f>P129</f>
        <v>4</v>
      </c>
      <c r="Z129" s="1565">
        <f>Q129</f>
        <v>0</v>
      </c>
      <c r="AA129" s="1566">
        <f t="shared" ref="AA129:AA138" si="78">X129+Y129+Z129</f>
        <v>13407</v>
      </c>
      <c r="AB129" s="1564">
        <v>9595</v>
      </c>
      <c r="AC129" s="1567">
        <v>10</v>
      </c>
      <c r="AD129" s="1567">
        <v>0</v>
      </c>
      <c r="AE129" s="1566">
        <f>+AB129+AC129+AD129</f>
        <v>9605</v>
      </c>
      <c r="AF129" s="1329">
        <f t="shared" ref="AF129:AI133" si="79">X129/AB129*100</f>
        <v>139.6873371547681</v>
      </c>
      <c r="AG129" s="1329">
        <f t="shared" si="79"/>
        <v>40</v>
      </c>
      <c r="AH129" s="1329" t="e">
        <f t="shared" si="79"/>
        <v>#DIV/0!</v>
      </c>
      <c r="AI129" s="1329">
        <f t="shared" si="79"/>
        <v>139.58355023425298</v>
      </c>
    </row>
    <row r="130" spans="1:35" s="1589" customFormat="1" ht="15.6">
      <c r="A130" s="1591" t="s">
        <v>7</v>
      </c>
      <c r="B130" s="1326">
        <f>gaz!BD165</f>
        <v>594</v>
      </c>
      <c r="C130" s="1326">
        <f>gaz!BE165</f>
        <v>0</v>
      </c>
      <c r="D130" s="1326">
        <f>'HT-HP 2'!AD101</f>
        <v>0</v>
      </c>
      <c r="E130" s="1323">
        <f>SUM(B130:D130)</f>
        <v>594</v>
      </c>
      <c r="F130" s="1326">
        <f>gaz!BD180</f>
        <v>443</v>
      </c>
      <c r="G130" s="1326">
        <f>gaz!BE180</f>
        <v>0</v>
      </c>
      <c r="H130" s="1326">
        <f>'HT-HP 2'!AD116</f>
        <v>0</v>
      </c>
      <c r="I130" s="1323">
        <f t="shared" si="74"/>
        <v>443</v>
      </c>
      <c r="J130" s="1322">
        <f t="shared" si="75"/>
        <v>-25.420875420875422</v>
      </c>
      <c r="K130" s="1326">
        <f>gaz!AZ165</f>
        <v>6696</v>
      </c>
      <c r="L130" s="1326">
        <f>gaz!BA165</f>
        <v>9</v>
      </c>
      <c r="M130" s="1326">
        <f>'HT-HP 2'!AA101</f>
        <v>0</v>
      </c>
      <c r="N130" s="1323">
        <f>SUM(K130:M130)</f>
        <v>6705</v>
      </c>
      <c r="O130" s="1326">
        <f>gaz!AZ180</f>
        <v>5634</v>
      </c>
      <c r="P130" s="1326">
        <f>gaz!BA180</f>
        <v>5</v>
      </c>
      <c r="Q130" s="1326">
        <f>'HT-HP 2'!AA116</f>
        <v>0</v>
      </c>
      <c r="R130" s="1323">
        <f t="shared" si="76"/>
        <v>5639</v>
      </c>
      <c r="S130" s="1805">
        <f t="shared" ref="S130:S138" si="80">((R130-N130)/N130)*100</f>
        <v>-15.898583146905295</v>
      </c>
      <c r="T130" s="1326">
        <f t="shared" ref="T130:T138" si="81">AE130</f>
        <v>8629</v>
      </c>
      <c r="U130" s="1329">
        <f t="shared" si="77"/>
        <v>65.349403175338978</v>
      </c>
      <c r="W130" s="1563" t="s">
        <v>7</v>
      </c>
      <c r="X130" s="1564">
        <f t="shared" ref="X130:X138" si="82">O130</f>
        <v>5634</v>
      </c>
      <c r="Y130" s="1567">
        <f t="shared" ref="Y130:Y138" si="83">P130</f>
        <v>5</v>
      </c>
      <c r="Z130" s="1567">
        <f t="shared" ref="Z130:Z138" si="84">Q130</f>
        <v>0</v>
      </c>
      <c r="AA130" s="1566">
        <f t="shared" si="78"/>
        <v>5639</v>
      </c>
      <c r="AB130" s="1564">
        <v>8620</v>
      </c>
      <c r="AC130" s="1567">
        <v>9</v>
      </c>
      <c r="AD130" s="1567">
        <v>0</v>
      </c>
      <c r="AE130" s="1566">
        <f t="shared" ref="AE130:AE138" si="85">+AB130+AC130+AD130</f>
        <v>8629</v>
      </c>
      <c r="AF130" s="1329">
        <f t="shared" si="79"/>
        <v>65.359628770301626</v>
      </c>
      <c r="AG130" s="1329">
        <f t="shared" si="79"/>
        <v>55.555555555555557</v>
      </c>
      <c r="AH130" s="1329" t="e">
        <f t="shared" si="79"/>
        <v>#DIV/0!</v>
      </c>
      <c r="AI130" s="1329">
        <f t="shared" si="79"/>
        <v>65.349403175338978</v>
      </c>
    </row>
    <row r="131" spans="1:35" s="1589" customFormat="1" ht="15.6">
      <c r="A131" s="1591" t="s">
        <v>8</v>
      </c>
      <c r="B131" s="1326">
        <f>gaz!BD166</f>
        <v>1218</v>
      </c>
      <c r="C131" s="1326">
        <f>gaz!BE166</f>
        <v>1</v>
      </c>
      <c r="D131" s="1326">
        <f>'HT-HP 2'!AD102</f>
        <v>0</v>
      </c>
      <c r="E131" s="1323">
        <f t="shared" ref="E131:E138" si="86">SUM(B131:D131)</f>
        <v>1219</v>
      </c>
      <c r="F131" s="1326">
        <f>gaz!BD181</f>
        <v>981</v>
      </c>
      <c r="G131" s="1326">
        <f>gaz!BE181</f>
        <v>0</v>
      </c>
      <c r="H131" s="1326">
        <f>'HT-HP 2'!AD117</f>
        <v>0</v>
      </c>
      <c r="I131" s="1323">
        <f t="shared" si="74"/>
        <v>981</v>
      </c>
      <c r="J131" s="1322">
        <f t="shared" si="75"/>
        <v>-19.524200164068908</v>
      </c>
      <c r="K131" s="1326">
        <f>gaz!AZ166</f>
        <v>11330</v>
      </c>
      <c r="L131" s="1326">
        <f>gaz!BA166</f>
        <v>2</v>
      </c>
      <c r="M131" s="1326">
        <f>'HT-HP 2'!AA102</f>
        <v>0</v>
      </c>
      <c r="N131" s="1323">
        <f t="shared" ref="N131:N138" si="87">SUM(K131:M131)</f>
        <v>11332</v>
      </c>
      <c r="O131" s="1326">
        <f>gaz!AZ181</f>
        <v>8355</v>
      </c>
      <c r="P131" s="1326">
        <f>gaz!BA181</f>
        <v>9</v>
      </c>
      <c r="Q131" s="1326">
        <f>'HT-HP 2'!AA117</f>
        <v>0</v>
      </c>
      <c r="R131" s="1323">
        <f t="shared" si="76"/>
        <v>8364</v>
      </c>
      <c r="S131" s="1805">
        <f t="shared" si="80"/>
        <v>-26.191316625485349</v>
      </c>
      <c r="T131" s="1326">
        <f t="shared" si="81"/>
        <v>7056</v>
      </c>
      <c r="U131" s="1329">
        <f t="shared" si="77"/>
        <v>118.5374149659864</v>
      </c>
      <c r="W131" s="1563" t="s">
        <v>8</v>
      </c>
      <c r="X131" s="1564">
        <f t="shared" si="82"/>
        <v>8355</v>
      </c>
      <c r="Y131" s="1567">
        <f t="shared" si="83"/>
        <v>9</v>
      </c>
      <c r="Z131" s="1567">
        <f t="shared" si="84"/>
        <v>0</v>
      </c>
      <c r="AA131" s="1566">
        <f t="shared" si="78"/>
        <v>8364</v>
      </c>
      <c r="AB131" s="1564">
        <v>7053</v>
      </c>
      <c r="AC131" s="1567">
        <v>3</v>
      </c>
      <c r="AD131" s="1567">
        <v>0</v>
      </c>
      <c r="AE131" s="1566">
        <f t="shared" si="85"/>
        <v>7056</v>
      </c>
      <c r="AF131" s="1329">
        <f t="shared" si="79"/>
        <v>118.46022968949383</v>
      </c>
      <c r="AG131" s="1329">
        <f t="shared" si="79"/>
        <v>300</v>
      </c>
      <c r="AH131" s="1329" t="e">
        <f t="shared" si="79"/>
        <v>#DIV/0!</v>
      </c>
      <c r="AI131" s="1329">
        <f t="shared" si="79"/>
        <v>118.5374149659864</v>
      </c>
    </row>
    <row r="132" spans="1:35" s="1589" customFormat="1" ht="15.6">
      <c r="A132" s="1591" t="s">
        <v>4</v>
      </c>
      <c r="B132" s="1326">
        <f>gaz!BD167</f>
        <v>1105</v>
      </c>
      <c r="C132" s="1326">
        <f>gaz!BE167</f>
        <v>0</v>
      </c>
      <c r="D132" s="1326">
        <f>'HT-HP 2'!AD103</f>
        <v>0</v>
      </c>
      <c r="E132" s="1323">
        <f t="shared" si="86"/>
        <v>1105</v>
      </c>
      <c r="F132" s="1326">
        <f>gaz!BD182</f>
        <v>1042</v>
      </c>
      <c r="G132" s="1326">
        <f>gaz!BE182</f>
        <v>0</v>
      </c>
      <c r="H132" s="1326">
        <f>'HT-HP 2'!AD118</f>
        <v>0</v>
      </c>
      <c r="I132" s="1323">
        <f t="shared" si="74"/>
        <v>1042</v>
      </c>
      <c r="J132" s="1322">
        <f t="shared" si="75"/>
        <v>-5.7013574660633486</v>
      </c>
      <c r="K132" s="1326">
        <f>gaz!AZ167</f>
        <v>9657</v>
      </c>
      <c r="L132" s="1326">
        <f>gaz!BA167</f>
        <v>1</v>
      </c>
      <c r="M132" s="1326">
        <f>'HT-HP 2'!AA103</f>
        <v>0</v>
      </c>
      <c r="N132" s="1323">
        <f t="shared" si="87"/>
        <v>9658</v>
      </c>
      <c r="O132" s="1326">
        <f>gaz!AZ182</f>
        <v>12301</v>
      </c>
      <c r="P132" s="1326">
        <f>gaz!BA182</f>
        <v>7</v>
      </c>
      <c r="Q132" s="1326">
        <f>'HT-HP 2'!AA118</f>
        <v>1</v>
      </c>
      <c r="R132" s="1323">
        <f t="shared" si="76"/>
        <v>12309</v>
      </c>
      <c r="S132" s="1805">
        <f t="shared" si="80"/>
        <v>27.448747152619589</v>
      </c>
      <c r="T132" s="1326">
        <f t="shared" si="81"/>
        <v>21096</v>
      </c>
      <c r="U132" s="1329">
        <f t="shared" si="77"/>
        <v>58.347554038680315</v>
      </c>
      <c r="W132" s="1563" t="s">
        <v>4</v>
      </c>
      <c r="X132" s="1564">
        <f t="shared" si="82"/>
        <v>12301</v>
      </c>
      <c r="Y132" s="1567">
        <f t="shared" si="83"/>
        <v>7</v>
      </c>
      <c r="Z132" s="1567">
        <f t="shared" si="84"/>
        <v>1</v>
      </c>
      <c r="AA132" s="1566">
        <f t="shared" si="78"/>
        <v>12309</v>
      </c>
      <c r="AB132" s="1564">
        <v>21085</v>
      </c>
      <c r="AC132" s="1567">
        <v>11</v>
      </c>
      <c r="AD132" s="1567">
        <v>0</v>
      </c>
      <c r="AE132" s="1566">
        <f t="shared" si="85"/>
        <v>21096</v>
      </c>
      <c r="AF132" s="1329">
        <f t="shared" si="79"/>
        <v>58.340052169788947</v>
      </c>
      <c r="AG132" s="1329">
        <f t="shared" si="79"/>
        <v>63.636363636363633</v>
      </c>
      <c r="AH132" s="1329" t="e">
        <f t="shared" si="79"/>
        <v>#DIV/0!</v>
      </c>
      <c r="AI132" s="1329">
        <f t="shared" si="79"/>
        <v>58.347554038680315</v>
      </c>
    </row>
    <row r="133" spans="1:35" s="1589" customFormat="1" ht="15.6">
      <c r="A133" s="1591" t="s">
        <v>3</v>
      </c>
      <c r="B133" s="1326">
        <f>gaz!BD168</f>
        <v>420</v>
      </c>
      <c r="C133" s="1326">
        <f>gaz!BE168</f>
        <v>0</v>
      </c>
      <c r="D133" s="1326">
        <f>'HT-HP 2'!AD104</f>
        <v>0</v>
      </c>
      <c r="E133" s="1323">
        <f t="shared" si="86"/>
        <v>420</v>
      </c>
      <c r="F133" s="1326">
        <f>gaz!BD183</f>
        <v>466</v>
      </c>
      <c r="G133" s="1326">
        <f>gaz!BE183</f>
        <v>0</v>
      </c>
      <c r="H133" s="1326">
        <f>'HT-HP 2'!AD119</f>
        <v>0</v>
      </c>
      <c r="I133" s="1323">
        <f t="shared" si="74"/>
        <v>466</v>
      </c>
      <c r="J133" s="1322">
        <f t="shared" si="75"/>
        <v>10.952380952380953</v>
      </c>
      <c r="K133" s="1326">
        <f>gaz!AZ168</f>
        <v>4149</v>
      </c>
      <c r="L133" s="1326">
        <f>gaz!BA168</f>
        <v>2</v>
      </c>
      <c r="M133" s="1326">
        <f>'HT-HP 2'!AA104</f>
        <v>0</v>
      </c>
      <c r="N133" s="1323">
        <f t="shared" si="87"/>
        <v>4151</v>
      </c>
      <c r="O133" s="1326">
        <f>gaz!AZ183</f>
        <v>3565</v>
      </c>
      <c r="P133" s="1326">
        <f>gaz!BA183</f>
        <v>2</v>
      </c>
      <c r="Q133" s="1326">
        <f>'HT-HP 2'!AA119</f>
        <v>0</v>
      </c>
      <c r="R133" s="1323">
        <f t="shared" si="76"/>
        <v>3567</v>
      </c>
      <c r="S133" s="1805">
        <f t="shared" si="80"/>
        <v>-14.068899060467357</v>
      </c>
      <c r="T133" s="1326">
        <f t="shared" si="81"/>
        <v>8557</v>
      </c>
      <c r="U133" s="1329">
        <f t="shared" si="77"/>
        <v>41.685170036227646</v>
      </c>
      <c r="W133" s="1563" t="s">
        <v>3</v>
      </c>
      <c r="X133" s="1564">
        <f t="shared" si="82"/>
        <v>3565</v>
      </c>
      <c r="Y133" s="1567">
        <f t="shared" si="83"/>
        <v>2</v>
      </c>
      <c r="Z133" s="1567">
        <f t="shared" si="84"/>
        <v>0</v>
      </c>
      <c r="AA133" s="1566">
        <f t="shared" si="78"/>
        <v>3567</v>
      </c>
      <c r="AB133" s="1564">
        <v>8552</v>
      </c>
      <c r="AC133" s="1567">
        <v>5</v>
      </c>
      <c r="AD133" s="1567">
        <v>0</v>
      </c>
      <c r="AE133" s="1566">
        <f t="shared" si="85"/>
        <v>8557</v>
      </c>
      <c r="AF133" s="1329">
        <f t="shared" si="79"/>
        <v>41.686155285313376</v>
      </c>
      <c r="AG133" s="1329">
        <f t="shared" si="79"/>
        <v>40</v>
      </c>
      <c r="AH133" s="1329" t="e">
        <f t="shared" si="79"/>
        <v>#DIV/0!</v>
      </c>
      <c r="AI133" s="1329">
        <f t="shared" si="79"/>
        <v>41.685170036227646</v>
      </c>
    </row>
    <row r="134" spans="1:35" s="1589" customFormat="1" ht="15.6">
      <c r="A134" s="1591" t="s">
        <v>397</v>
      </c>
      <c r="B134" s="1326">
        <f>gaz!BD169</f>
        <v>416</v>
      </c>
      <c r="C134" s="1326">
        <f>gaz!BE169</f>
        <v>0</v>
      </c>
      <c r="D134" s="1326">
        <f>'HT-HP 2'!AD105</f>
        <v>0</v>
      </c>
      <c r="E134" s="1323">
        <f t="shared" si="86"/>
        <v>416</v>
      </c>
      <c r="F134" s="1326">
        <f>gaz!BD184</f>
        <v>577</v>
      </c>
      <c r="G134" s="1326">
        <f>gaz!BE184</f>
        <v>0</v>
      </c>
      <c r="H134" s="1326">
        <f>'HT-HP 2'!AD120</f>
        <v>0</v>
      </c>
      <c r="I134" s="1323">
        <f t="shared" si="74"/>
        <v>577</v>
      </c>
      <c r="J134" s="1322">
        <f t="shared" si="75"/>
        <v>38.70192307692308</v>
      </c>
      <c r="K134" s="1326">
        <f>gaz!AZ169</f>
        <v>7648</v>
      </c>
      <c r="L134" s="1326">
        <f>gaz!BA169</f>
        <v>2</v>
      </c>
      <c r="M134" s="1326">
        <f>'HT-HP 2'!AA105</f>
        <v>0</v>
      </c>
      <c r="N134" s="1323">
        <f t="shared" si="87"/>
        <v>7650</v>
      </c>
      <c r="O134" s="1326">
        <f>gaz!AZ184</f>
        <v>6007</v>
      </c>
      <c r="P134" s="1326">
        <f>gaz!BA184</f>
        <v>4</v>
      </c>
      <c r="Q134" s="1326">
        <f>'HT-HP 2'!AA120</f>
        <v>0</v>
      </c>
      <c r="R134" s="1323">
        <f t="shared" si="76"/>
        <v>6011</v>
      </c>
      <c r="S134" s="1805">
        <f t="shared" si="80"/>
        <v>-21.424836601307192</v>
      </c>
      <c r="T134" s="1326">
        <f t="shared" si="81"/>
        <v>7279</v>
      </c>
      <c r="U134" s="1329">
        <f t="shared" si="77"/>
        <v>82.580024728671518</v>
      </c>
      <c r="W134" s="1563" t="s">
        <v>397</v>
      </c>
      <c r="X134" s="1564">
        <f t="shared" si="82"/>
        <v>6007</v>
      </c>
      <c r="Y134" s="1567">
        <f t="shared" si="83"/>
        <v>4</v>
      </c>
      <c r="Z134" s="1567">
        <f t="shared" si="84"/>
        <v>0</v>
      </c>
      <c r="AA134" s="1566">
        <f t="shared" si="78"/>
        <v>6011</v>
      </c>
      <c r="AB134" s="1564">
        <v>7272</v>
      </c>
      <c r="AC134" s="1567">
        <v>7</v>
      </c>
      <c r="AD134" s="1567">
        <v>0</v>
      </c>
      <c r="AE134" s="1566">
        <f t="shared" si="85"/>
        <v>7279</v>
      </c>
      <c r="AF134" s="1329">
        <f t="shared" ref="AF134:AG139" si="88">X134/AB134*100</f>
        <v>82.604510451045115</v>
      </c>
      <c r="AG134" s="1329">
        <f t="shared" si="88"/>
        <v>57.142857142857139</v>
      </c>
      <c r="AH134" s="1329" t="e">
        <f t="shared" ref="AH134:AH139" si="89">Z134/AD134*100</f>
        <v>#DIV/0!</v>
      </c>
      <c r="AI134" s="1329">
        <f t="shared" ref="AI134:AI139" si="90">AA134/AE134*100</f>
        <v>82.580024728671518</v>
      </c>
    </row>
    <row r="135" spans="1:35" s="1589" customFormat="1" ht="15.6">
      <c r="A135" s="1591" t="s">
        <v>399</v>
      </c>
      <c r="B135" s="1326">
        <f>gaz!BD170</f>
        <v>750</v>
      </c>
      <c r="C135" s="1326">
        <f>gaz!BE170</f>
        <v>1</v>
      </c>
      <c r="D135" s="1326">
        <f>'HT-HP 2'!AD106</f>
        <v>0</v>
      </c>
      <c r="E135" s="1323">
        <f t="shared" si="86"/>
        <v>751</v>
      </c>
      <c r="F135" s="1326">
        <f>gaz!BD185</f>
        <v>943</v>
      </c>
      <c r="G135" s="1326">
        <f>gaz!BE185</f>
        <v>2</v>
      </c>
      <c r="H135" s="1326">
        <f>'HT-HP 2'!AD121</f>
        <v>0</v>
      </c>
      <c r="I135" s="1323">
        <f t="shared" si="74"/>
        <v>945</v>
      </c>
      <c r="J135" s="1322">
        <f t="shared" si="75"/>
        <v>25.832223701731028</v>
      </c>
      <c r="K135" s="1326">
        <f>gaz!AZ170</f>
        <v>9990</v>
      </c>
      <c r="L135" s="1326">
        <f>gaz!BA170</f>
        <v>6</v>
      </c>
      <c r="M135" s="1326">
        <f>'HT-HP 2'!AA106</f>
        <v>0</v>
      </c>
      <c r="N135" s="1323">
        <f t="shared" si="87"/>
        <v>9996</v>
      </c>
      <c r="O135" s="1326">
        <f>gaz!AZ185</f>
        <v>10679</v>
      </c>
      <c r="P135" s="1326">
        <f>gaz!BA185</f>
        <v>9</v>
      </c>
      <c r="Q135" s="1326">
        <f>'HT-HP 2'!AA121</f>
        <v>0</v>
      </c>
      <c r="R135" s="1323">
        <f t="shared" si="76"/>
        <v>10688</v>
      </c>
      <c r="S135" s="1805">
        <f t="shared" si="80"/>
        <v>6.9227691076430578</v>
      </c>
      <c r="T135" s="1326">
        <f t="shared" si="81"/>
        <v>10319</v>
      </c>
      <c r="U135" s="1329">
        <f t="shared" si="77"/>
        <v>103.5759278999903</v>
      </c>
      <c r="W135" s="1563" t="s">
        <v>399</v>
      </c>
      <c r="X135" s="1564">
        <f t="shared" si="82"/>
        <v>10679</v>
      </c>
      <c r="Y135" s="1567">
        <f t="shared" si="83"/>
        <v>9</v>
      </c>
      <c r="Z135" s="1567">
        <f t="shared" si="84"/>
        <v>0</v>
      </c>
      <c r="AA135" s="1566">
        <f t="shared" si="78"/>
        <v>10688</v>
      </c>
      <c r="AB135" s="1564">
        <v>10310</v>
      </c>
      <c r="AC135" s="1567">
        <v>9</v>
      </c>
      <c r="AD135" s="1567">
        <v>0</v>
      </c>
      <c r="AE135" s="1566">
        <f t="shared" si="85"/>
        <v>10319</v>
      </c>
      <c r="AF135" s="1329">
        <f t="shared" si="88"/>
        <v>103.57904946653733</v>
      </c>
      <c r="AG135" s="1329">
        <f t="shared" si="88"/>
        <v>100</v>
      </c>
      <c r="AH135" s="1329" t="e">
        <f t="shared" si="89"/>
        <v>#DIV/0!</v>
      </c>
      <c r="AI135" s="1329">
        <f t="shared" si="90"/>
        <v>103.5759278999903</v>
      </c>
    </row>
    <row r="136" spans="1:35" s="1589" customFormat="1" ht="15.6">
      <c r="A136" s="1591" t="s">
        <v>883</v>
      </c>
      <c r="B136" s="1326">
        <f>gaz!BD171</f>
        <v>331</v>
      </c>
      <c r="C136" s="1326">
        <f>gaz!BE171</f>
        <v>0</v>
      </c>
      <c r="D136" s="1326">
        <f>'HT-HP 2'!AD107</f>
        <v>0</v>
      </c>
      <c r="E136" s="1323">
        <f t="shared" si="86"/>
        <v>331</v>
      </c>
      <c r="F136" s="1326">
        <f>gaz!BD186</f>
        <v>361</v>
      </c>
      <c r="G136" s="1326">
        <f>gaz!BE186</f>
        <v>0</v>
      </c>
      <c r="H136" s="1326">
        <f>'HT-HP 2'!AD122</f>
        <v>0</v>
      </c>
      <c r="I136" s="1323">
        <f t="shared" si="74"/>
        <v>361</v>
      </c>
      <c r="J136" s="1322">
        <f t="shared" si="75"/>
        <v>9.0634441087613293</v>
      </c>
      <c r="K136" s="1326">
        <f>gaz!AZ171</f>
        <v>6300</v>
      </c>
      <c r="L136" s="1326">
        <f>gaz!BA171</f>
        <v>7</v>
      </c>
      <c r="M136" s="1326">
        <f>'HT-HP 2'!AA107</f>
        <v>0</v>
      </c>
      <c r="N136" s="1323">
        <f t="shared" si="87"/>
        <v>6307</v>
      </c>
      <c r="O136" s="1326">
        <f>gaz!AZ186</f>
        <v>4684</v>
      </c>
      <c r="P136" s="1326">
        <f>gaz!BA186</f>
        <v>4</v>
      </c>
      <c r="Q136" s="1326">
        <f>'HT-HP 2'!AA122</f>
        <v>0</v>
      </c>
      <c r="R136" s="1323">
        <f t="shared" si="76"/>
        <v>4688</v>
      </c>
      <c r="S136" s="1805">
        <f t="shared" si="80"/>
        <v>-25.669890597748534</v>
      </c>
      <c r="T136" s="1326">
        <f t="shared" si="81"/>
        <v>6572</v>
      </c>
      <c r="U136" s="1329">
        <f t="shared" si="77"/>
        <v>71.332927571515526</v>
      </c>
      <c r="W136" s="1563" t="s">
        <v>883</v>
      </c>
      <c r="X136" s="1564">
        <f t="shared" si="82"/>
        <v>4684</v>
      </c>
      <c r="Y136" s="1567">
        <f t="shared" si="83"/>
        <v>4</v>
      </c>
      <c r="Z136" s="1567">
        <f t="shared" si="84"/>
        <v>0</v>
      </c>
      <c r="AA136" s="1566">
        <f t="shared" si="78"/>
        <v>4688</v>
      </c>
      <c r="AB136" s="1564">
        <v>6564</v>
      </c>
      <c r="AC136" s="1567">
        <v>8</v>
      </c>
      <c r="AD136" s="1567">
        <v>0</v>
      </c>
      <c r="AE136" s="1566">
        <f t="shared" si="85"/>
        <v>6572</v>
      </c>
      <c r="AF136" s="1329">
        <f t="shared" si="88"/>
        <v>71.358927483241928</v>
      </c>
      <c r="AG136" s="1329">
        <f t="shared" si="88"/>
        <v>50</v>
      </c>
      <c r="AH136" s="1329" t="e">
        <f t="shared" si="89"/>
        <v>#DIV/0!</v>
      </c>
      <c r="AI136" s="1329">
        <f t="shared" si="90"/>
        <v>71.332927571515526</v>
      </c>
    </row>
    <row r="137" spans="1:35" s="1589" customFormat="1" ht="15.6">
      <c r="A137" s="1591" t="s">
        <v>884</v>
      </c>
      <c r="B137" s="1326">
        <f>gaz!BD172</f>
        <v>420</v>
      </c>
      <c r="C137" s="1326">
        <f>gaz!BE172</f>
        <v>1</v>
      </c>
      <c r="D137" s="1326">
        <f>'HT-HP 2'!AD108</f>
        <v>0</v>
      </c>
      <c r="E137" s="1323">
        <f t="shared" si="86"/>
        <v>421</v>
      </c>
      <c r="F137" s="1326">
        <f>gaz!BD187</f>
        <v>1286</v>
      </c>
      <c r="G137" s="1326">
        <f>gaz!BE187</f>
        <v>2</v>
      </c>
      <c r="H137" s="1326">
        <f>'HT-HP 2'!AD123</f>
        <v>0</v>
      </c>
      <c r="I137" s="1323">
        <f t="shared" si="74"/>
        <v>1288</v>
      </c>
      <c r="J137" s="1322">
        <f t="shared" si="75"/>
        <v>205.93824228028504</v>
      </c>
      <c r="K137" s="1326">
        <f>gaz!AZ172</f>
        <v>11764</v>
      </c>
      <c r="L137" s="1326">
        <f>gaz!BA172</f>
        <v>3</v>
      </c>
      <c r="M137" s="1326">
        <f>'HT-HP 2'!AA108</f>
        <v>0</v>
      </c>
      <c r="N137" s="1323">
        <f t="shared" si="87"/>
        <v>11767</v>
      </c>
      <c r="O137" s="1326">
        <f>gaz!AZ187</f>
        <v>8932</v>
      </c>
      <c r="P137" s="1326">
        <f>gaz!BA187</f>
        <v>5</v>
      </c>
      <c r="Q137" s="1326">
        <f>'HT-HP 2'!AA123</f>
        <v>0</v>
      </c>
      <c r="R137" s="1323">
        <f t="shared" si="76"/>
        <v>8937</v>
      </c>
      <c r="S137" s="1805">
        <f t="shared" si="80"/>
        <v>-24.050310189513045</v>
      </c>
      <c r="T137" s="1326">
        <f t="shared" si="81"/>
        <v>7684</v>
      </c>
      <c r="U137" s="1329">
        <f t="shared" si="77"/>
        <v>116.30661114003122</v>
      </c>
      <c r="W137" s="1563" t="s">
        <v>884</v>
      </c>
      <c r="X137" s="1564">
        <f t="shared" si="82"/>
        <v>8932</v>
      </c>
      <c r="Y137" s="1567">
        <f t="shared" si="83"/>
        <v>5</v>
      </c>
      <c r="Z137" s="1567">
        <f t="shared" si="84"/>
        <v>0</v>
      </c>
      <c r="AA137" s="1566">
        <f t="shared" si="78"/>
        <v>8937</v>
      </c>
      <c r="AB137" s="1564">
        <v>7680</v>
      </c>
      <c r="AC137" s="1567">
        <v>3</v>
      </c>
      <c r="AD137" s="1567">
        <v>1</v>
      </c>
      <c r="AE137" s="1566">
        <f t="shared" si="85"/>
        <v>7684</v>
      </c>
      <c r="AF137" s="1329">
        <f>X137/AB137*100</f>
        <v>116.30208333333334</v>
      </c>
      <c r="AG137" s="1329">
        <f t="shared" si="88"/>
        <v>166.66666666666669</v>
      </c>
      <c r="AH137" s="1329">
        <f t="shared" si="89"/>
        <v>0</v>
      </c>
      <c r="AI137" s="1329">
        <f t="shared" si="90"/>
        <v>116.30661114003122</v>
      </c>
    </row>
    <row r="138" spans="1:35" s="1589" customFormat="1" ht="16.2" thickBot="1">
      <c r="A138" s="1591" t="s">
        <v>885</v>
      </c>
      <c r="B138" s="1326">
        <f>gaz!BD173</f>
        <v>347</v>
      </c>
      <c r="C138" s="1326">
        <f>gaz!BE173</f>
        <v>0</v>
      </c>
      <c r="D138" s="1326">
        <f>'HT-HP 2'!AD109</f>
        <v>0</v>
      </c>
      <c r="E138" s="1323">
        <f t="shared" si="86"/>
        <v>347</v>
      </c>
      <c r="F138" s="1326">
        <f>gaz!BD188</f>
        <v>168</v>
      </c>
      <c r="G138" s="1326">
        <f>gaz!BE188</f>
        <v>0</v>
      </c>
      <c r="H138" s="1326">
        <f>'HT-HP 2'!AD124</f>
        <v>0</v>
      </c>
      <c r="I138" s="1323">
        <f t="shared" si="74"/>
        <v>168</v>
      </c>
      <c r="J138" s="1322">
        <f t="shared" si="75"/>
        <v>-51.585014409221898</v>
      </c>
      <c r="K138" s="1326">
        <f>gaz!AZ173</f>
        <v>5828</v>
      </c>
      <c r="L138" s="1326">
        <f>gaz!BA173</f>
        <v>0</v>
      </c>
      <c r="M138" s="1326">
        <f>'HT-HP 2'!AA109</f>
        <v>0</v>
      </c>
      <c r="N138" s="1323">
        <f t="shared" si="87"/>
        <v>5828</v>
      </c>
      <c r="O138" s="1326">
        <f>gaz!AZ188</f>
        <v>4516</v>
      </c>
      <c r="P138" s="1326">
        <f>gaz!BA188</f>
        <v>1</v>
      </c>
      <c r="Q138" s="1326">
        <f>'HT-HP 2'!AA124</f>
        <v>0</v>
      </c>
      <c r="R138" s="1323">
        <f t="shared" si="76"/>
        <v>4517</v>
      </c>
      <c r="S138" s="1805">
        <f t="shared" si="80"/>
        <v>-22.494852436513384</v>
      </c>
      <c r="T138" s="1326">
        <f t="shared" si="81"/>
        <v>3681</v>
      </c>
      <c r="U138" s="1329">
        <f t="shared" si="77"/>
        <v>122.71121977723445</v>
      </c>
      <c r="W138" s="1563" t="s">
        <v>885</v>
      </c>
      <c r="X138" s="1564">
        <f t="shared" si="82"/>
        <v>4516</v>
      </c>
      <c r="Y138" s="1567">
        <f t="shared" si="83"/>
        <v>1</v>
      </c>
      <c r="Z138" s="1567">
        <f t="shared" si="84"/>
        <v>0</v>
      </c>
      <c r="AA138" s="1566">
        <f t="shared" si="78"/>
        <v>4517</v>
      </c>
      <c r="AB138" s="1564">
        <v>3678</v>
      </c>
      <c r="AC138" s="1567">
        <v>3</v>
      </c>
      <c r="AD138" s="1567">
        <v>0</v>
      </c>
      <c r="AE138" s="1566">
        <f t="shared" si="85"/>
        <v>3681</v>
      </c>
      <c r="AF138" s="1329">
        <f t="shared" si="88"/>
        <v>122.78412180532898</v>
      </c>
      <c r="AG138" s="1329">
        <f t="shared" si="88"/>
        <v>33.333333333333329</v>
      </c>
      <c r="AH138" s="1329" t="e">
        <f t="shared" si="89"/>
        <v>#DIV/0!</v>
      </c>
      <c r="AI138" s="1329">
        <f t="shared" si="90"/>
        <v>122.71121977723445</v>
      </c>
    </row>
    <row r="139" spans="1:35" s="1589" customFormat="1" ht="16.2" thickBot="1">
      <c r="A139" s="1592" t="s">
        <v>20</v>
      </c>
      <c r="B139" s="1806">
        <f t="shared" ref="B139:I139" si="91">SUM(B129:B138)</f>
        <v>6442</v>
      </c>
      <c r="C139" s="1806">
        <f t="shared" si="91"/>
        <v>3</v>
      </c>
      <c r="D139" s="1806">
        <f t="shared" si="91"/>
        <v>0</v>
      </c>
      <c r="E139" s="1806">
        <f t="shared" si="91"/>
        <v>6445</v>
      </c>
      <c r="F139" s="1806">
        <f t="shared" si="91"/>
        <v>7562</v>
      </c>
      <c r="G139" s="1806">
        <f t="shared" si="91"/>
        <v>4</v>
      </c>
      <c r="H139" s="1806">
        <f t="shared" si="91"/>
        <v>0</v>
      </c>
      <c r="I139" s="1806">
        <f t="shared" si="91"/>
        <v>7566</v>
      </c>
      <c r="J139" s="1807">
        <f t="shared" si="75"/>
        <v>17.3933281613654</v>
      </c>
      <c r="K139" s="1806">
        <f t="shared" ref="K139:R139" si="92">SUM(K129:K138)</f>
        <v>84511</v>
      </c>
      <c r="L139" s="1806">
        <f t="shared" si="92"/>
        <v>39</v>
      </c>
      <c r="M139" s="1806">
        <f t="shared" si="92"/>
        <v>0</v>
      </c>
      <c r="N139" s="1806">
        <f t="shared" si="92"/>
        <v>84550</v>
      </c>
      <c r="O139" s="1806">
        <f t="shared" si="92"/>
        <v>78076</v>
      </c>
      <c r="P139" s="1806">
        <f t="shared" si="92"/>
        <v>50</v>
      </c>
      <c r="Q139" s="1806">
        <f t="shared" si="92"/>
        <v>1</v>
      </c>
      <c r="R139" s="1806">
        <f t="shared" si="92"/>
        <v>78127</v>
      </c>
      <c r="S139" s="1807">
        <f>((R139-N139)/N139)*100</f>
        <v>-7.596688350088705</v>
      </c>
      <c r="T139" s="1806">
        <f>SUM(T129:T138)</f>
        <v>90478</v>
      </c>
      <c r="U139" s="2104">
        <f t="shared" si="77"/>
        <v>86.349167753487038</v>
      </c>
      <c r="W139" s="1581" t="s">
        <v>26</v>
      </c>
      <c r="X139" s="1582">
        <f t="shared" ref="X139:AD139" si="93">SUM(X129:X138)</f>
        <v>78076</v>
      </c>
      <c r="Y139" s="1583">
        <f t="shared" si="93"/>
        <v>50</v>
      </c>
      <c r="Z139" s="1583">
        <f t="shared" si="93"/>
        <v>1</v>
      </c>
      <c r="AA139" s="1582">
        <f t="shared" si="93"/>
        <v>78127</v>
      </c>
      <c r="AB139" s="1582">
        <f t="shared" si="93"/>
        <v>90409</v>
      </c>
      <c r="AC139" s="1582">
        <f t="shared" si="93"/>
        <v>68</v>
      </c>
      <c r="AD139" s="1582">
        <f t="shared" si="93"/>
        <v>1</v>
      </c>
      <c r="AE139" s="1582">
        <f>SUM(AE129:AE138)</f>
        <v>90478</v>
      </c>
      <c r="AF139" s="2104">
        <f t="shared" si="88"/>
        <v>86.358658983065851</v>
      </c>
      <c r="AG139" s="2104">
        <f t="shared" si="88"/>
        <v>73.529411764705884</v>
      </c>
      <c r="AH139" s="2104">
        <f t="shared" si="89"/>
        <v>100</v>
      </c>
      <c r="AI139" s="2104">
        <f t="shared" si="90"/>
        <v>86.349167753487038</v>
      </c>
    </row>
    <row r="141" spans="1:35">
      <c r="P141" s="87">
        <v>5915</v>
      </c>
    </row>
    <row r="142" spans="1:35" ht="21" customHeight="1">
      <c r="A142" s="2933" t="s">
        <v>873</v>
      </c>
      <c r="B142" s="2930" t="s">
        <v>175</v>
      </c>
      <c r="C142" s="2931"/>
      <c r="D142" s="2931"/>
      <c r="E142" s="2931"/>
      <c r="F142" s="2931"/>
      <c r="G142" s="2931"/>
      <c r="H142" s="2931"/>
      <c r="I142" s="2932"/>
      <c r="J142" s="2930" t="s">
        <v>143</v>
      </c>
      <c r="K142" s="2931"/>
      <c r="L142" s="2931"/>
      <c r="M142" s="2931"/>
      <c r="N142" s="2931"/>
      <c r="O142" s="2931"/>
      <c r="P142" s="2931"/>
      <c r="Q142" s="2931"/>
      <c r="R142" s="2939" t="s">
        <v>20</v>
      </c>
      <c r="S142" s="2940"/>
      <c r="T142" s="2940"/>
      <c r="U142" s="2941"/>
      <c r="W142" s="2340" t="s">
        <v>1075</v>
      </c>
      <c r="X142" s="2341"/>
      <c r="Y142" s="2341"/>
      <c r="Z142" s="2342"/>
    </row>
    <row r="143" spans="1:35" ht="21">
      <c r="A143" s="2934"/>
      <c r="B143" s="2936">
        <v>2023</v>
      </c>
      <c r="C143" s="2936"/>
      <c r="D143" s="2936"/>
      <c r="E143" s="2936"/>
      <c r="F143" s="2936">
        <v>2024</v>
      </c>
      <c r="G143" s="2936"/>
      <c r="H143" s="2936"/>
      <c r="I143" s="2936"/>
      <c r="J143" s="2936">
        <v>2023</v>
      </c>
      <c r="K143" s="2936"/>
      <c r="L143" s="2936"/>
      <c r="M143" s="2936"/>
      <c r="N143" s="2936">
        <v>2024</v>
      </c>
      <c r="O143" s="2936"/>
      <c r="P143" s="2936"/>
      <c r="Q143" s="2936"/>
      <c r="R143" s="2942">
        <f>J143</f>
        <v>2023</v>
      </c>
      <c r="S143" s="2944"/>
      <c r="T143" s="2942">
        <v>2024</v>
      </c>
      <c r="U143" s="2943"/>
      <c r="W143" s="2343">
        <f>R143</f>
        <v>2023</v>
      </c>
      <c r="X143" s="2344"/>
      <c r="Y143" s="2343">
        <f>T143</f>
        <v>2024</v>
      </c>
      <c r="Z143" s="2345"/>
    </row>
    <row r="144" spans="1:35" ht="21">
      <c r="A144" s="2934"/>
      <c r="B144" s="2936" t="s">
        <v>52</v>
      </c>
      <c r="C144" s="2936"/>
      <c r="D144" s="2936" t="s">
        <v>56</v>
      </c>
      <c r="E144" s="2936"/>
      <c r="F144" s="2936" t="s">
        <v>52</v>
      </c>
      <c r="G144" s="2936"/>
      <c r="H144" s="2936" t="s">
        <v>56</v>
      </c>
      <c r="I144" s="2936"/>
      <c r="J144" s="2936" t="s">
        <v>52</v>
      </c>
      <c r="K144" s="2936"/>
      <c r="L144" s="2936" t="s">
        <v>56</v>
      </c>
      <c r="M144" s="2936"/>
      <c r="N144" s="2936" t="s">
        <v>52</v>
      </c>
      <c r="O144" s="2936"/>
      <c r="P144" s="2936" t="s">
        <v>56</v>
      </c>
      <c r="Q144" s="2936"/>
      <c r="R144" s="2937" t="s">
        <v>52</v>
      </c>
      <c r="S144" s="2937" t="s">
        <v>56</v>
      </c>
      <c r="T144" s="2937" t="s">
        <v>52</v>
      </c>
      <c r="U144" s="2937" t="s">
        <v>56</v>
      </c>
      <c r="W144" s="2937" t="s">
        <v>52</v>
      </c>
      <c r="X144" s="2937" t="s">
        <v>56</v>
      </c>
      <c r="Y144" s="2937" t="s">
        <v>52</v>
      </c>
      <c r="Z144" s="2937" t="s">
        <v>56</v>
      </c>
    </row>
    <row r="145" spans="1:29" ht="21">
      <c r="A145" s="2935"/>
      <c r="B145" s="2225" t="s">
        <v>1072</v>
      </c>
      <c r="C145" s="2225" t="s">
        <v>1073</v>
      </c>
      <c r="D145" s="2225" t="s">
        <v>1074</v>
      </c>
      <c r="E145" s="2225" t="s">
        <v>1073</v>
      </c>
      <c r="F145" s="2225" t="s">
        <v>1072</v>
      </c>
      <c r="G145" s="2225" t="s">
        <v>1073</v>
      </c>
      <c r="H145" s="2225" t="s">
        <v>1074</v>
      </c>
      <c r="I145" s="2225" t="s">
        <v>1073</v>
      </c>
      <c r="J145" s="2225" t="s">
        <v>1072</v>
      </c>
      <c r="K145" s="2225" t="s">
        <v>1073</v>
      </c>
      <c r="L145" s="2225" t="s">
        <v>1074</v>
      </c>
      <c r="M145" s="2225" t="s">
        <v>1073</v>
      </c>
      <c r="N145" s="2225" t="s">
        <v>1072</v>
      </c>
      <c r="O145" s="2225" t="s">
        <v>1073</v>
      </c>
      <c r="P145" s="2225" t="s">
        <v>1074</v>
      </c>
      <c r="Q145" s="2225" t="s">
        <v>1073</v>
      </c>
      <c r="R145" s="2938"/>
      <c r="S145" s="2938"/>
      <c r="T145" s="2938"/>
      <c r="U145" s="2938"/>
      <c r="W145" s="2938"/>
      <c r="X145" s="2938"/>
      <c r="Y145" s="2938"/>
      <c r="Z145" s="2938"/>
    </row>
    <row r="146" spans="1:29" ht="18.75" customHeight="1">
      <c r="A146" s="2226" t="s">
        <v>6</v>
      </c>
      <c r="B146" s="2228">
        <v>0</v>
      </c>
      <c r="C146" s="2228">
        <v>2097</v>
      </c>
      <c r="D146" s="2228">
        <v>0</v>
      </c>
      <c r="E146" s="2228">
        <v>946</v>
      </c>
      <c r="F146" s="2228">
        <v>0</v>
      </c>
      <c r="G146" s="2228">
        <v>1347</v>
      </c>
      <c r="H146" s="2228">
        <v>0</v>
      </c>
      <c r="I146" s="2228">
        <v>1124</v>
      </c>
      <c r="J146" s="2228">
        <v>0</v>
      </c>
      <c r="K146" s="2228">
        <v>14162</v>
      </c>
      <c r="L146" s="2228">
        <v>0</v>
      </c>
      <c r="M146" s="2228">
        <v>10308</v>
      </c>
      <c r="N146" s="2228">
        <v>0</v>
      </c>
      <c r="O146" s="2228">
        <v>15509</v>
      </c>
      <c r="P146" s="2228">
        <v>0</v>
      </c>
      <c r="Q146" s="2228">
        <v>12108</v>
      </c>
      <c r="R146" s="2228">
        <f>J146+K146</f>
        <v>14162</v>
      </c>
      <c r="S146" s="2228">
        <f>L146+M146</f>
        <v>10308</v>
      </c>
      <c r="T146" s="2228">
        <f>N146+O146</f>
        <v>15509</v>
      </c>
      <c r="U146" s="2230">
        <f>P146+Q146</f>
        <v>12108</v>
      </c>
      <c r="W146" s="2228">
        <f t="shared" ref="W146:W155" si="94">K113-R146</f>
        <v>1024</v>
      </c>
      <c r="X146" s="2228">
        <f>K129-S146</f>
        <v>841</v>
      </c>
      <c r="Y146" s="2228">
        <f>O113-T146</f>
        <v>2056</v>
      </c>
      <c r="Z146" s="2228">
        <f>O129-U146</f>
        <v>1295</v>
      </c>
      <c r="AA146" s="106"/>
      <c r="AB146" s="2336"/>
      <c r="AC146" s="2336"/>
    </row>
    <row r="147" spans="1:29" ht="18">
      <c r="A147" s="2226" t="s">
        <v>7</v>
      </c>
      <c r="B147" s="2228">
        <v>205</v>
      </c>
      <c r="C147" s="2228">
        <v>324</v>
      </c>
      <c r="D147" s="2228">
        <v>100</v>
      </c>
      <c r="E147" s="2228">
        <v>110</v>
      </c>
      <c r="F147" s="2228">
        <v>186</v>
      </c>
      <c r="G147" s="2228">
        <v>213</v>
      </c>
      <c r="H147" s="2228">
        <v>120</v>
      </c>
      <c r="I147" s="2228">
        <v>130</v>
      </c>
      <c r="J147" s="2228">
        <v>1528</v>
      </c>
      <c r="K147" s="2228">
        <v>4544</v>
      </c>
      <c r="L147" s="2228">
        <v>1542</v>
      </c>
      <c r="M147" s="2228">
        <v>3628</v>
      </c>
      <c r="N147" s="2228">
        <v>2168</v>
      </c>
      <c r="O147" s="2228">
        <v>4047</v>
      </c>
      <c r="P147" s="2228">
        <v>1064</v>
      </c>
      <c r="Q147" s="2228">
        <v>3600</v>
      </c>
      <c r="R147" s="2228">
        <f t="shared" ref="R147:R155" si="95">J147+K147</f>
        <v>6072</v>
      </c>
      <c r="S147" s="2228">
        <f t="shared" ref="S147:S155" si="96">L147+M147</f>
        <v>5170</v>
      </c>
      <c r="T147" s="2228">
        <f t="shared" ref="T147:T155" si="97">N147+O147</f>
        <v>6215</v>
      </c>
      <c r="U147" s="2230">
        <f t="shared" ref="U147:U155" si="98">P147+Q147</f>
        <v>4664</v>
      </c>
      <c r="W147" s="2228">
        <f t="shared" si="94"/>
        <v>3080</v>
      </c>
      <c r="X147" s="2228">
        <f t="shared" ref="X147:X155" si="99">K130-S147</f>
        <v>1526</v>
      </c>
      <c r="Y147" s="2228">
        <f t="shared" ref="Y147:Y155" si="100">O114-T147</f>
        <v>2488</v>
      </c>
      <c r="Z147" s="2228">
        <f t="shared" ref="Z147:Z155" si="101">O130-U147</f>
        <v>970</v>
      </c>
      <c r="AA147" s="106"/>
      <c r="AB147" s="2336"/>
      <c r="AC147" s="2336"/>
    </row>
    <row r="148" spans="1:29" ht="18">
      <c r="A148" s="2226" t="s">
        <v>8</v>
      </c>
      <c r="B148" s="2228">
        <v>130</v>
      </c>
      <c r="C148" s="2228">
        <v>760</v>
      </c>
      <c r="D148" s="2228">
        <v>230</v>
      </c>
      <c r="E148" s="2228">
        <v>658</v>
      </c>
      <c r="F148" s="2228">
        <v>0</v>
      </c>
      <c r="G148" s="2228">
        <v>902</v>
      </c>
      <c r="H148" s="2228">
        <v>118</v>
      </c>
      <c r="I148" s="2228">
        <v>400</v>
      </c>
      <c r="J148" s="2228">
        <v>995</v>
      </c>
      <c r="K148" s="2228">
        <v>5975</v>
      </c>
      <c r="L148" s="2228">
        <v>1264</v>
      </c>
      <c r="M148" s="2228">
        <v>8848</v>
      </c>
      <c r="N148" s="2228">
        <v>0</v>
      </c>
      <c r="O148" s="2228">
        <v>7349</v>
      </c>
      <c r="P148" s="2228">
        <v>918</v>
      </c>
      <c r="Q148" s="2228">
        <v>6456</v>
      </c>
      <c r="R148" s="2228">
        <f t="shared" si="95"/>
        <v>6970</v>
      </c>
      <c r="S148" s="2228">
        <f t="shared" si="96"/>
        <v>10112</v>
      </c>
      <c r="T148" s="2228">
        <f t="shared" si="97"/>
        <v>7349</v>
      </c>
      <c r="U148" s="2230">
        <f t="shared" si="98"/>
        <v>7374</v>
      </c>
      <c r="W148" s="2228">
        <f t="shared" si="94"/>
        <v>1272</v>
      </c>
      <c r="X148" s="2228">
        <f t="shared" si="99"/>
        <v>1218</v>
      </c>
      <c r="Y148" s="2228">
        <f t="shared" si="100"/>
        <v>1311</v>
      </c>
      <c r="Z148" s="2228">
        <f t="shared" si="101"/>
        <v>981</v>
      </c>
      <c r="AA148" s="106"/>
      <c r="AB148" s="2336"/>
      <c r="AC148" s="2336"/>
    </row>
    <row r="149" spans="1:29" ht="18">
      <c r="A149" s="2226" t="s">
        <v>4</v>
      </c>
      <c r="B149" s="2263">
        <v>134</v>
      </c>
      <c r="C149" s="2263">
        <v>748</v>
      </c>
      <c r="D149" s="2263">
        <v>321</v>
      </c>
      <c r="E149" s="2263">
        <v>544</v>
      </c>
      <c r="F149" s="2263">
        <v>83</v>
      </c>
      <c r="G149" s="2263">
        <v>1509</v>
      </c>
      <c r="H149" s="2263">
        <v>177</v>
      </c>
      <c r="I149" s="2263">
        <v>948</v>
      </c>
      <c r="J149" s="2263">
        <v>850</v>
      </c>
      <c r="K149" s="2263">
        <v>6065</v>
      </c>
      <c r="L149" s="2263">
        <v>3302</v>
      </c>
      <c r="M149" s="2263">
        <v>4077</v>
      </c>
      <c r="N149" s="2263">
        <v>300</v>
      </c>
      <c r="O149" s="2263">
        <v>10848</v>
      </c>
      <c r="P149" s="2263">
        <v>1339</v>
      </c>
      <c r="Q149" s="2263">
        <v>8132</v>
      </c>
      <c r="R149" s="2228">
        <f t="shared" si="95"/>
        <v>6915</v>
      </c>
      <c r="S149" s="2228">
        <f t="shared" si="96"/>
        <v>7379</v>
      </c>
      <c r="T149" s="2228">
        <f t="shared" si="97"/>
        <v>11148</v>
      </c>
      <c r="U149" s="2230">
        <f t="shared" si="98"/>
        <v>9471</v>
      </c>
      <c r="W149" s="2228">
        <f t="shared" si="94"/>
        <v>6769</v>
      </c>
      <c r="X149" s="2228">
        <f t="shared" si="99"/>
        <v>2278</v>
      </c>
      <c r="Y149" s="2228">
        <f t="shared" si="100"/>
        <v>4420</v>
      </c>
      <c r="Z149" s="2228">
        <f t="shared" si="101"/>
        <v>2830</v>
      </c>
      <c r="AA149" s="106"/>
      <c r="AB149" s="2336"/>
      <c r="AC149" s="2336"/>
    </row>
    <row r="150" spans="1:29" ht="18">
      <c r="A150" s="2226" t="s">
        <v>3</v>
      </c>
      <c r="B150" s="2263"/>
      <c r="C150" s="2263"/>
      <c r="D150" s="2263"/>
      <c r="E150" s="2263"/>
      <c r="F150" s="2263"/>
      <c r="G150" s="2263"/>
      <c r="H150" s="2263"/>
      <c r="I150" s="2263"/>
      <c r="J150" s="2263"/>
      <c r="K150" s="2263"/>
      <c r="L150" s="2263"/>
      <c r="M150" s="2263"/>
      <c r="N150" s="2263"/>
      <c r="O150" s="2263"/>
      <c r="P150" s="2263"/>
      <c r="Q150" s="2263"/>
      <c r="R150" s="2228">
        <f t="shared" si="95"/>
        <v>0</v>
      </c>
      <c r="S150" s="2228">
        <f t="shared" si="96"/>
        <v>0</v>
      </c>
      <c r="T150" s="2228">
        <f t="shared" si="97"/>
        <v>0</v>
      </c>
      <c r="U150" s="2230">
        <f t="shared" si="98"/>
        <v>0</v>
      </c>
      <c r="W150" s="2228">
        <f t="shared" si="94"/>
        <v>5419</v>
      </c>
      <c r="X150" s="2228">
        <f t="shared" si="99"/>
        <v>4149</v>
      </c>
      <c r="Y150" s="2228">
        <f t="shared" si="100"/>
        <v>5498</v>
      </c>
      <c r="Z150" s="2228">
        <f t="shared" si="101"/>
        <v>3565</v>
      </c>
      <c r="AA150" s="106"/>
      <c r="AB150" s="2336"/>
      <c r="AC150" s="2336"/>
    </row>
    <row r="151" spans="1:29" ht="18">
      <c r="A151" s="2226" t="s">
        <v>397</v>
      </c>
      <c r="B151" s="2228"/>
      <c r="C151" s="2228">
        <v>1387</v>
      </c>
      <c r="D151" s="2228">
        <v>0</v>
      </c>
      <c r="E151" s="2228">
        <v>1070</v>
      </c>
      <c r="F151" s="2228"/>
      <c r="G151" s="2228">
        <v>678</v>
      </c>
      <c r="H151" s="2228">
        <v>0</v>
      </c>
      <c r="I151" s="2228">
        <v>468</v>
      </c>
      <c r="J151" s="2228"/>
      <c r="K151" s="2228">
        <v>6786</v>
      </c>
      <c r="L151" s="2228">
        <v>0</v>
      </c>
      <c r="M151" s="2228">
        <v>6411</v>
      </c>
      <c r="N151" s="2228"/>
      <c r="O151" s="2228">
        <v>4715</v>
      </c>
      <c r="P151" s="2228">
        <v>0</v>
      </c>
      <c r="Q151" s="2228">
        <v>4773</v>
      </c>
      <c r="R151" s="2228">
        <f t="shared" si="95"/>
        <v>6786</v>
      </c>
      <c r="S151" s="2228">
        <f t="shared" si="96"/>
        <v>6411</v>
      </c>
      <c r="T151" s="2228">
        <f t="shared" si="97"/>
        <v>4715</v>
      </c>
      <c r="U151" s="2230">
        <f t="shared" si="98"/>
        <v>4773</v>
      </c>
      <c r="W151" s="2228">
        <f t="shared" si="94"/>
        <v>2092</v>
      </c>
      <c r="X151" s="2228">
        <f t="shared" si="99"/>
        <v>1237</v>
      </c>
      <c r="Y151" s="2228">
        <f t="shared" si="100"/>
        <v>1689</v>
      </c>
      <c r="Z151" s="2228">
        <f t="shared" si="101"/>
        <v>1234</v>
      </c>
      <c r="AA151" s="106"/>
      <c r="AB151" s="2336"/>
      <c r="AC151" s="2336"/>
    </row>
    <row r="152" spans="1:29" ht="18">
      <c r="A152" s="2226" t="s">
        <v>399</v>
      </c>
      <c r="B152" s="2228">
        <v>10</v>
      </c>
      <c r="C152" s="2228">
        <v>783</v>
      </c>
      <c r="D152" s="2228">
        <v>163</v>
      </c>
      <c r="E152" s="2228">
        <v>758</v>
      </c>
      <c r="F152" s="2228">
        <v>0</v>
      </c>
      <c r="G152" s="2228">
        <v>1080</v>
      </c>
      <c r="H152" s="2228">
        <v>0</v>
      </c>
      <c r="I152" s="2228">
        <v>1257</v>
      </c>
      <c r="J152" s="2228">
        <v>80</v>
      </c>
      <c r="K152" s="2228">
        <v>8530</v>
      </c>
      <c r="L152" s="2228">
        <v>537</v>
      </c>
      <c r="M152" s="2228">
        <v>8984</v>
      </c>
      <c r="N152" s="2228">
        <v>0</v>
      </c>
      <c r="O152" s="2228">
        <v>9989</v>
      </c>
      <c r="P152" s="2228">
        <v>0</v>
      </c>
      <c r="Q152" s="2228">
        <v>9413</v>
      </c>
      <c r="R152" s="2228">
        <f t="shared" si="95"/>
        <v>8610</v>
      </c>
      <c r="S152" s="2228">
        <f t="shared" si="96"/>
        <v>9521</v>
      </c>
      <c r="T152" s="2228">
        <f t="shared" si="97"/>
        <v>9989</v>
      </c>
      <c r="U152" s="2230">
        <f t="shared" si="98"/>
        <v>9413</v>
      </c>
      <c r="W152" s="2228">
        <f t="shared" si="94"/>
        <v>2657</v>
      </c>
      <c r="X152" s="2228">
        <f t="shared" si="99"/>
        <v>469</v>
      </c>
      <c r="Y152" s="2228">
        <f t="shared" si="100"/>
        <v>2945</v>
      </c>
      <c r="Z152" s="2228">
        <f t="shared" si="101"/>
        <v>1266</v>
      </c>
      <c r="AA152" s="106"/>
      <c r="AB152" s="2336"/>
      <c r="AC152" s="2336"/>
    </row>
    <row r="153" spans="1:29" ht="18">
      <c r="A153" s="2226" t="s">
        <v>883</v>
      </c>
      <c r="B153" s="2263">
        <v>127</v>
      </c>
      <c r="C153" s="2263">
        <v>773</v>
      </c>
      <c r="D153" s="2263">
        <v>90</v>
      </c>
      <c r="E153" s="2263">
        <v>307</v>
      </c>
      <c r="F153" s="2263">
        <v>36</v>
      </c>
      <c r="G153" s="2263">
        <v>915</v>
      </c>
      <c r="H153" s="2263">
        <v>58</v>
      </c>
      <c r="I153" s="2263">
        <v>406</v>
      </c>
      <c r="J153" s="2263">
        <v>451</v>
      </c>
      <c r="K153" s="2263">
        <v>5780</v>
      </c>
      <c r="L153" s="2263">
        <v>1740</v>
      </c>
      <c r="M153" s="2263">
        <v>4229</v>
      </c>
      <c r="N153" s="2263">
        <v>612</v>
      </c>
      <c r="O153" s="2263">
        <v>4865</v>
      </c>
      <c r="P153" s="2263">
        <v>1545</v>
      </c>
      <c r="Q153" s="2263">
        <v>2785</v>
      </c>
      <c r="R153" s="2228">
        <f t="shared" si="95"/>
        <v>6231</v>
      </c>
      <c r="S153" s="2228">
        <f t="shared" si="96"/>
        <v>5969</v>
      </c>
      <c r="T153" s="2228">
        <f t="shared" si="97"/>
        <v>5477</v>
      </c>
      <c r="U153" s="2230">
        <f t="shared" si="98"/>
        <v>4330</v>
      </c>
      <c r="W153" s="2228">
        <f t="shared" si="94"/>
        <v>940</v>
      </c>
      <c r="X153" s="2228">
        <f t="shared" si="99"/>
        <v>331</v>
      </c>
      <c r="Y153" s="2228">
        <f t="shared" si="100"/>
        <v>427</v>
      </c>
      <c r="Z153" s="2228">
        <f t="shared" si="101"/>
        <v>354</v>
      </c>
      <c r="AA153" s="106"/>
      <c r="AB153" s="2336"/>
      <c r="AC153" s="2336"/>
    </row>
    <row r="154" spans="1:29" ht="18">
      <c r="A154" s="2226" t="s">
        <v>884</v>
      </c>
      <c r="B154" s="2263">
        <v>79</v>
      </c>
      <c r="C154" s="2263">
        <v>789</v>
      </c>
      <c r="D154" s="2263">
        <v>505</v>
      </c>
      <c r="E154" s="2263">
        <v>62</v>
      </c>
      <c r="F154" s="2263">
        <v>299</v>
      </c>
      <c r="G154" s="2263">
        <v>908</v>
      </c>
      <c r="H154" s="2263">
        <v>538</v>
      </c>
      <c r="I154" s="2263">
        <v>83</v>
      </c>
      <c r="J154" s="2263">
        <v>1040</v>
      </c>
      <c r="K154" s="2263">
        <v>9049</v>
      </c>
      <c r="L154" s="2263">
        <v>6590</v>
      </c>
      <c r="M154" s="2263">
        <v>4754</v>
      </c>
      <c r="N154" s="2263">
        <v>1069</v>
      </c>
      <c r="O154" s="2263">
        <v>6320</v>
      </c>
      <c r="P154" s="2263">
        <v>4950</v>
      </c>
      <c r="Q154" s="2263">
        <v>2696</v>
      </c>
      <c r="R154" s="2228">
        <f t="shared" si="95"/>
        <v>10089</v>
      </c>
      <c r="S154" s="2228">
        <f t="shared" si="96"/>
        <v>11344</v>
      </c>
      <c r="T154" s="2228">
        <f t="shared" si="97"/>
        <v>7389</v>
      </c>
      <c r="U154" s="2230">
        <f t="shared" si="98"/>
        <v>7646</v>
      </c>
      <c r="W154" s="2228">
        <f t="shared" si="94"/>
        <v>1134</v>
      </c>
      <c r="X154" s="2228">
        <f t="shared" si="99"/>
        <v>420</v>
      </c>
      <c r="Y154" s="2228">
        <f t="shared" si="100"/>
        <v>1488</v>
      </c>
      <c r="Z154" s="2228">
        <f t="shared" si="101"/>
        <v>1286</v>
      </c>
      <c r="AA154" s="106"/>
      <c r="AB154" s="2336"/>
      <c r="AC154" s="2336"/>
    </row>
    <row r="155" spans="1:29" ht="18">
      <c r="A155" s="2226" t="s">
        <v>885</v>
      </c>
      <c r="B155" s="2228"/>
      <c r="C155" s="2228"/>
      <c r="D155" s="2228"/>
      <c r="E155" s="2228"/>
      <c r="F155" s="2228"/>
      <c r="G155" s="2228"/>
      <c r="H155" s="2228"/>
      <c r="I155" s="2228"/>
      <c r="J155" s="2228"/>
      <c r="K155" s="2228"/>
      <c r="L155" s="2228"/>
      <c r="M155" s="2228"/>
      <c r="N155" s="2228"/>
      <c r="O155" s="2228"/>
      <c r="P155" s="2228"/>
      <c r="Q155" s="2228"/>
      <c r="R155" s="2228">
        <f t="shared" si="95"/>
        <v>0</v>
      </c>
      <c r="S155" s="2228">
        <f t="shared" si="96"/>
        <v>0</v>
      </c>
      <c r="T155" s="2228">
        <f t="shared" si="97"/>
        <v>0</v>
      </c>
      <c r="U155" s="2230">
        <f t="shared" si="98"/>
        <v>0</v>
      </c>
      <c r="W155" s="2228">
        <f t="shared" si="94"/>
        <v>4626</v>
      </c>
      <c r="X155" s="2228">
        <f t="shared" si="99"/>
        <v>5828</v>
      </c>
      <c r="Y155" s="2228">
        <f t="shared" si="100"/>
        <v>5141</v>
      </c>
      <c r="Z155" s="2228">
        <f t="shared" si="101"/>
        <v>4516</v>
      </c>
      <c r="AA155" s="106"/>
      <c r="AB155" s="2336"/>
      <c r="AC155" s="2336"/>
    </row>
    <row r="156" spans="1:29" ht="18">
      <c r="A156" s="2227" t="s">
        <v>20</v>
      </c>
      <c r="B156" s="2229">
        <f>SUM(B146:B155)</f>
        <v>685</v>
      </c>
      <c r="C156" s="2229">
        <f t="shared" ref="C156:Q156" si="102">SUM(C146:C155)</f>
        <v>7661</v>
      </c>
      <c r="D156" s="2229">
        <f t="shared" si="102"/>
        <v>1409</v>
      </c>
      <c r="E156" s="2229">
        <f t="shared" si="102"/>
        <v>4455</v>
      </c>
      <c r="F156" s="2229">
        <f t="shared" si="102"/>
        <v>604</v>
      </c>
      <c r="G156" s="2229">
        <f t="shared" si="102"/>
        <v>7552</v>
      </c>
      <c r="H156" s="2229">
        <f t="shared" si="102"/>
        <v>1011</v>
      </c>
      <c r="I156" s="2229">
        <f t="shared" si="102"/>
        <v>4816</v>
      </c>
      <c r="J156" s="2229">
        <f t="shared" si="102"/>
        <v>4944</v>
      </c>
      <c r="K156" s="2229">
        <f t="shared" si="102"/>
        <v>60891</v>
      </c>
      <c r="L156" s="2229">
        <f t="shared" si="102"/>
        <v>14975</v>
      </c>
      <c r="M156" s="2229">
        <f t="shared" si="102"/>
        <v>51239</v>
      </c>
      <c r="N156" s="2229">
        <f t="shared" si="102"/>
        <v>4149</v>
      </c>
      <c r="O156" s="2229">
        <f t="shared" si="102"/>
        <v>63642</v>
      </c>
      <c r="P156" s="2229">
        <f t="shared" si="102"/>
        <v>9816</v>
      </c>
      <c r="Q156" s="2229">
        <f t="shared" si="102"/>
        <v>49963</v>
      </c>
      <c r="R156" s="2229">
        <f>SUM(R146:R155)</f>
        <v>65835</v>
      </c>
      <c r="S156" s="2229">
        <f>SUM(S146:S155)</f>
        <v>66214</v>
      </c>
      <c r="T156" s="2229">
        <f>SUM(T146:T155)</f>
        <v>67791</v>
      </c>
      <c r="U156" s="2231">
        <f>SUM(U146:U155)</f>
        <v>59779</v>
      </c>
      <c r="W156" s="2229">
        <f>SUM(W146:W155)</f>
        <v>29013</v>
      </c>
      <c r="X156" s="2229">
        <f>SUM(X146:X155)</f>
        <v>18297</v>
      </c>
      <c r="Y156" s="2229">
        <f>SUM(Y146:Y155)</f>
        <v>27463</v>
      </c>
      <c r="Z156" s="2229">
        <f>SUM(Z146:Z155)</f>
        <v>18297</v>
      </c>
      <c r="AA156" s="106"/>
      <c r="AB156" s="2336"/>
      <c r="AC156" s="2336"/>
    </row>
    <row r="162" spans="15:16">
      <c r="O162" s="87">
        <f>17960.07+744.7</f>
        <v>18704.77</v>
      </c>
    </row>
    <row r="163" spans="15:16">
      <c r="O163" s="87">
        <f>1186.29+635.42</f>
        <v>1821.71</v>
      </c>
    </row>
    <row r="164" spans="15:16">
      <c r="O164" s="87">
        <f>O163+O162</f>
        <v>20526.48</v>
      </c>
      <c r="P164" s="87">
        <v>347.7</v>
      </c>
    </row>
    <row r="165" spans="15:16">
      <c r="P165" s="87">
        <f>P164+O164</f>
        <v>20874.18</v>
      </c>
    </row>
  </sheetData>
  <mergeCells count="114">
    <mergeCell ref="Z144:Z145"/>
    <mergeCell ref="R142:U142"/>
    <mergeCell ref="T143:U143"/>
    <mergeCell ref="T144:T145"/>
    <mergeCell ref="U144:U145"/>
    <mergeCell ref="W144:W145"/>
    <mergeCell ref="X144:X145"/>
    <mergeCell ref="Y144:Y145"/>
    <mergeCell ref="R143:S143"/>
    <mergeCell ref="R144:R145"/>
    <mergeCell ref="S144:S145"/>
    <mergeCell ref="B142:I142"/>
    <mergeCell ref="J142:Q142"/>
    <mergeCell ref="A142:A145"/>
    <mergeCell ref="J143:M143"/>
    <mergeCell ref="N143:Q143"/>
    <mergeCell ref="J144:K144"/>
    <mergeCell ref="L144:M144"/>
    <mergeCell ref="N144:O144"/>
    <mergeCell ref="P144:Q144"/>
    <mergeCell ref="B143:E143"/>
    <mergeCell ref="F143:I143"/>
    <mergeCell ref="B144:C144"/>
    <mergeCell ref="D144:E144"/>
    <mergeCell ref="F144:G144"/>
    <mergeCell ref="H144:I144"/>
    <mergeCell ref="A2:J2"/>
    <mergeCell ref="B3:D3"/>
    <mergeCell ref="E3:G3"/>
    <mergeCell ref="H3:J3"/>
    <mergeCell ref="A18:J18"/>
    <mergeCell ref="B19:D19"/>
    <mergeCell ref="E19:G19"/>
    <mergeCell ref="H19:J19"/>
    <mergeCell ref="B66:U66"/>
    <mergeCell ref="B34:U34"/>
    <mergeCell ref="B35:I35"/>
    <mergeCell ref="T35:T37"/>
    <mergeCell ref="B36:E36"/>
    <mergeCell ref="U35:U37"/>
    <mergeCell ref="S35:S37"/>
    <mergeCell ref="U51:U53"/>
    <mergeCell ref="F52:I52"/>
    <mergeCell ref="K36:N36"/>
    <mergeCell ref="O36:R36"/>
    <mergeCell ref="F36:I36"/>
    <mergeCell ref="J35:J37"/>
    <mergeCell ref="K35:R35"/>
    <mergeCell ref="B50:U50"/>
    <mergeCell ref="O68:S68"/>
    <mergeCell ref="K51:R51"/>
    <mergeCell ref="B52:E52"/>
    <mergeCell ref="B125:U125"/>
    <mergeCell ref="B126:I126"/>
    <mergeCell ref="K126:R126"/>
    <mergeCell ref="B127:E127"/>
    <mergeCell ref="F127:I127"/>
    <mergeCell ref="K127:N127"/>
    <mergeCell ref="O127:R127"/>
    <mergeCell ref="S51:S53"/>
    <mergeCell ref="T51:T53"/>
    <mergeCell ref="K52:N52"/>
    <mergeCell ref="O52:R52"/>
    <mergeCell ref="J51:J53"/>
    <mergeCell ref="B51:I51"/>
    <mergeCell ref="T67:T69"/>
    <mergeCell ref="U67:U69"/>
    <mergeCell ref="X88:AA88"/>
    <mergeCell ref="B86:U86"/>
    <mergeCell ref="K87:S87"/>
    <mergeCell ref="U87:U89"/>
    <mergeCell ref="B88:E88"/>
    <mergeCell ref="F88:I88"/>
    <mergeCell ref="K88:N88"/>
    <mergeCell ref="O88:S88"/>
    <mergeCell ref="T87:T89"/>
    <mergeCell ref="B87:J87"/>
    <mergeCell ref="AB88:AE88"/>
    <mergeCell ref="AF88:AI88"/>
    <mergeCell ref="X87:AI87"/>
    <mergeCell ref="X67:AI67"/>
    <mergeCell ref="X68:AA68"/>
    <mergeCell ref="AB68:AE68"/>
    <mergeCell ref="AF68:AI68"/>
    <mergeCell ref="A110:A112"/>
    <mergeCell ref="T110:T112"/>
    <mergeCell ref="B111:E111"/>
    <mergeCell ref="F111:I111"/>
    <mergeCell ref="S110:S112"/>
    <mergeCell ref="J111:J112"/>
    <mergeCell ref="U110:U112"/>
    <mergeCell ref="B110:J110"/>
    <mergeCell ref="K110:R110"/>
    <mergeCell ref="K111:N111"/>
    <mergeCell ref="O111:R111"/>
    <mergeCell ref="B109:U109"/>
    <mergeCell ref="K67:S67"/>
    <mergeCell ref="B67:J67"/>
    <mergeCell ref="B68:E68"/>
    <mergeCell ref="F68:I68"/>
    <mergeCell ref="K68:N68"/>
    <mergeCell ref="A126:A128"/>
    <mergeCell ref="S126:S128"/>
    <mergeCell ref="T126:T128"/>
    <mergeCell ref="J127:J128"/>
    <mergeCell ref="U126:U128"/>
    <mergeCell ref="X127:AA127"/>
    <mergeCell ref="AB127:AE127"/>
    <mergeCell ref="AF127:AI127"/>
    <mergeCell ref="X110:AI110"/>
    <mergeCell ref="X111:AA111"/>
    <mergeCell ref="AB111:AE111"/>
    <mergeCell ref="AF111:AI111"/>
    <mergeCell ref="X126:AI126"/>
  </mergeCells>
  <conditionalFormatting sqref="U38:U48">
    <cfRule type="cellIs" dxfId="81" priority="3" operator="greaterThan">
      <formula>50</formula>
    </cfRule>
    <cfRule type="cellIs" dxfId="80" priority="16" operator="lessThan">
      <formula>$A$1</formula>
    </cfRule>
    <cfRule type="cellIs" dxfId="79" priority="17" operator="greaterThanOrEqual">
      <formula>$A$1</formula>
    </cfRule>
  </conditionalFormatting>
  <conditionalFormatting sqref="U54:U64">
    <cfRule type="cellIs" dxfId="78" priority="2" operator="greaterThan">
      <formula>50</formula>
    </cfRule>
    <cfRule type="cellIs" dxfId="77" priority="14" operator="lessThan">
      <formula>$A$1</formula>
    </cfRule>
    <cfRule type="cellIs" dxfId="76" priority="15" operator="greaterThanOrEqual">
      <formula>$A$1</formula>
    </cfRule>
  </conditionalFormatting>
  <conditionalFormatting sqref="U113:U123 U129:U139">
    <cfRule type="cellIs" dxfId="75" priority="1" operator="greaterThan">
      <formula>50</formula>
    </cfRule>
  </conditionalFormatting>
  <conditionalFormatting sqref="U113:U123">
    <cfRule type="cellIs" dxfId="74" priority="12" operator="lessThan">
      <formula>$A$1</formula>
    </cfRule>
    <cfRule type="cellIs" dxfId="73" priority="13" operator="greaterThanOrEqual">
      <formula>$A$1</formula>
    </cfRule>
  </conditionalFormatting>
  <conditionalFormatting sqref="U129:U139">
    <cfRule type="cellIs" dxfId="72" priority="10" operator="lessThan">
      <formula>$A$1</formula>
    </cfRule>
    <cfRule type="cellIs" dxfId="71" priority="11" operator="greaterThanOrEqual">
      <formula>$A$1</formula>
    </cfRule>
  </conditionalFormatting>
  <conditionalFormatting sqref="AF113:AI123">
    <cfRule type="cellIs" dxfId="70" priority="8" operator="lessThan">
      <formula>$A$1</formula>
    </cfRule>
    <cfRule type="cellIs" dxfId="69" priority="9" operator="greaterThanOrEqual">
      <formula>$A$1</formula>
    </cfRule>
  </conditionalFormatting>
  <conditionalFormatting sqref="AF129:AI139">
    <cfRule type="cellIs" dxfId="68" priority="4" operator="lessThan">
      <formula>$A$1</formula>
    </cfRule>
    <cfRule type="cellIs" dxfId="67" priority="5" operator="greaterThanOrEqual">
      <formula>$A$1</formula>
    </cfRule>
  </conditionalFormatting>
  <pageMargins left="0.70866141732283472" right="0.70866141732283472" top="0.74803149606299213" bottom="0.74803149606299213" header="0.31496062992125984" footer="0.31496062992125984"/>
  <pageSetup paperSize="9" scale="45" orientation="landscape" r:id="rId1"/>
  <colBreaks count="1" manualBreakCount="1">
    <brk id="21" max="1048575" man="1"/>
  </colBreaks>
  <drawing r:id="rId2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500-000000000000}">
  <sheetPr>
    <tabColor rgb="FF00B050"/>
  </sheetPr>
  <dimension ref="A2:AC88"/>
  <sheetViews>
    <sheetView showGridLines="0" workbookViewId="0">
      <selection activeCell="Y87" sqref="Y87"/>
    </sheetView>
  </sheetViews>
  <sheetFormatPr baseColWidth="10" defaultColWidth="11.44140625" defaultRowHeight="14.4"/>
  <cols>
    <col min="1" max="16384" width="11.44140625" style="1657"/>
  </cols>
  <sheetData>
    <row r="2" spans="1:28" s="1533" customFormat="1" ht="21" customHeight="1">
      <c r="A2" s="1531" t="s">
        <v>781</v>
      </c>
      <c r="B2" s="1532"/>
      <c r="C2" s="1532"/>
      <c r="D2" s="1532"/>
      <c r="E2" s="1532"/>
      <c r="F2" s="1532"/>
      <c r="G2" s="1532"/>
      <c r="H2" s="1532"/>
      <c r="I2" s="1532"/>
      <c r="J2" s="1532"/>
      <c r="K2" s="1532"/>
      <c r="L2" s="1532"/>
      <c r="M2" s="1532"/>
      <c r="N2" s="1532"/>
      <c r="O2" s="1532"/>
      <c r="P2" s="1822">
        <f>P5+P6</f>
        <v>933.22061943148071</v>
      </c>
      <c r="Q2" s="1822">
        <f t="shared" ref="Q2:Z2" si="0">Q5+Q6</f>
        <v>15</v>
      </c>
      <c r="R2" s="1822">
        <f t="shared" si="0"/>
        <v>12072.190496393721</v>
      </c>
      <c r="S2" s="1822">
        <f t="shared" si="0"/>
        <v>2029.9804836656767</v>
      </c>
      <c r="T2" s="1822">
        <f t="shared" si="0"/>
        <v>497.91599490878235</v>
      </c>
      <c r="U2" s="1822">
        <f t="shared" si="0"/>
        <v>13.386084005091217</v>
      </c>
      <c r="V2" s="1822">
        <f t="shared" si="0"/>
        <v>589.90878235044545</v>
      </c>
      <c r="W2" s="1822">
        <f t="shared" si="0"/>
        <v>4</v>
      </c>
      <c r="X2" s="1822">
        <f t="shared" si="0"/>
        <v>1208.51506151888</v>
      </c>
      <c r="Y2" s="1822">
        <f t="shared" si="0"/>
        <v>1463.8824777259229</v>
      </c>
      <c r="Z2" s="1822">
        <f t="shared" si="0"/>
        <v>18828</v>
      </c>
      <c r="AA2" s="1532"/>
      <c r="AB2" s="1532"/>
    </row>
    <row r="3" spans="1:28" s="1533" customFormat="1">
      <c r="A3" s="1532"/>
      <c r="B3" s="1532"/>
      <c r="C3" s="1532"/>
      <c r="D3" s="1532"/>
      <c r="E3" s="1532"/>
      <c r="F3" s="1532"/>
      <c r="G3" s="1532"/>
      <c r="H3" s="1532"/>
      <c r="I3" s="1532"/>
      <c r="J3" s="1532"/>
      <c r="K3" s="1532"/>
      <c r="L3" s="1532"/>
      <c r="M3" s="1532"/>
      <c r="N3" s="1532"/>
      <c r="O3" s="1532"/>
      <c r="P3" s="1822">
        <f>P7+P8</f>
        <v>745.13227513227514</v>
      </c>
      <c r="Q3" s="1822">
        <f t="shared" ref="Q3:Z3" si="1">Q7+Q8</f>
        <v>0</v>
      </c>
      <c r="R3" s="1822">
        <f t="shared" si="1"/>
        <v>3181.936507936508</v>
      </c>
      <c r="S3" s="1822">
        <f t="shared" si="1"/>
        <v>844.03174603174602</v>
      </c>
      <c r="T3" s="1822">
        <f t="shared" si="1"/>
        <v>245.63492063492063</v>
      </c>
      <c r="U3" s="1822">
        <f t="shared" si="1"/>
        <v>0</v>
      </c>
      <c r="V3" s="1822">
        <f t="shared" si="1"/>
        <v>358.11640211640213</v>
      </c>
      <c r="W3" s="1822">
        <f t="shared" si="1"/>
        <v>13</v>
      </c>
      <c r="X3" s="1822">
        <f t="shared" si="1"/>
        <v>280.91005291005291</v>
      </c>
      <c r="Y3" s="1822">
        <f t="shared" si="1"/>
        <v>942.23809523809518</v>
      </c>
      <c r="Z3" s="1822">
        <f t="shared" si="1"/>
        <v>6611.0000000000009</v>
      </c>
      <c r="AA3" s="1532"/>
      <c r="AB3" s="1532"/>
    </row>
    <row r="4" spans="1:28" s="1533" customFormat="1" ht="51" customHeight="1">
      <c r="A4" s="1529" t="s">
        <v>767</v>
      </c>
      <c r="B4" s="1534" t="s">
        <v>768</v>
      </c>
      <c r="C4" s="1534" t="s">
        <v>769</v>
      </c>
      <c r="D4" s="1534" t="s">
        <v>770</v>
      </c>
      <c r="E4" s="1534" t="s">
        <v>771</v>
      </c>
      <c r="F4" s="1534" t="s">
        <v>772</v>
      </c>
      <c r="G4" s="1534" t="s">
        <v>773</v>
      </c>
      <c r="H4" s="1534" t="s">
        <v>774</v>
      </c>
      <c r="I4" s="1534" t="s">
        <v>775</v>
      </c>
      <c r="J4" s="1534" t="s">
        <v>776</v>
      </c>
      <c r="K4" s="1534" t="s">
        <v>777</v>
      </c>
      <c r="L4" s="1534" t="s">
        <v>778</v>
      </c>
      <c r="M4" s="1535" t="s">
        <v>779</v>
      </c>
      <c r="N4" s="1536"/>
      <c r="O4" s="1529" t="s">
        <v>780</v>
      </c>
      <c r="P4" s="1534" t="s">
        <v>768</v>
      </c>
      <c r="Q4" s="1534" t="s">
        <v>769</v>
      </c>
      <c r="R4" s="1534" t="s">
        <v>770</v>
      </c>
      <c r="S4" s="1534" t="s">
        <v>771</v>
      </c>
      <c r="T4" s="1534" t="s">
        <v>772</v>
      </c>
      <c r="U4" s="1534" t="s">
        <v>773</v>
      </c>
      <c r="V4" s="1534" t="s">
        <v>774</v>
      </c>
      <c r="W4" s="1534" t="s">
        <v>775</v>
      </c>
      <c r="X4" s="1534" t="s">
        <v>776</v>
      </c>
      <c r="Y4" s="1534" t="s">
        <v>777</v>
      </c>
      <c r="Z4" s="1534" t="s">
        <v>778</v>
      </c>
      <c r="AA4" s="1535" t="s">
        <v>779</v>
      </c>
      <c r="AB4" s="1532"/>
    </row>
    <row r="5" spans="1:28" s="1533" customFormat="1">
      <c r="A5" s="1530" t="s">
        <v>52</v>
      </c>
      <c r="B5" s="1537">
        <f>B13+B21+B29+B37+B45+B53+B61+B69+B77+B85</f>
        <v>40</v>
      </c>
      <c r="C5" s="1537">
        <f t="shared" ref="C5:J5" si="2">C13+C21+C29+C37+C45+C53+C61+C69+C77+C85</f>
        <v>4</v>
      </c>
      <c r="D5" s="1537">
        <f t="shared" si="2"/>
        <v>988</v>
      </c>
      <c r="E5" s="1537">
        <f t="shared" si="2"/>
        <v>230</v>
      </c>
      <c r="F5" s="1537">
        <f t="shared" si="2"/>
        <v>24</v>
      </c>
      <c r="G5" s="1537">
        <f t="shared" si="2"/>
        <v>1</v>
      </c>
      <c r="H5" s="1537">
        <f t="shared" si="2"/>
        <v>132</v>
      </c>
      <c r="I5" s="1537">
        <f t="shared" si="2"/>
        <v>1</v>
      </c>
      <c r="J5" s="1537">
        <f t="shared" si="2"/>
        <v>44</v>
      </c>
      <c r="K5" s="1537">
        <f>K13+K21+K29+K37+K45+K53+K61+K69+K77+K85</f>
        <v>150</v>
      </c>
      <c r="L5" s="1537">
        <f>SUM(B5:K5)</f>
        <v>1614</v>
      </c>
      <c r="M5" s="1538">
        <f>élec!BC94-'Motif Résiliation'!L5</f>
        <v>0</v>
      </c>
      <c r="N5" s="1532">
        <f>L5+L6</f>
        <v>1622</v>
      </c>
      <c r="O5" s="1530" t="s">
        <v>52</v>
      </c>
      <c r="P5" s="1537">
        <f>P13+P21+P29+P37+P45+P53+P61+P69+P77+P85</f>
        <v>933.22061943148071</v>
      </c>
      <c r="Q5" s="1537">
        <f t="shared" ref="Q5:Y5" si="3">Q13+Q21+Q29+Q37+Q45+Q53+Q61+Q69+Q77+Q85</f>
        <v>15</v>
      </c>
      <c r="R5" s="1537">
        <f t="shared" si="3"/>
        <v>12064.190496393721</v>
      </c>
      <c r="S5" s="1786">
        <f t="shared" si="3"/>
        <v>1985.9804836656767</v>
      </c>
      <c r="T5" s="1537">
        <f t="shared" si="3"/>
        <v>495.91599490878235</v>
      </c>
      <c r="U5" s="1537">
        <f t="shared" si="3"/>
        <v>13.386084005091217</v>
      </c>
      <c r="V5" s="1537">
        <f t="shared" si="3"/>
        <v>589.90878235044545</v>
      </c>
      <c r="W5" s="1537">
        <f t="shared" si="3"/>
        <v>4</v>
      </c>
      <c r="X5" s="1537">
        <f t="shared" si="3"/>
        <v>1208.51506151888</v>
      </c>
      <c r="Y5" s="1537">
        <f t="shared" si="3"/>
        <v>1463.8824777259229</v>
      </c>
      <c r="Z5" s="1537">
        <f>SUM(P5:Y5)</f>
        <v>18774</v>
      </c>
      <c r="AA5" s="1538">
        <f>élec!AZ94-'Motif Résiliation'!Z5</f>
        <v>0</v>
      </c>
      <c r="AB5" s="1532">
        <f>Z5+Z6</f>
        <v>18828</v>
      </c>
    </row>
    <row r="6" spans="1:28" s="1533" customFormat="1">
      <c r="A6" s="1530" t="s">
        <v>19</v>
      </c>
      <c r="B6" s="1537">
        <f t="shared" ref="B6:K6" si="4">B14+B22+B30+B38+B46+B54+B62+B70+B78+B86</f>
        <v>0</v>
      </c>
      <c r="C6" s="1537">
        <f t="shared" si="4"/>
        <v>0</v>
      </c>
      <c r="D6" s="1537">
        <f t="shared" si="4"/>
        <v>4</v>
      </c>
      <c r="E6" s="1537">
        <f t="shared" si="4"/>
        <v>4</v>
      </c>
      <c r="F6" s="1537">
        <f t="shared" si="4"/>
        <v>0</v>
      </c>
      <c r="G6" s="1537">
        <f t="shared" si="4"/>
        <v>0</v>
      </c>
      <c r="H6" s="1537">
        <f t="shared" si="4"/>
        <v>0</v>
      </c>
      <c r="I6" s="1537">
        <f t="shared" si="4"/>
        <v>0</v>
      </c>
      <c r="J6" s="1537">
        <f t="shared" si="4"/>
        <v>0</v>
      </c>
      <c r="K6" s="1537">
        <f t="shared" si="4"/>
        <v>0</v>
      </c>
      <c r="L6" s="1537">
        <f>SUM(B6:K6)</f>
        <v>8</v>
      </c>
      <c r="M6" s="1538">
        <f>élec!BD94-L6</f>
        <v>1</v>
      </c>
      <c r="N6" s="1532"/>
      <c r="O6" s="1530" t="s">
        <v>19</v>
      </c>
      <c r="P6" s="1537">
        <f t="shared" ref="P6:Y6" si="5">P14+P22+P30+P38+P46+P54+P62+P70+P78+P86</f>
        <v>0</v>
      </c>
      <c r="Q6" s="1537">
        <f t="shared" si="5"/>
        <v>0</v>
      </c>
      <c r="R6" s="1537">
        <f t="shared" si="5"/>
        <v>8</v>
      </c>
      <c r="S6" s="1537">
        <f t="shared" si="5"/>
        <v>44</v>
      </c>
      <c r="T6" s="1537">
        <f t="shared" si="5"/>
        <v>2</v>
      </c>
      <c r="U6" s="1537">
        <f t="shared" si="5"/>
        <v>0</v>
      </c>
      <c r="V6" s="1537">
        <f t="shared" si="5"/>
        <v>0</v>
      </c>
      <c r="W6" s="1537">
        <f t="shared" si="5"/>
        <v>0</v>
      </c>
      <c r="X6" s="1537">
        <f t="shared" si="5"/>
        <v>0</v>
      </c>
      <c r="Y6" s="1537">
        <f t="shared" si="5"/>
        <v>0</v>
      </c>
      <c r="Z6" s="1537">
        <f>SUM(P6:Y6)</f>
        <v>54</v>
      </c>
      <c r="AA6" s="1538">
        <f>élec!BA94-'Motif Résiliation'!Z6</f>
        <v>1</v>
      </c>
      <c r="AB6" s="1532"/>
    </row>
    <row r="7" spans="1:28" s="1533" customFormat="1">
      <c r="A7" s="1530" t="s">
        <v>56</v>
      </c>
      <c r="B7" s="1537">
        <f t="shared" ref="B7:K7" si="6">B15+B23+B31+B39+B47+B55+B63+B71+B79+B87</f>
        <v>24</v>
      </c>
      <c r="C7" s="1537">
        <f t="shared" si="6"/>
        <v>0</v>
      </c>
      <c r="D7" s="1537">
        <f t="shared" si="6"/>
        <v>180</v>
      </c>
      <c r="E7" s="1537">
        <f t="shared" si="6"/>
        <v>136</v>
      </c>
      <c r="F7" s="1537">
        <f t="shared" si="6"/>
        <v>13</v>
      </c>
      <c r="G7" s="1537">
        <f t="shared" si="6"/>
        <v>0</v>
      </c>
      <c r="H7" s="1537">
        <f t="shared" si="6"/>
        <v>80</v>
      </c>
      <c r="I7" s="1537">
        <f t="shared" si="6"/>
        <v>0</v>
      </c>
      <c r="J7" s="1537">
        <f t="shared" si="6"/>
        <v>3</v>
      </c>
      <c r="K7" s="1537">
        <f t="shared" si="6"/>
        <v>88</v>
      </c>
      <c r="L7" s="1537">
        <f>SUM(B7:K7)</f>
        <v>524</v>
      </c>
      <c r="M7" s="1538">
        <f>gaz!BD94-'Motif Résiliation'!L7</f>
        <v>0</v>
      </c>
      <c r="N7" s="1532">
        <f>L7+L8</f>
        <v>524</v>
      </c>
      <c r="O7" s="1530" t="s">
        <v>56</v>
      </c>
      <c r="P7" s="1537">
        <f t="shared" ref="P7:Y7" si="7">P15+P23+P31+P39+P47+P55+P63+P71+P79+P87</f>
        <v>745.13227513227514</v>
      </c>
      <c r="Q7" s="1537">
        <f t="shared" si="7"/>
        <v>0</v>
      </c>
      <c r="R7" s="1537">
        <f t="shared" si="7"/>
        <v>3173.936507936508</v>
      </c>
      <c r="S7" s="1537">
        <f t="shared" si="7"/>
        <v>844.03174603174602</v>
      </c>
      <c r="T7" s="1537">
        <f t="shared" si="7"/>
        <v>245.63492063492063</v>
      </c>
      <c r="U7" s="1537">
        <f t="shared" si="7"/>
        <v>0</v>
      </c>
      <c r="V7" s="1537">
        <f t="shared" si="7"/>
        <v>358.11640211640213</v>
      </c>
      <c r="W7" s="1537">
        <f t="shared" si="7"/>
        <v>13</v>
      </c>
      <c r="X7" s="1537">
        <f t="shared" si="7"/>
        <v>280.91005291005291</v>
      </c>
      <c r="Y7" s="1537">
        <f t="shared" si="7"/>
        <v>942.23809523809518</v>
      </c>
      <c r="Z7" s="1537">
        <f>SUM(P7:Y7)</f>
        <v>6603.0000000000009</v>
      </c>
      <c r="AA7" s="1538">
        <f>gaz!AZ94-'Motif Résiliation'!Z7</f>
        <v>0</v>
      </c>
      <c r="AB7" s="1532">
        <f>Z7+Z8</f>
        <v>6611.0000000000009</v>
      </c>
    </row>
    <row r="8" spans="1:28" s="1533" customFormat="1">
      <c r="A8" s="1530" t="s">
        <v>21</v>
      </c>
      <c r="B8" s="1537">
        <f t="shared" ref="B8:K8" si="8">B16+B24+B32+B40+B48+B56+B64+B72+B80+B88</f>
        <v>0</v>
      </c>
      <c r="C8" s="1537">
        <f t="shared" si="8"/>
        <v>0</v>
      </c>
      <c r="D8" s="1537">
        <f t="shared" si="8"/>
        <v>0</v>
      </c>
      <c r="E8" s="1537">
        <f t="shared" si="8"/>
        <v>0</v>
      </c>
      <c r="F8" s="1537">
        <f t="shared" si="8"/>
        <v>0</v>
      </c>
      <c r="G8" s="1537">
        <f t="shared" si="8"/>
        <v>0</v>
      </c>
      <c r="H8" s="1537">
        <f t="shared" si="8"/>
        <v>0</v>
      </c>
      <c r="I8" s="1537">
        <f t="shared" si="8"/>
        <v>0</v>
      </c>
      <c r="J8" s="1537">
        <f t="shared" si="8"/>
        <v>0</v>
      </c>
      <c r="K8" s="1537">
        <f t="shared" si="8"/>
        <v>0</v>
      </c>
      <c r="L8" s="1537">
        <f>SUM(B8:K8)</f>
        <v>0</v>
      </c>
      <c r="M8" s="1538">
        <f>gaz!BE94-'Motif Résiliation'!L8</f>
        <v>0</v>
      </c>
      <c r="N8" s="1532"/>
      <c r="O8" s="1530" t="s">
        <v>21</v>
      </c>
      <c r="P8" s="1537">
        <f t="shared" ref="P8:Y8" si="9">P16+P24+P32+P40+P48+P56+P64+P72+P80+P88</f>
        <v>0</v>
      </c>
      <c r="Q8" s="1537">
        <f t="shared" si="9"/>
        <v>0</v>
      </c>
      <c r="R8" s="1537">
        <f t="shared" si="9"/>
        <v>8</v>
      </c>
      <c r="S8" s="1537">
        <f t="shared" si="9"/>
        <v>0</v>
      </c>
      <c r="T8" s="1537">
        <f t="shared" si="9"/>
        <v>0</v>
      </c>
      <c r="U8" s="1537">
        <f t="shared" si="9"/>
        <v>0</v>
      </c>
      <c r="V8" s="1537">
        <f t="shared" si="9"/>
        <v>0</v>
      </c>
      <c r="W8" s="1537">
        <f t="shared" si="9"/>
        <v>0</v>
      </c>
      <c r="X8" s="1537">
        <f t="shared" si="9"/>
        <v>0</v>
      </c>
      <c r="Y8" s="1537">
        <f t="shared" si="9"/>
        <v>0</v>
      </c>
      <c r="Z8" s="1537">
        <f>SUM(P8:Y8)</f>
        <v>8</v>
      </c>
      <c r="AA8" s="1538">
        <f>gaz!BA94-'Motif Résiliation'!Z8</f>
        <v>0</v>
      </c>
      <c r="AB8" s="1532"/>
    </row>
    <row r="9" spans="1:28" s="1533" customFormat="1">
      <c r="P9" s="1539"/>
      <c r="Q9" s="1539"/>
      <c r="R9" s="1539"/>
      <c r="S9" s="1539"/>
      <c r="T9" s="1539"/>
      <c r="U9" s="1539"/>
    </row>
    <row r="10" spans="1:28" s="1533" customFormat="1" ht="21" customHeight="1">
      <c r="A10" s="1540" t="s">
        <v>6</v>
      </c>
      <c r="B10" s="1541"/>
      <c r="C10" s="1541"/>
      <c r="D10" s="1541"/>
      <c r="E10" s="1541"/>
      <c r="F10" s="1541"/>
      <c r="G10" s="1541"/>
      <c r="H10" s="1541"/>
      <c r="I10" s="1541"/>
      <c r="J10" s="1541"/>
      <c r="K10" s="1541"/>
      <c r="L10" s="1541"/>
      <c r="M10" s="1541"/>
      <c r="N10" s="1541"/>
      <c r="O10" s="1541"/>
      <c r="P10" s="1542"/>
      <c r="Q10" s="1542"/>
      <c r="R10" s="1542"/>
      <c r="S10" s="1542"/>
      <c r="T10" s="1541"/>
      <c r="U10" s="1541"/>
      <c r="V10" s="1541"/>
      <c r="W10" s="1541"/>
      <c r="X10" s="1541"/>
      <c r="Y10" s="1541"/>
      <c r="Z10" s="1541"/>
      <c r="AA10" s="1541"/>
      <c r="AB10" s="1541"/>
    </row>
    <row r="11" spans="1:28" s="1533" customFormat="1">
      <c r="A11" s="1541"/>
      <c r="B11" s="1541"/>
      <c r="C11" s="1541"/>
      <c r="D11" s="1541"/>
      <c r="E11" s="1541"/>
      <c r="F11" s="1541"/>
      <c r="G11" s="1541"/>
      <c r="H11" s="1541"/>
      <c r="I11" s="1541"/>
      <c r="J11" s="1541"/>
      <c r="K11" s="1541"/>
      <c r="L11" s="1541"/>
      <c r="M11" s="1541"/>
      <c r="N11" s="1541"/>
      <c r="O11" s="1541"/>
      <c r="P11" s="1542"/>
      <c r="Q11" s="1542"/>
      <c r="R11" s="1542"/>
      <c r="S11" s="1542"/>
      <c r="T11" s="1541"/>
      <c r="U11" s="1541"/>
      <c r="V11" s="1541"/>
      <c r="W11" s="1541"/>
      <c r="X11" s="1541"/>
      <c r="Y11" s="1541"/>
      <c r="Z11" s="1541"/>
      <c r="AA11" s="1541"/>
      <c r="AB11" s="1541"/>
    </row>
    <row r="12" spans="1:28" s="1533" customFormat="1" ht="51" customHeight="1">
      <c r="A12" s="1525" t="s">
        <v>767</v>
      </c>
      <c r="B12" s="1543" t="s">
        <v>768</v>
      </c>
      <c r="C12" s="1543" t="s">
        <v>769</v>
      </c>
      <c r="D12" s="1543" t="s">
        <v>770</v>
      </c>
      <c r="E12" s="1543" t="s">
        <v>771</v>
      </c>
      <c r="F12" s="1543" t="s">
        <v>772</v>
      </c>
      <c r="G12" s="1543" t="s">
        <v>773</v>
      </c>
      <c r="H12" s="1543" t="s">
        <v>774</v>
      </c>
      <c r="I12" s="1543" t="s">
        <v>775</v>
      </c>
      <c r="J12" s="1543" t="s">
        <v>776</v>
      </c>
      <c r="K12" s="1543" t="s">
        <v>777</v>
      </c>
      <c r="L12" s="1543" t="s">
        <v>778</v>
      </c>
      <c r="M12" s="1544" t="s">
        <v>779</v>
      </c>
      <c r="N12" s="1545"/>
      <c r="O12" s="1525" t="s">
        <v>780</v>
      </c>
      <c r="P12" s="1543" t="s">
        <v>768</v>
      </c>
      <c r="Q12" s="1543" t="s">
        <v>769</v>
      </c>
      <c r="R12" s="1543" t="s">
        <v>770</v>
      </c>
      <c r="S12" s="1543" t="s">
        <v>771</v>
      </c>
      <c r="T12" s="1543" t="s">
        <v>772</v>
      </c>
      <c r="U12" s="1543" t="s">
        <v>773</v>
      </c>
      <c r="V12" s="1543" t="s">
        <v>774</v>
      </c>
      <c r="W12" s="1543" t="s">
        <v>775</v>
      </c>
      <c r="X12" s="1543" t="s">
        <v>776</v>
      </c>
      <c r="Y12" s="1543" t="s">
        <v>777</v>
      </c>
      <c r="Z12" s="1543" t="s">
        <v>778</v>
      </c>
      <c r="AA12" s="1544" t="s">
        <v>779</v>
      </c>
      <c r="AB12" s="1541"/>
    </row>
    <row r="13" spans="1:28" s="1533" customFormat="1">
      <c r="A13" s="1526" t="s">
        <v>52</v>
      </c>
      <c r="B13" s="1546">
        <v>0</v>
      </c>
      <c r="C13" s="1546">
        <v>0</v>
      </c>
      <c r="D13" s="1546">
        <v>499</v>
      </c>
      <c r="E13" s="1546">
        <v>72</v>
      </c>
      <c r="F13" s="1546">
        <v>4</v>
      </c>
      <c r="G13" s="1546">
        <v>1</v>
      </c>
      <c r="H13" s="1546">
        <v>37</v>
      </c>
      <c r="I13" s="1546">
        <v>0</v>
      </c>
      <c r="J13" s="1546">
        <v>0</v>
      </c>
      <c r="K13" s="1546">
        <v>2</v>
      </c>
      <c r="L13" s="1546">
        <f>SUM(B13:K13)</f>
        <v>615</v>
      </c>
      <c r="M13" s="1556">
        <f>élec!BC84-'Motif Résiliation'!L13</f>
        <v>0</v>
      </c>
      <c r="N13" s="1541"/>
      <c r="O13" s="1526" t="s">
        <v>52</v>
      </c>
      <c r="P13" s="1546">
        <v>4.2206194314806957</v>
      </c>
      <c r="Q13" s="1546">
        <v>0</v>
      </c>
      <c r="R13" s="1546">
        <v>3887.1904963937209</v>
      </c>
      <c r="S13" s="1546">
        <v>343.98048366567667</v>
      </c>
      <c r="T13" s="1546">
        <v>74.915994908782352</v>
      </c>
      <c r="U13" s="1546">
        <v>7.3860840050912175</v>
      </c>
      <c r="V13" s="1546">
        <v>93.908782350445492</v>
      </c>
      <c r="W13" s="1546">
        <v>0</v>
      </c>
      <c r="X13" s="1546">
        <v>545.51506151887997</v>
      </c>
      <c r="Y13" s="1546">
        <v>16.882477725922783</v>
      </c>
      <c r="Z13" s="1546">
        <f>SUM(P13:Y13)</f>
        <v>4973.9999999999991</v>
      </c>
      <c r="AA13" s="1556">
        <f>élec!AZ84-'Motif Résiliation'!Z13</f>
        <v>0</v>
      </c>
      <c r="AB13" s="2032">
        <f>Z13+Z14</f>
        <v>4976.9999999999991</v>
      </c>
    </row>
    <row r="14" spans="1:28" s="1533" customFormat="1">
      <c r="A14" s="1526" t="s">
        <v>19</v>
      </c>
      <c r="B14" s="1546"/>
      <c r="C14" s="1546"/>
      <c r="D14" s="1546">
        <v>0</v>
      </c>
      <c r="E14" s="1546">
        <v>0</v>
      </c>
      <c r="F14" s="1546">
        <v>0</v>
      </c>
      <c r="G14" s="1546">
        <v>0</v>
      </c>
      <c r="H14" s="1546"/>
      <c r="I14" s="1546"/>
      <c r="J14" s="1546"/>
      <c r="K14" s="1546">
        <v>0</v>
      </c>
      <c r="L14" s="1546">
        <f>SUM(B14:K14)</f>
        <v>0</v>
      </c>
      <c r="M14" s="1556">
        <f>élec!BD84-'Motif Résiliation'!L14</f>
        <v>0</v>
      </c>
      <c r="N14" s="1541"/>
      <c r="O14" s="1526" t="s">
        <v>19</v>
      </c>
      <c r="P14" s="1546"/>
      <c r="Q14" s="1546"/>
      <c r="R14" s="1546"/>
      <c r="S14" s="1546">
        <v>3</v>
      </c>
      <c r="T14" s="1546">
        <v>0</v>
      </c>
      <c r="U14" s="1546">
        <v>0</v>
      </c>
      <c r="V14" s="1546"/>
      <c r="W14" s="1546"/>
      <c r="X14" s="1546"/>
      <c r="Y14" s="1546">
        <v>0</v>
      </c>
      <c r="Z14" s="1546">
        <f>SUM(P14:Y14)</f>
        <v>3</v>
      </c>
      <c r="AA14" s="1556">
        <f>élec!BA84-'Motif Résiliation'!Z14</f>
        <v>0</v>
      </c>
      <c r="AB14" s="1541"/>
    </row>
    <row r="15" spans="1:28" s="1533" customFormat="1">
      <c r="A15" s="1526" t="s">
        <v>56</v>
      </c>
      <c r="B15" s="1546">
        <v>0</v>
      </c>
      <c r="C15" s="1546">
        <v>0</v>
      </c>
      <c r="D15" s="1546">
        <v>85</v>
      </c>
      <c r="E15" s="1546">
        <v>60</v>
      </c>
      <c r="F15" s="1546">
        <v>3</v>
      </c>
      <c r="G15" s="1546">
        <v>0</v>
      </c>
      <c r="H15" s="1546">
        <v>38</v>
      </c>
      <c r="I15" s="1546">
        <v>0</v>
      </c>
      <c r="J15" s="1546">
        <v>0</v>
      </c>
      <c r="K15" s="1546">
        <v>1</v>
      </c>
      <c r="L15" s="1546">
        <f>SUM(B15:K15)</f>
        <v>187</v>
      </c>
      <c r="M15" s="1556">
        <f>gaz!BD84-'Motif Résiliation'!L15</f>
        <v>0</v>
      </c>
      <c r="N15" s="1541"/>
      <c r="O15" s="1526" t="s">
        <v>56</v>
      </c>
      <c r="P15" s="1546">
        <v>5.1322751322751321</v>
      </c>
      <c r="Q15" s="1546">
        <v>0</v>
      </c>
      <c r="R15" s="1546">
        <v>889.93650793650795</v>
      </c>
      <c r="S15" s="1546">
        <v>234.03174603174605</v>
      </c>
      <c r="T15" s="1546">
        <v>24.634920634920636</v>
      </c>
      <c r="U15" s="1546">
        <v>0</v>
      </c>
      <c r="V15" s="1546">
        <v>82.116402116402114</v>
      </c>
      <c r="W15" s="1546">
        <v>0</v>
      </c>
      <c r="X15" s="1546">
        <v>112.91005291005291</v>
      </c>
      <c r="Y15" s="1546">
        <v>9.2380952380952372</v>
      </c>
      <c r="Z15" s="1546">
        <f>SUM(P15:Y15)</f>
        <v>1358</v>
      </c>
      <c r="AA15" s="1556">
        <f>gaz!AZ84-'Motif Résiliation'!Z15</f>
        <v>0</v>
      </c>
      <c r="AB15" s="1541">
        <f>Z15+Z16</f>
        <v>1366</v>
      </c>
    </row>
    <row r="16" spans="1:28" s="1533" customFormat="1">
      <c r="A16" s="1526" t="s">
        <v>21</v>
      </c>
      <c r="B16" s="1546"/>
      <c r="C16" s="1546"/>
      <c r="D16" s="1546">
        <v>0</v>
      </c>
      <c r="E16" s="1546">
        <v>0</v>
      </c>
      <c r="F16" s="1546">
        <v>0</v>
      </c>
      <c r="G16" s="1546"/>
      <c r="H16" s="1546"/>
      <c r="I16" s="1546"/>
      <c r="J16" s="1546"/>
      <c r="K16" s="1546">
        <v>0</v>
      </c>
      <c r="L16" s="1546">
        <f>SUM(B16:K16)</f>
        <v>0</v>
      </c>
      <c r="M16" s="1556">
        <f>gaz!BE84-'Motif Résiliation'!L16</f>
        <v>0</v>
      </c>
      <c r="N16" s="1541"/>
      <c r="O16" s="1526" t="s">
        <v>21</v>
      </c>
      <c r="P16" s="1546"/>
      <c r="Q16" s="1546"/>
      <c r="R16" s="1546">
        <v>8</v>
      </c>
      <c r="S16" s="1546"/>
      <c r="T16" s="1546">
        <v>0</v>
      </c>
      <c r="U16" s="1546">
        <v>0</v>
      </c>
      <c r="V16" s="1546"/>
      <c r="W16" s="1546"/>
      <c r="X16" s="1546"/>
      <c r="Y16" s="1546">
        <v>0</v>
      </c>
      <c r="Z16" s="1546">
        <f>SUM(P16:Y16)</f>
        <v>8</v>
      </c>
      <c r="AA16" s="1556">
        <f>gaz!BA84-'Motif Résiliation'!Z16</f>
        <v>0</v>
      </c>
      <c r="AB16" s="1541"/>
    </row>
    <row r="17" spans="1:28" s="1533" customFormat="1">
      <c r="N17" s="1533">
        <f>8.33*3</f>
        <v>24.990000000000002</v>
      </c>
      <c r="P17" s="1539"/>
      <c r="Q17" s="1539"/>
      <c r="R17" s="1539"/>
      <c r="S17" s="1539"/>
      <c r="T17" s="1539"/>
      <c r="U17" s="1539"/>
    </row>
    <row r="18" spans="1:28" s="1533" customFormat="1" ht="21" customHeight="1">
      <c r="A18" s="1548" t="s">
        <v>7</v>
      </c>
      <c r="B18" s="1549"/>
      <c r="C18" s="1549"/>
      <c r="D18" s="1549"/>
      <c r="E18" s="1549"/>
      <c r="F18" s="1549"/>
      <c r="G18" s="1549"/>
      <c r="H18" s="1549"/>
      <c r="I18" s="1549"/>
      <c r="J18" s="1549"/>
      <c r="K18" s="1549"/>
      <c r="L18" s="1549"/>
      <c r="M18" s="1549"/>
      <c r="N18" s="1549"/>
      <c r="O18" s="1549"/>
      <c r="P18" s="1550"/>
      <c r="Q18" s="1550"/>
      <c r="R18" s="1550"/>
      <c r="S18" s="1550"/>
      <c r="T18" s="1549"/>
      <c r="U18" s="1549"/>
      <c r="V18" s="1549"/>
      <c r="W18" s="1549"/>
      <c r="X18" s="1549"/>
      <c r="Y18" s="1549"/>
      <c r="Z18" s="1549"/>
      <c r="AA18" s="1549"/>
      <c r="AB18" s="1549"/>
    </row>
    <row r="19" spans="1:28" s="1533" customFormat="1">
      <c r="A19" s="1549"/>
      <c r="B19" s="1549"/>
      <c r="C19" s="1549"/>
      <c r="D19" s="1549"/>
      <c r="E19" s="1549"/>
      <c r="F19" s="1549"/>
      <c r="G19" s="1549"/>
      <c r="H19" s="1549"/>
      <c r="I19" s="1549"/>
      <c r="J19" s="1549"/>
      <c r="K19" s="1549"/>
      <c r="L19" s="1549"/>
      <c r="M19" s="1549"/>
      <c r="N19" s="1549"/>
      <c r="O19" s="1549"/>
      <c r="P19" s="1550"/>
      <c r="Q19" s="1550"/>
      <c r="R19" s="1550"/>
      <c r="S19" s="1550"/>
      <c r="T19" s="1549"/>
      <c r="U19" s="1549"/>
      <c r="V19" s="1549"/>
      <c r="W19" s="1549"/>
      <c r="X19" s="1549"/>
      <c r="Y19" s="1549"/>
      <c r="Z19" s="1549"/>
      <c r="AA19" s="1549"/>
      <c r="AB19" s="1549"/>
    </row>
    <row r="20" spans="1:28" s="1533" customFormat="1" ht="51" customHeight="1">
      <c r="A20" s="1527" t="s">
        <v>767</v>
      </c>
      <c r="B20" s="1551" t="s">
        <v>768</v>
      </c>
      <c r="C20" s="1551" t="s">
        <v>769</v>
      </c>
      <c r="D20" s="1551" t="s">
        <v>770</v>
      </c>
      <c r="E20" s="1551" t="s">
        <v>771</v>
      </c>
      <c r="F20" s="1551" t="s">
        <v>772</v>
      </c>
      <c r="G20" s="1551" t="s">
        <v>773</v>
      </c>
      <c r="H20" s="1551" t="s">
        <v>774</v>
      </c>
      <c r="I20" s="1551" t="s">
        <v>775</v>
      </c>
      <c r="J20" s="1551" t="s">
        <v>776</v>
      </c>
      <c r="K20" s="1551" t="s">
        <v>777</v>
      </c>
      <c r="L20" s="1551" t="s">
        <v>778</v>
      </c>
      <c r="M20" s="1552" t="s">
        <v>779</v>
      </c>
      <c r="N20" s="1553"/>
      <c r="O20" s="1527" t="s">
        <v>780</v>
      </c>
      <c r="P20" s="1551" t="s">
        <v>768</v>
      </c>
      <c r="Q20" s="1551" t="s">
        <v>769</v>
      </c>
      <c r="R20" s="1551" t="s">
        <v>770</v>
      </c>
      <c r="S20" s="1551" t="s">
        <v>771</v>
      </c>
      <c r="T20" s="1551" t="s">
        <v>772</v>
      </c>
      <c r="U20" s="1551" t="s">
        <v>773</v>
      </c>
      <c r="V20" s="1551" t="s">
        <v>774</v>
      </c>
      <c r="W20" s="1551" t="s">
        <v>775</v>
      </c>
      <c r="X20" s="1551" t="s">
        <v>776</v>
      </c>
      <c r="Y20" s="1551" t="s">
        <v>777</v>
      </c>
      <c r="Z20" s="1551" t="s">
        <v>778</v>
      </c>
      <c r="AA20" s="1552" t="s">
        <v>779</v>
      </c>
      <c r="AB20" s="1549"/>
    </row>
    <row r="21" spans="1:28" s="1533" customFormat="1">
      <c r="A21" s="1528" t="s">
        <v>52</v>
      </c>
      <c r="B21" s="1554">
        <v>0</v>
      </c>
      <c r="C21" s="1554">
        <v>0</v>
      </c>
      <c r="D21" s="1554">
        <v>10</v>
      </c>
      <c r="E21" s="1554">
        <v>5</v>
      </c>
      <c r="F21" s="1554">
        <v>1</v>
      </c>
      <c r="G21" s="1554">
        <v>0</v>
      </c>
      <c r="H21" s="1554">
        <v>1</v>
      </c>
      <c r="I21" s="1554">
        <v>0</v>
      </c>
      <c r="J21" s="1554">
        <v>0</v>
      </c>
      <c r="K21" s="1554">
        <v>71</v>
      </c>
      <c r="L21" s="1554">
        <f>SUM(B21:K21)</f>
        <v>88</v>
      </c>
      <c r="M21" s="1555">
        <f>élec!BC85-'Motif Résiliation'!L21</f>
        <v>0</v>
      </c>
      <c r="N21" s="1549"/>
      <c r="O21" s="1528" t="s">
        <v>52</v>
      </c>
      <c r="P21" s="1554">
        <v>0</v>
      </c>
      <c r="Q21" s="1554">
        <v>1</v>
      </c>
      <c r="R21" s="1554">
        <v>523</v>
      </c>
      <c r="S21" s="1554">
        <v>197</v>
      </c>
      <c r="T21" s="1554">
        <v>83</v>
      </c>
      <c r="U21" s="1554">
        <v>0</v>
      </c>
      <c r="V21" s="1554">
        <v>3</v>
      </c>
      <c r="W21" s="1554">
        <v>0</v>
      </c>
      <c r="X21" s="1554">
        <v>31</v>
      </c>
      <c r="Y21" s="1554">
        <v>427</v>
      </c>
      <c r="Z21" s="1554">
        <f>SUM(P21:Y21)</f>
        <v>1265</v>
      </c>
      <c r="AA21" s="1555">
        <f>élec!AZ85-'Motif Résiliation'!Z21</f>
        <v>0</v>
      </c>
      <c r="AB21" s="1549">
        <f>Z21+Z22</f>
        <v>1265</v>
      </c>
    </row>
    <row r="22" spans="1:28" s="1533" customFormat="1">
      <c r="A22" s="1528" t="s">
        <v>19</v>
      </c>
      <c r="B22" s="1554">
        <v>0</v>
      </c>
      <c r="C22" s="1554">
        <v>0</v>
      </c>
      <c r="D22" s="1554">
        <v>0</v>
      </c>
      <c r="E22" s="1554">
        <v>0</v>
      </c>
      <c r="F22" s="1554">
        <v>0</v>
      </c>
      <c r="G22" s="1554">
        <v>0</v>
      </c>
      <c r="H22" s="1554">
        <v>0</v>
      </c>
      <c r="I22" s="1554">
        <v>0</v>
      </c>
      <c r="J22" s="1554">
        <v>0</v>
      </c>
      <c r="K22" s="1554">
        <v>0</v>
      </c>
      <c r="L22" s="1554">
        <f>SUM(B22:K22)</f>
        <v>0</v>
      </c>
      <c r="M22" s="1555">
        <f>élec!BD85-'Motif Résiliation'!L22</f>
        <v>0</v>
      </c>
      <c r="N22" s="1549"/>
      <c r="O22" s="1528" t="s">
        <v>19</v>
      </c>
      <c r="P22" s="1554">
        <v>0</v>
      </c>
      <c r="Q22" s="1554">
        <v>0</v>
      </c>
      <c r="R22" s="1554">
        <v>0</v>
      </c>
      <c r="S22" s="1554">
        <v>0</v>
      </c>
      <c r="T22" s="1554">
        <v>0</v>
      </c>
      <c r="U22" s="1554">
        <v>0</v>
      </c>
      <c r="V22" s="1554">
        <v>0</v>
      </c>
      <c r="W22" s="1554">
        <v>0</v>
      </c>
      <c r="X22" s="1554">
        <v>0</v>
      </c>
      <c r="Y22" s="1554">
        <v>0</v>
      </c>
      <c r="Z22" s="1554">
        <f>SUM(P22:Y22)</f>
        <v>0</v>
      </c>
      <c r="AA22" s="1555">
        <f>élec!BA85-'Motif Résiliation'!Z22</f>
        <v>0</v>
      </c>
      <c r="AB22" s="1549"/>
    </row>
    <row r="23" spans="1:28" s="1533" customFormat="1">
      <c r="A23" s="1528" t="s">
        <v>56</v>
      </c>
      <c r="B23" s="1554">
        <v>0</v>
      </c>
      <c r="C23" s="1554">
        <v>0</v>
      </c>
      <c r="D23" s="1554">
        <v>9</v>
      </c>
      <c r="E23" s="1554">
        <v>1</v>
      </c>
      <c r="F23" s="1554">
        <v>0</v>
      </c>
      <c r="G23" s="1554">
        <v>0</v>
      </c>
      <c r="H23" s="1554">
        <v>0</v>
      </c>
      <c r="I23" s="1554">
        <v>0</v>
      </c>
      <c r="J23" s="1554">
        <v>0</v>
      </c>
      <c r="K23" s="1554">
        <v>26</v>
      </c>
      <c r="L23" s="1554">
        <f>SUM(B23:K23)</f>
        <v>36</v>
      </c>
      <c r="M23" s="1555">
        <f>gaz!BD85-'Motif Résiliation'!L23</f>
        <v>0</v>
      </c>
      <c r="N23" s="1549"/>
      <c r="O23" s="1528" t="s">
        <v>56</v>
      </c>
      <c r="P23" s="1554">
        <v>0</v>
      </c>
      <c r="Q23" s="1554">
        <v>0</v>
      </c>
      <c r="R23" s="1554">
        <v>216</v>
      </c>
      <c r="S23" s="1786">
        <v>54</v>
      </c>
      <c r="T23" s="1554">
        <v>131</v>
      </c>
      <c r="U23" s="1554">
        <v>0</v>
      </c>
      <c r="V23" s="1786">
        <v>2</v>
      </c>
      <c r="W23" s="1554">
        <v>0</v>
      </c>
      <c r="X23" s="1554">
        <v>0</v>
      </c>
      <c r="Y23" s="1554">
        <v>324</v>
      </c>
      <c r="Z23" s="1554">
        <f>SUM(P23:Y23)</f>
        <v>727</v>
      </c>
      <c r="AA23" s="1555">
        <f>gaz!AZ85-'Motif Résiliation'!Z23</f>
        <v>0</v>
      </c>
      <c r="AB23" s="1549">
        <f>Z23+Z24</f>
        <v>727</v>
      </c>
    </row>
    <row r="24" spans="1:28" s="1533" customFormat="1">
      <c r="A24" s="1528" t="s">
        <v>21</v>
      </c>
      <c r="B24" s="1554">
        <v>0</v>
      </c>
      <c r="C24" s="1554">
        <v>0</v>
      </c>
      <c r="D24" s="1554">
        <v>0</v>
      </c>
      <c r="E24" s="1554">
        <v>0</v>
      </c>
      <c r="F24" s="1554">
        <v>0</v>
      </c>
      <c r="G24" s="1554">
        <v>0</v>
      </c>
      <c r="H24" s="1554">
        <v>0</v>
      </c>
      <c r="I24" s="1554">
        <v>0</v>
      </c>
      <c r="J24" s="1554">
        <v>0</v>
      </c>
      <c r="K24" s="1554">
        <v>0</v>
      </c>
      <c r="L24" s="1554">
        <f>SUM(B24:K24)</f>
        <v>0</v>
      </c>
      <c r="M24" s="1555">
        <f>gaz!BE85-'Motif Résiliation'!L24</f>
        <v>0</v>
      </c>
      <c r="N24" s="1549"/>
      <c r="O24" s="1528" t="s">
        <v>21</v>
      </c>
      <c r="P24" s="1554">
        <v>0</v>
      </c>
      <c r="Q24" s="1554">
        <v>0</v>
      </c>
      <c r="R24" s="1554">
        <v>0</v>
      </c>
      <c r="S24" s="1554">
        <v>0</v>
      </c>
      <c r="T24" s="1554">
        <v>0</v>
      </c>
      <c r="U24" s="1554">
        <v>0</v>
      </c>
      <c r="V24" s="1554">
        <v>0</v>
      </c>
      <c r="W24" s="1554">
        <v>0</v>
      </c>
      <c r="X24" s="1554">
        <v>0</v>
      </c>
      <c r="Y24" s="1554">
        <v>0</v>
      </c>
      <c r="Z24" s="1554">
        <f>SUM(P24:Y24)</f>
        <v>0</v>
      </c>
      <c r="AA24" s="1555">
        <f>gaz!BA85-'Motif Résiliation'!Z24</f>
        <v>0</v>
      </c>
      <c r="AB24" s="1549"/>
    </row>
    <row r="25" spans="1:28" s="1533" customFormat="1">
      <c r="D25" s="2049"/>
      <c r="P25" s="1539"/>
      <c r="Q25" s="1539"/>
      <c r="R25" s="2050"/>
      <c r="S25" s="1539"/>
      <c r="T25" s="1539"/>
      <c r="U25" s="1539"/>
    </row>
    <row r="26" spans="1:28" s="1533" customFormat="1" ht="21" customHeight="1">
      <c r="A26" s="1540" t="s">
        <v>8</v>
      </c>
      <c r="B26" s="1541"/>
      <c r="C26" s="1541"/>
      <c r="D26" s="1541"/>
      <c r="E26" s="1541"/>
      <c r="F26" s="1541"/>
      <c r="G26" s="1541"/>
      <c r="H26" s="1541"/>
      <c r="I26" s="1541"/>
      <c r="J26" s="1541"/>
      <c r="K26" s="1541"/>
      <c r="L26" s="1541"/>
      <c r="M26" s="1541"/>
      <c r="N26" s="1541"/>
      <c r="O26" s="1541"/>
      <c r="P26" s="1542"/>
      <c r="Q26" s="1542"/>
      <c r="R26" s="1542"/>
      <c r="S26" s="1542"/>
      <c r="T26" s="1541"/>
      <c r="U26" s="1541"/>
      <c r="V26" s="1541"/>
      <c r="W26" s="1541"/>
      <c r="X26" s="1541"/>
      <c r="Y26" s="1541"/>
      <c r="Z26" s="1541"/>
      <c r="AA26" s="1541"/>
      <c r="AB26" s="1541"/>
    </row>
    <row r="27" spans="1:28" s="1533" customFormat="1">
      <c r="A27" s="1541"/>
      <c r="B27" s="1541"/>
      <c r="C27" s="1541"/>
      <c r="D27" s="1541"/>
      <c r="E27" s="1541"/>
      <c r="F27" s="1541"/>
      <c r="G27" s="1541"/>
      <c r="H27" s="1541"/>
      <c r="I27" s="1541"/>
      <c r="J27" s="1541"/>
      <c r="K27" s="1541"/>
      <c r="L27" s="1541"/>
      <c r="M27" s="1541"/>
      <c r="N27" s="1541"/>
      <c r="O27" s="1541"/>
      <c r="P27" s="1542"/>
      <c r="Q27" s="1542"/>
      <c r="R27" s="1542"/>
      <c r="S27" s="1542"/>
      <c r="T27" s="1541"/>
      <c r="U27" s="1541"/>
      <c r="V27" s="1541"/>
      <c r="W27" s="1541"/>
      <c r="X27" s="1541"/>
      <c r="Y27" s="1541"/>
      <c r="Z27" s="1541"/>
      <c r="AA27" s="1541"/>
      <c r="AB27" s="1541"/>
    </row>
    <row r="28" spans="1:28" s="1533" customFormat="1" ht="51" customHeight="1">
      <c r="A28" s="1525" t="s">
        <v>767</v>
      </c>
      <c r="B28" s="1543" t="s">
        <v>768</v>
      </c>
      <c r="C28" s="1543" t="s">
        <v>769</v>
      </c>
      <c r="D28" s="1543" t="s">
        <v>770</v>
      </c>
      <c r="E28" s="1543" t="s">
        <v>771</v>
      </c>
      <c r="F28" s="1543" t="s">
        <v>772</v>
      </c>
      <c r="G28" s="1543" t="s">
        <v>773</v>
      </c>
      <c r="H28" s="1543" t="s">
        <v>774</v>
      </c>
      <c r="I28" s="1543" t="s">
        <v>775</v>
      </c>
      <c r="J28" s="1543" t="s">
        <v>776</v>
      </c>
      <c r="K28" s="1543" t="s">
        <v>777</v>
      </c>
      <c r="L28" s="1543" t="s">
        <v>778</v>
      </c>
      <c r="M28" s="1544" t="s">
        <v>779</v>
      </c>
      <c r="N28" s="1545"/>
      <c r="O28" s="1525" t="s">
        <v>780</v>
      </c>
      <c r="P28" s="1543" t="s">
        <v>768</v>
      </c>
      <c r="Q28" s="1543" t="s">
        <v>769</v>
      </c>
      <c r="R28" s="1543" t="s">
        <v>770</v>
      </c>
      <c r="S28" s="1543" t="s">
        <v>771</v>
      </c>
      <c r="T28" s="1543" t="s">
        <v>772</v>
      </c>
      <c r="U28" s="1543" t="s">
        <v>773</v>
      </c>
      <c r="V28" s="1543" t="s">
        <v>774</v>
      </c>
      <c r="W28" s="1543" t="s">
        <v>775</v>
      </c>
      <c r="X28" s="1543" t="s">
        <v>776</v>
      </c>
      <c r="Y28" s="1543" t="s">
        <v>777</v>
      </c>
      <c r="Z28" s="1543" t="s">
        <v>778</v>
      </c>
      <c r="AA28" s="1544" t="s">
        <v>779</v>
      </c>
      <c r="AB28" s="1541"/>
    </row>
    <row r="29" spans="1:28" s="1533" customFormat="1">
      <c r="A29" s="1526" t="s">
        <v>52</v>
      </c>
      <c r="B29" s="1546"/>
      <c r="C29" s="1546"/>
      <c r="D29" s="1546">
        <v>99</v>
      </c>
      <c r="E29" s="1546">
        <v>3</v>
      </c>
      <c r="F29" s="1546">
        <v>1</v>
      </c>
      <c r="G29" s="1546"/>
      <c r="H29" s="1546"/>
      <c r="I29" s="1546"/>
      <c r="J29" s="1546"/>
      <c r="K29" s="1546"/>
      <c r="L29" s="1546">
        <f>SUM(B29:K29)</f>
        <v>103</v>
      </c>
      <c r="M29" s="1556">
        <f>élec!BC86-'Motif Résiliation'!L29</f>
        <v>0</v>
      </c>
      <c r="N29" s="1541"/>
      <c r="O29" s="1526" t="s">
        <v>52</v>
      </c>
      <c r="P29" s="1546"/>
      <c r="Q29" s="1546"/>
      <c r="R29" s="1546">
        <v>1534</v>
      </c>
      <c r="S29" s="1546">
        <v>98</v>
      </c>
      <c r="T29" s="1546">
        <v>9</v>
      </c>
      <c r="U29" s="1546">
        <v>3</v>
      </c>
      <c r="V29" s="1546"/>
      <c r="W29" s="1546"/>
      <c r="X29" s="1546">
        <v>5</v>
      </c>
      <c r="Y29" s="1546"/>
      <c r="Z29" s="1546">
        <f>SUM(P29:Y29)</f>
        <v>1649</v>
      </c>
      <c r="AA29" s="1556">
        <f>élec!AZ86-'Motif Résiliation'!Z29</f>
        <v>0</v>
      </c>
      <c r="AB29" s="2032">
        <f>Z29+Z30</f>
        <v>1653</v>
      </c>
    </row>
    <row r="30" spans="1:28" s="1533" customFormat="1">
      <c r="A30" s="1526" t="s">
        <v>19</v>
      </c>
      <c r="B30" s="1546"/>
      <c r="C30" s="1546"/>
      <c r="D30" s="1546">
        <v>0</v>
      </c>
      <c r="E30" s="1546">
        <v>0</v>
      </c>
      <c r="F30" s="1546"/>
      <c r="G30" s="1546"/>
      <c r="H30" s="1546"/>
      <c r="I30" s="1546"/>
      <c r="J30" s="1546"/>
      <c r="K30" s="1546"/>
      <c r="L30" s="1546">
        <f>SUM(B30:K30)</f>
        <v>0</v>
      </c>
      <c r="M30" s="1556">
        <f>élec!BD86-'Motif Résiliation'!L30</f>
        <v>0</v>
      </c>
      <c r="N30" s="1541"/>
      <c r="O30" s="1526" t="s">
        <v>19</v>
      </c>
      <c r="P30" s="1546"/>
      <c r="Q30" s="1546"/>
      <c r="R30" s="1546">
        <v>2</v>
      </c>
      <c r="S30" s="1546">
        <v>2</v>
      </c>
      <c r="T30" s="1546"/>
      <c r="U30" s="1546"/>
      <c r="V30" s="1546"/>
      <c r="W30" s="1546"/>
      <c r="X30" s="1546"/>
      <c r="Y30" s="1546"/>
      <c r="Z30" s="1546">
        <f>SUM(P30:Y30)</f>
        <v>4</v>
      </c>
      <c r="AA30" s="1556">
        <f>élec!BA86-'Motif Résiliation'!Z30</f>
        <v>0</v>
      </c>
      <c r="AB30" s="1541"/>
    </row>
    <row r="31" spans="1:28" s="1533" customFormat="1">
      <c r="A31" s="1526" t="s">
        <v>56</v>
      </c>
      <c r="B31" s="1546"/>
      <c r="C31" s="1546"/>
      <c r="D31" s="1546">
        <v>25</v>
      </c>
      <c r="E31" s="1546">
        <v>4</v>
      </c>
      <c r="F31" s="1546">
        <v>0</v>
      </c>
      <c r="G31" s="1546"/>
      <c r="H31" s="1546"/>
      <c r="I31" s="1546"/>
      <c r="J31" s="1546">
        <v>0</v>
      </c>
      <c r="K31" s="1546"/>
      <c r="L31" s="1546">
        <f>SUM(B31:K31)</f>
        <v>29</v>
      </c>
      <c r="M31" s="1556">
        <f>gaz!BD86-'Motif Résiliation'!L31</f>
        <v>0</v>
      </c>
      <c r="N31" s="1541"/>
      <c r="O31" s="1526" t="s">
        <v>56</v>
      </c>
      <c r="P31" s="1546"/>
      <c r="Q31" s="1546"/>
      <c r="R31" s="1546">
        <v>623</v>
      </c>
      <c r="S31" s="1546">
        <v>36</v>
      </c>
      <c r="T31" s="1546">
        <v>2</v>
      </c>
      <c r="U31" s="1546"/>
      <c r="V31" s="1546"/>
      <c r="W31" s="1546"/>
      <c r="X31" s="1546"/>
      <c r="Y31" s="1546"/>
      <c r="Z31" s="1546">
        <f>SUM(P31:Y31)</f>
        <v>661</v>
      </c>
      <c r="AA31" s="1556">
        <f>gaz!AZ86-'Motif Résiliation'!Z31</f>
        <v>0</v>
      </c>
      <c r="AB31" s="1541">
        <f>Z31+Z32</f>
        <v>661</v>
      </c>
    </row>
    <row r="32" spans="1:28" s="1533" customFormat="1">
      <c r="A32" s="1526" t="s">
        <v>21</v>
      </c>
      <c r="B32" s="1546"/>
      <c r="C32" s="1546"/>
      <c r="D32" s="1546"/>
      <c r="E32" s="1546">
        <v>0</v>
      </c>
      <c r="F32" s="1546"/>
      <c r="G32" s="1546"/>
      <c r="H32" s="1546"/>
      <c r="I32" s="1546"/>
      <c r="J32" s="1546"/>
      <c r="K32" s="1546"/>
      <c r="L32" s="1546">
        <f>SUM(B32:K32)</f>
        <v>0</v>
      </c>
      <c r="M32" s="1556">
        <f>gaz!BE86-'Motif Résiliation'!L32</f>
        <v>0</v>
      </c>
      <c r="N32" s="1541"/>
      <c r="O32" s="1526" t="s">
        <v>21</v>
      </c>
      <c r="P32" s="1546"/>
      <c r="Q32" s="1546"/>
      <c r="R32" s="1546"/>
      <c r="S32" s="1546"/>
      <c r="T32" s="1546"/>
      <c r="U32" s="1546"/>
      <c r="V32" s="1546"/>
      <c r="W32" s="1546"/>
      <c r="X32" s="1546"/>
      <c r="Y32" s="1546"/>
      <c r="Z32" s="1546">
        <f>SUM(P32:Y32)</f>
        <v>0</v>
      </c>
      <c r="AA32" s="1556">
        <f>gaz!BA86-'Motif Résiliation'!Z32</f>
        <v>0</v>
      </c>
      <c r="AB32" s="1541"/>
    </row>
    <row r="33" spans="1:29" s="1533" customFormat="1">
      <c r="P33" s="1539"/>
      <c r="Q33" s="1539"/>
      <c r="R33" s="1539"/>
      <c r="S33" s="1539"/>
      <c r="T33" s="1539"/>
      <c r="U33" s="1539"/>
    </row>
    <row r="34" spans="1:29" s="1533" customFormat="1" ht="21" customHeight="1">
      <c r="A34" s="1548" t="s">
        <v>125</v>
      </c>
      <c r="B34" s="1549"/>
      <c r="C34" s="1549"/>
      <c r="D34" s="1549"/>
      <c r="E34" s="1549"/>
      <c r="F34" s="1549"/>
      <c r="G34" s="1549"/>
      <c r="H34" s="1549"/>
      <c r="I34" s="1549"/>
      <c r="J34" s="1549"/>
      <c r="K34" s="1549"/>
      <c r="L34" s="1549"/>
      <c r="M34" s="1549"/>
      <c r="N34" s="1549"/>
      <c r="O34" s="1549"/>
      <c r="P34" s="1550"/>
      <c r="Q34" s="1550"/>
      <c r="R34" s="1550"/>
      <c r="S34" s="1550"/>
      <c r="T34" s="1549"/>
      <c r="U34" s="1549"/>
      <c r="V34" s="1549"/>
      <c r="W34" s="1549"/>
      <c r="X34" s="1549"/>
      <c r="Y34" s="1549"/>
      <c r="Z34" s="1549"/>
      <c r="AA34" s="1549"/>
      <c r="AB34" s="1549"/>
    </row>
    <row r="35" spans="1:29" s="1533" customFormat="1">
      <c r="A35" s="1549"/>
      <c r="B35" s="1549"/>
      <c r="C35" s="1549"/>
      <c r="D35" s="1549"/>
      <c r="E35" s="1549"/>
      <c r="F35" s="1549"/>
      <c r="G35" s="1549"/>
      <c r="H35" s="1549"/>
      <c r="I35" s="1549"/>
      <c r="J35" s="1549"/>
      <c r="K35" s="1549"/>
      <c r="L35" s="1549"/>
      <c r="M35" s="1549"/>
      <c r="N35" s="1549"/>
      <c r="O35" s="1549"/>
      <c r="P35" s="1550" t="s">
        <v>858</v>
      </c>
      <c r="Q35" s="1550"/>
      <c r="R35" s="1550"/>
      <c r="S35" s="1550"/>
      <c r="T35" s="1549"/>
      <c r="U35" s="1549"/>
      <c r="V35" s="1549"/>
      <c r="W35" s="1549"/>
      <c r="X35" s="1549"/>
      <c r="Y35" s="1549"/>
      <c r="Z35" s="1549"/>
      <c r="AA35" s="1549"/>
      <c r="AB35" s="1549"/>
    </row>
    <row r="36" spans="1:29" s="1533" customFormat="1" ht="51" customHeight="1">
      <c r="A36" s="1527" t="s">
        <v>767</v>
      </c>
      <c r="B36" s="1551" t="s">
        <v>768</v>
      </c>
      <c r="C36" s="1551" t="s">
        <v>769</v>
      </c>
      <c r="D36" s="1551" t="s">
        <v>770</v>
      </c>
      <c r="E36" s="1551" t="s">
        <v>771</v>
      </c>
      <c r="F36" s="1551" t="s">
        <v>772</v>
      </c>
      <c r="G36" s="1551" t="s">
        <v>773</v>
      </c>
      <c r="H36" s="1551" t="s">
        <v>774</v>
      </c>
      <c r="I36" s="1551" t="s">
        <v>775</v>
      </c>
      <c r="J36" s="1551" t="s">
        <v>776</v>
      </c>
      <c r="K36" s="1551" t="s">
        <v>777</v>
      </c>
      <c r="L36" s="1551" t="s">
        <v>778</v>
      </c>
      <c r="M36" s="1552" t="s">
        <v>779</v>
      </c>
      <c r="N36" s="1553"/>
      <c r="O36" s="1527" t="s">
        <v>780</v>
      </c>
      <c r="P36" s="1551" t="s">
        <v>768</v>
      </c>
      <c r="Q36" s="1551" t="s">
        <v>769</v>
      </c>
      <c r="R36" s="1551" t="s">
        <v>770</v>
      </c>
      <c r="S36" s="1551" t="s">
        <v>771</v>
      </c>
      <c r="T36" s="1551" t="s">
        <v>772</v>
      </c>
      <c r="U36" s="1551" t="s">
        <v>773</v>
      </c>
      <c r="V36" s="1551" t="s">
        <v>774</v>
      </c>
      <c r="W36" s="1551" t="s">
        <v>775</v>
      </c>
      <c r="X36" s="1551" t="s">
        <v>776</v>
      </c>
      <c r="Y36" s="1551" t="s">
        <v>777</v>
      </c>
      <c r="Z36" s="1551" t="s">
        <v>778</v>
      </c>
      <c r="AA36" s="1552" t="s">
        <v>779</v>
      </c>
      <c r="AB36" s="1549"/>
    </row>
    <row r="37" spans="1:29" s="1533" customFormat="1">
      <c r="A37" s="1528" t="s">
        <v>52</v>
      </c>
      <c r="B37" s="1554">
        <v>2</v>
      </c>
      <c r="C37" s="1554">
        <v>0</v>
      </c>
      <c r="D37" s="1554">
        <v>194</v>
      </c>
      <c r="E37" s="1554">
        <v>55</v>
      </c>
      <c r="F37" s="1554">
        <v>8</v>
      </c>
      <c r="G37" s="1554">
        <v>0</v>
      </c>
      <c r="H37" s="1554">
        <v>2</v>
      </c>
      <c r="I37" s="1554">
        <v>1</v>
      </c>
      <c r="J37" s="1554">
        <v>1</v>
      </c>
      <c r="K37" s="1554">
        <v>18</v>
      </c>
      <c r="L37" s="1554">
        <f>SUM(B37:K37)</f>
        <v>281</v>
      </c>
      <c r="M37" s="1555">
        <f>élec!BC87-'Motif Résiliation'!L37</f>
        <v>0</v>
      </c>
      <c r="N37" s="1549"/>
      <c r="O37" s="1528" t="s">
        <v>52</v>
      </c>
      <c r="P37" s="1554">
        <v>209</v>
      </c>
      <c r="Q37" s="1554">
        <v>4</v>
      </c>
      <c r="R37" s="1554">
        <v>1885</v>
      </c>
      <c r="S37" s="1554">
        <v>469</v>
      </c>
      <c r="T37" s="1554">
        <v>204</v>
      </c>
      <c r="U37" s="1554">
        <v>0</v>
      </c>
      <c r="V37" s="1554">
        <v>7</v>
      </c>
      <c r="W37" s="1554">
        <v>4</v>
      </c>
      <c r="X37" s="1554">
        <v>25</v>
      </c>
      <c r="Y37" s="1554">
        <v>100</v>
      </c>
      <c r="Z37" s="1554">
        <f>SUM(P37:Y37)</f>
        <v>2907</v>
      </c>
      <c r="AA37" s="1555">
        <f>élec!AZ87-'Motif Résiliation'!Z37</f>
        <v>0</v>
      </c>
      <c r="AB37" s="1549">
        <f>Z37+Z38</f>
        <v>2914</v>
      </c>
      <c r="AC37" s="1533" t="s">
        <v>859</v>
      </c>
    </row>
    <row r="38" spans="1:29" s="1533" customFormat="1">
      <c r="A38" s="1528" t="s">
        <v>19</v>
      </c>
      <c r="B38" s="1554">
        <v>0</v>
      </c>
      <c r="C38" s="1554">
        <v>0</v>
      </c>
      <c r="D38" s="1554">
        <v>0</v>
      </c>
      <c r="E38" s="1554">
        <v>2</v>
      </c>
      <c r="F38" s="1554">
        <v>0</v>
      </c>
      <c r="G38" s="1554">
        <v>0</v>
      </c>
      <c r="H38" s="1554">
        <v>0</v>
      </c>
      <c r="I38" s="1554">
        <v>0</v>
      </c>
      <c r="J38" s="1554">
        <v>0</v>
      </c>
      <c r="K38" s="1554">
        <v>0</v>
      </c>
      <c r="L38" s="1554">
        <f>SUM(B38:K38)</f>
        <v>2</v>
      </c>
      <c r="M38" s="1555">
        <f>élec!BD87-'Motif Résiliation'!L38</f>
        <v>0</v>
      </c>
      <c r="N38" s="1549"/>
      <c r="O38" s="1528" t="s">
        <v>19</v>
      </c>
      <c r="P38" s="1554">
        <v>0</v>
      </c>
      <c r="Q38" s="1554">
        <v>0</v>
      </c>
      <c r="R38" s="1554">
        <v>0</v>
      </c>
      <c r="S38" s="1554">
        <v>7</v>
      </c>
      <c r="T38" s="1554">
        <v>0</v>
      </c>
      <c r="U38" s="1554">
        <v>0</v>
      </c>
      <c r="V38" s="1554">
        <v>0</v>
      </c>
      <c r="W38" s="1554">
        <v>0</v>
      </c>
      <c r="X38" s="1554">
        <v>0</v>
      </c>
      <c r="Y38" s="1554">
        <v>0</v>
      </c>
      <c r="Z38" s="1554">
        <f>SUM(P38:Y38)</f>
        <v>7</v>
      </c>
      <c r="AA38" s="1555">
        <f>élec!BA87-'Motif Résiliation'!Z38</f>
        <v>0</v>
      </c>
      <c r="AB38" s="1549"/>
    </row>
    <row r="39" spans="1:29" s="1533" customFormat="1">
      <c r="A39" s="1528" t="s">
        <v>56</v>
      </c>
      <c r="B39" s="1554">
        <v>3</v>
      </c>
      <c r="C39" s="1554">
        <v>0</v>
      </c>
      <c r="D39" s="1554">
        <v>26</v>
      </c>
      <c r="E39" s="1554">
        <v>39</v>
      </c>
      <c r="F39" s="1554">
        <v>5</v>
      </c>
      <c r="G39" s="1554">
        <v>0</v>
      </c>
      <c r="H39" s="1554">
        <v>2</v>
      </c>
      <c r="I39" s="1554">
        <v>0</v>
      </c>
      <c r="J39" s="1554">
        <v>3</v>
      </c>
      <c r="K39" s="1554">
        <v>23</v>
      </c>
      <c r="L39" s="1554">
        <f>SUM(B39:K39)</f>
        <v>101</v>
      </c>
      <c r="M39" s="1555">
        <f>gaz!BD87-'Motif Résiliation'!L39</f>
        <v>0</v>
      </c>
      <c r="N39" s="1549"/>
      <c r="O39" s="1528" t="s">
        <v>56</v>
      </c>
      <c r="P39" s="1554">
        <v>602</v>
      </c>
      <c r="Q39" s="1554">
        <v>0</v>
      </c>
      <c r="R39" s="1554">
        <v>531</v>
      </c>
      <c r="S39" s="1786">
        <v>252</v>
      </c>
      <c r="T39" s="1554">
        <v>69</v>
      </c>
      <c r="U39" s="1554">
        <v>0</v>
      </c>
      <c r="V39" s="1786">
        <v>21</v>
      </c>
      <c r="W39" s="1554">
        <v>13</v>
      </c>
      <c r="X39" s="1554">
        <v>20</v>
      </c>
      <c r="Y39" s="1554">
        <v>381</v>
      </c>
      <c r="Z39" s="1554">
        <f>SUM(P39:Y39)</f>
        <v>1889</v>
      </c>
      <c r="AA39" s="1555">
        <f>gaz!AZ87-'Motif Résiliation'!Z39</f>
        <v>0</v>
      </c>
      <c r="AB39" s="1549">
        <f>Z39+Z40</f>
        <v>1889</v>
      </c>
    </row>
    <row r="40" spans="1:29" s="1533" customFormat="1">
      <c r="A40" s="1528" t="s">
        <v>21</v>
      </c>
      <c r="B40" s="1554">
        <v>0</v>
      </c>
      <c r="C40" s="1554">
        <v>0</v>
      </c>
      <c r="D40" s="1554">
        <v>0</v>
      </c>
      <c r="E40" s="1554">
        <v>0</v>
      </c>
      <c r="F40" s="1554">
        <v>0</v>
      </c>
      <c r="G40" s="1554">
        <v>0</v>
      </c>
      <c r="H40" s="1554">
        <v>0</v>
      </c>
      <c r="I40" s="1554">
        <v>0</v>
      </c>
      <c r="J40" s="1554">
        <v>0</v>
      </c>
      <c r="K40" s="1554">
        <v>0</v>
      </c>
      <c r="L40" s="1554">
        <f>SUM(B40:K40)</f>
        <v>0</v>
      </c>
      <c r="M40" s="1555">
        <f>gaz!BE87-'Motif Résiliation'!L40</f>
        <v>0</v>
      </c>
      <c r="N40" s="1549"/>
      <c r="O40" s="1528" t="s">
        <v>21</v>
      </c>
      <c r="P40" s="1554">
        <v>0</v>
      </c>
      <c r="Q40" s="1554">
        <v>0</v>
      </c>
      <c r="R40" s="1554">
        <v>0</v>
      </c>
      <c r="S40" s="1554">
        <v>0</v>
      </c>
      <c r="T40" s="1554">
        <v>0</v>
      </c>
      <c r="U40" s="1554">
        <v>0</v>
      </c>
      <c r="V40" s="1554">
        <v>0</v>
      </c>
      <c r="W40" s="1554">
        <v>0</v>
      </c>
      <c r="X40" s="1554">
        <v>0</v>
      </c>
      <c r="Y40" s="1554">
        <v>0</v>
      </c>
      <c r="Z40" s="1554">
        <f>SUM(P40:Y40)</f>
        <v>0</v>
      </c>
      <c r="AA40" s="1555">
        <f>gaz!BA87-'Motif Résiliation'!Z40</f>
        <v>0</v>
      </c>
      <c r="AB40" s="1549"/>
    </row>
    <row r="41" spans="1:29" s="1533" customFormat="1">
      <c r="D41" s="2049"/>
      <c r="P41" s="1539"/>
      <c r="Q41" s="1539"/>
      <c r="R41" s="1539"/>
      <c r="S41" s="1539"/>
      <c r="T41" s="1539"/>
      <c r="U41" s="1539"/>
    </row>
    <row r="42" spans="1:29" s="1533" customFormat="1" ht="21" customHeight="1">
      <c r="A42" s="1540" t="s">
        <v>3</v>
      </c>
      <c r="B42" s="1541"/>
      <c r="C42" s="1541"/>
      <c r="D42" s="1541"/>
      <c r="E42" s="1541"/>
      <c r="F42" s="1541"/>
      <c r="G42" s="1541"/>
      <c r="H42" s="1541"/>
      <c r="I42" s="1541"/>
      <c r="J42" s="1541"/>
      <c r="K42" s="1541"/>
      <c r="L42" s="1541"/>
      <c r="M42" s="1541"/>
      <c r="N42" s="1541"/>
      <c r="O42" s="1541"/>
      <c r="P42" s="1542"/>
      <c r="Q42" s="1542"/>
      <c r="R42" s="1542"/>
      <c r="S42" s="1542"/>
      <c r="T42" s="1541"/>
      <c r="U42" s="1541"/>
      <c r="V42" s="1541"/>
      <c r="W42" s="1541"/>
      <c r="X42" s="1541"/>
      <c r="Y42" s="1541"/>
      <c r="Z42" s="1541"/>
      <c r="AA42" s="1541"/>
      <c r="AB42" s="1541"/>
    </row>
    <row r="43" spans="1:29" s="1533" customFormat="1">
      <c r="A43" s="1541"/>
      <c r="B43" s="1541"/>
      <c r="C43" s="1541"/>
      <c r="D43" s="1541"/>
      <c r="E43" s="1541"/>
      <c r="F43" s="1541"/>
      <c r="G43" s="1541"/>
      <c r="H43" s="1541"/>
      <c r="I43" s="1541"/>
      <c r="J43" s="1541"/>
      <c r="K43" s="1541"/>
      <c r="L43" s="1541"/>
      <c r="M43" s="1541"/>
      <c r="N43" s="1541"/>
      <c r="O43" s="1541"/>
      <c r="P43" s="1542"/>
      <c r="Q43" s="1542"/>
      <c r="R43" s="1542"/>
      <c r="S43" s="1542"/>
      <c r="T43" s="1541"/>
      <c r="U43" s="1541"/>
      <c r="V43" s="1541"/>
      <c r="W43" s="1541"/>
      <c r="X43" s="1541"/>
      <c r="Y43" s="1541"/>
      <c r="Z43" s="1541"/>
      <c r="AA43" s="1541"/>
      <c r="AB43" s="1541"/>
    </row>
    <row r="44" spans="1:29" s="1533" customFormat="1" ht="51" customHeight="1">
      <c r="A44" s="1525" t="s">
        <v>767</v>
      </c>
      <c r="B44" s="1543" t="s">
        <v>768</v>
      </c>
      <c r="C44" s="1543" t="s">
        <v>769</v>
      </c>
      <c r="D44" s="1543" t="s">
        <v>770</v>
      </c>
      <c r="E44" s="1543" t="s">
        <v>771</v>
      </c>
      <c r="F44" s="1543" t="s">
        <v>772</v>
      </c>
      <c r="G44" s="1543" t="s">
        <v>773</v>
      </c>
      <c r="H44" s="1543" t="s">
        <v>774</v>
      </c>
      <c r="I44" s="1543" t="s">
        <v>775</v>
      </c>
      <c r="J44" s="1543" t="s">
        <v>776</v>
      </c>
      <c r="K44" s="1543" t="s">
        <v>777</v>
      </c>
      <c r="L44" s="1543" t="s">
        <v>778</v>
      </c>
      <c r="M44" s="1544" t="s">
        <v>779</v>
      </c>
      <c r="N44" s="1545"/>
      <c r="O44" s="1525" t="s">
        <v>780</v>
      </c>
      <c r="P44" s="1543" t="s">
        <v>768</v>
      </c>
      <c r="Q44" s="1543" t="s">
        <v>769</v>
      </c>
      <c r="R44" s="1543" t="s">
        <v>770</v>
      </c>
      <c r="S44" s="1543" t="s">
        <v>771</v>
      </c>
      <c r="T44" s="1543" t="s">
        <v>772</v>
      </c>
      <c r="U44" s="1543" t="s">
        <v>773</v>
      </c>
      <c r="V44" s="1543" t="s">
        <v>774</v>
      </c>
      <c r="W44" s="1543" t="s">
        <v>775</v>
      </c>
      <c r="X44" s="1543" t="s">
        <v>776</v>
      </c>
      <c r="Y44" s="1543" t="s">
        <v>777</v>
      </c>
      <c r="Z44" s="1543" t="s">
        <v>778</v>
      </c>
      <c r="AA44" s="1544" t="s">
        <v>779</v>
      </c>
      <c r="AB44" s="1541"/>
    </row>
    <row r="45" spans="1:29" s="1533" customFormat="1">
      <c r="A45" s="1526" t="s">
        <v>52</v>
      </c>
      <c r="B45" s="1546"/>
      <c r="C45" s="1546"/>
      <c r="D45" s="1546">
        <v>26</v>
      </c>
      <c r="E45" s="1546"/>
      <c r="F45" s="1546"/>
      <c r="G45" s="1546"/>
      <c r="H45" s="1546"/>
      <c r="I45" s="1546"/>
      <c r="J45" s="1546"/>
      <c r="K45" s="1546"/>
      <c r="L45" s="1546">
        <f>SUM(B45:K45)</f>
        <v>26</v>
      </c>
      <c r="M45" s="1547">
        <f>élec!BC88-'Motif Résiliation'!L45</f>
        <v>0</v>
      </c>
      <c r="N45" s="1541"/>
      <c r="O45" s="1526" t="s">
        <v>52</v>
      </c>
      <c r="P45" s="1546"/>
      <c r="Q45" s="1546"/>
      <c r="R45" s="1546">
        <v>400</v>
      </c>
      <c r="S45" s="1546"/>
      <c r="T45" s="1546"/>
      <c r="U45" s="1546"/>
      <c r="V45" s="1546"/>
      <c r="W45" s="1546"/>
      <c r="X45" s="1546"/>
      <c r="Y45" s="1546"/>
      <c r="Z45" s="1546">
        <f>SUM(P45:Y45)</f>
        <v>400</v>
      </c>
      <c r="AA45" s="1547">
        <f>élec!AZ88-'Motif Résiliation'!Z45</f>
        <v>0</v>
      </c>
      <c r="AB45" s="1541">
        <f>Z45+Z46</f>
        <v>417</v>
      </c>
    </row>
    <row r="46" spans="1:29" s="1533" customFormat="1">
      <c r="A46" s="1526" t="s">
        <v>19</v>
      </c>
      <c r="B46" s="1546"/>
      <c r="C46" s="1546"/>
      <c r="D46" s="1546">
        <v>1</v>
      </c>
      <c r="E46" s="1546">
        <v>0</v>
      </c>
      <c r="F46" s="1546"/>
      <c r="G46" s="1546"/>
      <c r="H46" s="1546"/>
      <c r="I46" s="1546"/>
      <c r="J46" s="1546"/>
      <c r="K46" s="1546"/>
      <c r="L46" s="1546">
        <f>SUM(B46:K46)</f>
        <v>1</v>
      </c>
      <c r="M46" s="1547">
        <f>élec!BD88-'Motif Résiliation'!L46</f>
        <v>1</v>
      </c>
      <c r="N46" s="1541"/>
      <c r="O46" s="1526" t="s">
        <v>19</v>
      </c>
      <c r="P46" s="1546"/>
      <c r="Q46" s="1546"/>
      <c r="R46" s="1546"/>
      <c r="S46" s="1546">
        <v>17</v>
      </c>
      <c r="T46" s="1546"/>
      <c r="U46" s="1546"/>
      <c r="V46" s="1546"/>
      <c r="W46" s="1546"/>
      <c r="X46" s="1546"/>
      <c r="Y46" s="1546"/>
      <c r="Z46" s="1546">
        <f>SUM(P46:Y46)</f>
        <v>17</v>
      </c>
      <c r="AA46" s="1547">
        <f>élec!BA88-'Motif Résiliation'!Z46</f>
        <v>1</v>
      </c>
      <c r="AB46" s="1541"/>
    </row>
    <row r="47" spans="1:29" s="1533" customFormat="1">
      <c r="A47" s="1526" t="s">
        <v>56</v>
      </c>
      <c r="B47" s="1546"/>
      <c r="C47" s="1546"/>
      <c r="D47" s="1546">
        <v>12</v>
      </c>
      <c r="E47" s="1546"/>
      <c r="F47" s="1546"/>
      <c r="G47" s="1546"/>
      <c r="H47" s="1546"/>
      <c r="I47" s="1546"/>
      <c r="J47" s="1546"/>
      <c r="K47" s="1546"/>
      <c r="L47" s="1546">
        <f>SUM(B47:K47)</f>
        <v>12</v>
      </c>
      <c r="M47" s="1547">
        <f>gaz!BD88-'Motif Résiliation'!L47</f>
        <v>0</v>
      </c>
      <c r="N47" s="1541"/>
      <c r="O47" s="1526" t="s">
        <v>56</v>
      </c>
      <c r="P47" s="1546"/>
      <c r="Q47" s="1546"/>
      <c r="R47" s="1546">
        <v>156</v>
      </c>
      <c r="S47" s="1546"/>
      <c r="T47" s="1546"/>
      <c r="U47" s="1546"/>
      <c r="V47" s="1546"/>
      <c r="W47" s="1546"/>
      <c r="X47" s="1546"/>
      <c r="Y47" s="1546"/>
      <c r="Z47" s="1546">
        <f>SUM(P47:Y47)</f>
        <v>156</v>
      </c>
      <c r="AA47" s="1547">
        <f>gaz!AZ88-'Motif Résiliation'!Z47</f>
        <v>0</v>
      </c>
      <c r="AB47" s="1541">
        <f>Z47+Z48</f>
        <v>156</v>
      </c>
    </row>
    <row r="48" spans="1:29" s="1533" customFormat="1">
      <c r="A48" s="1526" t="s">
        <v>21</v>
      </c>
      <c r="B48" s="1546"/>
      <c r="C48" s="1546"/>
      <c r="D48" s="1546"/>
      <c r="E48" s="1546"/>
      <c r="F48" s="1546"/>
      <c r="G48" s="1546"/>
      <c r="H48" s="1546"/>
      <c r="I48" s="1546"/>
      <c r="J48" s="1546"/>
      <c r="K48" s="1546"/>
      <c r="L48" s="1546">
        <f>SUM(B48:K48)</f>
        <v>0</v>
      </c>
      <c r="M48" s="1547">
        <f>gaz!BE88-'Motif Résiliation'!L48</f>
        <v>0</v>
      </c>
      <c r="N48" s="1541"/>
      <c r="O48" s="1526" t="s">
        <v>21</v>
      </c>
      <c r="P48" s="1546"/>
      <c r="Q48" s="1546"/>
      <c r="R48" s="1546"/>
      <c r="S48" s="1546"/>
      <c r="T48" s="1546"/>
      <c r="U48" s="1546"/>
      <c r="V48" s="1546"/>
      <c r="W48" s="1546"/>
      <c r="X48" s="1546"/>
      <c r="Y48" s="1546"/>
      <c r="Z48" s="1546">
        <f>SUM(P48:Y48)</f>
        <v>0</v>
      </c>
      <c r="AA48" s="1547">
        <f>gaz!BA88-'Motif Résiliation'!Z48</f>
        <v>0</v>
      </c>
      <c r="AB48" s="1541"/>
    </row>
    <row r="49" spans="1:28" s="1533" customFormat="1">
      <c r="P49" s="1539"/>
      <c r="Q49" s="1539"/>
      <c r="R49" s="1539"/>
      <c r="S49" s="1539"/>
      <c r="T49" s="1539"/>
      <c r="U49" s="1539"/>
    </row>
    <row r="50" spans="1:28" s="1533" customFormat="1" ht="21" customHeight="1">
      <c r="A50" s="1548" t="s">
        <v>397</v>
      </c>
      <c r="B50" s="1549"/>
      <c r="C50" s="1549"/>
      <c r="D50" s="1549"/>
      <c r="E50" s="1549"/>
      <c r="F50" s="1549"/>
      <c r="G50" s="1549"/>
      <c r="H50" s="1549"/>
      <c r="I50" s="1549"/>
      <c r="J50" s="1549"/>
      <c r="K50" s="1549"/>
      <c r="L50" s="1549"/>
      <c r="M50" s="1549"/>
      <c r="N50" s="1549"/>
      <c r="O50" s="1549"/>
      <c r="P50" s="1550"/>
      <c r="Q50" s="1550"/>
      <c r="R50" s="1550"/>
      <c r="S50" s="1550"/>
      <c r="T50" s="1549"/>
      <c r="U50" s="1549"/>
      <c r="V50" s="1549"/>
      <c r="W50" s="1549"/>
      <c r="X50" s="1549"/>
      <c r="Y50" s="1549"/>
      <c r="Z50" s="1549"/>
      <c r="AA50" s="1549"/>
      <c r="AB50" s="1549"/>
    </row>
    <row r="51" spans="1:28" s="1533" customFormat="1">
      <c r="A51" s="1549"/>
      <c r="B51" s="1549"/>
      <c r="C51" s="1549"/>
      <c r="D51" s="1549"/>
      <c r="E51" s="1549"/>
      <c r="F51" s="1549"/>
      <c r="G51" s="1549"/>
      <c r="H51" s="1549"/>
      <c r="I51" s="1549"/>
      <c r="J51" s="1549"/>
      <c r="K51" s="1549"/>
      <c r="L51" s="1549"/>
      <c r="M51" s="1549"/>
      <c r="N51" s="1549"/>
      <c r="O51" s="1549"/>
      <c r="P51" s="1550"/>
      <c r="Q51" s="1550"/>
      <c r="R51" s="1550"/>
      <c r="S51" s="1550"/>
      <c r="T51" s="1549"/>
      <c r="U51" s="1549"/>
      <c r="V51" s="1549"/>
      <c r="W51" s="1549"/>
      <c r="X51" s="1549"/>
      <c r="Y51" s="1549"/>
      <c r="Z51" s="1549"/>
      <c r="AA51" s="1549"/>
      <c r="AB51" s="1549"/>
    </row>
    <row r="52" spans="1:28" s="1533" customFormat="1" ht="51" customHeight="1">
      <c r="A52" s="1527" t="s">
        <v>767</v>
      </c>
      <c r="B52" s="1551" t="s">
        <v>768</v>
      </c>
      <c r="C52" s="1551" t="s">
        <v>769</v>
      </c>
      <c r="D52" s="1551" t="s">
        <v>770</v>
      </c>
      <c r="E52" s="1551" t="s">
        <v>771</v>
      </c>
      <c r="F52" s="1551" t="s">
        <v>772</v>
      </c>
      <c r="G52" s="1551" t="s">
        <v>773</v>
      </c>
      <c r="H52" s="1551" t="s">
        <v>774</v>
      </c>
      <c r="I52" s="1551" t="s">
        <v>775</v>
      </c>
      <c r="J52" s="1551" t="s">
        <v>776</v>
      </c>
      <c r="K52" s="1551" t="s">
        <v>777</v>
      </c>
      <c r="L52" s="1551" t="s">
        <v>778</v>
      </c>
      <c r="M52" s="1552" t="s">
        <v>779</v>
      </c>
      <c r="N52" s="1553"/>
      <c r="O52" s="1527" t="s">
        <v>780</v>
      </c>
      <c r="P52" s="1551" t="s">
        <v>768</v>
      </c>
      <c r="Q52" s="1551" t="s">
        <v>769</v>
      </c>
      <c r="R52" s="1551" t="s">
        <v>770</v>
      </c>
      <c r="S52" s="1551" t="s">
        <v>771</v>
      </c>
      <c r="T52" s="1551" t="s">
        <v>772</v>
      </c>
      <c r="U52" s="1551" t="s">
        <v>773</v>
      </c>
      <c r="V52" s="1551" t="s">
        <v>774</v>
      </c>
      <c r="W52" s="1551" t="s">
        <v>775</v>
      </c>
      <c r="X52" s="1551" t="s">
        <v>776</v>
      </c>
      <c r="Y52" s="1551" t="s">
        <v>777</v>
      </c>
      <c r="Z52" s="1551" t="s">
        <v>778</v>
      </c>
      <c r="AA52" s="1552" t="s">
        <v>779</v>
      </c>
      <c r="AB52" s="1549"/>
    </row>
    <row r="53" spans="1:28" s="1533" customFormat="1">
      <c r="A53" s="1528" t="s">
        <v>52</v>
      </c>
      <c r="B53" s="1554"/>
      <c r="C53" s="1554"/>
      <c r="D53" s="1554">
        <v>38</v>
      </c>
      <c r="E53" s="1554">
        <v>22</v>
      </c>
      <c r="F53" s="1554">
        <v>2</v>
      </c>
      <c r="G53" s="1554">
        <v>0</v>
      </c>
      <c r="H53" s="1554"/>
      <c r="I53" s="1554"/>
      <c r="J53" s="1554"/>
      <c r="K53" s="1554">
        <v>51</v>
      </c>
      <c r="L53" s="1554">
        <f>SUM(B53:K53)</f>
        <v>113</v>
      </c>
      <c r="M53" s="1555">
        <f>élec!BC89-'Motif Résiliation'!L53</f>
        <v>0</v>
      </c>
      <c r="N53" s="1549"/>
      <c r="O53" s="1528" t="s">
        <v>52</v>
      </c>
      <c r="P53" s="1554"/>
      <c r="Q53" s="1554"/>
      <c r="R53" s="1554">
        <v>973</v>
      </c>
      <c r="S53" s="1554">
        <v>190</v>
      </c>
      <c r="T53" s="1554">
        <v>36</v>
      </c>
      <c r="U53" s="1554">
        <v>3</v>
      </c>
      <c r="V53" s="1554"/>
      <c r="W53" s="1554"/>
      <c r="X53" s="1554"/>
      <c r="Y53" s="1554">
        <v>631</v>
      </c>
      <c r="Z53" s="1554">
        <f>SUM(P53:Y53)</f>
        <v>1833</v>
      </c>
      <c r="AA53" s="1555">
        <f>élec!AZ89-'Motif Résiliation'!Z53</f>
        <v>0</v>
      </c>
      <c r="AB53" s="1549">
        <f>Z53+Z54</f>
        <v>1835</v>
      </c>
    </row>
    <row r="54" spans="1:28" s="1533" customFormat="1">
      <c r="A54" s="1528" t="s">
        <v>19</v>
      </c>
      <c r="B54" s="1554"/>
      <c r="C54" s="1554"/>
      <c r="D54" s="1554"/>
      <c r="E54" s="1554"/>
      <c r="F54" s="1554"/>
      <c r="G54" s="1554"/>
      <c r="H54" s="1554"/>
      <c r="I54" s="1554"/>
      <c r="J54" s="1554"/>
      <c r="K54" s="1554"/>
      <c r="L54" s="1554">
        <f>SUM(B54:K54)</f>
        <v>0</v>
      </c>
      <c r="M54" s="1555">
        <f>élec!BD89-'Motif Résiliation'!L54</f>
        <v>0</v>
      </c>
      <c r="N54" s="1549"/>
      <c r="O54" s="1528" t="s">
        <v>19</v>
      </c>
      <c r="P54" s="1554"/>
      <c r="Q54" s="1554"/>
      <c r="R54" s="1554"/>
      <c r="S54" s="1554">
        <v>2</v>
      </c>
      <c r="T54" s="1554"/>
      <c r="U54" s="1554"/>
      <c r="V54" s="1554"/>
      <c r="W54" s="1554"/>
      <c r="X54" s="1554"/>
      <c r="Y54" s="1554"/>
      <c r="Z54" s="1554">
        <f>SUM(P54:Y54)</f>
        <v>2</v>
      </c>
      <c r="AA54" s="1555">
        <f>élec!BA89-'Motif Résiliation'!Z54</f>
        <v>0</v>
      </c>
      <c r="AB54" s="1549"/>
    </row>
    <row r="55" spans="1:28" s="1533" customFormat="1">
      <c r="A55" s="1528" t="s">
        <v>56</v>
      </c>
      <c r="B55" s="1554"/>
      <c r="C55" s="1554"/>
      <c r="D55" s="1554">
        <v>5</v>
      </c>
      <c r="E55" s="1554">
        <v>9</v>
      </c>
      <c r="F55" s="1554"/>
      <c r="G55" s="1554"/>
      <c r="H55" s="1554"/>
      <c r="I55" s="1554"/>
      <c r="J55" s="1554"/>
      <c r="K55" s="1554">
        <v>33</v>
      </c>
      <c r="L55" s="1554">
        <f>SUM(B55:K55)</f>
        <v>47</v>
      </c>
      <c r="M55" s="1555">
        <f>gaz!BD89-'Motif Résiliation'!L55</f>
        <v>0</v>
      </c>
      <c r="N55" s="1549"/>
      <c r="O55" s="1528" t="s">
        <v>56</v>
      </c>
      <c r="P55" s="1554"/>
      <c r="Q55" s="1554"/>
      <c r="R55" s="1554">
        <v>18</v>
      </c>
      <c r="S55" s="1554">
        <v>40</v>
      </c>
      <c r="T55" s="1554">
        <v>2</v>
      </c>
      <c r="U55" s="1554"/>
      <c r="V55" s="1554"/>
      <c r="W55" s="1554"/>
      <c r="X55" s="1554"/>
      <c r="Y55" s="1554">
        <v>150</v>
      </c>
      <c r="Z55" s="1554">
        <f>SUM(P55:Y55)</f>
        <v>210</v>
      </c>
      <c r="AA55" s="1555">
        <f>gaz!AZ89-'Motif Résiliation'!Z55</f>
        <v>0</v>
      </c>
      <c r="AB55" s="1549">
        <f>Z55+Z56</f>
        <v>210</v>
      </c>
    </row>
    <row r="56" spans="1:28" s="1533" customFormat="1">
      <c r="A56" s="1528" t="s">
        <v>21</v>
      </c>
      <c r="B56" s="1554"/>
      <c r="C56" s="1554"/>
      <c r="D56" s="1554">
        <v>0</v>
      </c>
      <c r="E56" s="1554">
        <v>0</v>
      </c>
      <c r="F56" s="1554">
        <v>0</v>
      </c>
      <c r="G56" s="1554">
        <v>0</v>
      </c>
      <c r="H56" s="1554"/>
      <c r="I56" s="1554"/>
      <c r="J56" s="1554"/>
      <c r="K56" s="1554">
        <v>0</v>
      </c>
      <c r="L56" s="1554">
        <f>SUM(B56:K56)</f>
        <v>0</v>
      </c>
      <c r="M56" s="1555">
        <f>gaz!BE89-'Motif Résiliation'!L56</f>
        <v>0</v>
      </c>
      <c r="N56" s="1549"/>
      <c r="O56" s="1528" t="s">
        <v>21</v>
      </c>
      <c r="P56" s="1554"/>
      <c r="Q56" s="1554"/>
      <c r="R56" s="1554">
        <v>0</v>
      </c>
      <c r="S56" s="1554"/>
      <c r="T56" s="1554">
        <v>0</v>
      </c>
      <c r="U56" s="1554">
        <v>0</v>
      </c>
      <c r="V56" s="1554"/>
      <c r="W56" s="1554"/>
      <c r="X56" s="1554"/>
      <c r="Y56" s="1554">
        <v>0</v>
      </c>
      <c r="Z56" s="1554">
        <f>SUM(P56:Y56)</f>
        <v>0</v>
      </c>
      <c r="AA56" s="1555">
        <f>gaz!BA89-'Motif Résiliation'!Z56</f>
        <v>0</v>
      </c>
      <c r="AB56" s="1549"/>
    </row>
    <row r="57" spans="1:28" s="1533" customFormat="1">
      <c r="P57" s="1539"/>
      <c r="Q57" s="1539"/>
      <c r="R57" s="1539"/>
      <c r="S57" s="1539"/>
      <c r="T57" s="1539"/>
      <c r="U57" s="1539"/>
    </row>
    <row r="58" spans="1:28" s="1533" customFormat="1" ht="21" customHeight="1">
      <c r="A58" s="1540" t="s">
        <v>399</v>
      </c>
      <c r="B58" s="1541"/>
      <c r="C58" s="1541"/>
      <c r="D58" s="1541"/>
      <c r="E58" s="1541"/>
      <c r="F58" s="1541"/>
      <c r="G58" s="1541"/>
      <c r="H58" s="1541"/>
      <c r="I58" s="1541"/>
      <c r="J58" s="1541"/>
      <c r="K58" s="1541"/>
      <c r="L58" s="1541"/>
      <c r="M58" s="1541"/>
      <c r="N58" s="1541"/>
      <c r="O58" s="1541"/>
      <c r="P58" s="1542"/>
      <c r="Q58" s="1542"/>
      <c r="R58" s="1542"/>
      <c r="S58" s="1542"/>
      <c r="T58" s="1541"/>
      <c r="U58" s="1541"/>
      <c r="V58" s="1541"/>
      <c r="W58" s="1541"/>
      <c r="X58" s="1541"/>
      <c r="Y58" s="1541"/>
      <c r="Z58" s="1541"/>
      <c r="AA58" s="1541"/>
      <c r="AB58" s="1541"/>
    </row>
    <row r="59" spans="1:28" s="1533" customFormat="1">
      <c r="A59" s="1541"/>
      <c r="B59" s="1541"/>
      <c r="C59" s="1541"/>
      <c r="D59" s="1541"/>
      <c r="E59" s="1541"/>
      <c r="F59" s="1541"/>
      <c r="G59" s="1541"/>
      <c r="H59" s="1541"/>
      <c r="I59" s="1541"/>
      <c r="J59" s="1541"/>
      <c r="K59" s="1541"/>
      <c r="L59" s="1541"/>
      <c r="M59" s="1541"/>
      <c r="N59" s="1541"/>
      <c r="O59" s="1541"/>
      <c r="P59" s="1542"/>
      <c r="Q59" s="1542"/>
      <c r="R59" s="1542"/>
      <c r="S59" s="1542"/>
      <c r="T59" s="1541"/>
      <c r="U59" s="1541"/>
      <c r="V59" s="1541"/>
      <c r="W59" s="1541"/>
      <c r="X59" s="1541"/>
      <c r="Y59" s="1541"/>
      <c r="Z59" s="1541"/>
      <c r="AA59" s="1541"/>
      <c r="AB59" s="1541"/>
    </row>
    <row r="60" spans="1:28" s="1533" customFormat="1" ht="51" customHeight="1">
      <c r="A60" s="1525" t="s">
        <v>767</v>
      </c>
      <c r="B60" s="1543" t="s">
        <v>768</v>
      </c>
      <c r="C60" s="1543" t="s">
        <v>769</v>
      </c>
      <c r="D60" s="1543" t="s">
        <v>770</v>
      </c>
      <c r="E60" s="1543" t="s">
        <v>771</v>
      </c>
      <c r="F60" s="1543" t="s">
        <v>772</v>
      </c>
      <c r="G60" s="1543" t="s">
        <v>773</v>
      </c>
      <c r="H60" s="1543" t="s">
        <v>774</v>
      </c>
      <c r="I60" s="1543" t="s">
        <v>775</v>
      </c>
      <c r="J60" s="1543" t="s">
        <v>776</v>
      </c>
      <c r="K60" s="1543" t="s">
        <v>777</v>
      </c>
      <c r="L60" s="1543" t="s">
        <v>778</v>
      </c>
      <c r="M60" s="1544" t="s">
        <v>779</v>
      </c>
      <c r="N60" s="1545"/>
      <c r="O60" s="1525" t="s">
        <v>780</v>
      </c>
      <c r="P60" s="1543" t="s">
        <v>768</v>
      </c>
      <c r="Q60" s="1543" t="s">
        <v>769</v>
      </c>
      <c r="R60" s="1543" t="s">
        <v>770</v>
      </c>
      <c r="S60" s="1543" t="s">
        <v>771</v>
      </c>
      <c r="T60" s="1543" t="s">
        <v>772</v>
      </c>
      <c r="U60" s="1543" t="s">
        <v>773</v>
      </c>
      <c r="V60" s="1543" t="s">
        <v>774</v>
      </c>
      <c r="W60" s="1543" t="s">
        <v>775</v>
      </c>
      <c r="X60" s="1543" t="s">
        <v>776</v>
      </c>
      <c r="Y60" s="1543" t="s">
        <v>777</v>
      </c>
      <c r="Z60" s="1543" t="s">
        <v>778</v>
      </c>
      <c r="AA60" s="1544" t="s">
        <v>779</v>
      </c>
      <c r="AB60" s="1541"/>
    </row>
    <row r="61" spans="1:28" s="1533" customFormat="1">
      <c r="A61" s="1526" t="s">
        <v>52</v>
      </c>
      <c r="B61" s="1546">
        <v>10</v>
      </c>
      <c r="C61" s="1546"/>
      <c r="D61" s="1546">
        <v>29</v>
      </c>
      <c r="E61" s="1546">
        <v>34</v>
      </c>
      <c r="F61" s="1546">
        <v>3</v>
      </c>
      <c r="G61" s="1546"/>
      <c r="H61" s="1546"/>
      <c r="I61" s="1546"/>
      <c r="J61" s="1546">
        <v>42</v>
      </c>
      <c r="K61" s="1546">
        <v>1</v>
      </c>
      <c r="L61" s="1546">
        <f>SUM(B61:K61)</f>
        <v>119</v>
      </c>
      <c r="M61" s="1547">
        <f>élec!BC90-'Motif Résiliation'!L61</f>
        <v>0</v>
      </c>
      <c r="N61" s="1541"/>
      <c r="O61" s="1526" t="s">
        <v>52</v>
      </c>
      <c r="P61" s="1546">
        <v>594</v>
      </c>
      <c r="Q61" s="1546"/>
      <c r="R61" s="1546">
        <v>638</v>
      </c>
      <c r="S61" s="1546">
        <v>208</v>
      </c>
      <c r="T61" s="1546">
        <v>63</v>
      </c>
      <c r="U61" s="1546"/>
      <c r="V61" s="1546"/>
      <c r="W61" s="1546"/>
      <c r="X61" s="1546">
        <v>101</v>
      </c>
      <c r="Y61" s="1546">
        <v>1</v>
      </c>
      <c r="Z61" s="1546">
        <f>SUM(P61:Y61)</f>
        <v>1605</v>
      </c>
      <c r="AA61" s="1547">
        <f>élec!AZ90-'Motif Résiliation'!Z61</f>
        <v>0</v>
      </c>
      <c r="AB61" s="1541">
        <f>Z61+Z62</f>
        <v>1605</v>
      </c>
    </row>
    <row r="62" spans="1:28" s="1533" customFormat="1">
      <c r="A62" s="1526" t="s">
        <v>19</v>
      </c>
      <c r="B62" s="1546"/>
      <c r="C62" s="1546"/>
      <c r="D62" s="1546"/>
      <c r="E62" s="1546"/>
      <c r="F62" s="1546"/>
      <c r="G62" s="1546"/>
      <c r="H62" s="1546"/>
      <c r="I62" s="1546"/>
      <c r="J62" s="1546"/>
      <c r="K62" s="1546"/>
      <c r="L62" s="1546">
        <f>SUM(B62:K62)</f>
        <v>0</v>
      </c>
      <c r="M62" s="1547">
        <f>élec!BD90-'Motif Résiliation'!L62</f>
        <v>0</v>
      </c>
      <c r="N62" s="1541"/>
      <c r="O62" s="1526" t="s">
        <v>19</v>
      </c>
      <c r="P62" s="1546"/>
      <c r="Q62" s="1546"/>
      <c r="R62" s="1546"/>
      <c r="S62" s="1546">
        <v>0</v>
      </c>
      <c r="T62" s="1546"/>
      <c r="U62" s="1546"/>
      <c r="V62" s="1546"/>
      <c r="W62" s="1546"/>
      <c r="X62" s="1546">
        <v>0</v>
      </c>
      <c r="Y62" s="1546">
        <v>0</v>
      </c>
      <c r="Z62" s="1546">
        <f>SUM(P62:Y62)</f>
        <v>0</v>
      </c>
      <c r="AA62" s="1547">
        <f>élec!BA90-'Motif Résiliation'!Z62</f>
        <v>0</v>
      </c>
      <c r="AB62" s="1541"/>
    </row>
    <row r="63" spans="1:28" s="1533" customFormat="1">
      <c r="A63" s="1526" t="s">
        <v>56</v>
      </c>
      <c r="B63" s="1546">
        <v>5</v>
      </c>
      <c r="C63" s="1546"/>
      <c r="D63" s="1546">
        <v>1</v>
      </c>
      <c r="E63" s="1546">
        <v>15</v>
      </c>
      <c r="F63" s="1546">
        <v>4</v>
      </c>
      <c r="G63" s="1546"/>
      <c r="H63" s="1546"/>
      <c r="I63" s="1546"/>
      <c r="J63" s="1546"/>
      <c r="K63" s="1546">
        <v>3</v>
      </c>
      <c r="L63" s="1546">
        <f>SUM(B63:K63)</f>
        <v>28</v>
      </c>
      <c r="M63" s="1547">
        <f>gaz!BD90-'Motif Résiliation'!L63</f>
        <v>0</v>
      </c>
      <c r="N63" s="1541"/>
      <c r="O63" s="1526" t="s">
        <v>56</v>
      </c>
      <c r="P63" s="1546">
        <v>109</v>
      </c>
      <c r="Q63" s="1546"/>
      <c r="R63" s="1546">
        <v>158</v>
      </c>
      <c r="S63" s="1546">
        <v>68</v>
      </c>
      <c r="T63" s="1546">
        <v>13</v>
      </c>
      <c r="U63" s="1546"/>
      <c r="V63" s="1546"/>
      <c r="W63" s="1546"/>
      <c r="X63" s="1546">
        <v>1</v>
      </c>
      <c r="Y63" s="1546">
        <v>2</v>
      </c>
      <c r="Z63" s="1546">
        <f>SUM(P63:Y63)</f>
        <v>351</v>
      </c>
      <c r="AA63" s="1547">
        <f>gaz!AZ90-'Motif Résiliation'!Z63</f>
        <v>0</v>
      </c>
      <c r="AB63" s="1541">
        <f>Z63+Z64</f>
        <v>351</v>
      </c>
    </row>
    <row r="64" spans="1:28" s="1533" customFormat="1">
      <c r="A64" s="1526" t="s">
        <v>21</v>
      </c>
      <c r="B64" s="1546"/>
      <c r="C64" s="1546"/>
      <c r="D64" s="1546"/>
      <c r="E64" s="1546"/>
      <c r="F64" s="1546"/>
      <c r="G64" s="1546"/>
      <c r="H64" s="1546"/>
      <c r="I64" s="1546"/>
      <c r="J64" s="1546"/>
      <c r="K64" s="1546"/>
      <c r="L64" s="1546">
        <f>SUM(B64:K64)</f>
        <v>0</v>
      </c>
      <c r="M64" s="1547">
        <f>gaz!BE90-'Motif Résiliation'!L64</f>
        <v>0</v>
      </c>
      <c r="N64" s="1541"/>
      <c r="O64" s="1526" t="s">
        <v>21</v>
      </c>
      <c r="P64" s="1546"/>
      <c r="Q64" s="1546"/>
      <c r="R64" s="1546"/>
      <c r="S64" s="1546"/>
      <c r="T64" s="1546"/>
      <c r="U64" s="1546"/>
      <c r="V64" s="1546"/>
      <c r="W64" s="1546"/>
      <c r="X64" s="1546">
        <v>0</v>
      </c>
      <c r="Y64" s="1546">
        <v>0</v>
      </c>
      <c r="Z64" s="1546">
        <f>SUM(P64:Y64)</f>
        <v>0</v>
      </c>
      <c r="AA64" s="1547">
        <f>gaz!BA90-'Motif Résiliation'!Z64</f>
        <v>0</v>
      </c>
      <c r="AB64" s="1541"/>
    </row>
    <row r="65" spans="1:28" s="1533" customFormat="1">
      <c r="P65" s="1539"/>
      <c r="Q65" s="1539"/>
      <c r="R65" s="1539"/>
      <c r="S65" s="1539"/>
      <c r="T65" s="1539"/>
      <c r="U65" s="1539"/>
    </row>
    <row r="66" spans="1:28" s="1533" customFormat="1" ht="21" customHeight="1">
      <c r="A66" s="1548" t="s">
        <v>883</v>
      </c>
      <c r="B66" s="1549"/>
      <c r="C66" s="1549"/>
      <c r="D66" s="1549"/>
      <c r="E66" s="1549"/>
      <c r="F66" s="1549"/>
      <c r="G66" s="1549"/>
      <c r="H66" s="1549"/>
      <c r="I66" s="1549"/>
      <c r="J66" s="1549"/>
      <c r="K66" s="1549"/>
      <c r="L66" s="1549"/>
      <c r="M66" s="1549"/>
      <c r="N66" s="1549"/>
      <c r="O66" s="1549"/>
      <c r="P66" s="1550"/>
      <c r="Q66" s="1550"/>
      <c r="R66" s="1550"/>
      <c r="S66" s="1550"/>
      <c r="T66" s="1549"/>
      <c r="U66" s="1549"/>
      <c r="V66" s="1549"/>
      <c r="W66" s="1549"/>
      <c r="X66" s="1549"/>
      <c r="Y66" s="1549"/>
      <c r="Z66" s="1549"/>
      <c r="AA66" s="1549"/>
      <c r="AB66" s="1549"/>
    </row>
    <row r="67" spans="1:28" s="1533" customFormat="1">
      <c r="A67" s="1549"/>
      <c r="B67" s="1549"/>
      <c r="C67" s="1549"/>
      <c r="D67" s="1549"/>
      <c r="E67" s="1549"/>
      <c r="F67" s="1549"/>
      <c r="G67" s="1549"/>
      <c r="H67" s="1549"/>
      <c r="I67" s="1549"/>
      <c r="J67" s="1549"/>
      <c r="K67" s="1549"/>
      <c r="L67" s="1549"/>
      <c r="M67" s="1549"/>
      <c r="N67" s="1549"/>
      <c r="O67" s="1549"/>
      <c r="P67" s="1550"/>
      <c r="Q67" s="1550"/>
      <c r="R67" s="1550"/>
      <c r="S67" s="1550"/>
      <c r="T67" s="1549"/>
      <c r="U67" s="1549"/>
      <c r="V67" s="1549"/>
      <c r="W67" s="1549"/>
      <c r="X67" s="1549"/>
      <c r="Y67" s="1549"/>
      <c r="Z67" s="1549"/>
      <c r="AA67" s="1549"/>
      <c r="AB67" s="1549"/>
    </row>
    <row r="68" spans="1:28" s="1533" customFormat="1" ht="51" customHeight="1">
      <c r="A68" s="1527" t="s">
        <v>767</v>
      </c>
      <c r="B68" s="1551" t="s">
        <v>768</v>
      </c>
      <c r="C68" s="1551" t="s">
        <v>769</v>
      </c>
      <c r="D68" s="1551" t="s">
        <v>770</v>
      </c>
      <c r="E68" s="1551" t="s">
        <v>771</v>
      </c>
      <c r="F68" s="1551" t="s">
        <v>772</v>
      </c>
      <c r="G68" s="1551" t="s">
        <v>773</v>
      </c>
      <c r="H68" s="1551" t="s">
        <v>774</v>
      </c>
      <c r="I68" s="1551" t="s">
        <v>775</v>
      </c>
      <c r="J68" s="1551" t="s">
        <v>776</v>
      </c>
      <c r="K68" s="1551" t="s">
        <v>777</v>
      </c>
      <c r="L68" s="1551" t="s">
        <v>778</v>
      </c>
      <c r="M68" s="1552" t="s">
        <v>779</v>
      </c>
      <c r="N68" s="1553"/>
      <c r="O68" s="1527" t="s">
        <v>780</v>
      </c>
      <c r="P68" s="1551" t="s">
        <v>768</v>
      </c>
      <c r="Q68" s="1551" t="s">
        <v>769</v>
      </c>
      <c r="R68" s="1551" t="s">
        <v>770</v>
      </c>
      <c r="S68" s="1551" t="s">
        <v>771</v>
      </c>
      <c r="T68" s="1551" t="s">
        <v>772</v>
      </c>
      <c r="U68" s="1551" t="s">
        <v>773</v>
      </c>
      <c r="V68" s="1551" t="s">
        <v>774</v>
      </c>
      <c r="W68" s="1551" t="s">
        <v>775</v>
      </c>
      <c r="X68" s="1551" t="s">
        <v>776</v>
      </c>
      <c r="Y68" s="1551" t="s">
        <v>777</v>
      </c>
      <c r="Z68" s="1551" t="s">
        <v>778</v>
      </c>
      <c r="AA68" s="1552" t="s">
        <v>779</v>
      </c>
      <c r="AB68" s="1549"/>
    </row>
    <row r="69" spans="1:28" s="1533" customFormat="1">
      <c r="A69" s="1528" t="s">
        <v>52</v>
      </c>
      <c r="B69" s="1554">
        <v>3</v>
      </c>
      <c r="C69" s="1554"/>
      <c r="D69" s="1554">
        <v>28</v>
      </c>
      <c r="E69" s="1554">
        <v>28</v>
      </c>
      <c r="F69" s="1554">
        <v>4</v>
      </c>
      <c r="G69" s="1554"/>
      <c r="H69" s="1554"/>
      <c r="I69" s="1554"/>
      <c r="J69" s="1554">
        <v>0</v>
      </c>
      <c r="K69" s="1554">
        <v>7</v>
      </c>
      <c r="L69" s="1554">
        <f>SUM(B69:K69)</f>
        <v>70</v>
      </c>
      <c r="M69" s="1555">
        <f>élec!BC91-'Motif Résiliation'!L69</f>
        <v>0</v>
      </c>
      <c r="N69" s="1549"/>
      <c r="O69" s="1528" t="s">
        <v>52</v>
      </c>
      <c r="P69" s="1554">
        <v>16</v>
      </c>
      <c r="Q69" s="1554"/>
      <c r="R69" s="1554">
        <v>642</v>
      </c>
      <c r="S69" s="1554">
        <v>199</v>
      </c>
      <c r="T69" s="1554">
        <v>19</v>
      </c>
      <c r="U69" s="1554"/>
      <c r="V69" s="1554"/>
      <c r="W69" s="1554"/>
      <c r="X69" s="1554">
        <v>3</v>
      </c>
      <c r="Y69" s="1554">
        <v>12</v>
      </c>
      <c r="Z69" s="1554">
        <f>SUM(P69:Y69)</f>
        <v>891</v>
      </c>
      <c r="AA69" s="1555">
        <f>élec!AZ91-'Motif Résiliation'!Z69</f>
        <v>0</v>
      </c>
      <c r="AB69" s="1549">
        <f>Z69+Z70</f>
        <v>894</v>
      </c>
    </row>
    <row r="70" spans="1:28" s="1533" customFormat="1">
      <c r="A70" s="1528" t="s">
        <v>19</v>
      </c>
      <c r="B70" s="1554"/>
      <c r="C70" s="1554"/>
      <c r="D70" s="1554"/>
      <c r="E70" s="1554">
        <v>0</v>
      </c>
      <c r="F70" s="1554"/>
      <c r="G70" s="1554"/>
      <c r="H70" s="1554"/>
      <c r="I70" s="1554"/>
      <c r="J70" s="1554"/>
      <c r="K70" s="1554"/>
      <c r="L70" s="1554">
        <f>SUM(B70:K70)</f>
        <v>0</v>
      </c>
      <c r="M70" s="1555">
        <f>élec!BD91-'Motif Résiliation'!L70</f>
        <v>0</v>
      </c>
      <c r="N70" s="1549"/>
      <c r="O70" s="1528" t="s">
        <v>19</v>
      </c>
      <c r="P70" s="1554"/>
      <c r="Q70" s="1554"/>
      <c r="R70" s="1554">
        <v>0</v>
      </c>
      <c r="S70" s="1554">
        <v>3</v>
      </c>
      <c r="T70" s="1554"/>
      <c r="U70" s="1554"/>
      <c r="V70" s="1554"/>
      <c r="W70" s="1554"/>
      <c r="X70" s="1554"/>
      <c r="Y70" s="1554"/>
      <c r="Z70" s="1554">
        <f>SUM(P70:Y70)</f>
        <v>3</v>
      </c>
      <c r="AA70" s="1555">
        <f>élec!BA91-'Motif Résiliation'!Z70</f>
        <v>0</v>
      </c>
      <c r="AB70" s="1549"/>
    </row>
    <row r="71" spans="1:28" s="1533" customFormat="1">
      <c r="A71" s="1528" t="s">
        <v>56</v>
      </c>
      <c r="B71" s="1554">
        <v>0</v>
      </c>
      <c r="C71" s="1554"/>
      <c r="D71" s="1554">
        <v>0</v>
      </c>
      <c r="E71" s="1554">
        <v>2</v>
      </c>
      <c r="F71" s="1554">
        <v>1</v>
      </c>
      <c r="G71" s="1554"/>
      <c r="H71" s="1554"/>
      <c r="I71" s="1554"/>
      <c r="J71" s="1554">
        <v>0</v>
      </c>
      <c r="K71" s="1554">
        <v>2</v>
      </c>
      <c r="L71" s="1554">
        <f>SUM(B71:K71)</f>
        <v>5</v>
      </c>
      <c r="M71" s="1555">
        <f>gaz!BD91-'Motif Résiliation'!L71</f>
        <v>0</v>
      </c>
      <c r="N71" s="1549"/>
      <c r="O71" s="1528" t="s">
        <v>56</v>
      </c>
      <c r="P71" s="1554">
        <v>13</v>
      </c>
      <c r="Q71" s="1554"/>
      <c r="R71" s="1554">
        <v>74</v>
      </c>
      <c r="S71" s="1786">
        <v>37</v>
      </c>
      <c r="T71" s="1554">
        <v>3</v>
      </c>
      <c r="U71" s="1554"/>
      <c r="V71" s="1786"/>
      <c r="W71" s="1554"/>
      <c r="X71" s="1554">
        <v>5</v>
      </c>
      <c r="Y71" s="1554">
        <v>6</v>
      </c>
      <c r="Z71" s="1554">
        <f>SUM(P71:Y71)</f>
        <v>138</v>
      </c>
      <c r="AA71" s="1555">
        <f>gaz!AZ91-'Motif Résiliation'!Z71</f>
        <v>0</v>
      </c>
      <c r="AB71" s="1549">
        <f>Z71+Z72</f>
        <v>138</v>
      </c>
    </row>
    <row r="72" spans="1:28" s="1533" customFormat="1">
      <c r="A72" s="1528" t="s">
        <v>21</v>
      </c>
      <c r="B72" s="1554"/>
      <c r="C72" s="1554"/>
      <c r="D72" s="1554"/>
      <c r="E72" s="1554"/>
      <c r="F72" s="1554"/>
      <c r="G72" s="1554"/>
      <c r="H72" s="1554"/>
      <c r="I72" s="1554"/>
      <c r="J72" s="1554"/>
      <c r="K72" s="1554"/>
      <c r="L72" s="1554">
        <f>SUM(B72:K72)</f>
        <v>0</v>
      </c>
      <c r="M72" s="1555">
        <f>gaz!BE91-'Motif Résiliation'!L72</f>
        <v>0</v>
      </c>
      <c r="N72" s="1549"/>
      <c r="O72" s="1528" t="s">
        <v>21</v>
      </c>
      <c r="P72" s="1554"/>
      <c r="Q72" s="1554"/>
      <c r="R72" s="1554"/>
      <c r="S72" s="1554"/>
      <c r="T72" s="1554"/>
      <c r="U72" s="1554"/>
      <c r="V72" s="1554"/>
      <c r="W72" s="1554"/>
      <c r="X72" s="1554"/>
      <c r="Y72" s="1554"/>
      <c r="Z72" s="1554">
        <f>SUM(P72:Y72)</f>
        <v>0</v>
      </c>
      <c r="AA72" s="1555">
        <f>gaz!BA91-'Motif Résiliation'!Z72</f>
        <v>0</v>
      </c>
      <c r="AB72" s="1549"/>
    </row>
    <row r="73" spans="1:28" s="1533" customFormat="1">
      <c r="P73" s="1539"/>
      <c r="Q73" s="1539"/>
      <c r="R73" s="1539"/>
      <c r="S73" s="1539"/>
      <c r="T73" s="1539"/>
      <c r="U73" s="1539"/>
    </row>
    <row r="74" spans="1:28" s="1533" customFormat="1" ht="21" customHeight="1">
      <c r="A74" s="1540" t="s">
        <v>884</v>
      </c>
      <c r="B74" s="1541"/>
      <c r="C74" s="1541"/>
      <c r="D74" s="1541"/>
      <c r="E74" s="1541"/>
      <c r="F74" s="1541"/>
      <c r="G74" s="1541"/>
      <c r="H74" s="1541"/>
      <c r="I74" s="1541"/>
      <c r="J74" s="1541"/>
      <c r="K74" s="1541"/>
      <c r="L74" s="1541"/>
      <c r="M74" s="1541"/>
      <c r="N74" s="1541"/>
      <c r="O74" s="1541"/>
      <c r="P74" s="1542"/>
      <c r="Q74" s="1542"/>
      <c r="R74" s="1542"/>
      <c r="S74" s="1542"/>
      <c r="T74" s="1541"/>
      <c r="U74" s="1541"/>
      <c r="V74" s="1541"/>
      <c r="W74" s="1541"/>
      <c r="X74" s="1541"/>
      <c r="Y74" s="1541"/>
      <c r="Z74" s="1541"/>
      <c r="AA74" s="1541"/>
      <c r="AB74" s="1541"/>
    </row>
    <row r="75" spans="1:28" s="1533" customFormat="1">
      <c r="A75" s="1541"/>
      <c r="B75" s="1541"/>
      <c r="C75" s="1541"/>
      <c r="D75" s="1541"/>
      <c r="E75" s="1541"/>
      <c r="F75" s="1541"/>
      <c r="G75" s="1541"/>
      <c r="H75" s="1541"/>
      <c r="I75" s="1541"/>
      <c r="J75" s="1541"/>
      <c r="K75" s="1541"/>
      <c r="L75" s="1541"/>
      <c r="M75" s="1541"/>
      <c r="N75" s="1541"/>
      <c r="O75" s="1541"/>
      <c r="P75" s="1542"/>
      <c r="Q75" s="1542"/>
      <c r="R75" s="1542"/>
      <c r="S75" s="1542"/>
      <c r="T75" s="1541"/>
      <c r="U75" s="1541"/>
      <c r="V75" s="1541"/>
      <c r="W75" s="1541"/>
      <c r="X75" s="1541"/>
      <c r="Y75" s="1541"/>
      <c r="Z75" s="1541"/>
      <c r="AA75" s="1541"/>
      <c r="AB75" s="1541"/>
    </row>
    <row r="76" spans="1:28" s="1533" customFormat="1" ht="51" customHeight="1">
      <c r="A76" s="1525" t="s">
        <v>767</v>
      </c>
      <c r="B76" s="1543" t="s">
        <v>768</v>
      </c>
      <c r="C76" s="1543" t="s">
        <v>769</v>
      </c>
      <c r="D76" s="1543" t="s">
        <v>770</v>
      </c>
      <c r="E76" s="1543" t="s">
        <v>771</v>
      </c>
      <c r="F76" s="1543" t="s">
        <v>772</v>
      </c>
      <c r="G76" s="1543" t="s">
        <v>773</v>
      </c>
      <c r="H76" s="1543" t="s">
        <v>774</v>
      </c>
      <c r="I76" s="1543" t="s">
        <v>775</v>
      </c>
      <c r="J76" s="1543" t="s">
        <v>776</v>
      </c>
      <c r="K76" s="1543" t="s">
        <v>777</v>
      </c>
      <c r="L76" s="1543" t="s">
        <v>778</v>
      </c>
      <c r="M76" s="1544" t="s">
        <v>779</v>
      </c>
      <c r="N76" s="1545"/>
      <c r="O76" s="1525" t="s">
        <v>780</v>
      </c>
      <c r="P76" s="1543" t="s">
        <v>768</v>
      </c>
      <c r="Q76" s="1543" t="s">
        <v>769</v>
      </c>
      <c r="R76" s="1543" t="s">
        <v>770</v>
      </c>
      <c r="S76" s="1543" t="s">
        <v>771</v>
      </c>
      <c r="T76" s="1543" t="s">
        <v>772</v>
      </c>
      <c r="U76" s="1543" t="s">
        <v>773</v>
      </c>
      <c r="V76" s="1543" t="s">
        <v>774</v>
      </c>
      <c r="W76" s="1543" t="s">
        <v>775</v>
      </c>
      <c r="X76" s="1543" t="s">
        <v>776</v>
      </c>
      <c r="Y76" s="1543" t="s">
        <v>777</v>
      </c>
      <c r="Z76" s="1543" t="s">
        <v>778</v>
      </c>
      <c r="AA76" s="1544" t="s">
        <v>779</v>
      </c>
      <c r="AB76" s="1541"/>
    </row>
    <row r="77" spans="1:28" s="1533" customFormat="1">
      <c r="A77" s="1526" t="s">
        <v>52</v>
      </c>
      <c r="B77" s="1546">
        <v>25</v>
      </c>
      <c r="C77" s="1546">
        <v>4</v>
      </c>
      <c r="D77" s="1546">
        <v>32</v>
      </c>
      <c r="E77" s="1546">
        <v>11</v>
      </c>
      <c r="F77" s="1546">
        <v>1</v>
      </c>
      <c r="G77" s="1546"/>
      <c r="H77" s="1546">
        <v>92</v>
      </c>
      <c r="I77" s="1546"/>
      <c r="J77" s="1546">
        <v>1</v>
      </c>
      <c r="K77" s="1546"/>
      <c r="L77" s="1546">
        <f>SUM(B77:K77)</f>
        <v>166</v>
      </c>
      <c r="M77" s="1547">
        <f>élec!BC92-'Motif Résiliation'!L77</f>
        <v>0</v>
      </c>
      <c r="N77" s="1541"/>
      <c r="O77" s="1526" t="s">
        <v>52</v>
      </c>
      <c r="P77" s="1546">
        <v>110</v>
      </c>
      <c r="Q77" s="1546">
        <v>10</v>
      </c>
      <c r="R77" s="1546">
        <v>1017</v>
      </c>
      <c r="S77" s="1546">
        <v>179</v>
      </c>
      <c r="T77" s="1546">
        <v>6</v>
      </c>
      <c r="U77" s="1546">
        <v>0</v>
      </c>
      <c r="V77" s="1546">
        <v>486</v>
      </c>
      <c r="W77" s="1546">
        <v>0</v>
      </c>
      <c r="X77" s="1546">
        <v>3</v>
      </c>
      <c r="Y77" s="1546">
        <v>276</v>
      </c>
      <c r="Z77" s="1546">
        <f>SUM(P77:Y77)</f>
        <v>2087</v>
      </c>
      <c r="AA77" s="1547">
        <f>élec!AZ92-'Motif Résiliation'!Z77</f>
        <v>0</v>
      </c>
      <c r="AB77" s="1541">
        <f>Z77+Z78</f>
        <v>2102</v>
      </c>
    </row>
    <row r="78" spans="1:28" s="1533" customFormat="1">
      <c r="A78" s="1526" t="s">
        <v>19</v>
      </c>
      <c r="B78" s="1546"/>
      <c r="C78" s="1546"/>
      <c r="D78" s="1546">
        <v>3</v>
      </c>
      <c r="E78" s="1546">
        <v>1</v>
      </c>
      <c r="F78" s="1546"/>
      <c r="G78" s="1546"/>
      <c r="H78" s="1546"/>
      <c r="I78" s="1546"/>
      <c r="J78" s="1546"/>
      <c r="K78" s="1546"/>
      <c r="L78" s="1546">
        <f>SUM(B78:K78)</f>
        <v>4</v>
      </c>
      <c r="M78" s="1547">
        <f>élec!BD92-'Motif Résiliation'!L78</f>
        <v>0</v>
      </c>
      <c r="N78" s="1541"/>
      <c r="O78" s="1526" t="s">
        <v>19</v>
      </c>
      <c r="P78" s="1546">
        <v>0</v>
      </c>
      <c r="Q78" s="1546">
        <v>0</v>
      </c>
      <c r="R78" s="1546">
        <v>6</v>
      </c>
      <c r="S78" s="1546">
        <v>7</v>
      </c>
      <c r="T78" s="1546">
        <v>2</v>
      </c>
      <c r="U78" s="1546">
        <v>0</v>
      </c>
      <c r="V78" s="1546">
        <v>0</v>
      </c>
      <c r="W78" s="1546">
        <v>0</v>
      </c>
      <c r="X78" s="1546">
        <v>0</v>
      </c>
      <c r="Y78" s="1546">
        <v>0</v>
      </c>
      <c r="Z78" s="1546">
        <f>SUM(P78:Y78)</f>
        <v>15</v>
      </c>
      <c r="AA78" s="1547">
        <f>élec!BA92-'Motif Résiliation'!Z78</f>
        <v>0</v>
      </c>
      <c r="AB78" s="1541"/>
    </row>
    <row r="79" spans="1:28" s="1533" customFormat="1">
      <c r="A79" s="1526" t="s">
        <v>56</v>
      </c>
      <c r="B79" s="1546">
        <v>16</v>
      </c>
      <c r="C79" s="1546"/>
      <c r="D79" s="1546">
        <v>10</v>
      </c>
      <c r="E79" s="1546">
        <v>6</v>
      </c>
      <c r="F79" s="1546">
        <v>0</v>
      </c>
      <c r="G79" s="1546"/>
      <c r="H79" s="1546">
        <v>40</v>
      </c>
      <c r="I79" s="1546"/>
      <c r="J79" s="1546"/>
      <c r="K79" s="1546"/>
      <c r="L79" s="1546">
        <f>SUM(B79:K79)</f>
        <v>72</v>
      </c>
      <c r="M79" s="1547">
        <f>gaz!BD92-'Motif Résiliation'!L79</f>
        <v>0</v>
      </c>
      <c r="N79" s="1541"/>
      <c r="O79" s="1526" t="s">
        <v>56</v>
      </c>
      <c r="P79" s="1546">
        <v>16</v>
      </c>
      <c r="Q79" s="1546">
        <v>0</v>
      </c>
      <c r="R79" s="1546">
        <v>185</v>
      </c>
      <c r="S79" s="1546">
        <v>67</v>
      </c>
      <c r="T79" s="1546">
        <v>1</v>
      </c>
      <c r="U79" s="1546">
        <v>0</v>
      </c>
      <c r="V79" s="1546">
        <v>253</v>
      </c>
      <c r="W79" s="1546">
        <v>0</v>
      </c>
      <c r="X79" s="1546">
        <v>0</v>
      </c>
      <c r="Y79" s="1546">
        <v>70</v>
      </c>
      <c r="Z79" s="1546">
        <f>SUM(P79:Y79)</f>
        <v>592</v>
      </c>
      <c r="AA79" s="1547">
        <f>gaz!AZ92-'Motif Résiliation'!Z79</f>
        <v>0</v>
      </c>
      <c r="AB79" s="1541">
        <f>Z79+Z80</f>
        <v>592</v>
      </c>
    </row>
    <row r="80" spans="1:28" s="1533" customFormat="1">
      <c r="A80" s="1526" t="s">
        <v>21</v>
      </c>
      <c r="B80" s="1546"/>
      <c r="C80" s="1546"/>
      <c r="D80" s="1546"/>
      <c r="E80" s="1546">
        <v>0</v>
      </c>
      <c r="F80" s="1546"/>
      <c r="G80" s="1546"/>
      <c r="H80" s="1546"/>
      <c r="I80" s="1546"/>
      <c r="J80" s="1546"/>
      <c r="K80" s="1546"/>
      <c r="L80" s="1546">
        <f>SUM(B80:K80)</f>
        <v>0</v>
      </c>
      <c r="M80" s="1547">
        <f>gaz!BE92-'Motif Résiliation'!L80</f>
        <v>0</v>
      </c>
      <c r="N80" s="1541"/>
      <c r="O80" s="1526" t="s">
        <v>21</v>
      </c>
      <c r="P80" s="1546">
        <v>0</v>
      </c>
      <c r="Q80" s="1546">
        <v>0</v>
      </c>
      <c r="R80" s="1546">
        <v>0</v>
      </c>
      <c r="S80" s="1546">
        <v>0</v>
      </c>
      <c r="T80" s="1546">
        <v>0</v>
      </c>
      <c r="U80" s="1546">
        <v>0</v>
      </c>
      <c r="V80" s="1546">
        <v>0</v>
      </c>
      <c r="W80" s="1546">
        <v>0</v>
      </c>
      <c r="X80" s="1546">
        <v>0</v>
      </c>
      <c r="Y80" s="1546">
        <v>0</v>
      </c>
      <c r="Z80" s="1546">
        <f>SUM(P80:Y80)</f>
        <v>0</v>
      </c>
      <c r="AA80" s="1547">
        <f>gaz!BA92-'Motif Résiliation'!Z80</f>
        <v>0</v>
      </c>
      <c r="AB80" s="1541"/>
    </row>
    <row r="81" spans="1:28" s="1533" customFormat="1">
      <c r="P81" s="1539"/>
      <c r="Q81" s="1539"/>
      <c r="R81" s="1539"/>
      <c r="S81" s="1539"/>
      <c r="T81" s="1539"/>
      <c r="U81" s="1539"/>
    </row>
    <row r="82" spans="1:28" s="1533" customFormat="1" ht="21" customHeight="1">
      <c r="A82" s="1548" t="s">
        <v>886</v>
      </c>
      <c r="B82" s="1549"/>
      <c r="C82" s="1549"/>
      <c r="D82" s="1549"/>
      <c r="E82" s="1549"/>
      <c r="F82" s="1549"/>
      <c r="G82" s="1549"/>
      <c r="H82" s="1549"/>
      <c r="I82" s="1549"/>
      <c r="J82" s="1549"/>
      <c r="K82" s="1549"/>
      <c r="L82" s="1549"/>
      <c r="M82" s="1549"/>
      <c r="N82" s="1549"/>
      <c r="O82" s="1549"/>
      <c r="P82" s="1550"/>
      <c r="Q82" s="1550"/>
      <c r="R82" s="1550"/>
      <c r="S82" s="1550"/>
      <c r="T82" s="1549"/>
      <c r="U82" s="1549"/>
      <c r="V82" s="1549"/>
      <c r="W82" s="1549"/>
      <c r="X82" s="1549"/>
      <c r="Y82" s="1549"/>
      <c r="Z82" s="1549"/>
      <c r="AA82" s="1549"/>
      <c r="AB82" s="1549"/>
    </row>
    <row r="83" spans="1:28" s="1533" customFormat="1">
      <c r="A83" s="1549"/>
      <c r="B83" s="1549"/>
      <c r="C83" s="1549"/>
      <c r="D83" s="1549"/>
      <c r="E83" s="1549"/>
      <c r="F83" s="1549"/>
      <c r="G83" s="1549"/>
      <c r="H83" s="1549"/>
      <c r="I83" s="1549"/>
      <c r="J83" s="1549"/>
      <c r="K83" s="1549"/>
      <c r="L83" s="1549"/>
      <c r="M83" s="1549"/>
      <c r="N83" s="1549"/>
      <c r="O83" s="1549"/>
      <c r="P83" s="1550"/>
      <c r="Q83" s="1550"/>
      <c r="R83" s="1550"/>
      <c r="S83" s="1550"/>
      <c r="T83" s="1549"/>
      <c r="U83" s="1549"/>
      <c r="V83" s="1549"/>
      <c r="W83" s="1549"/>
      <c r="X83" s="1549"/>
      <c r="Y83" s="1549"/>
      <c r="Z83" s="1549"/>
      <c r="AA83" s="1549"/>
      <c r="AB83" s="1549"/>
    </row>
    <row r="84" spans="1:28" s="1533" customFormat="1" ht="51" customHeight="1">
      <c r="A84" s="1527" t="s">
        <v>767</v>
      </c>
      <c r="B84" s="1551" t="s">
        <v>768</v>
      </c>
      <c r="C84" s="1551" t="s">
        <v>769</v>
      </c>
      <c r="D84" s="1551" t="s">
        <v>770</v>
      </c>
      <c r="E84" s="1551" t="s">
        <v>771</v>
      </c>
      <c r="F84" s="1551" t="s">
        <v>772</v>
      </c>
      <c r="G84" s="1551" t="s">
        <v>773</v>
      </c>
      <c r="H84" s="1551" t="s">
        <v>774</v>
      </c>
      <c r="I84" s="1551" t="s">
        <v>775</v>
      </c>
      <c r="J84" s="1551" t="s">
        <v>776</v>
      </c>
      <c r="K84" s="1551" t="s">
        <v>777</v>
      </c>
      <c r="L84" s="1551" t="s">
        <v>778</v>
      </c>
      <c r="M84" s="1552" t="s">
        <v>779</v>
      </c>
      <c r="N84" s="1553"/>
      <c r="O84" s="1527" t="s">
        <v>780</v>
      </c>
      <c r="P84" s="1551" t="s">
        <v>768</v>
      </c>
      <c r="Q84" s="1551" t="s">
        <v>769</v>
      </c>
      <c r="R84" s="1551" t="s">
        <v>770</v>
      </c>
      <c r="S84" s="1551" t="s">
        <v>771</v>
      </c>
      <c r="T84" s="1551" t="s">
        <v>772</v>
      </c>
      <c r="U84" s="1551" t="s">
        <v>773</v>
      </c>
      <c r="V84" s="1551" t="s">
        <v>774</v>
      </c>
      <c r="W84" s="1551" t="s">
        <v>775</v>
      </c>
      <c r="X84" s="1551" t="s">
        <v>776</v>
      </c>
      <c r="Y84" s="1551" t="s">
        <v>777</v>
      </c>
      <c r="Z84" s="1551" t="s">
        <v>778</v>
      </c>
      <c r="AA84" s="1552" t="s">
        <v>779</v>
      </c>
      <c r="AB84" s="1549"/>
    </row>
    <row r="85" spans="1:28" s="1533" customFormat="1">
      <c r="A85" s="1528" t="s">
        <v>52</v>
      </c>
      <c r="B85" s="1554">
        <v>0</v>
      </c>
      <c r="C85" s="1554">
        <v>0</v>
      </c>
      <c r="D85" s="1554">
        <v>33</v>
      </c>
      <c r="E85" s="1554">
        <v>0</v>
      </c>
      <c r="F85" s="1554">
        <v>0</v>
      </c>
      <c r="G85" s="1554">
        <v>0</v>
      </c>
      <c r="H85" s="1554"/>
      <c r="I85" s="1554">
        <v>0</v>
      </c>
      <c r="J85" s="1554">
        <v>0</v>
      </c>
      <c r="K85" s="1554">
        <v>0</v>
      </c>
      <c r="L85" s="1554">
        <f>SUM(B85:K85)</f>
        <v>33</v>
      </c>
      <c r="M85" s="1555">
        <f>élec!BC93-'Motif Résiliation'!L85</f>
        <v>0</v>
      </c>
      <c r="N85" s="1549"/>
      <c r="O85" s="1528" t="s">
        <v>52</v>
      </c>
      <c r="P85" s="1554">
        <v>0</v>
      </c>
      <c r="Q85" s="1554">
        <v>0</v>
      </c>
      <c r="R85" s="1554">
        <v>565</v>
      </c>
      <c r="S85" s="1554">
        <v>102</v>
      </c>
      <c r="T85" s="1554">
        <v>1</v>
      </c>
      <c r="U85" s="1554">
        <v>0</v>
      </c>
      <c r="V85" s="1554">
        <v>0</v>
      </c>
      <c r="W85" s="1554">
        <v>0</v>
      </c>
      <c r="X85" s="1554">
        <v>495</v>
      </c>
      <c r="Y85" s="1554">
        <v>0</v>
      </c>
      <c r="Z85" s="1554">
        <f>SUM(P85:Y85)</f>
        <v>1163</v>
      </c>
      <c r="AA85" s="1555">
        <f>élec!AZ93-'Motif Résiliation'!Z85</f>
        <v>0</v>
      </c>
      <c r="AB85" s="1549">
        <f>Z85+Z86</f>
        <v>1166</v>
      </c>
    </row>
    <row r="86" spans="1:28" s="1533" customFormat="1">
      <c r="A86" s="1528" t="s">
        <v>19</v>
      </c>
      <c r="B86" s="1554">
        <v>0</v>
      </c>
      <c r="C86" s="1554">
        <v>0</v>
      </c>
      <c r="D86" s="1554">
        <v>0</v>
      </c>
      <c r="E86" s="1554">
        <v>1</v>
      </c>
      <c r="F86" s="1554">
        <v>0</v>
      </c>
      <c r="G86" s="1554">
        <v>0</v>
      </c>
      <c r="H86" s="1554">
        <v>0</v>
      </c>
      <c r="I86" s="1554">
        <v>0</v>
      </c>
      <c r="J86" s="1554">
        <v>0</v>
      </c>
      <c r="K86" s="1554">
        <v>0</v>
      </c>
      <c r="L86" s="1554">
        <f>SUM(B86:K86)</f>
        <v>1</v>
      </c>
      <c r="M86" s="1555">
        <f>élec!BD93-'Motif Résiliation'!L86</f>
        <v>0</v>
      </c>
      <c r="N86" s="1549"/>
      <c r="O86" s="1528" t="s">
        <v>19</v>
      </c>
      <c r="P86" s="1554">
        <v>0</v>
      </c>
      <c r="Q86" s="1554">
        <v>0</v>
      </c>
      <c r="R86" s="1554">
        <v>0</v>
      </c>
      <c r="S86" s="1554">
        <v>3</v>
      </c>
      <c r="T86" s="1554">
        <v>0</v>
      </c>
      <c r="U86" s="1554">
        <v>0</v>
      </c>
      <c r="V86" s="1554">
        <v>0</v>
      </c>
      <c r="W86" s="1554">
        <v>0</v>
      </c>
      <c r="X86" s="1554">
        <v>0</v>
      </c>
      <c r="Y86" s="1554">
        <v>0</v>
      </c>
      <c r="Z86" s="1554">
        <f>SUM(P86:Y86)</f>
        <v>3</v>
      </c>
      <c r="AA86" s="1555">
        <f>élec!BA93-'Motif Résiliation'!Z86</f>
        <v>0</v>
      </c>
      <c r="AB86" s="1549"/>
    </row>
    <row r="87" spans="1:28" s="1533" customFormat="1">
      <c r="A87" s="1528" t="s">
        <v>56</v>
      </c>
      <c r="B87" s="1554">
        <v>0</v>
      </c>
      <c r="C87" s="1554">
        <v>0</v>
      </c>
      <c r="D87" s="1554">
        <v>7</v>
      </c>
      <c r="E87" s="1554">
        <v>0</v>
      </c>
      <c r="F87" s="1554">
        <v>0</v>
      </c>
      <c r="G87" s="1554">
        <v>0</v>
      </c>
      <c r="H87" s="1554"/>
      <c r="I87" s="1554">
        <v>0</v>
      </c>
      <c r="J87" s="1554"/>
      <c r="K87" s="1554">
        <v>0</v>
      </c>
      <c r="L87" s="1554">
        <f>SUM(B87:K87)</f>
        <v>7</v>
      </c>
      <c r="M87" s="1555">
        <f>gaz!BD93-'Motif Résiliation'!L87</f>
        <v>0</v>
      </c>
      <c r="N87" s="1549"/>
      <c r="O87" s="1528" t="s">
        <v>56</v>
      </c>
      <c r="P87" s="1554">
        <v>0</v>
      </c>
      <c r="Q87" s="1554">
        <v>0</v>
      </c>
      <c r="R87" s="1554">
        <v>323</v>
      </c>
      <c r="S87" s="1786">
        <v>56</v>
      </c>
      <c r="T87" s="1554">
        <v>0</v>
      </c>
      <c r="U87" s="1554">
        <v>0</v>
      </c>
      <c r="V87" s="1786">
        <v>0</v>
      </c>
      <c r="W87" s="1554">
        <v>0</v>
      </c>
      <c r="X87" s="1554">
        <v>142</v>
      </c>
      <c r="Y87" s="1554">
        <v>0</v>
      </c>
      <c r="Z87" s="1554">
        <f>SUM(P87:Y87)</f>
        <v>521</v>
      </c>
      <c r="AA87" s="1555">
        <f>gaz!AZ93-'Motif Résiliation'!Z87</f>
        <v>0</v>
      </c>
      <c r="AB87" s="1549">
        <f>Z87+Z88</f>
        <v>521</v>
      </c>
    </row>
    <row r="88" spans="1:28" s="1533" customFormat="1">
      <c r="A88" s="1528" t="s">
        <v>21</v>
      </c>
      <c r="B88" s="1554">
        <v>0</v>
      </c>
      <c r="C88" s="1554">
        <v>0</v>
      </c>
      <c r="D88" s="1554">
        <v>0</v>
      </c>
      <c r="E88" s="1554">
        <v>0</v>
      </c>
      <c r="F88" s="1554">
        <v>0</v>
      </c>
      <c r="G88" s="1554">
        <v>0</v>
      </c>
      <c r="H88" s="1554">
        <v>0</v>
      </c>
      <c r="I88" s="1554">
        <v>0</v>
      </c>
      <c r="J88" s="1554">
        <v>0</v>
      </c>
      <c r="K88" s="1554">
        <v>0</v>
      </c>
      <c r="L88" s="1554">
        <f>SUM(B88:K88)</f>
        <v>0</v>
      </c>
      <c r="M88" s="1555">
        <f>gaz!BE93-'Motif Résiliation'!L88</f>
        <v>0</v>
      </c>
      <c r="N88" s="1549"/>
      <c r="O88" s="1528" t="s">
        <v>21</v>
      </c>
      <c r="P88" s="1554">
        <v>0</v>
      </c>
      <c r="Q88" s="1554">
        <v>0</v>
      </c>
      <c r="R88" s="1554">
        <v>0</v>
      </c>
      <c r="S88" s="1554">
        <v>0</v>
      </c>
      <c r="T88" s="1554">
        <v>0</v>
      </c>
      <c r="U88" s="1554">
        <v>0</v>
      </c>
      <c r="V88" s="1554">
        <v>0</v>
      </c>
      <c r="W88" s="1554">
        <v>0</v>
      </c>
      <c r="X88" s="1554">
        <v>0</v>
      </c>
      <c r="Y88" s="1554">
        <v>0</v>
      </c>
      <c r="Z88" s="1554">
        <f>SUM(P88:Y88)</f>
        <v>0</v>
      </c>
      <c r="AA88" s="1555">
        <f>gaz!BA93-'Motif Résiliation'!Z88</f>
        <v>0</v>
      </c>
      <c r="AB88" s="1549"/>
    </row>
  </sheetData>
  <pageMargins left="0.7" right="0.7" top="0.75" bottom="0.75" header="0.3" footer="0.3"/>
  <pageSetup paperSize="9" orientation="portrait" r:id="rId1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600-000000000000}">
  <sheetPr>
    <tabColor rgb="FF00B050"/>
  </sheetPr>
  <dimension ref="B1:U114"/>
  <sheetViews>
    <sheetView zoomScale="70" zoomScaleNormal="70" workbookViewId="0">
      <selection activeCell="H10" sqref="H10:H12"/>
    </sheetView>
  </sheetViews>
  <sheetFormatPr baseColWidth="10" defaultColWidth="11.44140625" defaultRowHeight="14.4"/>
  <cols>
    <col min="1" max="1" width="1.5546875" style="1603" customWidth="1"/>
    <col min="2" max="2" width="3" style="1603" customWidth="1"/>
    <col min="3" max="3" width="17.6640625" style="1603" customWidth="1"/>
    <col min="4" max="4" width="14.6640625" style="1603" customWidth="1"/>
    <col min="5" max="6" width="11.44140625" style="1603"/>
    <col min="7" max="8" width="13.5546875" style="1603" bestFit="1" customWidth="1"/>
    <col min="9" max="9" width="13.33203125" style="1603" customWidth="1"/>
    <col min="10" max="10" width="11.44140625" style="1603"/>
    <col min="11" max="11" width="14.33203125" style="1603" bestFit="1" customWidth="1"/>
    <col min="12" max="12" width="13.5546875" style="1603" bestFit="1" customWidth="1"/>
    <col min="13" max="14" width="11.44140625" style="1603"/>
    <col min="15" max="15" width="13.5546875" style="1603" bestFit="1" customWidth="1"/>
    <col min="16" max="16" width="13.33203125" style="1603" bestFit="1" customWidth="1"/>
    <col min="17" max="17" width="14.88671875" style="1603" bestFit="1" customWidth="1"/>
    <col min="18" max="18" width="12.109375" style="1603" bestFit="1" customWidth="1"/>
    <col min="19" max="19" width="13.33203125" style="1603" bestFit="1" customWidth="1"/>
    <col min="20" max="20" width="11.44140625" style="1603" customWidth="1"/>
    <col min="21" max="21" width="3.44140625" style="1603" customWidth="1"/>
    <col min="22" max="22" width="11.44140625" style="1603"/>
    <col min="23" max="23" width="3.5546875" style="1603" customWidth="1"/>
    <col min="24" max="16384" width="11.44140625" style="1603"/>
  </cols>
  <sheetData>
    <row r="1" spans="2:19" ht="9" customHeight="1"/>
    <row r="2" spans="2:19" ht="15.6">
      <c r="B2" s="1604"/>
      <c r="C2" s="1605"/>
      <c r="D2" s="2971" t="s">
        <v>784</v>
      </c>
      <c r="E2" s="2971"/>
      <c r="F2" s="2971"/>
      <c r="G2" s="2971"/>
      <c r="H2" s="2971"/>
      <c r="I2" s="2971"/>
      <c r="J2" s="2971"/>
      <c r="K2" s="2971"/>
      <c r="L2" s="1604"/>
      <c r="M2" s="1604"/>
      <c r="N2" s="1606"/>
      <c r="O2" s="1606"/>
      <c r="P2" s="1606"/>
      <c r="Q2" s="1606"/>
      <c r="R2" s="1606"/>
      <c r="S2" s="1606"/>
    </row>
    <row r="3" spans="2:19" ht="21" customHeight="1">
      <c r="B3" s="1604"/>
      <c r="C3" s="1607"/>
      <c r="D3" s="2965" t="s">
        <v>179</v>
      </c>
      <c r="E3" s="2965"/>
      <c r="F3" s="2972" t="s">
        <v>785</v>
      </c>
      <c r="G3" s="2965" t="s">
        <v>205</v>
      </c>
      <c r="H3" s="2965"/>
      <c r="I3" s="2972" t="s">
        <v>785</v>
      </c>
      <c r="J3" s="2973" t="s">
        <v>1085</v>
      </c>
      <c r="K3" s="2965" t="s">
        <v>786</v>
      </c>
      <c r="L3" s="2965" t="s">
        <v>787</v>
      </c>
      <c r="M3" s="1604"/>
      <c r="N3" s="2966" t="s">
        <v>614</v>
      </c>
      <c r="O3" s="2967" t="s">
        <v>788</v>
      </c>
      <c r="P3" s="2967"/>
      <c r="Q3" s="2967" t="s">
        <v>789</v>
      </c>
      <c r="R3" s="2967"/>
      <c r="S3" s="1606"/>
    </row>
    <row r="4" spans="2:19" ht="21.75" customHeight="1">
      <c r="B4" s="1604"/>
      <c r="C4" s="1607" t="s">
        <v>614</v>
      </c>
      <c r="D4" s="1608">
        <v>2023</v>
      </c>
      <c r="E4" s="1608">
        <v>2024</v>
      </c>
      <c r="F4" s="2972"/>
      <c r="G4" s="1608">
        <f>D4</f>
        <v>2023</v>
      </c>
      <c r="H4" s="1608">
        <f>E4</f>
        <v>2024</v>
      </c>
      <c r="I4" s="2972"/>
      <c r="J4" s="2973"/>
      <c r="K4" s="2965"/>
      <c r="L4" s="2965"/>
      <c r="M4" s="1604"/>
      <c r="N4" s="2966"/>
      <c r="O4" s="1609">
        <v>2018</v>
      </c>
      <c r="P4" s="1609">
        <v>2019</v>
      </c>
      <c r="Q4" s="1609">
        <v>2018</v>
      </c>
      <c r="R4" s="1609">
        <v>2019</v>
      </c>
      <c r="S4" s="1606"/>
    </row>
    <row r="5" spans="2:19" ht="15.6">
      <c r="B5" s="1604"/>
      <c r="C5" s="1610" t="s">
        <v>790</v>
      </c>
      <c r="D5" s="1662">
        <f>SUM(D6:D8)</f>
        <v>12245</v>
      </c>
      <c r="E5" s="1662">
        <f>SUM(E6:E8)</f>
        <v>11844</v>
      </c>
      <c r="F5" s="1663">
        <f t="shared" ref="F5:F20" si="0">IFERROR((((E5-D5)/D5)*100),"0")</f>
        <v>-3.2748060432829726</v>
      </c>
      <c r="G5" s="1662">
        <f>SUM(G6:G8)</f>
        <v>95319</v>
      </c>
      <c r="H5" s="1662">
        <f>SUM(H6:H8)</f>
        <v>95856</v>
      </c>
      <c r="I5" s="1663">
        <f t="shared" ref="I5:I20" si="1">IFERROR((((H5-G5)/G5)*100),"0")</f>
        <v>0.56337141598212315</v>
      </c>
      <c r="J5" s="1662">
        <f>J6+J7+J8</f>
        <v>91212</v>
      </c>
      <c r="K5" s="1663">
        <f>H5/J5*100</f>
        <v>105.09143533745559</v>
      </c>
      <c r="L5" s="1664"/>
      <c r="M5" s="1604"/>
      <c r="N5" s="1613" t="s">
        <v>791</v>
      </c>
      <c r="O5" s="1614">
        <f>D5-G37</f>
        <v>-217</v>
      </c>
      <c r="P5" s="1614">
        <f>E5-K37</f>
        <v>-154</v>
      </c>
      <c r="Q5" s="1614">
        <f>G5-N37</f>
        <v>74324</v>
      </c>
      <c r="R5" s="1614">
        <f>H5-S37</f>
        <v>-1696</v>
      </c>
      <c r="S5" s="1606"/>
    </row>
    <row r="6" spans="2:19">
      <c r="B6" s="2958"/>
      <c r="C6" s="1615" t="s">
        <v>52</v>
      </c>
      <c r="D6" s="1665">
        <f>D98</f>
        <v>12183</v>
      </c>
      <c r="E6" s="1665">
        <f>H98</f>
        <v>11770</v>
      </c>
      <c r="F6" s="1666">
        <f t="shared" si="0"/>
        <v>-3.3899696298120334</v>
      </c>
      <c r="G6" s="1665">
        <f>L98</f>
        <v>94848</v>
      </c>
      <c r="H6" s="1665">
        <f>P98</f>
        <v>95254</v>
      </c>
      <c r="I6" s="1666">
        <f t="shared" si="1"/>
        <v>0.42805330634277999</v>
      </c>
      <c r="J6" s="2346">
        <f>Clientele!AB123</f>
        <v>90831</v>
      </c>
      <c r="K6" s="1666">
        <f>H6/J6*100</f>
        <v>104.86948288579889</v>
      </c>
      <c r="L6" s="1666"/>
      <c r="M6" s="1604"/>
      <c r="N6" s="1606"/>
      <c r="O6" s="1618"/>
      <c r="P6" s="1618"/>
      <c r="Q6" s="1618"/>
      <c r="R6" s="1618"/>
      <c r="S6" s="1606"/>
    </row>
    <row r="7" spans="2:19">
      <c r="B7" s="2958"/>
      <c r="C7" s="1615" t="s">
        <v>553</v>
      </c>
      <c r="D7" s="1665">
        <f>E98</f>
        <v>62</v>
      </c>
      <c r="E7" s="1665">
        <f>I98</f>
        <v>74</v>
      </c>
      <c r="F7" s="1666">
        <f t="shared" si="0"/>
        <v>19.35483870967742</v>
      </c>
      <c r="G7" s="1665">
        <f>M98</f>
        <v>471</v>
      </c>
      <c r="H7" s="1665">
        <f>Q98</f>
        <v>602</v>
      </c>
      <c r="I7" s="1666">
        <f t="shared" si="1"/>
        <v>27.813163481953289</v>
      </c>
      <c r="J7" s="1665">
        <f>Clientele!AC123</f>
        <v>377</v>
      </c>
      <c r="K7" s="1666">
        <f>H7/J7*100</f>
        <v>159.68169761273211</v>
      </c>
      <c r="L7" s="1666"/>
      <c r="M7" s="1604"/>
      <c r="N7" s="1606"/>
      <c r="O7" s="1618"/>
      <c r="P7" s="1618"/>
      <c r="Q7" s="1618"/>
      <c r="R7" s="1618"/>
      <c r="S7" s="1606"/>
    </row>
    <row r="8" spans="2:19">
      <c r="B8" s="2958"/>
      <c r="C8" s="1619" t="s">
        <v>792</v>
      </c>
      <c r="D8" s="1667">
        <f>F98</f>
        <v>0</v>
      </c>
      <c r="E8" s="1667">
        <f>J98</f>
        <v>0</v>
      </c>
      <c r="F8" s="1668" t="str">
        <f t="shared" si="0"/>
        <v>0</v>
      </c>
      <c r="G8" s="1667">
        <f>N98</f>
        <v>0</v>
      </c>
      <c r="H8" s="1667">
        <f>R98</f>
        <v>0</v>
      </c>
      <c r="I8" s="1668" t="str">
        <f t="shared" si="1"/>
        <v>0</v>
      </c>
      <c r="J8" s="1667">
        <f>Clientele!AD123</f>
        <v>4</v>
      </c>
      <c r="K8" s="1668">
        <f>H8/J8*100</f>
        <v>0</v>
      </c>
      <c r="L8" s="1668"/>
      <c r="M8" s="1604"/>
      <c r="N8" s="1606"/>
      <c r="O8" s="1618"/>
      <c r="P8" s="1618"/>
      <c r="Q8" s="1618"/>
      <c r="R8" s="1618"/>
      <c r="S8" s="1606"/>
    </row>
    <row r="9" spans="2:19" ht="15.6">
      <c r="B9" s="1604"/>
      <c r="C9" s="1610" t="s">
        <v>793</v>
      </c>
      <c r="D9" s="1662">
        <f>SUM(D10:D12)</f>
        <v>3911</v>
      </c>
      <c r="E9" s="1662">
        <f>SUM(E10:E12)</f>
        <v>1623</v>
      </c>
      <c r="F9" s="1663">
        <f t="shared" si="0"/>
        <v>-58.501661979033493</v>
      </c>
      <c r="G9" s="1662">
        <f>SUM(G10:G12)</f>
        <v>20995</v>
      </c>
      <c r="H9" s="1662">
        <f>SUM(H10:H12)</f>
        <v>18829</v>
      </c>
      <c r="I9" s="1663">
        <f t="shared" si="1"/>
        <v>-10.316742081447963</v>
      </c>
      <c r="J9" s="2968"/>
      <c r="K9" s="2968"/>
      <c r="L9" s="1664">
        <f>H9/$H$9*100</f>
        <v>100</v>
      </c>
      <c r="M9" s="1604"/>
      <c r="N9" s="1613" t="s">
        <v>794</v>
      </c>
      <c r="O9" s="1618">
        <f>D9-F37</f>
        <v>0</v>
      </c>
      <c r="P9" s="1618">
        <f>E9-J37</f>
        <v>0</v>
      </c>
      <c r="Q9" s="1618">
        <f>G9-N37</f>
        <v>0</v>
      </c>
      <c r="R9" s="1618">
        <f>H9-R37</f>
        <v>0</v>
      </c>
      <c r="S9" s="1606"/>
    </row>
    <row r="10" spans="2:19">
      <c r="B10" s="1604"/>
      <c r="C10" s="1615" t="s">
        <v>52</v>
      </c>
      <c r="D10" s="1665">
        <f>D83</f>
        <v>3900</v>
      </c>
      <c r="E10" s="1665">
        <f>H83</f>
        <v>1614</v>
      </c>
      <c r="F10" s="1666">
        <f t="shared" si="0"/>
        <v>-58.615384615384613</v>
      </c>
      <c r="G10" s="1665">
        <f>L83</f>
        <v>20890</v>
      </c>
      <c r="H10" s="1665">
        <f>P83</f>
        <v>18774</v>
      </c>
      <c r="I10" s="1666">
        <f t="shared" si="1"/>
        <v>-10.12924844423169</v>
      </c>
      <c r="J10" s="2969"/>
      <c r="K10" s="2969"/>
      <c r="L10" s="1666">
        <f>H10/$H$9*100</f>
        <v>99.707897392320348</v>
      </c>
      <c r="M10" s="1604"/>
      <c r="N10" s="1606"/>
      <c r="O10" s="1618"/>
      <c r="P10" s="1618"/>
      <c r="Q10" s="1618"/>
      <c r="R10" s="1618"/>
      <c r="S10" s="1606"/>
    </row>
    <row r="11" spans="2:19">
      <c r="B11" s="1604"/>
      <c r="C11" s="1615" t="s">
        <v>553</v>
      </c>
      <c r="D11" s="1665">
        <f>E83</f>
        <v>11</v>
      </c>
      <c r="E11" s="1665">
        <f>I83</f>
        <v>9</v>
      </c>
      <c r="F11" s="1666">
        <f t="shared" si="0"/>
        <v>-18.181818181818183</v>
      </c>
      <c r="G11" s="1665">
        <f>M83</f>
        <v>105</v>
      </c>
      <c r="H11" s="1665">
        <f>Q83</f>
        <v>55</v>
      </c>
      <c r="I11" s="1666">
        <f t="shared" si="1"/>
        <v>-47.619047619047613</v>
      </c>
      <c r="J11" s="2969"/>
      <c r="K11" s="2969"/>
      <c r="L11" s="1666">
        <f>H11/$H$9*100</f>
        <v>0.29210260767964308</v>
      </c>
      <c r="M11" s="1604"/>
      <c r="N11" s="1606"/>
      <c r="O11" s="1618"/>
      <c r="P11" s="1618"/>
      <c r="Q11" s="1618"/>
      <c r="R11" s="1618"/>
      <c r="S11" s="1606"/>
    </row>
    <row r="12" spans="2:19">
      <c r="B12" s="1604"/>
      <c r="C12" s="1619" t="s">
        <v>792</v>
      </c>
      <c r="D12" s="1665">
        <f>F83</f>
        <v>0</v>
      </c>
      <c r="E12" s="1665">
        <f>J83</f>
        <v>0</v>
      </c>
      <c r="F12" s="1668" t="str">
        <f t="shared" si="0"/>
        <v>0</v>
      </c>
      <c r="G12" s="1667">
        <f>N83</f>
        <v>0</v>
      </c>
      <c r="H12" s="1667">
        <f>R83</f>
        <v>0</v>
      </c>
      <c r="I12" s="1668" t="str">
        <f t="shared" si="1"/>
        <v>0</v>
      </c>
      <c r="J12" s="2970"/>
      <c r="K12" s="2970"/>
      <c r="L12" s="1666">
        <f>H12/$H$9*100</f>
        <v>0</v>
      </c>
      <c r="M12" s="1604"/>
      <c r="N12" s="1606"/>
      <c r="O12" s="1618"/>
      <c r="P12" s="1618"/>
      <c r="Q12" s="1618"/>
      <c r="R12" s="1618"/>
      <c r="S12" s="1606"/>
    </row>
    <row r="13" spans="2:19" ht="15.6">
      <c r="B13" s="1604"/>
      <c r="C13" s="1610" t="s">
        <v>795</v>
      </c>
      <c r="D13" s="1662">
        <f>SUM(D14:D16)</f>
        <v>8551</v>
      </c>
      <c r="E13" s="1662">
        <f>SUM(E14:E16)</f>
        <v>10375</v>
      </c>
      <c r="F13" s="1663">
        <f t="shared" si="0"/>
        <v>21.330838498421237</v>
      </c>
      <c r="G13" s="1662">
        <f>SUM(G14:G16)</f>
        <v>75135</v>
      </c>
      <c r="H13" s="1662">
        <f>SUM(H14:H16)</f>
        <v>78723</v>
      </c>
      <c r="I13" s="1663">
        <f t="shared" si="1"/>
        <v>4.7754042723098422</v>
      </c>
      <c r="J13" s="1662">
        <f>J14+J15+J16</f>
        <v>91212</v>
      </c>
      <c r="K13" s="1663">
        <f>IFERROR((H13/J13*100),"0")</f>
        <v>86.307722668069985</v>
      </c>
      <c r="L13" s="1664">
        <f>H13/$H$13*100</f>
        <v>100</v>
      </c>
      <c r="M13" s="1604"/>
      <c r="N13" s="1613" t="s">
        <v>796</v>
      </c>
      <c r="O13" s="1618">
        <f>D13-D37</f>
        <v>0</v>
      </c>
      <c r="P13" s="1618">
        <f>E13-H37</f>
        <v>0</v>
      </c>
      <c r="Q13" s="1618">
        <f>G13-L37</f>
        <v>0</v>
      </c>
      <c r="R13" s="1618">
        <f>H13-P37</f>
        <v>0</v>
      </c>
      <c r="S13" s="1606"/>
    </row>
    <row r="14" spans="2:19">
      <c r="B14" s="2958"/>
      <c r="C14" s="1615" t="s">
        <v>52</v>
      </c>
      <c r="D14" s="1665">
        <f>D53</f>
        <v>8500</v>
      </c>
      <c r="E14" s="1665">
        <f>H53</f>
        <v>10310</v>
      </c>
      <c r="F14" s="1666">
        <f t="shared" si="0"/>
        <v>21.294117647058826</v>
      </c>
      <c r="G14" s="1665">
        <f>L53</f>
        <v>74769</v>
      </c>
      <c r="H14" s="1665">
        <f>P53</f>
        <v>78176</v>
      </c>
      <c r="I14" s="1666">
        <f t="shared" si="1"/>
        <v>4.5567013066912754</v>
      </c>
      <c r="J14" s="2346">
        <f>J6</f>
        <v>90831</v>
      </c>
      <c r="K14" s="1666">
        <f>IFERROR((H14/J14*100),"0")</f>
        <v>86.067532009996583</v>
      </c>
      <c r="L14" s="1666">
        <f>H14/$H$13*100</f>
        <v>99.305158594057644</v>
      </c>
      <c r="M14" s="1604"/>
      <c r="N14" s="1606"/>
      <c r="O14" s="1618"/>
      <c r="P14" s="1618"/>
      <c r="Q14" s="1618"/>
      <c r="R14" s="1618"/>
      <c r="S14" s="1606"/>
    </row>
    <row r="15" spans="2:19">
      <c r="B15" s="2958"/>
      <c r="C15" s="1615" t="s">
        <v>553</v>
      </c>
      <c r="D15" s="1665">
        <f>E53</f>
        <v>51</v>
      </c>
      <c r="E15" s="1665">
        <f>I53</f>
        <v>65</v>
      </c>
      <c r="F15" s="1666">
        <f t="shared" si="0"/>
        <v>27.450980392156865</v>
      </c>
      <c r="G15" s="1665">
        <f>M53</f>
        <v>366</v>
      </c>
      <c r="H15" s="1665">
        <f>Q53</f>
        <v>547</v>
      </c>
      <c r="I15" s="1666">
        <f>IFERROR((((H15-G15)/G15)*100),"0")</f>
        <v>49.453551912568308</v>
      </c>
      <c r="J15" s="2346">
        <f>J7</f>
        <v>377</v>
      </c>
      <c r="K15" s="1666">
        <f t="shared" ref="K15:K20" si="2">IFERROR((H15/J15*100),"0")</f>
        <v>145.09283819628646</v>
      </c>
      <c r="L15" s="1666">
        <f>H15/$H$13*100</f>
        <v>0.69484140594235488</v>
      </c>
      <c r="M15" s="1604"/>
      <c r="N15" s="1606"/>
      <c r="O15" s="1618"/>
      <c r="P15" s="1618"/>
      <c r="Q15" s="1618"/>
      <c r="R15" s="1618"/>
      <c r="S15" s="1606"/>
    </row>
    <row r="16" spans="2:19">
      <c r="B16" s="2958"/>
      <c r="C16" s="1619" t="s">
        <v>792</v>
      </c>
      <c r="D16" s="1667">
        <f>F53</f>
        <v>0</v>
      </c>
      <c r="E16" s="1667">
        <f>J53</f>
        <v>0</v>
      </c>
      <c r="F16" s="1668" t="str">
        <f t="shared" si="0"/>
        <v>0</v>
      </c>
      <c r="G16" s="1667">
        <f>N53</f>
        <v>0</v>
      </c>
      <c r="H16" s="1667">
        <f>R53</f>
        <v>0</v>
      </c>
      <c r="I16" s="1668" t="str">
        <f t="shared" si="1"/>
        <v>0</v>
      </c>
      <c r="J16" s="2346">
        <f>J8</f>
        <v>4</v>
      </c>
      <c r="K16" s="1668">
        <f t="shared" si="2"/>
        <v>0</v>
      </c>
      <c r="L16" s="1668">
        <f>H16/$H$13*100</f>
        <v>0</v>
      </c>
      <c r="M16" s="1604"/>
      <c r="N16" s="1606"/>
      <c r="O16" s="1618"/>
      <c r="P16" s="1618"/>
      <c r="Q16" s="1618"/>
      <c r="R16" s="1618"/>
      <c r="S16" s="1606"/>
    </row>
    <row r="17" spans="2:21" ht="15.6">
      <c r="B17" s="1604"/>
      <c r="C17" s="1610" t="s">
        <v>797</v>
      </c>
      <c r="D17" s="1662">
        <f>SUM(D18:D20)</f>
        <v>2738934</v>
      </c>
      <c r="E17" s="1662">
        <f>SUM(E18:E20)</f>
        <v>2854953</v>
      </c>
      <c r="F17" s="1663">
        <f t="shared" si="0"/>
        <v>4.2359180615524146</v>
      </c>
      <c r="G17" s="1662">
        <f>SUM(G18:G20)</f>
        <v>2738934</v>
      </c>
      <c r="H17" s="1662">
        <f>SUM(H18:H20)</f>
        <v>2854953</v>
      </c>
      <c r="I17" s="1663">
        <f t="shared" si="1"/>
        <v>4.2359180615524146</v>
      </c>
      <c r="J17" s="1664">
        <f>J18+J19+J20</f>
        <v>2856051</v>
      </c>
      <c r="K17" s="1663">
        <f t="shared" si="2"/>
        <v>99.961555308361099</v>
      </c>
      <c r="L17" s="1664">
        <f>H17/$H$17*100</f>
        <v>100</v>
      </c>
      <c r="M17" s="1604"/>
      <c r="N17" s="1613" t="s">
        <v>797</v>
      </c>
      <c r="O17" s="1618">
        <f>D17-E37</f>
        <v>0</v>
      </c>
      <c r="P17" s="1618">
        <f>E17-I37</f>
        <v>0</v>
      </c>
      <c r="Q17" s="1618">
        <f>G17-M37</f>
        <v>0</v>
      </c>
      <c r="R17" s="1618">
        <f>H17-Q37</f>
        <v>0</v>
      </c>
      <c r="S17" s="1606"/>
    </row>
    <row r="18" spans="2:21">
      <c r="B18" s="1604"/>
      <c r="C18" s="1615" t="s">
        <v>52</v>
      </c>
      <c r="D18" s="1665">
        <f>D68</f>
        <v>2723879</v>
      </c>
      <c r="E18" s="1665">
        <f>H68</f>
        <v>2839098</v>
      </c>
      <c r="F18" s="1666">
        <f t="shared" si="0"/>
        <v>4.2299602882506893</v>
      </c>
      <c r="G18" s="1665">
        <f t="shared" ref="G18:H20" si="3">D18</f>
        <v>2723879</v>
      </c>
      <c r="H18" s="1665">
        <f t="shared" si="3"/>
        <v>2839098</v>
      </c>
      <c r="I18" s="1666">
        <f t="shared" si="1"/>
        <v>4.2299602882506893</v>
      </c>
      <c r="J18" s="1669">
        <v>2840572</v>
      </c>
      <c r="K18" s="1666">
        <f t="shared" si="2"/>
        <v>99.948109042826587</v>
      </c>
      <c r="L18" s="1666">
        <f>H18/$H$17*100</f>
        <v>99.444649351495457</v>
      </c>
      <c r="M18" s="1604"/>
      <c r="N18" s="1606"/>
      <c r="O18" s="1618"/>
      <c r="P18" s="1618"/>
      <c r="Q18" s="1618"/>
      <c r="R18" s="1618"/>
      <c r="S18" s="1606"/>
    </row>
    <row r="19" spans="2:21">
      <c r="B19" s="1604"/>
      <c r="C19" s="1615" t="s">
        <v>553</v>
      </c>
      <c r="D19" s="1665">
        <f>E68</f>
        <v>15032</v>
      </c>
      <c r="E19" s="1665">
        <f>I68</f>
        <v>15831</v>
      </c>
      <c r="F19" s="1666">
        <f t="shared" si="0"/>
        <v>5.3153273017562537</v>
      </c>
      <c r="G19" s="1665">
        <f t="shared" si="3"/>
        <v>15032</v>
      </c>
      <c r="H19" s="1665">
        <f t="shared" si="3"/>
        <v>15831</v>
      </c>
      <c r="I19" s="1666">
        <f t="shared" si="1"/>
        <v>5.3153273017562537</v>
      </c>
      <c r="J19" s="1669">
        <v>15451</v>
      </c>
      <c r="K19" s="1666">
        <f t="shared" si="2"/>
        <v>102.45938774189374</v>
      </c>
      <c r="L19" s="1666">
        <f>H19/$H$17*100</f>
        <v>0.55451000419271357</v>
      </c>
      <c r="M19" s="1604"/>
      <c r="N19" s="1606"/>
      <c r="O19" s="1618"/>
      <c r="P19" s="1618"/>
      <c r="Q19" s="1618"/>
      <c r="R19" s="1618"/>
      <c r="S19" s="1606"/>
    </row>
    <row r="20" spans="2:21">
      <c r="B20" s="1604"/>
      <c r="C20" s="1619" t="s">
        <v>792</v>
      </c>
      <c r="D20" s="1667">
        <f>F68</f>
        <v>23</v>
      </c>
      <c r="E20" s="1667">
        <f>J68</f>
        <v>24</v>
      </c>
      <c r="F20" s="1668">
        <f t="shared" si="0"/>
        <v>4.3478260869565215</v>
      </c>
      <c r="G20" s="1667">
        <f t="shared" si="3"/>
        <v>23</v>
      </c>
      <c r="H20" s="1667">
        <f t="shared" si="3"/>
        <v>24</v>
      </c>
      <c r="I20" s="1668">
        <f t="shared" si="1"/>
        <v>4.3478260869565215</v>
      </c>
      <c r="J20" s="1667">
        <v>28</v>
      </c>
      <c r="K20" s="1668">
        <f t="shared" si="2"/>
        <v>85.714285714285708</v>
      </c>
      <c r="L20" s="1668">
        <f>H20/$H$17*100</f>
        <v>8.4064431183280414E-4</v>
      </c>
      <c r="M20" s="1604"/>
      <c r="N20" s="1606"/>
      <c r="O20" s="1618"/>
      <c r="P20" s="1618"/>
      <c r="Q20" s="1618"/>
      <c r="R20" s="1618"/>
      <c r="S20" s="1606"/>
    </row>
    <row r="21" spans="2:21">
      <c r="B21" s="1604"/>
      <c r="C21" s="1604"/>
      <c r="D21" s="1604"/>
      <c r="E21" s="1604"/>
      <c r="F21" s="1604"/>
      <c r="G21" s="1604"/>
      <c r="H21" s="1604"/>
      <c r="I21" s="1604"/>
      <c r="J21" s="1604"/>
      <c r="K21" s="1604"/>
      <c r="L21" s="1604"/>
      <c r="M21" s="1604"/>
      <c r="N21" s="1606"/>
      <c r="O21" s="1606"/>
      <c r="P21" s="1606"/>
      <c r="Q21" s="1606"/>
      <c r="R21" s="1606"/>
      <c r="S21" s="1606"/>
    </row>
    <row r="23" spans="2:21" ht="15.6">
      <c r="B23" s="1604"/>
      <c r="C23" s="1607"/>
      <c r="D23" s="1622" t="s">
        <v>784</v>
      </c>
      <c r="E23" s="1622"/>
      <c r="F23" s="1622"/>
      <c r="G23" s="1622"/>
      <c r="H23" s="1622"/>
      <c r="I23" s="1622"/>
      <c r="J23" s="1622"/>
      <c r="K23" s="1622"/>
      <c r="L23" s="1623"/>
      <c r="M23" s="1623"/>
      <c r="N23" s="1623"/>
      <c r="O23" s="1623"/>
      <c r="P23" s="1623"/>
      <c r="Q23" s="1623"/>
      <c r="R23" s="1623"/>
      <c r="S23" s="1623"/>
      <c r="T23" s="1604"/>
      <c r="U23" s="1604"/>
    </row>
    <row r="24" spans="2:21" ht="16.5" customHeight="1">
      <c r="B24" s="1604"/>
      <c r="C24" s="2945" t="s">
        <v>695</v>
      </c>
      <c r="D24" s="2948" t="s">
        <v>175</v>
      </c>
      <c r="E24" s="2949"/>
      <c r="F24" s="2949"/>
      <c r="G24" s="2949"/>
      <c r="H24" s="2949"/>
      <c r="I24" s="2949"/>
      <c r="J24" s="2949"/>
      <c r="K24" s="2956"/>
      <c r="L24" s="2950" t="s">
        <v>1</v>
      </c>
      <c r="M24" s="2951"/>
      <c r="N24" s="2951"/>
      <c r="O24" s="2951"/>
      <c r="P24" s="2951"/>
      <c r="Q24" s="2951"/>
      <c r="R24" s="2951"/>
      <c r="S24" s="2952"/>
      <c r="T24" s="1604"/>
      <c r="U24" s="1604"/>
    </row>
    <row r="25" spans="2:21" ht="16.5" customHeight="1">
      <c r="B25" s="1604"/>
      <c r="C25" s="2946"/>
      <c r="D25" s="2948">
        <f>D4</f>
        <v>2023</v>
      </c>
      <c r="E25" s="2949"/>
      <c r="F25" s="2949"/>
      <c r="G25" s="2956"/>
      <c r="H25" s="2959">
        <f>E4</f>
        <v>2024</v>
      </c>
      <c r="I25" s="2960"/>
      <c r="J25" s="2960"/>
      <c r="K25" s="2961"/>
      <c r="L25" s="2950">
        <f>D25</f>
        <v>2023</v>
      </c>
      <c r="M25" s="2951"/>
      <c r="N25" s="2951"/>
      <c r="O25" s="2952"/>
      <c r="P25" s="2962">
        <f>H25</f>
        <v>2024</v>
      </c>
      <c r="Q25" s="2963"/>
      <c r="R25" s="2963"/>
      <c r="S25" s="2964"/>
      <c r="T25" s="1604"/>
      <c r="U25" s="1604"/>
    </row>
    <row r="26" spans="2:21" ht="16.5" customHeight="1">
      <c r="B26" s="1604"/>
      <c r="C26" s="2947"/>
      <c r="D26" s="1624" t="s">
        <v>798</v>
      </c>
      <c r="E26" s="1624" t="s">
        <v>799</v>
      </c>
      <c r="F26" s="1624" t="s">
        <v>800</v>
      </c>
      <c r="G26" s="1624" t="s">
        <v>790</v>
      </c>
      <c r="H26" s="1625" t="s">
        <v>798</v>
      </c>
      <c r="I26" s="1625" t="s">
        <v>799</v>
      </c>
      <c r="J26" s="1625" t="s">
        <v>800</v>
      </c>
      <c r="K26" s="1625" t="s">
        <v>790</v>
      </c>
      <c r="L26" s="1626" t="s">
        <v>798</v>
      </c>
      <c r="M26" s="1626" t="s">
        <v>799</v>
      </c>
      <c r="N26" s="1626" t="s">
        <v>800</v>
      </c>
      <c r="O26" s="1626" t="s">
        <v>790</v>
      </c>
      <c r="P26" s="1627" t="s">
        <v>798</v>
      </c>
      <c r="Q26" s="1627" t="s">
        <v>799</v>
      </c>
      <c r="R26" s="1627" t="s">
        <v>800</v>
      </c>
      <c r="S26" s="1627" t="s">
        <v>790</v>
      </c>
      <c r="T26" s="1604"/>
      <c r="U26" s="1604"/>
    </row>
    <row r="27" spans="2:21" ht="16.5" customHeight="1">
      <c r="B27" s="1604"/>
      <c r="C27" s="1628" t="s">
        <v>6</v>
      </c>
      <c r="D27" s="1629">
        <f t="shared" ref="D27:D36" si="4">G43</f>
        <v>538</v>
      </c>
      <c r="E27" s="1629">
        <f t="shared" ref="E27:E36" si="5">G58</f>
        <v>378367</v>
      </c>
      <c r="F27" s="1629">
        <f t="shared" ref="F27:F36" si="6">G73</f>
        <v>494</v>
      </c>
      <c r="G27" s="1629">
        <f>F27+D27</f>
        <v>1032</v>
      </c>
      <c r="H27" s="1630">
        <f t="shared" ref="H27:H36" si="7">K43</f>
        <v>1446</v>
      </c>
      <c r="I27" s="1630">
        <f t="shared" ref="I27:I36" si="8">K58</f>
        <v>395688</v>
      </c>
      <c r="J27" s="1630">
        <f t="shared" ref="J27:J36" si="9">K73</f>
        <v>615</v>
      </c>
      <c r="K27" s="1630">
        <f>J27+H27</f>
        <v>2061</v>
      </c>
      <c r="L27" s="1631">
        <f t="shared" ref="L27:L36" si="10">O43</f>
        <v>13070</v>
      </c>
      <c r="M27" s="1631">
        <f t="shared" ref="M27:M36" si="11">O58</f>
        <v>378367</v>
      </c>
      <c r="N27" s="1631">
        <f t="shared" ref="N27:N36" si="12">O73</f>
        <v>2167</v>
      </c>
      <c r="O27" s="1631">
        <f>N27+L27</f>
        <v>15237</v>
      </c>
      <c r="P27" s="1632">
        <f t="shared" ref="P27:P36" si="13">S43</f>
        <v>12653</v>
      </c>
      <c r="Q27" s="1632">
        <f t="shared" ref="Q27:Q36" si="14">S58</f>
        <v>395688</v>
      </c>
      <c r="R27" s="1632">
        <f t="shared" ref="R27:R36" si="15">S73</f>
        <v>4977</v>
      </c>
      <c r="S27" s="1632">
        <f>R27+P27</f>
        <v>17630</v>
      </c>
      <c r="T27" s="1604"/>
      <c r="U27" s="1604"/>
    </row>
    <row r="28" spans="2:21" ht="16.5" customHeight="1">
      <c r="B28" s="1604"/>
      <c r="C28" s="1628" t="s">
        <v>7</v>
      </c>
      <c r="D28" s="1629">
        <f t="shared" si="4"/>
        <v>672</v>
      </c>
      <c r="E28" s="1629">
        <f t="shared" si="5"/>
        <v>234361</v>
      </c>
      <c r="F28" s="1629">
        <f t="shared" si="6"/>
        <v>755</v>
      </c>
      <c r="G28" s="1629">
        <f t="shared" ref="G28:G36" si="16">F28+D28</f>
        <v>1427</v>
      </c>
      <c r="H28" s="1630">
        <f t="shared" si="7"/>
        <v>1166</v>
      </c>
      <c r="I28" s="1630">
        <f t="shared" si="8"/>
        <v>245813</v>
      </c>
      <c r="J28" s="1630">
        <f t="shared" si="9"/>
        <v>88</v>
      </c>
      <c r="K28" s="1630">
        <f t="shared" ref="K28:K36" si="17">J28+H28</f>
        <v>1254</v>
      </c>
      <c r="L28" s="1631">
        <f t="shared" si="10"/>
        <v>6223</v>
      </c>
      <c r="M28" s="1631">
        <f t="shared" si="11"/>
        <v>234361</v>
      </c>
      <c r="N28" s="1631">
        <f t="shared" si="12"/>
        <v>3128</v>
      </c>
      <c r="O28" s="1631">
        <f t="shared" ref="O28:O36" si="18">N28+L28</f>
        <v>9351</v>
      </c>
      <c r="P28" s="1632">
        <f t="shared" si="13"/>
        <v>7919</v>
      </c>
      <c r="Q28" s="1632">
        <f t="shared" si="14"/>
        <v>245813</v>
      </c>
      <c r="R28" s="1632">
        <f t="shared" si="15"/>
        <v>1265</v>
      </c>
      <c r="S28" s="1632">
        <f t="shared" ref="S28:S36" si="19">R28+P28</f>
        <v>9184</v>
      </c>
      <c r="T28" s="1604"/>
      <c r="U28" s="1604"/>
    </row>
    <row r="29" spans="2:21" ht="16.5" customHeight="1">
      <c r="B29" s="1604"/>
      <c r="C29" s="1628" t="s">
        <v>8</v>
      </c>
      <c r="D29" s="1629">
        <f t="shared" si="4"/>
        <v>1109</v>
      </c>
      <c r="E29" s="1629">
        <f t="shared" si="5"/>
        <v>238261</v>
      </c>
      <c r="F29" s="1629">
        <f t="shared" si="6"/>
        <v>169</v>
      </c>
      <c r="G29" s="1629">
        <f t="shared" si="16"/>
        <v>1278</v>
      </c>
      <c r="H29" s="1630">
        <f t="shared" si="7"/>
        <v>1211</v>
      </c>
      <c r="I29" s="1630">
        <f t="shared" si="8"/>
        <v>250107</v>
      </c>
      <c r="J29" s="1630">
        <f t="shared" si="9"/>
        <v>103</v>
      </c>
      <c r="K29" s="1630">
        <f t="shared" si="17"/>
        <v>1314</v>
      </c>
      <c r="L29" s="1631">
        <f t="shared" si="10"/>
        <v>6952</v>
      </c>
      <c r="M29" s="1631">
        <f t="shared" si="11"/>
        <v>238261</v>
      </c>
      <c r="N29" s="1631">
        <f t="shared" si="12"/>
        <v>1320</v>
      </c>
      <c r="O29" s="1631">
        <f t="shared" si="18"/>
        <v>8272</v>
      </c>
      <c r="P29" s="1632">
        <f t="shared" si="13"/>
        <v>7054</v>
      </c>
      <c r="Q29" s="1632">
        <f t="shared" si="14"/>
        <v>250107</v>
      </c>
      <c r="R29" s="1632">
        <f t="shared" si="15"/>
        <v>1653</v>
      </c>
      <c r="S29" s="1632">
        <f t="shared" si="19"/>
        <v>8707</v>
      </c>
      <c r="T29" s="1604"/>
      <c r="U29" s="1604"/>
    </row>
    <row r="30" spans="2:21" ht="16.5" customHeight="1">
      <c r="B30" s="1604"/>
      <c r="C30" s="1628" t="s">
        <v>4</v>
      </c>
      <c r="D30" s="1629">
        <f t="shared" si="4"/>
        <v>2000</v>
      </c>
      <c r="E30" s="1629">
        <f t="shared" si="5"/>
        <v>467210</v>
      </c>
      <c r="F30" s="1629">
        <f t="shared" si="6"/>
        <v>706</v>
      </c>
      <c r="G30" s="1629">
        <f t="shared" si="16"/>
        <v>2706</v>
      </c>
      <c r="H30" s="1630">
        <f t="shared" si="7"/>
        <v>1514</v>
      </c>
      <c r="I30" s="1630">
        <f t="shared" si="8"/>
        <v>484671</v>
      </c>
      <c r="J30" s="1630">
        <f t="shared" si="9"/>
        <v>283</v>
      </c>
      <c r="K30" s="1630">
        <f t="shared" si="17"/>
        <v>1797</v>
      </c>
      <c r="L30" s="1631">
        <f t="shared" si="10"/>
        <v>8943</v>
      </c>
      <c r="M30" s="1631">
        <f t="shared" si="11"/>
        <v>467210</v>
      </c>
      <c r="N30" s="1631">
        <f t="shared" si="12"/>
        <v>4784</v>
      </c>
      <c r="O30" s="1631">
        <f t="shared" si="18"/>
        <v>13727</v>
      </c>
      <c r="P30" s="1632">
        <f t="shared" si="13"/>
        <v>12679</v>
      </c>
      <c r="Q30" s="1632">
        <f t="shared" si="14"/>
        <v>484671</v>
      </c>
      <c r="R30" s="1632">
        <f t="shared" si="15"/>
        <v>2914</v>
      </c>
      <c r="S30" s="1632">
        <f t="shared" si="19"/>
        <v>15593</v>
      </c>
      <c r="T30" s="1604"/>
      <c r="U30" s="1604"/>
    </row>
    <row r="31" spans="2:21" ht="16.5" customHeight="1">
      <c r="B31" s="1604"/>
      <c r="C31" s="1628" t="s">
        <v>3</v>
      </c>
      <c r="D31" s="1629">
        <f t="shared" si="4"/>
        <v>623</v>
      </c>
      <c r="E31" s="1629">
        <f t="shared" si="5"/>
        <v>238798</v>
      </c>
      <c r="F31" s="1629">
        <f t="shared" si="6"/>
        <v>185</v>
      </c>
      <c r="G31" s="1629">
        <f t="shared" si="16"/>
        <v>808</v>
      </c>
      <c r="H31" s="1630">
        <f t="shared" si="7"/>
        <v>796</v>
      </c>
      <c r="I31" s="1630">
        <f t="shared" si="8"/>
        <v>246788</v>
      </c>
      <c r="J31" s="1630">
        <f t="shared" si="9"/>
        <v>28</v>
      </c>
      <c r="K31" s="1630">
        <f t="shared" si="17"/>
        <v>824</v>
      </c>
      <c r="L31" s="1631">
        <f t="shared" si="10"/>
        <v>4406</v>
      </c>
      <c r="M31" s="1631">
        <f t="shared" si="11"/>
        <v>238798</v>
      </c>
      <c r="N31" s="1631">
        <f t="shared" si="12"/>
        <v>1208</v>
      </c>
      <c r="O31" s="1631">
        <f t="shared" si="18"/>
        <v>5614</v>
      </c>
      <c r="P31" s="1632">
        <f t="shared" si="13"/>
        <v>5442</v>
      </c>
      <c r="Q31" s="1632">
        <f t="shared" si="14"/>
        <v>246788</v>
      </c>
      <c r="R31" s="1632">
        <f t="shared" si="15"/>
        <v>418</v>
      </c>
      <c r="S31" s="1632">
        <f t="shared" si="19"/>
        <v>5860</v>
      </c>
      <c r="T31" s="1604"/>
      <c r="U31" s="1604"/>
    </row>
    <row r="32" spans="2:21" ht="16.5" customHeight="1">
      <c r="B32" s="1604"/>
      <c r="C32" s="1628" t="s">
        <v>397</v>
      </c>
      <c r="D32" s="1629">
        <f t="shared" si="4"/>
        <v>605</v>
      </c>
      <c r="E32" s="1629">
        <f t="shared" si="5"/>
        <v>231099</v>
      </c>
      <c r="F32" s="1629">
        <f t="shared" si="6"/>
        <v>363</v>
      </c>
      <c r="G32" s="1629">
        <f t="shared" si="16"/>
        <v>968</v>
      </c>
      <c r="H32" s="1630">
        <f t="shared" si="7"/>
        <v>714</v>
      </c>
      <c r="I32" s="1630">
        <f t="shared" si="8"/>
        <v>239659</v>
      </c>
      <c r="J32" s="1630">
        <f t="shared" si="9"/>
        <v>113</v>
      </c>
      <c r="K32" s="1630">
        <f t="shared" si="17"/>
        <v>827</v>
      </c>
      <c r="L32" s="1631">
        <f t="shared" si="10"/>
        <v>7860</v>
      </c>
      <c r="M32" s="1631">
        <f t="shared" si="11"/>
        <v>231099</v>
      </c>
      <c r="N32" s="1631">
        <f t="shared" si="12"/>
        <v>1042</v>
      </c>
      <c r="O32" s="1631">
        <f t="shared" si="18"/>
        <v>8902</v>
      </c>
      <c r="P32" s="1632">
        <f t="shared" si="13"/>
        <v>4614</v>
      </c>
      <c r="Q32" s="1632">
        <f t="shared" si="14"/>
        <v>239659</v>
      </c>
      <c r="R32" s="1632">
        <f t="shared" si="15"/>
        <v>1835</v>
      </c>
      <c r="S32" s="1632">
        <f t="shared" si="19"/>
        <v>6449</v>
      </c>
      <c r="T32" s="1604"/>
      <c r="U32" s="1604"/>
    </row>
    <row r="33" spans="2:21" ht="16.5" customHeight="1">
      <c r="B33" s="1604"/>
      <c r="C33" s="1628" t="s">
        <v>399</v>
      </c>
      <c r="D33" s="1629">
        <f t="shared" si="4"/>
        <v>1238</v>
      </c>
      <c r="E33" s="1629">
        <f t="shared" si="5"/>
        <v>322627</v>
      </c>
      <c r="F33" s="1629">
        <f t="shared" si="6"/>
        <v>406</v>
      </c>
      <c r="G33" s="1629">
        <f t="shared" si="16"/>
        <v>1644</v>
      </c>
      <c r="H33" s="1630">
        <f t="shared" si="7"/>
        <v>1352</v>
      </c>
      <c r="I33" s="1630">
        <f t="shared" si="8"/>
        <v>339124</v>
      </c>
      <c r="J33" s="1630">
        <f t="shared" si="9"/>
        <v>119</v>
      </c>
      <c r="K33" s="1630">
        <f t="shared" si="17"/>
        <v>1471</v>
      </c>
      <c r="L33" s="1631">
        <f t="shared" si="10"/>
        <v>9409</v>
      </c>
      <c r="M33" s="1631">
        <f t="shared" si="11"/>
        <v>322627</v>
      </c>
      <c r="N33" s="1631">
        <f t="shared" si="12"/>
        <v>1884</v>
      </c>
      <c r="O33" s="1631">
        <f t="shared" si="18"/>
        <v>11293</v>
      </c>
      <c r="P33" s="1632">
        <f t="shared" si="13"/>
        <v>11365</v>
      </c>
      <c r="Q33" s="1632">
        <f t="shared" si="14"/>
        <v>339124</v>
      </c>
      <c r="R33" s="1632">
        <f t="shared" si="15"/>
        <v>1605</v>
      </c>
      <c r="S33" s="1632">
        <f t="shared" si="19"/>
        <v>12970</v>
      </c>
      <c r="T33" s="1604"/>
      <c r="U33" s="1604"/>
    </row>
    <row r="34" spans="2:21" ht="16.5" customHeight="1">
      <c r="B34" s="1604"/>
      <c r="C34" s="1628" t="s">
        <v>883</v>
      </c>
      <c r="D34" s="1629">
        <f t="shared" si="4"/>
        <v>925</v>
      </c>
      <c r="E34" s="1629">
        <f t="shared" si="5"/>
        <v>231689</v>
      </c>
      <c r="F34" s="1629">
        <f t="shared" si="6"/>
        <v>122</v>
      </c>
      <c r="G34" s="1629">
        <f t="shared" si="16"/>
        <v>1047</v>
      </c>
      <c r="H34" s="1630">
        <f t="shared" si="7"/>
        <v>528</v>
      </c>
      <c r="I34" s="1630">
        <f t="shared" si="8"/>
        <v>240768</v>
      </c>
      <c r="J34" s="1630">
        <f t="shared" si="9"/>
        <v>70</v>
      </c>
      <c r="K34" s="1630">
        <f t="shared" si="17"/>
        <v>598</v>
      </c>
      <c r="L34" s="1631">
        <f t="shared" si="10"/>
        <v>5739</v>
      </c>
      <c r="M34" s="1631">
        <f t="shared" si="11"/>
        <v>231689</v>
      </c>
      <c r="N34" s="1631">
        <f t="shared" si="12"/>
        <v>1592</v>
      </c>
      <c r="O34" s="1631">
        <f t="shared" si="18"/>
        <v>7331</v>
      </c>
      <c r="P34" s="1632">
        <f t="shared" si="13"/>
        <v>5234</v>
      </c>
      <c r="Q34" s="1632">
        <f t="shared" si="14"/>
        <v>240768</v>
      </c>
      <c r="R34" s="1632">
        <f t="shared" si="15"/>
        <v>894</v>
      </c>
      <c r="S34" s="1632">
        <f t="shared" si="19"/>
        <v>6128</v>
      </c>
      <c r="T34" s="1604"/>
      <c r="U34" s="1604"/>
    </row>
    <row r="35" spans="2:21" ht="16.5" customHeight="1">
      <c r="B35" s="1604"/>
      <c r="C35" s="1628" t="s">
        <v>884</v>
      </c>
      <c r="D35" s="1629">
        <f t="shared" si="4"/>
        <v>749</v>
      </c>
      <c r="E35" s="1629">
        <f t="shared" si="5"/>
        <v>307556</v>
      </c>
      <c r="F35" s="1629">
        <f t="shared" si="6"/>
        <v>478</v>
      </c>
      <c r="G35" s="1629">
        <f t="shared" si="16"/>
        <v>1227</v>
      </c>
      <c r="H35" s="1630">
        <f t="shared" si="7"/>
        <v>1407</v>
      </c>
      <c r="I35" s="1630">
        <f t="shared" si="8"/>
        <v>318311</v>
      </c>
      <c r="J35" s="1630">
        <f t="shared" si="9"/>
        <v>170</v>
      </c>
      <c r="K35" s="1630">
        <f t="shared" si="17"/>
        <v>1577</v>
      </c>
      <c r="L35" s="1631">
        <f t="shared" si="10"/>
        <v>9013</v>
      </c>
      <c r="M35" s="1631">
        <f t="shared" si="11"/>
        <v>307556</v>
      </c>
      <c r="N35" s="1631">
        <f t="shared" si="12"/>
        <v>2612</v>
      </c>
      <c r="O35" s="1631">
        <f t="shared" si="18"/>
        <v>11625</v>
      </c>
      <c r="P35" s="1632">
        <f t="shared" si="13"/>
        <v>7557</v>
      </c>
      <c r="Q35" s="1632">
        <f t="shared" si="14"/>
        <v>318311</v>
      </c>
      <c r="R35" s="1632">
        <f t="shared" si="15"/>
        <v>2102</v>
      </c>
      <c r="S35" s="1632">
        <f t="shared" si="19"/>
        <v>9659</v>
      </c>
      <c r="T35" s="1604"/>
      <c r="U35" s="1604"/>
    </row>
    <row r="36" spans="2:21" ht="16.5" customHeight="1">
      <c r="B36" s="1604"/>
      <c r="C36" s="1628" t="s">
        <v>885</v>
      </c>
      <c r="D36" s="1629">
        <f t="shared" si="4"/>
        <v>92</v>
      </c>
      <c r="E36" s="1629">
        <f t="shared" si="5"/>
        <v>88966</v>
      </c>
      <c r="F36" s="1629">
        <f t="shared" si="6"/>
        <v>233</v>
      </c>
      <c r="G36" s="1629">
        <f t="shared" si="16"/>
        <v>325</v>
      </c>
      <c r="H36" s="1630">
        <f t="shared" si="7"/>
        <v>241</v>
      </c>
      <c r="I36" s="1630">
        <f t="shared" si="8"/>
        <v>94024</v>
      </c>
      <c r="J36" s="1630">
        <f t="shared" si="9"/>
        <v>34</v>
      </c>
      <c r="K36" s="1630">
        <f t="shared" si="17"/>
        <v>275</v>
      </c>
      <c r="L36" s="1631">
        <f t="shared" si="10"/>
        <v>3520</v>
      </c>
      <c r="M36" s="1631">
        <f t="shared" si="11"/>
        <v>88966</v>
      </c>
      <c r="N36" s="1631">
        <f t="shared" si="12"/>
        <v>1258</v>
      </c>
      <c r="O36" s="1631">
        <f t="shared" si="18"/>
        <v>4778</v>
      </c>
      <c r="P36" s="1632">
        <f t="shared" si="13"/>
        <v>4206</v>
      </c>
      <c r="Q36" s="1632">
        <f t="shared" si="14"/>
        <v>94024</v>
      </c>
      <c r="R36" s="1632">
        <f t="shared" si="15"/>
        <v>1166</v>
      </c>
      <c r="S36" s="1632">
        <f t="shared" si="19"/>
        <v>5372</v>
      </c>
      <c r="T36" s="1604"/>
      <c r="U36" s="1604"/>
    </row>
    <row r="37" spans="2:21" ht="16.5" customHeight="1">
      <c r="B37" s="1604"/>
      <c r="C37" s="1633" t="s">
        <v>20</v>
      </c>
      <c r="D37" s="1634">
        <f t="shared" ref="D37:S37" si="20">SUM(D27:D36)</f>
        <v>8551</v>
      </c>
      <c r="E37" s="1634">
        <f t="shared" si="20"/>
        <v>2738934</v>
      </c>
      <c r="F37" s="1634">
        <f t="shared" si="20"/>
        <v>3911</v>
      </c>
      <c r="G37" s="1634">
        <f t="shared" si="20"/>
        <v>12462</v>
      </c>
      <c r="H37" s="1635">
        <f t="shared" si="20"/>
        <v>10375</v>
      </c>
      <c r="I37" s="1635">
        <f t="shared" si="20"/>
        <v>2854953</v>
      </c>
      <c r="J37" s="1635">
        <f t="shared" si="20"/>
        <v>1623</v>
      </c>
      <c r="K37" s="1635">
        <f t="shared" si="20"/>
        <v>11998</v>
      </c>
      <c r="L37" s="1634">
        <f t="shared" si="20"/>
        <v>75135</v>
      </c>
      <c r="M37" s="1634">
        <f t="shared" si="20"/>
        <v>2738934</v>
      </c>
      <c r="N37" s="1634">
        <f t="shared" si="20"/>
        <v>20995</v>
      </c>
      <c r="O37" s="1634">
        <f t="shared" si="20"/>
        <v>96130</v>
      </c>
      <c r="P37" s="1636">
        <f t="shared" si="20"/>
        <v>78723</v>
      </c>
      <c r="Q37" s="1636">
        <f t="shared" si="20"/>
        <v>2854953</v>
      </c>
      <c r="R37" s="1636">
        <f t="shared" si="20"/>
        <v>18829</v>
      </c>
      <c r="S37" s="1636">
        <f t="shared" si="20"/>
        <v>97552</v>
      </c>
      <c r="T37" s="1604"/>
      <c r="U37" s="1604"/>
    </row>
    <row r="38" spans="2:21" ht="15.6">
      <c r="B38" s="1604"/>
      <c r="C38" s="1607"/>
      <c r="D38" s="1637"/>
      <c r="E38" s="1637"/>
      <c r="F38" s="1637"/>
      <c r="G38" s="1637"/>
      <c r="H38" s="1637"/>
      <c r="I38" s="1637"/>
      <c r="J38" s="1637"/>
      <c r="K38" s="1637"/>
      <c r="L38" s="1638"/>
      <c r="M38" s="1638"/>
      <c r="N38" s="1638"/>
      <c r="O38" s="1638"/>
      <c r="P38" s="1638"/>
      <c r="Q38" s="1638"/>
      <c r="R38" s="1638"/>
      <c r="S38" s="1638"/>
      <c r="T38" s="1604"/>
      <c r="U38" s="1604"/>
    </row>
    <row r="39" spans="2:21" ht="16.5" customHeight="1">
      <c r="B39" s="1604"/>
      <c r="C39" s="1607"/>
      <c r="D39" s="1623" t="s">
        <v>796</v>
      </c>
      <c r="E39" s="1623"/>
      <c r="F39" s="1623"/>
      <c r="G39" s="1623"/>
      <c r="H39" s="1623"/>
      <c r="I39" s="1623"/>
      <c r="J39" s="1623"/>
      <c r="K39" s="1623"/>
      <c r="L39" s="1623"/>
      <c r="M39" s="1623"/>
      <c r="N39" s="1623"/>
      <c r="O39" s="1623"/>
      <c r="P39" s="1623"/>
      <c r="Q39" s="1623"/>
      <c r="R39" s="1623"/>
      <c r="S39" s="1623"/>
      <c r="T39" s="1623"/>
      <c r="U39" s="1604"/>
    </row>
    <row r="40" spans="2:21" ht="15.6">
      <c r="B40" s="1604"/>
      <c r="C40" s="2945" t="s">
        <v>695</v>
      </c>
      <c r="D40" s="2948" t="str">
        <f>D24</f>
        <v>mois</v>
      </c>
      <c r="E40" s="2949"/>
      <c r="F40" s="2949"/>
      <c r="G40" s="2949"/>
      <c r="H40" s="2949"/>
      <c r="I40" s="2949"/>
      <c r="J40" s="2949"/>
      <c r="K40" s="2949"/>
      <c r="L40" s="2948" t="str">
        <f>L24</f>
        <v xml:space="preserve">Cumul </v>
      </c>
      <c r="M40" s="2949"/>
      <c r="N40" s="2949"/>
      <c r="O40" s="2949"/>
      <c r="P40" s="2949"/>
      <c r="Q40" s="2949"/>
      <c r="R40" s="2949"/>
      <c r="S40" s="2949"/>
      <c r="T40" s="2957" t="str">
        <f>J3</f>
        <v>Objectif
 2024</v>
      </c>
      <c r="U40" s="1604"/>
    </row>
    <row r="41" spans="2:21" ht="16.5" customHeight="1">
      <c r="B41" s="1604"/>
      <c r="C41" s="2946"/>
      <c r="D41" s="2948">
        <f>D25</f>
        <v>2023</v>
      </c>
      <c r="E41" s="2949"/>
      <c r="F41" s="2949"/>
      <c r="G41" s="2956"/>
      <c r="H41" s="2948">
        <f>H25</f>
        <v>2024</v>
      </c>
      <c r="I41" s="2949"/>
      <c r="J41" s="2949"/>
      <c r="K41" s="2956"/>
      <c r="L41" s="2948">
        <f>L25</f>
        <v>2023</v>
      </c>
      <c r="M41" s="2949"/>
      <c r="N41" s="2949"/>
      <c r="O41" s="2956"/>
      <c r="P41" s="2948">
        <f>P25</f>
        <v>2024</v>
      </c>
      <c r="Q41" s="2949"/>
      <c r="R41" s="2949"/>
      <c r="S41" s="2956"/>
      <c r="T41" s="2954"/>
      <c r="U41" s="1604"/>
    </row>
    <row r="42" spans="2:21" ht="16.5" customHeight="1">
      <c r="B42" s="1604"/>
      <c r="C42" s="2947"/>
      <c r="D42" s="1639" t="s">
        <v>52</v>
      </c>
      <c r="E42" s="1639" t="s">
        <v>19</v>
      </c>
      <c r="F42" s="1639" t="s">
        <v>198</v>
      </c>
      <c r="G42" s="1639" t="s">
        <v>20</v>
      </c>
      <c r="H42" s="1639" t="s">
        <v>52</v>
      </c>
      <c r="I42" s="1639" t="s">
        <v>19</v>
      </c>
      <c r="J42" s="1639" t="s">
        <v>198</v>
      </c>
      <c r="K42" s="1639" t="s">
        <v>20</v>
      </c>
      <c r="L42" s="1640" t="s">
        <v>52</v>
      </c>
      <c r="M42" s="1640" t="s">
        <v>19</v>
      </c>
      <c r="N42" s="1640" t="s">
        <v>198</v>
      </c>
      <c r="O42" s="1640" t="s">
        <v>20</v>
      </c>
      <c r="P42" s="1640" t="s">
        <v>52</v>
      </c>
      <c r="Q42" s="1640" t="s">
        <v>19</v>
      </c>
      <c r="R42" s="1640" t="s">
        <v>198</v>
      </c>
      <c r="S42" s="1640" t="s">
        <v>20</v>
      </c>
      <c r="T42" s="2955"/>
      <c r="U42" s="1604"/>
    </row>
    <row r="43" spans="2:21" ht="16.5" customHeight="1">
      <c r="B43" s="1604"/>
      <c r="C43" s="1628" t="s">
        <v>6</v>
      </c>
      <c r="D43" s="1653">
        <f>Clientele!B38</f>
        <v>532</v>
      </c>
      <c r="E43" s="1653">
        <f>Clientele!C38</f>
        <v>6</v>
      </c>
      <c r="F43" s="1653">
        <f>Clientele!D38</f>
        <v>0</v>
      </c>
      <c r="G43" s="1654">
        <f>D43+E43+F43</f>
        <v>538</v>
      </c>
      <c r="H43" s="1653">
        <f>Clientele!F38</f>
        <v>1441</v>
      </c>
      <c r="I43" s="1653">
        <f>Clientele!G38</f>
        <v>5</v>
      </c>
      <c r="J43" s="1653">
        <f>Clientele!H38</f>
        <v>0</v>
      </c>
      <c r="K43" s="1654">
        <f t="shared" ref="K43:K53" si="21">H43+I43+J43</f>
        <v>1446</v>
      </c>
      <c r="L43" s="1653">
        <f>Clientele!K38</f>
        <v>13035</v>
      </c>
      <c r="M43" s="1653">
        <f>Clientele!L38</f>
        <v>35</v>
      </c>
      <c r="N43" s="1653">
        <f>Clientele!M38</f>
        <v>0</v>
      </c>
      <c r="O43" s="1655">
        <f>L43+M43+N43</f>
        <v>13070</v>
      </c>
      <c r="P43" s="1653">
        <f>Clientele!O38</f>
        <v>12591</v>
      </c>
      <c r="Q43" s="1653">
        <f>Clientele!P38</f>
        <v>62</v>
      </c>
      <c r="R43" s="1653">
        <f>Clientele!Q38</f>
        <v>0</v>
      </c>
      <c r="S43" s="1655">
        <f>P43+Q43+R43</f>
        <v>12653</v>
      </c>
      <c r="T43" s="1629">
        <f>Clientele!T113</f>
        <v>11430</v>
      </c>
      <c r="U43" s="1604"/>
    </row>
    <row r="44" spans="2:21" ht="16.5" customHeight="1">
      <c r="B44" s="1604"/>
      <c r="C44" s="1628" t="s">
        <v>7</v>
      </c>
      <c r="D44" s="1653">
        <f>Clientele!B39</f>
        <v>671</v>
      </c>
      <c r="E44" s="1653">
        <f>Clientele!C39</f>
        <v>1</v>
      </c>
      <c r="F44" s="1653">
        <f>Clientele!D39</f>
        <v>0</v>
      </c>
      <c r="G44" s="1654">
        <f>D44+E44+F44</f>
        <v>672</v>
      </c>
      <c r="H44" s="1653">
        <f>Clientele!F39</f>
        <v>1158</v>
      </c>
      <c r="I44" s="1653">
        <f>Clientele!G39</f>
        <v>8</v>
      </c>
      <c r="J44" s="1653">
        <f>Clientele!H39</f>
        <v>0</v>
      </c>
      <c r="K44" s="1654">
        <f t="shared" si="21"/>
        <v>1166</v>
      </c>
      <c r="L44" s="1653">
        <f>Clientele!K39</f>
        <v>6200</v>
      </c>
      <c r="M44" s="1653">
        <f>Clientele!L39</f>
        <v>23</v>
      </c>
      <c r="N44" s="1653">
        <f>Clientele!M39</f>
        <v>0</v>
      </c>
      <c r="O44" s="1655">
        <f t="shared" ref="O44:O52" si="22">L44+M44+N44</f>
        <v>6223</v>
      </c>
      <c r="P44" s="1653">
        <f>Clientele!O39</f>
        <v>7862</v>
      </c>
      <c r="Q44" s="1670">
        <f>Clientele!P39</f>
        <v>57</v>
      </c>
      <c r="R44" s="1653">
        <f>Clientele!Q39</f>
        <v>0</v>
      </c>
      <c r="S44" s="1655">
        <f t="shared" ref="S44:S52" si="23">P44+Q44+R44</f>
        <v>7919</v>
      </c>
      <c r="T44" s="1629">
        <f>Clientele!T114</f>
        <v>8289</v>
      </c>
      <c r="U44" s="1604"/>
    </row>
    <row r="45" spans="2:21" ht="16.5" customHeight="1">
      <c r="B45" s="1604"/>
      <c r="C45" s="1628" t="s">
        <v>8</v>
      </c>
      <c r="D45" s="1653">
        <f>Clientele!B40</f>
        <v>1103</v>
      </c>
      <c r="E45" s="1653">
        <f>Clientele!C40</f>
        <v>6</v>
      </c>
      <c r="F45" s="1653">
        <f>Clientele!D40</f>
        <v>0</v>
      </c>
      <c r="G45" s="1654">
        <f t="shared" ref="G45:G53" si="24">D45+E45+F45</f>
        <v>1109</v>
      </c>
      <c r="H45" s="1653">
        <f>Clientele!F40</f>
        <v>1208</v>
      </c>
      <c r="I45" s="1653">
        <f>Clientele!G40</f>
        <v>3</v>
      </c>
      <c r="J45" s="1653">
        <f>Clientele!H40</f>
        <v>0</v>
      </c>
      <c r="K45" s="1654">
        <f>H45+I45+J45</f>
        <v>1211</v>
      </c>
      <c r="L45" s="1653">
        <f>Clientele!K40</f>
        <v>6925</v>
      </c>
      <c r="M45" s="1653">
        <f>Clientele!L40</f>
        <v>27</v>
      </c>
      <c r="N45" s="1653">
        <f>Clientele!M40</f>
        <v>0</v>
      </c>
      <c r="O45" s="1655">
        <f t="shared" si="22"/>
        <v>6952</v>
      </c>
      <c r="P45" s="1653">
        <f>Clientele!O40</f>
        <v>7011</v>
      </c>
      <c r="Q45" s="1653">
        <f>Clientele!P40</f>
        <v>43</v>
      </c>
      <c r="R45" s="1653">
        <f>Clientele!Q40</f>
        <v>0</v>
      </c>
      <c r="S45" s="1655">
        <f t="shared" si="23"/>
        <v>7054</v>
      </c>
      <c r="T45" s="1629">
        <f>Clientele!T115</f>
        <v>8419</v>
      </c>
      <c r="U45" s="1604"/>
    </row>
    <row r="46" spans="2:21" ht="16.5" customHeight="1">
      <c r="B46" s="1604"/>
      <c r="C46" s="1628" t="s">
        <v>4</v>
      </c>
      <c r="D46" s="1653">
        <f>Clientele!B41</f>
        <v>1998</v>
      </c>
      <c r="E46" s="1653">
        <f>Clientele!C41</f>
        <v>2</v>
      </c>
      <c r="F46" s="1653">
        <f>Clientele!D41</f>
        <v>0</v>
      </c>
      <c r="G46" s="1654">
        <f t="shared" si="24"/>
        <v>2000</v>
      </c>
      <c r="H46" s="1653">
        <f>Clientele!F41</f>
        <v>1513</v>
      </c>
      <c r="I46" s="1653">
        <f>Clientele!G41</f>
        <v>1</v>
      </c>
      <c r="J46" s="1653">
        <f>Clientele!H41</f>
        <v>0</v>
      </c>
      <c r="K46" s="1654">
        <f t="shared" si="21"/>
        <v>1514</v>
      </c>
      <c r="L46" s="1653">
        <f>Clientele!K41</f>
        <v>8913</v>
      </c>
      <c r="M46" s="1653">
        <f>Clientele!L41</f>
        <v>30</v>
      </c>
      <c r="N46" s="1653">
        <f>Clientele!M41</f>
        <v>0</v>
      </c>
      <c r="O46" s="1655">
        <f t="shared" si="22"/>
        <v>8943</v>
      </c>
      <c r="P46" s="1653">
        <f>Clientele!O41</f>
        <v>12661</v>
      </c>
      <c r="Q46" s="1653">
        <f>Clientele!P41</f>
        <v>18</v>
      </c>
      <c r="R46" s="1653">
        <f>Clientele!Q41</f>
        <v>0</v>
      </c>
      <c r="S46" s="1655">
        <f t="shared" si="23"/>
        <v>12679</v>
      </c>
      <c r="T46" s="1629">
        <f>Clientele!T116</f>
        <v>13431</v>
      </c>
      <c r="U46" s="1604"/>
    </row>
    <row r="47" spans="2:21" ht="16.5" customHeight="1">
      <c r="B47" s="1604"/>
      <c r="C47" s="1628" t="s">
        <v>3</v>
      </c>
      <c r="D47" s="1653">
        <f>Clientele!B42</f>
        <v>603</v>
      </c>
      <c r="E47" s="1653">
        <f>Clientele!C42</f>
        <v>20</v>
      </c>
      <c r="F47" s="1653">
        <f>Clientele!D42</f>
        <v>0</v>
      </c>
      <c r="G47" s="1654">
        <f t="shared" si="24"/>
        <v>623</v>
      </c>
      <c r="H47" s="1653">
        <f>Clientele!F42</f>
        <v>778</v>
      </c>
      <c r="I47" s="1653">
        <f>Clientele!G42</f>
        <v>18</v>
      </c>
      <c r="J47" s="1653">
        <f>Clientele!H42</f>
        <v>0</v>
      </c>
      <c r="K47" s="1654">
        <f t="shared" si="21"/>
        <v>796</v>
      </c>
      <c r="L47" s="1653">
        <f>Clientele!K42</f>
        <v>4261</v>
      </c>
      <c r="M47" s="1653">
        <f>Clientele!L42</f>
        <v>145</v>
      </c>
      <c r="N47" s="1653">
        <f>Clientele!M42</f>
        <v>0</v>
      </c>
      <c r="O47" s="1655">
        <f t="shared" si="22"/>
        <v>4406</v>
      </c>
      <c r="P47" s="1653">
        <f>Clientele!O42</f>
        <v>5259</v>
      </c>
      <c r="Q47" s="1653">
        <f>Clientele!P42</f>
        <v>183</v>
      </c>
      <c r="R47" s="1653">
        <f>Clientele!Q42</f>
        <v>0</v>
      </c>
      <c r="S47" s="1655">
        <f t="shared" si="23"/>
        <v>5442</v>
      </c>
      <c r="T47" s="1629">
        <f>Clientele!T117</f>
        <v>7742</v>
      </c>
      <c r="U47" s="1604"/>
    </row>
    <row r="48" spans="2:21" ht="16.5" customHeight="1">
      <c r="B48" s="1604"/>
      <c r="C48" s="1628" t="s">
        <v>397</v>
      </c>
      <c r="D48" s="1653">
        <f>Clientele!B43</f>
        <v>599</v>
      </c>
      <c r="E48" s="1653">
        <f>Clientele!C43</f>
        <v>6</v>
      </c>
      <c r="F48" s="1653">
        <f>Clientele!D43</f>
        <v>0</v>
      </c>
      <c r="G48" s="1654">
        <f t="shared" si="24"/>
        <v>605</v>
      </c>
      <c r="H48" s="1653">
        <f>Clientele!F43</f>
        <v>714</v>
      </c>
      <c r="I48" s="1653">
        <f>Clientele!G43</f>
        <v>0</v>
      </c>
      <c r="J48" s="1653">
        <f>Clientele!H43</f>
        <v>0</v>
      </c>
      <c r="K48" s="1654">
        <f t="shared" si="21"/>
        <v>714</v>
      </c>
      <c r="L48" s="1653">
        <f>Clientele!K43</f>
        <v>7858</v>
      </c>
      <c r="M48" s="1653">
        <f>Clientele!L43</f>
        <v>2</v>
      </c>
      <c r="N48" s="1653">
        <f>Clientele!M43</f>
        <v>0</v>
      </c>
      <c r="O48" s="1655">
        <f t="shared" si="22"/>
        <v>7860</v>
      </c>
      <c r="P48" s="1653">
        <f>Clientele!O43</f>
        <v>4571</v>
      </c>
      <c r="Q48" s="1653">
        <f>Clientele!P43</f>
        <v>43</v>
      </c>
      <c r="R48" s="1653">
        <f>Clientele!Q43</f>
        <v>0</v>
      </c>
      <c r="S48" s="1655">
        <f t="shared" si="23"/>
        <v>4614</v>
      </c>
      <c r="T48" s="1629">
        <f>Clientele!T118</f>
        <v>8191</v>
      </c>
      <c r="U48" s="1604"/>
    </row>
    <row r="49" spans="2:21" ht="16.5" customHeight="1">
      <c r="B49" s="1604"/>
      <c r="C49" s="1628" t="s">
        <v>399</v>
      </c>
      <c r="D49" s="1653">
        <f>Clientele!B44</f>
        <v>1238</v>
      </c>
      <c r="E49" s="1653">
        <f>Clientele!C44</f>
        <v>0</v>
      </c>
      <c r="F49" s="1653">
        <f>Clientele!D44</f>
        <v>0</v>
      </c>
      <c r="G49" s="1654">
        <f t="shared" si="24"/>
        <v>1238</v>
      </c>
      <c r="H49" s="1653">
        <f>Clientele!F44</f>
        <v>1340</v>
      </c>
      <c r="I49" s="1653">
        <f>Clientele!G44</f>
        <v>12</v>
      </c>
      <c r="J49" s="1653">
        <f>Clientele!H44</f>
        <v>0</v>
      </c>
      <c r="K49" s="1654">
        <f t="shared" si="21"/>
        <v>1352</v>
      </c>
      <c r="L49" s="1653">
        <f>Clientele!K44</f>
        <v>9396</v>
      </c>
      <c r="M49" s="1653">
        <f>Clientele!L44</f>
        <v>13</v>
      </c>
      <c r="N49" s="1653">
        <f>Clientele!M44</f>
        <v>0</v>
      </c>
      <c r="O49" s="1655">
        <f t="shared" si="22"/>
        <v>9409</v>
      </c>
      <c r="P49" s="1653">
        <f>Clientele!O44</f>
        <v>11329</v>
      </c>
      <c r="Q49" s="1653">
        <f>Clientele!P44</f>
        <v>36</v>
      </c>
      <c r="R49" s="1653">
        <f>Clientele!Q44</f>
        <v>0</v>
      </c>
      <c r="S49" s="1655">
        <f t="shared" si="23"/>
        <v>11365</v>
      </c>
      <c r="T49" s="1629">
        <f>Clientele!T119</f>
        <v>10938</v>
      </c>
      <c r="U49" s="1604"/>
    </row>
    <row r="50" spans="2:21" ht="16.5" customHeight="1">
      <c r="B50" s="1604"/>
      <c r="C50" s="1628" t="s">
        <v>883</v>
      </c>
      <c r="D50" s="1653">
        <f>Clientele!B45</f>
        <v>924</v>
      </c>
      <c r="E50" s="1653">
        <f>Clientele!C45</f>
        <v>1</v>
      </c>
      <c r="F50" s="1653">
        <f>Clientele!D45</f>
        <v>0</v>
      </c>
      <c r="G50" s="1654">
        <f t="shared" si="24"/>
        <v>925</v>
      </c>
      <c r="H50" s="1653">
        <f>Clientele!F45</f>
        <v>515</v>
      </c>
      <c r="I50" s="1653">
        <f>Clientele!G45</f>
        <v>13</v>
      </c>
      <c r="J50" s="1653">
        <f>Clientele!H45</f>
        <v>0</v>
      </c>
      <c r="K50" s="1654">
        <f t="shared" si="21"/>
        <v>528</v>
      </c>
      <c r="L50" s="1653">
        <f>Clientele!K45</f>
        <v>5693</v>
      </c>
      <c r="M50" s="1653">
        <f>Clientele!L45</f>
        <v>46</v>
      </c>
      <c r="N50" s="1670">
        <f>Clientele!M45</f>
        <v>0</v>
      </c>
      <c r="O50" s="1655">
        <f t="shared" si="22"/>
        <v>5739</v>
      </c>
      <c r="P50" s="1653">
        <f>Clientele!O45</f>
        <v>5171</v>
      </c>
      <c r="Q50" s="1653">
        <f>Clientele!P45</f>
        <v>63</v>
      </c>
      <c r="R50" s="1653">
        <f>Clientele!Q45</f>
        <v>0</v>
      </c>
      <c r="S50" s="1655">
        <f t="shared" si="23"/>
        <v>5234</v>
      </c>
      <c r="T50" s="1629">
        <f>Clientele!T120</f>
        <v>8192</v>
      </c>
      <c r="U50" s="1604"/>
    </row>
    <row r="51" spans="2:21" ht="16.5" customHeight="1">
      <c r="B51" s="1604"/>
      <c r="C51" s="1628" t="s">
        <v>884</v>
      </c>
      <c r="D51" s="1653">
        <f>Clientele!B46</f>
        <v>740</v>
      </c>
      <c r="E51" s="1653">
        <f>Clientele!C46</f>
        <v>9</v>
      </c>
      <c r="F51" s="1653">
        <f>Clientele!D46</f>
        <v>0</v>
      </c>
      <c r="G51" s="1654">
        <f t="shared" si="24"/>
        <v>749</v>
      </c>
      <c r="H51" s="1653">
        <f>Clientele!F46</f>
        <v>1402</v>
      </c>
      <c r="I51" s="1653">
        <f>Clientele!G46</f>
        <v>5</v>
      </c>
      <c r="J51" s="1653">
        <f>Clientele!H46</f>
        <v>0</v>
      </c>
      <c r="K51" s="1654">
        <f t="shared" si="21"/>
        <v>1407</v>
      </c>
      <c r="L51" s="1653">
        <f>Clientele!K46</f>
        <v>8972</v>
      </c>
      <c r="M51" s="1653">
        <f>Clientele!L46</f>
        <v>41</v>
      </c>
      <c r="N51" s="1653">
        <f>Clientele!M46</f>
        <v>0</v>
      </c>
      <c r="O51" s="1655">
        <f t="shared" si="22"/>
        <v>9013</v>
      </c>
      <c r="P51" s="1653">
        <f>Clientele!O46</f>
        <v>7516</v>
      </c>
      <c r="Q51" s="1653">
        <f>Clientele!P46</f>
        <v>41</v>
      </c>
      <c r="R51" s="1653">
        <f>Clientele!Q46</f>
        <v>0</v>
      </c>
      <c r="S51" s="1655">
        <f t="shared" si="23"/>
        <v>7557</v>
      </c>
      <c r="T51" s="1629">
        <f>Clientele!T121</f>
        <v>11300</v>
      </c>
      <c r="U51" s="1604"/>
    </row>
    <row r="52" spans="2:21" ht="16.5" customHeight="1">
      <c r="B52" s="1604"/>
      <c r="C52" s="1628" t="s">
        <v>885</v>
      </c>
      <c r="D52" s="1653">
        <f>Clientele!B47</f>
        <v>92</v>
      </c>
      <c r="E52" s="1653">
        <f>Clientele!C47</f>
        <v>0</v>
      </c>
      <c r="F52" s="1653">
        <f>Clientele!D47</f>
        <v>0</v>
      </c>
      <c r="G52" s="1654">
        <f t="shared" si="24"/>
        <v>92</v>
      </c>
      <c r="H52" s="1653">
        <f>Clientele!F47</f>
        <v>241</v>
      </c>
      <c r="I52" s="1653">
        <f>Clientele!G47</f>
        <v>0</v>
      </c>
      <c r="J52" s="1653">
        <f>Clientele!H47</f>
        <v>0</v>
      </c>
      <c r="K52" s="1654">
        <f t="shared" si="21"/>
        <v>241</v>
      </c>
      <c r="L52" s="1653">
        <f>Clientele!K47</f>
        <v>3516</v>
      </c>
      <c r="M52" s="1653">
        <f>Clientele!L47</f>
        <v>4</v>
      </c>
      <c r="N52" s="1653">
        <f>Clientele!M47</f>
        <v>0</v>
      </c>
      <c r="O52" s="1655">
        <f t="shared" si="22"/>
        <v>3520</v>
      </c>
      <c r="P52" s="1653">
        <f>Clientele!O47</f>
        <v>4205</v>
      </c>
      <c r="Q52" s="1653">
        <f>Clientele!P47</f>
        <v>1</v>
      </c>
      <c r="R52" s="1653">
        <f>Clientele!Q47</f>
        <v>0</v>
      </c>
      <c r="S52" s="1655">
        <f t="shared" si="23"/>
        <v>4206</v>
      </c>
      <c r="T52" s="1629">
        <f>Clientele!T122</f>
        <v>3280</v>
      </c>
      <c r="U52" s="1604"/>
    </row>
    <row r="53" spans="2:21" ht="16.5" customHeight="1">
      <c r="B53" s="1604"/>
      <c r="C53" s="1633" t="s">
        <v>20</v>
      </c>
      <c r="D53" s="1656">
        <f>SUM(D43:D52)</f>
        <v>8500</v>
      </c>
      <c r="E53" s="1656">
        <f>SUM(E43:E52)</f>
        <v>51</v>
      </c>
      <c r="F53" s="1656">
        <f>SUM(F43:F52)</f>
        <v>0</v>
      </c>
      <c r="G53" s="1656">
        <f t="shared" si="24"/>
        <v>8551</v>
      </c>
      <c r="H53" s="1656">
        <f>SUM(H43:H52)</f>
        <v>10310</v>
      </c>
      <c r="I53" s="1656">
        <f>SUM(I43:I52)</f>
        <v>65</v>
      </c>
      <c r="J53" s="1656">
        <f>SUM(J43:J52)</f>
        <v>0</v>
      </c>
      <c r="K53" s="1656">
        <f t="shared" si="21"/>
        <v>10375</v>
      </c>
      <c r="L53" s="1656">
        <f>SUM(L43:L52)</f>
        <v>74769</v>
      </c>
      <c r="M53" s="1656">
        <f>SUM(M43:M52)</f>
        <v>366</v>
      </c>
      <c r="N53" s="1656">
        <f>SUM(N43:N52)</f>
        <v>0</v>
      </c>
      <c r="O53" s="1656">
        <f>L53+M53+N53</f>
        <v>75135</v>
      </c>
      <c r="P53" s="1656">
        <f>SUM(P43:P52)</f>
        <v>78176</v>
      </c>
      <c r="Q53" s="1656">
        <f>SUM(Q43:Q52)</f>
        <v>547</v>
      </c>
      <c r="R53" s="1656">
        <f>SUM(R43:R52)</f>
        <v>0</v>
      </c>
      <c r="S53" s="1656">
        <f>P53+Q53+R53</f>
        <v>78723</v>
      </c>
      <c r="T53" s="1634">
        <f>SUM(T43:T52)</f>
        <v>91212</v>
      </c>
      <c r="U53" s="1604"/>
    </row>
    <row r="54" spans="2:21" ht="16.5" customHeight="1">
      <c r="B54" s="1604"/>
      <c r="C54" s="1604"/>
      <c r="D54" s="1623" t="s">
        <v>797</v>
      </c>
      <c r="E54" s="1623"/>
      <c r="F54" s="1623"/>
      <c r="G54" s="1623"/>
      <c r="H54" s="1623"/>
      <c r="I54" s="1623"/>
      <c r="J54" s="1623"/>
      <c r="K54" s="1623"/>
      <c r="L54" s="1623"/>
      <c r="M54" s="1623"/>
      <c r="N54" s="1623"/>
      <c r="O54" s="1623"/>
      <c r="P54" s="1623"/>
      <c r="Q54" s="1623"/>
      <c r="R54" s="1623"/>
      <c r="S54" s="1623"/>
      <c r="T54" s="1623"/>
      <c r="U54" s="1604"/>
    </row>
    <row r="55" spans="2:21" ht="16.5" customHeight="1">
      <c r="B55" s="1604"/>
      <c r="C55" s="2945" t="s">
        <v>695</v>
      </c>
      <c r="D55" s="2948" t="str">
        <f>D40</f>
        <v>mois</v>
      </c>
      <c r="E55" s="2949"/>
      <c r="F55" s="2949"/>
      <c r="G55" s="2949"/>
      <c r="H55" s="2949"/>
      <c r="I55" s="2949"/>
      <c r="J55" s="2949"/>
      <c r="K55" s="2949"/>
      <c r="L55" s="2950" t="str">
        <f>L40</f>
        <v xml:space="preserve">Cumul </v>
      </c>
      <c r="M55" s="2951"/>
      <c r="N55" s="2951"/>
      <c r="O55" s="2951"/>
      <c r="P55" s="2951"/>
      <c r="Q55" s="2951"/>
      <c r="R55" s="2951"/>
      <c r="S55" s="2952"/>
      <c r="T55" s="2953" t="str">
        <f>T40</f>
        <v>Objectif
 2024</v>
      </c>
      <c r="U55" s="1604"/>
    </row>
    <row r="56" spans="2:21" ht="16.5" customHeight="1">
      <c r="B56" s="1604"/>
      <c r="C56" s="2946"/>
      <c r="D56" s="2948">
        <f>D41</f>
        <v>2023</v>
      </c>
      <c r="E56" s="2949"/>
      <c r="F56" s="2949"/>
      <c r="G56" s="2956"/>
      <c r="H56" s="2948">
        <f>H41</f>
        <v>2024</v>
      </c>
      <c r="I56" s="2949"/>
      <c r="J56" s="2949"/>
      <c r="K56" s="2956"/>
      <c r="L56" s="2950">
        <f>D56</f>
        <v>2023</v>
      </c>
      <c r="M56" s="2951"/>
      <c r="N56" s="2951"/>
      <c r="O56" s="2952"/>
      <c r="P56" s="2950">
        <f>H56</f>
        <v>2024</v>
      </c>
      <c r="Q56" s="2951"/>
      <c r="R56" s="2951"/>
      <c r="S56" s="2952"/>
      <c r="T56" s="2954"/>
      <c r="U56" s="1604"/>
    </row>
    <row r="57" spans="2:21">
      <c r="B57" s="1604"/>
      <c r="C57" s="2947"/>
      <c r="D57" s="1639" t="s">
        <v>52</v>
      </c>
      <c r="E57" s="1639" t="s">
        <v>19</v>
      </c>
      <c r="F57" s="1639" t="s">
        <v>198</v>
      </c>
      <c r="G57" s="1639" t="s">
        <v>20</v>
      </c>
      <c r="H57" s="1639" t="s">
        <v>52</v>
      </c>
      <c r="I57" s="1639" t="s">
        <v>19</v>
      </c>
      <c r="J57" s="1639" t="s">
        <v>198</v>
      </c>
      <c r="K57" s="1639" t="s">
        <v>20</v>
      </c>
      <c r="L57" s="1640" t="s">
        <v>52</v>
      </c>
      <c r="M57" s="1640" t="s">
        <v>19</v>
      </c>
      <c r="N57" s="1640" t="s">
        <v>198</v>
      </c>
      <c r="O57" s="1640" t="s">
        <v>20</v>
      </c>
      <c r="P57" s="1640" t="s">
        <v>52</v>
      </c>
      <c r="Q57" s="1640" t="s">
        <v>19</v>
      </c>
      <c r="R57" s="1640" t="s">
        <v>198</v>
      </c>
      <c r="S57" s="1640" t="s">
        <v>20</v>
      </c>
      <c r="T57" s="2955"/>
      <c r="U57" s="1604"/>
    </row>
    <row r="58" spans="2:21" ht="16.5" customHeight="1">
      <c r="B58" s="1604"/>
      <c r="C58" s="1628" t="s">
        <v>6</v>
      </c>
      <c r="D58" s="1653">
        <f>Clientele!B5</f>
        <v>375453</v>
      </c>
      <c r="E58" s="1653">
        <f>Clientele!C5</f>
        <v>2910</v>
      </c>
      <c r="F58" s="1653">
        <f>Clientele!D5</f>
        <v>4</v>
      </c>
      <c r="G58" s="1654">
        <f>SUM(D58:F58)</f>
        <v>378367</v>
      </c>
      <c r="H58" s="1653">
        <f>Clientele!E5</f>
        <v>392678</v>
      </c>
      <c r="I58" s="1653">
        <f>Clientele!F5</f>
        <v>3006</v>
      </c>
      <c r="J58" s="1653">
        <f>Clientele!G5</f>
        <v>4</v>
      </c>
      <c r="K58" s="1654">
        <f>SUM(H58:J58)</f>
        <v>395688</v>
      </c>
      <c r="L58" s="1653">
        <f>D58</f>
        <v>375453</v>
      </c>
      <c r="M58" s="1653">
        <f>E58</f>
        <v>2910</v>
      </c>
      <c r="N58" s="1653">
        <f>F58</f>
        <v>4</v>
      </c>
      <c r="O58" s="1655">
        <f>SUM(L58:N58)</f>
        <v>378367</v>
      </c>
      <c r="P58" s="1653">
        <f>H58</f>
        <v>392678</v>
      </c>
      <c r="Q58" s="1653">
        <f>I58</f>
        <v>3006</v>
      </c>
      <c r="R58" s="1653">
        <f>J58</f>
        <v>4</v>
      </c>
      <c r="S58" s="1655">
        <f>SUM(P58:R58)</f>
        <v>395688</v>
      </c>
      <c r="T58" s="1629">
        <v>392847</v>
      </c>
      <c r="U58" s="1604"/>
    </row>
    <row r="59" spans="2:21" ht="16.5" customHeight="1">
      <c r="B59" s="1604"/>
      <c r="C59" s="1628" t="s">
        <v>7</v>
      </c>
      <c r="D59" s="1653">
        <f>Clientele!B6</f>
        <v>232999</v>
      </c>
      <c r="E59" s="1653">
        <f>Clientele!C6</f>
        <v>1358</v>
      </c>
      <c r="F59" s="1653">
        <f>Clientele!D6</f>
        <v>4</v>
      </c>
      <c r="G59" s="1654">
        <f t="shared" ref="G59:G67" si="25">SUM(D59:F59)</f>
        <v>234361</v>
      </c>
      <c r="H59" s="1653">
        <f>Clientele!E6</f>
        <v>244369</v>
      </c>
      <c r="I59" s="1653">
        <f>Clientele!F6</f>
        <v>1440</v>
      </c>
      <c r="J59" s="1653">
        <f>Clientele!G6</f>
        <v>4</v>
      </c>
      <c r="K59" s="1654">
        <f t="shared" ref="K59:K67" si="26">SUM(H59:J59)</f>
        <v>245813</v>
      </c>
      <c r="L59" s="1653">
        <f t="shared" ref="L59:L67" si="27">D59</f>
        <v>232999</v>
      </c>
      <c r="M59" s="1653">
        <f t="shared" ref="M59:M67" si="28">E59</f>
        <v>1358</v>
      </c>
      <c r="N59" s="1653">
        <f t="shared" ref="N59:N67" si="29">F59</f>
        <v>4</v>
      </c>
      <c r="O59" s="1655">
        <f t="shared" ref="O59:O67" si="30">SUM(L59:N59)</f>
        <v>234361</v>
      </c>
      <c r="P59" s="1653">
        <f t="shared" ref="P59:P67" si="31">H59</f>
        <v>244369</v>
      </c>
      <c r="Q59" s="1653">
        <f t="shared" ref="Q59:Q67" si="32">I59</f>
        <v>1440</v>
      </c>
      <c r="R59" s="1653">
        <f t="shared" ref="R59:R67" si="33">J59</f>
        <v>4</v>
      </c>
      <c r="S59" s="1655">
        <f t="shared" ref="S59:S67" si="34">SUM(P59:R59)</f>
        <v>245813</v>
      </c>
      <c r="T59" s="1629">
        <v>245465</v>
      </c>
      <c r="U59" s="1604"/>
    </row>
    <row r="60" spans="2:21" ht="16.5" customHeight="1">
      <c r="B60" s="1604"/>
      <c r="C60" s="1628" t="s">
        <v>8</v>
      </c>
      <c r="D60" s="1653">
        <f>Clientele!B7</f>
        <v>237128</v>
      </c>
      <c r="E60" s="1653">
        <f>Clientele!C7</f>
        <v>1131</v>
      </c>
      <c r="F60" s="1653">
        <f>Clientele!D7</f>
        <v>2</v>
      </c>
      <c r="G60" s="1654">
        <f t="shared" si="25"/>
        <v>238261</v>
      </c>
      <c r="H60" s="1653">
        <f>Clientele!E7</f>
        <v>248906</v>
      </c>
      <c r="I60" s="1653">
        <f>Clientele!F7</f>
        <v>1199</v>
      </c>
      <c r="J60" s="1653">
        <f>Clientele!G7</f>
        <v>2</v>
      </c>
      <c r="K60" s="1654">
        <f t="shared" si="26"/>
        <v>250107</v>
      </c>
      <c r="L60" s="1653">
        <f t="shared" si="27"/>
        <v>237128</v>
      </c>
      <c r="M60" s="1653">
        <f t="shared" si="28"/>
        <v>1131</v>
      </c>
      <c r="N60" s="1653">
        <f t="shared" si="29"/>
        <v>2</v>
      </c>
      <c r="O60" s="1655">
        <f t="shared" si="30"/>
        <v>238261</v>
      </c>
      <c r="P60" s="1653">
        <f t="shared" si="31"/>
        <v>248906</v>
      </c>
      <c r="Q60" s="1653">
        <f t="shared" si="32"/>
        <v>1199</v>
      </c>
      <c r="R60" s="1653">
        <f t="shared" si="33"/>
        <v>2</v>
      </c>
      <c r="S60" s="1655">
        <f t="shared" si="34"/>
        <v>250107</v>
      </c>
      <c r="T60" s="1629">
        <v>248890</v>
      </c>
      <c r="U60" s="1604"/>
    </row>
    <row r="61" spans="2:21" ht="16.5" customHeight="1">
      <c r="B61" s="1604"/>
      <c r="C61" s="1628" t="s">
        <v>4</v>
      </c>
      <c r="D61" s="1653">
        <f>Clientele!B8</f>
        <v>465656</v>
      </c>
      <c r="E61" s="1653">
        <f>Clientele!C8</f>
        <v>1551</v>
      </c>
      <c r="F61" s="1653">
        <f>Clientele!D8</f>
        <v>3</v>
      </c>
      <c r="G61" s="1654">
        <f t="shared" si="25"/>
        <v>467210</v>
      </c>
      <c r="H61" s="1653">
        <f>Clientele!E8</f>
        <v>483086</v>
      </c>
      <c r="I61" s="1653">
        <f>Clientele!F8</f>
        <v>1582</v>
      </c>
      <c r="J61" s="1653">
        <f>Clientele!G8</f>
        <v>3</v>
      </c>
      <c r="K61" s="1654">
        <f t="shared" si="26"/>
        <v>484671</v>
      </c>
      <c r="L61" s="1653">
        <f t="shared" si="27"/>
        <v>465656</v>
      </c>
      <c r="M61" s="1653">
        <f t="shared" si="28"/>
        <v>1551</v>
      </c>
      <c r="N61" s="1653">
        <f t="shared" si="29"/>
        <v>3</v>
      </c>
      <c r="O61" s="1655">
        <f t="shared" si="30"/>
        <v>467210</v>
      </c>
      <c r="P61" s="1653">
        <f t="shared" si="31"/>
        <v>483086</v>
      </c>
      <c r="Q61" s="1653">
        <f t="shared" si="32"/>
        <v>1582</v>
      </c>
      <c r="R61" s="1653">
        <f t="shared" si="33"/>
        <v>3</v>
      </c>
      <c r="S61" s="1655">
        <f t="shared" si="34"/>
        <v>484671</v>
      </c>
      <c r="T61" s="1629">
        <v>485233</v>
      </c>
      <c r="U61" s="1604"/>
    </row>
    <row r="62" spans="2:21" ht="16.5" customHeight="1">
      <c r="B62" s="1604"/>
      <c r="C62" s="1628" t="s">
        <v>3</v>
      </c>
      <c r="D62" s="1653">
        <f>Clientele!B9</f>
        <v>236997</v>
      </c>
      <c r="E62" s="1653">
        <f>Clientele!C9</f>
        <v>1801</v>
      </c>
      <c r="F62" s="1653">
        <f>Clientele!D9</f>
        <v>0</v>
      </c>
      <c r="G62" s="1654">
        <f t="shared" si="25"/>
        <v>238798</v>
      </c>
      <c r="H62" s="1653">
        <f>Clientele!E9</f>
        <v>244720</v>
      </c>
      <c r="I62" s="1653">
        <f>Clientele!F9</f>
        <v>2068</v>
      </c>
      <c r="J62" s="1653">
        <f>Clientele!G9</f>
        <v>0</v>
      </c>
      <c r="K62" s="1654">
        <f t="shared" si="26"/>
        <v>246788</v>
      </c>
      <c r="L62" s="1653">
        <f t="shared" si="27"/>
        <v>236997</v>
      </c>
      <c r="M62" s="1653">
        <f t="shared" si="28"/>
        <v>1801</v>
      </c>
      <c r="N62" s="1653">
        <f t="shared" si="29"/>
        <v>0</v>
      </c>
      <c r="O62" s="1655">
        <f t="shared" si="30"/>
        <v>238798</v>
      </c>
      <c r="P62" s="1653">
        <f t="shared" si="31"/>
        <v>244720</v>
      </c>
      <c r="Q62" s="1653">
        <f t="shared" si="32"/>
        <v>2068</v>
      </c>
      <c r="R62" s="1653">
        <f t="shared" si="33"/>
        <v>0</v>
      </c>
      <c r="S62" s="1655">
        <f t="shared" si="34"/>
        <v>246788</v>
      </c>
      <c r="T62" s="1629">
        <v>251003</v>
      </c>
      <c r="U62" s="1604"/>
    </row>
    <row r="63" spans="2:21" ht="16.5" customHeight="1">
      <c r="B63" s="1604"/>
      <c r="C63" s="1628" t="s">
        <v>397</v>
      </c>
      <c r="D63" s="1653">
        <f>Clientele!B10</f>
        <v>229794</v>
      </c>
      <c r="E63" s="1653">
        <f>Clientele!C10</f>
        <v>1303</v>
      </c>
      <c r="F63" s="1653">
        <f>Clientele!D10</f>
        <v>2</v>
      </c>
      <c r="G63" s="1654">
        <f t="shared" si="25"/>
        <v>231099</v>
      </c>
      <c r="H63" s="1653">
        <f>Clientele!E10</f>
        <v>238295</v>
      </c>
      <c r="I63" s="1653">
        <f>Clientele!F10</f>
        <v>1362</v>
      </c>
      <c r="J63" s="1653">
        <f>Clientele!G10</f>
        <v>2</v>
      </c>
      <c r="K63" s="1654">
        <f t="shared" si="26"/>
        <v>239659</v>
      </c>
      <c r="L63" s="1653">
        <f t="shared" si="27"/>
        <v>229794</v>
      </c>
      <c r="M63" s="1653">
        <f t="shared" si="28"/>
        <v>1303</v>
      </c>
      <c r="N63" s="1653">
        <f t="shared" si="29"/>
        <v>2</v>
      </c>
      <c r="O63" s="1655">
        <f t="shared" si="30"/>
        <v>231099</v>
      </c>
      <c r="P63" s="1653">
        <f t="shared" si="31"/>
        <v>238295</v>
      </c>
      <c r="Q63" s="1653">
        <f t="shared" si="32"/>
        <v>1362</v>
      </c>
      <c r="R63" s="1653">
        <f t="shared" si="33"/>
        <v>2</v>
      </c>
      <c r="S63" s="1655">
        <f t="shared" si="34"/>
        <v>239659</v>
      </c>
      <c r="T63" s="1629">
        <v>240375</v>
      </c>
      <c r="U63" s="1604"/>
    </row>
    <row r="64" spans="2:21" ht="16.5" customHeight="1">
      <c r="B64" s="1604"/>
      <c r="C64" s="1628" t="s">
        <v>399</v>
      </c>
      <c r="D64" s="1653">
        <f>Clientele!B11</f>
        <v>321061</v>
      </c>
      <c r="E64" s="1653">
        <f>Clientele!C11</f>
        <v>1563</v>
      </c>
      <c r="F64" s="1653">
        <f>Clientele!D11</f>
        <v>3</v>
      </c>
      <c r="G64" s="1654">
        <f t="shared" si="25"/>
        <v>322627</v>
      </c>
      <c r="H64" s="1653">
        <f>Clientele!E11</f>
        <v>337499</v>
      </c>
      <c r="I64" s="1653">
        <f>Clientele!F11</f>
        <v>1621</v>
      </c>
      <c r="J64" s="1653">
        <f>Clientele!G11</f>
        <v>4</v>
      </c>
      <c r="K64" s="1654">
        <f t="shared" si="26"/>
        <v>339124</v>
      </c>
      <c r="L64" s="1653">
        <f t="shared" si="27"/>
        <v>321061</v>
      </c>
      <c r="M64" s="1653">
        <f t="shared" si="28"/>
        <v>1563</v>
      </c>
      <c r="N64" s="1653">
        <f t="shared" si="29"/>
        <v>3</v>
      </c>
      <c r="O64" s="1655">
        <f t="shared" si="30"/>
        <v>322627</v>
      </c>
      <c r="P64" s="1653">
        <f t="shared" si="31"/>
        <v>337499</v>
      </c>
      <c r="Q64" s="1653">
        <f t="shared" si="32"/>
        <v>1621</v>
      </c>
      <c r="R64" s="1653">
        <f t="shared" si="33"/>
        <v>4</v>
      </c>
      <c r="S64" s="1655">
        <f t="shared" si="34"/>
        <v>339124</v>
      </c>
      <c r="T64" s="1629">
        <v>336746</v>
      </c>
      <c r="U64" s="1604"/>
    </row>
    <row r="65" spans="2:21" ht="16.5" customHeight="1">
      <c r="B65" s="1604"/>
      <c r="C65" s="1628" t="s">
        <v>883</v>
      </c>
      <c r="D65" s="1653">
        <f>Clientele!B12</f>
        <v>230225</v>
      </c>
      <c r="E65" s="1653">
        <f>Clientele!C12</f>
        <v>1463</v>
      </c>
      <c r="F65" s="1653">
        <f>Clientele!D12</f>
        <v>1</v>
      </c>
      <c r="G65" s="1654">
        <f t="shared" si="25"/>
        <v>231689</v>
      </c>
      <c r="H65" s="1653">
        <f>Clientele!E12</f>
        <v>239220</v>
      </c>
      <c r="I65" s="1653">
        <f>Clientele!F12</f>
        <v>1547</v>
      </c>
      <c r="J65" s="1653">
        <f>Clientele!G12</f>
        <v>1</v>
      </c>
      <c r="K65" s="1654">
        <f t="shared" si="26"/>
        <v>240768</v>
      </c>
      <c r="L65" s="1653">
        <f t="shared" si="27"/>
        <v>230225</v>
      </c>
      <c r="M65" s="1653">
        <f t="shared" si="28"/>
        <v>1463</v>
      </c>
      <c r="N65" s="1653">
        <f t="shared" si="29"/>
        <v>1</v>
      </c>
      <c r="O65" s="1655">
        <f t="shared" si="30"/>
        <v>231689</v>
      </c>
      <c r="P65" s="1653">
        <f t="shared" si="31"/>
        <v>239220</v>
      </c>
      <c r="Q65" s="1653">
        <f t="shared" si="32"/>
        <v>1547</v>
      </c>
      <c r="R65" s="1653">
        <f t="shared" si="33"/>
        <v>1</v>
      </c>
      <c r="S65" s="1655">
        <f t="shared" si="34"/>
        <v>240768</v>
      </c>
      <c r="T65" s="1629">
        <v>242093</v>
      </c>
      <c r="U65" s="1604"/>
    </row>
    <row r="66" spans="2:21" ht="16.5" customHeight="1">
      <c r="B66" s="1604"/>
      <c r="C66" s="1628" t="s">
        <v>884</v>
      </c>
      <c r="D66" s="1653">
        <f>Clientele!B13</f>
        <v>305866</v>
      </c>
      <c r="E66" s="1653">
        <f>Clientele!C13</f>
        <v>1686</v>
      </c>
      <c r="F66" s="1653">
        <f>Clientele!D13</f>
        <v>4</v>
      </c>
      <c r="G66" s="1654">
        <f t="shared" si="25"/>
        <v>307556</v>
      </c>
      <c r="H66" s="1653">
        <f>Clientele!E13</f>
        <v>316568</v>
      </c>
      <c r="I66" s="1653">
        <f>Clientele!F13</f>
        <v>1739</v>
      </c>
      <c r="J66" s="1653">
        <f>Clientele!G13</f>
        <v>4</v>
      </c>
      <c r="K66" s="1654">
        <f t="shared" si="26"/>
        <v>318311</v>
      </c>
      <c r="L66" s="1653">
        <f t="shared" si="27"/>
        <v>305866</v>
      </c>
      <c r="M66" s="1653">
        <f t="shared" si="28"/>
        <v>1686</v>
      </c>
      <c r="N66" s="1653">
        <f t="shared" si="29"/>
        <v>4</v>
      </c>
      <c r="O66" s="1655">
        <f t="shared" si="30"/>
        <v>307556</v>
      </c>
      <c r="P66" s="1653">
        <f t="shared" si="31"/>
        <v>316568</v>
      </c>
      <c r="Q66" s="1653">
        <f t="shared" si="32"/>
        <v>1739</v>
      </c>
      <c r="R66" s="1653">
        <f t="shared" si="33"/>
        <v>4</v>
      </c>
      <c r="S66" s="1655">
        <f t="shared" si="34"/>
        <v>318311</v>
      </c>
      <c r="T66" s="1629">
        <v>320843</v>
      </c>
      <c r="U66" s="1604"/>
    </row>
    <row r="67" spans="2:21" ht="16.5" customHeight="1">
      <c r="B67" s="1604"/>
      <c r="C67" s="1628" t="s">
        <v>885</v>
      </c>
      <c r="D67" s="1653">
        <f>Clientele!B14</f>
        <v>88700</v>
      </c>
      <c r="E67" s="1653">
        <f>Clientele!C14</f>
        <v>266</v>
      </c>
      <c r="F67" s="1653">
        <f>Clientele!D14</f>
        <v>0</v>
      </c>
      <c r="G67" s="1654">
        <f t="shared" si="25"/>
        <v>88966</v>
      </c>
      <c r="H67" s="1653">
        <f>Clientele!E14</f>
        <v>93757</v>
      </c>
      <c r="I67" s="1653">
        <f>Clientele!F14</f>
        <v>267</v>
      </c>
      <c r="J67" s="1653">
        <f>Clientele!G14</f>
        <v>0</v>
      </c>
      <c r="K67" s="1654">
        <f t="shared" si="26"/>
        <v>94024</v>
      </c>
      <c r="L67" s="1653">
        <f t="shared" si="27"/>
        <v>88700</v>
      </c>
      <c r="M67" s="1653">
        <f t="shared" si="28"/>
        <v>266</v>
      </c>
      <c r="N67" s="1653">
        <f t="shared" si="29"/>
        <v>0</v>
      </c>
      <c r="O67" s="1655">
        <f t="shared" si="30"/>
        <v>88966</v>
      </c>
      <c r="P67" s="1653">
        <f t="shared" si="31"/>
        <v>93757</v>
      </c>
      <c r="Q67" s="1653">
        <f t="shared" si="32"/>
        <v>267</v>
      </c>
      <c r="R67" s="1653">
        <f t="shared" si="33"/>
        <v>0</v>
      </c>
      <c r="S67" s="1655">
        <f t="shared" si="34"/>
        <v>94024</v>
      </c>
      <c r="T67" s="1629">
        <v>92556</v>
      </c>
      <c r="U67" s="1604"/>
    </row>
    <row r="68" spans="2:21">
      <c r="B68" s="1604"/>
      <c r="C68" s="1633" t="s">
        <v>20</v>
      </c>
      <c r="D68" s="1656">
        <f t="shared" ref="D68:T68" si="35">SUM(D58:D67)</f>
        <v>2723879</v>
      </c>
      <c r="E68" s="1656">
        <f t="shared" si="35"/>
        <v>15032</v>
      </c>
      <c r="F68" s="1656">
        <f t="shared" si="35"/>
        <v>23</v>
      </c>
      <c r="G68" s="1656">
        <f t="shared" si="35"/>
        <v>2738934</v>
      </c>
      <c r="H68" s="1656">
        <f t="shared" si="35"/>
        <v>2839098</v>
      </c>
      <c r="I68" s="1656">
        <f t="shared" si="35"/>
        <v>15831</v>
      </c>
      <c r="J68" s="1656">
        <f t="shared" si="35"/>
        <v>24</v>
      </c>
      <c r="K68" s="1656">
        <f t="shared" si="35"/>
        <v>2854953</v>
      </c>
      <c r="L68" s="1656">
        <f t="shared" si="35"/>
        <v>2723879</v>
      </c>
      <c r="M68" s="1656">
        <f t="shared" si="35"/>
        <v>15032</v>
      </c>
      <c r="N68" s="1656">
        <f t="shared" si="35"/>
        <v>23</v>
      </c>
      <c r="O68" s="1656">
        <f t="shared" si="35"/>
        <v>2738934</v>
      </c>
      <c r="P68" s="1656">
        <f t="shared" si="35"/>
        <v>2839098</v>
      </c>
      <c r="Q68" s="1656">
        <f t="shared" si="35"/>
        <v>15831</v>
      </c>
      <c r="R68" s="1656">
        <f t="shared" si="35"/>
        <v>24</v>
      </c>
      <c r="S68" s="1656">
        <f t="shared" si="35"/>
        <v>2854953</v>
      </c>
      <c r="T68" s="1634">
        <f t="shared" si="35"/>
        <v>2856051</v>
      </c>
      <c r="U68" s="1604"/>
    </row>
    <row r="69" spans="2:21" ht="15.6">
      <c r="B69" s="1604"/>
      <c r="C69" s="1604"/>
      <c r="D69" s="1623" t="s">
        <v>794</v>
      </c>
      <c r="E69" s="1623"/>
      <c r="F69" s="1623"/>
      <c r="G69" s="1623"/>
      <c r="H69" s="1623"/>
      <c r="I69" s="1623"/>
      <c r="J69" s="1623"/>
      <c r="K69" s="1623"/>
      <c r="L69" s="1623"/>
      <c r="M69" s="1623"/>
      <c r="N69" s="1623"/>
      <c r="O69" s="1623"/>
      <c r="P69" s="1623"/>
      <c r="Q69" s="1623"/>
      <c r="R69" s="1623"/>
      <c r="S69" s="1623"/>
      <c r="T69" s="1623"/>
      <c r="U69" s="1604"/>
    </row>
    <row r="70" spans="2:21" ht="18" customHeight="1">
      <c r="B70" s="1604"/>
      <c r="C70" s="2945" t="s">
        <v>695</v>
      </c>
      <c r="D70" s="2948" t="str">
        <f>D55</f>
        <v>mois</v>
      </c>
      <c r="E70" s="2949"/>
      <c r="F70" s="2949"/>
      <c r="G70" s="2949"/>
      <c r="H70" s="2949"/>
      <c r="I70" s="2949"/>
      <c r="J70" s="2949"/>
      <c r="K70" s="2949"/>
      <c r="L70" s="2950" t="str">
        <f>L55</f>
        <v xml:space="preserve">Cumul </v>
      </c>
      <c r="M70" s="2951"/>
      <c r="N70" s="2951"/>
      <c r="O70" s="2951"/>
      <c r="P70" s="2951"/>
      <c r="Q70" s="2951"/>
      <c r="R70" s="2951"/>
      <c r="S70" s="2952"/>
      <c r="T70" s="2953" t="str">
        <f>T55</f>
        <v>Objectif
 2024</v>
      </c>
      <c r="U70" s="1604"/>
    </row>
    <row r="71" spans="2:21" ht="15.6">
      <c r="B71" s="1604"/>
      <c r="C71" s="2946"/>
      <c r="D71" s="2948">
        <f>D56</f>
        <v>2023</v>
      </c>
      <c r="E71" s="2949"/>
      <c r="F71" s="2949"/>
      <c r="G71" s="2956"/>
      <c r="H71" s="2948">
        <f>H56</f>
        <v>2024</v>
      </c>
      <c r="I71" s="2949"/>
      <c r="J71" s="2949"/>
      <c r="K71" s="2956"/>
      <c r="L71" s="2950">
        <f>D71</f>
        <v>2023</v>
      </c>
      <c r="M71" s="2951"/>
      <c r="N71" s="2951"/>
      <c r="O71" s="2952"/>
      <c r="P71" s="2950">
        <f>H71</f>
        <v>2024</v>
      </c>
      <c r="Q71" s="2951"/>
      <c r="R71" s="2951"/>
      <c r="S71" s="2952"/>
      <c r="T71" s="2954"/>
      <c r="U71" s="1604"/>
    </row>
    <row r="72" spans="2:21" ht="15" customHeight="1">
      <c r="B72" s="1604"/>
      <c r="C72" s="2947"/>
      <c r="D72" s="1639" t="s">
        <v>52</v>
      </c>
      <c r="E72" s="1639" t="s">
        <v>19</v>
      </c>
      <c r="F72" s="1639" t="s">
        <v>198</v>
      </c>
      <c r="G72" s="1639" t="s">
        <v>20</v>
      </c>
      <c r="H72" s="1639" t="s">
        <v>52</v>
      </c>
      <c r="I72" s="1639" t="s">
        <v>19</v>
      </c>
      <c r="J72" s="1639" t="s">
        <v>198</v>
      </c>
      <c r="K72" s="1639" t="s">
        <v>20</v>
      </c>
      <c r="L72" s="1640" t="s">
        <v>52</v>
      </c>
      <c r="M72" s="1640" t="s">
        <v>19</v>
      </c>
      <c r="N72" s="1640" t="s">
        <v>198</v>
      </c>
      <c r="O72" s="1640" t="s">
        <v>20</v>
      </c>
      <c r="P72" s="1640" t="s">
        <v>52</v>
      </c>
      <c r="Q72" s="1640" t="s">
        <v>19</v>
      </c>
      <c r="R72" s="1640" t="s">
        <v>198</v>
      </c>
      <c r="S72" s="1640" t="s">
        <v>20</v>
      </c>
      <c r="T72" s="2955"/>
      <c r="U72" s="1604"/>
    </row>
    <row r="73" spans="2:21">
      <c r="B73" s="1604"/>
      <c r="C73" s="1628" t="s">
        <v>6</v>
      </c>
      <c r="D73" s="1629">
        <f>élec!BC69</f>
        <v>492</v>
      </c>
      <c r="E73" s="1629">
        <f>élec!BD69</f>
        <v>2</v>
      </c>
      <c r="F73" s="1629">
        <f>'HT-HP 2'!AC68</f>
        <v>0</v>
      </c>
      <c r="G73" s="1641">
        <f>SUM(D73:F73)</f>
        <v>494</v>
      </c>
      <c r="H73" s="1629">
        <f>élec!BC84</f>
        <v>615</v>
      </c>
      <c r="I73" s="1629">
        <f>élec!BD84</f>
        <v>0</v>
      </c>
      <c r="J73" s="1629">
        <f>'HT-HP 2'!AC83</f>
        <v>0</v>
      </c>
      <c r="K73" s="1641">
        <f>SUM(H73:J73)</f>
        <v>615</v>
      </c>
      <c r="L73" s="1629">
        <f>élec!AZ69</f>
        <v>2151</v>
      </c>
      <c r="M73" s="1629">
        <f>élec!BA69</f>
        <v>16</v>
      </c>
      <c r="N73" s="1629">
        <f>'HT-HP 2'!Z68</f>
        <v>0</v>
      </c>
      <c r="O73" s="1631">
        <f>SUM(L73:N73)</f>
        <v>2167</v>
      </c>
      <c r="P73" s="1629">
        <f>élec!AZ84</f>
        <v>4974</v>
      </c>
      <c r="Q73" s="1629">
        <f>élec!BA84</f>
        <v>3</v>
      </c>
      <c r="R73" s="1629">
        <f>'HT-HP 2'!Z83</f>
        <v>0</v>
      </c>
      <c r="S73" s="1631">
        <f>SUM(P73:R73)</f>
        <v>4977</v>
      </c>
      <c r="T73" s="1616"/>
      <c r="U73" s="1604"/>
    </row>
    <row r="74" spans="2:21">
      <c r="B74" s="1604"/>
      <c r="C74" s="1628" t="s">
        <v>7</v>
      </c>
      <c r="D74" s="1629">
        <f>élec!BC70</f>
        <v>755</v>
      </c>
      <c r="E74" s="1629">
        <f>élec!BD70</f>
        <v>0</v>
      </c>
      <c r="F74" s="1629">
        <f>'HT-HP 2'!AC69</f>
        <v>0</v>
      </c>
      <c r="G74" s="1641">
        <f>SUM(D74:F74)</f>
        <v>755</v>
      </c>
      <c r="H74" s="1629">
        <f>élec!BC85</f>
        <v>88</v>
      </c>
      <c r="I74" s="1629">
        <f>élec!BD85</f>
        <v>0</v>
      </c>
      <c r="J74" s="1629">
        <f>'HT-HP 2'!AC84</f>
        <v>0</v>
      </c>
      <c r="K74" s="1641">
        <f>SUM(H74:J74)</f>
        <v>88</v>
      </c>
      <c r="L74" s="1629">
        <f>élec!AZ70</f>
        <v>3118</v>
      </c>
      <c r="M74" s="1629">
        <f>élec!BA70</f>
        <v>10</v>
      </c>
      <c r="N74" s="1629">
        <f>'HT-HP 2'!Z69</f>
        <v>0</v>
      </c>
      <c r="O74" s="1631">
        <f>SUM(L74:N74)</f>
        <v>3128</v>
      </c>
      <c r="P74" s="1629">
        <f>élec!AZ85</f>
        <v>1265</v>
      </c>
      <c r="Q74" s="1629">
        <f>élec!BA85</f>
        <v>0</v>
      </c>
      <c r="R74" s="1629">
        <f>'HT-HP 2'!Z84</f>
        <v>0</v>
      </c>
      <c r="S74" s="1631">
        <f>SUM(P74:R74)</f>
        <v>1265</v>
      </c>
      <c r="T74" s="1616"/>
      <c r="U74" s="1604"/>
    </row>
    <row r="75" spans="2:21">
      <c r="B75" s="1604"/>
      <c r="C75" s="1628" t="s">
        <v>8</v>
      </c>
      <c r="D75" s="1629">
        <f>élec!BC71</f>
        <v>169</v>
      </c>
      <c r="E75" s="1629">
        <f>élec!BD71</f>
        <v>0</v>
      </c>
      <c r="F75" s="1629">
        <f>'HT-HP 2'!AC70</f>
        <v>0</v>
      </c>
      <c r="G75" s="1641">
        <f t="shared" ref="G75:G82" si="36">SUM(D75:F75)</f>
        <v>169</v>
      </c>
      <c r="H75" s="1629">
        <f>élec!BC86</f>
        <v>103</v>
      </c>
      <c r="I75" s="1629">
        <f>élec!BD86</f>
        <v>0</v>
      </c>
      <c r="J75" s="1629">
        <f>'HT-HP 2'!AC85</f>
        <v>0</v>
      </c>
      <c r="K75" s="1641">
        <f t="shared" ref="K75:K82" si="37">SUM(H75:J75)</f>
        <v>103</v>
      </c>
      <c r="L75" s="1629">
        <f>élec!AZ71</f>
        <v>1317</v>
      </c>
      <c r="M75" s="1629">
        <f>élec!BA71</f>
        <v>3</v>
      </c>
      <c r="N75" s="1629">
        <f>'HT-HP 2'!Z70</f>
        <v>0</v>
      </c>
      <c r="O75" s="1631">
        <f t="shared" ref="O75:O82" si="38">SUM(L75:N75)</f>
        <v>1320</v>
      </c>
      <c r="P75" s="1629">
        <f>élec!AZ86</f>
        <v>1649</v>
      </c>
      <c r="Q75" s="1629">
        <f>élec!BA86</f>
        <v>4</v>
      </c>
      <c r="R75" s="1629">
        <f>'HT-HP 2'!Z85</f>
        <v>0</v>
      </c>
      <c r="S75" s="1631">
        <f t="shared" ref="S75:S82" si="39">SUM(P75:R75)</f>
        <v>1653</v>
      </c>
      <c r="T75" s="1616"/>
      <c r="U75" s="1604"/>
    </row>
    <row r="76" spans="2:21">
      <c r="B76" s="1604"/>
      <c r="C76" s="1628" t="s">
        <v>4</v>
      </c>
      <c r="D76" s="1629">
        <f>élec!BC72</f>
        <v>704</v>
      </c>
      <c r="E76" s="1629">
        <f>élec!BD72</f>
        <v>2</v>
      </c>
      <c r="F76" s="1629">
        <f>'HT-HP 2'!AC71</f>
        <v>0</v>
      </c>
      <c r="G76" s="1641">
        <f t="shared" si="36"/>
        <v>706</v>
      </c>
      <c r="H76" s="1629">
        <f>élec!BC87</f>
        <v>281</v>
      </c>
      <c r="I76" s="1629">
        <f>élec!BD87</f>
        <v>2</v>
      </c>
      <c r="J76" s="1629">
        <f>'HT-HP 2'!AC86</f>
        <v>0</v>
      </c>
      <c r="K76" s="1641">
        <f t="shared" si="37"/>
        <v>283</v>
      </c>
      <c r="L76" s="1629">
        <f>élec!AZ72</f>
        <v>4771</v>
      </c>
      <c r="M76" s="1629">
        <f>élec!BA72</f>
        <v>13</v>
      </c>
      <c r="N76" s="1629">
        <f>'HT-HP 2'!Z71</f>
        <v>0</v>
      </c>
      <c r="O76" s="1631">
        <f t="shared" si="38"/>
        <v>4784</v>
      </c>
      <c r="P76" s="1629">
        <f>élec!AZ87</f>
        <v>2907</v>
      </c>
      <c r="Q76" s="1629">
        <f>élec!BA87</f>
        <v>7</v>
      </c>
      <c r="R76" s="1629">
        <f>'HT-HP 2'!Z86</f>
        <v>0</v>
      </c>
      <c r="S76" s="1631">
        <f t="shared" si="39"/>
        <v>2914</v>
      </c>
      <c r="T76" s="1616"/>
      <c r="U76" s="1604"/>
    </row>
    <row r="77" spans="2:21">
      <c r="B77" s="1604"/>
      <c r="C77" s="1628" t="s">
        <v>3</v>
      </c>
      <c r="D77" s="1629">
        <f>élec!BC73</f>
        <v>184</v>
      </c>
      <c r="E77" s="1629">
        <f>élec!BD73</f>
        <v>1</v>
      </c>
      <c r="F77" s="1629">
        <f>'HT-HP 2'!AC72</f>
        <v>0</v>
      </c>
      <c r="G77" s="1641">
        <f t="shared" si="36"/>
        <v>185</v>
      </c>
      <c r="H77" s="1629">
        <f>élec!BC88</f>
        <v>26</v>
      </c>
      <c r="I77" s="1629">
        <f>élec!BD88</f>
        <v>2</v>
      </c>
      <c r="J77" s="1629">
        <f>'HT-HP 2'!AC87</f>
        <v>0</v>
      </c>
      <c r="K77" s="1641">
        <f t="shared" si="37"/>
        <v>28</v>
      </c>
      <c r="L77" s="1629">
        <f>élec!AZ73</f>
        <v>1202</v>
      </c>
      <c r="M77" s="1629">
        <f>élec!BA73</f>
        <v>6</v>
      </c>
      <c r="N77" s="1629">
        <f>'HT-HP 2'!Z72</f>
        <v>0</v>
      </c>
      <c r="O77" s="1631">
        <f t="shared" si="38"/>
        <v>1208</v>
      </c>
      <c r="P77" s="1629">
        <f>élec!AZ88</f>
        <v>400</v>
      </c>
      <c r="Q77" s="1629">
        <f>élec!BA88</f>
        <v>18</v>
      </c>
      <c r="R77" s="1629">
        <f>'HT-HP 2'!Z87</f>
        <v>0</v>
      </c>
      <c r="S77" s="1631">
        <f t="shared" si="39"/>
        <v>418</v>
      </c>
      <c r="T77" s="1616"/>
      <c r="U77" s="1604"/>
    </row>
    <row r="78" spans="2:21">
      <c r="B78" s="1604"/>
      <c r="C78" s="1628" t="s">
        <v>397</v>
      </c>
      <c r="D78" s="1629">
        <f>élec!BC74</f>
        <v>362</v>
      </c>
      <c r="E78" s="1629">
        <f>élec!BD74</f>
        <v>1</v>
      </c>
      <c r="F78" s="1629">
        <f>'HT-HP 2'!AC73</f>
        <v>0</v>
      </c>
      <c r="G78" s="1641">
        <f t="shared" si="36"/>
        <v>363</v>
      </c>
      <c r="H78" s="1629">
        <f>élec!BC89</f>
        <v>113</v>
      </c>
      <c r="I78" s="1629">
        <f>élec!BD89</f>
        <v>0</v>
      </c>
      <c r="J78" s="1629">
        <f>'HT-HP 2'!AC88</f>
        <v>0</v>
      </c>
      <c r="K78" s="1641">
        <f t="shared" si="37"/>
        <v>113</v>
      </c>
      <c r="L78" s="1629">
        <f>élec!AZ74</f>
        <v>1020</v>
      </c>
      <c r="M78" s="1629">
        <f>élec!BA74</f>
        <v>22</v>
      </c>
      <c r="N78" s="1629">
        <f>'HT-HP 2'!Z73</f>
        <v>0</v>
      </c>
      <c r="O78" s="1631">
        <f t="shared" si="38"/>
        <v>1042</v>
      </c>
      <c r="P78" s="1629">
        <f>élec!AZ89</f>
        <v>1833</v>
      </c>
      <c r="Q78" s="1629">
        <f>élec!BA89</f>
        <v>2</v>
      </c>
      <c r="R78" s="1629">
        <f>'HT-HP 2'!Z88</f>
        <v>0</v>
      </c>
      <c r="S78" s="1631">
        <f t="shared" si="39"/>
        <v>1835</v>
      </c>
      <c r="T78" s="1616"/>
      <c r="U78" s="1604"/>
    </row>
    <row r="79" spans="2:21">
      <c r="B79" s="1604"/>
      <c r="C79" s="1628" t="s">
        <v>399</v>
      </c>
      <c r="D79" s="1629">
        <f>élec!BC75</f>
        <v>403</v>
      </c>
      <c r="E79" s="1629">
        <f>élec!BD75</f>
        <v>3</v>
      </c>
      <c r="F79" s="1629">
        <f>'HT-HP 2'!AC74</f>
        <v>0</v>
      </c>
      <c r="G79" s="1641">
        <f t="shared" si="36"/>
        <v>406</v>
      </c>
      <c r="H79" s="1629">
        <f>élec!BC90</f>
        <v>119</v>
      </c>
      <c r="I79" s="1629">
        <f>élec!BD90</f>
        <v>0</v>
      </c>
      <c r="J79" s="1629">
        <f>'HT-HP 2'!AC89</f>
        <v>0</v>
      </c>
      <c r="K79" s="1641">
        <f t="shared" si="37"/>
        <v>119</v>
      </c>
      <c r="L79" s="1629">
        <f>élec!AZ75</f>
        <v>1871</v>
      </c>
      <c r="M79" s="1629">
        <f>élec!BA75</f>
        <v>13</v>
      </c>
      <c r="N79" s="1629">
        <f>'HT-HP 2'!Z74</f>
        <v>0</v>
      </c>
      <c r="O79" s="1631">
        <f t="shared" si="38"/>
        <v>1884</v>
      </c>
      <c r="P79" s="1629">
        <f>élec!AZ90</f>
        <v>1605</v>
      </c>
      <c r="Q79" s="1629">
        <f>élec!BA90</f>
        <v>0</v>
      </c>
      <c r="R79" s="1629">
        <f>'HT-HP 2'!Z89</f>
        <v>0</v>
      </c>
      <c r="S79" s="1631">
        <f t="shared" si="39"/>
        <v>1605</v>
      </c>
      <c r="T79" s="1616"/>
      <c r="U79" s="1604"/>
    </row>
    <row r="80" spans="2:21">
      <c r="B80" s="1604"/>
      <c r="C80" s="1628" t="s">
        <v>883</v>
      </c>
      <c r="D80" s="1629">
        <f>élec!BC76</f>
        <v>120</v>
      </c>
      <c r="E80" s="1629">
        <f>élec!BD76</f>
        <v>2</v>
      </c>
      <c r="F80" s="1629">
        <f>'HT-HP 2'!AC75</f>
        <v>0</v>
      </c>
      <c r="G80" s="1641">
        <f t="shared" si="36"/>
        <v>122</v>
      </c>
      <c r="H80" s="1629">
        <f>élec!BC91</f>
        <v>70</v>
      </c>
      <c r="I80" s="1629">
        <f>élec!BD91</f>
        <v>0</v>
      </c>
      <c r="J80" s="1629">
        <f>'HT-HP 2'!AC90</f>
        <v>0</v>
      </c>
      <c r="K80" s="1641">
        <f t="shared" si="37"/>
        <v>70</v>
      </c>
      <c r="L80" s="1629">
        <f>élec!AZ76</f>
        <v>1582</v>
      </c>
      <c r="M80" s="1629">
        <f>élec!BA76</f>
        <v>10</v>
      </c>
      <c r="N80" s="1629">
        <f>'HT-HP 2'!Z75</f>
        <v>0</v>
      </c>
      <c r="O80" s="1631">
        <f t="shared" si="38"/>
        <v>1592</v>
      </c>
      <c r="P80" s="1629">
        <f>élec!AZ91</f>
        <v>891</v>
      </c>
      <c r="Q80" s="1629">
        <f>élec!BA91</f>
        <v>3</v>
      </c>
      <c r="R80" s="1629">
        <f>'HT-HP 2'!Z90</f>
        <v>0</v>
      </c>
      <c r="S80" s="1631">
        <f t="shared" si="39"/>
        <v>894</v>
      </c>
      <c r="T80" s="1616"/>
      <c r="U80" s="1604"/>
    </row>
    <row r="81" spans="2:21">
      <c r="B81" s="1604"/>
      <c r="C81" s="1628" t="s">
        <v>884</v>
      </c>
      <c r="D81" s="1629">
        <f>élec!BC77</f>
        <v>478</v>
      </c>
      <c r="E81" s="1629">
        <f>élec!BD77</f>
        <v>0</v>
      </c>
      <c r="F81" s="1629">
        <f>'HT-HP 2'!AC76</f>
        <v>0</v>
      </c>
      <c r="G81" s="1641">
        <f t="shared" si="36"/>
        <v>478</v>
      </c>
      <c r="H81" s="1629">
        <f>élec!BC92</f>
        <v>166</v>
      </c>
      <c r="I81" s="1629">
        <f>élec!BD92</f>
        <v>4</v>
      </c>
      <c r="J81" s="1629">
        <f>'HT-HP 2'!AC91</f>
        <v>0</v>
      </c>
      <c r="K81" s="1641">
        <f t="shared" si="37"/>
        <v>170</v>
      </c>
      <c r="L81" s="1629">
        <f>élec!AZ77</f>
        <v>2603</v>
      </c>
      <c r="M81" s="1629">
        <f>élec!BA77</f>
        <v>9</v>
      </c>
      <c r="N81" s="1629">
        <f>'HT-HP 2'!Z76</f>
        <v>0</v>
      </c>
      <c r="O81" s="1631">
        <f t="shared" si="38"/>
        <v>2612</v>
      </c>
      <c r="P81" s="1629">
        <f>élec!AZ92</f>
        <v>2087</v>
      </c>
      <c r="Q81" s="1629">
        <f>élec!BA92</f>
        <v>15</v>
      </c>
      <c r="R81" s="1629">
        <f>'HT-HP 2'!Z91</f>
        <v>0</v>
      </c>
      <c r="S81" s="1631">
        <f t="shared" si="39"/>
        <v>2102</v>
      </c>
      <c r="T81" s="1616"/>
      <c r="U81" s="1604"/>
    </row>
    <row r="82" spans="2:21">
      <c r="B82" s="1604"/>
      <c r="C82" s="1628" t="s">
        <v>885</v>
      </c>
      <c r="D82" s="1629">
        <f>élec!BC78</f>
        <v>233</v>
      </c>
      <c r="E82" s="1629">
        <f>élec!BD78</f>
        <v>0</v>
      </c>
      <c r="F82" s="1629">
        <f>'HT-HP 2'!AC77</f>
        <v>0</v>
      </c>
      <c r="G82" s="1641">
        <f t="shared" si="36"/>
        <v>233</v>
      </c>
      <c r="H82" s="1629">
        <f>élec!BC93</f>
        <v>33</v>
      </c>
      <c r="I82" s="1629">
        <f>élec!BD93</f>
        <v>1</v>
      </c>
      <c r="J82" s="1629">
        <f>'HT-HP 2'!AC92</f>
        <v>0</v>
      </c>
      <c r="K82" s="1641">
        <f t="shared" si="37"/>
        <v>34</v>
      </c>
      <c r="L82" s="1629">
        <f>élec!AZ78</f>
        <v>1255</v>
      </c>
      <c r="M82" s="1629">
        <f>élec!BA78</f>
        <v>3</v>
      </c>
      <c r="N82" s="1629">
        <f>'HT-HP 2'!Z77</f>
        <v>0</v>
      </c>
      <c r="O82" s="1631">
        <f t="shared" si="38"/>
        <v>1258</v>
      </c>
      <c r="P82" s="1629">
        <f>élec!AZ93</f>
        <v>1163</v>
      </c>
      <c r="Q82" s="1629">
        <f>élec!BA93</f>
        <v>3</v>
      </c>
      <c r="R82" s="1629">
        <f>'HT-HP 2'!Z92</f>
        <v>0</v>
      </c>
      <c r="S82" s="1631">
        <f t="shared" si="39"/>
        <v>1166</v>
      </c>
      <c r="T82" s="1616"/>
      <c r="U82" s="1604"/>
    </row>
    <row r="83" spans="2:21">
      <c r="B83" s="1604"/>
      <c r="C83" s="1633" t="s">
        <v>20</v>
      </c>
      <c r="D83" s="1639">
        <f t="shared" ref="D83:S83" si="40">SUM(D73:D82)</f>
        <v>3900</v>
      </c>
      <c r="E83" s="1639">
        <f t="shared" si="40"/>
        <v>11</v>
      </c>
      <c r="F83" s="1639">
        <f t="shared" si="40"/>
        <v>0</v>
      </c>
      <c r="G83" s="1639">
        <f t="shared" si="40"/>
        <v>3911</v>
      </c>
      <c r="H83" s="1639">
        <f t="shared" si="40"/>
        <v>1614</v>
      </c>
      <c r="I83" s="1639">
        <f t="shared" si="40"/>
        <v>9</v>
      </c>
      <c r="J83" s="1639">
        <f t="shared" si="40"/>
        <v>0</v>
      </c>
      <c r="K83" s="1639">
        <f t="shared" si="40"/>
        <v>1623</v>
      </c>
      <c r="L83" s="1639">
        <f t="shared" si="40"/>
        <v>20890</v>
      </c>
      <c r="M83" s="1639">
        <f t="shared" si="40"/>
        <v>105</v>
      </c>
      <c r="N83" s="1639">
        <f t="shared" si="40"/>
        <v>0</v>
      </c>
      <c r="O83" s="1639">
        <f t="shared" si="40"/>
        <v>20995</v>
      </c>
      <c r="P83" s="1639">
        <f t="shared" si="40"/>
        <v>18774</v>
      </c>
      <c r="Q83" s="1639">
        <f t="shared" si="40"/>
        <v>55</v>
      </c>
      <c r="R83" s="1639">
        <f t="shared" si="40"/>
        <v>0</v>
      </c>
      <c r="S83" s="1639">
        <f t="shared" si="40"/>
        <v>18829</v>
      </c>
      <c r="T83" s="1642"/>
      <c r="U83" s="1604"/>
    </row>
    <row r="84" spans="2:21" ht="15.6">
      <c r="B84" s="1604"/>
      <c r="C84" s="1604"/>
      <c r="D84" s="1623" t="s">
        <v>804</v>
      </c>
      <c r="E84" s="1623"/>
      <c r="F84" s="1623"/>
      <c r="G84" s="1623"/>
      <c r="H84" s="1623"/>
      <c r="I84" s="1623"/>
      <c r="J84" s="1623"/>
      <c r="K84" s="1623"/>
      <c r="L84" s="1623"/>
      <c r="M84" s="1623"/>
      <c r="N84" s="1623"/>
      <c r="O84" s="1623"/>
      <c r="P84" s="1623"/>
      <c r="Q84" s="1623"/>
      <c r="R84" s="1623"/>
      <c r="S84" s="1623"/>
      <c r="T84" s="1623"/>
      <c r="U84" s="1604"/>
    </row>
    <row r="85" spans="2:21" ht="18" customHeight="1">
      <c r="B85" s="1604"/>
      <c r="C85" s="2945" t="s">
        <v>695</v>
      </c>
      <c r="D85" s="2948" t="str">
        <f>D70</f>
        <v>mois</v>
      </c>
      <c r="E85" s="2949"/>
      <c r="F85" s="2949"/>
      <c r="G85" s="2949"/>
      <c r="H85" s="2949"/>
      <c r="I85" s="2949"/>
      <c r="J85" s="2949"/>
      <c r="K85" s="2949"/>
      <c r="L85" s="2950" t="str">
        <f>L70</f>
        <v xml:space="preserve">Cumul </v>
      </c>
      <c r="M85" s="2951"/>
      <c r="N85" s="2951"/>
      <c r="O85" s="2951"/>
      <c r="P85" s="2951"/>
      <c r="Q85" s="2951"/>
      <c r="R85" s="2951"/>
      <c r="S85" s="2952"/>
      <c r="T85" s="2953" t="str">
        <f>T70</f>
        <v>Objectif
 2024</v>
      </c>
      <c r="U85" s="1604"/>
    </row>
    <row r="86" spans="2:21" ht="15.6">
      <c r="B86" s="1604"/>
      <c r="C86" s="2946"/>
      <c r="D86" s="2948">
        <f>D71</f>
        <v>2023</v>
      </c>
      <c r="E86" s="2949"/>
      <c r="F86" s="2949"/>
      <c r="G86" s="2956"/>
      <c r="H86" s="2948">
        <f>H71</f>
        <v>2024</v>
      </c>
      <c r="I86" s="2949"/>
      <c r="J86" s="2949"/>
      <c r="K86" s="2956"/>
      <c r="L86" s="2950">
        <f>L71</f>
        <v>2023</v>
      </c>
      <c r="M86" s="2951"/>
      <c r="N86" s="2951"/>
      <c r="O86" s="2952"/>
      <c r="P86" s="2950">
        <f>P71</f>
        <v>2024</v>
      </c>
      <c r="Q86" s="2951"/>
      <c r="R86" s="2951"/>
      <c r="S86" s="2952"/>
      <c r="T86" s="2954"/>
      <c r="U86" s="1604"/>
    </row>
    <row r="87" spans="2:21" ht="15" customHeight="1">
      <c r="B87" s="1604"/>
      <c r="C87" s="2947"/>
      <c r="D87" s="1639" t="s">
        <v>52</v>
      </c>
      <c r="E87" s="1639" t="s">
        <v>19</v>
      </c>
      <c r="F87" s="1639" t="s">
        <v>198</v>
      </c>
      <c r="G87" s="1639" t="s">
        <v>20</v>
      </c>
      <c r="H87" s="1639" t="s">
        <v>52</v>
      </c>
      <c r="I87" s="1639" t="s">
        <v>19</v>
      </c>
      <c r="J87" s="1639" t="s">
        <v>198</v>
      </c>
      <c r="K87" s="1639" t="s">
        <v>20</v>
      </c>
      <c r="L87" s="1640" t="s">
        <v>52</v>
      </c>
      <c r="M87" s="1640" t="s">
        <v>19</v>
      </c>
      <c r="N87" s="1640" t="s">
        <v>198</v>
      </c>
      <c r="O87" s="1640" t="s">
        <v>20</v>
      </c>
      <c r="P87" s="1640" t="s">
        <v>52</v>
      </c>
      <c r="Q87" s="1640" t="s">
        <v>19</v>
      </c>
      <c r="R87" s="1640" t="s">
        <v>198</v>
      </c>
      <c r="S87" s="1640" t="s">
        <v>20</v>
      </c>
      <c r="T87" s="2955"/>
      <c r="U87" s="1604"/>
    </row>
    <row r="88" spans="2:21">
      <c r="B88" s="1604"/>
      <c r="C88" s="1628" t="s">
        <v>6</v>
      </c>
      <c r="D88" s="1629">
        <f t="shared" ref="D88:F97" si="41">(D43+D73)-D103</f>
        <v>1024</v>
      </c>
      <c r="E88" s="1629">
        <f t="shared" si="41"/>
        <v>8</v>
      </c>
      <c r="F88" s="1629">
        <f t="shared" si="41"/>
        <v>0</v>
      </c>
      <c r="G88" s="1641">
        <f>SUM(D88:F88)</f>
        <v>1032</v>
      </c>
      <c r="H88" s="1629">
        <f t="shared" ref="H88:J97" si="42">(H43+H73)-H103</f>
        <v>2056</v>
      </c>
      <c r="I88" s="1629">
        <f t="shared" si="42"/>
        <v>5</v>
      </c>
      <c r="J88" s="1629">
        <f t="shared" si="42"/>
        <v>0</v>
      </c>
      <c r="K88" s="1641">
        <f>SUM(H88:J88)</f>
        <v>2061</v>
      </c>
      <c r="L88" s="1616">
        <f t="shared" ref="L88:N97" si="43">(L43+L73)-L103</f>
        <v>15186</v>
      </c>
      <c r="M88" s="1616">
        <f t="shared" si="43"/>
        <v>51</v>
      </c>
      <c r="N88" s="1616">
        <f t="shared" si="43"/>
        <v>0</v>
      </c>
      <c r="O88" s="1631">
        <f>SUM(L88:N88)</f>
        <v>15237</v>
      </c>
      <c r="P88" s="1616">
        <f t="shared" ref="P88:R97" si="44">(P43+P73)-P103</f>
        <v>17565</v>
      </c>
      <c r="Q88" s="1616">
        <f t="shared" si="44"/>
        <v>65</v>
      </c>
      <c r="R88" s="1616">
        <f t="shared" si="44"/>
        <v>0</v>
      </c>
      <c r="S88" s="1629">
        <f>SUM(P88:R88)</f>
        <v>17630</v>
      </c>
      <c r="T88" s="1629">
        <f>T43</f>
        <v>11430</v>
      </c>
      <c r="U88" s="1604"/>
    </row>
    <row r="89" spans="2:21">
      <c r="B89" s="1604"/>
      <c r="C89" s="1628" t="s">
        <v>7</v>
      </c>
      <c r="D89" s="1629">
        <f t="shared" si="41"/>
        <v>1351</v>
      </c>
      <c r="E89" s="1629">
        <f t="shared" si="41"/>
        <v>1</v>
      </c>
      <c r="F89" s="1629">
        <f t="shared" si="41"/>
        <v>0</v>
      </c>
      <c r="G89" s="1641">
        <f t="shared" ref="G89:G97" si="45">SUM(D89:F89)</f>
        <v>1352</v>
      </c>
      <c r="H89" s="1629">
        <f t="shared" si="42"/>
        <v>1222</v>
      </c>
      <c r="I89" s="1629">
        <f t="shared" si="42"/>
        <v>8</v>
      </c>
      <c r="J89" s="1629">
        <f t="shared" si="42"/>
        <v>0</v>
      </c>
      <c r="K89" s="1641">
        <f t="shared" ref="K89:K97" si="46">SUM(H89:J89)</f>
        <v>1230</v>
      </c>
      <c r="L89" s="1616">
        <f t="shared" si="43"/>
        <v>9152</v>
      </c>
      <c r="M89" s="1616">
        <f t="shared" si="43"/>
        <v>33</v>
      </c>
      <c r="N89" s="1616">
        <f t="shared" si="43"/>
        <v>0</v>
      </c>
      <c r="O89" s="1631">
        <f t="shared" ref="O89:O97" si="47">SUM(L89:N89)</f>
        <v>9185</v>
      </c>
      <c r="P89" s="1616">
        <f t="shared" si="44"/>
        <v>8703</v>
      </c>
      <c r="Q89" s="1616">
        <f t="shared" si="44"/>
        <v>57</v>
      </c>
      <c r="R89" s="1616">
        <f t="shared" si="44"/>
        <v>0</v>
      </c>
      <c r="S89" s="1629">
        <f t="shared" ref="S89:S97" si="48">SUM(P89:R89)</f>
        <v>8760</v>
      </c>
      <c r="T89" s="1629">
        <f t="shared" ref="T89:T97" si="49">T44</f>
        <v>8289</v>
      </c>
      <c r="U89" s="1604"/>
    </row>
    <row r="90" spans="2:21">
      <c r="B90" s="1604"/>
      <c r="C90" s="1628" t="s">
        <v>8</v>
      </c>
      <c r="D90" s="1629">
        <f t="shared" si="41"/>
        <v>1272</v>
      </c>
      <c r="E90" s="1629">
        <f t="shared" si="41"/>
        <v>6</v>
      </c>
      <c r="F90" s="1629">
        <f t="shared" si="41"/>
        <v>0</v>
      </c>
      <c r="G90" s="1641">
        <f t="shared" si="45"/>
        <v>1278</v>
      </c>
      <c r="H90" s="1629">
        <f t="shared" si="42"/>
        <v>1311</v>
      </c>
      <c r="I90" s="1629">
        <f t="shared" si="42"/>
        <v>3</v>
      </c>
      <c r="J90" s="1629">
        <f t="shared" si="42"/>
        <v>0</v>
      </c>
      <c r="K90" s="1641">
        <f t="shared" si="46"/>
        <v>1314</v>
      </c>
      <c r="L90" s="1616">
        <f t="shared" si="43"/>
        <v>8242</v>
      </c>
      <c r="M90" s="1616">
        <f t="shared" si="43"/>
        <v>30</v>
      </c>
      <c r="N90" s="1616">
        <f t="shared" si="43"/>
        <v>0</v>
      </c>
      <c r="O90" s="1631">
        <f t="shared" si="47"/>
        <v>8272</v>
      </c>
      <c r="P90" s="1616">
        <f t="shared" si="44"/>
        <v>8660</v>
      </c>
      <c r="Q90" s="1616">
        <f t="shared" si="44"/>
        <v>47</v>
      </c>
      <c r="R90" s="1616">
        <f t="shared" si="44"/>
        <v>0</v>
      </c>
      <c r="S90" s="1629">
        <f t="shared" si="48"/>
        <v>8707</v>
      </c>
      <c r="T90" s="1629">
        <f t="shared" si="49"/>
        <v>8419</v>
      </c>
      <c r="U90" s="1604"/>
    </row>
    <row r="91" spans="2:21">
      <c r="B91" s="1604"/>
      <c r="C91" s="1628" t="s">
        <v>4</v>
      </c>
      <c r="D91" s="1629">
        <f t="shared" si="41"/>
        <v>2702</v>
      </c>
      <c r="E91" s="1629">
        <f t="shared" si="41"/>
        <v>4</v>
      </c>
      <c r="F91" s="1629">
        <f t="shared" si="41"/>
        <v>0</v>
      </c>
      <c r="G91" s="1641">
        <f t="shared" si="45"/>
        <v>2706</v>
      </c>
      <c r="H91" s="1629">
        <f t="shared" si="42"/>
        <v>1794</v>
      </c>
      <c r="I91" s="1629">
        <f t="shared" si="42"/>
        <v>3</v>
      </c>
      <c r="J91" s="1629">
        <f t="shared" si="42"/>
        <v>0</v>
      </c>
      <c r="K91" s="1641">
        <f t="shared" si="46"/>
        <v>1797</v>
      </c>
      <c r="L91" s="1616">
        <f t="shared" si="43"/>
        <v>13684</v>
      </c>
      <c r="M91" s="1616">
        <f t="shared" si="43"/>
        <v>43</v>
      </c>
      <c r="N91" s="1616">
        <f t="shared" si="43"/>
        <v>0</v>
      </c>
      <c r="O91" s="1631">
        <f t="shared" si="47"/>
        <v>13727</v>
      </c>
      <c r="P91" s="1616">
        <f t="shared" si="44"/>
        <v>15568</v>
      </c>
      <c r="Q91" s="1616">
        <f t="shared" si="44"/>
        <v>25</v>
      </c>
      <c r="R91" s="1616">
        <f t="shared" si="44"/>
        <v>0</v>
      </c>
      <c r="S91" s="1629">
        <f t="shared" si="48"/>
        <v>15593</v>
      </c>
      <c r="T91" s="1629">
        <f t="shared" si="49"/>
        <v>13431</v>
      </c>
      <c r="U91" s="1604"/>
    </row>
    <row r="92" spans="2:21">
      <c r="B92" s="1604"/>
      <c r="C92" s="1628" t="s">
        <v>3</v>
      </c>
      <c r="D92" s="1629">
        <f t="shared" si="41"/>
        <v>771</v>
      </c>
      <c r="E92" s="1629">
        <f t="shared" si="41"/>
        <v>21</v>
      </c>
      <c r="F92" s="1629">
        <f t="shared" si="41"/>
        <v>0</v>
      </c>
      <c r="G92" s="1641">
        <f t="shared" si="45"/>
        <v>792</v>
      </c>
      <c r="H92" s="1629">
        <f t="shared" si="42"/>
        <v>788</v>
      </c>
      <c r="I92" s="1629">
        <f t="shared" si="42"/>
        <v>20</v>
      </c>
      <c r="J92" s="1629">
        <f t="shared" si="42"/>
        <v>0</v>
      </c>
      <c r="K92" s="1641">
        <f t="shared" si="46"/>
        <v>808</v>
      </c>
      <c r="L92" s="1616">
        <f t="shared" si="43"/>
        <v>5419</v>
      </c>
      <c r="M92" s="1616">
        <f t="shared" si="43"/>
        <v>151</v>
      </c>
      <c r="N92" s="1616">
        <f t="shared" si="43"/>
        <v>0</v>
      </c>
      <c r="O92" s="1631">
        <f t="shared" si="47"/>
        <v>5570</v>
      </c>
      <c r="P92" s="1616">
        <f t="shared" si="44"/>
        <v>5498</v>
      </c>
      <c r="Q92" s="1616">
        <f t="shared" si="44"/>
        <v>201</v>
      </c>
      <c r="R92" s="1616">
        <f t="shared" si="44"/>
        <v>0</v>
      </c>
      <c r="S92" s="1629">
        <f t="shared" si="48"/>
        <v>5699</v>
      </c>
      <c r="T92" s="1629">
        <f t="shared" si="49"/>
        <v>7742</v>
      </c>
      <c r="U92" s="1604"/>
    </row>
    <row r="93" spans="2:21">
      <c r="B93" s="1604"/>
      <c r="C93" s="1628" t="s">
        <v>397</v>
      </c>
      <c r="D93" s="1629">
        <f t="shared" si="41"/>
        <v>961</v>
      </c>
      <c r="E93" s="1629">
        <f t="shared" si="41"/>
        <v>7</v>
      </c>
      <c r="F93" s="1629">
        <f t="shared" si="41"/>
        <v>0</v>
      </c>
      <c r="G93" s="1641">
        <f t="shared" si="45"/>
        <v>968</v>
      </c>
      <c r="H93" s="1629">
        <f t="shared" si="42"/>
        <v>827</v>
      </c>
      <c r="I93" s="1629">
        <f t="shared" si="42"/>
        <v>0</v>
      </c>
      <c r="J93" s="1629">
        <f t="shared" si="42"/>
        <v>0</v>
      </c>
      <c r="K93" s="1641">
        <f t="shared" si="46"/>
        <v>827</v>
      </c>
      <c r="L93" s="1616">
        <f t="shared" si="43"/>
        <v>8878</v>
      </c>
      <c r="M93" s="1616">
        <f t="shared" si="43"/>
        <v>24</v>
      </c>
      <c r="N93" s="1616">
        <f t="shared" si="43"/>
        <v>0</v>
      </c>
      <c r="O93" s="1631">
        <f t="shared" si="47"/>
        <v>8902</v>
      </c>
      <c r="P93" s="1616">
        <f t="shared" si="44"/>
        <v>6404</v>
      </c>
      <c r="Q93" s="1616">
        <f t="shared" si="44"/>
        <v>45</v>
      </c>
      <c r="R93" s="1616">
        <f t="shared" si="44"/>
        <v>0</v>
      </c>
      <c r="S93" s="1629">
        <f t="shared" si="48"/>
        <v>6449</v>
      </c>
      <c r="T93" s="1629">
        <f t="shared" si="49"/>
        <v>8191</v>
      </c>
      <c r="U93" s="1604"/>
    </row>
    <row r="94" spans="2:21">
      <c r="B94" s="1604"/>
      <c r="C94" s="1628" t="s">
        <v>399</v>
      </c>
      <c r="D94" s="1629">
        <f t="shared" si="41"/>
        <v>1641</v>
      </c>
      <c r="E94" s="1629">
        <f t="shared" si="41"/>
        <v>3</v>
      </c>
      <c r="F94" s="1629">
        <f t="shared" si="41"/>
        <v>0</v>
      </c>
      <c r="G94" s="1641">
        <f t="shared" si="45"/>
        <v>1644</v>
      </c>
      <c r="H94" s="1629">
        <f t="shared" si="42"/>
        <v>1459</v>
      </c>
      <c r="I94" s="1629">
        <f t="shared" si="42"/>
        <v>12</v>
      </c>
      <c r="J94" s="1629">
        <f t="shared" si="42"/>
        <v>0</v>
      </c>
      <c r="K94" s="1641">
        <f t="shared" si="46"/>
        <v>1471</v>
      </c>
      <c r="L94" s="1616">
        <f t="shared" si="43"/>
        <v>11267</v>
      </c>
      <c r="M94" s="1616">
        <f t="shared" si="43"/>
        <v>26</v>
      </c>
      <c r="N94" s="1616">
        <f t="shared" si="43"/>
        <v>0</v>
      </c>
      <c r="O94" s="1631">
        <f t="shared" si="47"/>
        <v>11293</v>
      </c>
      <c r="P94" s="1616">
        <f t="shared" si="44"/>
        <v>12934</v>
      </c>
      <c r="Q94" s="1616">
        <f t="shared" si="44"/>
        <v>36</v>
      </c>
      <c r="R94" s="1616">
        <f t="shared" si="44"/>
        <v>0</v>
      </c>
      <c r="S94" s="1629">
        <f t="shared" si="48"/>
        <v>12970</v>
      </c>
      <c r="T94" s="1629">
        <f t="shared" si="49"/>
        <v>10938</v>
      </c>
      <c r="U94" s="1604"/>
    </row>
    <row r="95" spans="2:21">
      <c r="B95" s="1604"/>
      <c r="C95" s="1628" t="s">
        <v>883</v>
      </c>
      <c r="D95" s="1629">
        <f t="shared" si="41"/>
        <v>1024</v>
      </c>
      <c r="E95" s="1629">
        <f t="shared" si="41"/>
        <v>3</v>
      </c>
      <c r="F95" s="1629">
        <f t="shared" si="41"/>
        <v>0</v>
      </c>
      <c r="G95" s="1641">
        <f t="shared" si="45"/>
        <v>1027</v>
      </c>
      <c r="H95" s="1629">
        <f t="shared" si="42"/>
        <v>573</v>
      </c>
      <c r="I95" s="1629">
        <f t="shared" si="42"/>
        <v>13</v>
      </c>
      <c r="J95" s="1629">
        <f t="shared" si="42"/>
        <v>0</v>
      </c>
      <c r="K95" s="1641">
        <f t="shared" si="46"/>
        <v>586</v>
      </c>
      <c r="L95" s="1616">
        <f t="shared" si="43"/>
        <v>7171</v>
      </c>
      <c r="M95" s="1616">
        <f t="shared" si="43"/>
        <v>56</v>
      </c>
      <c r="N95" s="1616">
        <f t="shared" si="43"/>
        <v>0</v>
      </c>
      <c r="O95" s="1631">
        <f t="shared" si="47"/>
        <v>7227</v>
      </c>
      <c r="P95" s="1616">
        <f t="shared" si="44"/>
        <v>5904</v>
      </c>
      <c r="Q95" s="1616">
        <f t="shared" si="44"/>
        <v>66</v>
      </c>
      <c r="R95" s="1616">
        <f t="shared" si="44"/>
        <v>0</v>
      </c>
      <c r="S95" s="1629">
        <f t="shared" si="48"/>
        <v>5970</v>
      </c>
      <c r="T95" s="1629">
        <f t="shared" si="49"/>
        <v>8192</v>
      </c>
      <c r="U95" s="1604"/>
    </row>
    <row r="96" spans="2:21">
      <c r="B96" s="1604"/>
      <c r="C96" s="1628" t="s">
        <v>884</v>
      </c>
      <c r="D96" s="1629">
        <f t="shared" si="41"/>
        <v>1134</v>
      </c>
      <c r="E96" s="1629">
        <f t="shared" si="41"/>
        <v>9</v>
      </c>
      <c r="F96" s="1629">
        <f t="shared" si="41"/>
        <v>0</v>
      </c>
      <c r="G96" s="1641">
        <f t="shared" si="45"/>
        <v>1143</v>
      </c>
      <c r="H96" s="1629">
        <f t="shared" si="42"/>
        <v>1488</v>
      </c>
      <c r="I96" s="1629">
        <f t="shared" si="42"/>
        <v>9</v>
      </c>
      <c r="J96" s="1629">
        <f t="shared" si="42"/>
        <v>0</v>
      </c>
      <c r="K96" s="1641">
        <f t="shared" si="46"/>
        <v>1497</v>
      </c>
      <c r="L96" s="1616">
        <f t="shared" si="43"/>
        <v>11223</v>
      </c>
      <c r="M96" s="1616">
        <f t="shared" si="43"/>
        <v>50</v>
      </c>
      <c r="N96" s="1616">
        <f t="shared" si="43"/>
        <v>0</v>
      </c>
      <c r="O96" s="1631">
        <f t="shared" si="47"/>
        <v>11273</v>
      </c>
      <c r="P96" s="1616">
        <f t="shared" si="44"/>
        <v>8877</v>
      </c>
      <c r="Q96" s="1616">
        <f t="shared" si="44"/>
        <v>56</v>
      </c>
      <c r="R96" s="1616">
        <f t="shared" si="44"/>
        <v>0</v>
      </c>
      <c r="S96" s="1629">
        <f t="shared" si="48"/>
        <v>8933</v>
      </c>
      <c r="T96" s="1629">
        <f t="shared" si="49"/>
        <v>11300</v>
      </c>
      <c r="U96" s="1604"/>
    </row>
    <row r="97" spans="2:21">
      <c r="B97" s="1604"/>
      <c r="C97" s="1628" t="s">
        <v>885</v>
      </c>
      <c r="D97" s="1629">
        <f t="shared" si="41"/>
        <v>303</v>
      </c>
      <c r="E97" s="1629">
        <f t="shared" si="41"/>
        <v>0</v>
      </c>
      <c r="F97" s="1629">
        <f t="shared" si="41"/>
        <v>0</v>
      </c>
      <c r="G97" s="1641">
        <f t="shared" si="45"/>
        <v>303</v>
      </c>
      <c r="H97" s="1629">
        <f t="shared" si="42"/>
        <v>252</v>
      </c>
      <c r="I97" s="1629">
        <f t="shared" si="42"/>
        <v>1</v>
      </c>
      <c r="J97" s="1629">
        <f t="shared" si="42"/>
        <v>0</v>
      </c>
      <c r="K97" s="1641">
        <f t="shared" si="46"/>
        <v>253</v>
      </c>
      <c r="L97" s="1616">
        <f t="shared" si="43"/>
        <v>4626</v>
      </c>
      <c r="M97" s="1616">
        <f t="shared" si="43"/>
        <v>7</v>
      </c>
      <c r="N97" s="1616">
        <f t="shared" si="43"/>
        <v>0</v>
      </c>
      <c r="O97" s="1631">
        <f t="shared" si="47"/>
        <v>4633</v>
      </c>
      <c r="P97" s="1616">
        <f t="shared" si="44"/>
        <v>5141</v>
      </c>
      <c r="Q97" s="1616">
        <f t="shared" si="44"/>
        <v>4</v>
      </c>
      <c r="R97" s="1616">
        <f t="shared" si="44"/>
        <v>0</v>
      </c>
      <c r="S97" s="1629">
        <f t="shared" si="48"/>
        <v>5145</v>
      </c>
      <c r="T97" s="1629">
        <f t="shared" si="49"/>
        <v>3280</v>
      </c>
      <c r="U97" s="1604"/>
    </row>
    <row r="98" spans="2:21">
      <c r="B98" s="1604"/>
      <c r="C98" s="1633" t="s">
        <v>20</v>
      </c>
      <c r="D98" s="1639">
        <f t="shared" ref="D98:T98" si="50">SUM(D88:D97)</f>
        <v>12183</v>
      </c>
      <c r="E98" s="1639">
        <f t="shared" si="50"/>
        <v>62</v>
      </c>
      <c r="F98" s="1639">
        <f t="shared" si="50"/>
        <v>0</v>
      </c>
      <c r="G98" s="1639">
        <f t="shared" si="50"/>
        <v>12245</v>
      </c>
      <c r="H98" s="1639">
        <f t="shared" si="50"/>
        <v>11770</v>
      </c>
      <c r="I98" s="1639">
        <f t="shared" si="50"/>
        <v>74</v>
      </c>
      <c r="J98" s="1639">
        <f t="shared" si="50"/>
        <v>0</v>
      </c>
      <c r="K98" s="1639">
        <f t="shared" si="50"/>
        <v>11844</v>
      </c>
      <c r="L98" s="1639">
        <f t="shared" si="50"/>
        <v>94848</v>
      </c>
      <c r="M98" s="1639">
        <f t="shared" si="50"/>
        <v>471</v>
      </c>
      <c r="N98" s="1639">
        <f t="shared" si="50"/>
        <v>0</v>
      </c>
      <c r="O98" s="1639">
        <f t="shared" si="50"/>
        <v>95319</v>
      </c>
      <c r="P98" s="1639">
        <f t="shared" si="50"/>
        <v>95254</v>
      </c>
      <c r="Q98" s="1639">
        <f t="shared" si="50"/>
        <v>602</v>
      </c>
      <c r="R98" s="1639">
        <f t="shared" si="50"/>
        <v>0</v>
      </c>
      <c r="S98" s="1634">
        <f t="shared" si="50"/>
        <v>95856</v>
      </c>
      <c r="T98" s="1633">
        <f t="shared" si="50"/>
        <v>91212</v>
      </c>
      <c r="U98" s="1604"/>
    </row>
    <row r="99" spans="2:21" ht="15.6">
      <c r="B99" s="1604"/>
      <c r="C99" s="1604"/>
      <c r="D99" s="1623" t="s">
        <v>801</v>
      </c>
      <c r="E99" s="1623"/>
      <c r="F99" s="1623"/>
      <c r="G99" s="1623"/>
      <c r="H99" s="1623"/>
      <c r="I99" s="1623"/>
      <c r="J99" s="1623"/>
      <c r="K99" s="1623"/>
      <c r="L99" s="1623"/>
      <c r="M99" s="1623"/>
      <c r="N99" s="1623"/>
      <c r="O99" s="1623"/>
      <c r="P99" s="1623"/>
      <c r="Q99" s="1623"/>
      <c r="R99" s="1623"/>
      <c r="S99" s="1623"/>
      <c r="T99" s="1623"/>
      <c r="U99" s="1604"/>
    </row>
    <row r="100" spans="2:21" ht="18" customHeight="1">
      <c r="B100" s="1604"/>
      <c r="C100" s="2945" t="s">
        <v>695</v>
      </c>
      <c r="D100" s="2948" t="str">
        <f>D85</f>
        <v>mois</v>
      </c>
      <c r="E100" s="2949"/>
      <c r="F100" s="2949"/>
      <c r="G100" s="2949"/>
      <c r="H100" s="2949"/>
      <c r="I100" s="2949"/>
      <c r="J100" s="2949"/>
      <c r="K100" s="2949"/>
      <c r="L100" s="2950" t="str">
        <f>L85</f>
        <v xml:space="preserve">Cumul </v>
      </c>
      <c r="M100" s="2951"/>
      <c r="N100" s="2951"/>
      <c r="O100" s="2951"/>
      <c r="P100" s="2951"/>
      <c r="Q100" s="2951"/>
      <c r="R100" s="2951"/>
      <c r="S100" s="2952"/>
      <c r="T100" s="2953" t="str">
        <f>T85</f>
        <v>Objectif
 2024</v>
      </c>
      <c r="U100" s="1604"/>
    </row>
    <row r="101" spans="2:21" ht="15.6">
      <c r="B101" s="1604"/>
      <c r="C101" s="2946"/>
      <c r="D101" s="2948">
        <f>D86</f>
        <v>2023</v>
      </c>
      <c r="E101" s="2949"/>
      <c r="F101" s="2949"/>
      <c r="G101" s="2956"/>
      <c r="H101" s="2948">
        <f>H86</f>
        <v>2024</v>
      </c>
      <c r="I101" s="2949"/>
      <c r="J101" s="2949"/>
      <c r="K101" s="2956"/>
      <c r="L101" s="2950">
        <f>L86</f>
        <v>2023</v>
      </c>
      <c r="M101" s="2951"/>
      <c r="N101" s="2951"/>
      <c r="O101" s="2952"/>
      <c r="P101" s="2950">
        <f>P86</f>
        <v>2024</v>
      </c>
      <c r="Q101" s="2951"/>
      <c r="R101" s="2951"/>
      <c r="S101" s="2952"/>
      <c r="T101" s="2954"/>
      <c r="U101" s="1604"/>
    </row>
    <row r="102" spans="2:21" ht="15" customHeight="1">
      <c r="B102" s="1604"/>
      <c r="C102" s="2947"/>
      <c r="D102" s="1639" t="s">
        <v>52</v>
      </c>
      <c r="E102" s="1639" t="s">
        <v>19</v>
      </c>
      <c r="F102" s="1639" t="s">
        <v>198</v>
      </c>
      <c r="G102" s="1639" t="s">
        <v>20</v>
      </c>
      <c r="H102" s="1639" t="s">
        <v>52</v>
      </c>
      <c r="I102" s="1639" t="s">
        <v>19</v>
      </c>
      <c r="J102" s="1639" t="s">
        <v>198</v>
      </c>
      <c r="K102" s="1639" t="s">
        <v>20</v>
      </c>
      <c r="L102" s="1640" t="s">
        <v>52</v>
      </c>
      <c r="M102" s="1640" t="s">
        <v>19</v>
      </c>
      <c r="N102" s="1640" t="s">
        <v>198</v>
      </c>
      <c r="O102" s="1640" t="s">
        <v>20</v>
      </c>
      <c r="P102" s="1640" t="s">
        <v>52</v>
      </c>
      <c r="Q102" s="1640" t="s">
        <v>19</v>
      </c>
      <c r="R102" s="1640" t="s">
        <v>198</v>
      </c>
      <c r="S102" s="1640" t="s">
        <v>20</v>
      </c>
      <c r="T102" s="2955"/>
      <c r="U102" s="1604"/>
    </row>
    <row r="103" spans="2:21">
      <c r="B103" s="1604"/>
      <c r="C103" s="1628" t="s">
        <v>6</v>
      </c>
      <c r="D103" s="1629">
        <f>élec!BC131</f>
        <v>0</v>
      </c>
      <c r="E103" s="1629">
        <f>élec!BD131</f>
        <v>0</v>
      </c>
      <c r="F103" s="1629">
        <f>'HT-HP 2'!AC162</f>
        <v>0</v>
      </c>
      <c r="G103" s="1641">
        <f>SUM(D103:F103)</f>
        <v>0</v>
      </c>
      <c r="H103" s="1629">
        <f>élec!BC146</f>
        <v>0</v>
      </c>
      <c r="I103" s="1629">
        <f>élec!BD146</f>
        <v>0</v>
      </c>
      <c r="J103" s="1629">
        <f>'HT-HP 2'!AC146</f>
        <v>0</v>
      </c>
      <c r="K103" s="1641">
        <f>SUM(H103:J103)</f>
        <v>0</v>
      </c>
      <c r="L103" s="1629">
        <f>élec!AZ131</f>
        <v>0</v>
      </c>
      <c r="M103" s="1629">
        <f>élec!BA131</f>
        <v>0</v>
      </c>
      <c r="N103" s="1629">
        <f>'HT-HP 2'!Z131</f>
        <v>0</v>
      </c>
      <c r="O103" s="1631">
        <f>SUM(L103:N103)</f>
        <v>0</v>
      </c>
      <c r="P103" s="1629">
        <f>élec!AZ146</f>
        <v>0</v>
      </c>
      <c r="Q103" s="1629">
        <f>élec!BA146</f>
        <v>0</v>
      </c>
      <c r="R103" s="1629">
        <f>'HT-HP 2'!Z146</f>
        <v>0</v>
      </c>
      <c r="S103" s="1631">
        <f>SUM(P103:R103)</f>
        <v>0</v>
      </c>
      <c r="T103" s="1616"/>
      <c r="U103" s="1604"/>
    </row>
    <row r="104" spans="2:21">
      <c r="B104" s="1604"/>
      <c r="C104" s="1628" t="s">
        <v>7</v>
      </c>
      <c r="D104" s="1629">
        <f>élec!BC132</f>
        <v>75</v>
      </c>
      <c r="E104" s="1629">
        <f>élec!BD132</f>
        <v>0</v>
      </c>
      <c r="F104" s="1629">
        <f>'HT-HP 2'!AC163</f>
        <v>0</v>
      </c>
      <c r="G104" s="1641">
        <f>SUM(D104:F104)</f>
        <v>75</v>
      </c>
      <c r="H104" s="1629">
        <f>élec!BC147</f>
        <v>24</v>
      </c>
      <c r="I104" s="1629">
        <f>élec!BD147</f>
        <v>0</v>
      </c>
      <c r="J104" s="1629">
        <f>'HT-HP 2'!AC147</f>
        <v>0</v>
      </c>
      <c r="K104" s="1641">
        <f>SUM(H104:J104)</f>
        <v>24</v>
      </c>
      <c r="L104" s="1629">
        <f>élec!AZ132</f>
        <v>166</v>
      </c>
      <c r="M104" s="1629">
        <f>élec!BA132</f>
        <v>0</v>
      </c>
      <c r="N104" s="1629">
        <f>'HT-HP 2'!Z132</f>
        <v>0</v>
      </c>
      <c r="O104" s="1631">
        <f>SUM(L104:N104)</f>
        <v>166</v>
      </c>
      <c r="P104" s="1629">
        <f>élec!AZ147</f>
        <v>424</v>
      </c>
      <c r="Q104" s="1629">
        <f>élec!BA147</f>
        <v>0</v>
      </c>
      <c r="R104" s="1629">
        <f>'HT-HP 2'!Z147</f>
        <v>0</v>
      </c>
      <c r="S104" s="1631">
        <f>SUM(P104:R104)</f>
        <v>424</v>
      </c>
      <c r="T104" s="1616"/>
      <c r="U104" s="1604"/>
    </row>
    <row r="105" spans="2:21">
      <c r="B105" s="1604"/>
      <c r="C105" s="1628" t="s">
        <v>8</v>
      </c>
      <c r="D105" s="1629">
        <f>élec!BC133</f>
        <v>0</v>
      </c>
      <c r="E105" s="1629">
        <f>élec!BD133</f>
        <v>0</v>
      </c>
      <c r="F105" s="1629">
        <f>'HT-HP 2'!AC164</f>
        <v>0</v>
      </c>
      <c r="G105" s="1641">
        <f t="shared" ref="G105:G112" si="51">SUM(D105:F105)</f>
        <v>0</v>
      </c>
      <c r="H105" s="1629">
        <f>élec!BC148</f>
        <v>0</v>
      </c>
      <c r="I105" s="1629">
        <f>élec!BD148</f>
        <v>0</v>
      </c>
      <c r="J105" s="1629">
        <f>'HT-HP 2'!AC148</f>
        <v>0</v>
      </c>
      <c r="K105" s="1641">
        <f t="shared" ref="K105:K112" si="52">SUM(H105:J105)</f>
        <v>0</v>
      </c>
      <c r="L105" s="1629">
        <f>élec!AZ133</f>
        <v>0</v>
      </c>
      <c r="M105" s="1629">
        <f>élec!BA133</f>
        <v>0</v>
      </c>
      <c r="N105" s="1629">
        <f>'HT-HP 2'!Z133</f>
        <v>0</v>
      </c>
      <c r="O105" s="1631">
        <f t="shared" ref="O105:O112" si="53">SUM(L105:N105)</f>
        <v>0</v>
      </c>
      <c r="P105" s="1629">
        <f>élec!AZ148</f>
        <v>0</v>
      </c>
      <c r="Q105" s="1629">
        <f>élec!BA148</f>
        <v>0</v>
      </c>
      <c r="R105" s="1629">
        <f>'HT-HP 2'!Z148</f>
        <v>0</v>
      </c>
      <c r="S105" s="1631">
        <f t="shared" ref="S105:S112" si="54">SUM(P105:R105)</f>
        <v>0</v>
      </c>
      <c r="T105" s="1616"/>
      <c r="U105" s="1604"/>
    </row>
    <row r="106" spans="2:21">
      <c r="B106" s="1604"/>
      <c r="C106" s="1628" t="s">
        <v>4</v>
      </c>
      <c r="D106" s="1629">
        <f>élec!BC134</f>
        <v>0</v>
      </c>
      <c r="E106" s="1629">
        <f>élec!BD134</f>
        <v>0</v>
      </c>
      <c r="F106" s="1629">
        <f>'HT-HP 2'!AC165</f>
        <v>0</v>
      </c>
      <c r="G106" s="1641">
        <f t="shared" si="51"/>
        <v>0</v>
      </c>
      <c r="H106" s="1629">
        <f>élec!BC149</f>
        <v>0</v>
      </c>
      <c r="I106" s="1629">
        <f>élec!BD149</f>
        <v>0</v>
      </c>
      <c r="J106" s="1629">
        <f>'HT-HP 2'!AC149</f>
        <v>0</v>
      </c>
      <c r="K106" s="1641">
        <f t="shared" si="52"/>
        <v>0</v>
      </c>
      <c r="L106" s="1629">
        <f>élec!AZ134</f>
        <v>0</v>
      </c>
      <c r="M106" s="1629">
        <f>élec!BA134</f>
        <v>0</v>
      </c>
      <c r="N106" s="1629">
        <f>'HT-HP 2'!Z134</f>
        <v>0</v>
      </c>
      <c r="O106" s="1631">
        <f t="shared" si="53"/>
        <v>0</v>
      </c>
      <c r="P106" s="1629">
        <f>élec!AZ149</f>
        <v>0</v>
      </c>
      <c r="Q106" s="1629">
        <f>élec!BA149</f>
        <v>0</v>
      </c>
      <c r="R106" s="1629">
        <f>'HT-HP 2'!Z149</f>
        <v>0</v>
      </c>
      <c r="S106" s="1631">
        <f t="shared" si="54"/>
        <v>0</v>
      </c>
      <c r="T106" s="1616"/>
      <c r="U106" s="1604"/>
    </row>
    <row r="107" spans="2:21">
      <c r="B107" s="1604"/>
      <c r="C107" s="1628" t="s">
        <v>3</v>
      </c>
      <c r="D107" s="1629">
        <f>élec!BC135</f>
        <v>16</v>
      </c>
      <c r="E107" s="1629">
        <f>élec!BD135</f>
        <v>0</v>
      </c>
      <c r="F107" s="1629">
        <f>'HT-HP 2'!AC166</f>
        <v>0</v>
      </c>
      <c r="G107" s="1641">
        <f t="shared" si="51"/>
        <v>16</v>
      </c>
      <c r="H107" s="1629">
        <f>élec!BC150</f>
        <v>16</v>
      </c>
      <c r="I107" s="1629">
        <f>élec!BD150</f>
        <v>0</v>
      </c>
      <c r="J107" s="1629">
        <f>'HT-HP 2'!AC150</f>
        <v>0</v>
      </c>
      <c r="K107" s="1641">
        <f t="shared" si="52"/>
        <v>16</v>
      </c>
      <c r="L107" s="1629">
        <f>élec!AZ135</f>
        <v>44</v>
      </c>
      <c r="M107" s="1629">
        <f>élec!BA135</f>
        <v>0</v>
      </c>
      <c r="N107" s="1629">
        <f>'HT-HP 2'!Z135</f>
        <v>0</v>
      </c>
      <c r="O107" s="1631">
        <f t="shared" si="53"/>
        <v>44</v>
      </c>
      <c r="P107" s="1629">
        <f>élec!AZ150</f>
        <v>161</v>
      </c>
      <c r="Q107" s="1629">
        <f>élec!BA150</f>
        <v>0</v>
      </c>
      <c r="R107" s="1629">
        <f>'HT-HP 2'!Z150</f>
        <v>0</v>
      </c>
      <c r="S107" s="1631">
        <f t="shared" si="54"/>
        <v>161</v>
      </c>
      <c r="T107" s="1616"/>
      <c r="U107" s="1604"/>
    </row>
    <row r="108" spans="2:21">
      <c r="B108" s="1604"/>
      <c r="C108" s="1628" t="s">
        <v>397</v>
      </c>
      <c r="D108" s="1629">
        <f>élec!BC136</f>
        <v>0</v>
      </c>
      <c r="E108" s="1629">
        <f>élec!BD136</f>
        <v>0</v>
      </c>
      <c r="F108" s="1629">
        <f>'HT-HP 2'!AC167</f>
        <v>0</v>
      </c>
      <c r="G108" s="1641">
        <f t="shared" si="51"/>
        <v>0</v>
      </c>
      <c r="H108" s="1629">
        <f>élec!BC151</f>
        <v>0</v>
      </c>
      <c r="I108" s="1629">
        <f>élec!BD151</f>
        <v>0</v>
      </c>
      <c r="J108" s="1629">
        <f>'HT-HP 2'!AC151</f>
        <v>0</v>
      </c>
      <c r="K108" s="1641">
        <f t="shared" si="52"/>
        <v>0</v>
      </c>
      <c r="L108" s="1629">
        <f>élec!AZ136</f>
        <v>0</v>
      </c>
      <c r="M108" s="1629">
        <f>élec!BA136</f>
        <v>0</v>
      </c>
      <c r="N108" s="1629">
        <f>'HT-HP 2'!Z136</f>
        <v>0</v>
      </c>
      <c r="O108" s="1631">
        <f t="shared" si="53"/>
        <v>0</v>
      </c>
      <c r="P108" s="1629">
        <f>élec!AZ151</f>
        <v>0</v>
      </c>
      <c r="Q108" s="1629">
        <f>élec!BA151</f>
        <v>0</v>
      </c>
      <c r="R108" s="1629">
        <f>'HT-HP 2'!Z151</f>
        <v>0</v>
      </c>
      <c r="S108" s="1631">
        <f t="shared" si="54"/>
        <v>0</v>
      </c>
      <c r="T108" s="1616"/>
      <c r="U108" s="1604"/>
    </row>
    <row r="109" spans="2:21">
      <c r="B109" s="1604"/>
      <c r="C109" s="1628" t="s">
        <v>399</v>
      </c>
      <c r="D109" s="1629">
        <f>élec!BC137</f>
        <v>0</v>
      </c>
      <c r="E109" s="1629">
        <f>élec!BD137</f>
        <v>0</v>
      </c>
      <c r="F109" s="1629">
        <f>'HT-HP 2'!AC168</f>
        <v>0</v>
      </c>
      <c r="G109" s="1641">
        <f t="shared" si="51"/>
        <v>0</v>
      </c>
      <c r="H109" s="1629">
        <f>élec!BC152</f>
        <v>0</v>
      </c>
      <c r="I109" s="1629">
        <f>élec!BD152</f>
        <v>0</v>
      </c>
      <c r="J109" s="1629">
        <f>'HT-HP 2'!AC152</f>
        <v>0</v>
      </c>
      <c r="K109" s="1641">
        <f t="shared" si="52"/>
        <v>0</v>
      </c>
      <c r="L109" s="1629">
        <f>élec!AZ137</f>
        <v>0</v>
      </c>
      <c r="M109" s="1629">
        <f>élec!BA137</f>
        <v>0</v>
      </c>
      <c r="N109" s="1629">
        <f>'HT-HP 2'!Z137</f>
        <v>0</v>
      </c>
      <c r="O109" s="1631">
        <f t="shared" si="53"/>
        <v>0</v>
      </c>
      <c r="P109" s="1629">
        <f>élec!AZ152</f>
        <v>0</v>
      </c>
      <c r="Q109" s="1629">
        <f>élec!BA152</f>
        <v>0</v>
      </c>
      <c r="R109" s="1629">
        <f>'HT-HP 2'!Z152</f>
        <v>0</v>
      </c>
      <c r="S109" s="1631">
        <f t="shared" si="54"/>
        <v>0</v>
      </c>
      <c r="T109" s="1616"/>
      <c r="U109" s="1604"/>
    </row>
    <row r="110" spans="2:21">
      <c r="B110" s="1604"/>
      <c r="C110" s="1628" t="s">
        <v>883</v>
      </c>
      <c r="D110" s="1629">
        <f>élec!BC138</f>
        <v>20</v>
      </c>
      <c r="E110" s="1629">
        <f>élec!BD138</f>
        <v>0</v>
      </c>
      <c r="F110" s="1629">
        <f>'HT-HP 2'!AC169</f>
        <v>0</v>
      </c>
      <c r="G110" s="1641">
        <f t="shared" si="51"/>
        <v>20</v>
      </c>
      <c r="H110" s="1629">
        <f>élec!BC153</f>
        <v>12</v>
      </c>
      <c r="I110" s="1629">
        <f>élec!BD153</f>
        <v>0</v>
      </c>
      <c r="J110" s="1629">
        <f>'HT-HP 2'!AC153</f>
        <v>0</v>
      </c>
      <c r="K110" s="1641">
        <f t="shared" si="52"/>
        <v>12</v>
      </c>
      <c r="L110" s="1629">
        <f>élec!AZ138</f>
        <v>104</v>
      </c>
      <c r="M110" s="1629">
        <f>élec!BA138</f>
        <v>0</v>
      </c>
      <c r="N110" s="1629">
        <f>'HT-HP 2'!Z138</f>
        <v>0</v>
      </c>
      <c r="O110" s="1631">
        <f t="shared" si="53"/>
        <v>104</v>
      </c>
      <c r="P110" s="1629">
        <f>élec!AZ153</f>
        <v>158</v>
      </c>
      <c r="Q110" s="1629">
        <f>élec!BA153</f>
        <v>0</v>
      </c>
      <c r="R110" s="1629">
        <f>'HT-HP 2'!Z153</f>
        <v>0</v>
      </c>
      <c r="S110" s="1631">
        <f t="shared" si="54"/>
        <v>158</v>
      </c>
      <c r="T110" s="1616"/>
      <c r="U110" s="1604"/>
    </row>
    <row r="111" spans="2:21">
      <c r="B111" s="1604"/>
      <c r="C111" s="1628" t="s">
        <v>884</v>
      </c>
      <c r="D111" s="1629">
        <f>élec!BC139</f>
        <v>84</v>
      </c>
      <c r="E111" s="1629">
        <f>élec!BD139</f>
        <v>0</v>
      </c>
      <c r="F111" s="1629">
        <f>'HT-HP 2'!AC170</f>
        <v>0</v>
      </c>
      <c r="G111" s="1641">
        <f t="shared" si="51"/>
        <v>84</v>
      </c>
      <c r="H111" s="1629">
        <f>élec!BC154</f>
        <v>80</v>
      </c>
      <c r="I111" s="1629">
        <f>élec!BD154</f>
        <v>0</v>
      </c>
      <c r="J111" s="1629">
        <f>'HT-HP 2'!AC154</f>
        <v>0</v>
      </c>
      <c r="K111" s="1641">
        <f t="shared" si="52"/>
        <v>80</v>
      </c>
      <c r="L111" s="1629">
        <f>élec!AZ139</f>
        <v>352</v>
      </c>
      <c r="M111" s="1629">
        <f>élec!BA139</f>
        <v>0</v>
      </c>
      <c r="N111" s="1629">
        <f>'HT-HP 2'!Z139</f>
        <v>0</v>
      </c>
      <c r="O111" s="1631">
        <f t="shared" si="53"/>
        <v>352</v>
      </c>
      <c r="P111" s="1629">
        <f>élec!AZ154</f>
        <v>726</v>
      </c>
      <c r="Q111" s="1629">
        <f>élec!BA154</f>
        <v>0</v>
      </c>
      <c r="R111" s="1629">
        <f>'HT-HP 2'!Z154</f>
        <v>0</v>
      </c>
      <c r="S111" s="1631">
        <f t="shared" si="54"/>
        <v>726</v>
      </c>
      <c r="T111" s="1616"/>
      <c r="U111" s="1604"/>
    </row>
    <row r="112" spans="2:21">
      <c r="B112" s="1604"/>
      <c r="C112" s="1628" t="s">
        <v>885</v>
      </c>
      <c r="D112" s="1629">
        <f>élec!BC140</f>
        <v>22</v>
      </c>
      <c r="E112" s="1629">
        <f>élec!BD140</f>
        <v>0</v>
      </c>
      <c r="F112" s="1629">
        <f>'HT-HP 2'!AC171</f>
        <v>0</v>
      </c>
      <c r="G112" s="1641">
        <f t="shared" si="51"/>
        <v>22</v>
      </c>
      <c r="H112" s="1629">
        <f>élec!BC155</f>
        <v>22</v>
      </c>
      <c r="I112" s="1629">
        <f>élec!BD155</f>
        <v>0</v>
      </c>
      <c r="J112" s="1629">
        <f>'HT-HP 2'!AC155</f>
        <v>0</v>
      </c>
      <c r="K112" s="1641">
        <f t="shared" si="52"/>
        <v>22</v>
      </c>
      <c r="L112" s="1629">
        <f>élec!AZ140</f>
        <v>145</v>
      </c>
      <c r="M112" s="1629">
        <f>élec!BA140</f>
        <v>0</v>
      </c>
      <c r="N112" s="1629">
        <f>'HT-HP 2'!Z140</f>
        <v>0</v>
      </c>
      <c r="O112" s="1631">
        <f t="shared" si="53"/>
        <v>145</v>
      </c>
      <c r="P112" s="1629">
        <f>élec!AZ155</f>
        <v>227</v>
      </c>
      <c r="Q112" s="1629">
        <f>élec!BA155</f>
        <v>0</v>
      </c>
      <c r="R112" s="1629">
        <f>'HT-HP 2'!Z155</f>
        <v>0</v>
      </c>
      <c r="S112" s="1631">
        <f t="shared" si="54"/>
        <v>227</v>
      </c>
      <c r="T112" s="1616"/>
      <c r="U112" s="1604"/>
    </row>
    <row r="113" spans="2:21">
      <c r="B113" s="1604"/>
      <c r="C113" s="1633" t="s">
        <v>20</v>
      </c>
      <c r="D113" s="1639">
        <f t="shared" ref="D113:T113" si="55">SUM(D103:D112)</f>
        <v>217</v>
      </c>
      <c r="E113" s="1639">
        <f t="shared" si="55"/>
        <v>0</v>
      </c>
      <c r="F113" s="1639">
        <f t="shared" si="55"/>
        <v>0</v>
      </c>
      <c r="G113" s="1639">
        <f t="shared" si="55"/>
        <v>217</v>
      </c>
      <c r="H113" s="1639">
        <f t="shared" si="55"/>
        <v>154</v>
      </c>
      <c r="I113" s="1639">
        <f t="shared" si="55"/>
        <v>0</v>
      </c>
      <c r="J113" s="1639">
        <f t="shared" si="55"/>
        <v>0</v>
      </c>
      <c r="K113" s="1639">
        <f t="shared" si="55"/>
        <v>154</v>
      </c>
      <c r="L113" s="1639">
        <f t="shared" si="55"/>
        <v>811</v>
      </c>
      <c r="M113" s="1639">
        <f t="shared" si="55"/>
        <v>0</v>
      </c>
      <c r="N113" s="1639">
        <f t="shared" si="55"/>
        <v>0</v>
      </c>
      <c r="O113" s="1639">
        <f t="shared" si="55"/>
        <v>811</v>
      </c>
      <c r="P113" s="1639">
        <f t="shared" si="55"/>
        <v>1696</v>
      </c>
      <c r="Q113" s="1639">
        <f t="shared" si="55"/>
        <v>0</v>
      </c>
      <c r="R113" s="1639">
        <f t="shared" si="55"/>
        <v>0</v>
      </c>
      <c r="S113" s="1639">
        <f t="shared" si="55"/>
        <v>1696</v>
      </c>
      <c r="T113" s="1633">
        <f t="shared" si="55"/>
        <v>0</v>
      </c>
      <c r="U113" s="1604"/>
    </row>
    <row r="114" spans="2:21">
      <c r="B114" s="1604"/>
      <c r="C114" s="1643"/>
      <c r="D114" s="1643"/>
      <c r="E114" s="1643"/>
      <c r="F114" s="1643"/>
      <c r="G114" s="1643"/>
      <c r="H114" s="1643"/>
      <c r="I114" s="1643"/>
      <c r="J114" s="1643"/>
      <c r="K114" s="1643"/>
      <c r="L114" s="1643"/>
      <c r="M114" s="1643"/>
      <c r="N114" s="1643"/>
      <c r="O114" s="1643"/>
      <c r="P114" s="1643"/>
      <c r="Q114" s="1643"/>
      <c r="R114" s="1643"/>
      <c r="S114" s="1643"/>
      <c r="T114" s="1643"/>
      <c r="U114" s="1604"/>
    </row>
  </sheetData>
  <mergeCells count="62">
    <mergeCell ref="J9:J12"/>
    <mergeCell ref="K9:K12"/>
    <mergeCell ref="D2:K2"/>
    <mergeCell ref="D3:E3"/>
    <mergeCell ref="F3:F4"/>
    <mergeCell ref="G3:H3"/>
    <mergeCell ref="I3:I4"/>
    <mergeCell ref="J3:J4"/>
    <mergeCell ref="K3:K4"/>
    <mergeCell ref="L3:L4"/>
    <mergeCell ref="N3:N4"/>
    <mergeCell ref="O3:P3"/>
    <mergeCell ref="Q3:R3"/>
    <mergeCell ref="B6:B8"/>
    <mergeCell ref="B14:B16"/>
    <mergeCell ref="C24:C26"/>
    <mergeCell ref="D24:K24"/>
    <mergeCell ref="L24:S24"/>
    <mergeCell ref="D25:G25"/>
    <mergeCell ref="H25:K25"/>
    <mergeCell ref="L25:O25"/>
    <mergeCell ref="P25:S25"/>
    <mergeCell ref="C40:C42"/>
    <mergeCell ref="D40:K40"/>
    <mergeCell ref="L40:S40"/>
    <mergeCell ref="T40:T42"/>
    <mergeCell ref="D41:G41"/>
    <mergeCell ref="H41:K41"/>
    <mergeCell ref="L41:O41"/>
    <mergeCell ref="P41:S41"/>
    <mergeCell ref="C55:C57"/>
    <mergeCell ref="D55:K55"/>
    <mergeCell ref="L55:S55"/>
    <mergeCell ref="T55:T57"/>
    <mergeCell ref="D56:G56"/>
    <mergeCell ref="H56:K56"/>
    <mergeCell ref="L56:O56"/>
    <mergeCell ref="P56:S56"/>
    <mergeCell ref="C70:C72"/>
    <mergeCell ref="D70:K70"/>
    <mergeCell ref="L70:S70"/>
    <mergeCell ref="T70:T72"/>
    <mergeCell ref="D71:G71"/>
    <mergeCell ref="H71:K71"/>
    <mergeCell ref="L71:O71"/>
    <mergeCell ref="P71:S71"/>
    <mergeCell ref="C85:C87"/>
    <mergeCell ref="D85:K85"/>
    <mergeCell ref="L85:S85"/>
    <mergeCell ref="T85:T87"/>
    <mergeCell ref="D86:G86"/>
    <mergeCell ref="H86:K86"/>
    <mergeCell ref="L86:O86"/>
    <mergeCell ref="P86:S86"/>
    <mergeCell ref="C100:C102"/>
    <mergeCell ref="D100:K100"/>
    <mergeCell ref="L100:S100"/>
    <mergeCell ref="T100:T102"/>
    <mergeCell ref="D101:G101"/>
    <mergeCell ref="H101:K101"/>
    <mergeCell ref="L101:O101"/>
    <mergeCell ref="P101:S101"/>
  </mergeCells>
  <pageMargins left="0.7" right="0.7" top="0.75" bottom="0.75" header="0.3" footer="0.3"/>
  <pageSetup paperSize="9" orientation="portrait" r:id="rId1"/>
  <drawing r:id="rId2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700-000000000000}">
  <sheetPr>
    <tabColor rgb="FF00B050"/>
  </sheetPr>
  <dimension ref="B1:U114"/>
  <sheetViews>
    <sheetView zoomScale="70" zoomScaleNormal="70" workbookViewId="0">
      <selection activeCell="H10" sqref="H10:H12"/>
    </sheetView>
  </sheetViews>
  <sheetFormatPr baseColWidth="10" defaultColWidth="11.44140625" defaultRowHeight="14.4"/>
  <cols>
    <col min="1" max="1" width="1.5546875" style="1603" customWidth="1"/>
    <col min="2" max="2" width="6.109375" style="1603" customWidth="1"/>
    <col min="3" max="3" width="22.44140625" style="1603" customWidth="1"/>
    <col min="4" max="20" width="11.44140625" style="1603"/>
    <col min="21" max="21" width="3.5546875" style="1603" customWidth="1"/>
    <col min="22" max="16384" width="11.44140625" style="1603"/>
  </cols>
  <sheetData>
    <row r="1" spans="2:20" ht="7.5" customHeight="1"/>
    <row r="2" spans="2:20" ht="15.6">
      <c r="B2" s="1604"/>
      <c r="C2" s="1605"/>
      <c r="D2" s="2978" t="s">
        <v>802</v>
      </c>
      <c r="E2" s="2978"/>
      <c r="F2" s="2978"/>
      <c r="G2" s="2978"/>
      <c r="H2" s="2978"/>
      <c r="I2" s="2978"/>
      <c r="J2" s="2978"/>
      <c r="K2" s="2978"/>
      <c r="L2" s="1604"/>
      <c r="M2" s="1604"/>
      <c r="N2" s="1606"/>
      <c r="O2" s="1606"/>
      <c r="P2" s="1606"/>
      <c r="Q2" s="1606"/>
      <c r="R2" s="1606"/>
      <c r="S2" s="1606"/>
      <c r="T2" s="1606"/>
    </row>
    <row r="3" spans="2:20" ht="18" customHeight="1">
      <c r="B3" s="1604"/>
      <c r="C3" s="1607"/>
      <c r="D3" s="2965" t="s">
        <v>175</v>
      </c>
      <c r="E3" s="2965"/>
      <c r="F3" s="2972" t="s">
        <v>785</v>
      </c>
      <c r="G3" s="2965" t="s">
        <v>805</v>
      </c>
      <c r="H3" s="2965"/>
      <c r="I3" s="2972" t="s">
        <v>785</v>
      </c>
      <c r="J3" s="2973" t="s">
        <v>1085</v>
      </c>
      <c r="K3" s="2965" t="s">
        <v>786</v>
      </c>
      <c r="L3" s="2965" t="s">
        <v>787</v>
      </c>
      <c r="M3" s="2958"/>
      <c r="N3" s="1613" t="s">
        <v>614</v>
      </c>
      <c r="O3" s="2967" t="s">
        <v>788</v>
      </c>
      <c r="P3" s="2967"/>
      <c r="Q3" s="2967" t="s">
        <v>789</v>
      </c>
      <c r="R3" s="2967"/>
      <c r="S3" s="1606"/>
      <c r="T3" s="1606"/>
    </row>
    <row r="4" spans="2:20" ht="15.6">
      <c r="B4" s="1604"/>
      <c r="C4" s="1644" t="s">
        <v>614</v>
      </c>
      <c r="D4" s="1608">
        <v>2023</v>
      </c>
      <c r="E4" s="1608">
        <v>2024</v>
      </c>
      <c r="F4" s="2972"/>
      <c r="G4" s="1608">
        <f>D4</f>
        <v>2023</v>
      </c>
      <c r="H4" s="1608">
        <f>E4</f>
        <v>2024</v>
      </c>
      <c r="I4" s="2972"/>
      <c r="J4" s="2973"/>
      <c r="K4" s="2965"/>
      <c r="L4" s="2965"/>
      <c r="M4" s="2958"/>
      <c r="N4" s="1613"/>
      <c r="O4" s="1609">
        <v>2018</v>
      </c>
      <c r="P4" s="1609">
        <v>2019</v>
      </c>
      <c r="Q4" s="1609">
        <v>2018</v>
      </c>
      <c r="R4" s="1609">
        <v>2019</v>
      </c>
      <c r="S4" s="1606"/>
      <c r="T4" s="1606"/>
    </row>
    <row r="5" spans="2:20" ht="15.6">
      <c r="B5" s="1604"/>
      <c r="C5" s="1610" t="s">
        <v>790</v>
      </c>
      <c r="D5" s="1611">
        <f>SUM(D6:D8)</f>
        <v>6445</v>
      </c>
      <c r="E5" s="1611">
        <f>SUM(E6:E8)</f>
        <v>7566</v>
      </c>
      <c r="F5" s="1612">
        <f t="shared" ref="F5:F20" si="0">IFERROR((((E5-D5)/D5)*100),"0")</f>
        <v>17.3933281613654</v>
      </c>
      <c r="G5" s="1611">
        <f>SUM(G6:G8)</f>
        <v>84550</v>
      </c>
      <c r="H5" s="1611">
        <f>SUM(H6:H8)</f>
        <v>78127</v>
      </c>
      <c r="I5" s="1612">
        <f t="shared" ref="I5:I20" si="1">IFERROR((((H5-G5)/G5)*100),"0")</f>
        <v>-7.596688350088705</v>
      </c>
      <c r="J5" s="1645">
        <f>SUM(J6:J8)</f>
        <v>90478</v>
      </c>
      <c r="K5" s="1646">
        <f>H5/J5*100</f>
        <v>86.349167753487038</v>
      </c>
      <c r="L5" s="1612"/>
      <c r="M5" s="1647"/>
      <c r="N5" s="1613" t="s">
        <v>791</v>
      </c>
      <c r="O5" s="1614">
        <f>D5-G37</f>
        <v>-32</v>
      </c>
      <c r="P5" s="1614">
        <f>E5-K37</f>
        <v>-34</v>
      </c>
      <c r="Q5" s="1614">
        <f>G5-N37</f>
        <v>78885</v>
      </c>
      <c r="R5" s="1614">
        <f>H5-S37</f>
        <v>-446</v>
      </c>
      <c r="S5" s="1606"/>
      <c r="T5" s="1606"/>
    </row>
    <row r="6" spans="2:20">
      <c r="B6" s="2958"/>
      <c r="C6" s="1615" t="s">
        <v>56</v>
      </c>
      <c r="D6" s="1616">
        <f>D98</f>
        <v>6442</v>
      </c>
      <c r="E6" s="1616">
        <f>H98</f>
        <v>7562</v>
      </c>
      <c r="F6" s="1617">
        <f t="shared" si="0"/>
        <v>17.385904998447689</v>
      </c>
      <c r="G6" s="1616">
        <f>L98</f>
        <v>84511</v>
      </c>
      <c r="H6" s="1616">
        <f>P98</f>
        <v>78076</v>
      </c>
      <c r="I6" s="1617">
        <f t="shared" si="1"/>
        <v>-7.6143933925761145</v>
      </c>
      <c r="J6" s="1629">
        <f>Clientele!AB139</f>
        <v>90409</v>
      </c>
      <c r="K6" s="1617">
        <f>H6/J6*100</f>
        <v>86.358658983065851</v>
      </c>
      <c r="L6" s="1617"/>
      <c r="M6" s="1647"/>
      <c r="N6" s="1606"/>
      <c r="O6" s="1618"/>
      <c r="P6" s="1618"/>
      <c r="Q6" s="1618"/>
      <c r="R6" s="1618"/>
      <c r="S6" s="1606"/>
      <c r="T6" s="1606"/>
    </row>
    <row r="7" spans="2:20">
      <c r="B7" s="2958"/>
      <c r="C7" s="1615" t="s">
        <v>21</v>
      </c>
      <c r="D7" s="1616">
        <f>E98</f>
        <v>3</v>
      </c>
      <c r="E7" s="1616">
        <f>I98</f>
        <v>4</v>
      </c>
      <c r="F7" s="1617">
        <f t="shared" si="0"/>
        <v>33.333333333333329</v>
      </c>
      <c r="G7" s="1616">
        <f>M98</f>
        <v>39</v>
      </c>
      <c r="H7" s="1616">
        <f>Q98</f>
        <v>50</v>
      </c>
      <c r="I7" s="1617">
        <f t="shared" si="1"/>
        <v>28.205128205128204</v>
      </c>
      <c r="J7" s="1629">
        <f>Clientele!AC139</f>
        <v>68</v>
      </c>
      <c r="K7" s="1617">
        <f>H7/J7*100</f>
        <v>73.529411764705884</v>
      </c>
      <c r="L7" s="1617"/>
      <c r="M7" s="1647"/>
      <c r="N7" s="1606"/>
      <c r="O7" s="1618"/>
      <c r="P7" s="1618"/>
      <c r="Q7" s="1618"/>
      <c r="R7" s="1618"/>
      <c r="S7" s="1606"/>
      <c r="T7" s="1606"/>
    </row>
    <row r="8" spans="2:20">
      <c r="B8" s="2958"/>
      <c r="C8" s="1619" t="s">
        <v>199</v>
      </c>
      <c r="D8" s="1620">
        <f>F98</f>
        <v>0</v>
      </c>
      <c r="E8" s="1620">
        <f>J98</f>
        <v>0</v>
      </c>
      <c r="F8" s="1621" t="str">
        <f t="shared" si="0"/>
        <v>0</v>
      </c>
      <c r="G8" s="1620">
        <f>N98</f>
        <v>0</v>
      </c>
      <c r="H8" s="1620">
        <f>R98</f>
        <v>1</v>
      </c>
      <c r="I8" s="1621" t="str">
        <f t="shared" si="1"/>
        <v>0</v>
      </c>
      <c r="J8" s="2347">
        <f>Clientele!AD139</f>
        <v>1</v>
      </c>
      <c r="K8" s="1621">
        <f>H8/J8*100</f>
        <v>100</v>
      </c>
      <c r="L8" s="1621"/>
      <c r="M8" s="1648"/>
      <c r="N8" s="1606"/>
      <c r="O8" s="1618"/>
      <c r="P8" s="1618"/>
      <c r="Q8" s="1618"/>
      <c r="R8" s="1618"/>
      <c r="S8" s="1606"/>
      <c r="T8" s="1606"/>
    </row>
    <row r="9" spans="2:20" ht="15.6">
      <c r="B9" s="1604"/>
      <c r="C9" s="1610" t="s">
        <v>794</v>
      </c>
      <c r="D9" s="1611">
        <f>SUM(D10:D12)</f>
        <v>1014</v>
      </c>
      <c r="E9" s="1611">
        <f>SUM(E10:E12)</f>
        <v>524</v>
      </c>
      <c r="F9" s="1612">
        <f t="shared" si="0"/>
        <v>-48.323471400394482</v>
      </c>
      <c r="G9" s="1611">
        <f>SUM(G10:G12)</f>
        <v>5665</v>
      </c>
      <c r="H9" s="1611">
        <f>SUM(H10:H12)</f>
        <v>6612</v>
      </c>
      <c r="I9" s="1612">
        <f t="shared" si="1"/>
        <v>16.716681376875552</v>
      </c>
      <c r="J9" s="2975"/>
      <c r="K9" s="2975"/>
      <c r="L9" s="1612"/>
      <c r="M9" s="1648"/>
      <c r="N9" s="1613" t="s">
        <v>794</v>
      </c>
      <c r="O9" s="1614">
        <f>D9-F37</f>
        <v>0</v>
      </c>
      <c r="P9" s="1614">
        <f>E9-J37</f>
        <v>0</v>
      </c>
      <c r="Q9" s="1614">
        <f>G9-N37</f>
        <v>0</v>
      </c>
      <c r="R9" s="1614">
        <f>H9-R37</f>
        <v>0</v>
      </c>
      <c r="S9" s="1606"/>
      <c r="T9" s="1606"/>
    </row>
    <row r="10" spans="2:20">
      <c r="B10" s="1604"/>
      <c r="C10" s="1615" t="s">
        <v>56</v>
      </c>
      <c r="D10" s="1616">
        <f>D83</f>
        <v>1011</v>
      </c>
      <c r="E10" s="1616">
        <f>H83</f>
        <v>524</v>
      </c>
      <c r="F10" s="1617">
        <f t="shared" si="0"/>
        <v>-48.170128585558849</v>
      </c>
      <c r="G10" s="1616">
        <f>L83</f>
        <v>5654</v>
      </c>
      <c r="H10" s="1616">
        <f>P83</f>
        <v>6603</v>
      </c>
      <c r="I10" s="1617">
        <f t="shared" si="1"/>
        <v>16.784577290413864</v>
      </c>
      <c r="J10" s="2976"/>
      <c r="K10" s="2976"/>
      <c r="L10" s="1617"/>
      <c r="M10" s="1647"/>
      <c r="N10" s="1606"/>
      <c r="O10" s="1618"/>
      <c r="P10" s="1618"/>
      <c r="Q10" s="1618"/>
      <c r="R10" s="1618"/>
      <c r="S10" s="1606"/>
      <c r="T10" s="1606"/>
    </row>
    <row r="11" spans="2:20">
      <c r="B11" s="1604"/>
      <c r="C11" s="1615" t="s">
        <v>21</v>
      </c>
      <c r="D11" s="1616">
        <f>E83</f>
        <v>2</v>
      </c>
      <c r="E11" s="1616">
        <f>I83</f>
        <v>0</v>
      </c>
      <c r="F11" s="1617">
        <f t="shared" si="0"/>
        <v>-100</v>
      </c>
      <c r="G11" s="1616">
        <f>M83</f>
        <v>10</v>
      </c>
      <c r="H11" s="1616">
        <f>Q83</f>
        <v>8</v>
      </c>
      <c r="I11" s="1617">
        <f t="shared" si="1"/>
        <v>-20</v>
      </c>
      <c r="J11" s="2976"/>
      <c r="K11" s="2976"/>
      <c r="L11" s="1617"/>
      <c r="M11" s="1647"/>
      <c r="N11" s="1606"/>
      <c r="O11" s="1618"/>
      <c r="P11" s="1618"/>
      <c r="Q11" s="1618"/>
      <c r="R11" s="1618"/>
      <c r="S11" s="1606"/>
      <c r="T11" s="1606"/>
    </row>
    <row r="12" spans="2:20">
      <c r="B12" s="1604"/>
      <c r="C12" s="1619" t="s">
        <v>199</v>
      </c>
      <c r="D12" s="1620">
        <f>F83</f>
        <v>1</v>
      </c>
      <c r="E12" s="1620">
        <f>J83</f>
        <v>0</v>
      </c>
      <c r="F12" s="1621">
        <f t="shared" si="0"/>
        <v>-100</v>
      </c>
      <c r="G12" s="1620">
        <f>N83</f>
        <v>1</v>
      </c>
      <c r="H12" s="1620">
        <f>R83</f>
        <v>1</v>
      </c>
      <c r="I12" s="1621">
        <f t="shared" si="1"/>
        <v>0</v>
      </c>
      <c r="J12" s="2977"/>
      <c r="K12" s="2977"/>
      <c r="L12" s="1621"/>
      <c r="M12" s="1647"/>
      <c r="N12" s="1606"/>
      <c r="O12" s="1618"/>
      <c r="P12" s="1618"/>
      <c r="Q12" s="1618"/>
      <c r="R12" s="1618"/>
      <c r="S12" s="1606"/>
      <c r="T12" s="1606"/>
    </row>
    <row r="13" spans="2:20" ht="15.6">
      <c r="B13" s="1604"/>
      <c r="C13" s="1610" t="s">
        <v>795</v>
      </c>
      <c r="D13" s="1611">
        <f>SUM(D14:D16)</f>
        <v>5463</v>
      </c>
      <c r="E13" s="1611">
        <f>SUM(E14:E16)</f>
        <v>7076</v>
      </c>
      <c r="F13" s="1612">
        <f t="shared" si="0"/>
        <v>29.525901519311731</v>
      </c>
      <c r="G13" s="1611">
        <f>SUM(G14:G16)</f>
        <v>79043</v>
      </c>
      <c r="H13" s="1611">
        <f>SUM(H14:H16)</f>
        <v>71961</v>
      </c>
      <c r="I13" s="1612">
        <f t="shared" si="1"/>
        <v>-8.959680174082461</v>
      </c>
      <c r="J13" s="1645">
        <f>SUM(J14:J16)</f>
        <v>90478</v>
      </c>
      <c r="K13" s="1612">
        <f>IFERROR((H13/J13*100),"0")</f>
        <v>79.534251420234753</v>
      </c>
      <c r="L13" s="1612"/>
      <c r="M13" s="1648"/>
      <c r="N13" s="1613" t="s">
        <v>796</v>
      </c>
      <c r="O13" s="1614">
        <f>D13-D37</f>
        <v>0</v>
      </c>
      <c r="P13" s="1614">
        <f>E13-H37</f>
        <v>0</v>
      </c>
      <c r="Q13" s="1614">
        <f>G13-L37</f>
        <v>0</v>
      </c>
      <c r="R13" s="1614">
        <f>H13-P37</f>
        <v>0</v>
      </c>
      <c r="S13" s="1606"/>
      <c r="T13" s="1606"/>
    </row>
    <row r="14" spans="2:20">
      <c r="B14" s="2958"/>
      <c r="C14" s="1615" t="s">
        <v>56</v>
      </c>
      <c r="D14" s="1616">
        <f>D53</f>
        <v>5463</v>
      </c>
      <c r="E14" s="1616">
        <f>H53</f>
        <v>7072</v>
      </c>
      <c r="F14" s="1617">
        <f t="shared" si="0"/>
        <v>29.452681676734393</v>
      </c>
      <c r="G14" s="1616">
        <f>L53</f>
        <v>79015</v>
      </c>
      <c r="H14" s="1616">
        <f>P53</f>
        <v>71919</v>
      </c>
      <c r="I14" s="1617">
        <f t="shared" si="1"/>
        <v>-8.9805733088654058</v>
      </c>
      <c r="J14" s="1629">
        <f>J6</f>
        <v>90409</v>
      </c>
      <c r="K14" s="1617">
        <f t="shared" ref="K14:K20" si="2">IFERROR((H14/J14*100),"0")</f>
        <v>79.548496278025411</v>
      </c>
      <c r="L14" s="1617"/>
      <c r="M14" s="1648"/>
      <c r="N14" s="1606"/>
      <c r="O14" s="1618"/>
      <c r="P14" s="1618"/>
      <c r="Q14" s="1618"/>
      <c r="R14" s="1618"/>
      <c r="S14" s="1606"/>
      <c r="T14" s="1606"/>
    </row>
    <row r="15" spans="2:20">
      <c r="B15" s="2958"/>
      <c r="C15" s="1615" t="s">
        <v>21</v>
      </c>
      <c r="D15" s="1616">
        <f>E53</f>
        <v>1</v>
      </c>
      <c r="E15" s="1616">
        <f>I53</f>
        <v>4</v>
      </c>
      <c r="F15" s="1617">
        <f t="shared" si="0"/>
        <v>300</v>
      </c>
      <c r="G15" s="1616">
        <f>M53</f>
        <v>29</v>
      </c>
      <c r="H15" s="1616">
        <f>Q53</f>
        <v>42</v>
      </c>
      <c r="I15" s="1617">
        <f>IFERROR((((H15-G15)/G15)*100),"0")</f>
        <v>44.827586206896555</v>
      </c>
      <c r="J15" s="1629">
        <f>J7</f>
        <v>68</v>
      </c>
      <c r="K15" s="1617">
        <f t="shared" si="2"/>
        <v>61.764705882352942</v>
      </c>
      <c r="L15" s="1617"/>
      <c r="M15" s="1648"/>
      <c r="N15" s="1606"/>
      <c r="O15" s="1618"/>
      <c r="P15" s="1618"/>
      <c r="Q15" s="1618"/>
      <c r="R15" s="1618"/>
      <c r="S15" s="1606"/>
      <c r="T15" s="1606"/>
    </row>
    <row r="16" spans="2:20">
      <c r="B16" s="2958"/>
      <c r="C16" s="1619" t="s">
        <v>199</v>
      </c>
      <c r="D16" s="1620">
        <f>F53</f>
        <v>-1</v>
      </c>
      <c r="E16" s="1620">
        <f>J53</f>
        <v>0</v>
      </c>
      <c r="F16" s="1621">
        <f t="shared" si="0"/>
        <v>-100</v>
      </c>
      <c r="G16" s="1620">
        <f>N53</f>
        <v>-1</v>
      </c>
      <c r="H16" s="1620">
        <f>R53</f>
        <v>0</v>
      </c>
      <c r="I16" s="1621">
        <f t="shared" si="1"/>
        <v>-100</v>
      </c>
      <c r="J16" s="1629">
        <f>J8</f>
        <v>1</v>
      </c>
      <c r="K16" s="1621">
        <f t="shared" si="2"/>
        <v>0</v>
      </c>
      <c r="L16" s="1621"/>
      <c r="M16" s="1648"/>
      <c r="N16" s="1606"/>
      <c r="O16" s="1618"/>
      <c r="P16" s="1618"/>
      <c r="Q16" s="1618"/>
      <c r="R16" s="1618"/>
      <c r="S16" s="1606"/>
      <c r="T16" s="1606"/>
    </row>
    <row r="17" spans="2:21" ht="15.6">
      <c r="B17" s="1604"/>
      <c r="C17" s="1610" t="s">
        <v>797</v>
      </c>
      <c r="D17" s="1611">
        <f>SUM(D18:D20)</f>
        <v>1680659</v>
      </c>
      <c r="E17" s="1611">
        <f>SUM(E18:E20)</f>
        <v>1794444</v>
      </c>
      <c r="F17" s="1612">
        <f t="shared" si="0"/>
        <v>6.7702609512102097</v>
      </c>
      <c r="G17" s="1611">
        <f>SUM(G18:G20)</f>
        <v>1680659</v>
      </c>
      <c r="H17" s="1611">
        <f>SUM(H18:H20)</f>
        <v>1794444</v>
      </c>
      <c r="I17" s="1612">
        <f t="shared" si="1"/>
        <v>6.7702609512102097</v>
      </c>
      <c r="J17" s="1611">
        <f>SUM(J18:J20)</f>
        <v>1784773</v>
      </c>
      <c r="K17" s="1612">
        <f t="shared" si="2"/>
        <v>100.54186162610034</v>
      </c>
      <c r="L17" s="1612"/>
      <c r="M17" s="1648"/>
      <c r="N17" s="1613" t="s">
        <v>797</v>
      </c>
      <c r="O17" s="1614">
        <f>D17-E37</f>
        <v>0</v>
      </c>
      <c r="P17" s="1614">
        <f>E17-I37</f>
        <v>0</v>
      </c>
      <c r="Q17" s="1614">
        <f>G17-M37</f>
        <v>0</v>
      </c>
      <c r="R17" s="1614">
        <f>H17-Q37</f>
        <v>0</v>
      </c>
      <c r="S17" s="1606"/>
      <c r="T17" s="1606"/>
    </row>
    <row r="18" spans="2:21">
      <c r="B18" s="1604"/>
      <c r="C18" s="1615" t="s">
        <v>56</v>
      </c>
      <c r="D18" s="1616">
        <f>D68</f>
        <v>1678654</v>
      </c>
      <c r="E18" s="1616">
        <f>H68</f>
        <v>1792354</v>
      </c>
      <c r="F18" s="1617">
        <f t="shared" si="0"/>
        <v>6.7732838333569632</v>
      </c>
      <c r="G18" s="1616">
        <f t="shared" ref="G18:H20" si="3">D18</f>
        <v>1678654</v>
      </c>
      <c r="H18" s="1616">
        <f t="shared" si="3"/>
        <v>1792354</v>
      </c>
      <c r="I18" s="1617">
        <f t="shared" si="1"/>
        <v>6.7732838333569632</v>
      </c>
      <c r="J18" s="1616">
        <v>1782639</v>
      </c>
      <c r="K18" s="1617">
        <f t="shared" si="2"/>
        <v>100.54497854024287</v>
      </c>
      <c r="L18" s="1617"/>
      <c r="M18" s="1648"/>
      <c r="N18" s="1606"/>
      <c r="O18" s="1618"/>
      <c r="P18" s="1618"/>
      <c r="Q18" s="1618"/>
      <c r="R18" s="1618"/>
      <c r="S18" s="1606"/>
      <c r="T18" s="1606"/>
    </row>
    <row r="19" spans="2:21">
      <c r="B19" s="1604"/>
      <c r="C19" s="1615" t="s">
        <v>21</v>
      </c>
      <c r="D19" s="1616">
        <f>E68</f>
        <v>1936</v>
      </c>
      <c r="E19" s="1616">
        <f>I68</f>
        <v>2021</v>
      </c>
      <c r="F19" s="1617">
        <f t="shared" si="0"/>
        <v>4.3904958677685952</v>
      </c>
      <c r="G19" s="1616">
        <f t="shared" si="3"/>
        <v>1936</v>
      </c>
      <c r="H19" s="1616">
        <f t="shared" si="3"/>
        <v>2021</v>
      </c>
      <c r="I19" s="1617">
        <f t="shared" si="1"/>
        <v>4.3904958677685952</v>
      </c>
      <c r="J19" s="1616">
        <v>2060</v>
      </c>
      <c r="K19" s="1617">
        <f t="shared" si="2"/>
        <v>98.106796116504853</v>
      </c>
      <c r="L19" s="1617"/>
      <c r="M19" s="1648"/>
      <c r="N19" s="1606"/>
      <c r="O19" s="1618"/>
      <c r="P19" s="1618"/>
      <c r="Q19" s="1618"/>
      <c r="R19" s="1618"/>
      <c r="S19" s="1606"/>
      <c r="T19" s="1606"/>
    </row>
    <row r="20" spans="2:21">
      <c r="B20" s="1604"/>
      <c r="C20" s="1619" t="s">
        <v>199</v>
      </c>
      <c r="D20" s="1620">
        <f>F68</f>
        <v>69</v>
      </c>
      <c r="E20" s="1620">
        <f>J68</f>
        <v>69</v>
      </c>
      <c r="F20" s="1621">
        <f t="shared" si="0"/>
        <v>0</v>
      </c>
      <c r="G20" s="1620">
        <f t="shared" si="3"/>
        <v>69</v>
      </c>
      <c r="H20" s="1620">
        <f t="shared" si="3"/>
        <v>69</v>
      </c>
      <c r="I20" s="1621">
        <f t="shared" si="1"/>
        <v>0</v>
      </c>
      <c r="J20" s="1620">
        <v>74</v>
      </c>
      <c r="K20" s="1621">
        <f t="shared" si="2"/>
        <v>93.243243243243242</v>
      </c>
      <c r="L20" s="1621"/>
      <c r="M20" s="1648"/>
      <c r="N20" s="1606"/>
      <c r="O20" s="1618"/>
      <c r="P20" s="1618"/>
      <c r="Q20" s="1618"/>
      <c r="R20" s="1618"/>
      <c r="S20" s="1606"/>
      <c r="T20" s="1606"/>
    </row>
    <row r="21" spans="2:21" ht="9.75" customHeight="1">
      <c r="B21" s="1604"/>
      <c r="C21" s="1604"/>
      <c r="D21" s="1604"/>
      <c r="E21" s="1604"/>
      <c r="F21" s="1604"/>
      <c r="G21" s="1604"/>
      <c r="H21" s="1604"/>
      <c r="I21" s="1604"/>
      <c r="J21" s="1604"/>
      <c r="K21" s="1604"/>
      <c r="L21" s="1604"/>
      <c r="M21" s="1648"/>
      <c r="N21" s="1606"/>
      <c r="O21" s="1606"/>
      <c r="P21" s="1606"/>
      <c r="Q21" s="1606"/>
      <c r="R21" s="1606"/>
      <c r="S21" s="1606"/>
      <c r="T21" s="1606"/>
    </row>
    <row r="22" spans="2:21">
      <c r="M22" s="1606"/>
      <c r="N22" s="1606"/>
      <c r="O22" s="1606"/>
      <c r="P22" s="1606"/>
      <c r="Q22" s="1606"/>
      <c r="R22" s="1606"/>
      <c r="S22" s="1606"/>
      <c r="T22" s="1606"/>
    </row>
    <row r="23" spans="2:21" ht="15.6">
      <c r="B23" s="1604"/>
      <c r="C23" s="1607"/>
      <c r="D23" s="1649" t="s">
        <v>803</v>
      </c>
      <c r="E23" s="1604"/>
      <c r="F23" s="1604"/>
      <c r="G23" s="1604"/>
      <c r="H23" s="1604"/>
      <c r="I23" s="1604"/>
      <c r="J23" s="1604"/>
      <c r="K23" s="1604"/>
      <c r="L23" s="1604"/>
      <c r="M23" s="1604"/>
      <c r="N23" s="1604"/>
      <c r="O23" s="1604"/>
      <c r="P23" s="1604"/>
      <c r="Q23" s="1604"/>
      <c r="R23" s="1604"/>
      <c r="S23" s="1604"/>
      <c r="T23" s="1604"/>
      <c r="U23" s="1604"/>
    </row>
    <row r="24" spans="2:21" ht="18" customHeight="1">
      <c r="B24" s="1604"/>
      <c r="C24" s="2945" t="s">
        <v>695</v>
      </c>
      <c r="D24" s="2948" t="str">
        <f>D3</f>
        <v>mois</v>
      </c>
      <c r="E24" s="2949"/>
      <c r="F24" s="2949"/>
      <c r="G24" s="2949"/>
      <c r="H24" s="2949"/>
      <c r="I24" s="2949"/>
      <c r="J24" s="2949"/>
      <c r="K24" s="2956"/>
      <c r="L24" s="2950" t="str">
        <f>G3</f>
        <v>Cumul mois</v>
      </c>
      <c r="M24" s="2951"/>
      <c r="N24" s="2951"/>
      <c r="O24" s="2951"/>
      <c r="P24" s="2951"/>
      <c r="Q24" s="2951"/>
      <c r="R24" s="2951"/>
      <c r="S24" s="2952"/>
      <c r="T24" s="1604"/>
      <c r="U24" s="1604"/>
    </row>
    <row r="25" spans="2:21" ht="15.6">
      <c r="B25" s="1604"/>
      <c r="C25" s="2946"/>
      <c r="D25" s="2948">
        <f>D4</f>
        <v>2023</v>
      </c>
      <c r="E25" s="2949"/>
      <c r="F25" s="2949"/>
      <c r="G25" s="2956"/>
      <c r="H25" s="2948">
        <f>E4</f>
        <v>2024</v>
      </c>
      <c r="I25" s="2949"/>
      <c r="J25" s="2949"/>
      <c r="K25" s="2956"/>
      <c r="L25" s="2950">
        <f>D25</f>
        <v>2023</v>
      </c>
      <c r="M25" s="2951"/>
      <c r="N25" s="2951"/>
      <c r="O25" s="2952"/>
      <c r="P25" s="2950">
        <f>H25</f>
        <v>2024</v>
      </c>
      <c r="Q25" s="2951"/>
      <c r="R25" s="2951"/>
      <c r="S25" s="2952"/>
      <c r="T25" s="1604"/>
      <c r="U25" s="1604"/>
    </row>
    <row r="26" spans="2:21" ht="15" customHeight="1">
      <c r="B26" s="1604"/>
      <c r="C26" s="2947"/>
      <c r="D26" s="1624" t="s">
        <v>798</v>
      </c>
      <c r="E26" s="1624" t="s">
        <v>799</v>
      </c>
      <c r="F26" s="1624" t="s">
        <v>800</v>
      </c>
      <c r="G26" s="1624" t="s">
        <v>790</v>
      </c>
      <c r="H26" s="1624" t="s">
        <v>798</v>
      </c>
      <c r="I26" s="1624" t="s">
        <v>799</v>
      </c>
      <c r="J26" s="1624" t="s">
        <v>800</v>
      </c>
      <c r="K26" s="1624" t="s">
        <v>790</v>
      </c>
      <c r="L26" s="1626" t="s">
        <v>798</v>
      </c>
      <c r="M26" s="1626" t="s">
        <v>799</v>
      </c>
      <c r="N26" s="1626" t="s">
        <v>800</v>
      </c>
      <c r="O26" s="1626" t="s">
        <v>790</v>
      </c>
      <c r="P26" s="1626" t="s">
        <v>798</v>
      </c>
      <c r="Q26" s="1626" t="s">
        <v>799</v>
      </c>
      <c r="R26" s="1626" t="s">
        <v>800</v>
      </c>
      <c r="S26" s="1626" t="s">
        <v>790</v>
      </c>
      <c r="T26" s="1604"/>
      <c r="U26" s="1604"/>
    </row>
    <row r="27" spans="2:21">
      <c r="B27" s="1604"/>
      <c r="C27" s="1628" t="s">
        <v>6</v>
      </c>
      <c r="D27" s="1629">
        <f t="shared" ref="D27:D36" si="4">G43</f>
        <v>666</v>
      </c>
      <c r="E27" s="1629">
        <f t="shared" ref="E27:E36" si="5">G58</f>
        <v>234520</v>
      </c>
      <c r="F27" s="1629">
        <f t="shared" ref="F27:F36" si="6">G73</f>
        <v>175</v>
      </c>
      <c r="G27" s="1629">
        <f>D27+F27</f>
        <v>841</v>
      </c>
      <c r="H27" s="1629">
        <f t="shared" ref="H27:H36" si="7">K43</f>
        <v>1108</v>
      </c>
      <c r="I27" s="1629">
        <f t="shared" ref="I27:I36" si="8">K58</f>
        <v>251582</v>
      </c>
      <c r="J27" s="1629">
        <f t="shared" ref="J27:J36" si="9">K73</f>
        <v>187</v>
      </c>
      <c r="K27" s="1629">
        <f>H27+J27</f>
        <v>1295</v>
      </c>
      <c r="L27" s="1631">
        <f t="shared" ref="L27:L36" si="10">O43</f>
        <v>10378</v>
      </c>
      <c r="M27" s="1631">
        <f t="shared" ref="M27:M36" si="11">O58</f>
        <v>234520</v>
      </c>
      <c r="N27" s="1631">
        <f t="shared" ref="N27:N36" si="12">O73</f>
        <v>778</v>
      </c>
      <c r="O27" s="1631">
        <f>L27+N27</f>
        <v>11156</v>
      </c>
      <c r="P27" s="1631">
        <f t="shared" ref="P27:P36" si="13">S43</f>
        <v>12041</v>
      </c>
      <c r="Q27" s="1631">
        <f t="shared" ref="Q27:Q36" si="14">S58</f>
        <v>251582</v>
      </c>
      <c r="R27" s="1631">
        <f t="shared" ref="R27:R36" si="15">S73</f>
        <v>1366</v>
      </c>
      <c r="S27" s="1631">
        <f>P27+R27</f>
        <v>13407</v>
      </c>
      <c r="T27" s="1604"/>
      <c r="U27" s="1604"/>
    </row>
    <row r="28" spans="2:21">
      <c r="B28" s="1604"/>
      <c r="C28" s="1628" t="s">
        <v>7</v>
      </c>
      <c r="D28" s="1629">
        <f t="shared" si="4"/>
        <v>359</v>
      </c>
      <c r="E28" s="1629">
        <f t="shared" si="5"/>
        <v>163463</v>
      </c>
      <c r="F28" s="1629">
        <f t="shared" si="6"/>
        <v>249</v>
      </c>
      <c r="G28" s="1629">
        <f t="shared" ref="G28:G36" si="16">D28+F28</f>
        <v>608</v>
      </c>
      <c r="H28" s="1629">
        <f t="shared" si="7"/>
        <v>417</v>
      </c>
      <c r="I28" s="1629">
        <f t="shared" si="8"/>
        <v>172221</v>
      </c>
      <c r="J28" s="1629">
        <f t="shared" si="9"/>
        <v>36</v>
      </c>
      <c r="K28" s="1629">
        <f t="shared" ref="K28:K36" si="17">H28+J28</f>
        <v>453</v>
      </c>
      <c r="L28" s="1631">
        <f t="shared" si="10"/>
        <v>5674</v>
      </c>
      <c r="M28" s="1631">
        <f t="shared" si="11"/>
        <v>163463</v>
      </c>
      <c r="N28" s="1631">
        <f t="shared" si="12"/>
        <v>1091</v>
      </c>
      <c r="O28" s="1631">
        <f t="shared" ref="O28:O36" si="18">L28+N28</f>
        <v>6765</v>
      </c>
      <c r="P28" s="1631">
        <f t="shared" si="13"/>
        <v>5048</v>
      </c>
      <c r="Q28" s="1631">
        <f t="shared" si="14"/>
        <v>172221</v>
      </c>
      <c r="R28" s="1631">
        <f t="shared" si="15"/>
        <v>727</v>
      </c>
      <c r="S28" s="1631">
        <f t="shared" ref="S28:S36" si="19">P28+R28</f>
        <v>5775</v>
      </c>
      <c r="T28" s="1604"/>
      <c r="U28" s="1604"/>
    </row>
    <row r="29" spans="2:21">
      <c r="B29" s="1604"/>
      <c r="C29" s="1628" t="s">
        <v>8</v>
      </c>
      <c r="D29" s="1629">
        <f t="shared" si="4"/>
        <v>1145</v>
      </c>
      <c r="E29" s="1629">
        <f t="shared" si="5"/>
        <v>148648</v>
      </c>
      <c r="F29" s="1629">
        <f t="shared" si="6"/>
        <v>74</v>
      </c>
      <c r="G29" s="1629">
        <f t="shared" si="16"/>
        <v>1219</v>
      </c>
      <c r="H29" s="1629">
        <f t="shared" si="7"/>
        <v>952</v>
      </c>
      <c r="I29" s="1629">
        <f t="shared" si="8"/>
        <v>162933</v>
      </c>
      <c r="J29" s="1629">
        <f t="shared" si="9"/>
        <v>29</v>
      </c>
      <c r="K29" s="1629">
        <f t="shared" si="17"/>
        <v>981</v>
      </c>
      <c r="L29" s="1631">
        <f t="shared" si="10"/>
        <v>10870</v>
      </c>
      <c r="M29" s="1631">
        <f t="shared" si="11"/>
        <v>148648</v>
      </c>
      <c r="N29" s="1631">
        <f t="shared" si="12"/>
        <v>462</v>
      </c>
      <c r="O29" s="1631">
        <f t="shared" si="18"/>
        <v>11332</v>
      </c>
      <c r="P29" s="1631">
        <f t="shared" si="13"/>
        <v>7703</v>
      </c>
      <c r="Q29" s="1631">
        <f t="shared" si="14"/>
        <v>162933</v>
      </c>
      <c r="R29" s="1631">
        <f t="shared" si="15"/>
        <v>661</v>
      </c>
      <c r="S29" s="1631">
        <f t="shared" si="19"/>
        <v>8364</v>
      </c>
      <c r="T29" s="1604"/>
      <c r="U29" s="1604"/>
    </row>
    <row r="30" spans="2:21">
      <c r="B30" s="1604"/>
      <c r="C30" s="1628" t="s">
        <v>4</v>
      </c>
      <c r="D30" s="1629">
        <f t="shared" si="4"/>
        <v>861</v>
      </c>
      <c r="E30" s="1629">
        <f t="shared" si="5"/>
        <v>307228</v>
      </c>
      <c r="F30" s="1629">
        <f t="shared" si="6"/>
        <v>244</v>
      </c>
      <c r="G30" s="1629">
        <f t="shared" si="16"/>
        <v>1105</v>
      </c>
      <c r="H30" s="1629">
        <f t="shared" si="7"/>
        <v>941</v>
      </c>
      <c r="I30" s="1629">
        <f t="shared" si="8"/>
        <v>322708</v>
      </c>
      <c r="J30" s="1629">
        <f t="shared" si="9"/>
        <v>101</v>
      </c>
      <c r="K30" s="1629">
        <f t="shared" si="17"/>
        <v>1042</v>
      </c>
      <c r="L30" s="1631">
        <f t="shared" si="10"/>
        <v>8241</v>
      </c>
      <c r="M30" s="1631">
        <f t="shared" si="11"/>
        <v>307228</v>
      </c>
      <c r="N30" s="1631">
        <f t="shared" si="12"/>
        <v>1417</v>
      </c>
      <c r="O30" s="1631">
        <f t="shared" si="18"/>
        <v>9658</v>
      </c>
      <c r="P30" s="1631">
        <f t="shared" si="13"/>
        <v>10420</v>
      </c>
      <c r="Q30" s="1631">
        <f t="shared" si="14"/>
        <v>322708</v>
      </c>
      <c r="R30" s="1631">
        <f t="shared" si="15"/>
        <v>1889</v>
      </c>
      <c r="S30" s="1631">
        <f t="shared" si="19"/>
        <v>12309</v>
      </c>
      <c r="T30" s="1604"/>
      <c r="U30" s="1604"/>
    </row>
    <row r="31" spans="2:21">
      <c r="B31" s="1604"/>
      <c r="C31" s="1628" t="s">
        <v>3</v>
      </c>
      <c r="D31" s="1629">
        <f t="shared" si="4"/>
        <v>372</v>
      </c>
      <c r="E31" s="1629">
        <f t="shared" si="5"/>
        <v>193267</v>
      </c>
      <c r="F31" s="1629">
        <f t="shared" si="6"/>
        <v>53</v>
      </c>
      <c r="G31" s="1629">
        <f t="shared" si="16"/>
        <v>425</v>
      </c>
      <c r="H31" s="1629">
        <f t="shared" si="7"/>
        <v>462</v>
      </c>
      <c r="I31" s="1629">
        <f t="shared" si="8"/>
        <v>199471</v>
      </c>
      <c r="J31" s="1629">
        <f t="shared" si="9"/>
        <v>12</v>
      </c>
      <c r="K31" s="1629">
        <f t="shared" si="17"/>
        <v>474</v>
      </c>
      <c r="L31" s="1631">
        <f t="shared" si="10"/>
        <v>3773</v>
      </c>
      <c r="M31" s="1631">
        <f t="shared" si="11"/>
        <v>193267</v>
      </c>
      <c r="N31" s="1631">
        <f t="shared" si="12"/>
        <v>406</v>
      </c>
      <c r="O31" s="1631">
        <f t="shared" si="18"/>
        <v>4179</v>
      </c>
      <c r="P31" s="1631">
        <f t="shared" si="13"/>
        <v>3482</v>
      </c>
      <c r="Q31" s="1631">
        <f t="shared" si="14"/>
        <v>199471</v>
      </c>
      <c r="R31" s="1631">
        <f t="shared" si="15"/>
        <v>156</v>
      </c>
      <c r="S31" s="1631">
        <f t="shared" si="19"/>
        <v>3638</v>
      </c>
      <c r="T31" s="1604"/>
      <c r="U31" s="1604"/>
    </row>
    <row r="32" spans="2:21">
      <c r="B32" s="1604"/>
      <c r="C32" s="1628" t="s">
        <v>397</v>
      </c>
      <c r="D32" s="1629">
        <f t="shared" si="4"/>
        <v>384</v>
      </c>
      <c r="E32" s="1629">
        <f t="shared" si="5"/>
        <v>121467</v>
      </c>
      <c r="F32" s="1629">
        <f t="shared" si="6"/>
        <v>32</v>
      </c>
      <c r="G32" s="1629">
        <f t="shared" si="16"/>
        <v>416</v>
      </c>
      <c r="H32" s="1629">
        <f t="shared" si="7"/>
        <v>530</v>
      </c>
      <c r="I32" s="1629">
        <f t="shared" si="8"/>
        <v>130606</v>
      </c>
      <c r="J32" s="1629">
        <f t="shared" si="9"/>
        <v>47</v>
      </c>
      <c r="K32" s="1629">
        <f t="shared" si="17"/>
        <v>577</v>
      </c>
      <c r="L32" s="1631">
        <f t="shared" si="10"/>
        <v>7475</v>
      </c>
      <c r="M32" s="1631">
        <f t="shared" si="11"/>
        <v>121467</v>
      </c>
      <c r="N32" s="1631">
        <f t="shared" si="12"/>
        <v>175</v>
      </c>
      <c r="O32" s="1631">
        <f t="shared" si="18"/>
        <v>7650</v>
      </c>
      <c r="P32" s="1631">
        <f t="shared" si="13"/>
        <v>5801</v>
      </c>
      <c r="Q32" s="1631">
        <f t="shared" si="14"/>
        <v>130606</v>
      </c>
      <c r="R32" s="1631">
        <f t="shared" si="15"/>
        <v>210</v>
      </c>
      <c r="S32" s="1631">
        <f t="shared" si="19"/>
        <v>6011</v>
      </c>
      <c r="T32" s="1604"/>
      <c r="U32" s="1604"/>
    </row>
    <row r="33" spans="2:21">
      <c r="B33" s="1604"/>
      <c r="C33" s="1628" t="s">
        <v>399</v>
      </c>
      <c r="D33" s="1629">
        <f t="shared" si="4"/>
        <v>691</v>
      </c>
      <c r="E33" s="1629">
        <f t="shared" si="5"/>
        <v>172593</v>
      </c>
      <c r="F33" s="1629">
        <f t="shared" si="6"/>
        <v>60</v>
      </c>
      <c r="G33" s="1629">
        <f t="shared" si="16"/>
        <v>751</v>
      </c>
      <c r="H33" s="1629">
        <f t="shared" si="7"/>
        <v>917</v>
      </c>
      <c r="I33" s="1629">
        <f t="shared" si="8"/>
        <v>188971</v>
      </c>
      <c r="J33" s="1629">
        <f t="shared" si="9"/>
        <v>28</v>
      </c>
      <c r="K33" s="1629">
        <f t="shared" si="17"/>
        <v>945</v>
      </c>
      <c r="L33" s="1631">
        <f t="shared" si="10"/>
        <v>9693</v>
      </c>
      <c r="M33" s="1631">
        <f t="shared" si="11"/>
        <v>172593</v>
      </c>
      <c r="N33" s="1631">
        <f t="shared" si="12"/>
        <v>303</v>
      </c>
      <c r="O33" s="1631">
        <f t="shared" si="18"/>
        <v>9996</v>
      </c>
      <c r="P33" s="1631">
        <f t="shared" si="13"/>
        <v>10336</v>
      </c>
      <c r="Q33" s="1631">
        <f t="shared" si="14"/>
        <v>188971</v>
      </c>
      <c r="R33" s="1631">
        <f t="shared" si="15"/>
        <v>352</v>
      </c>
      <c r="S33" s="1631">
        <f t="shared" si="19"/>
        <v>10688</v>
      </c>
      <c r="T33" s="1604"/>
      <c r="U33" s="1604"/>
    </row>
    <row r="34" spans="2:21">
      <c r="B34" s="1604"/>
      <c r="C34" s="1628" t="s">
        <v>883</v>
      </c>
      <c r="D34" s="1629">
        <f t="shared" si="4"/>
        <v>318</v>
      </c>
      <c r="E34" s="1629">
        <f t="shared" si="5"/>
        <v>121418</v>
      </c>
      <c r="F34" s="1629">
        <f t="shared" si="6"/>
        <v>14</v>
      </c>
      <c r="G34" s="1629">
        <f t="shared" si="16"/>
        <v>332</v>
      </c>
      <c r="H34" s="1629">
        <f t="shared" si="7"/>
        <v>356</v>
      </c>
      <c r="I34" s="1629">
        <f t="shared" si="8"/>
        <v>129664</v>
      </c>
      <c r="J34" s="1629">
        <f t="shared" si="9"/>
        <v>5</v>
      </c>
      <c r="K34" s="1629">
        <f t="shared" si="17"/>
        <v>361</v>
      </c>
      <c r="L34" s="1631">
        <f t="shared" si="10"/>
        <v>6082</v>
      </c>
      <c r="M34" s="1631">
        <f t="shared" si="11"/>
        <v>121418</v>
      </c>
      <c r="N34" s="1631">
        <f t="shared" si="12"/>
        <v>226</v>
      </c>
      <c r="O34" s="1631">
        <f t="shared" si="18"/>
        <v>6308</v>
      </c>
      <c r="P34" s="1631">
        <f t="shared" si="13"/>
        <v>4557</v>
      </c>
      <c r="Q34" s="1631">
        <f t="shared" si="14"/>
        <v>129664</v>
      </c>
      <c r="R34" s="1631">
        <f t="shared" si="15"/>
        <v>138</v>
      </c>
      <c r="S34" s="1631">
        <f t="shared" si="19"/>
        <v>4695</v>
      </c>
      <c r="T34" s="1604"/>
      <c r="U34" s="1604"/>
    </row>
    <row r="35" spans="2:21">
      <c r="B35" s="1604"/>
      <c r="C35" s="1628" t="s">
        <v>884</v>
      </c>
      <c r="D35" s="1629">
        <f t="shared" si="4"/>
        <v>364</v>
      </c>
      <c r="E35" s="1629">
        <f t="shared" si="5"/>
        <v>153592</v>
      </c>
      <c r="F35" s="1629">
        <f t="shared" si="6"/>
        <v>58</v>
      </c>
      <c r="G35" s="1629">
        <f t="shared" si="16"/>
        <v>422</v>
      </c>
      <c r="H35" s="1629">
        <f t="shared" si="7"/>
        <v>1217</v>
      </c>
      <c r="I35" s="1629">
        <f t="shared" si="8"/>
        <v>165869</v>
      </c>
      <c r="J35" s="1629">
        <f t="shared" si="9"/>
        <v>72</v>
      </c>
      <c r="K35" s="1629">
        <f t="shared" si="17"/>
        <v>1289</v>
      </c>
      <c r="L35" s="1631">
        <f t="shared" si="10"/>
        <v>11330</v>
      </c>
      <c r="M35" s="1631">
        <f t="shared" si="11"/>
        <v>153592</v>
      </c>
      <c r="N35" s="1631">
        <f t="shared" si="12"/>
        <v>443</v>
      </c>
      <c r="O35" s="1631">
        <f t="shared" si="18"/>
        <v>11773</v>
      </c>
      <c r="P35" s="1631">
        <f t="shared" si="13"/>
        <v>8411</v>
      </c>
      <c r="Q35" s="1631">
        <f t="shared" si="14"/>
        <v>165869</v>
      </c>
      <c r="R35" s="1631">
        <f t="shared" si="15"/>
        <v>592</v>
      </c>
      <c r="S35" s="1631">
        <f t="shared" si="19"/>
        <v>9003</v>
      </c>
      <c r="T35" s="1604"/>
      <c r="U35" s="1604"/>
    </row>
    <row r="36" spans="2:21">
      <c r="B36" s="1604"/>
      <c r="C36" s="1628" t="s">
        <v>885</v>
      </c>
      <c r="D36" s="1629">
        <f t="shared" si="4"/>
        <v>303</v>
      </c>
      <c r="E36" s="1629">
        <f t="shared" si="5"/>
        <v>64463</v>
      </c>
      <c r="F36" s="1629">
        <f t="shared" si="6"/>
        <v>55</v>
      </c>
      <c r="G36" s="1629">
        <f t="shared" si="16"/>
        <v>358</v>
      </c>
      <c r="H36" s="1629">
        <f t="shared" si="7"/>
        <v>176</v>
      </c>
      <c r="I36" s="1629">
        <f t="shared" si="8"/>
        <v>70419</v>
      </c>
      <c r="J36" s="1629">
        <f t="shared" si="9"/>
        <v>7</v>
      </c>
      <c r="K36" s="1629">
        <f t="shared" si="17"/>
        <v>183</v>
      </c>
      <c r="L36" s="1631">
        <f t="shared" si="10"/>
        <v>5527</v>
      </c>
      <c r="M36" s="1631">
        <f t="shared" si="11"/>
        <v>64463</v>
      </c>
      <c r="N36" s="1631">
        <f t="shared" si="12"/>
        <v>364</v>
      </c>
      <c r="O36" s="1631">
        <f t="shared" si="18"/>
        <v>5891</v>
      </c>
      <c r="P36" s="1631">
        <f t="shared" si="13"/>
        <v>4162</v>
      </c>
      <c r="Q36" s="1631">
        <f t="shared" si="14"/>
        <v>70419</v>
      </c>
      <c r="R36" s="1631">
        <f t="shared" si="15"/>
        <v>521</v>
      </c>
      <c r="S36" s="1631">
        <f t="shared" si="19"/>
        <v>4683</v>
      </c>
      <c r="T36" s="1604"/>
      <c r="U36" s="1604"/>
    </row>
    <row r="37" spans="2:21">
      <c r="B37" s="1604"/>
      <c r="C37" s="1633" t="s">
        <v>20</v>
      </c>
      <c r="D37" s="1634">
        <f t="shared" ref="D37:S37" si="20">SUM(D27:D36)</f>
        <v>5463</v>
      </c>
      <c r="E37" s="1634">
        <f t="shared" si="20"/>
        <v>1680659</v>
      </c>
      <c r="F37" s="1634">
        <f t="shared" si="20"/>
        <v>1014</v>
      </c>
      <c r="G37" s="1634">
        <f t="shared" si="20"/>
        <v>6477</v>
      </c>
      <c r="H37" s="1634">
        <f t="shared" si="20"/>
        <v>7076</v>
      </c>
      <c r="I37" s="1634">
        <f t="shared" si="20"/>
        <v>1794444</v>
      </c>
      <c r="J37" s="1634">
        <f t="shared" si="20"/>
        <v>524</v>
      </c>
      <c r="K37" s="1634">
        <f t="shared" si="20"/>
        <v>7600</v>
      </c>
      <c r="L37" s="1634">
        <f t="shared" si="20"/>
        <v>79043</v>
      </c>
      <c r="M37" s="1634">
        <f t="shared" si="20"/>
        <v>1680659</v>
      </c>
      <c r="N37" s="1634">
        <f t="shared" si="20"/>
        <v>5665</v>
      </c>
      <c r="O37" s="1634">
        <f t="shared" si="20"/>
        <v>84708</v>
      </c>
      <c r="P37" s="1634">
        <f t="shared" si="20"/>
        <v>71961</v>
      </c>
      <c r="Q37" s="1634">
        <f t="shared" si="20"/>
        <v>1794444</v>
      </c>
      <c r="R37" s="1634">
        <f t="shared" si="20"/>
        <v>6612</v>
      </c>
      <c r="S37" s="1634">
        <f t="shared" si="20"/>
        <v>78573</v>
      </c>
      <c r="T37" s="1604"/>
      <c r="U37" s="1604"/>
    </row>
    <row r="38" spans="2:21" ht="15.6">
      <c r="B38" s="1604"/>
      <c r="C38" s="1607"/>
      <c r="D38" s="1650"/>
      <c r="E38" s="1650"/>
      <c r="F38" s="1604"/>
      <c r="G38" s="1604"/>
      <c r="H38" s="1604"/>
      <c r="I38" s="1604"/>
      <c r="J38" s="1604"/>
      <c r="K38" s="1604"/>
      <c r="L38" s="1604"/>
      <c r="M38" s="1604"/>
      <c r="N38" s="1604"/>
      <c r="O38" s="1604"/>
      <c r="P38" s="1604"/>
      <c r="Q38" s="1604"/>
      <c r="R38" s="1604"/>
      <c r="S38" s="1604"/>
      <c r="T38" s="1604"/>
      <c r="U38" s="1604"/>
    </row>
    <row r="39" spans="2:21" ht="15.6">
      <c r="B39" s="1604"/>
      <c r="C39" s="1607"/>
      <c r="D39" s="1623" t="s">
        <v>796</v>
      </c>
      <c r="E39" s="1623"/>
      <c r="F39" s="1623"/>
      <c r="G39" s="1623"/>
      <c r="H39" s="1623"/>
      <c r="I39" s="1623"/>
      <c r="J39" s="1623"/>
      <c r="K39" s="1623"/>
      <c r="L39" s="1623"/>
      <c r="M39" s="1623"/>
      <c r="N39" s="1623"/>
      <c r="O39" s="1623"/>
      <c r="P39" s="1623"/>
      <c r="Q39" s="1623"/>
      <c r="R39" s="1623"/>
      <c r="S39" s="1623"/>
      <c r="T39" s="1604"/>
      <c r="U39" s="1604"/>
    </row>
    <row r="40" spans="2:21" ht="18" customHeight="1">
      <c r="B40" s="1604"/>
      <c r="C40" s="2945" t="s">
        <v>695</v>
      </c>
      <c r="D40" s="2948" t="str">
        <f>D24</f>
        <v>mois</v>
      </c>
      <c r="E40" s="2949"/>
      <c r="F40" s="2949"/>
      <c r="G40" s="2949"/>
      <c r="H40" s="2949"/>
      <c r="I40" s="2949"/>
      <c r="J40" s="2949"/>
      <c r="K40" s="2949"/>
      <c r="L40" s="2948" t="str">
        <f>L24</f>
        <v>Cumul mois</v>
      </c>
      <c r="M40" s="2949"/>
      <c r="N40" s="2949"/>
      <c r="O40" s="2949"/>
      <c r="P40" s="2949"/>
      <c r="Q40" s="2949"/>
      <c r="R40" s="2949"/>
      <c r="S40" s="2949"/>
      <c r="T40" s="2974" t="str">
        <f>J3</f>
        <v>Objectif
 2024</v>
      </c>
      <c r="U40" s="1604"/>
    </row>
    <row r="41" spans="2:21" ht="15.6">
      <c r="B41" s="1604"/>
      <c r="C41" s="2946"/>
      <c r="D41" s="2948">
        <f>D25</f>
        <v>2023</v>
      </c>
      <c r="E41" s="2949"/>
      <c r="F41" s="2949"/>
      <c r="G41" s="2956"/>
      <c r="H41" s="2948">
        <f>H25</f>
        <v>2024</v>
      </c>
      <c r="I41" s="2949"/>
      <c r="J41" s="2949"/>
      <c r="K41" s="2956"/>
      <c r="L41" s="2948">
        <f>D41</f>
        <v>2023</v>
      </c>
      <c r="M41" s="2949"/>
      <c r="N41" s="2949"/>
      <c r="O41" s="2956"/>
      <c r="P41" s="2948">
        <f>H41</f>
        <v>2024</v>
      </c>
      <c r="Q41" s="2949"/>
      <c r="R41" s="2949"/>
      <c r="S41" s="2956"/>
      <c r="T41" s="2954"/>
      <c r="U41" s="1604"/>
    </row>
    <row r="42" spans="2:21" ht="15" customHeight="1">
      <c r="B42" s="1604"/>
      <c r="C42" s="2947"/>
      <c r="D42" s="1639" t="s">
        <v>56</v>
      </c>
      <c r="E42" s="1639" t="s">
        <v>21</v>
      </c>
      <c r="F42" s="1639" t="s">
        <v>199</v>
      </c>
      <c r="G42" s="1639" t="s">
        <v>20</v>
      </c>
      <c r="H42" s="1639" t="s">
        <v>56</v>
      </c>
      <c r="I42" s="1639" t="s">
        <v>21</v>
      </c>
      <c r="J42" s="1639" t="s">
        <v>199</v>
      </c>
      <c r="K42" s="1639" t="s">
        <v>20</v>
      </c>
      <c r="L42" s="1639" t="s">
        <v>56</v>
      </c>
      <c r="M42" s="1639" t="s">
        <v>21</v>
      </c>
      <c r="N42" s="1639" t="s">
        <v>199</v>
      </c>
      <c r="O42" s="1639" t="s">
        <v>20</v>
      </c>
      <c r="P42" s="1639" t="s">
        <v>56</v>
      </c>
      <c r="Q42" s="1639" t="s">
        <v>21</v>
      </c>
      <c r="R42" s="1639" t="s">
        <v>199</v>
      </c>
      <c r="S42" s="1639" t="s">
        <v>20</v>
      </c>
      <c r="T42" s="2955"/>
      <c r="U42" s="1604"/>
    </row>
    <row r="43" spans="2:21">
      <c r="B43" s="1604"/>
      <c r="C43" s="1628" t="s">
        <v>6</v>
      </c>
      <c r="D43" s="1629">
        <f>Clientele!B54</f>
        <v>666</v>
      </c>
      <c r="E43" s="1629">
        <f>Clientele!C54</f>
        <v>0</v>
      </c>
      <c r="F43" s="1629">
        <f>Clientele!D54</f>
        <v>0</v>
      </c>
      <c r="G43" s="1651">
        <f>SUM(D43:F43)</f>
        <v>666</v>
      </c>
      <c r="H43" s="1629">
        <f>Clientele!F54</f>
        <v>1108</v>
      </c>
      <c r="I43" s="1629">
        <f>Clientele!G54</f>
        <v>0</v>
      </c>
      <c r="J43" s="1629">
        <f>Clientele!H54</f>
        <v>0</v>
      </c>
      <c r="K43" s="1651">
        <f>SUM(H43:J43)</f>
        <v>1108</v>
      </c>
      <c r="L43" s="1629">
        <f>Clientele!K54</f>
        <v>10374</v>
      </c>
      <c r="M43" s="1629">
        <f>Clientele!L54</f>
        <v>4</v>
      </c>
      <c r="N43" s="1629">
        <f>Clientele!M54</f>
        <v>0</v>
      </c>
      <c r="O43" s="1651">
        <f>SUM(L43:N43)</f>
        <v>10378</v>
      </c>
      <c r="P43" s="1629">
        <f>Clientele!O54</f>
        <v>12045</v>
      </c>
      <c r="Q43" s="1629">
        <f>Clientele!P54</f>
        <v>-4</v>
      </c>
      <c r="R43" s="1629">
        <f>Clientele!Q54</f>
        <v>0</v>
      </c>
      <c r="S43" s="1651">
        <f>SUM(P43:R43)</f>
        <v>12041</v>
      </c>
      <c r="T43" s="1629">
        <f>Clientele!T54</f>
        <v>9605</v>
      </c>
      <c r="U43" s="1604"/>
    </row>
    <row r="44" spans="2:21">
      <c r="B44" s="1604"/>
      <c r="C44" s="1628" t="s">
        <v>7</v>
      </c>
      <c r="D44" s="1629">
        <f>Clientele!B55</f>
        <v>359</v>
      </c>
      <c r="E44" s="1629">
        <f>Clientele!C55</f>
        <v>0</v>
      </c>
      <c r="F44" s="1629">
        <f>Clientele!D55</f>
        <v>0</v>
      </c>
      <c r="G44" s="1651">
        <f t="shared" ref="G44:G52" si="21">SUM(D44:F44)</f>
        <v>359</v>
      </c>
      <c r="H44" s="1629">
        <f>Clientele!F55</f>
        <v>417</v>
      </c>
      <c r="I44" s="1629">
        <f>Clientele!G55</f>
        <v>0</v>
      </c>
      <c r="J44" s="1629">
        <f>Clientele!H55</f>
        <v>0</v>
      </c>
      <c r="K44" s="1651">
        <f t="shared" ref="K44:K52" si="22">SUM(H44:J44)</f>
        <v>417</v>
      </c>
      <c r="L44" s="1629">
        <f>Clientele!K55</f>
        <v>5665</v>
      </c>
      <c r="M44" s="1629">
        <f>Clientele!L55</f>
        <v>9</v>
      </c>
      <c r="N44" s="1629">
        <f>Clientele!M55</f>
        <v>0</v>
      </c>
      <c r="O44" s="1651">
        <f t="shared" ref="O44:O52" si="23">SUM(L44:N44)</f>
        <v>5674</v>
      </c>
      <c r="P44" s="1629">
        <f>Clientele!O55</f>
        <v>5043</v>
      </c>
      <c r="Q44" s="1629">
        <f>Clientele!P55</f>
        <v>5</v>
      </c>
      <c r="R44" s="1629">
        <f>Clientele!Q55</f>
        <v>0</v>
      </c>
      <c r="S44" s="1651">
        <f t="shared" ref="S44:S52" si="24">SUM(P44:R44)</f>
        <v>5048</v>
      </c>
      <c r="T44" s="1629">
        <f>Clientele!T55</f>
        <v>8629</v>
      </c>
      <c r="U44" s="1604"/>
    </row>
    <row r="45" spans="2:21">
      <c r="B45" s="1604"/>
      <c r="C45" s="1628" t="s">
        <v>8</v>
      </c>
      <c r="D45" s="1629">
        <f>Clientele!B56</f>
        <v>1145</v>
      </c>
      <c r="E45" s="1629">
        <f>Clientele!C56</f>
        <v>0</v>
      </c>
      <c r="F45" s="1629">
        <f>Clientele!D56</f>
        <v>0</v>
      </c>
      <c r="G45" s="1651">
        <f t="shared" si="21"/>
        <v>1145</v>
      </c>
      <c r="H45" s="1629">
        <f>Clientele!F56</f>
        <v>952</v>
      </c>
      <c r="I45" s="1629">
        <f>Clientele!G56</f>
        <v>0</v>
      </c>
      <c r="J45" s="1629">
        <f>Clientele!H56</f>
        <v>0</v>
      </c>
      <c r="K45" s="1651">
        <f t="shared" si="22"/>
        <v>952</v>
      </c>
      <c r="L45" s="1629">
        <f>Clientele!K56</f>
        <v>10870</v>
      </c>
      <c r="M45" s="1629">
        <f>Clientele!L56</f>
        <v>0</v>
      </c>
      <c r="N45" s="1629">
        <f>Clientele!M56</f>
        <v>0</v>
      </c>
      <c r="O45" s="1651">
        <f t="shared" si="23"/>
        <v>10870</v>
      </c>
      <c r="P45" s="1629">
        <f>Clientele!O56</f>
        <v>7694</v>
      </c>
      <c r="Q45" s="1629">
        <f>Clientele!P56</f>
        <v>9</v>
      </c>
      <c r="R45" s="1629">
        <f>Clientele!Q56</f>
        <v>0</v>
      </c>
      <c r="S45" s="1651">
        <f t="shared" si="24"/>
        <v>7703</v>
      </c>
      <c r="T45" s="1629">
        <f>Clientele!T56</f>
        <v>7056</v>
      </c>
      <c r="U45" s="1604"/>
    </row>
    <row r="46" spans="2:21">
      <c r="B46" s="1604"/>
      <c r="C46" s="1628" t="s">
        <v>4</v>
      </c>
      <c r="D46" s="1629">
        <f>Clientele!B57</f>
        <v>861</v>
      </c>
      <c r="E46" s="1629">
        <f>Clientele!C57</f>
        <v>0</v>
      </c>
      <c r="F46" s="1629">
        <f>Clientele!D57</f>
        <v>0</v>
      </c>
      <c r="G46" s="1651">
        <f t="shared" si="21"/>
        <v>861</v>
      </c>
      <c r="H46" s="1629">
        <f>Clientele!F57</f>
        <v>941</v>
      </c>
      <c r="I46" s="1629">
        <f>Clientele!G57</f>
        <v>0</v>
      </c>
      <c r="J46" s="1629">
        <f>Clientele!H57</f>
        <v>0</v>
      </c>
      <c r="K46" s="1651">
        <f t="shared" si="22"/>
        <v>941</v>
      </c>
      <c r="L46" s="1629">
        <f>Clientele!K57</f>
        <v>8240</v>
      </c>
      <c r="M46" s="1629">
        <f>Clientele!L57</f>
        <v>1</v>
      </c>
      <c r="N46" s="1629">
        <f>Clientele!M57</f>
        <v>0</v>
      </c>
      <c r="O46" s="1651">
        <f t="shared" si="23"/>
        <v>8241</v>
      </c>
      <c r="P46" s="1629">
        <f>Clientele!O57</f>
        <v>10412</v>
      </c>
      <c r="Q46" s="1629">
        <f>Clientele!P57</f>
        <v>7</v>
      </c>
      <c r="R46" s="1629">
        <f>Clientele!Q57</f>
        <v>1</v>
      </c>
      <c r="S46" s="1651">
        <f t="shared" si="24"/>
        <v>10420</v>
      </c>
      <c r="T46" s="1629">
        <f>Clientele!T57</f>
        <v>21096</v>
      </c>
      <c r="U46" s="1604"/>
    </row>
    <row r="47" spans="2:21">
      <c r="B47" s="1604"/>
      <c r="C47" s="1628" t="s">
        <v>3</v>
      </c>
      <c r="D47" s="1629">
        <f>Clientele!B58</f>
        <v>372</v>
      </c>
      <c r="E47" s="1629">
        <f>Clientele!C58</f>
        <v>0</v>
      </c>
      <c r="F47" s="1629">
        <f>Clientele!D58</f>
        <v>0</v>
      </c>
      <c r="G47" s="1651">
        <f t="shared" si="21"/>
        <v>372</v>
      </c>
      <c r="H47" s="1629">
        <f>Clientele!F58</f>
        <v>462</v>
      </c>
      <c r="I47" s="1629">
        <f>Clientele!G58</f>
        <v>0</v>
      </c>
      <c r="J47" s="1629">
        <f>Clientele!H58</f>
        <v>0</v>
      </c>
      <c r="K47" s="1651">
        <f t="shared" si="22"/>
        <v>462</v>
      </c>
      <c r="L47" s="1629">
        <f>Clientele!K58</f>
        <v>3771</v>
      </c>
      <c r="M47" s="1629">
        <f>Clientele!L58</f>
        <v>2</v>
      </c>
      <c r="N47" s="1629">
        <f>Clientele!M58</f>
        <v>0</v>
      </c>
      <c r="O47" s="1651">
        <f t="shared" si="23"/>
        <v>3773</v>
      </c>
      <c r="P47" s="1629">
        <f>Clientele!O58</f>
        <v>3480</v>
      </c>
      <c r="Q47" s="1629">
        <f>Clientele!P58</f>
        <v>2</v>
      </c>
      <c r="R47" s="1629">
        <f>Clientele!Q58</f>
        <v>0</v>
      </c>
      <c r="S47" s="1651">
        <f t="shared" si="24"/>
        <v>3482</v>
      </c>
      <c r="T47" s="1629">
        <f>Clientele!T58</f>
        <v>8557</v>
      </c>
      <c r="U47" s="1604"/>
    </row>
    <row r="48" spans="2:21">
      <c r="B48" s="1604"/>
      <c r="C48" s="1628" t="s">
        <v>397</v>
      </c>
      <c r="D48" s="1629">
        <f>Clientele!B59</f>
        <v>385</v>
      </c>
      <c r="E48" s="1629">
        <f>Clientele!C59</f>
        <v>0</v>
      </c>
      <c r="F48" s="1629">
        <f>Clientele!D59</f>
        <v>-1</v>
      </c>
      <c r="G48" s="1651">
        <f t="shared" si="21"/>
        <v>384</v>
      </c>
      <c r="H48" s="1629">
        <f>Clientele!F59</f>
        <v>530</v>
      </c>
      <c r="I48" s="1629">
        <f>Clientele!G59</f>
        <v>0</v>
      </c>
      <c r="J48" s="1629">
        <f>Clientele!H59</f>
        <v>0</v>
      </c>
      <c r="K48" s="1651">
        <f t="shared" si="22"/>
        <v>530</v>
      </c>
      <c r="L48" s="1629">
        <f>Clientele!K59</f>
        <v>7476</v>
      </c>
      <c r="M48" s="1629">
        <f>Clientele!L59</f>
        <v>0</v>
      </c>
      <c r="N48" s="1629">
        <f>Clientele!M59</f>
        <v>-1</v>
      </c>
      <c r="O48" s="1651">
        <f t="shared" si="23"/>
        <v>7475</v>
      </c>
      <c r="P48" s="1629">
        <f>Clientele!O59</f>
        <v>5797</v>
      </c>
      <c r="Q48" s="1629">
        <f>Clientele!P59</f>
        <v>4</v>
      </c>
      <c r="R48" s="1629">
        <f>Clientele!Q59</f>
        <v>0</v>
      </c>
      <c r="S48" s="1651">
        <f t="shared" si="24"/>
        <v>5801</v>
      </c>
      <c r="T48" s="1629">
        <f>Clientele!T59</f>
        <v>7279</v>
      </c>
      <c r="U48" s="1604"/>
    </row>
    <row r="49" spans="2:21">
      <c r="B49" s="1604"/>
      <c r="C49" s="1628" t="s">
        <v>399</v>
      </c>
      <c r="D49" s="1629">
        <f>Clientele!B60</f>
        <v>691</v>
      </c>
      <c r="E49" s="1629">
        <f>Clientele!C60</f>
        <v>0</v>
      </c>
      <c r="F49" s="1629">
        <f>Clientele!D60</f>
        <v>0</v>
      </c>
      <c r="G49" s="1651">
        <f t="shared" si="21"/>
        <v>691</v>
      </c>
      <c r="H49" s="1629">
        <f>Clientele!F60</f>
        <v>915</v>
      </c>
      <c r="I49" s="1629">
        <f>Clientele!G60</f>
        <v>2</v>
      </c>
      <c r="J49" s="1629">
        <f>Clientele!H60</f>
        <v>0</v>
      </c>
      <c r="K49" s="1651">
        <f t="shared" si="22"/>
        <v>917</v>
      </c>
      <c r="L49" s="1629">
        <f>Clientele!K60</f>
        <v>9690</v>
      </c>
      <c r="M49" s="1629">
        <f>Clientele!L60</f>
        <v>3</v>
      </c>
      <c r="N49" s="1629">
        <f>Clientele!M60</f>
        <v>0</v>
      </c>
      <c r="O49" s="1651">
        <f t="shared" si="23"/>
        <v>9693</v>
      </c>
      <c r="P49" s="1629">
        <f>Clientele!O60</f>
        <v>10328</v>
      </c>
      <c r="Q49" s="1629">
        <f>Clientele!P60</f>
        <v>9</v>
      </c>
      <c r="R49" s="1629">
        <f>Clientele!Q60</f>
        <v>-1</v>
      </c>
      <c r="S49" s="1651">
        <f t="shared" si="24"/>
        <v>10336</v>
      </c>
      <c r="T49" s="1629">
        <f>Clientele!T60</f>
        <v>10319</v>
      </c>
      <c r="U49" s="1604"/>
    </row>
    <row r="50" spans="2:21">
      <c r="B50" s="1604"/>
      <c r="C50" s="1628" t="s">
        <v>883</v>
      </c>
      <c r="D50" s="1629">
        <f>Clientele!B61</f>
        <v>318</v>
      </c>
      <c r="E50" s="1629">
        <f>Clientele!C61</f>
        <v>0</v>
      </c>
      <c r="F50" s="1629">
        <f>Clientele!D61</f>
        <v>0</v>
      </c>
      <c r="G50" s="1651">
        <f t="shared" si="21"/>
        <v>318</v>
      </c>
      <c r="H50" s="1629">
        <f>Clientele!F61</f>
        <v>356</v>
      </c>
      <c r="I50" s="1629">
        <f>Clientele!G61</f>
        <v>0</v>
      </c>
      <c r="J50" s="1629">
        <f>Clientele!H61</f>
        <v>0</v>
      </c>
      <c r="K50" s="1651">
        <f t="shared" si="22"/>
        <v>356</v>
      </c>
      <c r="L50" s="1629">
        <f>Clientele!K61</f>
        <v>6075</v>
      </c>
      <c r="M50" s="1629">
        <f>Clientele!L61</f>
        <v>7</v>
      </c>
      <c r="N50" s="1629">
        <f>Clientele!M61</f>
        <v>0</v>
      </c>
      <c r="O50" s="1651">
        <f t="shared" si="23"/>
        <v>6082</v>
      </c>
      <c r="P50" s="1629">
        <f>Clientele!O61</f>
        <v>4553</v>
      </c>
      <c r="Q50" s="1629">
        <f>Clientele!P61</f>
        <v>4</v>
      </c>
      <c r="R50" s="1629">
        <f>Clientele!Q61</f>
        <v>0</v>
      </c>
      <c r="S50" s="1651">
        <f t="shared" si="24"/>
        <v>4557</v>
      </c>
      <c r="T50" s="1629">
        <f>Clientele!T61</f>
        <v>6572</v>
      </c>
      <c r="U50" s="1604"/>
    </row>
    <row r="51" spans="2:21">
      <c r="B51" s="1604"/>
      <c r="C51" s="1628" t="s">
        <v>884</v>
      </c>
      <c r="D51" s="1629">
        <f>Clientele!B62</f>
        <v>363</v>
      </c>
      <c r="E51" s="1629">
        <f>Clientele!C62</f>
        <v>1</v>
      </c>
      <c r="F51" s="1629">
        <f>Clientele!D62</f>
        <v>0</v>
      </c>
      <c r="G51" s="1651">
        <f t="shared" si="21"/>
        <v>364</v>
      </c>
      <c r="H51" s="1629">
        <f>Clientele!F62</f>
        <v>1215</v>
      </c>
      <c r="I51" s="1629">
        <f>Clientele!G62</f>
        <v>2</v>
      </c>
      <c r="J51" s="1629">
        <f>Clientele!H62</f>
        <v>0</v>
      </c>
      <c r="K51" s="1651">
        <f t="shared" si="22"/>
        <v>1217</v>
      </c>
      <c r="L51" s="1629">
        <f>Clientele!K62</f>
        <v>11327</v>
      </c>
      <c r="M51" s="1629">
        <f>Clientele!L62</f>
        <v>3</v>
      </c>
      <c r="N51" s="1629">
        <f>Clientele!M62</f>
        <v>0</v>
      </c>
      <c r="O51" s="1651">
        <f t="shared" si="23"/>
        <v>11330</v>
      </c>
      <c r="P51" s="1629">
        <f>Clientele!O62</f>
        <v>8406</v>
      </c>
      <c r="Q51" s="1629">
        <f>Clientele!P62</f>
        <v>5</v>
      </c>
      <c r="R51" s="1629">
        <f>Clientele!Q62</f>
        <v>0</v>
      </c>
      <c r="S51" s="1651">
        <f t="shared" si="24"/>
        <v>8411</v>
      </c>
      <c r="T51" s="1629">
        <f>Clientele!T62</f>
        <v>7684</v>
      </c>
      <c r="U51" s="1604"/>
    </row>
    <row r="52" spans="2:21">
      <c r="B52" s="1604"/>
      <c r="C52" s="1628" t="s">
        <v>885</v>
      </c>
      <c r="D52" s="1629">
        <f>Clientele!B63</f>
        <v>303</v>
      </c>
      <c r="E52" s="1629">
        <f>Clientele!C63</f>
        <v>0</v>
      </c>
      <c r="F52" s="1629">
        <f>Clientele!D63</f>
        <v>0</v>
      </c>
      <c r="G52" s="1651">
        <f t="shared" si="21"/>
        <v>303</v>
      </c>
      <c r="H52" s="1629">
        <f>Clientele!F63</f>
        <v>176</v>
      </c>
      <c r="I52" s="1629">
        <f>Clientele!G63</f>
        <v>0</v>
      </c>
      <c r="J52" s="1629">
        <f>Clientele!H63</f>
        <v>0</v>
      </c>
      <c r="K52" s="1651">
        <f t="shared" si="22"/>
        <v>176</v>
      </c>
      <c r="L52" s="1629">
        <f>Clientele!K63</f>
        <v>5527</v>
      </c>
      <c r="M52" s="1629">
        <f>Clientele!L63</f>
        <v>0</v>
      </c>
      <c r="N52" s="1629">
        <f>Clientele!M63</f>
        <v>0</v>
      </c>
      <c r="O52" s="1651">
        <f t="shared" si="23"/>
        <v>5527</v>
      </c>
      <c r="P52" s="1629">
        <f>Clientele!O63</f>
        <v>4161</v>
      </c>
      <c r="Q52" s="1629">
        <f>Clientele!P63</f>
        <v>1</v>
      </c>
      <c r="R52" s="1629">
        <f>Clientele!Q63</f>
        <v>0</v>
      </c>
      <c r="S52" s="1651">
        <f t="shared" si="24"/>
        <v>4162</v>
      </c>
      <c r="T52" s="1629">
        <f>Clientele!T63</f>
        <v>3681</v>
      </c>
      <c r="U52" s="1604"/>
    </row>
    <row r="53" spans="2:21">
      <c r="B53" s="1604"/>
      <c r="C53" s="1633" t="s">
        <v>20</v>
      </c>
      <c r="D53" s="1639">
        <f t="shared" ref="D53:T53" si="25">SUM(D43:D52)</f>
        <v>5463</v>
      </c>
      <c r="E53" s="1639">
        <f t="shared" si="25"/>
        <v>1</v>
      </c>
      <c r="F53" s="1639">
        <f t="shared" si="25"/>
        <v>-1</v>
      </c>
      <c r="G53" s="1639">
        <f t="shared" si="25"/>
        <v>5463</v>
      </c>
      <c r="H53" s="1639">
        <f t="shared" si="25"/>
        <v>7072</v>
      </c>
      <c r="I53" s="1639">
        <f t="shared" si="25"/>
        <v>4</v>
      </c>
      <c r="J53" s="1639">
        <f t="shared" si="25"/>
        <v>0</v>
      </c>
      <c r="K53" s="1639">
        <f t="shared" si="25"/>
        <v>7076</v>
      </c>
      <c r="L53" s="1639">
        <f t="shared" si="25"/>
        <v>79015</v>
      </c>
      <c r="M53" s="1639">
        <f t="shared" si="25"/>
        <v>29</v>
      </c>
      <c r="N53" s="1639">
        <f t="shared" si="25"/>
        <v>-1</v>
      </c>
      <c r="O53" s="1639">
        <f t="shared" si="25"/>
        <v>79043</v>
      </c>
      <c r="P53" s="1639">
        <f t="shared" si="25"/>
        <v>71919</v>
      </c>
      <c r="Q53" s="1639">
        <f t="shared" si="25"/>
        <v>42</v>
      </c>
      <c r="R53" s="1639">
        <f t="shared" si="25"/>
        <v>0</v>
      </c>
      <c r="S53" s="1639">
        <f t="shared" si="25"/>
        <v>71961</v>
      </c>
      <c r="T53" s="1639">
        <f t="shared" si="25"/>
        <v>90478</v>
      </c>
      <c r="U53" s="1604"/>
    </row>
    <row r="54" spans="2:21" ht="15.6">
      <c r="B54" s="1604"/>
      <c r="C54" s="1604"/>
      <c r="D54" s="1652" t="s">
        <v>797</v>
      </c>
      <c r="E54" s="1652"/>
      <c r="F54" s="1652"/>
      <c r="G54" s="1652"/>
      <c r="H54" s="1652"/>
      <c r="I54" s="1652"/>
      <c r="J54" s="1652"/>
      <c r="K54" s="1652"/>
      <c r="L54" s="1652"/>
      <c r="M54" s="1652"/>
      <c r="N54" s="1652"/>
      <c r="O54" s="1652"/>
      <c r="P54" s="1652"/>
      <c r="Q54" s="1652"/>
      <c r="R54" s="1652"/>
      <c r="S54" s="1652"/>
      <c r="T54" s="1652"/>
      <c r="U54" s="1604"/>
    </row>
    <row r="55" spans="2:21" ht="18" customHeight="1">
      <c r="B55" s="1604"/>
      <c r="C55" s="2945" t="s">
        <v>695</v>
      </c>
      <c r="D55" s="2948" t="str">
        <f>D40</f>
        <v>mois</v>
      </c>
      <c r="E55" s="2949"/>
      <c r="F55" s="2949"/>
      <c r="G55" s="2949"/>
      <c r="H55" s="2949"/>
      <c r="I55" s="2949"/>
      <c r="J55" s="2949"/>
      <c r="K55" s="2949"/>
      <c r="L55" s="2948" t="str">
        <f>L40</f>
        <v>Cumul mois</v>
      </c>
      <c r="M55" s="2949"/>
      <c r="N55" s="2949"/>
      <c r="O55" s="2949"/>
      <c r="P55" s="2949"/>
      <c r="Q55" s="2949"/>
      <c r="R55" s="2949"/>
      <c r="S55" s="2949"/>
      <c r="T55" s="2974" t="str">
        <f>T40</f>
        <v>Objectif
 2024</v>
      </c>
      <c r="U55" s="1604"/>
    </row>
    <row r="56" spans="2:21" ht="15.6">
      <c r="B56" s="1604"/>
      <c r="C56" s="2946"/>
      <c r="D56" s="2948">
        <f>D41</f>
        <v>2023</v>
      </c>
      <c r="E56" s="2949"/>
      <c r="F56" s="2949"/>
      <c r="G56" s="2956"/>
      <c r="H56" s="2948">
        <f>H41</f>
        <v>2024</v>
      </c>
      <c r="I56" s="2949"/>
      <c r="J56" s="2949"/>
      <c r="K56" s="2956"/>
      <c r="L56" s="2948">
        <f>D56</f>
        <v>2023</v>
      </c>
      <c r="M56" s="2949"/>
      <c r="N56" s="2949"/>
      <c r="O56" s="2956"/>
      <c r="P56" s="2948">
        <f>H56</f>
        <v>2024</v>
      </c>
      <c r="Q56" s="2949"/>
      <c r="R56" s="2949"/>
      <c r="S56" s="2956"/>
      <c r="T56" s="2954"/>
      <c r="U56" s="1604"/>
    </row>
    <row r="57" spans="2:21" ht="15" customHeight="1">
      <c r="B57" s="1604"/>
      <c r="C57" s="2947"/>
      <c r="D57" s="1639" t="s">
        <v>56</v>
      </c>
      <c r="E57" s="1639" t="s">
        <v>21</v>
      </c>
      <c r="F57" s="1639" t="s">
        <v>199</v>
      </c>
      <c r="G57" s="1639" t="s">
        <v>20</v>
      </c>
      <c r="H57" s="1639" t="s">
        <v>56</v>
      </c>
      <c r="I57" s="1639" t="s">
        <v>21</v>
      </c>
      <c r="J57" s="1639" t="s">
        <v>199</v>
      </c>
      <c r="K57" s="1639" t="s">
        <v>20</v>
      </c>
      <c r="L57" s="1639" t="s">
        <v>56</v>
      </c>
      <c r="M57" s="1639" t="s">
        <v>21</v>
      </c>
      <c r="N57" s="1639" t="s">
        <v>199</v>
      </c>
      <c r="O57" s="1639" t="s">
        <v>20</v>
      </c>
      <c r="P57" s="1639" t="s">
        <v>56</v>
      </c>
      <c r="Q57" s="1639" t="s">
        <v>21</v>
      </c>
      <c r="R57" s="1639" t="s">
        <v>199</v>
      </c>
      <c r="S57" s="1639" t="s">
        <v>20</v>
      </c>
      <c r="T57" s="2955"/>
      <c r="U57" s="1604"/>
    </row>
    <row r="58" spans="2:21">
      <c r="B58" s="1604"/>
      <c r="C58" s="1628" t="s">
        <v>6</v>
      </c>
      <c r="D58" s="1629">
        <f>Clientele!B21</f>
        <v>234124</v>
      </c>
      <c r="E58" s="1629">
        <f>Clientele!C21</f>
        <v>390</v>
      </c>
      <c r="F58" s="1629">
        <f>Clientele!D21</f>
        <v>6</v>
      </c>
      <c r="G58" s="1651">
        <f>SUM(D58:F58)</f>
        <v>234520</v>
      </c>
      <c r="H58" s="1629">
        <f>Clientele!E21</f>
        <v>251190</v>
      </c>
      <c r="I58" s="1629">
        <f>Clientele!F21</f>
        <v>386</v>
      </c>
      <c r="J58" s="1629">
        <f>Clientele!G21</f>
        <v>6</v>
      </c>
      <c r="K58" s="1651">
        <f>SUM(H58:J58)</f>
        <v>251582</v>
      </c>
      <c r="L58" s="1629">
        <f>D58</f>
        <v>234124</v>
      </c>
      <c r="M58" s="1629">
        <f>E58</f>
        <v>390</v>
      </c>
      <c r="N58" s="1629">
        <f>F58</f>
        <v>6</v>
      </c>
      <c r="O58" s="1651">
        <f>SUM(L58:N58)</f>
        <v>234520</v>
      </c>
      <c r="P58" s="1629">
        <f>H58</f>
        <v>251190</v>
      </c>
      <c r="Q58" s="1629">
        <f t="shared" ref="Q58:Q67" si="26">I58</f>
        <v>386</v>
      </c>
      <c r="R58" s="1629">
        <f t="shared" ref="R58:R67" si="27">J58</f>
        <v>6</v>
      </c>
      <c r="S58" s="1651">
        <f>SUM(P58:R58)</f>
        <v>251582</v>
      </c>
      <c r="T58" s="1616">
        <v>244619</v>
      </c>
      <c r="U58" s="1604"/>
    </row>
    <row r="59" spans="2:21">
      <c r="B59" s="1604"/>
      <c r="C59" s="1628" t="s">
        <v>7</v>
      </c>
      <c r="D59" s="1629">
        <f>Clientele!B22</f>
        <v>163222</v>
      </c>
      <c r="E59" s="1629">
        <f>Clientele!C22</f>
        <v>232</v>
      </c>
      <c r="F59" s="1629">
        <f>Clientele!D22</f>
        <v>9</v>
      </c>
      <c r="G59" s="1651">
        <f t="shared" ref="G59:G67" si="28">SUM(D59:F59)</f>
        <v>163463</v>
      </c>
      <c r="H59" s="1629">
        <f>Clientele!E22</f>
        <v>171971</v>
      </c>
      <c r="I59" s="1629">
        <f>Clientele!F22</f>
        <v>241</v>
      </c>
      <c r="J59" s="1629">
        <f>Clientele!G22</f>
        <v>9</v>
      </c>
      <c r="K59" s="1651">
        <f t="shared" ref="K59:K67" si="29">SUM(H59:J59)</f>
        <v>172221</v>
      </c>
      <c r="L59" s="1629">
        <f t="shared" ref="L59:L67" si="30">D59</f>
        <v>163222</v>
      </c>
      <c r="M59" s="1629">
        <f t="shared" ref="M59:M67" si="31">E59</f>
        <v>232</v>
      </c>
      <c r="N59" s="1629">
        <f t="shared" ref="N59:N67" si="32">F59</f>
        <v>9</v>
      </c>
      <c r="O59" s="1651">
        <f t="shared" ref="O59:O67" si="33">SUM(L59:N59)</f>
        <v>163463</v>
      </c>
      <c r="P59" s="1629">
        <f t="shared" ref="P59:P67" si="34">H59</f>
        <v>171971</v>
      </c>
      <c r="Q59" s="1629">
        <f t="shared" si="26"/>
        <v>241</v>
      </c>
      <c r="R59" s="1629">
        <f t="shared" si="27"/>
        <v>9</v>
      </c>
      <c r="S59" s="1651">
        <f t="shared" ref="S59:S67" si="35">SUM(P59:R59)</f>
        <v>172221</v>
      </c>
      <c r="T59" s="1616">
        <v>175008</v>
      </c>
      <c r="U59" s="1604"/>
    </row>
    <row r="60" spans="2:21">
      <c r="B60" s="1604"/>
      <c r="C60" s="1628" t="s">
        <v>8</v>
      </c>
      <c r="D60" s="1629">
        <f>Clientele!B23</f>
        <v>148478</v>
      </c>
      <c r="E60" s="1629">
        <f>Clientele!C23</f>
        <v>167</v>
      </c>
      <c r="F60" s="1629">
        <f>Clientele!D23</f>
        <v>3</v>
      </c>
      <c r="G60" s="1651">
        <f t="shared" si="28"/>
        <v>148648</v>
      </c>
      <c r="H60" s="1629">
        <f>Clientele!E23</f>
        <v>162751</v>
      </c>
      <c r="I60" s="1629">
        <f>Clientele!F23</f>
        <v>179</v>
      </c>
      <c r="J60" s="1629">
        <f>Clientele!G23</f>
        <v>3</v>
      </c>
      <c r="K60" s="1651">
        <f t="shared" si="29"/>
        <v>162933</v>
      </c>
      <c r="L60" s="1629">
        <f t="shared" si="30"/>
        <v>148478</v>
      </c>
      <c r="M60" s="1629">
        <f t="shared" si="31"/>
        <v>167</v>
      </c>
      <c r="N60" s="1629">
        <f t="shared" si="32"/>
        <v>3</v>
      </c>
      <c r="O60" s="1651">
        <f t="shared" si="33"/>
        <v>148648</v>
      </c>
      <c r="P60" s="1629">
        <f t="shared" si="34"/>
        <v>162751</v>
      </c>
      <c r="Q60" s="1629">
        <f t="shared" si="26"/>
        <v>179</v>
      </c>
      <c r="R60" s="1629">
        <f t="shared" si="27"/>
        <v>3</v>
      </c>
      <c r="S60" s="1651">
        <f t="shared" si="35"/>
        <v>162933</v>
      </c>
      <c r="T60" s="1616">
        <v>154423</v>
      </c>
      <c r="U60" s="1604"/>
    </row>
    <row r="61" spans="2:21">
      <c r="B61" s="1604"/>
      <c r="C61" s="1628" t="s">
        <v>4</v>
      </c>
      <c r="D61" s="1629">
        <f>Clientele!B24</f>
        <v>306958</v>
      </c>
      <c r="E61" s="1629">
        <f>Clientele!C24</f>
        <v>262</v>
      </c>
      <c r="F61" s="1629">
        <f>Clientele!D24</f>
        <v>8</v>
      </c>
      <c r="G61" s="1651">
        <f t="shared" si="28"/>
        <v>307228</v>
      </c>
      <c r="H61" s="1629">
        <f>Clientele!E24</f>
        <v>322419</v>
      </c>
      <c r="I61" s="1629">
        <f>Clientele!F24</f>
        <v>280</v>
      </c>
      <c r="J61" s="1629">
        <f>Clientele!G24</f>
        <v>9</v>
      </c>
      <c r="K61" s="1651">
        <f t="shared" si="29"/>
        <v>322708</v>
      </c>
      <c r="L61" s="1629">
        <f t="shared" si="30"/>
        <v>306958</v>
      </c>
      <c r="M61" s="1629">
        <f t="shared" si="31"/>
        <v>262</v>
      </c>
      <c r="N61" s="1629">
        <f t="shared" si="32"/>
        <v>8</v>
      </c>
      <c r="O61" s="1651">
        <f t="shared" si="33"/>
        <v>307228</v>
      </c>
      <c r="P61" s="1629">
        <f t="shared" si="34"/>
        <v>322419</v>
      </c>
      <c r="Q61" s="1629">
        <f t="shared" si="26"/>
        <v>280</v>
      </c>
      <c r="R61" s="1629">
        <f t="shared" si="27"/>
        <v>9</v>
      </c>
      <c r="S61" s="1651">
        <f t="shared" si="35"/>
        <v>322708</v>
      </c>
      <c r="T61" s="1616">
        <v>335615</v>
      </c>
      <c r="U61" s="1604"/>
    </row>
    <row r="62" spans="2:21">
      <c r="B62" s="1604"/>
      <c r="C62" s="1628" t="s">
        <v>3</v>
      </c>
      <c r="D62" s="1629">
        <f>Clientele!B25</f>
        <v>193089</v>
      </c>
      <c r="E62" s="1629">
        <f>Clientele!C25</f>
        <v>176</v>
      </c>
      <c r="F62" s="1629">
        <f>Clientele!D25</f>
        <v>2</v>
      </c>
      <c r="G62" s="1651">
        <f t="shared" si="28"/>
        <v>193267</v>
      </c>
      <c r="H62" s="1629">
        <f>Clientele!E25</f>
        <v>199287</v>
      </c>
      <c r="I62" s="1629">
        <f>Clientele!F25</f>
        <v>182</v>
      </c>
      <c r="J62" s="1629">
        <f>Clientele!G25</f>
        <v>2</v>
      </c>
      <c r="K62" s="1651">
        <f t="shared" si="29"/>
        <v>199471</v>
      </c>
      <c r="L62" s="1629">
        <f t="shared" si="30"/>
        <v>193089</v>
      </c>
      <c r="M62" s="1629">
        <f t="shared" si="31"/>
        <v>176</v>
      </c>
      <c r="N62" s="1629">
        <f t="shared" si="32"/>
        <v>2</v>
      </c>
      <c r="O62" s="1651">
        <f t="shared" si="33"/>
        <v>193267</v>
      </c>
      <c r="P62" s="1629">
        <f t="shared" si="34"/>
        <v>199287</v>
      </c>
      <c r="Q62" s="1629">
        <f t="shared" si="26"/>
        <v>182</v>
      </c>
      <c r="R62" s="1629">
        <f t="shared" si="27"/>
        <v>2</v>
      </c>
      <c r="S62" s="1651">
        <f t="shared" si="35"/>
        <v>199471</v>
      </c>
      <c r="T62" s="1616">
        <v>205554</v>
      </c>
      <c r="U62" s="1604"/>
    </row>
    <row r="63" spans="2:21">
      <c r="B63" s="1604"/>
      <c r="C63" s="1628" t="s">
        <v>397</v>
      </c>
      <c r="D63" s="1629">
        <f>Clientele!B26</f>
        <v>121343</v>
      </c>
      <c r="E63" s="1629">
        <f>Clientele!C26</f>
        <v>121</v>
      </c>
      <c r="F63" s="1629">
        <f>Clientele!D26</f>
        <v>3</v>
      </c>
      <c r="G63" s="1651">
        <f t="shared" si="28"/>
        <v>121467</v>
      </c>
      <c r="H63" s="1629">
        <f>Clientele!E26</f>
        <v>130473</v>
      </c>
      <c r="I63" s="1629">
        <f>Clientele!F26</f>
        <v>130</v>
      </c>
      <c r="J63" s="1629">
        <f>Clientele!G26</f>
        <v>3</v>
      </c>
      <c r="K63" s="1651">
        <f t="shared" si="29"/>
        <v>130606</v>
      </c>
      <c r="L63" s="1629">
        <f t="shared" si="30"/>
        <v>121343</v>
      </c>
      <c r="M63" s="1629">
        <f t="shared" si="31"/>
        <v>121</v>
      </c>
      <c r="N63" s="1629">
        <f t="shared" si="32"/>
        <v>3</v>
      </c>
      <c r="O63" s="1651">
        <f t="shared" si="33"/>
        <v>121467</v>
      </c>
      <c r="P63" s="1629">
        <f t="shared" si="34"/>
        <v>130473</v>
      </c>
      <c r="Q63" s="1629">
        <f t="shared" si="26"/>
        <v>130</v>
      </c>
      <c r="R63" s="1629">
        <f t="shared" si="27"/>
        <v>3</v>
      </c>
      <c r="S63" s="1651">
        <f t="shared" si="35"/>
        <v>130606</v>
      </c>
      <c r="T63" s="1616">
        <v>128416</v>
      </c>
      <c r="U63" s="1604"/>
    </row>
    <row r="64" spans="2:21">
      <c r="B64" s="1604"/>
      <c r="C64" s="1628" t="s">
        <v>399</v>
      </c>
      <c r="D64" s="1629">
        <f>Clientele!B27</f>
        <v>172322</v>
      </c>
      <c r="E64" s="1629">
        <f>Clientele!C27</f>
        <v>254</v>
      </c>
      <c r="F64" s="1629">
        <f>Clientele!D27</f>
        <v>17</v>
      </c>
      <c r="G64" s="1651">
        <f t="shared" si="28"/>
        <v>172593</v>
      </c>
      <c r="H64" s="1629">
        <f>Clientele!E27</f>
        <v>188686</v>
      </c>
      <c r="I64" s="1629">
        <f>Clientele!F27</f>
        <v>269</v>
      </c>
      <c r="J64" s="1629">
        <f>Clientele!G27</f>
        <v>16</v>
      </c>
      <c r="K64" s="1651">
        <f t="shared" si="29"/>
        <v>188971</v>
      </c>
      <c r="L64" s="1629">
        <f t="shared" si="30"/>
        <v>172322</v>
      </c>
      <c r="M64" s="1629">
        <f t="shared" si="31"/>
        <v>254</v>
      </c>
      <c r="N64" s="1629">
        <f t="shared" si="32"/>
        <v>17</v>
      </c>
      <c r="O64" s="1651">
        <f t="shared" si="33"/>
        <v>172593</v>
      </c>
      <c r="P64" s="1629">
        <f t="shared" si="34"/>
        <v>188686</v>
      </c>
      <c r="Q64" s="1629">
        <f t="shared" si="26"/>
        <v>269</v>
      </c>
      <c r="R64" s="1629">
        <f t="shared" si="27"/>
        <v>16</v>
      </c>
      <c r="S64" s="1651">
        <f t="shared" si="35"/>
        <v>188971</v>
      </c>
      <c r="T64" s="1616">
        <v>183837</v>
      </c>
      <c r="U64" s="1604"/>
    </row>
    <row r="65" spans="2:21">
      <c r="B65" s="1604"/>
      <c r="C65" s="1628" t="s">
        <v>883</v>
      </c>
      <c r="D65" s="1629">
        <f>Clientele!B28</f>
        <v>121272</v>
      </c>
      <c r="E65" s="1629">
        <f>Clientele!C28</f>
        <v>137</v>
      </c>
      <c r="F65" s="1629">
        <f>Clientele!D28</f>
        <v>9</v>
      </c>
      <c r="G65" s="1651">
        <f t="shared" si="28"/>
        <v>121418</v>
      </c>
      <c r="H65" s="1629">
        <f>Clientele!E28</f>
        <v>129507</v>
      </c>
      <c r="I65" s="1629">
        <f>Clientele!F28</f>
        <v>148</v>
      </c>
      <c r="J65" s="1629">
        <f>Clientele!G28</f>
        <v>9</v>
      </c>
      <c r="K65" s="1651">
        <f t="shared" si="29"/>
        <v>129664</v>
      </c>
      <c r="L65" s="1629">
        <f t="shared" si="30"/>
        <v>121272</v>
      </c>
      <c r="M65" s="1629">
        <f t="shared" si="31"/>
        <v>137</v>
      </c>
      <c r="N65" s="1629">
        <f t="shared" si="32"/>
        <v>9</v>
      </c>
      <c r="O65" s="1651">
        <f t="shared" si="33"/>
        <v>121418</v>
      </c>
      <c r="P65" s="1629">
        <f t="shared" si="34"/>
        <v>129507</v>
      </c>
      <c r="Q65" s="1629">
        <f t="shared" si="26"/>
        <v>148</v>
      </c>
      <c r="R65" s="1629">
        <f t="shared" si="27"/>
        <v>9</v>
      </c>
      <c r="S65" s="1651">
        <f t="shared" si="35"/>
        <v>129664</v>
      </c>
      <c r="T65" s="1616">
        <v>128218</v>
      </c>
      <c r="U65" s="1604"/>
    </row>
    <row r="66" spans="2:21">
      <c r="B66" s="1604"/>
      <c r="C66" s="1628" t="s">
        <v>884</v>
      </c>
      <c r="D66" s="1629">
        <f>Clientele!B29</f>
        <v>153417</v>
      </c>
      <c r="E66" s="1629">
        <f>Clientele!C29</f>
        <v>164</v>
      </c>
      <c r="F66" s="1629">
        <f>Clientele!D29</f>
        <v>11</v>
      </c>
      <c r="G66" s="1651">
        <f t="shared" si="28"/>
        <v>153592</v>
      </c>
      <c r="H66" s="1629">
        <f>Clientele!E29</f>
        <v>165687</v>
      </c>
      <c r="I66" s="1629">
        <f>Clientele!F29</f>
        <v>171</v>
      </c>
      <c r="J66" s="1629">
        <f>Clientele!G29</f>
        <v>11</v>
      </c>
      <c r="K66" s="1651">
        <f t="shared" si="29"/>
        <v>165869</v>
      </c>
      <c r="L66" s="1629">
        <f t="shared" si="30"/>
        <v>153417</v>
      </c>
      <c r="M66" s="1629">
        <f t="shared" si="31"/>
        <v>164</v>
      </c>
      <c r="N66" s="1629">
        <f t="shared" si="32"/>
        <v>11</v>
      </c>
      <c r="O66" s="1651">
        <f t="shared" si="33"/>
        <v>153592</v>
      </c>
      <c r="P66" s="1629">
        <f t="shared" si="34"/>
        <v>165687</v>
      </c>
      <c r="Q66" s="1629">
        <f t="shared" si="26"/>
        <v>171</v>
      </c>
      <c r="R66" s="1629">
        <f t="shared" si="27"/>
        <v>11</v>
      </c>
      <c r="S66" s="1651">
        <f t="shared" si="35"/>
        <v>165869</v>
      </c>
      <c r="T66" s="1616">
        <v>161313</v>
      </c>
      <c r="U66" s="1604"/>
    </row>
    <row r="67" spans="2:21">
      <c r="B67" s="1604"/>
      <c r="C67" s="1628" t="s">
        <v>885</v>
      </c>
      <c r="D67" s="1629">
        <f>Clientele!B30</f>
        <v>64429</v>
      </c>
      <c r="E67" s="1629">
        <f>Clientele!C30</f>
        <v>33</v>
      </c>
      <c r="F67" s="1629">
        <f>Clientele!D30</f>
        <v>1</v>
      </c>
      <c r="G67" s="1651">
        <f t="shared" si="28"/>
        <v>64463</v>
      </c>
      <c r="H67" s="1629">
        <f>Clientele!E30</f>
        <v>70383</v>
      </c>
      <c r="I67" s="1629">
        <f>Clientele!F30</f>
        <v>35</v>
      </c>
      <c r="J67" s="1629">
        <f>Clientele!G30</f>
        <v>1</v>
      </c>
      <c r="K67" s="1651">
        <f t="shared" si="29"/>
        <v>70419</v>
      </c>
      <c r="L67" s="1629">
        <f t="shared" si="30"/>
        <v>64429</v>
      </c>
      <c r="M67" s="1629">
        <f t="shared" si="31"/>
        <v>33</v>
      </c>
      <c r="N67" s="1629">
        <f t="shared" si="32"/>
        <v>1</v>
      </c>
      <c r="O67" s="1651">
        <f t="shared" si="33"/>
        <v>64463</v>
      </c>
      <c r="P67" s="1629">
        <f t="shared" si="34"/>
        <v>70383</v>
      </c>
      <c r="Q67" s="1629">
        <f t="shared" si="26"/>
        <v>35</v>
      </c>
      <c r="R67" s="1629">
        <f t="shared" si="27"/>
        <v>1</v>
      </c>
      <c r="S67" s="1651">
        <f t="shared" si="35"/>
        <v>70419</v>
      </c>
      <c r="T67" s="1616">
        <v>67770</v>
      </c>
      <c r="U67" s="1604"/>
    </row>
    <row r="68" spans="2:21">
      <c r="B68" s="1604"/>
      <c r="C68" s="1633" t="s">
        <v>20</v>
      </c>
      <c r="D68" s="1639">
        <f t="shared" ref="D68:T68" si="36">SUM(D58:D67)</f>
        <v>1678654</v>
      </c>
      <c r="E68" s="1639">
        <f t="shared" si="36"/>
        <v>1936</v>
      </c>
      <c r="F68" s="1639">
        <f t="shared" si="36"/>
        <v>69</v>
      </c>
      <c r="G68" s="1639">
        <f t="shared" si="36"/>
        <v>1680659</v>
      </c>
      <c r="H68" s="1639">
        <f t="shared" si="36"/>
        <v>1792354</v>
      </c>
      <c r="I68" s="1639">
        <f t="shared" si="36"/>
        <v>2021</v>
      </c>
      <c r="J68" s="1639">
        <f t="shared" si="36"/>
        <v>69</v>
      </c>
      <c r="K68" s="1639">
        <f t="shared" si="36"/>
        <v>1794444</v>
      </c>
      <c r="L68" s="1639">
        <f t="shared" si="36"/>
        <v>1678654</v>
      </c>
      <c r="M68" s="1639">
        <f t="shared" si="36"/>
        <v>1936</v>
      </c>
      <c r="N68" s="1639">
        <f t="shared" si="36"/>
        <v>69</v>
      </c>
      <c r="O68" s="1639">
        <f t="shared" si="36"/>
        <v>1680659</v>
      </c>
      <c r="P68" s="1639">
        <f t="shared" si="36"/>
        <v>1792354</v>
      </c>
      <c r="Q68" s="1639">
        <f t="shared" si="36"/>
        <v>2021</v>
      </c>
      <c r="R68" s="1639">
        <f t="shared" si="36"/>
        <v>69</v>
      </c>
      <c r="S68" s="1639">
        <f t="shared" si="36"/>
        <v>1794444</v>
      </c>
      <c r="T68" s="1639">
        <f t="shared" si="36"/>
        <v>1784773</v>
      </c>
      <c r="U68" s="1604"/>
    </row>
    <row r="69" spans="2:21" ht="15.6">
      <c r="B69" s="1604"/>
      <c r="C69" s="1604"/>
      <c r="D69" s="1652" t="s">
        <v>794</v>
      </c>
      <c r="E69" s="1652"/>
      <c r="F69" s="1652"/>
      <c r="G69" s="1652"/>
      <c r="H69" s="1652"/>
      <c r="I69" s="1652"/>
      <c r="J69" s="1652"/>
      <c r="K69" s="1652"/>
      <c r="L69" s="1652"/>
      <c r="M69" s="1652"/>
      <c r="N69" s="1652"/>
      <c r="O69" s="1652"/>
      <c r="P69" s="1652"/>
      <c r="Q69" s="1652"/>
      <c r="R69" s="1652"/>
      <c r="S69" s="1652"/>
      <c r="T69" s="1652"/>
      <c r="U69" s="1604"/>
    </row>
    <row r="70" spans="2:21" ht="18" customHeight="1">
      <c r="B70" s="1604"/>
      <c r="C70" s="2945" t="s">
        <v>695</v>
      </c>
      <c r="D70" s="2948" t="str">
        <f>D55</f>
        <v>mois</v>
      </c>
      <c r="E70" s="2949"/>
      <c r="F70" s="2949"/>
      <c r="G70" s="2949"/>
      <c r="H70" s="2949"/>
      <c r="I70" s="2949"/>
      <c r="J70" s="2949"/>
      <c r="K70" s="2949"/>
      <c r="L70" s="2948" t="str">
        <f>L55</f>
        <v>Cumul mois</v>
      </c>
      <c r="M70" s="2949"/>
      <c r="N70" s="2949"/>
      <c r="O70" s="2949"/>
      <c r="P70" s="2949"/>
      <c r="Q70" s="2949"/>
      <c r="R70" s="2949"/>
      <c r="S70" s="2949"/>
      <c r="T70" s="2953" t="str">
        <f>T55</f>
        <v>Objectif
 2024</v>
      </c>
      <c r="U70" s="1604"/>
    </row>
    <row r="71" spans="2:21" ht="15.6">
      <c r="B71" s="1604"/>
      <c r="C71" s="2946"/>
      <c r="D71" s="2948">
        <f>D56</f>
        <v>2023</v>
      </c>
      <c r="E71" s="2949"/>
      <c r="F71" s="2949"/>
      <c r="G71" s="2956"/>
      <c r="H71" s="2948">
        <f>H56</f>
        <v>2024</v>
      </c>
      <c r="I71" s="2949"/>
      <c r="J71" s="2949"/>
      <c r="K71" s="2956"/>
      <c r="L71" s="2948">
        <f>D71</f>
        <v>2023</v>
      </c>
      <c r="M71" s="2949"/>
      <c r="N71" s="2949"/>
      <c r="O71" s="2956"/>
      <c r="P71" s="2948">
        <f>H71</f>
        <v>2024</v>
      </c>
      <c r="Q71" s="2949"/>
      <c r="R71" s="2949"/>
      <c r="S71" s="2956"/>
      <c r="T71" s="2954"/>
      <c r="U71" s="1604"/>
    </row>
    <row r="72" spans="2:21" ht="15" customHeight="1">
      <c r="B72" s="1604"/>
      <c r="C72" s="2947"/>
      <c r="D72" s="1639" t="s">
        <v>56</v>
      </c>
      <c r="E72" s="1639" t="s">
        <v>21</v>
      </c>
      <c r="F72" s="1639" t="s">
        <v>199</v>
      </c>
      <c r="G72" s="1639" t="s">
        <v>20</v>
      </c>
      <c r="H72" s="1639" t="s">
        <v>56</v>
      </c>
      <c r="I72" s="1639" t="s">
        <v>21</v>
      </c>
      <c r="J72" s="1639" t="s">
        <v>199</v>
      </c>
      <c r="K72" s="1639" t="s">
        <v>20</v>
      </c>
      <c r="L72" s="1639" t="s">
        <v>56</v>
      </c>
      <c r="M72" s="1639" t="s">
        <v>21</v>
      </c>
      <c r="N72" s="1639" t="s">
        <v>199</v>
      </c>
      <c r="O72" s="1639" t="s">
        <v>20</v>
      </c>
      <c r="P72" s="1639" t="s">
        <v>56</v>
      </c>
      <c r="Q72" s="1639" t="s">
        <v>21</v>
      </c>
      <c r="R72" s="1639" t="s">
        <v>199</v>
      </c>
      <c r="S72" s="1639" t="s">
        <v>20</v>
      </c>
      <c r="T72" s="2955"/>
      <c r="U72" s="1604"/>
    </row>
    <row r="73" spans="2:21">
      <c r="B73" s="1604"/>
      <c r="C73" s="1628" t="s">
        <v>6</v>
      </c>
      <c r="D73" s="1629">
        <f>gaz!BD69</f>
        <v>175</v>
      </c>
      <c r="E73" s="1629">
        <f>gaz!BE69</f>
        <v>0</v>
      </c>
      <c r="F73" s="1629">
        <f>'HT-HP 2'!AD68</f>
        <v>0</v>
      </c>
      <c r="G73" s="1651">
        <f>SUM(D73:F73)</f>
        <v>175</v>
      </c>
      <c r="H73" s="1629">
        <f>gaz!BD84</f>
        <v>187</v>
      </c>
      <c r="I73" s="1629">
        <f>gaz!BE84</f>
        <v>0</v>
      </c>
      <c r="J73" s="1629">
        <f>'HT-HP 2'!AD83</f>
        <v>0</v>
      </c>
      <c r="K73" s="1651">
        <f>SUM(H73:J73)</f>
        <v>187</v>
      </c>
      <c r="L73" s="1629">
        <f>gaz!AZ69</f>
        <v>775</v>
      </c>
      <c r="M73" s="1629">
        <f>gaz!BA69</f>
        <v>3</v>
      </c>
      <c r="N73" s="1629">
        <f>'HT-HP 2'!AA68</f>
        <v>0</v>
      </c>
      <c r="O73" s="1651">
        <f>SUM(L73:N73)</f>
        <v>778</v>
      </c>
      <c r="P73" s="1629">
        <f>gaz!AZ84</f>
        <v>1358</v>
      </c>
      <c r="Q73" s="1629">
        <f>gaz!BA84</f>
        <v>8</v>
      </c>
      <c r="R73" s="1629">
        <f>'HT-HP 2'!AA83</f>
        <v>0</v>
      </c>
      <c r="S73" s="1651">
        <f>SUM(P73:R73)</f>
        <v>1366</v>
      </c>
      <c r="T73" s="1616"/>
      <c r="U73" s="1604"/>
    </row>
    <row r="74" spans="2:21">
      <c r="B74" s="1604"/>
      <c r="C74" s="1628" t="s">
        <v>7</v>
      </c>
      <c r="D74" s="1629">
        <f>gaz!BD70</f>
        <v>249</v>
      </c>
      <c r="E74" s="1629">
        <f>gaz!BE70</f>
        <v>0</v>
      </c>
      <c r="F74" s="1629">
        <f>'HT-HP 2'!AD69</f>
        <v>0</v>
      </c>
      <c r="G74" s="1651">
        <f t="shared" ref="G74:G82" si="37">SUM(D74:F74)</f>
        <v>249</v>
      </c>
      <c r="H74" s="1629">
        <f>gaz!BD85</f>
        <v>36</v>
      </c>
      <c r="I74" s="1629">
        <f>gaz!BE85</f>
        <v>0</v>
      </c>
      <c r="J74" s="1629">
        <f>'HT-HP 2'!AD84</f>
        <v>0</v>
      </c>
      <c r="K74" s="1651">
        <f t="shared" ref="K74:K82" si="38">SUM(H74:J74)</f>
        <v>36</v>
      </c>
      <c r="L74" s="1629">
        <f>gaz!AZ70</f>
        <v>1091</v>
      </c>
      <c r="M74" s="1629">
        <f>gaz!BA70</f>
        <v>0</v>
      </c>
      <c r="N74" s="1629">
        <f>'HT-HP 2'!AA69</f>
        <v>0</v>
      </c>
      <c r="O74" s="1651">
        <f t="shared" ref="O74:O82" si="39">SUM(L74:N74)</f>
        <v>1091</v>
      </c>
      <c r="P74" s="1629">
        <f>gaz!AZ85</f>
        <v>727</v>
      </c>
      <c r="Q74" s="1629">
        <f>gaz!BA85</f>
        <v>0</v>
      </c>
      <c r="R74" s="1629">
        <f>'HT-HP 2'!AA84</f>
        <v>0</v>
      </c>
      <c r="S74" s="1651">
        <f t="shared" ref="S74:S82" si="40">SUM(P74:R74)</f>
        <v>727</v>
      </c>
      <c r="T74" s="1616"/>
      <c r="U74" s="1604"/>
    </row>
    <row r="75" spans="2:21">
      <c r="B75" s="1604"/>
      <c r="C75" s="1628" t="s">
        <v>8</v>
      </c>
      <c r="D75" s="1629">
        <f>gaz!BD71</f>
        <v>73</v>
      </c>
      <c r="E75" s="1629">
        <f>gaz!BE71</f>
        <v>1</v>
      </c>
      <c r="F75" s="1629">
        <f>'HT-HP 2'!AD70</f>
        <v>0</v>
      </c>
      <c r="G75" s="1651">
        <f t="shared" si="37"/>
        <v>74</v>
      </c>
      <c r="H75" s="1629">
        <f>gaz!BD86</f>
        <v>29</v>
      </c>
      <c r="I75" s="1629">
        <f>gaz!BE86</f>
        <v>0</v>
      </c>
      <c r="J75" s="1629">
        <f>'HT-HP 2'!AD85</f>
        <v>0</v>
      </c>
      <c r="K75" s="1651">
        <f t="shared" si="38"/>
        <v>29</v>
      </c>
      <c r="L75" s="1629">
        <f>gaz!AZ71</f>
        <v>460</v>
      </c>
      <c r="M75" s="1629">
        <f>gaz!BA71</f>
        <v>2</v>
      </c>
      <c r="N75" s="1629">
        <f>'HT-HP 2'!AA70</f>
        <v>0</v>
      </c>
      <c r="O75" s="1651">
        <f t="shared" si="39"/>
        <v>462</v>
      </c>
      <c r="P75" s="1629">
        <f>gaz!AZ86</f>
        <v>661</v>
      </c>
      <c r="Q75" s="1629">
        <f>gaz!BA86</f>
        <v>0</v>
      </c>
      <c r="R75" s="1629">
        <f>'HT-HP 2'!AA85</f>
        <v>0</v>
      </c>
      <c r="S75" s="1651">
        <f t="shared" si="40"/>
        <v>661</v>
      </c>
      <c r="T75" s="1616"/>
      <c r="U75" s="1604"/>
    </row>
    <row r="76" spans="2:21">
      <c r="B76" s="1604"/>
      <c r="C76" s="1628" t="s">
        <v>4</v>
      </c>
      <c r="D76" s="1629">
        <f>gaz!BD72</f>
        <v>244</v>
      </c>
      <c r="E76" s="1629">
        <f>gaz!BE72</f>
        <v>0</v>
      </c>
      <c r="F76" s="1629">
        <f>'HT-HP 2'!AD71</f>
        <v>0</v>
      </c>
      <c r="G76" s="1651">
        <f t="shared" si="37"/>
        <v>244</v>
      </c>
      <c r="H76" s="1629">
        <f>gaz!BD87</f>
        <v>101</v>
      </c>
      <c r="I76" s="1629">
        <f>gaz!BE87</f>
        <v>0</v>
      </c>
      <c r="J76" s="1629">
        <f>'HT-HP 2'!AD86</f>
        <v>0</v>
      </c>
      <c r="K76" s="1651">
        <f t="shared" si="38"/>
        <v>101</v>
      </c>
      <c r="L76" s="1629">
        <f>gaz!AZ72</f>
        <v>1417</v>
      </c>
      <c r="M76" s="1629">
        <f>gaz!BA72</f>
        <v>0</v>
      </c>
      <c r="N76" s="1629">
        <f>'HT-HP 2'!AA71</f>
        <v>0</v>
      </c>
      <c r="O76" s="1651">
        <f t="shared" si="39"/>
        <v>1417</v>
      </c>
      <c r="P76" s="1629">
        <f>gaz!AZ87</f>
        <v>1889</v>
      </c>
      <c r="Q76" s="1629">
        <f>gaz!BA87</f>
        <v>0</v>
      </c>
      <c r="R76" s="1629">
        <f>'HT-HP 2'!AA86</f>
        <v>0</v>
      </c>
      <c r="S76" s="1651">
        <f t="shared" si="40"/>
        <v>1889</v>
      </c>
      <c r="T76" s="1616"/>
      <c r="U76" s="1604"/>
    </row>
    <row r="77" spans="2:21">
      <c r="B77" s="1604"/>
      <c r="C77" s="1628" t="s">
        <v>3</v>
      </c>
      <c r="D77" s="1629">
        <f>gaz!BD73</f>
        <v>53</v>
      </c>
      <c r="E77" s="1629">
        <f>gaz!BE73</f>
        <v>0</v>
      </c>
      <c r="F77" s="1629">
        <f>'HT-HP 2'!AD72</f>
        <v>0</v>
      </c>
      <c r="G77" s="1651">
        <f t="shared" si="37"/>
        <v>53</v>
      </c>
      <c r="H77" s="1629">
        <f>gaz!BD88</f>
        <v>12</v>
      </c>
      <c r="I77" s="1629">
        <f>gaz!BE88</f>
        <v>0</v>
      </c>
      <c r="J77" s="1629">
        <f>'HT-HP 2'!AD87</f>
        <v>0</v>
      </c>
      <c r="K77" s="1651">
        <f t="shared" si="38"/>
        <v>12</v>
      </c>
      <c r="L77" s="1629">
        <f>gaz!AZ73</f>
        <v>406</v>
      </c>
      <c r="M77" s="1629">
        <f>gaz!BA73</f>
        <v>0</v>
      </c>
      <c r="N77" s="1629">
        <f>'HT-HP 2'!AA72</f>
        <v>0</v>
      </c>
      <c r="O77" s="1651">
        <f t="shared" si="39"/>
        <v>406</v>
      </c>
      <c r="P77" s="1629">
        <f>gaz!AZ88</f>
        <v>156</v>
      </c>
      <c r="Q77" s="1629">
        <f>gaz!BA88</f>
        <v>0</v>
      </c>
      <c r="R77" s="1629">
        <f>'HT-HP 2'!AA87</f>
        <v>0</v>
      </c>
      <c r="S77" s="1651">
        <f t="shared" si="40"/>
        <v>156</v>
      </c>
      <c r="T77" s="1616"/>
      <c r="U77" s="1604"/>
    </row>
    <row r="78" spans="2:21">
      <c r="B78" s="1604"/>
      <c r="C78" s="1628" t="s">
        <v>397</v>
      </c>
      <c r="D78" s="1629">
        <f>gaz!BD74</f>
        <v>31</v>
      </c>
      <c r="E78" s="1629">
        <f>gaz!BE74</f>
        <v>0</v>
      </c>
      <c r="F78" s="1629">
        <f>'HT-HP 2'!AD73</f>
        <v>1</v>
      </c>
      <c r="G78" s="1651">
        <f t="shared" si="37"/>
        <v>32</v>
      </c>
      <c r="H78" s="1629">
        <f>gaz!BD89</f>
        <v>47</v>
      </c>
      <c r="I78" s="1629">
        <f>gaz!BE89</f>
        <v>0</v>
      </c>
      <c r="J78" s="1629">
        <f>'HT-HP 2'!AD88</f>
        <v>0</v>
      </c>
      <c r="K78" s="1651">
        <f t="shared" si="38"/>
        <v>47</v>
      </c>
      <c r="L78" s="1629">
        <f>gaz!AZ74</f>
        <v>172</v>
      </c>
      <c r="M78" s="1629">
        <f>gaz!BA74</f>
        <v>2</v>
      </c>
      <c r="N78" s="1629">
        <f>'HT-HP 2'!AA73</f>
        <v>1</v>
      </c>
      <c r="O78" s="1651">
        <f t="shared" si="39"/>
        <v>175</v>
      </c>
      <c r="P78" s="1629">
        <f>gaz!AZ89</f>
        <v>210</v>
      </c>
      <c r="Q78" s="1629">
        <f>gaz!BA89</f>
        <v>0</v>
      </c>
      <c r="R78" s="1629">
        <f>'HT-HP 2'!AA88</f>
        <v>0</v>
      </c>
      <c r="S78" s="1651">
        <f t="shared" si="40"/>
        <v>210</v>
      </c>
      <c r="T78" s="1616"/>
      <c r="U78" s="1604"/>
    </row>
    <row r="79" spans="2:21">
      <c r="B79" s="1604"/>
      <c r="C79" s="1628" t="s">
        <v>399</v>
      </c>
      <c r="D79" s="1629">
        <f>gaz!BD75</f>
        <v>59</v>
      </c>
      <c r="E79" s="1629">
        <f>gaz!BE75</f>
        <v>1</v>
      </c>
      <c r="F79" s="1629">
        <f>'HT-HP 2'!AD74</f>
        <v>0</v>
      </c>
      <c r="G79" s="1651">
        <f t="shared" si="37"/>
        <v>60</v>
      </c>
      <c r="H79" s="1629">
        <f>gaz!BD90</f>
        <v>28</v>
      </c>
      <c r="I79" s="1629">
        <f>gaz!BE90</f>
        <v>0</v>
      </c>
      <c r="J79" s="1629">
        <f>'HT-HP 2'!AD89</f>
        <v>0</v>
      </c>
      <c r="K79" s="1651">
        <f t="shared" si="38"/>
        <v>28</v>
      </c>
      <c r="L79" s="1629">
        <f>gaz!AZ75</f>
        <v>300</v>
      </c>
      <c r="M79" s="1629">
        <f>gaz!BA75</f>
        <v>3</v>
      </c>
      <c r="N79" s="1629">
        <f>'HT-HP 2'!AA74</f>
        <v>0</v>
      </c>
      <c r="O79" s="1651">
        <f t="shared" si="39"/>
        <v>303</v>
      </c>
      <c r="P79" s="1629">
        <f>gaz!AZ90</f>
        <v>351</v>
      </c>
      <c r="Q79" s="1629">
        <f>gaz!BA90</f>
        <v>0</v>
      </c>
      <c r="R79" s="1629">
        <f>'HT-HP 2'!AA89</f>
        <v>1</v>
      </c>
      <c r="S79" s="1651">
        <f t="shared" si="40"/>
        <v>352</v>
      </c>
      <c r="T79" s="1616"/>
      <c r="U79" s="1604"/>
    </row>
    <row r="80" spans="2:21">
      <c r="B80" s="1604"/>
      <c r="C80" s="1628" t="s">
        <v>883</v>
      </c>
      <c r="D80" s="1629">
        <f>gaz!BD76</f>
        <v>14</v>
      </c>
      <c r="E80" s="1629">
        <f>gaz!BE76</f>
        <v>0</v>
      </c>
      <c r="F80" s="1629">
        <f>'HT-HP 2'!AD75</f>
        <v>0</v>
      </c>
      <c r="G80" s="1651">
        <f t="shared" si="37"/>
        <v>14</v>
      </c>
      <c r="H80" s="1629">
        <f>gaz!BD91</f>
        <v>5</v>
      </c>
      <c r="I80" s="1629">
        <f>gaz!BE91</f>
        <v>0</v>
      </c>
      <c r="J80" s="1629">
        <f>'HT-HP 2'!AD90</f>
        <v>0</v>
      </c>
      <c r="K80" s="1651">
        <f t="shared" si="38"/>
        <v>5</v>
      </c>
      <c r="L80" s="1629">
        <f>gaz!AZ76</f>
        <v>226</v>
      </c>
      <c r="M80" s="1629">
        <f>gaz!BA76</f>
        <v>0</v>
      </c>
      <c r="N80" s="1629">
        <f>'HT-HP 2'!AA75</f>
        <v>0</v>
      </c>
      <c r="O80" s="1651">
        <f t="shared" si="39"/>
        <v>226</v>
      </c>
      <c r="P80" s="1629">
        <f>gaz!AZ91</f>
        <v>138</v>
      </c>
      <c r="Q80" s="1629">
        <f>gaz!BA91</f>
        <v>0</v>
      </c>
      <c r="R80" s="1629">
        <f>'HT-HP 2'!AA90</f>
        <v>0</v>
      </c>
      <c r="S80" s="1651">
        <f t="shared" si="40"/>
        <v>138</v>
      </c>
      <c r="T80" s="1616"/>
      <c r="U80" s="1604"/>
    </row>
    <row r="81" spans="2:21">
      <c r="B81" s="1604"/>
      <c r="C81" s="1628" t="s">
        <v>884</v>
      </c>
      <c r="D81" s="1629">
        <f>gaz!BD77</f>
        <v>58</v>
      </c>
      <c r="E81" s="1629">
        <f>gaz!BE77</f>
        <v>0</v>
      </c>
      <c r="F81" s="1629">
        <f>'HT-HP 2'!AD76</f>
        <v>0</v>
      </c>
      <c r="G81" s="1651">
        <f t="shared" si="37"/>
        <v>58</v>
      </c>
      <c r="H81" s="1629">
        <f>gaz!BD92</f>
        <v>72</v>
      </c>
      <c r="I81" s="1629">
        <f>gaz!BE92</f>
        <v>0</v>
      </c>
      <c r="J81" s="1629">
        <f>'HT-HP 2'!AD91</f>
        <v>0</v>
      </c>
      <c r="K81" s="1651">
        <f t="shared" si="38"/>
        <v>72</v>
      </c>
      <c r="L81" s="1629">
        <f>gaz!AZ77</f>
        <v>443</v>
      </c>
      <c r="M81" s="1629">
        <f>gaz!BA77</f>
        <v>0</v>
      </c>
      <c r="N81" s="1629">
        <f>'HT-HP 2'!AA76</f>
        <v>0</v>
      </c>
      <c r="O81" s="1651">
        <f t="shared" si="39"/>
        <v>443</v>
      </c>
      <c r="P81" s="1629">
        <f>gaz!AZ92</f>
        <v>592</v>
      </c>
      <c r="Q81" s="1629">
        <f>gaz!BA92</f>
        <v>0</v>
      </c>
      <c r="R81" s="1629">
        <f>'HT-HP 2'!AA91</f>
        <v>0</v>
      </c>
      <c r="S81" s="1651">
        <f t="shared" si="40"/>
        <v>592</v>
      </c>
      <c r="T81" s="1616"/>
      <c r="U81" s="1604"/>
    </row>
    <row r="82" spans="2:21">
      <c r="B82" s="1604"/>
      <c r="C82" s="1628" t="s">
        <v>885</v>
      </c>
      <c r="D82" s="1629">
        <f>gaz!BD78</f>
        <v>55</v>
      </c>
      <c r="E82" s="1629">
        <f>gaz!BE78</f>
        <v>0</v>
      </c>
      <c r="F82" s="1629">
        <f>'HT-HP 2'!AD77</f>
        <v>0</v>
      </c>
      <c r="G82" s="1651">
        <f t="shared" si="37"/>
        <v>55</v>
      </c>
      <c r="H82" s="1629">
        <f>gaz!BD93</f>
        <v>7</v>
      </c>
      <c r="I82" s="1629">
        <f>gaz!BE93</f>
        <v>0</v>
      </c>
      <c r="J82" s="1629">
        <f>'HT-HP 2'!AD92</f>
        <v>0</v>
      </c>
      <c r="K82" s="1651">
        <f t="shared" si="38"/>
        <v>7</v>
      </c>
      <c r="L82" s="1629">
        <f>gaz!AZ78</f>
        <v>364</v>
      </c>
      <c r="M82" s="1629">
        <f>gaz!BA78</f>
        <v>0</v>
      </c>
      <c r="N82" s="1629">
        <f>'HT-HP 2'!AA77</f>
        <v>0</v>
      </c>
      <c r="O82" s="1651">
        <f t="shared" si="39"/>
        <v>364</v>
      </c>
      <c r="P82" s="1629">
        <f>gaz!AZ93</f>
        <v>521</v>
      </c>
      <c r="Q82" s="1629">
        <f>gaz!BA93</f>
        <v>0</v>
      </c>
      <c r="R82" s="1629">
        <f>'HT-HP 2'!AA92</f>
        <v>0</v>
      </c>
      <c r="S82" s="1651">
        <f t="shared" si="40"/>
        <v>521</v>
      </c>
      <c r="T82" s="1616"/>
      <c r="U82" s="1604"/>
    </row>
    <row r="83" spans="2:21">
      <c r="B83" s="1604"/>
      <c r="C83" s="1633" t="s">
        <v>20</v>
      </c>
      <c r="D83" s="1639">
        <f t="shared" ref="D83:S83" si="41">SUM(D73:D82)</f>
        <v>1011</v>
      </c>
      <c r="E83" s="1639">
        <f t="shared" si="41"/>
        <v>2</v>
      </c>
      <c r="F83" s="1639">
        <f t="shared" si="41"/>
        <v>1</v>
      </c>
      <c r="G83" s="1639">
        <f t="shared" si="41"/>
        <v>1014</v>
      </c>
      <c r="H83" s="1639">
        <f t="shared" si="41"/>
        <v>524</v>
      </c>
      <c r="I83" s="1639">
        <f t="shared" si="41"/>
        <v>0</v>
      </c>
      <c r="J83" s="1639">
        <f t="shared" si="41"/>
        <v>0</v>
      </c>
      <c r="K83" s="1639">
        <f t="shared" si="41"/>
        <v>524</v>
      </c>
      <c r="L83" s="1639">
        <f t="shared" si="41"/>
        <v>5654</v>
      </c>
      <c r="M83" s="1639">
        <f t="shared" si="41"/>
        <v>10</v>
      </c>
      <c r="N83" s="1639">
        <f t="shared" si="41"/>
        <v>1</v>
      </c>
      <c r="O83" s="1639">
        <f t="shared" si="41"/>
        <v>5665</v>
      </c>
      <c r="P83" s="1639">
        <f t="shared" si="41"/>
        <v>6603</v>
      </c>
      <c r="Q83" s="1639">
        <f t="shared" si="41"/>
        <v>8</v>
      </c>
      <c r="R83" s="1639">
        <f t="shared" si="41"/>
        <v>1</v>
      </c>
      <c r="S83" s="1639">
        <f t="shared" si="41"/>
        <v>6612</v>
      </c>
      <c r="T83" s="1639"/>
      <c r="U83" s="1604"/>
    </row>
    <row r="84" spans="2:21" ht="15.6">
      <c r="B84" s="1604"/>
      <c r="C84" s="1604"/>
      <c r="D84" s="1623" t="s">
        <v>804</v>
      </c>
      <c r="E84" s="1623"/>
      <c r="F84" s="1623"/>
      <c r="G84" s="1623"/>
      <c r="H84" s="1623"/>
      <c r="I84" s="1623"/>
      <c r="J84" s="1623"/>
      <c r="K84" s="1623"/>
      <c r="L84" s="1623"/>
      <c r="M84" s="1623"/>
      <c r="N84" s="1623"/>
      <c r="O84" s="1623"/>
      <c r="P84" s="1623"/>
      <c r="Q84" s="1623"/>
      <c r="R84" s="1623"/>
      <c r="S84" s="1623"/>
      <c r="T84" s="1623"/>
      <c r="U84" s="1604"/>
    </row>
    <row r="85" spans="2:21" ht="18" customHeight="1">
      <c r="B85" s="1604"/>
      <c r="C85" s="2945" t="s">
        <v>695</v>
      </c>
      <c r="D85" s="2948" t="str">
        <f>D70</f>
        <v>mois</v>
      </c>
      <c r="E85" s="2949"/>
      <c r="F85" s="2949"/>
      <c r="G85" s="2949"/>
      <c r="H85" s="2949"/>
      <c r="I85" s="2949"/>
      <c r="J85" s="2949"/>
      <c r="K85" s="2949"/>
      <c r="L85" s="2948" t="str">
        <f>L70</f>
        <v>Cumul mois</v>
      </c>
      <c r="M85" s="2949"/>
      <c r="N85" s="2949"/>
      <c r="O85" s="2949"/>
      <c r="P85" s="2949"/>
      <c r="Q85" s="2949"/>
      <c r="R85" s="2949"/>
      <c r="S85" s="2949"/>
      <c r="T85" s="2953" t="str">
        <f>T70</f>
        <v>Objectif
 2024</v>
      </c>
      <c r="U85" s="1604"/>
    </row>
    <row r="86" spans="2:21" ht="15.6">
      <c r="B86" s="1604"/>
      <c r="C86" s="2946"/>
      <c r="D86" s="2948">
        <f>D71</f>
        <v>2023</v>
      </c>
      <c r="E86" s="2949"/>
      <c r="F86" s="2949"/>
      <c r="G86" s="2956"/>
      <c r="H86" s="2948">
        <f>H71</f>
        <v>2024</v>
      </c>
      <c r="I86" s="2949"/>
      <c r="J86" s="2949"/>
      <c r="K86" s="2956"/>
      <c r="L86" s="2950">
        <f>D86</f>
        <v>2023</v>
      </c>
      <c r="M86" s="2951"/>
      <c r="N86" s="2951"/>
      <c r="O86" s="2952"/>
      <c r="P86" s="2950">
        <f>H86</f>
        <v>2024</v>
      </c>
      <c r="Q86" s="2951"/>
      <c r="R86" s="2951"/>
      <c r="S86" s="2952"/>
      <c r="T86" s="2954"/>
      <c r="U86" s="1604"/>
    </row>
    <row r="87" spans="2:21" ht="15" customHeight="1">
      <c r="B87" s="1604"/>
      <c r="C87" s="2947"/>
      <c r="D87" s="1639" t="s">
        <v>56</v>
      </c>
      <c r="E87" s="1639" t="s">
        <v>21</v>
      </c>
      <c r="F87" s="1639" t="s">
        <v>199</v>
      </c>
      <c r="G87" s="1639" t="s">
        <v>20</v>
      </c>
      <c r="H87" s="1639" t="s">
        <v>56</v>
      </c>
      <c r="I87" s="1639" t="s">
        <v>21</v>
      </c>
      <c r="J87" s="1639" t="s">
        <v>199</v>
      </c>
      <c r="K87" s="1639" t="s">
        <v>20</v>
      </c>
      <c r="L87" s="1640" t="s">
        <v>56</v>
      </c>
      <c r="M87" s="1640" t="s">
        <v>21</v>
      </c>
      <c r="N87" s="1640" t="s">
        <v>199</v>
      </c>
      <c r="O87" s="1640" t="s">
        <v>20</v>
      </c>
      <c r="P87" s="1640" t="s">
        <v>56</v>
      </c>
      <c r="Q87" s="1640" t="s">
        <v>21</v>
      </c>
      <c r="R87" s="1640" t="s">
        <v>199</v>
      </c>
      <c r="S87" s="1640" t="s">
        <v>20</v>
      </c>
      <c r="T87" s="2955"/>
      <c r="U87" s="1604"/>
    </row>
    <row r="88" spans="2:21">
      <c r="B88" s="1604"/>
      <c r="C88" s="1628" t="s">
        <v>6</v>
      </c>
      <c r="D88" s="1629">
        <f t="shared" ref="D88:F97" si="42">(D43+D73)-D103</f>
        <v>841</v>
      </c>
      <c r="E88" s="1629">
        <f t="shared" si="42"/>
        <v>0</v>
      </c>
      <c r="F88" s="1629">
        <f t="shared" si="42"/>
        <v>0</v>
      </c>
      <c r="G88" s="1641">
        <f>SUM(D88:F88)</f>
        <v>841</v>
      </c>
      <c r="H88" s="1629">
        <f t="shared" ref="H88:J97" si="43">(H43+H73)-H103</f>
        <v>1295</v>
      </c>
      <c r="I88" s="1629">
        <f t="shared" si="43"/>
        <v>0</v>
      </c>
      <c r="J88" s="1629">
        <f t="shared" si="43"/>
        <v>0</v>
      </c>
      <c r="K88" s="1641">
        <f>SUM(H88:J88)</f>
        <v>1295</v>
      </c>
      <c r="L88" s="1616">
        <f t="shared" ref="L88:N97" si="44">(L43+L73)-L103</f>
        <v>11149</v>
      </c>
      <c r="M88" s="1616">
        <f t="shared" si="44"/>
        <v>7</v>
      </c>
      <c r="N88" s="1616">
        <f t="shared" si="44"/>
        <v>0</v>
      </c>
      <c r="O88" s="1631">
        <f>SUM(L88:N88)</f>
        <v>11156</v>
      </c>
      <c r="P88" s="1616">
        <f t="shared" ref="P88:R97" si="45">(P43+P73)-P103</f>
        <v>13403</v>
      </c>
      <c r="Q88" s="1616">
        <f t="shared" si="45"/>
        <v>4</v>
      </c>
      <c r="R88" s="1616">
        <f t="shared" si="45"/>
        <v>0</v>
      </c>
      <c r="S88" s="1631">
        <f>SUM(P88:R88)</f>
        <v>13407</v>
      </c>
      <c r="T88" s="1616">
        <f>T43</f>
        <v>9605</v>
      </c>
      <c r="U88" s="1604"/>
    </row>
    <row r="89" spans="2:21">
      <c r="B89" s="1604"/>
      <c r="C89" s="1628" t="s">
        <v>7</v>
      </c>
      <c r="D89" s="1629">
        <f t="shared" si="42"/>
        <v>594</v>
      </c>
      <c r="E89" s="1629">
        <f t="shared" si="42"/>
        <v>0</v>
      </c>
      <c r="F89" s="1629">
        <f t="shared" si="42"/>
        <v>0</v>
      </c>
      <c r="G89" s="1641">
        <f t="shared" ref="G89:G97" si="46">SUM(D89:F89)</f>
        <v>594</v>
      </c>
      <c r="H89" s="1629">
        <f t="shared" si="43"/>
        <v>443</v>
      </c>
      <c r="I89" s="1629">
        <f t="shared" si="43"/>
        <v>0</v>
      </c>
      <c r="J89" s="1629">
        <f t="shared" si="43"/>
        <v>0</v>
      </c>
      <c r="K89" s="1641">
        <f t="shared" ref="K89:K97" si="47">SUM(H89:J89)</f>
        <v>443</v>
      </c>
      <c r="L89" s="1616">
        <f t="shared" si="44"/>
        <v>6696</v>
      </c>
      <c r="M89" s="1616">
        <f t="shared" si="44"/>
        <v>9</v>
      </c>
      <c r="N89" s="1616">
        <f t="shared" si="44"/>
        <v>0</v>
      </c>
      <c r="O89" s="1631">
        <f t="shared" ref="O89:O97" si="48">SUM(L89:N89)</f>
        <v>6705</v>
      </c>
      <c r="P89" s="1616">
        <f t="shared" si="45"/>
        <v>5634</v>
      </c>
      <c r="Q89" s="1616">
        <f t="shared" si="45"/>
        <v>5</v>
      </c>
      <c r="R89" s="1616">
        <f t="shared" si="45"/>
        <v>0</v>
      </c>
      <c r="S89" s="1631">
        <f t="shared" ref="S89:S97" si="49">SUM(P89:R89)</f>
        <v>5639</v>
      </c>
      <c r="T89" s="1616">
        <f t="shared" ref="T89:T97" si="50">T44</f>
        <v>8629</v>
      </c>
      <c r="U89" s="1604"/>
    </row>
    <row r="90" spans="2:21">
      <c r="B90" s="1604"/>
      <c r="C90" s="1628" t="s">
        <v>8</v>
      </c>
      <c r="D90" s="1629">
        <f t="shared" si="42"/>
        <v>1218</v>
      </c>
      <c r="E90" s="1629">
        <f t="shared" si="42"/>
        <v>1</v>
      </c>
      <c r="F90" s="1629">
        <f t="shared" si="42"/>
        <v>0</v>
      </c>
      <c r="G90" s="1641">
        <f t="shared" si="46"/>
        <v>1219</v>
      </c>
      <c r="H90" s="1629">
        <f t="shared" si="43"/>
        <v>981</v>
      </c>
      <c r="I90" s="1629">
        <f t="shared" si="43"/>
        <v>0</v>
      </c>
      <c r="J90" s="1629">
        <f t="shared" si="43"/>
        <v>0</v>
      </c>
      <c r="K90" s="1641">
        <f t="shared" si="47"/>
        <v>981</v>
      </c>
      <c r="L90" s="1616">
        <f t="shared" si="44"/>
        <v>11330</v>
      </c>
      <c r="M90" s="1616">
        <f t="shared" si="44"/>
        <v>2</v>
      </c>
      <c r="N90" s="1616">
        <f t="shared" si="44"/>
        <v>0</v>
      </c>
      <c r="O90" s="1631">
        <f t="shared" si="48"/>
        <v>11332</v>
      </c>
      <c r="P90" s="1616">
        <f t="shared" si="45"/>
        <v>8355</v>
      </c>
      <c r="Q90" s="1616">
        <f t="shared" si="45"/>
        <v>9</v>
      </c>
      <c r="R90" s="1616">
        <f t="shared" si="45"/>
        <v>0</v>
      </c>
      <c r="S90" s="1631">
        <f t="shared" si="49"/>
        <v>8364</v>
      </c>
      <c r="T90" s="1616">
        <f t="shared" si="50"/>
        <v>7056</v>
      </c>
      <c r="U90" s="1604"/>
    </row>
    <row r="91" spans="2:21">
      <c r="B91" s="1604"/>
      <c r="C91" s="1628" t="s">
        <v>4</v>
      </c>
      <c r="D91" s="1629">
        <f t="shared" si="42"/>
        <v>1105</v>
      </c>
      <c r="E91" s="1629">
        <f t="shared" si="42"/>
        <v>0</v>
      </c>
      <c r="F91" s="1629">
        <f t="shared" si="42"/>
        <v>0</v>
      </c>
      <c r="G91" s="1641">
        <f t="shared" si="46"/>
        <v>1105</v>
      </c>
      <c r="H91" s="1629">
        <f t="shared" si="43"/>
        <v>1042</v>
      </c>
      <c r="I91" s="1629">
        <f t="shared" si="43"/>
        <v>0</v>
      </c>
      <c r="J91" s="1629">
        <f t="shared" si="43"/>
        <v>0</v>
      </c>
      <c r="K91" s="1641">
        <f t="shared" si="47"/>
        <v>1042</v>
      </c>
      <c r="L91" s="1616">
        <f t="shared" si="44"/>
        <v>9657</v>
      </c>
      <c r="M91" s="1616">
        <f t="shared" si="44"/>
        <v>1</v>
      </c>
      <c r="N91" s="1616">
        <f t="shared" si="44"/>
        <v>0</v>
      </c>
      <c r="O91" s="1631">
        <f t="shared" si="48"/>
        <v>9658</v>
      </c>
      <c r="P91" s="1616">
        <f t="shared" si="45"/>
        <v>12301</v>
      </c>
      <c r="Q91" s="1616">
        <f t="shared" si="45"/>
        <v>7</v>
      </c>
      <c r="R91" s="1616">
        <f t="shared" si="45"/>
        <v>1</v>
      </c>
      <c r="S91" s="1631">
        <f t="shared" si="49"/>
        <v>12309</v>
      </c>
      <c r="T91" s="1616">
        <f t="shared" si="50"/>
        <v>21096</v>
      </c>
      <c r="U91" s="1604"/>
    </row>
    <row r="92" spans="2:21">
      <c r="B92" s="1604"/>
      <c r="C92" s="1628" t="s">
        <v>3</v>
      </c>
      <c r="D92" s="1629">
        <f t="shared" si="42"/>
        <v>420</v>
      </c>
      <c r="E92" s="1629">
        <f t="shared" si="42"/>
        <v>0</v>
      </c>
      <c r="F92" s="1629">
        <f t="shared" si="42"/>
        <v>0</v>
      </c>
      <c r="G92" s="1641">
        <f t="shared" si="46"/>
        <v>420</v>
      </c>
      <c r="H92" s="1629">
        <f t="shared" si="43"/>
        <v>466</v>
      </c>
      <c r="I92" s="1629">
        <f t="shared" si="43"/>
        <v>0</v>
      </c>
      <c r="J92" s="1629">
        <f t="shared" si="43"/>
        <v>0</v>
      </c>
      <c r="K92" s="1641">
        <f t="shared" si="47"/>
        <v>466</v>
      </c>
      <c r="L92" s="1616">
        <f t="shared" si="44"/>
        <v>4149</v>
      </c>
      <c r="M92" s="1616">
        <f t="shared" si="44"/>
        <v>2</v>
      </c>
      <c r="N92" s="1616">
        <f t="shared" si="44"/>
        <v>0</v>
      </c>
      <c r="O92" s="1631">
        <f t="shared" si="48"/>
        <v>4151</v>
      </c>
      <c r="P92" s="1616">
        <f t="shared" si="45"/>
        <v>3565</v>
      </c>
      <c r="Q92" s="1616">
        <f t="shared" si="45"/>
        <v>2</v>
      </c>
      <c r="R92" s="1616">
        <f t="shared" si="45"/>
        <v>0</v>
      </c>
      <c r="S92" s="1631">
        <f t="shared" si="49"/>
        <v>3567</v>
      </c>
      <c r="T92" s="1616">
        <f t="shared" si="50"/>
        <v>8557</v>
      </c>
      <c r="U92" s="1604"/>
    </row>
    <row r="93" spans="2:21">
      <c r="B93" s="1604"/>
      <c r="C93" s="1628" t="s">
        <v>397</v>
      </c>
      <c r="D93" s="1629">
        <f t="shared" si="42"/>
        <v>416</v>
      </c>
      <c r="E93" s="1629">
        <f t="shared" si="42"/>
        <v>0</v>
      </c>
      <c r="F93" s="1629">
        <f t="shared" si="42"/>
        <v>0</v>
      </c>
      <c r="G93" s="1641">
        <f t="shared" si="46"/>
        <v>416</v>
      </c>
      <c r="H93" s="1629">
        <f t="shared" si="43"/>
        <v>577</v>
      </c>
      <c r="I93" s="1629">
        <f t="shared" si="43"/>
        <v>0</v>
      </c>
      <c r="J93" s="1629">
        <f t="shared" si="43"/>
        <v>0</v>
      </c>
      <c r="K93" s="1641">
        <f t="shared" si="47"/>
        <v>577</v>
      </c>
      <c r="L93" s="1616">
        <f t="shared" si="44"/>
        <v>7648</v>
      </c>
      <c r="M93" s="1616">
        <f t="shared" si="44"/>
        <v>2</v>
      </c>
      <c r="N93" s="1629">
        <f t="shared" si="44"/>
        <v>0</v>
      </c>
      <c r="O93" s="1631">
        <f t="shared" si="48"/>
        <v>7650</v>
      </c>
      <c r="P93" s="1616">
        <f t="shared" si="45"/>
        <v>6007</v>
      </c>
      <c r="Q93" s="1616">
        <f t="shared" si="45"/>
        <v>4</v>
      </c>
      <c r="R93" s="1616">
        <f t="shared" si="45"/>
        <v>0</v>
      </c>
      <c r="S93" s="1631">
        <f t="shared" si="49"/>
        <v>6011</v>
      </c>
      <c r="T93" s="1616">
        <f t="shared" si="50"/>
        <v>7279</v>
      </c>
      <c r="U93" s="1604"/>
    </row>
    <row r="94" spans="2:21">
      <c r="B94" s="1604"/>
      <c r="C94" s="1628" t="s">
        <v>399</v>
      </c>
      <c r="D94" s="1629">
        <f t="shared" si="42"/>
        <v>750</v>
      </c>
      <c r="E94" s="1629">
        <f t="shared" si="42"/>
        <v>1</v>
      </c>
      <c r="F94" s="1629">
        <f t="shared" si="42"/>
        <v>0</v>
      </c>
      <c r="G94" s="1641">
        <f t="shared" si="46"/>
        <v>751</v>
      </c>
      <c r="H94" s="1629">
        <f t="shared" si="43"/>
        <v>943</v>
      </c>
      <c r="I94" s="1629">
        <f t="shared" si="43"/>
        <v>2</v>
      </c>
      <c r="J94" s="1629">
        <f t="shared" si="43"/>
        <v>0</v>
      </c>
      <c r="K94" s="1641">
        <f t="shared" si="47"/>
        <v>945</v>
      </c>
      <c r="L94" s="1616">
        <f t="shared" si="44"/>
        <v>9990</v>
      </c>
      <c r="M94" s="1616">
        <f t="shared" si="44"/>
        <v>6</v>
      </c>
      <c r="N94" s="1616">
        <f t="shared" si="44"/>
        <v>0</v>
      </c>
      <c r="O94" s="1631">
        <f t="shared" si="48"/>
        <v>9996</v>
      </c>
      <c r="P94" s="1616">
        <f t="shared" si="45"/>
        <v>10679</v>
      </c>
      <c r="Q94" s="1616">
        <f t="shared" si="45"/>
        <v>9</v>
      </c>
      <c r="R94" s="1616">
        <f t="shared" si="45"/>
        <v>0</v>
      </c>
      <c r="S94" s="1631">
        <f t="shared" si="49"/>
        <v>10688</v>
      </c>
      <c r="T94" s="1616">
        <f t="shared" si="50"/>
        <v>10319</v>
      </c>
      <c r="U94" s="1604"/>
    </row>
    <row r="95" spans="2:21">
      <c r="B95" s="1604"/>
      <c r="C95" s="1628" t="s">
        <v>883</v>
      </c>
      <c r="D95" s="1629">
        <f t="shared" si="42"/>
        <v>331</v>
      </c>
      <c r="E95" s="1629">
        <f t="shared" si="42"/>
        <v>0</v>
      </c>
      <c r="F95" s="1629">
        <f t="shared" si="42"/>
        <v>0</v>
      </c>
      <c r="G95" s="1641">
        <f t="shared" si="46"/>
        <v>331</v>
      </c>
      <c r="H95" s="1629">
        <f t="shared" si="43"/>
        <v>361</v>
      </c>
      <c r="I95" s="1629">
        <f t="shared" si="43"/>
        <v>0</v>
      </c>
      <c r="J95" s="1629">
        <f t="shared" si="43"/>
        <v>0</v>
      </c>
      <c r="K95" s="1641">
        <f t="shared" si="47"/>
        <v>361</v>
      </c>
      <c r="L95" s="1616">
        <f t="shared" si="44"/>
        <v>6300</v>
      </c>
      <c r="M95" s="1616">
        <f t="shared" si="44"/>
        <v>7</v>
      </c>
      <c r="N95" s="1616">
        <f t="shared" si="44"/>
        <v>0</v>
      </c>
      <c r="O95" s="1631">
        <f t="shared" si="48"/>
        <v>6307</v>
      </c>
      <c r="P95" s="1616">
        <f t="shared" si="45"/>
        <v>4684</v>
      </c>
      <c r="Q95" s="1616">
        <f t="shared" si="45"/>
        <v>4</v>
      </c>
      <c r="R95" s="1616">
        <f t="shared" si="45"/>
        <v>0</v>
      </c>
      <c r="S95" s="1631">
        <f t="shared" si="49"/>
        <v>4688</v>
      </c>
      <c r="T95" s="1616">
        <f t="shared" si="50"/>
        <v>6572</v>
      </c>
      <c r="U95" s="1604"/>
    </row>
    <row r="96" spans="2:21">
      <c r="B96" s="1604"/>
      <c r="C96" s="1628" t="s">
        <v>884</v>
      </c>
      <c r="D96" s="1629">
        <f t="shared" si="42"/>
        <v>420</v>
      </c>
      <c r="E96" s="1629">
        <f t="shared" si="42"/>
        <v>1</v>
      </c>
      <c r="F96" s="1629">
        <f t="shared" si="42"/>
        <v>0</v>
      </c>
      <c r="G96" s="1641">
        <f t="shared" si="46"/>
        <v>421</v>
      </c>
      <c r="H96" s="1629">
        <f t="shared" si="43"/>
        <v>1286</v>
      </c>
      <c r="I96" s="1629">
        <f t="shared" si="43"/>
        <v>2</v>
      </c>
      <c r="J96" s="1629">
        <f t="shared" si="43"/>
        <v>0</v>
      </c>
      <c r="K96" s="1641">
        <f t="shared" si="47"/>
        <v>1288</v>
      </c>
      <c r="L96" s="1616">
        <f t="shared" si="44"/>
        <v>11764</v>
      </c>
      <c r="M96" s="1616">
        <f t="shared" si="44"/>
        <v>3</v>
      </c>
      <c r="N96" s="1616">
        <f t="shared" si="44"/>
        <v>0</v>
      </c>
      <c r="O96" s="1631">
        <f t="shared" si="48"/>
        <v>11767</v>
      </c>
      <c r="P96" s="1616">
        <f t="shared" si="45"/>
        <v>8932</v>
      </c>
      <c r="Q96" s="1616">
        <f t="shared" si="45"/>
        <v>5</v>
      </c>
      <c r="R96" s="1616">
        <f t="shared" si="45"/>
        <v>0</v>
      </c>
      <c r="S96" s="1631">
        <f t="shared" si="49"/>
        <v>8937</v>
      </c>
      <c r="T96" s="1616">
        <f t="shared" si="50"/>
        <v>7684</v>
      </c>
      <c r="U96" s="1604"/>
    </row>
    <row r="97" spans="2:21">
      <c r="B97" s="1604"/>
      <c r="C97" s="1628" t="s">
        <v>885</v>
      </c>
      <c r="D97" s="1629">
        <f t="shared" si="42"/>
        <v>347</v>
      </c>
      <c r="E97" s="1629">
        <f t="shared" si="42"/>
        <v>0</v>
      </c>
      <c r="F97" s="1629">
        <f t="shared" si="42"/>
        <v>0</v>
      </c>
      <c r="G97" s="1641">
        <f t="shared" si="46"/>
        <v>347</v>
      </c>
      <c r="H97" s="1629">
        <f t="shared" si="43"/>
        <v>168</v>
      </c>
      <c r="I97" s="1629">
        <f t="shared" si="43"/>
        <v>0</v>
      </c>
      <c r="J97" s="1629">
        <f t="shared" si="43"/>
        <v>0</v>
      </c>
      <c r="K97" s="1641">
        <f t="shared" si="47"/>
        <v>168</v>
      </c>
      <c r="L97" s="1616">
        <f t="shared" si="44"/>
        <v>5828</v>
      </c>
      <c r="M97" s="1616">
        <f t="shared" si="44"/>
        <v>0</v>
      </c>
      <c r="N97" s="1616">
        <f t="shared" si="44"/>
        <v>0</v>
      </c>
      <c r="O97" s="1631">
        <f t="shared" si="48"/>
        <v>5828</v>
      </c>
      <c r="P97" s="1616">
        <f t="shared" si="45"/>
        <v>4516</v>
      </c>
      <c r="Q97" s="1616">
        <f t="shared" si="45"/>
        <v>1</v>
      </c>
      <c r="R97" s="1616">
        <f t="shared" si="45"/>
        <v>0</v>
      </c>
      <c r="S97" s="1631">
        <f t="shared" si="49"/>
        <v>4517</v>
      </c>
      <c r="T97" s="1616">
        <f t="shared" si="50"/>
        <v>3681</v>
      </c>
      <c r="U97" s="1604"/>
    </row>
    <row r="98" spans="2:21">
      <c r="B98" s="1604"/>
      <c r="C98" s="1633" t="s">
        <v>20</v>
      </c>
      <c r="D98" s="1639">
        <f t="shared" ref="D98:T98" si="51">SUM(D88:D97)</f>
        <v>6442</v>
      </c>
      <c r="E98" s="1639">
        <f t="shared" si="51"/>
        <v>3</v>
      </c>
      <c r="F98" s="1639">
        <f t="shared" si="51"/>
        <v>0</v>
      </c>
      <c r="G98" s="1639">
        <f t="shared" si="51"/>
        <v>6445</v>
      </c>
      <c r="H98" s="1639">
        <f t="shared" si="51"/>
        <v>7562</v>
      </c>
      <c r="I98" s="1639">
        <f t="shared" si="51"/>
        <v>4</v>
      </c>
      <c r="J98" s="1639">
        <f t="shared" si="51"/>
        <v>0</v>
      </c>
      <c r="K98" s="1639">
        <f t="shared" si="51"/>
        <v>7566</v>
      </c>
      <c r="L98" s="1639">
        <f t="shared" si="51"/>
        <v>84511</v>
      </c>
      <c r="M98" s="1639">
        <f t="shared" si="51"/>
        <v>39</v>
      </c>
      <c r="N98" s="1639">
        <f t="shared" si="51"/>
        <v>0</v>
      </c>
      <c r="O98" s="1639">
        <f t="shared" si="51"/>
        <v>84550</v>
      </c>
      <c r="P98" s="1639">
        <f t="shared" si="51"/>
        <v>78076</v>
      </c>
      <c r="Q98" s="1639">
        <f t="shared" si="51"/>
        <v>50</v>
      </c>
      <c r="R98" s="1639">
        <f t="shared" si="51"/>
        <v>1</v>
      </c>
      <c r="S98" s="1639">
        <f t="shared" si="51"/>
        <v>78127</v>
      </c>
      <c r="T98" s="1633">
        <f t="shared" si="51"/>
        <v>90478</v>
      </c>
      <c r="U98" s="1604"/>
    </row>
    <row r="99" spans="2:21" ht="15.6">
      <c r="B99" s="1604"/>
      <c r="C99" s="1604"/>
      <c r="D99" s="1623" t="s">
        <v>801</v>
      </c>
      <c r="E99" s="1623"/>
      <c r="F99" s="1623"/>
      <c r="G99" s="1623"/>
      <c r="H99" s="1623"/>
      <c r="I99" s="1623"/>
      <c r="J99" s="1623"/>
      <c r="K99" s="1623"/>
      <c r="L99" s="1623"/>
      <c r="M99" s="1623"/>
      <c r="N99" s="1623"/>
      <c r="O99" s="1623"/>
      <c r="P99" s="1623"/>
      <c r="Q99" s="1623"/>
      <c r="R99" s="1623"/>
      <c r="S99" s="1623"/>
      <c r="T99" s="1623"/>
      <c r="U99" s="1604"/>
    </row>
    <row r="100" spans="2:21" ht="18" customHeight="1">
      <c r="B100" s="1604"/>
      <c r="C100" s="2945" t="s">
        <v>695</v>
      </c>
      <c r="D100" s="2948" t="str">
        <f>D85</f>
        <v>mois</v>
      </c>
      <c r="E100" s="2949"/>
      <c r="F100" s="2949"/>
      <c r="G100" s="2949"/>
      <c r="H100" s="2949"/>
      <c r="I100" s="2949"/>
      <c r="J100" s="2949"/>
      <c r="K100" s="2949"/>
      <c r="L100" s="2948" t="str">
        <f>L85</f>
        <v>Cumul mois</v>
      </c>
      <c r="M100" s="2949"/>
      <c r="N100" s="2949"/>
      <c r="O100" s="2949"/>
      <c r="P100" s="2949"/>
      <c r="Q100" s="2949"/>
      <c r="R100" s="2949"/>
      <c r="S100" s="2949"/>
      <c r="T100" s="2953" t="str">
        <f>T85</f>
        <v>Objectif
 2024</v>
      </c>
      <c r="U100" s="1604"/>
    </row>
    <row r="101" spans="2:21" ht="15.6">
      <c r="B101" s="1604"/>
      <c r="C101" s="2946"/>
      <c r="D101" s="2948">
        <f>D86</f>
        <v>2023</v>
      </c>
      <c r="E101" s="2949"/>
      <c r="F101" s="2949"/>
      <c r="G101" s="2956"/>
      <c r="H101" s="2948">
        <f>H86</f>
        <v>2024</v>
      </c>
      <c r="I101" s="2949"/>
      <c r="J101" s="2949"/>
      <c r="K101" s="2956"/>
      <c r="L101" s="2950">
        <f>L86</f>
        <v>2023</v>
      </c>
      <c r="M101" s="2951"/>
      <c r="N101" s="2951"/>
      <c r="O101" s="2952"/>
      <c r="P101" s="2950">
        <f>P86</f>
        <v>2024</v>
      </c>
      <c r="Q101" s="2951"/>
      <c r="R101" s="2951"/>
      <c r="S101" s="2952"/>
      <c r="T101" s="2954"/>
      <c r="U101" s="1604"/>
    </row>
    <row r="102" spans="2:21" ht="15" customHeight="1">
      <c r="B102" s="1604"/>
      <c r="C102" s="2947"/>
      <c r="D102" s="1639" t="s">
        <v>56</v>
      </c>
      <c r="E102" s="1639" t="s">
        <v>21</v>
      </c>
      <c r="F102" s="1639" t="s">
        <v>199</v>
      </c>
      <c r="G102" s="1639" t="s">
        <v>20</v>
      </c>
      <c r="H102" s="1639" t="s">
        <v>56</v>
      </c>
      <c r="I102" s="1639" t="s">
        <v>21</v>
      </c>
      <c r="J102" s="1639" t="s">
        <v>199</v>
      </c>
      <c r="K102" s="1639" t="s">
        <v>20</v>
      </c>
      <c r="L102" s="1640" t="s">
        <v>56</v>
      </c>
      <c r="M102" s="1640" t="s">
        <v>21</v>
      </c>
      <c r="N102" s="1640" t="s">
        <v>199</v>
      </c>
      <c r="O102" s="1640" t="s">
        <v>20</v>
      </c>
      <c r="P102" s="1640" t="s">
        <v>56</v>
      </c>
      <c r="Q102" s="1640" t="s">
        <v>21</v>
      </c>
      <c r="R102" s="1640" t="s">
        <v>199</v>
      </c>
      <c r="S102" s="1640" t="s">
        <v>20</v>
      </c>
      <c r="T102" s="2955"/>
      <c r="U102" s="1604"/>
    </row>
    <row r="103" spans="2:21">
      <c r="B103" s="1604"/>
      <c r="C103" s="1628" t="s">
        <v>6</v>
      </c>
      <c r="D103" s="1629">
        <f>gaz!BD133</f>
        <v>0</v>
      </c>
      <c r="E103" s="1629">
        <f>gaz!BE133</f>
        <v>0</v>
      </c>
      <c r="F103" s="1629">
        <f>'HT-HP 2'!AD131</f>
        <v>0</v>
      </c>
      <c r="G103" s="1641">
        <f>SUM(D103:F103)</f>
        <v>0</v>
      </c>
      <c r="H103" s="1629">
        <f>gaz!BD148</f>
        <v>0</v>
      </c>
      <c r="I103" s="1629">
        <f>gaz!BE148</f>
        <v>0</v>
      </c>
      <c r="J103" s="1629">
        <f>'HT-HP 2'!AD146</f>
        <v>0</v>
      </c>
      <c r="K103" s="1641">
        <f>SUM(H103:J103)</f>
        <v>0</v>
      </c>
      <c r="L103" s="1629">
        <f>gaz!AZ133</f>
        <v>0</v>
      </c>
      <c r="M103" s="1629">
        <f>gaz!BA133</f>
        <v>0</v>
      </c>
      <c r="N103" s="1629">
        <f>'HT-HP 2'!AA131</f>
        <v>0</v>
      </c>
      <c r="O103" s="1631">
        <f>SUM(L103:N103)</f>
        <v>0</v>
      </c>
      <c r="P103" s="1629">
        <f>gaz!AZ148</f>
        <v>0</v>
      </c>
      <c r="Q103" s="1629">
        <f>gaz!BA148</f>
        <v>0</v>
      </c>
      <c r="R103" s="1629">
        <f>'HT-HP 2'!AA146</f>
        <v>0</v>
      </c>
      <c r="S103" s="1631">
        <f>SUM(P103:R103)</f>
        <v>0</v>
      </c>
      <c r="T103" s="1616"/>
      <c r="U103" s="1604"/>
    </row>
    <row r="104" spans="2:21">
      <c r="B104" s="1604"/>
      <c r="C104" s="1628" t="s">
        <v>7</v>
      </c>
      <c r="D104" s="1629">
        <f>gaz!BD134</f>
        <v>14</v>
      </c>
      <c r="E104" s="1629">
        <f>gaz!BE134</f>
        <v>0</v>
      </c>
      <c r="F104" s="1629">
        <f>'HT-HP 2'!AD132</f>
        <v>0</v>
      </c>
      <c r="G104" s="1641">
        <f>SUM(D104:F104)</f>
        <v>14</v>
      </c>
      <c r="H104" s="1629">
        <f>gaz!BD149</f>
        <v>10</v>
      </c>
      <c r="I104" s="1629">
        <f>gaz!BE149</f>
        <v>0</v>
      </c>
      <c r="J104" s="1629">
        <f>'HT-HP 2'!AD147</f>
        <v>0</v>
      </c>
      <c r="K104" s="1641">
        <f>SUM(H104:J104)</f>
        <v>10</v>
      </c>
      <c r="L104" s="1629">
        <f>gaz!AZ134</f>
        <v>60</v>
      </c>
      <c r="M104" s="1629">
        <f>gaz!BA134</f>
        <v>0</v>
      </c>
      <c r="N104" s="1629">
        <f>'HT-HP 2'!AA132</f>
        <v>0</v>
      </c>
      <c r="O104" s="1631">
        <f>SUM(L104:N104)</f>
        <v>60</v>
      </c>
      <c r="P104" s="1629">
        <f>gaz!AZ149</f>
        <v>136</v>
      </c>
      <c r="Q104" s="1629">
        <f>gaz!BA149</f>
        <v>0</v>
      </c>
      <c r="R104" s="1629">
        <f>'HT-HP 2'!AA147</f>
        <v>0</v>
      </c>
      <c r="S104" s="1631">
        <f>SUM(P104:R104)</f>
        <v>136</v>
      </c>
      <c r="T104" s="1616"/>
      <c r="U104" s="1604"/>
    </row>
    <row r="105" spans="2:21">
      <c r="B105" s="1604"/>
      <c r="C105" s="1628" t="s">
        <v>8</v>
      </c>
      <c r="D105" s="1629">
        <f>gaz!BD135</f>
        <v>0</v>
      </c>
      <c r="E105" s="1629">
        <f>gaz!BE135</f>
        <v>0</v>
      </c>
      <c r="F105" s="1629">
        <f>'HT-HP 2'!AD133</f>
        <v>0</v>
      </c>
      <c r="G105" s="1641">
        <f>SUM(D105:F105)</f>
        <v>0</v>
      </c>
      <c r="H105" s="1629">
        <f>gaz!BD150</f>
        <v>0</v>
      </c>
      <c r="I105" s="1629">
        <f>gaz!BE150</f>
        <v>0</v>
      </c>
      <c r="J105" s="1629">
        <f>'HT-HP 2'!AD148</f>
        <v>0</v>
      </c>
      <c r="K105" s="1641">
        <f>SUM(H105:J105)</f>
        <v>0</v>
      </c>
      <c r="L105" s="1629">
        <f>gaz!AZ135</f>
        <v>0</v>
      </c>
      <c r="M105" s="1629">
        <f>gaz!BA135</f>
        <v>0</v>
      </c>
      <c r="N105" s="1629">
        <f>'HT-HP 2'!AA133</f>
        <v>0</v>
      </c>
      <c r="O105" s="1631">
        <f>SUM(L105:N105)</f>
        <v>0</v>
      </c>
      <c r="P105" s="1629">
        <f>gaz!AZ150</f>
        <v>0</v>
      </c>
      <c r="Q105" s="1629">
        <f>gaz!BA150</f>
        <v>0</v>
      </c>
      <c r="R105" s="1629">
        <f>'HT-HP 2'!AA148</f>
        <v>0</v>
      </c>
      <c r="S105" s="1631">
        <f>SUM(P105:R105)</f>
        <v>0</v>
      </c>
      <c r="T105" s="1616"/>
      <c r="U105" s="1604"/>
    </row>
    <row r="106" spans="2:21">
      <c r="B106" s="1604"/>
      <c r="C106" s="1628" t="s">
        <v>4</v>
      </c>
      <c r="D106" s="1629">
        <f>gaz!BD136</f>
        <v>0</v>
      </c>
      <c r="E106" s="1629">
        <f>gaz!BE136</f>
        <v>0</v>
      </c>
      <c r="F106" s="1629">
        <f>'HT-HP 2'!AD134</f>
        <v>0</v>
      </c>
      <c r="G106" s="1641">
        <f t="shared" ref="G106:G112" si="52">SUM(D106:F106)</f>
        <v>0</v>
      </c>
      <c r="H106" s="1629">
        <f>gaz!BD151</f>
        <v>0</v>
      </c>
      <c r="I106" s="1629">
        <f>gaz!BE151</f>
        <v>0</v>
      </c>
      <c r="J106" s="1629">
        <f>'HT-HP 2'!AD149</f>
        <v>0</v>
      </c>
      <c r="K106" s="1641">
        <f t="shared" ref="K106:K112" si="53">SUM(H106:J106)</f>
        <v>0</v>
      </c>
      <c r="L106" s="1629">
        <f>gaz!AZ136</f>
        <v>0</v>
      </c>
      <c r="M106" s="1629">
        <f>gaz!BA136</f>
        <v>0</v>
      </c>
      <c r="N106" s="1629">
        <f>'HT-HP 2'!AA134</f>
        <v>0</v>
      </c>
      <c r="O106" s="1631">
        <f t="shared" ref="O106:O112" si="54">SUM(L106:N106)</f>
        <v>0</v>
      </c>
      <c r="P106" s="1629">
        <f>gaz!AZ151</f>
        <v>0</v>
      </c>
      <c r="Q106" s="1629">
        <f>gaz!BA151</f>
        <v>0</v>
      </c>
      <c r="R106" s="1629">
        <f>'HT-HP 2'!AA149</f>
        <v>0</v>
      </c>
      <c r="S106" s="1631">
        <f t="shared" ref="S106:S112" si="55">SUM(P106:R106)</f>
        <v>0</v>
      </c>
      <c r="T106" s="1616"/>
      <c r="U106" s="1604"/>
    </row>
    <row r="107" spans="2:21">
      <c r="B107" s="1604"/>
      <c r="C107" s="1628" t="s">
        <v>3</v>
      </c>
      <c r="D107" s="1629">
        <f>gaz!BD137</f>
        <v>5</v>
      </c>
      <c r="E107" s="1629">
        <f>gaz!BE137</f>
        <v>0</v>
      </c>
      <c r="F107" s="1629">
        <f>'HT-HP 2'!AD135</f>
        <v>0</v>
      </c>
      <c r="G107" s="1641">
        <f t="shared" si="52"/>
        <v>5</v>
      </c>
      <c r="H107" s="1629">
        <f>gaz!BD152</f>
        <v>8</v>
      </c>
      <c r="I107" s="1629">
        <f>gaz!BE152</f>
        <v>0</v>
      </c>
      <c r="J107" s="1629">
        <f>'HT-HP 2'!AD150</f>
        <v>0</v>
      </c>
      <c r="K107" s="1641">
        <f t="shared" si="53"/>
        <v>8</v>
      </c>
      <c r="L107" s="1629">
        <f>gaz!AZ137</f>
        <v>28</v>
      </c>
      <c r="M107" s="1629">
        <f>gaz!BA137</f>
        <v>0</v>
      </c>
      <c r="N107" s="1629">
        <f>'HT-HP 2'!AA135</f>
        <v>0</v>
      </c>
      <c r="O107" s="1631">
        <f t="shared" si="54"/>
        <v>28</v>
      </c>
      <c r="P107" s="1629">
        <f>gaz!AZ152</f>
        <v>71</v>
      </c>
      <c r="Q107" s="1629">
        <f>gaz!BA152</f>
        <v>0</v>
      </c>
      <c r="R107" s="1629">
        <f>'HT-HP 2'!AA150</f>
        <v>0</v>
      </c>
      <c r="S107" s="1631">
        <f t="shared" si="55"/>
        <v>71</v>
      </c>
      <c r="T107" s="1616"/>
      <c r="U107" s="1604"/>
    </row>
    <row r="108" spans="2:21">
      <c r="B108" s="1604"/>
      <c r="C108" s="1628" t="s">
        <v>397</v>
      </c>
      <c r="D108" s="1629">
        <f>gaz!BD138</f>
        <v>0</v>
      </c>
      <c r="E108" s="1629">
        <f>gaz!BE138</f>
        <v>0</v>
      </c>
      <c r="F108" s="1629">
        <f>'HT-HP 2'!AD136</f>
        <v>0</v>
      </c>
      <c r="G108" s="1641">
        <f t="shared" si="52"/>
        <v>0</v>
      </c>
      <c r="H108" s="1629">
        <f>gaz!BD153</f>
        <v>0</v>
      </c>
      <c r="I108" s="1629">
        <f>gaz!BE153</f>
        <v>0</v>
      </c>
      <c r="J108" s="1629">
        <f>'HT-HP 2'!AD151</f>
        <v>0</v>
      </c>
      <c r="K108" s="1641">
        <f t="shared" si="53"/>
        <v>0</v>
      </c>
      <c r="L108" s="1629">
        <f>gaz!AZ138</f>
        <v>0</v>
      </c>
      <c r="M108" s="1629">
        <f>gaz!BA138</f>
        <v>0</v>
      </c>
      <c r="N108" s="1629">
        <f>'HT-HP 2'!AA136</f>
        <v>0</v>
      </c>
      <c r="O108" s="1631">
        <f t="shared" si="54"/>
        <v>0</v>
      </c>
      <c r="P108" s="1629">
        <f>gaz!AZ153</f>
        <v>0</v>
      </c>
      <c r="Q108" s="1629">
        <f>gaz!BA153</f>
        <v>0</v>
      </c>
      <c r="R108" s="1629">
        <f>'HT-HP 2'!AA151</f>
        <v>0</v>
      </c>
      <c r="S108" s="1631">
        <f t="shared" si="55"/>
        <v>0</v>
      </c>
      <c r="T108" s="1616"/>
      <c r="U108" s="1604"/>
    </row>
    <row r="109" spans="2:21">
      <c r="B109" s="1604"/>
      <c r="C109" s="1628" t="s">
        <v>399</v>
      </c>
      <c r="D109" s="1629">
        <f>gaz!BD139</f>
        <v>0</v>
      </c>
      <c r="E109" s="1629">
        <f>gaz!BE139</f>
        <v>0</v>
      </c>
      <c r="F109" s="1629">
        <f>'HT-HP 2'!AD137</f>
        <v>0</v>
      </c>
      <c r="G109" s="1641">
        <f t="shared" si="52"/>
        <v>0</v>
      </c>
      <c r="H109" s="1629">
        <f>gaz!BD154</f>
        <v>0</v>
      </c>
      <c r="I109" s="1629">
        <f>gaz!BE154</f>
        <v>0</v>
      </c>
      <c r="J109" s="1629">
        <f>'HT-HP 2'!AD152</f>
        <v>0</v>
      </c>
      <c r="K109" s="1641">
        <f t="shared" si="53"/>
        <v>0</v>
      </c>
      <c r="L109" s="1629">
        <f>gaz!AZ139</f>
        <v>0</v>
      </c>
      <c r="M109" s="1629">
        <f>gaz!BA139</f>
        <v>0</v>
      </c>
      <c r="N109" s="1629">
        <f>'HT-HP 2'!AA137</f>
        <v>0</v>
      </c>
      <c r="O109" s="1631">
        <f t="shared" si="54"/>
        <v>0</v>
      </c>
      <c r="P109" s="1629">
        <f>gaz!AZ154</f>
        <v>0</v>
      </c>
      <c r="Q109" s="1629">
        <f>gaz!BA154</f>
        <v>0</v>
      </c>
      <c r="R109" s="1629">
        <f>'HT-HP 2'!AA152</f>
        <v>0</v>
      </c>
      <c r="S109" s="1631">
        <f t="shared" si="55"/>
        <v>0</v>
      </c>
      <c r="T109" s="1616"/>
      <c r="U109" s="1604"/>
    </row>
    <row r="110" spans="2:21">
      <c r="B110" s="1604"/>
      <c r="C110" s="1628" t="s">
        <v>883</v>
      </c>
      <c r="D110" s="1629">
        <f>gaz!BD140</f>
        <v>1</v>
      </c>
      <c r="E110" s="1629">
        <f>gaz!BE140</f>
        <v>0</v>
      </c>
      <c r="F110" s="1629">
        <f>'HT-HP 2'!AD138</f>
        <v>0</v>
      </c>
      <c r="G110" s="1641">
        <f t="shared" si="52"/>
        <v>1</v>
      </c>
      <c r="H110" s="1629">
        <f>gaz!BD155</f>
        <v>0</v>
      </c>
      <c r="I110" s="1629">
        <f>gaz!BE155</f>
        <v>0</v>
      </c>
      <c r="J110" s="1629">
        <f>'HT-HP 2'!AD153</f>
        <v>0</v>
      </c>
      <c r="K110" s="1641">
        <f t="shared" si="53"/>
        <v>0</v>
      </c>
      <c r="L110" s="1629">
        <f>gaz!AZ140</f>
        <v>1</v>
      </c>
      <c r="M110" s="1629">
        <f>gaz!BA140</f>
        <v>0</v>
      </c>
      <c r="N110" s="1629">
        <f>'HT-HP 2'!AA138</f>
        <v>0</v>
      </c>
      <c r="O110" s="1631">
        <f t="shared" si="54"/>
        <v>1</v>
      </c>
      <c r="P110" s="1629">
        <f>gaz!AZ155</f>
        <v>7</v>
      </c>
      <c r="Q110" s="1629">
        <f>gaz!BA155</f>
        <v>0</v>
      </c>
      <c r="R110" s="1629">
        <f>'HT-HP 2'!AA153</f>
        <v>0</v>
      </c>
      <c r="S110" s="1631">
        <f t="shared" si="55"/>
        <v>7</v>
      </c>
      <c r="T110" s="1616"/>
      <c r="U110" s="1604"/>
    </row>
    <row r="111" spans="2:21">
      <c r="B111" s="1604"/>
      <c r="C111" s="1628" t="s">
        <v>884</v>
      </c>
      <c r="D111" s="1629">
        <f>gaz!BD141</f>
        <v>1</v>
      </c>
      <c r="E111" s="1629">
        <f>gaz!BE141</f>
        <v>0</v>
      </c>
      <c r="F111" s="1629">
        <f>'HT-HP 2'!AD139</f>
        <v>0</v>
      </c>
      <c r="G111" s="1641">
        <f t="shared" si="52"/>
        <v>1</v>
      </c>
      <c r="H111" s="1629">
        <f>gaz!BD156</f>
        <v>1</v>
      </c>
      <c r="I111" s="1629">
        <f>gaz!BE156</f>
        <v>0</v>
      </c>
      <c r="J111" s="1629">
        <f>'HT-HP 2'!AD154</f>
        <v>0</v>
      </c>
      <c r="K111" s="1641">
        <f t="shared" si="53"/>
        <v>1</v>
      </c>
      <c r="L111" s="1629">
        <f>gaz!AZ141</f>
        <v>6</v>
      </c>
      <c r="M111" s="1629">
        <f>gaz!BA141</f>
        <v>0</v>
      </c>
      <c r="N111" s="1629">
        <f>'HT-HP 2'!AA139</f>
        <v>0</v>
      </c>
      <c r="O111" s="1631">
        <f t="shared" si="54"/>
        <v>6</v>
      </c>
      <c r="P111" s="1629">
        <f>gaz!AZ156</f>
        <v>66</v>
      </c>
      <c r="Q111" s="1629">
        <f>gaz!BA156</f>
        <v>0</v>
      </c>
      <c r="R111" s="1629">
        <f>'HT-HP 2'!AA154</f>
        <v>0</v>
      </c>
      <c r="S111" s="1631">
        <f t="shared" si="55"/>
        <v>66</v>
      </c>
      <c r="T111" s="1616"/>
      <c r="U111" s="1604"/>
    </row>
    <row r="112" spans="2:21">
      <c r="B112" s="1604"/>
      <c r="C112" s="1628" t="s">
        <v>885</v>
      </c>
      <c r="D112" s="1629">
        <f>gaz!BD142</f>
        <v>11</v>
      </c>
      <c r="E112" s="1629">
        <f>gaz!BE142</f>
        <v>0</v>
      </c>
      <c r="F112" s="1629">
        <f>'HT-HP 2'!AD140</f>
        <v>0</v>
      </c>
      <c r="G112" s="1641">
        <f t="shared" si="52"/>
        <v>11</v>
      </c>
      <c r="H112" s="1629">
        <f>gaz!BD157</f>
        <v>15</v>
      </c>
      <c r="I112" s="1629">
        <f>gaz!BE157</f>
        <v>0</v>
      </c>
      <c r="J112" s="1629">
        <f>'HT-HP 2'!AD155</f>
        <v>0</v>
      </c>
      <c r="K112" s="1641">
        <f t="shared" si="53"/>
        <v>15</v>
      </c>
      <c r="L112" s="1629">
        <f>gaz!AZ142</f>
        <v>63</v>
      </c>
      <c r="M112" s="1629">
        <f>gaz!BA142</f>
        <v>0</v>
      </c>
      <c r="N112" s="1629">
        <f>'HT-HP 2'!AA140</f>
        <v>0</v>
      </c>
      <c r="O112" s="1631">
        <f t="shared" si="54"/>
        <v>63</v>
      </c>
      <c r="P112" s="1629">
        <f>gaz!AZ157</f>
        <v>166</v>
      </c>
      <c r="Q112" s="1629">
        <f>gaz!BA157</f>
        <v>0</v>
      </c>
      <c r="R112" s="1629">
        <f>'HT-HP 2'!AA155</f>
        <v>0</v>
      </c>
      <c r="S112" s="1631">
        <f t="shared" si="55"/>
        <v>166</v>
      </c>
      <c r="T112" s="1616"/>
      <c r="U112" s="1604"/>
    </row>
    <row r="113" spans="2:21">
      <c r="B113" s="1604"/>
      <c r="C113" s="1633" t="s">
        <v>20</v>
      </c>
      <c r="D113" s="1639">
        <f t="shared" ref="D113:T113" si="56">SUM(D103:D112)</f>
        <v>32</v>
      </c>
      <c r="E113" s="1639">
        <f t="shared" si="56"/>
        <v>0</v>
      </c>
      <c r="F113" s="1639">
        <f t="shared" si="56"/>
        <v>0</v>
      </c>
      <c r="G113" s="1639">
        <f t="shared" si="56"/>
        <v>32</v>
      </c>
      <c r="H113" s="1639">
        <f t="shared" si="56"/>
        <v>34</v>
      </c>
      <c r="I113" s="1639">
        <f t="shared" si="56"/>
        <v>0</v>
      </c>
      <c r="J113" s="1639">
        <f t="shared" si="56"/>
        <v>0</v>
      </c>
      <c r="K113" s="1639">
        <f t="shared" si="56"/>
        <v>34</v>
      </c>
      <c r="L113" s="1639">
        <f t="shared" si="56"/>
        <v>158</v>
      </c>
      <c r="M113" s="1639">
        <f t="shared" si="56"/>
        <v>0</v>
      </c>
      <c r="N113" s="1639">
        <f t="shared" si="56"/>
        <v>0</v>
      </c>
      <c r="O113" s="1639">
        <f t="shared" si="56"/>
        <v>158</v>
      </c>
      <c r="P113" s="1639">
        <f t="shared" si="56"/>
        <v>446</v>
      </c>
      <c r="Q113" s="1639">
        <f t="shared" si="56"/>
        <v>0</v>
      </c>
      <c r="R113" s="1639">
        <f t="shared" si="56"/>
        <v>0</v>
      </c>
      <c r="S113" s="1639">
        <f t="shared" si="56"/>
        <v>446</v>
      </c>
      <c r="T113" s="1633">
        <f t="shared" si="56"/>
        <v>0</v>
      </c>
      <c r="U113" s="1604"/>
    </row>
    <row r="114" spans="2:21">
      <c r="B114" s="1604"/>
      <c r="C114" s="1643"/>
      <c r="D114" s="1643"/>
      <c r="E114" s="1643"/>
      <c r="F114" s="1643"/>
      <c r="G114" s="1643"/>
      <c r="H114" s="1643"/>
      <c r="I114" s="1643"/>
      <c r="J114" s="1643"/>
      <c r="K114" s="1643"/>
      <c r="L114" s="1643"/>
      <c r="M114" s="1643"/>
      <c r="N114" s="1643"/>
      <c r="O114" s="1643"/>
      <c r="P114" s="1643"/>
      <c r="Q114" s="1643"/>
      <c r="R114" s="1643"/>
      <c r="S114" s="1643"/>
      <c r="T114" s="1643"/>
      <c r="U114" s="1604"/>
    </row>
  </sheetData>
  <mergeCells count="62">
    <mergeCell ref="J9:J12"/>
    <mergeCell ref="K9:K12"/>
    <mergeCell ref="D2:K2"/>
    <mergeCell ref="D3:E3"/>
    <mergeCell ref="F3:F4"/>
    <mergeCell ref="G3:H3"/>
    <mergeCell ref="I3:I4"/>
    <mergeCell ref="J3:J4"/>
    <mergeCell ref="K3:K4"/>
    <mergeCell ref="L3:L4"/>
    <mergeCell ref="M3:M4"/>
    <mergeCell ref="O3:P3"/>
    <mergeCell ref="Q3:R3"/>
    <mergeCell ref="B6:B8"/>
    <mergeCell ref="B14:B16"/>
    <mergeCell ref="C24:C26"/>
    <mergeCell ref="D24:K24"/>
    <mergeCell ref="L24:S24"/>
    <mergeCell ref="D25:G25"/>
    <mergeCell ref="H25:K25"/>
    <mergeCell ref="L25:O25"/>
    <mergeCell ref="P25:S25"/>
    <mergeCell ref="C40:C42"/>
    <mergeCell ref="D40:K40"/>
    <mergeCell ref="L40:S40"/>
    <mergeCell ref="T40:T42"/>
    <mergeCell ref="D41:G41"/>
    <mergeCell ref="H41:K41"/>
    <mergeCell ref="L41:O41"/>
    <mergeCell ref="P41:S41"/>
    <mergeCell ref="C55:C57"/>
    <mergeCell ref="D55:K55"/>
    <mergeCell ref="L55:S55"/>
    <mergeCell ref="T55:T57"/>
    <mergeCell ref="D56:G56"/>
    <mergeCell ref="H56:K56"/>
    <mergeCell ref="L56:O56"/>
    <mergeCell ref="P56:S56"/>
    <mergeCell ref="C70:C72"/>
    <mergeCell ref="D70:K70"/>
    <mergeCell ref="L70:S70"/>
    <mergeCell ref="T70:T72"/>
    <mergeCell ref="D71:G71"/>
    <mergeCell ref="H71:K71"/>
    <mergeCell ref="L71:O71"/>
    <mergeCell ref="P71:S71"/>
    <mergeCell ref="C85:C87"/>
    <mergeCell ref="D85:K85"/>
    <mergeCell ref="L85:S85"/>
    <mergeCell ref="T85:T87"/>
    <mergeCell ref="D86:G86"/>
    <mergeCell ref="H86:K86"/>
    <mergeCell ref="L86:O86"/>
    <mergeCell ref="P86:S86"/>
    <mergeCell ref="C100:C102"/>
    <mergeCell ref="D100:K100"/>
    <mergeCell ref="L100:S100"/>
    <mergeCell ref="T100:T102"/>
    <mergeCell ref="D101:G101"/>
    <mergeCell ref="H101:K101"/>
    <mergeCell ref="L101:O101"/>
    <mergeCell ref="P101:S101"/>
  </mergeCells>
  <pageMargins left="0.7" right="0.7" top="0.75" bottom="0.75" header="0.3" footer="0.3"/>
  <pageSetup paperSize="9" orientation="portrait" r:id="rId1"/>
  <drawing r:id="rId2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800-000000000000}">
  <sheetPr>
    <tabColor indexed="10"/>
  </sheetPr>
  <dimension ref="A3:S41"/>
  <sheetViews>
    <sheetView showGridLines="0" zoomScale="80" zoomScaleNormal="80" zoomScaleSheetLayoutView="87" workbookViewId="0">
      <selection activeCell="M7" sqref="M7:P17"/>
    </sheetView>
  </sheetViews>
  <sheetFormatPr baseColWidth="10" defaultColWidth="11.44140625" defaultRowHeight="13.8"/>
  <cols>
    <col min="1" max="1" width="12.109375" style="160" customWidth="1"/>
    <col min="2" max="2" width="9.5546875" style="160" customWidth="1"/>
    <col min="3" max="3" width="10" style="160" customWidth="1"/>
    <col min="4" max="7" width="10" style="160" hidden="1" customWidth="1"/>
    <col min="8" max="8" width="8.44140625" style="160" customWidth="1"/>
    <col min="9" max="9" width="16.5546875" style="160" customWidth="1"/>
    <col min="10" max="10" width="8" style="160" customWidth="1"/>
    <col min="11" max="11" width="12.88671875" style="160" bestFit="1" customWidth="1"/>
    <col min="12" max="12" width="3.5546875" style="160" customWidth="1"/>
    <col min="13" max="13" width="9.5546875" style="160" customWidth="1"/>
    <col min="14" max="16" width="10" style="160" customWidth="1"/>
    <col min="17" max="16384" width="11.44140625" style="160"/>
  </cols>
  <sheetData>
    <row r="3" spans="1:19" s="126" customFormat="1" ht="26.25" customHeight="1" thickBot="1">
      <c r="A3" s="2982" t="s">
        <v>227</v>
      </c>
      <c r="B3" s="2982"/>
      <c r="C3" s="2982"/>
      <c r="D3" s="2982"/>
      <c r="E3" s="2982"/>
      <c r="F3" s="2982"/>
      <c r="G3" s="2982"/>
      <c r="H3" s="2982"/>
      <c r="I3" s="2982"/>
      <c r="J3" s="2982"/>
      <c r="K3" s="2982"/>
      <c r="L3" s="2982"/>
      <c r="M3" s="2982"/>
      <c r="N3" s="2982"/>
      <c r="O3" s="2982"/>
      <c r="P3" s="2982"/>
    </row>
    <row r="4" spans="1:19" s="126" customFormat="1" ht="14.4" thickBot="1">
      <c r="B4" s="2979" t="s">
        <v>25</v>
      </c>
      <c r="C4" s="2980"/>
      <c r="D4" s="2980"/>
      <c r="E4" s="2980"/>
      <c r="F4" s="2980"/>
      <c r="G4" s="2980"/>
      <c r="H4" s="2980"/>
      <c r="I4" s="2980"/>
      <c r="J4" s="2980"/>
      <c r="K4" s="2983"/>
      <c r="L4" s="127"/>
      <c r="M4" s="2979" t="s">
        <v>26</v>
      </c>
      <c r="N4" s="2980"/>
      <c r="O4" s="2980"/>
      <c r="P4" s="2980"/>
    </row>
    <row r="5" spans="1:19" s="126" customFormat="1" ht="12.75" customHeight="1">
      <c r="A5" s="128" t="s">
        <v>308</v>
      </c>
      <c r="B5" s="2984" t="s">
        <v>1107</v>
      </c>
      <c r="C5" s="2985"/>
      <c r="D5" s="2985"/>
      <c r="E5" s="2986"/>
      <c r="H5" s="2984" t="s">
        <v>1165</v>
      </c>
      <c r="I5" s="2986"/>
      <c r="J5" s="2984" t="s">
        <v>1166</v>
      </c>
      <c r="K5" s="2986"/>
      <c r="M5" s="2984" t="s">
        <v>1164</v>
      </c>
      <c r="N5" s="2985"/>
      <c r="O5" s="2984" t="s">
        <v>1167</v>
      </c>
      <c r="P5" s="2986"/>
    </row>
    <row r="6" spans="1:19" s="126" customFormat="1" ht="27.6">
      <c r="A6" s="129"/>
      <c r="B6" s="2451" t="s">
        <v>230</v>
      </c>
      <c r="C6" s="2373" t="s">
        <v>231</v>
      </c>
      <c r="D6" s="2452" t="s">
        <v>35</v>
      </c>
      <c r="E6" s="2453" t="s">
        <v>170</v>
      </c>
      <c r="H6" s="2451" t="s">
        <v>230</v>
      </c>
      <c r="I6" s="2453" t="s">
        <v>231</v>
      </c>
      <c r="J6" s="2451" t="s">
        <v>230</v>
      </c>
      <c r="K6" s="2453" t="s">
        <v>231</v>
      </c>
      <c r="M6" s="2451" t="s">
        <v>230</v>
      </c>
      <c r="N6" s="2373" t="s">
        <v>231</v>
      </c>
      <c r="O6" s="2451" t="s">
        <v>230</v>
      </c>
      <c r="P6" s="2453" t="s">
        <v>231</v>
      </c>
    </row>
    <row r="7" spans="1:19" s="146" customFormat="1">
      <c r="A7" s="2051" t="s">
        <v>68</v>
      </c>
      <c r="B7" s="2454">
        <v>3278</v>
      </c>
      <c r="C7" s="2455">
        <v>2</v>
      </c>
      <c r="D7" s="2456">
        <v>4</v>
      </c>
      <c r="E7" s="2457">
        <v>-4</v>
      </c>
      <c r="H7" s="2454">
        <v>41</v>
      </c>
      <c r="I7" s="2465">
        <v>29</v>
      </c>
      <c r="J7" s="2454">
        <v>58</v>
      </c>
      <c r="K7" s="2465">
        <v>28</v>
      </c>
      <c r="L7" s="2249"/>
      <c r="M7" s="2454">
        <v>1200</v>
      </c>
      <c r="N7" s="2455">
        <v>2</v>
      </c>
      <c r="O7" s="2454">
        <v>60</v>
      </c>
      <c r="P7" s="2465">
        <v>26</v>
      </c>
    </row>
    <row r="8" spans="1:19" s="126" customFormat="1">
      <c r="A8" s="2051" t="s">
        <v>7</v>
      </c>
      <c r="B8" s="2454">
        <v>482</v>
      </c>
      <c r="C8" s="2455">
        <v>6</v>
      </c>
      <c r="D8" s="2456">
        <v>5</v>
      </c>
      <c r="E8" s="2457">
        <v>1.3112033195020745</v>
      </c>
      <c r="F8" s="2510"/>
      <c r="G8" s="2510"/>
      <c r="H8" s="2454">
        <v>7</v>
      </c>
      <c r="I8" s="2465">
        <v>14</v>
      </c>
      <c r="J8" s="2454">
        <v>0</v>
      </c>
      <c r="K8" s="2465">
        <v>0</v>
      </c>
      <c r="L8" s="2249"/>
      <c r="M8" s="2454">
        <v>89</v>
      </c>
      <c r="N8" s="2455">
        <v>6</v>
      </c>
      <c r="O8" s="2454">
        <v>17</v>
      </c>
      <c r="P8" s="2465">
        <v>13</v>
      </c>
    </row>
    <row r="9" spans="1:19" s="147" customFormat="1">
      <c r="A9" s="2051" t="s">
        <v>8</v>
      </c>
      <c r="B9" s="2454">
        <v>411</v>
      </c>
      <c r="C9" s="2455">
        <v>6</v>
      </c>
      <c r="D9" s="2456"/>
      <c r="E9" s="2457"/>
      <c r="F9" s="2509"/>
      <c r="G9" s="2509"/>
      <c r="H9" s="2454">
        <v>3</v>
      </c>
      <c r="I9" s="2465">
        <v>10</v>
      </c>
      <c r="J9" s="2454">
        <v>1</v>
      </c>
      <c r="K9" s="2465">
        <v>5</v>
      </c>
      <c r="L9" s="2249"/>
      <c r="M9" s="2454">
        <v>99</v>
      </c>
      <c r="N9" s="2455">
        <v>6</v>
      </c>
      <c r="O9" s="2454">
        <v>14</v>
      </c>
      <c r="P9" s="2465">
        <v>19</v>
      </c>
      <c r="S9" s="147">
        <f>260*1.14</f>
        <v>296.39999999999998</v>
      </c>
    </row>
    <row r="10" spans="1:19" s="147" customFormat="1">
      <c r="A10" s="2051" t="s">
        <v>4</v>
      </c>
      <c r="B10" s="2454">
        <v>941</v>
      </c>
      <c r="C10" s="2455">
        <v>5</v>
      </c>
      <c r="D10" s="2456">
        <v>5</v>
      </c>
      <c r="E10" s="2457">
        <v>0</v>
      </c>
      <c r="F10" s="2509"/>
      <c r="G10" s="2509"/>
      <c r="H10" s="2454">
        <v>15</v>
      </c>
      <c r="I10" s="2465">
        <v>25</v>
      </c>
      <c r="J10" s="2454">
        <v>3</v>
      </c>
      <c r="K10" s="2465">
        <v>35</v>
      </c>
      <c r="L10" s="2249"/>
      <c r="M10" s="2454">
        <v>212</v>
      </c>
      <c r="N10" s="2455">
        <v>5</v>
      </c>
      <c r="O10" s="2454">
        <v>34</v>
      </c>
      <c r="P10" s="2465">
        <v>21</v>
      </c>
    </row>
    <row r="11" spans="1:19" s="147" customFormat="1">
      <c r="A11" s="2051" t="s">
        <v>3</v>
      </c>
      <c r="B11" s="2454">
        <v>267</v>
      </c>
      <c r="C11" s="2455">
        <v>5.09</v>
      </c>
      <c r="D11" s="2456">
        <v>5</v>
      </c>
      <c r="E11" s="2457">
        <v>8.9999999999999858E-2</v>
      </c>
      <c r="F11" s="2509"/>
      <c r="G11" s="2509"/>
      <c r="H11" s="2454">
        <v>2</v>
      </c>
      <c r="I11" s="2465">
        <v>28.4</v>
      </c>
      <c r="J11" s="2454">
        <v>4</v>
      </c>
      <c r="K11" s="2465">
        <v>27.04</v>
      </c>
      <c r="L11" s="2249"/>
      <c r="M11" s="2454">
        <v>199</v>
      </c>
      <c r="N11" s="2455">
        <v>6.18</v>
      </c>
      <c r="O11" s="2454">
        <v>3</v>
      </c>
      <c r="P11" s="2465">
        <v>17.25</v>
      </c>
    </row>
    <row r="12" spans="1:19" s="126" customFormat="1">
      <c r="A12" s="2051" t="s">
        <v>397</v>
      </c>
      <c r="B12" s="2454">
        <v>216</v>
      </c>
      <c r="C12" s="2455">
        <v>4</v>
      </c>
      <c r="D12" s="2456">
        <v>4</v>
      </c>
      <c r="E12" s="2457">
        <v>0</v>
      </c>
      <c r="F12" s="2509"/>
      <c r="G12" s="2509"/>
      <c r="H12" s="2454">
        <v>75</v>
      </c>
      <c r="I12" s="2465">
        <v>20</v>
      </c>
      <c r="J12" s="2454">
        <v>11</v>
      </c>
      <c r="K12" s="2465">
        <v>21</v>
      </c>
      <c r="L12" s="2249"/>
      <c r="M12" s="2454">
        <v>237</v>
      </c>
      <c r="N12" s="2455">
        <v>4</v>
      </c>
      <c r="O12" s="2454">
        <v>11</v>
      </c>
      <c r="P12" s="2465">
        <v>20</v>
      </c>
    </row>
    <row r="13" spans="1:19" s="126" customFormat="1" ht="14.25" customHeight="1">
      <c r="A13" s="2051" t="s">
        <v>399</v>
      </c>
      <c r="B13" s="2454">
        <v>232</v>
      </c>
      <c r="C13" s="2455">
        <v>7</v>
      </c>
      <c r="D13" s="2456"/>
      <c r="E13" s="2457"/>
      <c r="F13" s="2509"/>
      <c r="G13" s="2509"/>
      <c r="H13" s="2454">
        <v>34</v>
      </c>
      <c r="I13" s="2465">
        <v>22</v>
      </c>
      <c r="J13" s="2454">
        <v>61</v>
      </c>
      <c r="K13" s="2465">
        <v>25</v>
      </c>
      <c r="L13" s="2249"/>
      <c r="M13" s="2454">
        <v>41</v>
      </c>
      <c r="N13" s="2455">
        <v>9</v>
      </c>
      <c r="O13" s="2454">
        <v>28</v>
      </c>
      <c r="P13" s="2465">
        <v>22</v>
      </c>
    </row>
    <row r="14" spans="1:19" s="147" customFormat="1">
      <c r="A14" s="2051" t="s">
        <v>883</v>
      </c>
      <c r="B14" s="2454">
        <v>408</v>
      </c>
      <c r="C14" s="2455">
        <v>4.5104333868378816</v>
      </c>
      <c r="D14" s="2456">
        <v>5</v>
      </c>
      <c r="E14" s="2457" t="e">
        <v>#DIV/0!</v>
      </c>
      <c r="F14" s="2509"/>
      <c r="G14" s="2509"/>
      <c r="H14" s="2454">
        <v>2</v>
      </c>
      <c r="I14" s="2465">
        <v>24</v>
      </c>
      <c r="J14" s="2454">
        <v>11</v>
      </c>
      <c r="K14" s="2465">
        <v>34</v>
      </c>
      <c r="L14" s="2249"/>
      <c r="M14" s="2454">
        <v>118</v>
      </c>
      <c r="N14" s="2455">
        <v>5.112676056338028</v>
      </c>
      <c r="O14" s="2454">
        <v>4</v>
      </c>
      <c r="P14" s="2465">
        <v>23</v>
      </c>
    </row>
    <row r="15" spans="1:19" s="126" customFormat="1">
      <c r="A15" s="2051" t="s">
        <v>884</v>
      </c>
      <c r="B15" s="2454">
        <v>469</v>
      </c>
      <c r="C15" s="2455">
        <v>5.3901918976545842</v>
      </c>
      <c r="D15" s="2456">
        <v>5</v>
      </c>
      <c r="E15" s="2457">
        <v>0.39019189765458417</v>
      </c>
      <c r="F15" s="2510"/>
      <c r="G15" s="2510"/>
      <c r="H15" s="2454">
        <v>12</v>
      </c>
      <c r="I15" s="2465">
        <v>10.583333333333334</v>
      </c>
      <c r="J15" s="2454">
        <v>3</v>
      </c>
      <c r="K15" s="2465">
        <v>27</v>
      </c>
      <c r="L15" s="2249"/>
      <c r="M15" s="2454">
        <v>117</v>
      </c>
      <c r="N15" s="2455">
        <v>4.8803418803418808</v>
      </c>
      <c r="O15" s="2454">
        <v>21</v>
      </c>
      <c r="P15" s="2465">
        <v>8.4761904761904763</v>
      </c>
    </row>
    <row r="16" spans="1:19" s="148" customFormat="1">
      <c r="A16" s="2051" t="s">
        <v>885</v>
      </c>
      <c r="B16" s="2458">
        <v>126</v>
      </c>
      <c r="C16" s="2459">
        <v>6</v>
      </c>
      <c r="D16" s="2460">
        <v>5</v>
      </c>
      <c r="E16" s="2461">
        <v>1</v>
      </c>
      <c r="H16" s="2458">
        <v>0</v>
      </c>
      <c r="I16" s="2466">
        <v>0</v>
      </c>
      <c r="J16" s="2458">
        <v>0</v>
      </c>
      <c r="K16" s="2466">
        <v>0</v>
      </c>
      <c r="L16" s="961"/>
      <c r="M16" s="2458">
        <v>24</v>
      </c>
      <c r="N16" s="2459">
        <v>6</v>
      </c>
      <c r="O16" s="2458">
        <v>1</v>
      </c>
      <c r="P16" s="2466">
        <v>28</v>
      </c>
    </row>
    <row r="17" spans="1:16" s="159" customFormat="1" ht="14.4" thickBot="1">
      <c r="A17" s="149" t="s">
        <v>614</v>
      </c>
      <c r="B17" s="2462">
        <f>SUM(B7:B16)</f>
        <v>6830</v>
      </c>
      <c r="C17" s="2374">
        <f>((B7*C7)+(B8*C8)+(B9*C9)+(B10*C10)+(B11*C11)+(B12*C12)+(B13*C13)+(B14*C14)+(B15*C15)+(B16*C16))/B17</f>
        <v>3.7467477045138877</v>
      </c>
      <c r="D17" s="2463">
        <v>5</v>
      </c>
      <c r="E17" s="2464">
        <f>C17-D17</f>
        <v>-1.2532522954861123</v>
      </c>
      <c r="H17" s="2462">
        <f>SUM(H7:H16)</f>
        <v>191</v>
      </c>
      <c r="I17" s="2464">
        <f>((H7*I7)+(H8*I8)+(H9*I9)+(H10*I10)+(H11*I11)+(H12*I12)+(H13*I13)+(H14*I14)+(H15*I15)+(H16*I16))/H17</f>
        <v>21.841884816753929</v>
      </c>
      <c r="J17" s="2462">
        <f>SUM(J7:J16)</f>
        <v>152</v>
      </c>
      <c r="K17" s="2464">
        <f>((J7*K7)+(J8*K8)+(J9*K9)+(J10*K10)+(J11*K11)+(J12*K12)+(J13*K13)+(J14*K14)+(J15*K15)+(J16*K16))/J17</f>
        <v>26.665526315789474</v>
      </c>
      <c r="L17" s="145"/>
      <c r="M17" s="2462">
        <f>SUM(M7:M16)</f>
        <v>2336</v>
      </c>
      <c r="N17" s="2374">
        <f>((M7*N7)+(M8*N8)+(M9*N9)+(M10*N10)+(M11*N11)+(M12*N12)+(M13*N13)+(M14*N14)+(M15*N15)+(M16*N16))/M17</f>
        <v>3.6186283281883078</v>
      </c>
      <c r="O17" s="2462">
        <f>SUM(O7:O16)</f>
        <v>193</v>
      </c>
      <c r="P17" s="2464">
        <f>((O7*P7)+(O8*P8)+(O9*P9)+(O10*P10)+(O11*P11)+(O12*P12)+(O13*P13)+(O14*P14)+(O15*P15)+(O16*P16))/O17</f>
        <v>20.449481865284973</v>
      </c>
    </row>
    <row r="26" spans="1:16">
      <c r="B26" s="2981"/>
      <c r="C26" s="2981"/>
    </row>
    <row r="41" spans="2:3">
      <c r="B41" s="2981"/>
      <c r="C41" s="2981"/>
    </row>
  </sheetData>
  <mergeCells count="10">
    <mergeCell ref="M4:P4"/>
    <mergeCell ref="B26:C26"/>
    <mergeCell ref="B41:C41"/>
    <mergeCell ref="A3:P3"/>
    <mergeCell ref="B4:K4"/>
    <mergeCell ref="B5:E5"/>
    <mergeCell ref="H5:I5"/>
    <mergeCell ref="O5:P5"/>
    <mergeCell ref="J5:K5"/>
    <mergeCell ref="M5:N5"/>
  </mergeCells>
  <pageMargins left="0.51181102362204722" right="0.23622047244094491" top="1.1417322834645669" bottom="0.98425196850393704" header="0.51181102362204722" footer="0.51181102362204722"/>
  <pageSetup paperSize="9" scale="52" orientation="landscape" r:id="rId1"/>
  <headerFooter alignWithMargins="0">
    <oddHeader>&amp;L&amp;"Times New Roman,Gras"&amp;12SDC_SPADCMD/EC&amp;C&amp;"Times New Roman,Gras"&amp;20Délais de réalisations&amp;G</oddHeader>
    <oddFooter>&amp;LTableau de bord Août 2015&amp;Rpage -4-</oddFooter>
  </headerFooter>
  <legacyDrawingHF r:id="rId2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900-000000000000}">
  <sheetPr>
    <tabColor indexed="10"/>
  </sheetPr>
  <dimension ref="A3:Z52"/>
  <sheetViews>
    <sheetView showGridLines="0" zoomScale="80" zoomScaleNormal="80" zoomScaleSheetLayoutView="87" workbookViewId="0">
      <selection activeCell="U12" sqref="U12:V12"/>
    </sheetView>
  </sheetViews>
  <sheetFormatPr baseColWidth="10" defaultColWidth="11.44140625" defaultRowHeight="13.8"/>
  <cols>
    <col min="1" max="1" width="12.109375" style="160" customWidth="1"/>
    <col min="2" max="2" width="9.5546875" style="160" customWidth="1"/>
    <col min="3" max="7" width="10" style="160" customWidth="1"/>
    <col min="8" max="8" width="8.44140625" style="160" customWidth="1"/>
    <col min="9" max="9" width="16.5546875" style="160" customWidth="1"/>
    <col min="10" max="11" width="10" style="160" customWidth="1"/>
    <col min="12" max="12" width="8" style="160" customWidth="1"/>
    <col min="13" max="13" width="10" style="160" customWidth="1"/>
    <col min="14" max="14" width="3.5546875" style="160" customWidth="1"/>
    <col min="15" max="15" width="9.5546875" style="160" customWidth="1"/>
    <col min="16" max="16" width="10" style="160" customWidth="1"/>
    <col min="17" max="17" width="8.44140625" style="160" customWidth="1"/>
    <col min="18" max="19" width="10" style="160" customWidth="1"/>
    <col min="20" max="20" width="8.33203125" style="160" bestFit="1" customWidth="1"/>
    <col min="21" max="24" width="10" style="160" customWidth="1"/>
    <col min="25" max="25" width="7.44140625" style="160" customWidth="1"/>
    <col min="26" max="26" width="10" style="160" customWidth="1"/>
    <col min="27" max="16384" width="11.44140625" style="160"/>
  </cols>
  <sheetData>
    <row r="3" spans="1:26" s="126" customFormat="1" ht="26.25" customHeight="1" thickBot="1">
      <c r="A3" s="2982" t="s">
        <v>227</v>
      </c>
      <c r="B3" s="2982"/>
      <c r="C3" s="2982"/>
      <c r="D3" s="2982"/>
      <c r="E3" s="2982"/>
      <c r="F3" s="2982"/>
      <c r="G3" s="2982"/>
      <c r="H3" s="2982"/>
      <c r="I3" s="2982"/>
      <c r="J3" s="2982"/>
      <c r="K3" s="2982"/>
      <c r="L3" s="2982"/>
      <c r="M3" s="2982"/>
      <c r="N3" s="2982"/>
      <c r="O3" s="2982"/>
      <c r="P3" s="2982"/>
      <c r="Q3" s="2982"/>
      <c r="R3" s="2982"/>
      <c r="S3" s="2982"/>
      <c r="T3" s="2982"/>
      <c r="U3" s="2982"/>
      <c r="V3" s="2982"/>
      <c r="W3" s="2982"/>
      <c r="X3" s="2982"/>
      <c r="Y3" s="2982"/>
      <c r="Z3" s="125"/>
    </row>
    <row r="4" spans="1:26" s="126" customFormat="1" ht="14.4" thickBot="1">
      <c r="B4" s="2979" t="s">
        <v>25</v>
      </c>
      <c r="C4" s="2980"/>
      <c r="D4" s="2980"/>
      <c r="E4" s="2980"/>
      <c r="F4" s="2980"/>
      <c r="G4" s="2980"/>
      <c r="H4" s="2980"/>
      <c r="I4" s="2980"/>
      <c r="J4" s="2980"/>
      <c r="K4" s="2980"/>
      <c r="L4" s="2980"/>
      <c r="M4" s="2983"/>
      <c r="N4" s="127"/>
      <c r="O4" s="2979" t="s">
        <v>26</v>
      </c>
      <c r="P4" s="2980"/>
      <c r="Q4" s="2980"/>
      <c r="R4" s="2980"/>
      <c r="S4" s="2980"/>
      <c r="T4" s="2980"/>
      <c r="U4" s="2980"/>
      <c r="V4" s="2980"/>
      <c r="W4" s="2980"/>
      <c r="X4" s="2980"/>
      <c r="Y4" s="2980"/>
      <c r="Z4" s="2983"/>
    </row>
    <row r="5" spans="1:26" s="126" customFormat="1" ht="12.75" customHeight="1" thickBot="1">
      <c r="A5" s="128" t="s">
        <v>308</v>
      </c>
      <c r="B5" s="2984" t="s">
        <v>228</v>
      </c>
      <c r="C5" s="2985"/>
      <c r="D5" s="2985"/>
      <c r="E5" s="2985"/>
      <c r="F5" s="2985"/>
      <c r="G5" s="2986"/>
      <c r="H5" s="2984" t="s">
        <v>229</v>
      </c>
      <c r="I5" s="2985"/>
      <c r="J5" s="2985"/>
      <c r="K5" s="2985"/>
      <c r="L5" s="2985"/>
      <c r="M5" s="2986"/>
      <c r="O5" s="2979" t="s">
        <v>228</v>
      </c>
      <c r="P5" s="2980"/>
      <c r="Q5" s="2980"/>
      <c r="R5" s="2980"/>
      <c r="S5" s="2980"/>
      <c r="T5" s="2983"/>
      <c r="U5" s="2987" t="s">
        <v>229</v>
      </c>
      <c r="V5" s="2988"/>
      <c r="W5" s="2988"/>
      <c r="X5" s="2988"/>
      <c r="Y5" s="2988"/>
      <c r="Z5" s="2989"/>
    </row>
    <row r="6" spans="1:26" s="126" customFormat="1" ht="27.6">
      <c r="A6" s="129"/>
      <c r="B6" s="130" t="s">
        <v>230</v>
      </c>
      <c r="C6" s="131" t="s">
        <v>231</v>
      </c>
      <c r="D6" s="132" t="s">
        <v>306</v>
      </c>
      <c r="E6" s="132" t="s">
        <v>852</v>
      </c>
      <c r="F6" s="133" t="s">
        <v>35</v>
      </c>
      <c r="G6" s="131" t="s">
        <v>170</v>
      </c>
      <c r="H6" s="130" t="s">
        <v>230</v>
      </c>
      <c r="I6" s="131" t="s">
        <v>231</v>
      </c>
      <c r="J6" s="132" t="s">
        <v>306</v>
      </c>
      <c r="K6" s="132" t="s">
        <v>852</v>
      </c>
      <c r="L6" s="133" t="s">
        <v>35</v>
      </c>
      <c r="M6" s="134" t="s">
        <v>170</v>
      </c>
      <c r="O6" s="135" t="s">
        <v>230</v>
      </c>
      <c r="P6" s="136" t="s">
        <v>231</v>
      </c>
      <c r="Q6" s="137" t="s">
        <v>306</v>
      </c>
      <c r="R6" s="132" t="s">
        <v>852</v>
      </c>
      <c r="S6" s="138" t="s">
        <v>35</v>
      </c>
      <c r="T6" s="139" t="s">
        <v>170</v>
      </c>
      <c r="U6" s="140" t="s">
        <v>230</v>
      </c>
      <c r="V6" s="141" t="s">
        <v>231</v>
      </c>
      <c r="W6" s="142" t="s">
        <v>306</v>
      </c>
      <c r="X6" s="142" t="s">
        <v>852</v>
      </c>
      <c r="Y6" s="143" t="s">
        <v>35</v>
      </c>
      <c r="Z6" s="144" t="s">
        <v>170</v>
      </c>
    </row>
    <row r="7" spans="1:26" s="146" customFormat="1">
      <c r="A7" s="2051" t="s">
        <v>68</v>
      </c>
      <c r="B7" s="2242">
        <v>3278</v>
      </c>
      <c r="C7" s="2243">
        <v>2</v>
      </c>
      <c r="D7" s="2244">
        <v>3</v>
      </c>
      <c r="E7" s="2245">
        <f>D7/B7*100</f>
        <v>9.1519219035997565E-2</v>
      </c>
      <c r="F7" s="2246">
        <v>4</v>
      </c>
      <c r="G7" s="2247">
        <f>C7-F7</f>
        <v>-2</v>
      </c>
      <c r="H7" s="2242">
        <v>424</v>
      </c>
      <c r="I7" s="2243">
        <v>23</v>
      </c>
      <c r="J7" s="2244">
        <v>15</v>
      </c>
      <c r="K7" s="2245">
        <f>J7/H7*100</f>
        <v>3.5377358490566038</v>
      </c>
      <c r="L7" s="2246">
        <v>27</v>
      </c>
      <c r="M7" s="2248">
        <f>I7-L7</f>
        <v>-4</v>
      </c>
      <c r="N7" s="2249"/>
      <c r="O7" s="2242">
        <v>1200</v>
      </c>
      <c r="P7" s="2243">
        <v>2</v>
      </c>
      <c r="Q7" s="2244">
        <v>6</v>
      </c>
      <c r="R7" s="2245">
        <f>Q7/O7*100</f>
        <v>0.5</v>
      </c>
      <c r="S7" s="2246">
        <v>4</v>
      </c>
      <c r="T7" s="2248">
        <f t="shared" ref="T7:T17" si="0">P7-S7</f>
        <v>-2</v>
      </c>
      <c r="U7" s="2250">
        <v>278</v>
      </c>
      <c r="V7" s="2243">
        <v>28</v>
      </c>
      <c r="W7" s="2244">
        <v>8</v>
      </c>
      <c r="X7" s="2245">
        <f>W7/U7*100</f>
        <v>2.877697841726619</v>
      </c>
      <c r="Y7" s="2246">
        <v>30</v>
      </c>
      <c r="Z7" s="2248">
        <f t="shared" ref="Z7:Z17" si="1">V7-Y7</f>
        <v>-2</v>
      </c>
    </row>
    <row r="8" spans="1:26" s="126" customFormat="1">
      <c r="A8" s="2051" t="s">
        <v>7</v>
      </c>
      <c r="B8" s="2242">
        <v>3500</v>
      </c>
      <c r="C8" s="2243">
        <v>6</v>
      </c>
      <c r="D8" s="2244">
        <v>44</v>
      </c>
      <c r="E8" s="2245">
        <f t="shared" ref="E8:E16" si="2">D8/B8*100</f>
        <v>1.2571428571428571</v>
      </c>
      <c r="F8" s="2246">
        <v>6</v>
      </c>
      <c r="G8" s="2247">
        <f t="shared" ref="G8:G16" si="3">C8-F8</f>
        <v>0</v>
      </c>
      <c r="H8" s="2242">
        <v>299</v>
      </c>
      <c r="I8" s="2243">
        <v>35</v>
      </c>
      <c r="J8" s="2244">
        <v>6</v>
      </c>
      <c r="K8" s="2245">
        <f t="shared" ref="K8:K16" si="4">J8/H8*100</f>
        <v>2.0066889632107023</v>
      </c>
      <c r="L8" s="2246">
        <v>35</v>
      </c>
      <c r="M8" s="2248">
        <f t="shared" ref="M8:M16" si="5">I8-L8</f>
        <v>0</v>
      </c>
      <c r="N8" s="2249"/>
      <c r="O8" s="2242">
        <v>1214</v>
      </c>
      <c r="P8" s="2243">
        <v>6</v>
      </c>
      <c r="Q8" s="2244">
        <v>26</v>
      </c>
      <c r="R8" s="2245">
        <f t="shared" ref="R8:R17" si="6">Q8/O8*100</f>
        <v>2.1416803953871502</v>
      </c>
      <c r="S8" s="2246">
        <v>6</v>
      </c>
      <c r="T8" s="2248">
        <f t="shared" si="0"/>
        <v>0</v>
      </c>
      <c r="U8" s="2250">
        <v>116</v>
      </c>
      <c r="V8" s="2243">
        <v>28</v>
      </c>
      <c r="W8" s="2244">
        <v>1</v>
      </c>
      <c r="X8" s="2245">
        <f t="shared" ref="X8:X17" si="7">W8/U8*100</f>
        <v>0.86206896551724133</v>
      </c>
      <c r="Y8" s="2246">
        <v>30</v>
      </c>
      <c r="Z8" s="2248">
        <f t="shared" si="1"/>
        <v>-2</v>
      </c>
    </row>
    <row r="9" spans="1:26" s="147" customFormat="1">
      <c r="A9" s="2051" t="s">
        <v>8</v>
      </c>
      <c r="B9" s="2242">
        <v>3735</v>
      </c>
      <c r="C9" s="2243">
        <v>6</v>
      </c>
      <c r="D9" s="2244">
        <v>0</v>
      </c>
      <c r="E9" s="2245">
        <f>D9/B9*100</f>
        <v>0</v>
      </c>
      <c r="F9" s="2246">
        <v>6</v>
      </c>
      <c r="G9" s="2247">
        <f>C9-F9</f>
        <v>0</v>
      </c>
      <c r="H9" s="2242">
        <v>349</v>
      </c>
      <c r="I9" s="2243">
        <v>35</v>
      </c>
      <c r="J9" s="2244">
        <v>37</v>
      </c>
      <c r="K9" s="2245">
        <f>J9/H9*100</f>
        <v>10.601719197707736</v>
      </c>
      <c r="L9" s="2246">
        <v>35</v>
      </c>
      <c r="M9" s="2248">
        <f>I9-L9</f>
        <v>0</v>
      </c>
      <c r="N9" s="2249"/>
      <c r="O9" s="2242">
        <v>1191</v>
      </c>
      <c r="P9" s="2243">
        <v>6</v>
      </c>
      <c r="Q9" s="2244">
        <v>0</v>
      </c>
      <c r="R9" s="2245">
        <f>Q9/O9*100</f>
        <v>0</v>
      </c>
      <c r="S9" s="2246">
        <v>6</v>
      </c>
      <c r="T9" s="2248">
        <f>P9-S9</f>
        <v>0</v>
      </c>
      <c r="U9" s="2250">
        <v>194</v>
      </c>
      <c r="V9" s="2243">
        <v>35</v>
      </c>
      <c r="W9" s="2244">
        <v>37</v>
      </c>
      <c r="X9" s="2245">
        <f>W9/U9*100</f>
        <v>19.072164948453608</v>
      </c>
      <c r="Y9" s="2246">
        <v>35</v>
      </c>
      <c r="Z9" s="2248">
        <f>V9-Y9</f>
        <v>0</v>
      </c>
    </row>
    <row r="10" spans="1:26" s="147" customFormat="1">
      <c r="A10" s="2051" t="s">
        <v>4</v>
      </c>
      <c r="B10" s="2242">
        <v>6423</v>
      </c>
      <c r="C10" s="2243">
        <v>5</v>
      </c>
      <c r="D10" s="2244">
        <v>116</v>
      </c>
      <c r="E10" s="2245">
        <f t="shared" si="2"/>
        <v>1.8060096528102132</v>
      </c>
      <c r="F10" s="2246">
        <v>5</v>
      </c>
      <c r="G10" s="2247">
        <f t="shared" si="3"/>
        <v>0</v>
      </c>
      <c r="H10" s="2242">
        <v>336</v>
      </c>
      <c r="I10" s="2243">
        <v>34</v>
      </c>
      <c r="J10" s="2244">
        <v>14</v>
      </c>
      <c r="K10" s="2245">
        <f t="shared" si="4"/>
        <v>4.1666666666666661</v>
      </c>
      <c r="L10" s="2246">
        <v>35</v>
      </c>
      <c r="M10" s="2248">
        <f t="shared" si="5"/>
        <v>-1</v>
      </c>
      <c r="N10" s="2249"/>
      <c r="O10" s="2242">
        <v>2316</v>
      </c>
      <c r="P10" s="2243">
        <v>5</v>
      </c>
      <c r="Q10" s="2244">
        <v>93</v>
      </c>
      <c r="R10" s="2245">
        <f t="shared" si="6"/>
        <v>4.0155440414507773</v>
      </c>
      <c r="S10" s="2246">
        <v>6</v>
      </c>
      <c r="T10" s="2248">
        <f t="shared" si="0"/>
        <v>-1</v>
      </c>
      <c r="U10" s="2250">
        <v>420</v>
      </c>
      <c r="V10" s="2243">
        <v>24</v>
      </c>
      <c r="W10" s="2244">
        <v>14</v>
      </c>
      <c r="X10" s="2245">
        <f t="shared" si="7"/>
        <v>3.3333333333333335</v>
      </c>
      <c r="Y10" s="2246">
        <v>25</v>
      </c>
      <c r="Z10" s="2248">
        <f>V10-Y10</f>
        <v>-1</v>
      </c>
    </row>
    <row r="11" spans="1:26" s="147" customFormat="1">
      <c r="A11" s="2051" t="s">
        <v>3</v>
      </c>
      <c r="B11" s="2242">
        <v>2762</v>
      </c>
      <c r="C11" s="2243">
        <v>5</v>
      </c>
      <c r="D11" s="2244">
        <v>0</v>
      </c>
      <c r="E11" s="2245">
        <f t="shared" si="2"/>
        <v>0</v>
      </c>
      <c r="F11" s="2246">
        <v>5</v>
      </c>
      <c r="G11" s="2247">
        <f t="shared" si="3"/>
        <v>0</v>
      </c>
      <c r="H11" s="2242">
        <v>397</v>
      </c>
      <c r="I11" s="2243">
        <v>31</v>
      </c>
      <c r="J11" s="2244">
        <v>199</v>
      </c>
      <c r="K11" s="2245">
        <f t="shared" si="4"/>
        <v>50.125944584382879</v>
      </c>
      <c r="L11" s="2246">
        <v>22</v>
      </c>
      <c r="M11" s="2248">
        <f t="shared" si="5"/>
        <v>9</v>
      </c>
      <c r="N11" s="2249"/>
      <c r="O11" s="2242">
        <v>1264</v>
      </c>
      <c r="P11" s="2243">
        <v>6</v>
      </c>
      <c r="Q11" s="2244">
        <v>0</v>
      </c>
      <c r="R11" s="2245">
        <f t="shared" si="6"/>
        <v>0</v>
      </c>
      <c r="S11" s="2246">
        <v>5</v>
      </c>
      <c r="T11" s="2248">
        <f t="shared" si="0"/>
        <v>1</v>
      </c>
      <c r="U11" s="2250">
        <v>379</v>
      </c>
      <c r="V11" s="2243">
        <v>20</v>
      </c>
      <c r="W11" s="2244">
        <v>157</v>
      </c>
      <c r="X11" s="2245">
        <f t="shared" si="7"/>
        <v>41.424802110817943</v>
      </c>
      <c r="Y11" s="2246">
        <v>18</v>
      </c>
      <c r="Z11" s="2248">
        <f t="shared" si="1"/>
        <v>2</v>
      </c>
    </row>
    <row r="12" spans="1:26" s="126" customFormat="1">
      <c r="A12" s="2051" t="s">
        <v>397</v>
      </c>
      <c r="B12" s="2242">
        <v>1837</v>
      </c>
      <c r="C12" s="2243">
        <v>4</v>
      </c>
      <c r="D12" s="2244">
        <v>72</v>
      </c>
      <c r="E12" s="2245">
        <f t="shared" si="2"/>
        <v>3.91943385955362</v>
      </c>
      <c r="F12" s="2246">
        <v>4</v>
      </c>
      <c r="G12" s="2247">
        <f t="shared" si="3"/>
        <v>0</v>
      </c>
      <c r="H12" s="2242">
        <v>206</v>
      </c>
      <c r="I12" s="2243">
        <v>20</v>
      </c>
      <c r="J12" s="2244">
        <v>0</v>
      </c>
      <c r="K12" s="2245">
        <f t="shared" si="4"/>
        <v>0</v>
      </c>
      <c r="L12" s="2246">
        <v>20</v>
      </c>
      <c r="M12" s="2248">
        <f t="shared" si="5"/>
        <v>0</v>
      </c>
      <c r="N12" s="2249"/>
      <c r="O12" s="2242">
        <v>1606</v>
      </c>
      <c r="P12" s="2243">
        <v>4</v>
      </c>
      <c r="Q12" s="2244">
        <v>42</v>
      </c>
      <c r="R12" s="2245">
        <f t="shared" si="6"/>
        <v>2.6151930261519305</v>
      </c>
      <c r="S12" s="2246">
        <v>4</v>
      </c>
      <c r="T12" s="2248">
        <f t="shared" si="0"/>
        <v>0</v>
      </c>
      <c r="U12" s="2250">
        <v>91</v>
      </c>
      <c r="V12" s="2243">
        <v>20</v>
      </c>
      <c r="W12" s="2244">
        <v>0</v>
      </c>
      <c r="X12" s="2245">
        <f t="shared" si="7"/>
        <v>0</v>
      </c>
      <c r="Y12" s="2246">
        <v>20</v>
      </c>
      <c r="Z12" s="2248">
        <f t="shared" si="1"/>
        <v>0</v>
      </c>
    </row>
    <row r="13" spans="1:26" s="126" customFormat="1" ht="14.25" customHeight="1">
      <c r="A13" s="2051" t="s">
        <v>399</v>
      </c>
      <c r="B13" s="2242">
        <v>3757</v>
      </c>
      <c r="C13" s="2243">
        <v>6</v>
      </c>
      <c r="D13" s="2244">
        <v>64</v>
      </c>
      <c r="E13" s="2245">
        <f t="shared" si="2"/>
        <v>1.7034868245940911</v>
      </c>
      <c r="F13" s="2246">
        <v>5</v>
      </c>
      <c r="G13" s="2247">
        <f t="shared" si="3"/>
        <v>1</v>
      </c>
      <c r="H13" s="2242">
        <v>922</v>
      </c>
      <c r="I13" s="2243">
        <v>19</v>
      </c>
      <c r="J13" s="2244">
        <v>42</v>
      </c>
      <c r="K13" s="2245">
        <f t="shared" si="4"/>
        <v>4.5553145336225596</v>
      </c>
      <c r="L13" s="2246">
        <v>22</v>
      </c>
      <c r="M13" s="2248">
        <f t="shared" si="5"/>
        <v>-3</v>
      </c>
      <c r="N13" s="2249"/>
      <c r="O13" s="2242">
        <v>936</v>
      </c>
      <c r="P13" s="2243">
        <v>6</v>
      </c>
      <c r="Q13" s="2244">
        <v>63</v>
      </c>
      <c r="R13" s="2245">
        <f t="shared" si="6"/>
        <v>6.7307692307692308</v>
      </c>
      <c r="S13" s="2246">
        <v>6</v>
      </c>
      <c r="T13" s="2248">
        <f t="shared" si="0"/>
        <v>0</v>
      </c>
      <c r="U13" s="2250">
        <v>451</v>
      </c>
      <c r="V13" s="2243">
        <v>20</v>
      </c>
      <c r="W13" s="2244">
        <v>41</v>
      </c>
      <c r="X13" s="2245">
        <f t="shared" si="7"/>
        <v>9.0909090909090917</v>
      </c>
      <c r="Y13" s="2246">
        <v>22</v>
      </c>
      <c r="Z13" s="2248">
        <f t="shared" si="1"/>
        <v>-2</v>
      </c>
    </row>
    <row r="14" spans="1:26" s="147" customFormat="1">
      <c r="A14" s="2051" t="s">
        <v>883</v>
      </c>
      <c r="B14" s="2242">
        <v>1756</v>
      </c>
      <c r="C14" s="2243">
        <v>5</v>
      </c>
      <c r="D14" s="2244">
        <v>39</v>
      </c>
      <c r="E14" s="2245">
        <f t="shared" si="2"/>
        <v>2.2209567198177673</v>
      </c>
      <c r="F14" s="2246">
        <v>6</v>
      </c>
      <c r="G14" s="2247">
        <f t="shared" si="3"/>
        <v>-1</v>
      </c>
      <c r="H14" s="2242">
        <v>268</v>
      </c>
      <c r="I14" s="2243">
        <v>34</v>
      </c>
      <c r="J14" s="2244">
        <v>16</v>
      </c>
      <c r="K14" s="2245">
        <f t="shared" si="4"/>
        <v>5.9701492537313428</v>
      </c>
      <c r="L14" s="2246">
        <v>35</v>
      </c>
      <c r="M14" s="2248">
        <f t="shared" si="5"/>
        <v>-1</v>
      </c>
      <c r="N14" s="2249"/>
      <c r="O14" s="2242">
        <v>1083</v>
      </c>
      <c r="P14" s="2243">
        <v>5</v>
      </c>
      <c r="Q14" s="2244">
        <v>35</v>
      </c>
      <c r="R14" s="2245">
        <f t="shared" si="6"/>
        <v>3.2317636195752537</v>
      </c>
      <c r="S14" s="2246">
        <v>6</v>
      </c>
      <c r="T14" s="2248">
        <f t="shared" si="0"/>
        <v>-1</v>
      </c>
      <c r="U14" s="2250">
        <v>63</v>
      </c>
      <c r="V14" s="2243">
        <v>34</v>
      </c>
      <c r="W14" s="2244">
        <v>8</v>
      </c>
      <c r="X14" s="2245">
        <f>W14/U14*100</f>
        <v>12.698412698412698</v>
      </c>
      <c r="Y14" s="2246">
        <v>35</v>
      </c>
      <c r="Z14" s="2248">
        <f t="shared" si="1"/>
        <v>-1</v>
      </c>
    </row>
    <row r="15" spans="1:26" s="126" customFormat="1">
      <c r="A15" s="2051" t="s">
        <v>884</v>
      </c>
      <c r="B15" s="2242">
        <v>4328</v>
      </c>
      <c r="C15" s="2243">
        <v>5.211685552407932</v>
      </c>
      <c r="D15" s="2244">
        <v>55</v>
      </c>
      <c r="E15" s="2245">
        <f t="shared" si="2"/>
        <v>1.2707948243992606</v>
      </c>
      <c r="F15" s="2246">
        <v>6</v>
      </c>
      <c r="G15" s="2247">
        <f t="shared" si="3"/>
        <v>-0.78831444759206803</v>
      </c>
      <c r="H15" s="2242">
        <v>185</v>
      </c>
      <c r="I15" s="2243">
        <v>30</v>
      </c>
      <c r="J15" s="2244">
        <v>6</v>
      </c>
      <c r="K15" s="2245">
        <f t="shared" si="4"/>
        <v>3.2432432432432434</v>
      </c>
      <c r="L15" s="2246">
        <v>35</v>
      </c>
      <c r="M15" s="2248">
        <f t="shared" si="5"/>
        <v>-5</v>
      </c>
      <c r="N15" s="2249"/>
      <c r="O15" s="2242">
        <v>1286</v>
      </c>
      <c r="P15" s="2243">
        <v>5</v>
      </c>
      <c r="Q15" s="2244">
        <v>15</v>
      </c>
      <c r="R15" s="2245">
        <f t="shared" si="6"/>
        <v>1.166407465007776</v>
      </c>
      <c r="S15" s="2246">
        <v>5</v>
      </c>
      <c r="T15" s="2248">
        <f t="shared" si="0"/>
        <v>0</v>
      </c>
      <c r="U15" s="2250">
        <v>53</v>
      </c>
      <c r="V15" s="2243">
        <v>21</v>
      </c>
      <c r="W15" s="2244">
        <v>0</v>
      </c>
      <c r="X15" s="2245">
        <f t="shared" si="7"/>
        <v>0</v>
      </c>
      <c r="Y15" s="2246">
        <v>25</v>
      </c>
      <c r="Z15" s="2248">
        <f t="shared" si="1"/>
        <v>-4</v>
      </c>
    </row>
    <row r="16" spans="1:26" s="148" customFormat="1">
      <c r="A16" s="2051" t="s">
        <v>885</v>
      </c>
      <c r="B16" s="2242">
        <v>766</v>
      </c>
      <c r="C16" s="2243">
        <v>5</v>
      </c>
      <c r="D16" s="2244">
        <v>0</v>
      </c>
      <c r="E16" s="2245">
        <f t="shared" si="2"/>
        <v>0</v>
      </c>
      <c r="F16" s="2246">
        <v>6</v>
      </c>
      <c r="G16" s="2247">
        <f t="shared" si="3"/>
        <v>-1</v>
      </c>
      <c r="H16" s="2242">
        <v>216</v>
      </c>
      <c r="I16" s="2243">
        <v>29</v>
      </c>
      <c r="J16" s="2244">
        <v>1</v>
      </c>
      <c r="K16" s="2245">
        <f t="shared" si="4"/>
        <v>0.46296296296296291</v>
      </c>
      <c r="L16" s="2246">
        <v>35</v>
      </c>
      <c r="M16" s="2248">
        <f t="shared" si="5"/>
        <v>-6</v>
      </c>
      <c r="N16" s="2249"/>
      <c r="O16" s="2242">
        <v>159</v>
      </c>
      <c r="P16" s="2243">
        <v>5</v>
      </c>
      <c r="Q16" s="2244">
        <v>0</v>
      </c>
      <c r="R16" s="2245">
        <f t="shared" si="6"/>
        <v>0</v>
      </c>
      <c r="S16" s="2246">
        <v>6</v>
      </c>
      <c r="T16" s="2248">
        <f t="shared" si="0"/>
        <v>-1</v>
      </c>
      <c r="U16" s="2250">
        <v>74</v>
      </c>
      <c r="V16" s="2243">
        <v>29</v>
      </c>
      <c r="W16" s="2244">
        <v>0</v>
      </c>
      <c r="X16" s="2245">
        <f t="shared" si="7"/>
        <v>0</v>
      </c>
      <c r="Y16" s="2246">
        <v>35</v>
      </c>
      <c r="Z16" s="2248">
        <f t="shared" si="1"/>
        <v>-6</v>
      </c>
    </row>
    <row r="17" spans="1:26" s="159" customFormat="1" ht="14.4" thickBot="1">
      <c r="A17" s="149" t="s">
        <v>614</v>
      </c>
      <c r="B17" s="150">
        <f>SUM(B7:B16)</f>
        <v>32142</v>
      </c>
      <c r="C17" s="151">
        <f>((B7*C7)+(B8*C8)+(B9*C9)+(B10*C10)+(B11*C11)+(B12*C12)+(B13*C13)+(B14*C14)+(B15*C15)+(B16*C16))/B17</f>
        <v>5.0073789767538281</v>
      </c>
      <c r="D17" s="152">
        <f>SUM(D7:D16)</f>
        <v>393</v>
      </c>
      <c r="E17" s="1801">
        <f>D17/B17*100</f>
        <v>1.2226992719805863</v>
      </c>
      <c r="F17" s="153">
        <v>5</v>
      </c>
      <c r="G17" s="151">
        <f>C17-F17</f>
        <v>7.3789767538281481E-3</v>
      </c>
      <c r="H17" s="150">
        <f>SUM(H7:H16)</f>
        <v>3602</v>
      </c>
      <c r="I17" s="151">
        <f>((H7*I7)+(H8*I8)+(H9*I9)+(H10*I10)+(H11*I11)+(H12*I12)+(H13*I13)+(H14*I14)+(H15*I15)+(H16*I16))/H17</f>
        <v>27.40893947806774</v>
      </c>
      <c r="J17" s="152">
        <f>SUM(J7:J16)</f>
        <v>336</v>
      </c>
      <c r="K17" s="1801">
        <f>J17/H17*100</f>
        <v>9.3281510272071078</v>
      </c>
      <c r="L17" s="153">
        <v>35</v>
      </c>
      <c r="M17" s="154">
        <f>I17-L17</f>
        <v>-7.5910605219322598</v>
      </c>
      <c r="N17" s="145"/>
      <c r="O17" s="155">
        <f>SUM(O7:O16)</f>
        <v>12255</v>
      </c>
      <c r="P17" s="156">
        <f>((O7*P7)+(O8*P8)+(O9*P9)+(O10*P10)+(O11*P11)+(O12*P12)+(O13*P13)+(O14*P14)+(O15*P15)+(O16*P16))/O17</f>
        <v>4.9509587923296614</v>
      </c>
      <c r="Q17" s="157">
        <f>SUM(Q7:Q16)</f>
        <v>280</v>
      </c>
      <c r="R17" s="1801">
        <f t="shared" si="6"/>
        <v>2.2847817217462261</v>
      </c>
      <c r="S17" s="158">
        <v>6</v>
      </c>
      <c r="T17" s="156">
        <f t="shared" si="0"/>
        <v>-1.0490412076703386</v>
      </c>
      <c r="U17" s="155">
        <f>SUM(U7:U16)</f>
        <v>2119</v>
      </c>
      <c r="V17" s="155">
        <f>((U7*V7)+(U8*V8)+(U9*V9)+(U10*V10)+(U11*V11)+(U12*V12)+(U13*V13)+(U14*V14)+(U15*V15)+(U16*V16))/U17</f>
        <v>24.409155261915998</v>
      </c>
      <c r="W17" s="155">
        <f>SUM(W7:W16)</f>
        <v>266</v>
      </c>
      <c r="X17" s="1801">
        <f t="shared" si="7"/>
        <v>12.553091080698442</v>
      </c>
      <c r="Y17" s="155">
        <v>35</v>
      </c>
      <c r="Z17" s="155">
        <f t="shared" si="1"/>
        <v>-10.590844738084002</v>
      </c>
    </row>
    <row r="26" spans="1:26">
      <c r="B26" s="2981"/>
      <c r="C26" s="2981"/>
      <c r="D26" s="2981"/>
      <c r="E26" s="2981"/>
    </row>
    <row r="41" spans="2:5">
      <c r="B41" s="2981"/>
      <c r="C41" s="2981"/>
      <c r="D41" s="2981"/>
      <c r="E41" s="2981"/>
    </row>
    <row r="43" spans="2:5">
      <c r="D43" s="2327"/>
      <c r="E43" s="2327"/>
    </row>
    <row r="44" spans="2:5">
      <c r="D44" s="2327"/>
      <c r="E44" s="2327"/>
    </row>
    <row r="45" spans="2:5">
      <c r="D45" s="2327"/>
      <c r="E45" s="2327"/>
    </row>
    <row r="46" spans="2:5">
      <c r="D46" s="2327"/>
      <c r="E46" s="2327"/>
    </row>
    <row r="47" spans="2:5">
      <c r="D47" s="2327"/>
      <c r="E47" s="2327"/>
    </row>
    <row r="48" spans="2:5">
      <c r="D48" s="2327"/>
      <c r="E48" s="2327"/>
    </row>
    <row r="49" spans="4:5">
      <c r="D49" s="2327"/>
      <c r="E49" s="2327"/>
    </row>
    <row r="50" spans="4:5">
      <c r="D50" s="2327"/>
      <c r="E50" s="2327"/>
    </row>
    <row r="51" spans="4:5">
      <c r="D51" s="2327"/>
      <c r="E51" s="2327"/>
    </row>
    <row r="52" spans="4:5">
      <c r="D52" s="2327"/>
      <c r="E52" s="2327"/>
    </row>
  </sheetData>
  <mergeCells count="11">
    <mergeCell ref="B26:C26"/>
    <mergeCell ref="D26:E26"/>
    <mergeCell ref="B41:C41"/>
    <mergeCell ref="D41:E41"/>
    <mergeCell ref="A3:Y3"/>
    <mergeCell ref="O5:T5"/>
    <mergeCell ref="U5:Z5"/>
    <mergeCell ref="B5:G5"/>
    <mergeCell ref="H5:M5"/>
    <mergeCell ref="B4:M4"/>
    <mergeCell ref="O4:Z4"/>
  </mergeCells>
  <phoneticPr fontId="28" type="noConversion"/>
  <pageMargins left="0.51181102362204722" right="0.23622047244094491" top="1.1417322834645669" bottom="0.98425196850393704" header="0.51181102362204722" footer="0.51181102362204722"/>
  <pageSetup paperSize="9" scale="52" orientation="landscape" r:id="rId1"/>
  <headerFooter alignWithMargins="0">
    <oddHeader>&amp;L&amp;"Times New Roman,Gras"&amp;12SDC_SPADCMD/EC&amp;C&amp;"Times New Roman,Gras"&amp;20Délais de réalisations&amp;G</oddHeader>
    <oddFooter>&amp;LTableau de bord Août 2015&amp;Rpage -4-</oddFooter>
  </headerFooter>
  <legacyDrawingHF r:id="rId2"/>
</worksheet>
</file>

<file path=xl/worksheets/sheet1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A00-000000000000}">
  <sheetPr>
    <tabColor indexed="10"/>
  </sheetPr>
  <dimension ref="A1:Q86"/>
  <sheetViews>
    <sheetView showGridLines="0" topLeftCell="A10" zoomScale="70" zoomScaleNormal="70" workbookViewId="0">
      <selection activeCell="K26" sqref="K26"/>
    </sheetView>
  </sheetViews>
  <sheetFormatPr baseColWidth="10" defaultColWidth="11.44140625" defaultRowHeight="15.6"/>
  <cols>
    <col min="1" max="1" width="22" style="309" customWidth="1"/>
    <col min="2" max="2" width="8.88671875" style="309" customWidth="1"/>
    <col min="3" max="3" width="8.88671875" style="309" bestFit="1" customWidth="1"/>
    <col min="4" max="4" width="8.6640625" style="309" customWidth="1"/>
    <col min="5" max="5" width="8.88671875" style="309" bestFit="1" customWidth="1"/>
    <col min="6" max="6" width="8.5546875" style="309" customWidth="1"/>
    <col min="7" max="7" width="8.88671875" style="309" bestFit="1" customWidth="1"/>
    <col min="8" max="8" width="8.33203125" style="309" customWidth="1"/>
    <col min="9" max="9" width="9.33203125" style="309" customWidth="1"/>
    <col min="10" max="10" width="8.33203125" style="309" customWidth="1"/>
    <col min="11" max="11" width="8.88671875" style="309" bestFit="1" customWidth="1"/>
    <col min="12" max="12" width="13.33203125" style="309" bestFit="1" customWidth="1"/>
    <col min="13" max="13" width="12" style="309" bestFit="1" customWidth="1"/>
    <col min="14" max="14" width="11.44140625" style="309"/>
    <col min="15" max="15" width="13.44140625" style="309" customWidth="1"/>
    <col min="16" max="16" width="13.33203125" style="309" customWidth="1"/>
    <col min="17" max="16384" width="11.44140625" style="309"/>
  </cols>
  <sheetData>
    <row r="1" spans="1:17">
      <c r="A1" s="307" t="s">
        <v>887</v>
      </c>
      <c r="B1" s="308"/>
      <c r="C1" s="308"/>
      <c r="D1" s="308"/>
      <c r="E1" s="308"/>
      <c r="F1" s="308"/>
      <c r="G1" s="308"/>
      <c r="H1" s="308"/>
      <c r="I1" s="308"/>
      <c r="J1" s="308"/>
      <c r="K1" s="308"/>
      <c r="L1" s="308"/>
    </row>
    <row r="2" spans="1:17" ht="18" customHeight="1">
      <c r="A2" s="310"/>
      <c r="B2" s="310"/>
      <c r="C2" s="310"/>
      <c r="D2" s="310"/>
      <c r="E2" s="310"/>
      <c r="F2" s="310"/>
      <c r="G2" s="310"/>
      <c r="H2" s="310"/>
      <c r="I2" s="310"/>
      <c r="J2" s="310"/>
      <c r="K2" s="310"/>
      <c r="L2" s="310"/>
    </row>
    <row r="3" spans="1:17">
      <c r="A3" s="308" t="s">
        <v>467</v>
      </c>
    </row>
    <row r="4" spans="1:17">
      <c r="A4" s="308" t="s">
        <v>468</v>
      </c>
    </row>
    <row r="5" spans="1:17" ht="15.75" customHeight="1" thickBot="1">
      <c r="A5" s="308"/>
    </row>
    <row r="6" spans="1:17" ht="69" customHeight="1">
      <c r="A6" s="311" t="s">
        <v>0</v>
      </c>
      <c r="B6" s="2992" t="s">
        <v>1099</v>
      </c>
      <c r="C6" s="2993"/>
      <c r="D6" s="2992" t="s">
        <v>144</v>
      </c>
      <c r="E6" s="2993"/>
      <c r="F6" s="2992" t="s">
        <v>276</v>
      </c>
      <c r="G6" s="2993"/>
      <c r="H6" s="2992" t="s">
        <v>146</v>
      </c>
      <c r="I6" s="2993"/>
      <c r="J6" s="2992" t="s">
        <v>1100</v>
      </c>
      <c r="K6" s="2993"/>
      <c r="L6" s="311" t="s">
        <v>147</v>
      </c>
      <c r="O6" s="311" t="s">
        <v>700</v>
      </c>
      <c r="Q6" s="160"/>
    </row>
    <row r="7" spans="1:17">
      <c r="A7" s="312" t="s">
        <v>68</v>
      </c>
      <c r="B7" s="2473">
        <v>1340</v>
      </c>
      <c r="C7" s="2474"/>
      <c r="D7" s="2475">
        <v>1018</v>
      </c>
      <c r="E7" s="2476"/>
      <c r="F7" s="2253">
        <v>984</v>
      </c>
      <c r="G7" s="2254"/>
      <c r="H7" s="1785">
        <f>'délais '!H7</f>
        <v>424</v>
      </c>
      <c r="I7" s="2476"/>
      <c r="J7" s="2473">
        <f t="shared" ref="J7:J17" si="0">+B7+D7-F7-H7</f>
        <v>950</v>
      </c>
      <c r="K7" s="2474"/>
      <c r="L7" s="2477">
        <f t="shared" ref="L7:L17" si="1">+J7/B7*100-100</f>
        <v>-29.104477611940297</v>
      </c>
      <c r="M7" s="314"/>
      <c r="O7" s="1454">
        <v>77</v>
      </c>
      <c r="Q7" s="160"/>
    </row>
    <row r="8" spans="1:17">
      <c r="A8" s="312" t="s">
        <v>292</v>
      </c>
      <c r="B8" s="2251">
        <v>602</v>
      </c>
      <c r="C8" s="2252"/>
      <c r="D8" s="2475">
        <v>609</v>
      </c>
      <c r="E8" s="2476"/>
      <c r="F8" s="2253">
        <v>503</v>
      </c>
      <c r="G8" s="2254"/>
      <c r="H8" s="1785">
        <f>'délais '!H8</f>
        <v>299</v>
      </c>
      <c r="I8" s="2254"/>
      <c r="J8" s="2251">
        <f t="shared" si="0"/>
        <v>409</v>
      </c>
      <c r="K8" s="2252"/>
      <c r="L8" s="2255">
        <f t="shared" si="1"/>
        <v>-32.059800664451828</v>
      </c>
      <c r="M8" s="314"/>
      <c r="O8" s="1454">
        <v>92</v>
      </c>
      <c r="Q8" s="160"/>
    </row>
    <row r="9" spans="1:17">
      <c r="A9" s="312" t="s">
        <v>8</v>
      </c>
      <c r="B9" s="2251">
        <v>2039</v>
      </c>
      <c r="C9" s="2252"/>
      <c r="D9" s="2253">
        <v>880</v>
      </c>
      <c r="E9" s="2254"/>
      <c r="F9" s="2253">
        <v>142</v>
      </c>
      <c r="G9" s="2254"/>
      <c r="H9" s="2720">
        <f>'délais '!H9</f>
        <v>349</v>
      </c>
      <c r="I9" s="2254"/>
      <c r="J9" s="2251">
        <f t="shared" si="0"/>
        <v>2428</v>
      </c>
      <c r="K9" s="2252"/>
      <c r="L9" s="2255">
        <f t="shared" si="1"/>
        <v>19.077979401667491</v>
      </c>
      <c r="M9" s="2256"/>
      <c r="N9" s="2257"/>
      <c r="O9" s="2258">
        <v>95</v>
      </c>
      <c r="Q9" s="160"/>
    </row>
    <row r="10" spans="1:17">
      <c r="A10" s="312" t="s">
        <v>4</v>
      </c>
      <c r="B10" s="2251">
        <v>1602</v>
      </c>
      <c r="C10" s="2252"/>
      <c r="D10" s="2253">
        <v>1782</v>
      </c>
      <c r="E10" s="2254"/>
      <c r="F10" s="2253">
        <v>1533</v>
      </c>
      <c r="G10" s="2254"/>
      <c r="H10" s="1785">
        <f>'délais '!H10</f>
        <v>336</v>
      </c>
      <c r="I10" s="2254"/>
      <c r="J10" s="2251">
        <f>+B10+D10-F10-H10</f>
        <v>1515</v>
      </c>
      <c r="K10" s="2252"/>
      <c r="L10" s="2255">
        <f t="shared" si="1"/>
        <v>-5.4307116104868953</v>
      </c>
      <c r="M10" s="314"/>
      <c r="O10" s="1454">
        <v>201</v>
      </c>
      <c r="Q10" s="160"/>
    </row>
    <row r="11" spans="1:17">
      <c r="A11" s="312" t="s">
        <v>3</v>
      </c>
      <c r="B11" s="2251">
        <v>540</v>
      </c>
      <c r="C11" s="2252"/>
      <c r="D11" s="2253">
        <v>971</v>
      </c>
      <c r="E11" s="2254"/>
      <c r="F11" s="2253">
        <v>402</v>
      </c>
      <c r="G11" s="2254"/>
      <c r="H11" s="1785">
        <f>'délais '!H11</f>
        <v>397</v>
      </c>
      <c r="I11" s="2254"/>
      <c r="J11" s="2251">
        <f t="shared" si="0"/>
        <v>712</v>
      </c>
      <c r="K11" s="2252"/>
      <c r="L11" s="2255">
        <f t="shared" si="1"/>
        <v>31.851851851851848</v>
      </c>
      <c r="M11" s="314"/>
      <c r="O11" s="1454">
        <v>106</v>
      </c>
      <c r="Q11" s="160"/>
    </row>
    <row r="12" spans="1:17">
      <c r="A12" s="312" t="s">
        <v>397</v>
      </c>
      <c r="B12" s="2251">
        <v>101</v>
      </c>
      <c r="C12" s="2252"/>
      <c r="D12" s="2253">
        <v>1377</v>
      </c>
      <c r="E12" s="2254"/>
      <c r="F12" s="2253">
        <v>893</v>
      </c>
      <c r="G12" s="2254"/>
      <c r="H12" s="1785">
        <f>'délais '!H12</f>
        <v>206</v>
      </c>
      <c r="I12" s="2254"/>
      <c r="J12" s="2251">
        <f t="shared" si="0"/>
        <v>379</v>
      </c>
      <c r="K12" s="2252"/>
      <c r="L12" s="2255">
        <f t="shared" si="1"/>
        <v>275.24752475247521</v>
      </c>
      <c r="M12" s="314"/>
      <c r="O12" s="1454">
        <v>121</v>
      </c>
      <c r="Q12" s="160"/>
    </row>
    <row r="13" spans="1:17">
      <c r="A13" s="312" t="s">
        <v>399</v>
      </c>
      <c r="B13" s="2251">
        <v>2658</v>
      </c>
      <c r="C13" s="2252"/>
      <c r="D13" s="2253">
        <v>2073</v>
      </c>
      <c r="E13" s="2254"/>
      <c r="F13" s="2253">
        <v>1093</v>
      </c>
      <c r="G13" s="2254"/>
      <c r="H13" s="1785">
        <f>'délais '!H13</f>
        <v>922</v>
      </c>
      <c r="I13" s="2254"/>
      <c r="J13" s="2251">
        <f t="shared" si="0"/>
        <v>2716</v>
      </c>
      <c r="K13" s="2252"/>
      <c r="L13" s="2255">
        <f t="shared" si="1"/>
        <v>2.1820917983446151</v>
      </c>
      <c r="M13" s="314"/>
      <c r="O13" s="1454">
        <v>123</v>
      </c>
      <c r="Q13" s="160"/>
    </row>
    <row r="14" spans="1:17" ht="16.5" customHeight="1">
      <c r="A14" s="312" t="s">
        <v>883</v>
      </c>
      <c r="B14" s="2251">
        <v>2762</v>
      </c>
      <c r="C14" s="2252"/>
      <c r="D14" s="2253">
        <v>724</v>
      </c>
      <c r="E14" s="2254"/>
      <c r="F14" s="2253">
        <v>218</v>
      </c>
      <c r="G14" s="2254"/>
      <c r="H14" s="1785">
        <f>'délais '!H14</f>
        <v>268</v>
      </c>
      <c r="I14" s="2254"/>
      <c r="J14" s="2251">
        <f t="shared" si="0"/>
        <v>3000</v>
      </c>
      <c r="K14" s="2252"/>
      <c r="L14" s="2255">
        <f t="shared" si="1"/>
        <v>8.6169442433019441</v>
      </c>
      <c r="M14" s="314"/>
      <c r="O14" s="1454">
        <v>53</v>
      </c>
      <c r="Q14" s="160"/>
    </row>
    <row r="15" spans="1:17" s="316" customFormat="1">
      <c r="A15" s="312" t="s">
        <v>884</v>
      </c>
      <c r="B15" s="2251">
        <v>439</v>
      </c>
      <c r="C15" s="2252"/>
      <c r="D15" s="2253">
        <v>606</v>
      </c>
      <c r="E15" s="2254"/>
      <c r="F15" s="2253">
        <v>486</v>
      </c>
      <c r="G15" s="2254"/>
      <c r="H15" s="1785">
        <f>'délais '!H15</f>
        <v>185</v>
      </c>
      <c r="I15" s="2254"/>
      <c r="J15" s="2251">
        <f t="shared" si="0"/>
        <v>374</v>
      </c>
      <c r="K15" s="2252"/>
      <c r="L15" s="2255">
        <f t="shared" si="1"/>
        <v>-14.806378132118454</v>
      </c>
      <c r="M15" s="314"/>
      <c r="N15" s="309"/>
      <c r="O15" s="1454">
        <v>56</v>
      </c>
      <c r="P15" s="309"/>
      <c r="Q15" s="160"/>
    </row>
    <row r="16" spans="1:17" s="316" customFormat="1">
      <c r="A16" s="312" t="s">
        <v>885</v>
      </c>
      <c r="B16" s="2251">
        <v>1023</v>
      </c>
      <c r="C16" s="2252"/>
      <c r="D16" s="2253">
        <v>350</v>
      </c>
      <c r="E16" s="2254"/>
      <c r="F16" s="2253">
        <v>219</v>
      </c>
      <c r="G16" s="2254"/>
      <c r="H16" s="1785">
        <f>'délais '!H16</f>
        <v>216</v>
      </c>
      <c r="I16" s="2254"/>
      <c r="J16" s="2251">
        <f t="shared" si="0"/>
        <v>938</v>
      </c>
      <c r="K16" s="2252"/>
      <c r="L16" s="2255">
        <f t="shared" si="1"/>
        <v>-8.3088954056696025</v>
      </c>
      <c r="M16" s="314"/>
      <c r="N16" s="309"/>
      <c r="O16" s="1454">
        <v>29</v>
      </c>
      <c r="P16" s="309"/>
      <c r="Q16" s="160"/>
    </row>
    <row r="17" spans="1:17" ht="19.5" customHeight="1" thickBot="1">
      <c r="A17" s="317" t="s">
        <v>16</v>
      </c>
      <c r="B17" s="318">
        <f>SUM(B7:B16)</f>
        <v>13106</v>
      </c>
      <c r="C17" s="319"/>
      <c r="D17" s="320">
        <f>SUM(D7:D16)</f>
        <v>10390</v>
      </c>
      <c r="E17" s="321"/>
      <c r="F17" s="320">
        <f>SUM(F7:F16)</f>
        <v>6473</v>
      </c>
      <c r="G17" s="321"/>
      <c r="H17" s="320">
        <f>SUM(H7:H16)</f>
        <v>3602</v>
      </c>
      <c r="I17" s="321"/>
      <c r="J17" s="322">
        <f t="shared" si="0"/>
        <v>13421</v>
      </c>
      <c r="K17" s="323"/>
      <c r="L17" s="324">
        <f t="shared" si="1"/>
        <v>2.4034793224477369</v>
      </c>
      <c r="O17" s="1455">
        <f>SUM(O7:O16)</f>
        <v>953</v>
      </c>
      <c r="Q17" s="160"/>
    </row>
    <row r="18" spans="1:17" ht="17.25" customHeight="1">
      <c r="A18" s="308"/>
      <c r="B18" s="326"/>
      <c r="C18" s="326"/>
      <c r="D18" s="326"/>
      <c r="E18" s="326"/>
      <c r="F18" s="327"/>
      <c r="G18" s="328"/>
      <c r="Q18" s="160"/>
    </row>
    <row r="19" spans="1:17" ht="15" customHeight="1">
      <c r="A19" s="308"/>
      <c r="B19" s="329"/>
      <c r="C19" s="329"/>
      <c r="D19" s="329">
        <v>1149</v>
      </c>
      <c r="E19" s="329"/>
      <c r="F19" s="329"/>
      <c r="G19" s="329"/>
      <c r="H19" s="329"/>
      <c r="I19" s="329"/>
    </row>
    <row r="20" spans="1:17">
      <c r="A20" s="308" t="s">
        <v>469</v>
      </c>
      <c r="D20" s="309">
        <v>824</v>
      </c>
    </row>
    <row r="21" spans="1:17" ht="15.75" customHeight="1" thickBot="1">
      <c r="A21" s="308"/>
    </row>
    <row r="22" spans="1:17" ht="16.2" thickBot="1">
      <c r="A22" s="330" t="s">
        <v>0</v>
      </c>
      <c r="B22" s="331" t="s">
        <v>148</v>
      </c>
      <c r="C22" s="332"/>
      <c r="D22" s="331" t="s">
        <v>149</v>
      </c>
      <c r="E22" s="332"/>
      <c r="F22" s="331" t="s">
        <v>150</v>
      </c>
      <c r="G22" s="332"/>
      <c r="H22" s="331" t="s">
        <v>151</v>
      </c>
      <c r="I22" s="332"/>
      <c r="J22" s="331" t="s">
        <v>152</v>
      </c>
      <c r="K22" s="333"/>
      <c r="L22" s="334" t="s">
        <v>20</v>
      </c>
      <c r="M22" s="2990" t="s">
        <v>809</v>
      </c>
      <c r="O22" s="334"/>
      <c r="P22" s="334"/>
    </row>
    <row r="23" spans="1:17" ht="16.2" thickBot="1">
      <c r="A23" s="335"/>
      <c r="B23" s="336" t="s">
        <v>153</v>
      </c>
      <c r="C23" s="337" t="s">
        <v>154</v>
      </c>
      <c r="D23" s="336" t="s">
        <v>153</v>
      </c>
      <c r="E23" s="337" t="s">
        <v>154</v>
      </c>
      <c r="F23" s="336" t="s">
        <v>153</v>
      </c>
      <c r="G23" s="338" t="s">
        <v>154</v>
      </c>
      <c r="H23" s="339" t="s">
        <v>153</v>
      </c>
      <c r="I23" s="338" t="s">
        <v>154</v>
      </c>
      <c r="J23" s="339" t="s">
        <v>153</v>
      </c>
      <c r="K23" s="337" t="s">
        <v>154</v>
      </c>
      <c r="L23" s="340" t="s">
        <v>155</v>
      </c>
      <c r="M23" s="2991"/>
      <c r="O23" s="347" t="s">
        <v>809</v>
      </c>
      <c r="P23" s="340" t="s">
        <v>810</v>
      </c>
    </row>
    <row r="24" spans="1:17">
      <c r="A24" s="341" t="s">
        <v>68</v>
      </c>
      <c r="B24" s="2478">
        <v>290</v>
      </c>
      <c r="C24" s="2479">
        <f t="shared" ref="C24:C34" si="2">B24/L24*100</f>
        <v>30.526315789473685</v>
      </c>
      <c r="D24" s="2480">
        <v>238</v>
      </c>
      <c r="E24" s="2479">
        <f>D24/L24*100</f>
        <v>25.05263157894737</v>
      </c>
      <c r="F24" s="2480">
        <v>309</v>
      </c>
      <c r="G24" s="2479">
        <f t="shared" ref="G24:G34" si="3">F24/L24*100</f>
        <v>32.526315789473685</v>
      </c>
      <c r="H24" s="2480">
        <v>113</v>
      </c>
      <c r="I24" s="2479">
        <f t="shared" ref="I24:I34" si="4">H24/L24*100</f>
        <v>11.894736842105264</v>
      </c>
      <c r="J24" s="2480">
        <v>0</v>
      </c>
      <c r="K24" s="2479">
        <f>J24/L24*100</f>
        <v>0</v>
      </c>
      <c r="L24" s="2481">
        <f>B24+D24+F24+H24+J24</f>
        <v>950</v>
      </c>
      <c r="M24" s="2481">
        <f t="shared" ref="M24:M33" si="5">J7-L24</f>
        <v>0</v>
      </c>
      <c r="O24" s="2052">
        <f>L24-B24</f>
        <v>660</v>
      </c>
      <c r="P24" s="342"/>
    </row>
    <row r="25" spans="1:17">
      <c r="A25" s="312" t="s">
        <v>7</v>
      </c>
      <c r="B25" s="2259">
        <v>51</v>
      </c>
      <c r="C25" s="2260">
        <f t="shared" si="2"/>
        <v>12.469437652811736</v>
      </c>
      <c r="D25" s="2261">
        <v>59</v>
      </c>
      <c r="E25" s="2260">
        <f t="shared" ref="E25:E34" si="6">D25/L25*100</f>
        <v>14.425427872860636</v>
      </c>
      <c r="F25" s="2261">
        <v>176</v>
      </c>
      <c r="G25" s="2260">
        <f t="shared" si="3"/>
        <v>43.03178484107579</v>
      </c>
      <c r="H25" s="2261">
        <v>123</v>
      </c>
      <c r="I25" s="2260">
        <f t="shared" si="4"/>
        <v>30.073349633251834</v>
      </c>
      <c r="J25" s="2261">
        <v>0</v>
      </c>
      <c r="K25" s="2260">
        <f t="shared" ref="K25:K34" si="7">J25/L25*100</f>
        <v>0</v>
      </c>
      <c r="L25" s="2262">
        <f t="shared" ref="L25:L33" si="8">B25+D25+F25+H25+J25</f>
        <v>409</v>
      </c>
      <c r="M25" s="2262">
        <f t="shared" si="5"/>
        <v>0</v>
      </c>
      <c r="O25" s="2052">
        <f t="shared" ref="O25:O33" si="9">L25-B25</f>
        <v>358</v>
      </c>
      <c r="P25" s="346">
        <v>9</v>
      </c>
    </row>
    <row r="26" spans="1:17">
      <c r="A26" s="312" t="s">
        <v>8</v>
      </c>
      <c r="B26" s="2259">
        <v>807</v>
      </c>
      <c r="C26" s="2260">
        <f t="shared" si="2"/>
        <v>33.237232289950576</v>
      </c>
      <c r="D26" s="2261">
        <v>938</v>
      </c>
      <c r="E26" s="2260">
        <f t="shared" si="6"/>
        <v>38.632619439868208</v>
      </c>
      <c r="F26" s="2261">
        <v>266</v>
      </c>
      <c r="G26" s="2260">
        <f t="shared" si="3"/>
        <v>10.955518945634267</v>
      </c>
      <c r="H26" s="2261">
        <v>198</v>
      </c>
      <c r="I26" s="2260">
        <f t="shared" si="4"/>
        <v>8.1548599670510704</v>
      </c>
      <c r="J26" s="2261">
        <v>219</v>
      </c>
      <c r="K26" s="2260">
        <f t="shared" si="7"/>
        <v>9.0197693574958819</v>
      </c>
      <c r="L26" s="2262">
        <f t="shared" si="8"/>
        <v>2428</v>
      </c>
      <c r="M26" s="2262">
        <f t="shared" si="5"/>
        <v>0</v>
      </c>
      <c r="O26" s="2052">
        <f>L26-B26</f>
        <v>1621</v>
      </c>
      <c r="P26" s="346">
        <v>13</v>
      </c>
    </row>
    <row r="27" spans="1:17">
      <c r="A27" s="312" t="s">
        <v>4</v>
      </c>
      <c r="B27" s="2259">
        <v>329</v>
      </c>
      <c r="C27" s="2260">
        <f t="shared" si="2"/>
        <v>21.716171617161717</v>
      </c>
      <c r="D27" s="2261">
        <v>35</v>
      </c>
      <c r="E27" s="2260">
        <f t="shared" si="6"/>
        <v>2.3102310231023102</v>
      </c>
      <c r="F27" s="2261">
        <v>28</v>
      </c>
      <c r="G27" s="2260">
        <f t="shared" si="3"/>
        <v>1.8481848184818481</v>
      </c>
      <c r="H27" s="2261">
        <v>125</v>
      </c>
      <c r="I27" s="2260">
        <f t="shared" si="4"/>
        <v>8.2508250825082499</v>
      </c>
      <c r="J27" s="2261">
        <v>998</v>
      </c>
      <c r="K27" s="2260">
        <f t="shared" si="7"/>
        <v>65.874587458745864</v>
      </c>
      <c r="L27" s="2262">
        <f>B27+D27+F27+H27+J27</f>
        <v>1515</v>
      </c>
      <c r="M27" s="2262">
        <f t="shared" si="5"/>
        <v>0</v>
      </c>
      <c r="O27" s="2052">
        <f t="shared" si="9"/>
        <v>1186</v>
      </c>
      <c r="P27" s="346">
        <v>8</v>
      </c>
    </row>
    <row r="28" spans="1:17">
      <c r="A28" s="312" t="s">
        <v>3</v>
      </c>
      <c r="B28" s="2259">
        <v>329</v>
      </c>
      <c r="C28" s="2260">
        <f t="shared" si="2"/>
        <v>46.207865168539328</v>
      </c>
      <c r="D28" s="2261">
        <v>35</v>
      </c>
      <c r="E28" s="2260">
        <f t="shared" si="6"/>
        <v>4.915730337078652</v>
      </c>
      <c r="F28" s="2261">
        <v>28</v>
      </c>
      <c r="G28" s="2260">
        <f t="shared" si="3"/>
        <v>3.9325842696629212</v>
      </c>
      <c r="H28" s="2261">
        <v>125</v>
      </c>
      <c r="I28" s="2260">
        <f t="shared" si="4"/>
        <v>17.556179775280899</v>
      </c>
      <c r="J28" s="2261">
        <v>195</v>
      </c>
      <c r="K28" s="2260">
        <f t="shared" si="7"/>
        <v>27.387640449438202</v>
      </c>
      <c r="L28" s="2262">
        <f>B28+D28+F28+H28+J28</f>
        <v>712</v>
      </c>
      <c r="M28" s="2262">
        <f t="shared" si="5"/>
        <v>0</v>
      </c>
      <c r="O28" s="2052">
        <f t="shared" si="9"/>
        <v>383</v>
      </c>
      <c r="P28" s="346"/>
    </row>
    <row r="29" spans="1:17">
      <c r="A29" s="312" t="s">
        <v>397</v>
      </c>
      <c r="B29" s="2259">
        <v>140</v>
      </c>
      <c r="C29" s="2260">
        <f t="shared" si="2"/>
        <v>36.939313984168862</v>
      </c>
      <c r="D29" s="2261">
        <v>177</v>
      </c>
      <c r="E29" s="2260">
        <f t="shared" si="6"/>
        <v>46.701846965699204</v>
      </c>
      <c r="F29" s="2261">
        <v>62</v>
      </c>
      <c r="G29" s="2260">
        <f t="shared" si="3"/>
        <v>16.358839050131927</v>
      </c>
      <c r="H29" s="2261">
        <v>0</v>
      </c>
      <c r="I29" s="2260">
        <f t="shared" si="4"/>
        <v>0</v>
      </c>
      <c r="J29" s="2261">
        <v>0</v>
      </c>
      <c r="K29" s="2260">
        <f t="shared" si="7"/>
        <v>0</v>
      </c>
      <c r="L29" s="2262">
        <f t="shared" si="8"/>
        <v>379</v>
      </c>
      <c r="M29" s="2262">
        <f t="shared" si="5"/>
        <v>0</v>
      </c>
      <c r="O29" s="2052">
        <f t="shared" si="9"/>
        <v>239</v>
      </c>
      <c r="P29" s="346">
        <v>11</v>
      </c>
    </row>
    <row r="30" spans="1:17">
      <c r="A30" s="312" t="s">
        <v>399</v>
      </c>
      <c r="B30" s="2259">
        <v>137</v>
      </c>
      <c r="C30" s="2260">
        <f t="shared" si="2"/>
        <v>5.044182621502209</v>
      </c>
      <c r="D30" s="2261">
        <v>2304</v>
      </c>
      <c r="E30" s="2260">
        <f t="shared" si="6"/>
        <v>84.830633284241529</v>
      </c>
      <c r="F30" s="2261">
        <v>142</v>
      </c>
      <c r="G30" s="2260">
        <f t="shared" si="3"/>
        <v>5.2282768777614139</v>
      </c>
      <c r="H30" s="2261">
        <v>63</v>
      </c>
      <c r="I30" s="2260">
        <f t="shared" si="4"/>
        <v>2.3195876288659796</v>
      </c>
      <c r="J30" s="2261">
        <v>70</v>
      </c>
      <c r="K30" s="2260">
        <f t="shared" si="7"/>
        <v>2.5773195876288657</v>
      </c>
      <c r="L30" s="2262">
        <f t="shared" si="8"/>
        <v>2716</v>
      </c>
      <c r="M30" s="2262">
        <f t="shared" si="5"/>
        <v>0</v>
      </c>
      <c r="O30" s="2052">
        <f t="shared" si="9"/>
        <v>2579</v>
      </c>
      <c r="P30" s="346">
        <v>19</v>
      </c>
    </row>
    <row r="31" spans="1:17">
      <c r="A31" s="312" t="s">
        <v>883</v>
      </c>
      <c r="B31" s="2259">
        <v>529</v>
      </c>
      <c r="C31" s="2260">
        <f t="shared" si="2"/>
        <v>17.633333333333333</v>
      </c>
      <c r="D31" s="2261">
        <v>1841</v>
      </c>
      <c r="E31" s="2260">
        <f t="shared" si="6"/>
        <v>61.366666666666667</v>
      </c>
      <c r="F31" s="2261">
        <v>144</v>
      </c>
      <c r="G31" s="2260">
        <f t="shared" si="3"/>
        <v>4.8</v>
      </c>
      <c r="H31" s="2261">
        <v>336</v>
      </c>
      <c r="I31" s="2260">
        <f t="shared" si="4"/>
        <v>11.200000000000001</v>
      </c>
      <c r="J31" s="2261">
        <v>150</v>
      </c>
      <c r="K31" s="2260">
        <f t="shared" si="7"/>
        <v>5</v>
      </c>
      <c r="L31" s="2262">
        <f t="shared" si="8"/>
        <v>3000</v>
      </c>
      <c r="M31" s="2262">
        <f t="shared" si="5"/>
        <v>0</v>
      </c>
      <c r="O31" s="2052">
        <f t="shared" si="9"/>
        <v>2471</v>
      </c>
      <c r="P31" s="346">
        <v>42</v>
      </c>
    </row>
    <row r="32" spans="1:17" s="316" customFormat="1">
      <c r="A32" s="312" t="s">
        <v>884</v>
      </c>
      <c r="B32" s="2259">
        <v>97</v>
      </c>
      <c r="C32" s="2260">
        <f t="shared" si="2"/>
        <v>25.935828877005346</v>
      </c>
      <c r="D32" s="2261">
        <v>199</v>
      </c>
      <c r="E32" s="2260">
        <f t="shared" si="6"/>
        <v>53.208556149732622</v>
      </c>
      <c r="F32" s="2261">
        <v>9</v>
      </c>
      <c r="G32" s="2260">
        <f t="shared" si="3"/>
        <v>2.4064171122994651</v>
      </c>
      <c r="H32" s="2261">
        <v>66</v>
      </c>
      <c r="I32" s="2260">
        <f t="shared" si="4"/>
        <v>17.647058823529413</v>
      </c>
      <c r="J32" s="2261">
        <v>3</v>
      </c>
      <c r="K32" s="2260">
        <f t="shared" si="7"/>
        <v>0.80213903743315518</v>
      </c>
      <c r="L32" s="2262">
        <f t="shared" si="8"/>
        <v>374</v>
      </c>
      <c r="M32" s="2262">
        <f t="shared" si="5"/>
        <v>0</v>
      </c>
      <c r="N32" s="309"/>
      <c r="O32" s="2052">
        <f t="shared" si="9"/>
        <v>277</v>
      </c>
      <c r="P32" s="346">
        <v>9</v>
      </c>
    </row>
    <row r="33" spans="1:16" s="316" customFormat="1" ht="16.2" thickBot="1">
      <c r="A33" s="312" t="s">
        <v>885</v>
      </c>
      <c r="B33" s="2259">
        <v>156</v>
      </c>
      <c r="C33" s="2260">
        <f t="shared" si="2"/>
        <v>16.631130063965884</v>
      </c>
      <c r="D33" s="2261">
        <v>311</v>
      </c>
      <c r="E33" s="2260">
        <f t="shared" si="6"/>
        <v>33.155650319829419</v>
      </c>
      <c r="F33" s="2261">
        <v>210</v>
      </c>
      <c r="G33" s="2260">
        <f t="shared" si="3"/>
        <v>22.388059701492537</v>
      </c>
      <c r="H33" s="2261">
        <v>49</v>
      </c>
      <c r="I33" s="2260">
        <f>H33/L33*100</f>
        <v>5.2238805970149249</v>
      </c>
      <c r="J33" s="2261">
        <v>212</v>
      </c>
      <c r="K33" s="2260">
        <f t="shared" si="7"/>
        <v>22.60127931769723</v>
      </c>
      <c r="L33" s="2262">
        <f t="shared" si="8"/>
        <v>938</v>
      </c>
      <c r="M33" s="2262">
        <f t="shared" si="5"/>
        <v>0</v>
      </c>
      <c r="N33" s="309"/>
      <c r="O33" s="2052">
        <f t="shared" si="9"/>
        <v>782</v>
      </c>
      <c r="P33" s="346">
        <v>19</v>
      </c>
    </row>
    <row r="34" spans="1:16" ht="16.2" thickBot="1">
      <c r="A34" s="347" t="s">
        <v>16</v>
      </c>
      <c r="B34" s="348">
        <f>SUM(B24:B33)</f>
        <v>2865</v>
      </c>
      <c r="C34" s="349">
        <f t="shared" si="2"/>
        <v>21.347142537813873</v>
      </c>
      <c r="D34" s="350">
        <f>SUM(D24:D33)</f>
        <v>6137</v>
      </c>
      <c r="E34" s="349">
        <f t="shared" si="6"/>
        <v>45.726845987631329</v>
      </c>
      <c r="F34" s="350">
        <f>SUM(F24:F33)</f>
        <v>1374</v>
      </c>
      <c r="G34" s="351">
        <f t="shared" si="3"/>
        <v>10.237687206616497</v>
      </c>
      <c r="H34" s="348">
        <f>SUM(H24:H33)</f>
        <v>1198</v>
      </c>
      <c r="I34" s="351">
        <f t="shared" si="4"/>
        <v>8.926309514939275</v>
      </c>
      <c r="J34" s="348">
        <f>SUM(J24:J33)</f>
        <v>1847</v>
      </c>
      <c r="K34" s="351">
        <f t="shared" si="7"/>
        <v>13.762014752999029</v>
      </c>
      <c r="L34" s="347">
        <f>SUM(L24:L33)</f>
        <v>13421</v>
      </c>
      <c r="M34" s="347"/>
      <c r="O34" s="347">
        <f>SUM(O24:O33)</f>
        <v>10556</v>
      </c>
      <c r="P34" s="1672">
        <f>((O24*P24)+(O25*P25)+(O26*P26)+(O27*P27)+(O28*P28)+(O29*P29)+(O30*P30)+(O31*P31)+(O32*P32)+(O33*P33))/O34</f>
        <v>19.566691928760893</v>
      </c>
    </row>
    <row r="36" spans="1:16">
      <c r="A36" s="308" t="s">
        <v>470</v>
      </c>
    </row>
    <row r="37" spans="1:16" ht="16.2" thickBot="1"/>
    <row r="38" spans="1:16" ht="69" customHeight="1" thickBot="1">
      <c r="A38" s="352" t="s">
        <v>0</v>
      </c>
      <c r="B38" s="2992" t="str">
        <f>B6</f>
        <v>Portefeuille         au 31/12/2023      (1)</v>
      </c>
      <c r="C38" s="2993"/>
      <c r="D38" s="2994" t="s">
        <v>156</v>
      </c>
      <c r="E38" s="2995"/>
      <c r="F38" s="2994" t="s">
        <v>157</v>
      </c>
      <c r="G38" s="2995"/>
      <c r="H38" s="2994" t="s">
        <v>158</v>
      </c>
      <c r="I38" s="2995"/>
      <c r="J38" s="2992" t="str">
        <f>J6</f>
        <v>Portefeuille     au 31/12/24   (1)+(2)-(3)-(4)</v>
      </c>
      <c r="K38" s="2993"/>
      <c r="L38" s="353" t="s">
        <v>159</v>
      </c>
      <c r="O38" s="311" t="s">
        <v>700</v>
      </c>
    </row>
    <row r="39" spans="1:16">
      <c r="A39" s="354" t="s">
        <v>68</v>
      </c>
      <c r="B39" s="2482">
        <v>1489</v>
      </c>
      <c r="C39" s="2483"/>
      <c r="D39" s="2484">
        <v>6810</v>
      </c>
      <c r="E39" s="2485"/>
      <c r="F39" s="1785">
        <f>'délais '!B7</f>
        <v>3278</v>
      </c>
      <c r="G39" s="2485"/>
      <c r="H39" s="2484">
        <v>3790</v>
      </c>
      <c r="I39" s="2485"/>
      <c r="J39" s="2486">
        <f>B39+D39-F39-H39</f>
        <v>1231</v>
      </c>
      <c r="K39" s="2487"/>
      <c r="L39" s="2488">
        <f t="shared" ref="L39:L49" si="10">+J39/B39*100-100</f>
        <v>-17.327065144392208</v>
      </c>
      <c r="M39" s="314"/>
      <c r="N39" s="355"/>
      <c r="O39" s="1454">
        <v>1045</v>
      </c>
      <c r="P39" s="329"/>
    </row>
    <row r="40" spans="1:16">
      <c r="A40" s="357" t="s">
        <v>7</v>
      </c>
      <c r="B40" s="2475">
        <v>598</v>
      </c>
      <c r="C40" s="2476"/>
      <c r="D40" s="2492">
        <v>4976</v>
      </c>
      <c r="E40" s="2493"/>
      <c r="F40" s="1785">
        <f>'délais '!B8</f>
        <v>3500</v>
      </c>
      <c r="G40" s="2493"/>
      <c r="H40" s="2492">
        <v>1479</v>
      </c>
      <c r="I40" s="2493"/>
      <c r="J40" s="2494">
        <f t="shared" ref="J40:J49" si="11">B40+D40-F40-H40</f>
        <v>595</v>
      </c>
      <c r="K40" s="2495"/>
      <c r="L40" s="2496">
        <f t="shared" si="10"/>
        <v>-0.50167224080267658</v>
      </c>
      <c r="M40" s="314"/>
      <c r="N40" s="355"/>
      <c r="O40" s="1454">
        <v>724</v>
      </c>
      <c r="P40" s="329"/>
    </row>
    <row r="41" spans="1:16">
      <c r="A41" s="357" t="s">
        <v>8</v>
      </c>
      <c r="B41" s="2475">
        <v>3368</v>
      </c>
      <c r="C41" s="2476"/>
      <c r="D41" s="2492">
        <v>5769</v>
      </c>
      <c r="E41" s="2493"/>
      <c r="F41" s="1785">
        <f>'délais '!B9</f>
        <v>3735</v>
      </c>
      <c r="G41" s="2493"/>
      <c r="H41" s="2492">
        <v>2566</v>
      </c>
      <c r="I41" s="2493"/>
      <c r="J41" s="2494">
        <f t="shared" si="11"/>
        <v>2836</v>
      </c>
      <c r="K41" s="2495"/>
      <c r="L41" s="2496">
        <f t="shared" si="10"/>
        <v>-15.795724465558195</v>
      </c>
      <c r="M41" s="314"/>
      <c r="N41" s="355"/>
      <c r="O41" s="1454">
        <v>826</v>
      </c>
      <c r="P41" s="329"/>
    </row>
    <row r="42" spans="1:16">
      <c r="A42" s="357" t="s">
        <v>4</v>
      </c>
      <c r="B42" s="2475">
        <v>2400</v>
      </c>
      <c r="C42" s="2476"/>
      <c r="D42" s="2492">
        <v>9576</v>
      </c>
      <c r="E42" s="2493"/>
      <c r="F42" s="1785">
        <f>'délais '!B10</f>
        <v>6423</v>
      </c>
      <c r="G42" s="2493"/>
      <c r="H42" s="2492">
        <v>4437</v>
      </c>
      <c r="I42" s="2493"/>
      <c r="J42" s="2494">
        <f>B42+D42-F42-H42</f>
        <v>1116</v>
      </c>
      <c r="K42" s="2495"/>
      <c r="L42" s="2496">
        <f t="shared" si="10"/>
        <v>-53.5</v>
      </c>
      <c r="M42" s="314"/>
      <c r="N42" s="355"/>
      <c r="O42" s="1454">
        <v>204</v>
      </c>
      <c r="P42" s="329"/>
    </row>
    <row r="43" spans="1:16">
      <c r="A43" s="357" t="s">
        <v>3</v>
      </c>
      <c r="B43" s="2475">
        <v>564</v>
      </c>
      <c r="C43" s="2476"/>
      <c r="D43" s="2492">
        <v>3132</v>
      </c>
      <c r="E43" s="2493"/>
      <c r="F43" s="1785">
        <f>'délais '!B11</f>
        <v>2762</v>
      </c>
      <c r="G43" s="2493"/>
      <c r="H43" s="2492">
        <v>384</v>
      </c>
      <c r="I43" s="2493"/>
      <c r="J43" s="2494">
        <f t="shared" si="11"/>
        <v>550</v>
      </c>
      <c r="K43" s="2495"/>
      <c r="L43" s="2496">
        <f t="shared" si="10"/>
        <v>-2.4822695035460924</v>
      </c>
      <c r="M43" s="314"/>
      <c r="N43" s="355"/>
      <c r="O43" s="1454">
        <v>414</v>
      </c>
      <c r="P43" s="329"/>
    </row>
    <row r="44" spans="1:16">
      <c r="A44" s="357" t="s">
        <v>397</v>
      </c>
      <c r="B44" s="2475">
        <v>910</v>
      </c>
      <c r="C44" s="2476"/>
      <c r="D44" s="2492">
        <v>3081</v>
      </c>
      <c r="E44" s="2493"/>
      <c r="F44" s="1785">
        <f>'délais '!B12</f>
        <v>1837</v>
      </c>
      <c r="G44" s="2493"/>
      <c r="H44" s="2492">
        <v>1470</v>
      </c>
      <c r="I44" s="2493"/>
      <c r="J44" s="2494">
        <f t="shared" si="11"/>
        <v>684</v>
      </c>
      <c r="K44" s="2495"/>
      <c r="L44" s="2496">
        <f t="shared" si="10"/>
        <v>-24.835164835164832</v>
      </c>
      <c r="M44" s="314"/>
      <c r="N44" s="355"/>
      <c r="O44" s="1454">
        <v>373</v>
      </c>
      <c r="P44" s="329"/>
    </row>
    <row r="45" spans="1:16" s="316" customFormat="1">
      <c r="A45" s="357" t="s">
        <v>399</v>
      </c>
      <c r="B45" s="2475">
        <v>4485</v>
      </c>
      <c r="C45" s="2476"/>
      <c r="D45" s="2492">
        <v>5833</v>
      </c>
      <c r="E45" s="2493"/>
      <c r="F45" s="1785">
        <f>'délais '!B13</f>
        <v>3757</v>
      </c>
      <c r="G45" s="2493"/>
      <c r="H45" s="2492">
        <v>1280</v>
      </c>
      <c r="I45" s="2493"/>
      <c r="J45" s="2494">
        <f t="shared" si="11"/>
        <v>5281</v>
      </c>
      <c r="K45" s="2506"/>
      <c r="L45" s="2496">
        <f t="shared" si="10"/>
        <v>17.74804905239688</v>
      </c>
      <c r="M45" s="122"/>
      <c r="N45" s="355"/>
      <c r="O45" s="1454">
        <v>1224</v>
      </c>
      <c r="P45" s="329"/>
    </row>
    <row r="46" spans="1:16" ht="15.75" customHeight="1">
      <c r="A46" s="357" t="s">
        <v>883</v>
      </c>
      <c r="B46" s="2475">
        <v>5399</v>
      </c>
      <c r="C46" s="2476"/>
      <c r="D46" s="2492">
        <v>4730</v>
      </c>
      <c r="E46" s="2493"/>
      <c r="F46" s="1785">
        <f>'délais '!B14</f>
        <v>1756</v>
      </c>
      <c r="G46" s="2493"/>
      <c r="H46" s="2492">
        <v>3168</v>
      </c>
      <c r="I46" s="2493"/>
      <c r="J46" s="2494">
        <f t="shared" si="11"/>
        <v>5205</v>
      </c>
      <c r="K46" s="2506"/>
      <c r="L46" s="2496">
        <f t="shared" si="10"/>
        <v>-3.5932580107427299</v>
      </c>
      <c r="M46" s="122"/>
      <c r="N46" s="355"/>
      <c r="O46" s="1454">
        <v>580</v>
      </c>
      <c r="P46" s="329"/>
    </row>
    <row r="47" spans="1:16" s="316" customFormat="1">
      <c r="A47" s="357" t="s">
        <v>884</v>
      </c>
      <c r="B47" s="2475">
        <v>2708</v>
      </c>
      <c r="C47" s="2476"/>
      <c r="D47" s="2492">
        <v>6760</v>
      </c>
      <c r="E47" s="2493"/>
      <c r="F47" s="1785">
        <f>'délais '!B15</f>
        <v>4328</v>
      </c>
      <c r="G47" s="2495"/>
      <c r="H47" s="2492">
        <v>1908</v>
      </c>
      <c r="I47" s="2493"/>
      <c r="J47" s="2494">
        <f t="shared" si="11"/>
        <v>3232</v>
      </c>
      <c r="K47" s="2506"/>
      <c r="L47" s="2496">
        <f t="shared" si="10"/>
        <v>19.350073855243721</v>
      </c>
      <c r="M47" s="122"/>
      <c r="N47" s="355"/>
      <c r="O47" s="1454">
        <v>863</v>
      </c>
      <c r="P47" s="329"/>
    </row>
    <row r="48" spans="1:16" s="316" customFormat="1" ht="16.2" thickBot="1">
      <c r="A48" s="357" t="s">
        <v>885</v>
      </c>
      <c r="B48" s="2475">
        <v>288</v>
      </c>
      <c r="C48" s="2476"/>
      <c r="D48" s="2492">
        <v>1143</v>
      </c>
      <c r="E48" s="2493"/>
      <c r="F48" s="1785">
        <f>'délais '!B16</f>
        <v>766</v>
      </c>
      <c r="G48" s="2511"/>
      <c r="H48" s="2512">
        <v>302</v>
      </c>
      <c r="I48" s="2511"/>
      <c r="J48" s="2494">
        <f t="shared" si="11"/>
        <v>363</v>
      </c>
      <c r="K48" s="2506"/>
      <c r="L48" s="2496">
        <f t="shared" si="10"/>
        <v>26.041666666666671</v>
      </c>
      <c r="M48" s="314"/>
      <c r="N48" s="355"/>
      <c r="O48" s="1454">
        <v>246</v>
      </c>
      <c r="P48" s="329"/>
    </row>
    <row r="49" spans="1:16" ht="19.5" customHeight="1" thickBot="1">
      <c r="A49" s="317" t="s">
        <v>16</v>
      </c>
      <c r="B49" s="360">
        <f>SUM(B39:B48)</f>
        <v>22209</v>
      </c>
      <c r="C49" s="361"/>
      <c r="D49" s="360">
        <f>SUM(D39:E48)</f>
        <v>51810</v>
      </c>
      <c r="E49" s="361"/>
      <c r="F49" s="2699">
        <f>SUM(F39:F48)</f>
        <v>32142</v>
      </c>
      <c r="G49" s="361"/>
      <c r="H49" s="360">
        <f>SUM(H39:I48)</f>
        <v>20784</v>
      </c>
      <c r="I49" s="361"/>
      <c r="J49" s="362">
        <f t="shared" si="11"/>
        <v>21093</v>
      </c>
      <c r="K49" s="363"/>
      <c r="L49" s="364">
        <f t="shared" si="10"/>
        <v>-5.0249898689720425</v>
      </c>
      <c r="M49" s="355"/>
      <c r="N49" s="355"/>
      <c r="O49" s="1455">
        <f>SUM(O39:O48)</f>
        <v>6499</v>
      </c>
    </row>
    <row r="50" spans="1:16" ht="15.75" customHeight="1">
      <c r="A50" s="308"/>
      <c r="B50" s="326"/>
      <c r="C50" s="326"/>
      <c r="D50" s="326"/>
      <c r="E50" s="326"/>
      <c r="F50" s="327"/>
      <c r="G50" s="328"/>
    </row>
    <row r="51" spans="1:16" ht="15" customHeight="1">
      <c r="A51" s="308"/>
      <c r="B51" s="329"/>
      <c r="C51" s="329"/>
      <c r="D51" s="329"/>
      <c r="E51" s="329"/>
      <c r="F51" s="329"/>
      <c r="G51" s="329"/>
      <c r="H51" s="329">
        <f>F49/D49*100</f>
        <v>62.038216560509554</v>
      </c>
      <c r="I51" s="329"/>
    </row>
    <row r="52" spans="1:16">
      <c r="A52" s="308" t="s">
        <v>469</v>
      </c>
    </row>
    <row r="53" spans="1:16" ht="24" thickBot="1">
      <c r="A53" s="308"/>
      <c r="M53" s="365" t="s">
        <v>29</v>
      </c>
    </row>
    <row r="54" spans="1:16">
      <c r="A54" s="330" t="s">
        <v>0</v>
      </c>
      <c r="B54" s="331" t="s">
        <v>148</v>
      </c>
      <c r="C54" s="332"/>
      <c r="D54" s="331" t="s">
        <v>149</v>
      </c>
      <c r="E54" s="332"/>
      <c r="F54" s="331" t="s">
        <v>150</v>
      </c>
      <c r="G54" s="332"/>
      <c r="H54" s="331" t="s">
        <v>151</v>
      </c>
      <c r="I54" s="332"/>
      <c r="J54" s="331" t="s">
        <v>152</v>
      </c>
      <c r="K54" s="333"/>
      <c r="L54" s="334" t="s">
        <v>20</v>
      </c>
      <c r="O54" s="334"/>
      <c r="P54" s="334"/>
    </row>
    <row r="55" spans="1:16" ht="16.2" thickBot="1">
      <c r="A55" s="335"/>
      <c r="B55" s="336" t="s">
        <v>153</v>
      </c>
      <c r="C55" s="337" t="s">
        <v>154</v>
      </c>
      <c r="D55" s="336" t="s">
        <v>153</v>
      </c>
      <c r="E55" s="337" t="s">
        <v>154</v>
      </c>
      <c r="F55" s="336" t="s">
        <v>153</v>
      </c>
      <c r="G55" s="338" t="s">
        <v>154</v>
      </c>
      <c r="H55" s="339" t="s">
        <v>153</v>
      </c>
      <c r="I55" s="338" t="s">
        <v>154</v>
      </c>
      <c r="J55" s="339" t="s">
        <v>153</v>
      </c>
      <c r="K55" s="337" t="s">
        <v>154</v>
      </c>
      <c r="L55" s="340" t="s">
        <v>155</v>
      </c>
      <c r="O55" s="340"/>
      <c r="P55" s="340" t="s">
        <v>810</v>
      </c>
    </row>
    <row r="56" spans="1:16">
      <c r="A56" s="341" t="s">
        <v>68</v>
      </c>
      <c r="B56" s="2478">
        <v>512</v>
      </c>
      <c r="C56" s="2479">
        <f>B56/L56*100</f>
        <v>41.59220146222583</v>
      </c>
      <c r="D56" s="2480">
        <v>662</v>
      </c>
      <c r="E56" s="2479">
        <f>D56/L56*100</f>
        <v>53.777416734362305</v>
      </c>
      <c r="F56" s="2480">
        <v>1</v>
      </c>
      <c r="G56" s="2479">
        <f t="shared" ref="G56:G66" si="12">F56/L56*100</f>
        <v>8.1234768480909825E-2</v>
      </c>
      <c r="H56" s="2480">
        <v>50</v>
      </c>
      <c r="I56" s="2479">
        <f t="shared" ref="I56:I64" si="13">H56/L56*100</f>
        <v>4.0617384240454912</v>
      </c>
      <c r="J56" s="2480">
        <v>6</v>
      </c>
      <c r="K56" s="2479">
        <f>J56/L56*100</f>
        <v>0.487408610885459</v>
      </c>
      <c r="L56" s="2481">
        <f t="shared" ref="L56:L65" si="14">B56+D56+F56+H56+J56</f>
        <v>1231</v>
      </c>
      <c r="M56" s="122">
        <f t="shared" ref="M56:M65" si="15">J39-L56</f>
        <v>0</v>
      </c>
      <c r="O56" s="2053">
        <f>L56-B56</f>
        <v>719</v>
      </c>
      <c r="P56" s="342">
        <v>2</v>
      </c>
    </row>
    <row r="57" spans="1:16">
      <c r="A57" s="312" t="s">
        <v>7</v>
      </c>
      <c r="B57" s="2259">
        <v>133</v>
      </c>
      <c r="C57" s="2260">
        <f t="shared" ref="C57:C66" si="16">B57/L57*100</f>
        <v>22.352941176470591</v>
      </c>
      <c r="D57" s="2261">
        <v>365</v>
      </c>
      <c r="E57" s="2260">
        <f t="shared" ref="E57:E66" si="17">D57/L57*100</f>
        <v>61.344537815126053</v>
      </c>
      <c r="F57" s="2261">
        <v>7</v>
      </c>
      <c r="G57" s="2260">
        <f t="shared" si="12"/>
        <v>1.1764705882352942</v>
      </c>
      <c r="H57" s="2261">
        <v>90</v>
      </c>
      <c r="I57" s="2260">
        <f t="shared" si="13"/>
        <v>15.126050420168067</v>
      </c>
      <c r="J57" s="2261">
        <v>0</v>
      </c>
      <c r="K57" s="2260">
        <f t="shared" ref="K57:K66" si="18">J57/L57*100</f>
        <v>0</v>
      </c>
      <c r="L57" s="2262">
        <f t="shared" si="14"/>
        <v>595</v>
      </c>
      <c r="M57" s="122">
        <f t="shared" si="15"/>
        <v>0</v>
      </c>
      <c r="O57" s="2052">
        <f t="shared" ref="O57:O65" si="19">L57-B57</f>
        <v>462</v>
      </c>
      <c r="P57" s="346">
        <v>2</v>
      </c>
    </row>
    <row r="58" spans="1:16">
      <c r="A58" s="312" t="s">
        <v>8</v>
      </c>
      <c r="B58" s="2259">
        <v>958</v>
      </c>
      <c r="C58" s="2260">
        <f t="shared" si="16"/>
        <v>33.779971791255285</v>
      </c>
      <c r="D58" s="2261">
        <v>1061</v>
      </c>
      <c r="E58" s="2260">
        <f t="shared" si="17"/>
        <v>37.411847672778556</v>
      </c>
      <c r="F58" s="2261">
        <v>340</v>
      </c>
      <c r="G58" s="2260">
        <f t="shared" si="12"/>
        <v>11.988716502115656</v>
      </c>
      <c r="H58" s="2261">
        <v>54</v>
      </c>
      <c r="I58" s="2260">
        <f t="shared" si="13"/>
        <v>1.9040902679830749</v>
      </c>
      <c r="J58" s="2261">
        <v>423</v>
      </c>
      <c r="K58" s="2260">
        <f t="shared" si="18"/>
        <v>14.915373765867418</v>
      </c>
      <c r="L58" s="2262">
        <f t="shared" si="14"/>
        <v>2836</v>
      </c>
      <c r="M58" s="122">
        <f t="shared" si="15"/>
        <v>0</v>
      </c>
      <c r="O58" s="2052">
        <f t="shared" si="19"/>
        <v>1878</v>
      </c>
      <c r="P58" s="346">
        <v>4</v>
      </c>
    </row>
    <row r="59" spans="1:16">
      <c r="A59" s="312" t="s">
        <v>4</v>
      </c>
      <c r="B59" s="2259">
        <v>204</v>
      </c>
      <c r="C59" s="2260">
        <f t="shared" si="16"/>
        <v>18.27956989247312</v>
      </c>
      <c r="D59" s="2261">
        <v>738</v>
      </c>
      <c r="E59" s="2260">
        <f t="shared" si="17"/>
        <v>66.129032258064512</v>
      </c>
      <c r="F59" s="2261">
        <v>24</v>
      </c>
      <c r="G59" s="2260">
        <f t="shared" si="12"/>
        <v>2.1505376344086025</v>
      </c>
      <c r="H59" s="2261">
        <v>150</v>
      </c>
      <c r="I59" s="2260">
        <f t="shared" si="13"/>
        <v>13.440860215053762</v>
      </c>
      <c r="J59" s="2261">
        <v>0</v>
      </c>
      <c r="K59" s="2260">
        <f t="shared" si="18"/>
        <v>0</v>
      </c>
      <c r="L59" s="2262">
        <f t="shared" si="14"/>
        <v>1116</v>
      </c>
      <c r="M59" s="122">
        <f t="shared" si="15"/>
        <v>0</v>
      </c>
      <c r="O59" s="2052">
        <f t="shared" si="19"/>
        <v>912</v>
      </c>
      <c r="P59" s="346">
        <v>4</v>
      </c>
    </row>
    <row r="60" spans="1:16">
      <c r="A60" s="312" t="s">
        <v>3</v>
      </c>
      <c r="B60" s="343">
        <v>239</v>
      </c>
      <c r="C60" s="344">
        <f t="shared" si="16"/>
        <v>43.454545454545453</v>
      </c>
      <c r="D60" s="345">
        <v>97</v>
      </c>
      <c r="E60" s="344">
        <f t="shared" si="17"/>
        <v>17.636363636363637</v>
      </c>
      <c r="F60" s="345">
        <v>166</v>
      </c>
      <c r="G60" s="344">
        <f t="shared" si="12"/>
        <v>30.181818181818183</v>
      </c>
      <c r="H60" s="345">
        <v>48</v>
      </c>
      <c r="I60" s="344">
        <f t="shared" si="13"/>
        <v>8.7272727272727284</v>
      </c>
      <c r="J60" s="345">
        <v>0</v>
      </c>
      <c r="K60" s="344">
        <f t="shared" si="18"/>
        <v>0</v>
      </c>
      <c r="L60" s="346">
        <f t="shared" si="14"/>
        <v>550</v>
      </c>
      <c r="M60" s="122">
        <f t="shared" si="15"/>
        <v>0</v>
      </c>
      <c r="O60" s="2052">
        <f t="shared" si="19"/>
        <v>311</v>
      </c>
      <c r="P60" s="1823">
        <v>2</v>
      </c>
    </row>
    <row r="61" spans="1:16">
      <c r="A61" s="312" t="s">
        <v>397</v>
      </c>
      <c r="B61" s="2259">
        <v>345</v>
      </c>
      <c r="C61" s="2260">
        <f t="shared" si="16"/>
        <v>50.438596491228068</v>
      </c>
      <c r="D61" s="2261">
        <v>223</v>
      </c>
      <c r="E61" s="2260">
        <f t="shared" si="17"/>
        <v>32.602339181286553</v>
      </c>
      <c r="F61" s="2522">
        <v>108</v>
      </c>
      <c r="G61" s="2260">
        <f t="shared" si="12"/>
        <v>15.789473684210526</v>
      </c>
      <c r="H61" s="2261">
        <v>8</v>
      </c>
      <c r="I61" s="2260">
        <f t="shared" si="13"/>
        <v>1.1695906432748537</v>
      </c>
      <c r="J61" s="2261">
        <v>0</v>
      </c>
      <c r="K61" s="2260">
        <f t="shared" si="18"/>
        <v>0</v>
      </c>
      <c r="L61" s="2262">
        <f t="shared" si="14"/>
        <v>684</v>
      </c>
      <c r="M61" s="122">
        <f t="shared" si="15"/>
        <v>0</v>
      </c>
      <c r="O61" s="2052">
        <f t="shared" si="19"/>
        <v>339</v>
      </c>
      <c r="P61" s="346">
        <v>5</v>
      </c>
    </row>
    <row r="62" spans="1:16">
      <c r="A62" s="312" t="s">
        <v>399</v>
      </c>
      <c r="B62" s="2259">
        <v>1224</v>
      </c>
      <c r="C62" s="2260">
        <f t="shared" si="16"/>
        <v>23.177428517326266</v>
      </c>
      <c r="D62" s="2261">
        <v>1028</v>
      </c>
      <c r="E62" s="2260">
        <f t="shared" si="17"/>
        <v>19.46601022533611</v>
      </c>
      <c r="F62" s="2261">
        <v>1009</v>
      </c>
      <c r="G62" s="2260">
        <f t="shared" si="12"/>
        <v>19.106229880704412</v>
      </c>
      <c r="H62" s="2261">
        <v>647</v>
      </c>
      <c r="I62" s="2260">
        <f t="shared" si="13"/>
        <v>12.251467525089947</v>
      </c>
      <c r="J62" s="2261">
        <v>1373</v>
      </c>
      <c r="K62" s="2260">
        <f>J62/L62*100</f>
        <v>25.99886385154327</v>
      </c>
      <c r="L62" s="2262">
        <f>B62+D62+F62+H62+J62</f>
        <v>5281</v>
      </c>
      <c r="M62" s="122">
        <f t="shared" si="15"/>
        <v>0</v>
      </c>
      <c r="O62" s="2052">
        <f t="shared" si="19"/>
        <v>4057</v>
      </c>
      <c r="P62" s="346">
        <v>12</v>
      </c>
    </row>
    <row r="63" spans="1:16">
      <c r="A63" s="312" t="s">
        <v>883</v>
      </c>
      <c r="B63" s="2259">
        <v>339</v>
      </c>
      <c r="C63" s="2260">
        <f t="shared" si="16"/>
        <v>6.5129682997118161</v>
      </c>
      <c r="D63" s="2261">
        <v>4466</v>
      </c>
      <c r="E63" s="2260">
        <f t="shared" si="17"/>
        <v>85.802113352545632</v>
      </c>
      <c r="F63" s="2261">
        <v>173</v>
      </c>
      <c r="G63" s="2260">
        <f t="shared" si="12"/>
        <v>3.3237271853986554</v>
      </c>
      <c r="H63" s="2261">
        <v>42</v>
      </c>
      <c r="I63" s="2260">
        <f t="shared" si="13"/>
        <v>0.80691642651296824</v>
      </c>
      <c r="J63" s="2261">
        <v>185</v>
      </c>
      <c r="K63" s="2260">
        <f t="shared" si="18"/>
        <v>3.5542747358309321</v>
      </c>
      <c r="L63" s="2262">
        <f t="shared" si="14"/>
        <v>5205</v>
      </c>
      <c r="M63" s="122">
        <f t="shared" si="15"/>
        <v>0</v>
      </c>
      <c r="O63" s="2052">
        <f t="shared" si="19"/>
        <v>4866</v>
      </c>
      <c r="P63" s="346">
        <v>5</v>
      </c>
    </row>
    <row r="64" spans="1:16">
      <c r="A64" s="312" t="s">
        <v>884</v>
      </c>
      <c r="B64" s="2259">
        <v>429</v>
      </c>
      <c r="C64" s="2260">
        <f t="shared" si="16"/>
        <v>13.27351485148515</v>
      </c>
      <c r="D64" s="2261">
        <v>1799</v>
      </c>
      <c r="E64" s="2260">
        <f t="shared" si="17"/>
        <v>55.662128712871286</v>
      </c>
      <c r="F64" s="2261">
        <v>557</v>
      </c>
      <c r="G64" s="2260">
        <f t="shared" si="12"/>
        <v>17.233910891089106</v>
      </c>
      <c r="H64" s="2261">
        <v>111</v>
      </c>
      <c r="I64" s="2260">
        <f t="shared" si="13"/>
        <v>3.4344059405940595</v>
      </c>
      <c r="J64" s="2261">
        <v>336</v>
      </c>
      <c r="K64" s="2260">
        <f t="shared" si="18"/>
        <v>10.396039603960396</v>
      </c>
      <c r="L64" s="2262">
        <f t="shared" si="14"/>
        <v>3232</v>
      </c>
      <c r="M64" s="122">
        <f t="shared" si="15"/>
        <v>0</v>
      </c>
      <c r="O64" s="2052">
        <f t="shared" si="19"/>
        <v>2803</v>
      </c>
      <c r="P64" s="346">
        <v>2</v>
      </c>
    </row>
    <row r="65" spans="1:16" ht="16.2" thickBot="1">
      <c r="A65" s="312" t="s">
        <v>885</v>
      </c>
      <c r="B65" s="2259">
        <v>152</v>
      </c>
      <c r="C65" s="2260">
        <f t="shared" si="16"/>
        <v>41.873278236914601</v>
      </c>
      <c r="D65" s="2261">
        <v>159</v>
      </c>
      <c r="E65" s="2260">
        <f t="shared" si="17"/>
        <v>43.801652892561982</v>
      </c>
      <c r="F65" s="2261">
        <v>10</v>
      </c>
      <c r="G65" s="2260">
        <f t="shared" si="12"/>
        <v>2.7548209366391188</v>
      </c>
      <c r="H65" s="2261">
        <v>42</v>
      </c>
      <c r="I65" s="2260">
        <f>H65/L65*100</f>
        <v>11.570247933884298</v>
      </c>
      <c r="J65" s="2261">
        <v>0</v>
      </c>
      <c r="K65" s="2260">
        <f t="shared" si="18"/>
        <v>0</v>
      </c>
      <c r="L65" s="2262">
        <f t="shared" si="14"/>
        <v>363</v>
      </c>
      <c r="M65" s="122">
        <f t="shared" si="15"/>
        <v>0</v>
      </c>
      <c r="O65" s="2052">
        <f t="shared" si="19"/>
        <v>211</v>
      </c>
      <c r="P65" s="346">
        <v>3</v>
      </c>
    </row>
    <row r="66" spans="1:16" ht="16.2" thickBot="1">
      <c r="A66" s="347" t="s">
        <v>16</v>
      </c>
      <c r="B66" s="348">
        <f>SUM(B56:B65)</f>
        <v>4535</v>
      </c>
      <c r="C66" s="349">
        <f t="shared" si="16"/>
        <v>21.500023704546532</v>
      </c>
      <c r="D66" s="350">
        <f>SUM(D56:D65)</f>
        <v>10598</v>
      </c>
      <c r="E66" s="349">
        <f t="shared" si="17"/>
        <v>50.244156829279852</v>
      </c>
      <c r="F66" s="350">
        <f>SUM(F56:F65)</f>
        <v>2395</v>
      </c>
      <c r="G66" s="351">
        <f t="shared" si="12"/>
        <v>11.354477788839899</v>
      </c>
      <c r="H66" s="348">
        <f>SUM(H56:H65)</f>
        <v>1242</v>
      </c>
      <c r="I66" s="351">
        <f>H66/L66*100</f>
        <v>5.8882093585549713</v>
      </c>
      <c r="J66" s="348">
        <f>SUM(J56:J65)</f>
        <v>2323</v>
      </c>
      <c r="K66" s="351">
        <f t="shared" si="18"/>
        <v>11.013132318778741</v>
      </c>
      <c r="L66" s="347">
        <f>SUM(L56:L65)</f>
        <v>21093</v>
      </c>
      <c r="O66" s="347">
        <f>SUM(O56:O65)</f>
        <v>16558</v>
      </c>
      <c r="P66" s="1672">
        <f>((O56*P56)+(O57*P57)+(O58*P58)+(O59*P59)+(O60*P60)+(O61*P61)+(O62*P62)+(O63*P63)+(O64*P64)+(O65*P65))/O66</f>
        <v>5.7429641261021862</v>
      </c>
    </row>
    <row r="69" spans="1:16">
      <c r="D69" s="1533"/>
      <c r="E69" s="1771"/>
    </row>
    <row r="70" spans="1:16">
      <c r="D70" s="1533"/>
      <c r="E70" s="1771"/>
    </row>
    <row r="71" spans="1:16">
      <c r="D71" s="1533"/>
      <c r="E71" s="1771"/>
    </row>
    <row r="72" spans="1:16">
      <c r="D72" s="1533"/>
      <c r="E72" s="1771"/>
    </row>
    <row r="73" spans="1:16">
      <c r="B73" s="77"/>
      <c r="C73" s="77"/>
      <c r="D73" s="77"/>
      <c r="E73" s="77"/>
      <c r="F73" s="160"/>
    </row>
    <row r="74" spans="1:16">
      <c r="B74" s="77"/>
      <c r="C74" s="77"/>
      <c r="D74" s="77"/>
      <c r="E74" s="77"/>
      <c r="F74" s="160"/>
    </row>
    <row r="75" spans="1:16">
      <c r="B75" s="77"/>
      <c r="C75" s="77"/>
      <c r="D75" s="77"/>
      <c r="E75" s="77"/>
      <c r="F75" s="160"/>
    </row>
    <row r="76" spans="1:16">
      <c r="F76" s="160"/>
    </row>
    <row r="77" spans="1:16">
      <c r="F77" s="160"/>
    </row>
    <row r="78" spans="1:16">
      <c r="F78" s="160"/>
    </row>
    <row r="79" spans="1:16">
      <c r="F79" s="160"/>
    </row>
    <row r="80" spans="1:16">
      <c r="F80" s="160"/>
    </row>
    <row r="81" spans="6:6">
      <c r="F81" s="160"/>
    </row>
    <row r="82" spans="6:6">
      <c r="F82" s="160"/>
    </row>
    <row r="83" spans="6:6">
      <c r="F83" s="160"/>
    </row>
    <row r="84" spans="6:6">
      <c r="F84" s="160"/>
    </row>
    <row r="85" spans="6:6">
      <c r="F85" s="160"/>
    </row>
    <row r="86" spans="6:6">
      <c r="F86" s="160"/>
    </row>
  </sheetData>
  <mergeCells count="11">
    <mergeCell ref="M22:M23"/>
    <mergeCell ref="J6:K6"/>
    <mergeCell ref="B38:C38"/>
    <mergeCell ref="J38:K38"/>
    <mergeCell ref="H6:I6"/>
    <mergeCell ref="F38:G38"/>
    <mergeCell ref="H38:I38"/>
    <mergeCell ref="D38:E38"/>
    <mergeCell ref="B6:C6"/>
    <mergeCell ref="D6:E6"/>
    <mergeCell ref="F6:G6"/>
  </mergeCells>
  <phoneticPr fontId="28" type="noConversion"/>
  <hyperlinks>
    <hyperlink ref="M53" location="'tableau de bord'!F4" display="Retour" xr:uid="{00000000-0004-0000-0A00-000000000000}"/>
    <hyperlink ref="M53:N53" location="Abonnés!B52" display="Retour" xr:uid="{00000000-0004-0000-0A00-000001000000}"/>
  </hyperlinks>
  <pageMargins left="0.23622047244094491" right="0" top="0.35433070866141736" bottom="0.15748031496062992" header="0.27559055118110237" footer="7.874015748031496E-2"/>
  <pageSetup paperSize="9" scale="75" orientation="portrait" horizontalDpi="4294967295" verticalDpi="4294967295" r:id="rId1"/>
  <headerFooter alignWithMargins="0"/>
  <legacyDrawing r:id="rId2"/>
</worksheet>
</file>

<file path=xl/worksheets/sheet1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B00-000000000000}">
  <sheetPr>
    <tabColor indexed="10"/>
  </sheetPr>
  <dimension ref="A1:S82"/>
  <sheetViews>
    <sheetView showGridLines="0" zoomScale="60" zoomScaleNormal="60" workbookViewId="0">
      <selection activeCell="D39" sqref="D39"/>
    </sheetView>
  </sheetViews>
  <sheetFormatPr baseColWidth="10" defaultColWidth="11.44140625" defaultRowHeight="15.6"/>
  <cols>
    <col min="1" max="1" width="18.44140625" style="309" customWidth="1"/>
    <col min="2" max="2" width="8.88671875" style="309" customWidth="1"/>
    <col min="3" max="3" width="9.44140625" style="309" customWidth="1"/>
    <col min="4" max="4" width="11.5546875" style="309" bestFit="1" customWidth="1"/>
    <col min="5" max="5" width="9.6640625" style="309" bestFit="1" customWidth="1"/>
    <col min="6" max="6" width="16.5546875" style="309" customWidth="1"/>
    <col min="7" max="7" width="8.6640625" style="309" customWidth="1"/>
    <col min="8" max="8" width="9.109375" style="309" customWidth="1"/>
    <col min="9" max="9" width="10.33203125" style="309" customWidth="1"/>
    <col min="10" max="10" width="8.33203125" style="309" customWidth="1"/>
    <col min="11" max="12" width="15.6640625" style="309" customWidth="1"/>
    <col min="13" max="13" width="10.33203125" style="309" customWidth="1"/>
    <col min="14" max="16" width="0" style="309" hidden="1" customWidth="1"/>
    <col min="17" max="16384" width="11.44140625" style="309"/>
  </cols>
  <sheetData>
    <row r="1" spans="1:18">
      <c r="A1" s="307" t="s">
        <v>888</v>
      </c>
      <c r="B1" s="308"/>
      <c r="C1" s="308"/>
      <c r="D1" s="308"/>
      <c r="E1" s="308"/>
      <c r="F1" s="308"/>
      <c r="G1" s="308"/>
      <c r="H1" s="308"/>
      <c r="I1" s="308"/>
      <c r="J1" s="308"/>
      <c r="K1" s="308"/>
      <c r="L1" s="308"/>
    </row>
    <row r="2" spans="1:18">
      <c r="A2" s="308" t="s">
        <v>471</v>
      </c>
    </row>
    <row r="3" spans="1:18">
      <c r="A3" s="308" t="s">
        <v>472</v>
      </c>
    </row>
    <row r="4" spans="1:18" ht="18.75" customHeight="1" thickBot="1">
      <c r="A4" s="308"/>
    </row>
    <row r="5" spans="1:18" s="329" customFormat="1" ht="69" customHeight="1">
      <c r="A5" s="366" t="s">
        <v>0</v>
      </c>
      <c r="B5" s="2998" t="s">
        <v>1034</v>
      </c>
      <c r="C5" s="2999"/>
      <c r="D5" s="3000" t="s">
        <v>237</v>
      </c>
      <c r="E5" s="3001"/>
      <c r="F5" s="2998" t="s">
        <v>145</v>
      </c>
      <c r="G5" s="2999"/>
      <c r="H5" s="3000" t="s">
        <v>171</v>
      </c>
      <c r="I5" s="3001"/>
      <c r="J5" s="2996" t="s">
        <v>1035</v>
      </c>
      <c r="K5" s="2997"/>
      <c r="L5" s="366" t="s">
        <v>147</v>
      </c>
      <c r="R5" s="311" t="s">
        <v>700</v>
      </c>
    </row>
    <row r="6" spans="1:18">
      <c r="A6" s="367" t="s">
        <v>68</v>
      </c>
      <c r="B6" s="368">
        <v>446</v>
      </c>
      <c r="C6" s="369"/>
      <c r="D6" s="368">
        <v>454</v>
      </c>
      <c r="E6" s="369"/>
      <c r="F6" s="368">
        <v>413</v>
      </c>
      <c r="G6" s="369"/>
      <c r="H6" s="1768">
        <f>'délais '!U7</f>
        <v>278</v>
      </c>
      <c r="I6" s="369"/>
      <c r="J6" s="370">
        <f t="shared" ref="J6:J16" si="0">+B6+D6-F6-H6</f>
        <v>209</v>
      </c>
      <c r="K6" s="306"/>
      <c r="L6" s="371">
        <f t="shared" ref="L6:L16" si="1">+J6/B6*100-100</f>
        <v>-53.139013452914796</v>
      </c>
      <c r="M6" s="314"/>
      <c r="O6" s="356"/>
      <c r="Q6" s="315"/>
      <c r="R6" s="1454">
        <v>44</v>
      </c>
    </row>
    <row r="7" spans="1:18">
      <c r="A7" s="367" t="s">
        <v>7</v>
      </c>
      <c r="B7" s="2497">
        <v>324</v>
      </c>
      <c r="C7" s="2498"/>
      <c r="D7" s="2497">
        <v>408</v>
      </c>
      <c r="E7" s="2498"/>
      <c r="F7" s="2497">
        <v>384</v>
      </c>
      <c r="G7" s="2499"/>
      <c r="H7" s="1768">
        <f>'délais '!U8</f>
        <v>116</v>
      </c>
      <c r="I7" s="2499"/>
      <c r="J7" s="2500">
        <f t="shared" si="0"/>
        <v>232</v>
      </c>
      <c r="K7" s="2501"/>
      <c r="L7" s="2502">
        <f t="shared" si="1"/>
        <v>-28.395061728395063</v>
      </c>
      <c r="M7" s="314"/>
      <c r="O7" s="356"/>
      <c r="Q7" s="315"/>
      <c r="R7" s="1454">
        <v>60</v>
      </c>
    </row>
    <row r="8" spans="1:18">
      <c r="A8" s="367" t="s">
        <v>8</v>
      </c>
      <c r="B8" s="2497">
        <v>1587</v>
      </c>
      <c r="C8" s="2498"/>
      <c r="D8" s="2497">
        <v>486</v>
      </c>
      <c r="E8" s="2498"/>
      <c r="F8" s="2497">
        <v>82</v>
      </c>
      <c r="G8" s="2499"/>
      <c r="H8" s="1768">
        <f>'délais '!U9</f>
        <v>194</v>
      </c>
      <c r="I8" s="2499"/>
      <c r="J8" s="2500">
        <f t="shared" si="0"/>
        <v>1797</v>
      </c>
      <c r="K8" s="2501"/>
      <c r="L8" s="2502">
        <f t="shared" si="1"/>
        <v>13.232514177693758</v>
      </c>
      <c r="M8" s="314"/>
      <c r="O8" s="356"/>
      <c r="P8" s="373"/>
      <c r="Q8" s="315"/>
      <c r="R8" s="1454">
        <v>36</v>
      </c>
    </row>
    <row r="9" spans="1:18">
      <c r="A9" s="367" t="s">
        <v>4</v>
      </c>
      <c r="B9" s="2497">
        <v>562</v>
      </c>
      <c r="C9" s="2498"/>
      <c r="D9" s="2497">
        <v>912</v>
      </c>
      <c r="E9" s="2498"/>
      <c r="F9" s="2497">
        <v>511</v>
      </c>
      <c r="G9" s="2499"/>
      <c r="H9" s="1768">
        <f>'délais '!U10</f>
        <v>420</v>
      </c>
      <c r="I9" s="2499"/>
      <c r="J9" s="2500">
        <f t="shared" si="0"/>
        <v>543</v>
      </c>
      <c r="K9" s="2501"/>
      <c r="L9" s="2502">
        <f t="shared" si="1"/>
        <v>-3.380782918149464</v>
      </c>
      <c r="M9" s="314"/>
      <c r="O9" s="356"/>
      <c r="Q9" s="315"/>
      <c r="R9" s="1454">
        <v>87</v>
      </c>
    </row>
    <row r="10" spans="1:18">
      <c r="A10" s="367" t="s">
        <v>3</v>
      </c>
      <c r="B10" s="368">
        <v>234</v>
      </c>
      <c r="C10" s="369"/>
      <c r="D10" s="368">
        <v>822</v>
      </c>
      <c r="E10" s="369"/>
      <c r="F10" s="368">
        <v>348</v>
      </c>
      <c r="G10" s="372"/>
      <c r="H10" s="1768">
        <f>'délais '!U11</f>
        <v>379</v>
      </c>
      <c r="I10" s="372"/>
      <c r="J10" s="370">
        <f>+B10+D10-F10-H10</f>
        <v>329</v>
      </c>
      <c r="K10" s="306"/>
      <c r="L10" s="371">
        <f t="shared" si="1"/>
        <v>40.598290598290589</v>
      </c>
      <c r="M10" s="314"/>
      <c r="O10" s="356"/>
      <c r="Q10" s="315"/>
      <c r="R10" s="1454">
        <v>98</v>
      </c>
    </row>
    <row r="11" spans="1:18" ht="15.75" customHeight="1">
      <c r="A11" s="367" t="s">
        <v>397</v>
      </c>
      <c r="B11" s="368">
        <v>166</v>
      </c>
      <c r="C11" s="369"/>
      <c r="D11" s="368">
        <v>416</v>
      </c>
      <c r="E11" s="369"/>
      <c r="F11" s="368">
        <v>360</v>
      </c>
      <c r="G11" s="372"/>
      <c r="H11" s="1768">
        <f>'délais '!U12</f>
        <v>91</v>
      </c>
      <c r="I11" s="372"/>
      <c r="J11" s="370">
        <f t="shared" si="0"/>
        <v>131</v>
      </c>
      <c r="K11" s="306"/>
      <c r="L11" s="371">
        <f t="shared" si="1"/>
        <v>-21.084337349397586</v>
      </c>
      <c r="M11" s="314"/>
      <c r="O11" s="356"/>
      <c r="Q11" s="315"/>
      <c r="R11" s="1454">
        <v>44</v>
      </c>
    </row>
    <row r="12" spans="1:18" s="316" customFormat="1" ht="15.75" customHeight="1">
      <c r="A12" s="367" t="s">
        <v>399</v>
      </c>
      <c r="B12" s="2497">
        <v>1840</v>
      </c>
      <c r="C12" s="2498"/>
      <c r="D12" s="2497">
        <v>1488</v>
      </c>
      <c r="E12" s="2498"/>
      <c r="F12" s="2497">
        <v>607</v>
      </c>
      <c r="G12" s="2499"/>
      <c r="H12" s="1768">
        <f>'délais '!U13</f>
        <v>451</v>
      </c>
      <c r="I12" s="2499"/>
      <c r="J12" s="2500">
        <f>+B12+D12-F12-H12</f>
        <v>2270</v>
      </c>
      <c r="K12" s="2501"/>
      <c r="L12" s="2502">
        <f>+J12/B12*100-100</f>
        <v>23.369565217391312</v>
      </c>
      <c r="M12" s="314"/>
      <c r="O12" s="356"/>
      <c r="Q12" s="315"/>
      <c r="R12" s="1454">
        <v>112</v>
      </c>
    </row>
    <row r="13" spans="1:18">
      <c r="A13" s="367" t="s">
        <v>883</v>
      </c>
      <c r="B13" s="2497">
        <v>592</v>
      </c>
      <c r="C13" s="2498"/>
      <c r="D13" s="2497">
        <v>380</v>
      </c>
      <c r="E13" s="2498"/>
      <c r="F13" s="2497">
        <v>130</v>
      </c>
      <c r="G13" s="2499"/>
      <c r="H13" s="1768">
        <f>'délais '!U14</f>
        <v>63</v>
      </c>
      <c r="I13" s="2499"/>
      <c r="J13" s="2500">
        <f t="shared" si="0"/>
        <v>779</v>
      </c>
      <c r="K13" s="2501"/>
      <c r="L13" s="2502">
        <f t="shared" si="1"/>
        <v>31.587837837837839</v>
      </c>
      <c r="M13" s="314"/>
      <c r="O13" s="356"/>
      <c r="Q13" s="315"/>
      <c r="R13" s="1454">
        <v>30</v>
      </c>
    </row>
    <row r="14" spans="1:18">
      <c r="A14" s="367" t="s">
        <v>884</v>
      </c>
      <c r="B14" s="2497">
        <v>93</v>
      </c>
      <c r="C14" s="2498"/>
      <c r="D14" s="2497">
        <v>381</v>
      </c>
      <c r="E14" s="2498"/>
      <c r="F14" s="2497">
        <v>273</v>
      </c>
      <c r="G14" s="2507"/>
      <c r="H14" s="1768">
        <f>'délais '!U15</f>
        <v>53</v>
      </c>
      <c r="I14" s="2499"/>
      <c r="J14" s="2500">
        <f t="shared" si="0"/>
        <v>148</v>
      </c>
      <c r="K14" s="2501"/>
      <c r="L14" s="2502">
        <f t="shared" si="1"/>
        <v>59.139784946236546</v>
      </c>
      <c r="M14" s="314"/>
      <c r="O14" s="356"/>
      <c r="Q14" s="315"/>
      <c r="R14" s="1454">
        <v>37</v>
      </c>
    </row>
    <row r="15" spans="1:18" s="316" customFormat="1">
      <c r="A15" s="367" t="s">
        <v>885</v>
      </c>
      <c r="B15" s="2497">
        <v>477</v>
      </c>
      <c r="C15" s="2498"/>
      <c r="D15" s="2497">
        <v>121</v>
      </c>
      <c r="E15" s="2498"/>
      <c r="F15" s="2497">
        <v>60</v>
      </c>
      <c r="G15" s="2499"/>
      <c r="H15" s="1768">
        <f>'délais '!U16</f>
        <v>74</v>
      </c>
      <c r="I15" s="2499"/>
      <c r="J15" s="2500">
        <f t="shared" si="0"/>
        <v>464</v>
      </c>
      <c r="K15" s="2501"/>
      <c r="L15" s="2502">
        <f t="shared" si="1"/>
        <v>-2.7253668763102752</v>
      </c>
      <c r="M15" s="314"/>
      <c r="O15" s="356"/>
      <c r="Q15" s="315"/>
      <c r="R15" s="1454">
        <v>14</v>
      </c>
    </row>
    <row r="16" spans="1:18" ht="19.5" customHeight="1" thickBot="1">
      <c r="A16" s="374" t="s">
        <v>16</v>
      </c>
      <c r="B16" s="375">
        <f>SUM(B6:B15)</f>
        <v>6321</v>
      </c>
      <c r="C16" s="376"/>
      <c r="D16" s="375">
        <f>SUM(D6:D15)</f>
        <v>5868</v>
      </c>
      <c r="E16" s="376"/>
      <c r="F16" s="375">
        <f>SUM(F6:F15)</f>
        <v>3168</v>
      </c>
      <c r="G16" s="376"/>
      <c r="H16" s="1769">
        <f>SUM(H6:H15)</f>
        <v>2119</v>
      </c>
      <c r="I16" s="376"/>
      <c r="J16" s="377">
        <f t="shared" si="0"/>
        <v>6902</v>
      </c>
      <c r="K16" s="306"/>
      <c r="L16" s="378">
        <f t="shared" si="1"/>
        <v>9.1915836101882604</v>
      </c>
      <c r="M16" s="355"/>
      <c r="O16" s="356"/>
      <c r="Q16" s="325"/>
      <c r="R16" s="1455">
        <f>SUM(R6:R15)</f>
        <v>562</v>
      </c>
    </row>
    <row r="17" spans="1:19">
      <c r="A17" s="308"/>
      <c r="B17" s="326"/>
      <c r="C17" s="326"/>
      <c r="D17" s="326"/>
      <c r="E17" s="326"/>
      <c r="F17" s="327"/>
      <c r="G17" s="328"/>
    </row>
    <row r="18" spans="1:19">
      <c r="A18" s="308" t="s">
        <v>473</v>
      </c>
    </row>
    <row r="19" spans="1:19" ht="17.25" customHeight="1" thickBot="1">
      <c r="A19" s="308"/>
    </row>
    <row r="20" spans="1:19">
      <c r="A20" s="379" t="s">
        <v>0</v>
      </c>
      <c r="B20" s="1362" t="s">
        <v>148</v>
      </c>
      <c r="C20" s="1363"/>
      <c r="D20" s="1362" t="s">
        <v>149</v>
      </c>
      <c r="E20" s="1363"/>
      <c r="F20" s="1362" t="s">
        <v>150</v>
      </c>
      <c r="G20" s="1363"/>
      <c r="H20" s="1362" t="s">
        <v>151</v>
      </c>
      <c r="I20" s="1363"/>
      <c r="J20" s="1362" t="s">
        <v>152</v>
      </c>
      <c r="K20" s="1364"/>
      <c r="L20" s="374" t="s">
        <v>20</v>
      </c>
      <c r="M20" s="374"/>
      <c r="R20" s="334"/>
      <c r="S20" s="334"/>
    </row>
    <row r="21" spans="1:19" ht="16.2" thickBot="1">
      <c r="A21" s="380"/>
      <c r="B21" s="381" t="s">
        <v>153</v>
      </c>
      <c r="C21" s="381" t="s">
        <v>154</v>
      </c>
      <c r="D21" s="381" t="s">
        <v>153</v>
      </c>
      <c r="E21" s="381" t="s">
        <v>154</v>
      </c>
      <c r="F21" s="381" t="s">
        <v>153</v>
      </c>
      <c r="G21" s="381" t="s">
        <v>154</v>
      </c>
      <c r="H21" s="381" t="s">
        <v>153</v>
      </c>
      <c r="I21" s="381" t="s">
        <v>154</v>
      </c>
      <c r="J21" s="381" t="s">
        <v>153</v>
      </c>
      <c r="K21" s="381" t="s">
        <v>154</v>
      </c>
      <c r="L21" s="374" t="s">
        <v>155</v>
      </c>
      <c r="M21" s="374"/>
      <c r="R21" s="340"/>
      <c r="S21" s="340" t="s">
        <v>810</v>
      </c>
    </row>
    <row r="22" spans="1:19">
      <c r="A22" s="382" t="s">
        <v>68</v>
      </c>
      <c r="B22" s="2489">
        <v>90</v>
      </c>
      <c r="C22" s="2490">
        <f>B22/L22*100</f>
        <v>43.062200956937801</v>
      </c>
      <c r="D22" s="2489">
        <v>29</v>
      </c>
      <c r="E22" s="2490">
        <f>D22/L22*100</f>
        <v>13.875598086124402</v>
      </c>
      <c r="F22" s="2489">
        <v>50</v>
      </c>
      <c r="G22" s="2490">
        <f>F22/L22*100</f>
        <v>23.923444976076556</v>
      </c>
      <c r="H22" s="2489">
        <v>40</v>
      </c>
      <c r="I22" s="2490">
        <f t="shared" ref="I22:I32" si="2">H22/L22*100</f>
        <v>19.138755980861244</v>
      </c>
      <c r="J22" s="2489">
        <v>0</v>
      </c>
      <c r="K22" s="2490">
        <f>J22/L22*100</f>
        <v>0</v>
      </c>
      <c r="L22" s="2261">
        <f t="shared" ref="L22:L31" si="3">B22+D22+F22+H22+J22</f>
        <v>209</v>
      </c>
      <c r="M22" s="2261">
        <f>L22-J6</f>
        <v>0</v>
      </c>
      <c r="R22" s="2053">
        <f>L22-B22</f>
        <v>119</v>
      </c>
      <c r="S22" s="342">
        <v>14</v>
      </c>
    </row>
    <row r="23" spans="1:19">
      <c r="A23" s="382" t="s">
        <v>7</v>
      </c>
      <c r="B23" s="2489">
        <v>43</v>
      </c>
      <c r="C23" s="2490">
        <f>B23/L23*100</f>
        <v>18.53448275862069</v>
      </c>
      <c r="D23" s="2489">
        <v>30</v>
      </c>
      <c r="E23" s="2490">
        <f t="shared" ref="E23:E31" si="4">D23/L23*100</f>
        <v>12.931034482758621</v>
      </c>
      <c r="F23" s="2489">
        <v>41</v>
      </c>
      <c r="G23" s="2490">
        <f t="shared" ref="G23:G32" si="5">F23/L23*100</f>
        <v>17.672413793103448</v>
      </c>
      <c r="H23" s="2489">
        <v>118</v>
      </c>
      <c r="I23" s="2490">
        <f t="shared" si="2"/>
        <v>50.862068965517238</v>
      </c>
      <c r="J23" s="2489">
        <v>0</v>
      </c>
      <c r="K23" s="2490">
        <f t="shared" ref="K23:K32" si="6">J23/L23*100</f>
        <v>0</v>
      </c>
      <c r="L23" s="2261">
        <f t="shared" si="3"/>
        <v>232</v>
      </c>
      <c r="M23" s="2261">
        <f t="shared" ref="M23:M32" si="7">L23-J7</f>
        <v>0</v>
      </c>
      <c r="R23" s="2052">
        <f t="shared" ref="R23:R31" si="8">L23-B23</f>
        <v>189</v>
      </c>
      <c r="S23" s="2054">
        <v>9</v>
      </c>
    </row>
    <row r="24" spans="1:19">
      <c r="A24" s="382" t="s">
        <v>8</v>
      </c>
      <c r="B24" s="2489">
        <v>667</v>
      </c>
      <c r="C24" s="2490">
        <f t="shared" ref="C24:C32" si="9">B24/L24*100</f>
        <v>37.117417918753475</v>
      </c>
      <c r="D24" s="2489">
        <v>598</v>
      </c>
      <c r="E24" s="2490">
        <f t="shared" si="4"/>
        <v>33.27768503060657</v>
      </c>
      <c r="F24" s="2489">
        <v>227</v>
      </c>
      <c r="G24" s="2490">
        <f t="shared" si="5"/>
        <v>12.632164718976071</v>
      </c>
      <c r="H24" s="2489">
        <v>148</v>
      </c>
      <c r="I24" s="2490">
        <f t="shared" si="2"/>
        <v>8.2359488035614916</v>
      </c>
      <c r="J24" s="2489">
        <v>157</v>
      </c>
      <c r="K24" s="2490">
        <f t="shared" si="6"/>
        <v>8.7367835281023929</v>
      </c>
      <c r="L24" s="2261">
        <f t="shared" si="3"/>
        <v>1797</v>
      </c>
      <c r="M24" s="2261">
        <f>L24-J8</f>
        <v>0</v>
      </c>
      <c r="R24" s="2052">
        <f t="shared" si="8"/>
        <v>1130</v>
      </c>
      <c r="S24" s="2054">
        <v>14</v>
      </c>
    </row>
    <row r="25" spans="1:19">
      <c r="A25" s="382" t="s">
        <v>4</v>
      </c>
      <c r="B25" s="2489">
        <v>72</v>
      </c>
      <c r="C25" s="2490">
        <f t="shared" si="9"/>
        <v>13.259668508287293</v>
      </c>
      <c r="D25" s="2489">
        <v>123</v>
      </c>
      <c r="E25" s="2490">
        <f t="shared" si="4"/>
        <v>22.651933701657459</v>
      </c>
      <c r="F25" s="2489">
        <v>98</v>
      </c>
      <c r="G25" s="2490">
        <f>F25/L25*100</f>
        <v>18.047882136279927</v>
      </c>
      <c r="H25" s="2489">
        <v>250</v>
      </c>
      <c r="I25" s="2490">
        <f t="shared" si="2"/>
        <v>46.040515653775323</v>
      </c>
      <c r="J25" s="2489">
        <v>0</v>
      </c>
      <c r="K25" s="2490">
        <f t="shared" si="6"/>
        <v>0</v>
      </c>
      <c r="L25" s="2261">
        <f t="shared" si="3"/>
        <v>543</v>
      </c>
      <c r="M25" s="2261">
        <f t="shared" si="7"/>
        <v>0</v>
      </c>
      <c r="R25" s="2052">
        <f t="shared" si="8"/>
        <v>471</v>
      </c>
      <c r="S25" s="2054">
        <v>4</v>
      </c>
    </row>
    <row r="26" spans="1:19">
      <c r="A26" s="382" t="s">
        <v>3</v>
      </c>
      <c r="B26" s="383">
        <v>35</v>
      </c>
      <c r="C26" s="384">
        <f t="shared" si="9"/>
        <v>10.638297872340425</v>
      </c>
      <c r="D26" s="383">
        <v>28</v>
      </c>
      <c r="E26" s="384">
        <f t="shared" si="4"/>
        <v>8.5106382978723403</v>
      </c>
      <c r="F26" s="383">
        <v>125</v>
      </c>
      <c r="G26" s="384">
        <f t="shared" si="5"/>
        <v>37.993920972644382</v>
      </c>
      <c r="H26" s="383">
        <v>140</v>
      </c>
      <c r="I26" s="384">
        <f t="shared" si="2"/>
        <v>42.553191489361701</v>
      </c>
      <c r="J26" s="383">
        <v>1</v>
      </c>
      <c r="K26" s="384">
        <f t="shared" si="6"/>
        <v>0.303951367781155</v>
      </c>
      <c r="L26" s="345">
        <f t="shared" si="3"/>
        <v>329</v>
      </c>
      <c r="M26" s="345">
        <f t="shared" si="7"/>
        <v>0</v>
      </c>
      <c r="R26" s="2052">
        <f t="shared" si="8"/>
        <v>294</v>
      </c>
      <c r="S26" s="2054"/>
    </row>
    <row r="27" spans="1:19">
      <c r="A27" s="382" t="s">
        <v>397</v>
      </c>
      <c r="B27" s="383">
        <v>47</v>
      </c>
      <c r="C27" s="384">
        <f t="shared" si="9"/>
        <v>35.877862595419849</v>
      </c>
      <c r="D27" s="383">
        <v>57</v>
      </c>
      <c r="E27" s="384">
        <f t="shared" si="4"/>
        <v>43.511450381679388</v>
      </c>
      <c r="F27" s="383">
        <v>15</v>
      </c>
      <c r="G27" s="384">
        <f t="shared" si="5"/>
        <v>11.450381679389313</v>
      </c>
      <c r="H27" s="383">
        <v>12</v>
      </c>
      <c r="I27" s="384">
        <f t="shared" si="2"/>
        <v>9.1603053435114496</v>
      </c>
      <c r="J27" s="383">
        <v>0</v>
      </c>
      <c r="K27" s="384">
        <f t="shared" si="6"/>
        <v>0</v>
      </c>
      <c r="L27" s="345">
        <f t="shared" si="3"/>
        <v>131</v>
      </c>
      <c r="M27" s="345">
        <f t="shared" si="7"/>
        <v>0</v>
      </c>
      <c r="R27" s="2052">
        <f t="shared" si="8"/>
        <v>84</v>
      </c>
      <c r="S27" s="2054">
        <v>11</v>
      </c>
    </row>
    <row r="28" spans="1:19" s="316" customFormat="1">
      <c r="A28" s="382" t="s">
        <v>399</v>
      </c>
      <c r="B28" s="2489">
        <v>157</v>
      </c>
      <c r="C28" s="2490">
        <f t="shared" si="9"/>
        <v>6.9162995594713657</v>
      </c>
      <c r="D28" s="2489">
        <v>1842</v>
      </c>
      <c r="E28" s="2490">
        <f t="shared" si="4"/>
        <v>81.145374449339201</v>
      </c>
      <c r="F28" s="2489">
        <v>152</v>
      </c>
      <c r="G28" s="2490">
        <f t="shared" si="5"/>
        <v>6.6960352422907485</v>
      </c>
      <c r="H28" s="2489">
        <v>79</v>
      </c>
      <c r="I28" s="2490">
        <f t="shared" si="2"/>
        <v>3.480176211453744</v>
      </c>
      <c r="J28" s="2489">
        <v>40</v>
      </c>
      <c r="K28" s="2490">
        <f t="shared" si="6"/>
        <v>1.7621145374449341</v>
      </c>
      <c r="L28" s="2261">
        <f t="shared" si="3"/>
        <v>2270</v>
      </c>
      <c r="M28" s="2261">
        <f t="shared" si="7"/>
        <v>0</v>
      </c>
      <c r="N28" s="309"/>
      <c r="O28" s="309"/>
      <c r="Q28" s="309"/>
      <c r="R28" s="2052">
        <f t="shared" si="8"/>
        <v>2113</v>
      </c>
      <c r="S28" s="2054">
        <v>16</v>
      </c>
    </row>
    <row r="29" spans="1:19">
      <c r="A29" s="382" t="s">
        <v>883</v>
      </c>
      <c r="B29" s="2489">
        <v>84</v>
      </c>
      <c r="C29" s="2490">
        <f t="shared" si="9"/>
        <v>10.783055198973042</v>
      </c>
      <c r="D29" s="2489">
        <v>465</v>
      </c>
      <c r="E29" s="2490">
        <f t="shared" si="4"/>
        <v>59.691912708600768</v>
      </c>
      <c r="F29" s="2489">
        <v>47</v>
      </c>
      <c r="G29" s="2490">
        <f t="shared" si="5"/>
        <v>6.033376123234917</v>
      </c>
      <c r="H29" s="2489">
        <v>83</v>
      </c>
      <c r="I29" s="2490">
        <f>H29/L29*100</f>
        <v>10.654685494223363</v>
      </c>
      <c r="J29" s="2489">
        <v>100</v>
      </c>
      <c r="K29" s="2490">
        <f t="shared" si="6"/>
        <v>12.836970474967908</v>
      </c>
      <c r="L29" s="2261">
        <f t="shared" si="3"/>
        <v>779</v>
      </c>
      <c r="M29" s="2261">
        <f t="shared" si="7"/>
        <v>0</v>
      </c>
      <c r="R29" s="2052">
        <f t="shared" si="8"/>
        <v>695</v>
      </c>
      <c r="S29" s="2054">
        <v>42</v>
      </c>
    </row>
    <row r="30" spans="1:19">
      <c r="A30" s="382" t="s">
        <v>884</v>
      </c>
      <c r="B30" s="2489">
        <v>0</v>
      </c>
      <c r="C30" s="2490">
        <f t="shared" si="9"/>
        <v>0</v>
      </c>
      <c r="D30" s="2489">
        <v>120</v>
      </c>
      <c r="E30" s="2490">
        <f t="shared" si="4"/>
        <v>81.081081081081081</v>
      </c>
      <c r="F30" s="2489">
        <v>2</v>
      </c>
      <c r="G30" s="2490">
        <f t="shared" si="5"/>
        <v>1.3513513513513513</v>
      </c>
      <c r="H30" s="2489">
        <v>26</v>
      </c>
      <c r="I30" s="2490">
        <f t="shared" si="2"/>
        <v>17.567567567567568</v>
      </c>
      <c r="J30" s="2489">
        <v>0</v>
      </c>
      <c r="K30" s="2490">
        <f t="shared" si="6"/>
        <v>0</v>
      </c>
      <c r="L30" s="2261">
        <f t="shared" si="3"/>
        <v>148</v>
      </c>
      <c r="M30" s="2261">
        <f t="shared" si="7"/>
        <v>0</v>
      </c>
      <c r="R30" s="2052">
        <f t="shared" si="8"/>
        <v>148</v>
      </c>
      <c r="S30" s="2054">
        <v>4</v>
      </c>
    </row>
    <row r="31" spans="1:19" ht="16.2" thickBot="1">
      <c r="A31" s="382" t="s">
        <v>885</v>
      </c>
      <c r="B31" s="2489">
        <v>134</v>
      </c>
      <c r="C31" s="2490">
        <f t="shared" si="9"/>
        <v>28.879310344827587</v>
      </c>
      <c r="D31" s="2489">
        <v>79</v>
      </c>
      <c r="E31" s="2490">
        <f t="shared" si="4"/>
        <v>17.025862068965516</v>
      </c>
      <c r="F31" s="2489">
        <v>40</v>
      </c>
      <c r="G31" s="2490">
        <f t="shared" si="5"/>
        <v>8.6206896551724146</v>
      </c>
      <c r="H31" s="2489">
        <v>71</v>
      </c>
      <c r="I31" s="2490">
        <f t="shared" si="2"/>
        <v>15.301724137931034</v>
      </c>
      <c r="J31" s="2489">
        <v>140</v>
      </c>
      <c r="K31" s="2490">
        <f t="shared" si="6"/>
        <v>30.172413793103448</v>
      </c>
      <c r="L31" s="2261">
        <f t="shared" si="3"/>
        <v>464</v>
      </c>
      <c r="M31" s="2261">
        <f t="shared" si="7"/>
        <v>0</v>
      </c>
      <c r="R31" s="2052">
        <f t="shared" si="8"/>
        <v>330</v>
      </c>
      <c r="S31" s="2054">
        <v>19</v>
      </c>
    </row>
    <row r="32" spans="1:19" ht="16.2" thickBot="1">
      <c r="A32" s="374" t="s">
        <v>16</v>
      </c>
      <c r="B32" s="374">
        <f>SUM(B22:B31)</f>
        <v>1329</v>
      </c>
      <c r="C32" s="385">
        <f t="shared" si="9"/>
        <v>19.255288322225443</v>
      </c>
      <c r="D32" s="374">
        <f>SUM(D22:D31)</f>
        <v>3371</v>
      </c>
      <c r="E32" s="385">
        <f>D32/L32*100</f>
        <v>48.840915676615474</v>
      </c>
      <c r="F32" s="374">
        <f>SUM(F22:F31)</f>
        <v>797</v>
      </c>
      <c r="G32" s="371">
        <f t="shared" si="5"/>
        <v>11.547377571718343</v>
      </c>
      <c r="H32" s="374">
        <f>SUM(H22:H31)</f>
        <v>967</v>
      </c>
      <c r="I32" s="371">
        <f t="shared" si="2"/>
        <v>14.01043175891046</v>
      </c>
      <c r="J32" s="374">
        <f>SUM(J22:J31)</f>
        <v>438</v>
      </c>
      <c r="K32" s="371">
        <f t="shared" si="6"/>
        <v>6.345986670530281</v>
      </c>
      <c r="L32" s="374">
        <f>SUM(L22:L31)</f>
        <v>6902</v>
      </c>
      <c r="M32" s="345">
        <f t="shared" si="7"/>
        <v>0</v>
      </c>
      <c r="R32" s="347">
        <f>SUM(R22:R31)</f>
        <v>5573</v>
      </c>
      <c r="S32" s="1672">
        <f>((R22*S22)+(R23*S23)+(R24*S24)+(R25*S25)+(R26*S26)+(R27*S27)+(R28*S28)+(R29*S29)+(R30*S30)+(R31*S31))/R32</f>
        <v>16.482146061367306</v>
      </c>
    </row>
    <row r="33" spans="1:18">
      <c r="B33" s="308"/>
    </row>
    <row r="34" spans="1:18">
      <c r="A34" s="308" t="s">
        <v>474</v>
      </c>
    </row>
    <row r="35" spans="1:18" ht="16.2" thickBot="1"/>
    <row r="36" spans="1:18" ht="69" customHeight="1">
      <c r="A36" s="311" t="s">
        <v>0</v>
      </c>
      <c r="B36" s="2992" t="str">
        <f>B5</f>
        <v>Portefeuille         au 31/12/22     (1)</v>
      </c>
      <c r="C36" s="2993"/>
      <c r="D36" s="2992" t="s">
        <v>156</v>
      </c>
      <c r="E36" s="2993"/>
      <c r="F36" s="2992" t="s">
        <v>157</v>
      </c>
      <c r="G36" s="2993"/>
      <c r="H36" s="2992" t="s">
        <v>158</v>
      </c>
      <c r="I36" s="2993"/>
      <c r="J36" s="3002" t="str">
        <f>J5</f>
        <v>Portefeuille     au 31/12/2023 (1)+(2)-(3)-(4)</v>
      </c>
      <c r="K36" s="3003"/>
      <c r="L36" s="311" t="s">
        <v>159</v>
      </c>
      <c r="R36" s="311" t="s">
        <v>700</v>
      </c>
    </row>
    <row r="37" spans="1:18">
      <c r="A37" s="312" t="s">
        <v>68</v>
      </c>
      <c r="B37" s="358">
        <v>861</v>
      </c>
      <c r="C37" s="359"/>
      <c r="D37" s="358">
        <v>3265</v>
      </c>
      <c r="E37" s="359"/>
      <c r="F37" s="1767">
        <f>'délais '!O7</f>
        <v>1200</v>
      </c>
      <c r="G37" s="388"/>
      <c r="H37" s="386">
        <v>1986</v>
      </c>
      <c r="I37" s="387"/>
      <c r="J37" s="386">
        <f>B37+D37-F37-H37</f>
        <v>940</v>
      </c>
      <c r="K37" s="1375"/>
      <c r="L37" s="313">
        <f t="shared" ref="L37:L47" si="10">+J37/B37*100-100</f>
        <v>9.1753774680603897</v>
      </c>
      <c r="M37" s="314"/>
      <c r="N37" s="355"/>
      <c r="O37" s="356"/>
      <c r="Q37" s="356"/>
      <c r="R37" s="1454">
        <v>351</v>
      </c>
    </row>
    <row r="38" spans="1:18">
      <c r="A38" s="312" t="s">
        <v>7</v>
      </c>
      <c r="B38" s="2492">
        <v>424</v>
      </c>
      <c r="C38" s="2493"/>
      <c r="D38" s="2492">
        <v>2509</v>
      </c>
      <c r="E38" s="2493"/>
      <c r="F38" s="1767">
        <f>'délais '!O8</f>
        <v>1214</v>
      </c>
      <c r="G38" s="2503"/>
      <c r="H38" s="2504">
        <v>1155</v>
      </c>
      <c r="I38" s="2505"/>
      <c r="J38" s="2504">
        <f t="shared" ref="J38:J46" si="11">B38+D38-F38-H38</f>
        <v>564</v>
      </c>
      <c r="K38" s="2505"/>
      <c r="L38" s="2477">
        <f t="shared" si="10"/>
        <v>33.018867924528308</v>
      </c>
      <c r="M38" s="314"/>
      <c r="N38" s="355"/>
      <c r="O38" s="356"/>
      <c r="Q38" s="356"/>
      <c r="R38" s="1454">
        <v>321</v>
      </c>
    </row>
    <row r="39" spans="1:18">
      <c r="A39" s="312" t="s">
        <v>8</v>
      </c>
      <c r="B39" s="2492">
        <v>2231</v>
      </c>
      <c r="C39" s="2493"/>
      <c r="D39" s="2492">
        <v>2336</v>
      </c>
      <c r="E39" s="2493"/>
      <c r="F39" s="1768">
        <f>'délais '!O9</f>
        <v>1191</v>
      </c>
      <c r="G39" s="2503"/>
      <c r="H39" s="2504">
        <v>1112</v>
      </c>
      <c r="I39" s="2505"/>
      <c r="J39" s="2504">
        <f t="shared" si="11"/>
        <v>2264</v>
      </c>
      <c r="K39" s="2505"/>
      <c r="L39" s="2477">
        <f t="shared" si="10"/>
        <v>1.479157328552219</v>
      </c>
      <c r="M39" s="314"/>
      <c r="N39" s="355"/>
      <c r="O39" s="356"/>
      <c r="Q39" s="356"/>
      <c r="R39" s="1454">
        <v>321</v>
      </c>
    </row>
    <row r="40" spans="1:18">
      <c r="A40" s="312" t="s">
        <v>4</v>
      </c>
      <c r="B40" s="2492">
        <v>1104</v>
      </c>
      <c r="C40" s="2493"/>
      <c r="D40" s="2492">
        <v>3678</v>
      </c>
      <c r="E40" s="2493"/>
      <c r="F40" s="1768">
        <f>'délais '!O10</f>
        <v>2316</v>
      </c>
      <c r="G40" s="2503"/>
      <c r="H40" s="2504">
        <v>1795</v>
      </c>
      <c r="I40" s="2505"/>
      <c r="J40" s="2504">
        <f t="shared" si="11"/>
        <v>671</v>
      </c>
      <c r="K40" s="2505"/>
      <c r="L40" s="2477">
        <f t="shared" si="10"/>
        <v>-39.221014492753625</v>
      </c>
      <c r="M40" s="314"/>
      <c r="N40" s="355"/>
      <c r="O40" s="356"/>
      <c r="Q40" s="356"/>
      <c r="R40" s="1454">
        <v>536</v>
      </c>
    </row>
    <row r="41" spans="1:18">
      <c r="A41" s="312" t="s">
        <v>3</v>
      </c>
      <c r="B41" s="358">
        <v>322</v>
      </c>
      <c r="C41" s="359"/>
      <c r="D41" s="358">
        <v>1593</v>
      </c>
      <c r="E41" s="359"/>
      <c r="F41" s="1768">
        <f>'délais '!O11</f>
        <v>1264</v>
      </c>
      <c r="G41" s="388"/>
      <c r="H41" s="386">
        <v>284</v>
      </c>
      <c r="I41" s="387"/>
      <c r="J41" s="386">
        <f t="shared" si="11"/>
        <v>367</v>
      </c>
      <c r="K41" s="387"/>
      <c r="L41" s="313">
        <f t="shared" si="10"/>
        <v>13.975155279503099</v>
      </c>
      <c r="N41" s="355"/>
      <c r="O41" s="356"/>
      <c r="Q41" s="356"/>
      <c r="R41" s="1454">
        <v>235</v>
      </c>
    </row>
    <row r="42" spans="1:18">
      <c r="A42" s="312" t="s">
        <v>397</v>
      </c>
      <c r="B42" s="358">
        <v>838</v>
      </c>
      <c r="C42" s="359"/>
      <c r="D42" s="358">
        <v>3358</v>
      </c>
      <c r="E42" s="359"/>
      <c r="F42" s="1768">
        <f>'délais '!O12</f>
        <v>1606</v>
      </c>
      <c r="G42" s="388"/>
      <c r="H42" s="386">
        <v>1856</v>
      </c>
      <c r="I42" s="387"/>
      <c r="J42" s="386">
        <f t="shared" si="11"/>
        <v>734</v>
      </c>
      <c r="K42" s="387"/>
      <c r="L42" s="313">
        <f t="shared" si="10"/>
        <v>-12.41050119331743</v>
      </c>
      <c r="N42" s="355"/>
      <c r="O42" s="356"/>
      <c r="Q42" s="356"/>
      <c r="R42" s="1454">
        <v>380</v>
      </c>
    </row>
    <row r="43" spans="1:18" s="316" customFormat="1">
      <c r="A43" s="312" t="s">
        <v>399</v>
      </c>
      <c r="B43" s="2492">
        <v>1490</v>
      </c>
      <c r="C43" s="2493"/>
      <c r="D43" s="2492">
        <v>2075</v>
      </c>
      <c r="E43" s="2493"/>
      <c r="F43" s="1768">
        <f>'délais '!O13</f>
        <v>936</v>
      </c>
      <c r="G43" s="2503"/>
      <c r="H43" s="2504">
        <v>1388</v>
      </c>
      <c r="I43" s="2505"/>
      <c r="J43" s="2504">
        <f t="shared" si="11"/>
        <v>1241</v>
      </c>
      <c r="K43" s="2505"/>
      <c r="L43" s="2477">
        <f t="shared" si="10"/>
        <v>-16.711409395973149</v>
      </c>
      <c r="N43" s="355"/>
      <c r="O43" s="356"/>
      <c r="Q43" s="356"/>
      <c r="R43" s="1454">
        <v>316</v>
      </c>
    </row>
    <row r="44" spans="1:18">
      <c r="A44" s="312" t="s">
        <v>883</v>
      </c>
      <c r="B44" s="2492">
        <v>3831</v>
      </c>
      <c r="C44" s="2493"/>
      <c r="D44" s="2492">
        <v>1655</v>
      </c>
      <c r="E44" s="2493"/>
      <c r="F44" s="1768">
        <f>'délais '!O14</f>
        <v>1083</v>
      </c>
      <c r="G44" s="2508"/>
      <c r="H44" s="2504">
        <v>2009</v>
      </c>
      <c r="I44" s="2505"/>
      <c r="J44" s="2504">
        <f t="shared" si="11"/>
        <v>2394</v>
      </c>
      <c r="K44" s="2505"/>
      <c r="L44" s="2477">
        <f t="shared" si="10"/>
        <v>-37.509788566953794</v>
      </c>
      <c r="N44" s="355"/>
      <c r="O44" s="356"/>
      <c r="Q44" s="356"/>
      <c r="R44" s="1454">
        <v>168</v>
      </c>
    </row>
    <row r="45" spans="1:18">
      <c r="A45" s="312" t="s">
        <v>884</v>
      </c>
      <c r="B45" s="2492">
        <v>1225</v>
      </c>
      <c r="C45" s="2493"/>
      <c r="D45" s="2492">
        <v>2174</v>
      </c>
      <c r="E45" s="2493"/>
      <c r="F45" s="1768">
        <f>'délais '!O15</f>
        <v>1286</v>
      </c>
      <c r="G45" s="2508"/>
      <c r="H45" s="2504">
        <v>704</v>
      </c>
      <c r="I45" s="2505"/>
      <c r="J45" s="2504">
        <f t="shared" si="11"/>
        <v>1409</v>
      </c>
      <c r="K45" s="2505"/>
      <c r="L45" s="2477">
        <f t="shared" si="10"/>
        <v>15.020408163265301</v>
      </c>
      <c r="M45" s="314"/>
      <c r="N45" s="355"/>
      <c r="O45" s="356"/>
      <c r="Q45" s="356"/>
      <c r="R45" s="1454">
        <v>244</v>
      </c>
    </row>
    <row r="46" spans="1:18" s="316" customFormat="1">
      <c r="A46" s="312" t="s">
        <v>885</v>
      </c>
      <c r="B46" s="2492">
        <v>263</v>
      </c>
      <c r="C46" s="2493"/>
      <c r="D46" s="2492">
        <v>359</v>
      </c>
      <c r="E46" s="2493"/>
      <c r="F46" s="1768">
        <f>'délais '!O16</f>
        <v>159</v>
      </c>
      <c r="G46" s="2513"/>
      <c r="H46" s="2504">
        <v>259</v>
      </c>
      <c r="I46" s="2505"/>
      <c r="J46" s="2504">
        <f t="shared" si="11"/>
        <v>204</v>
      </c>
      <c r="K46" s="2505"/>
      <c r="L46" s="2477">
        <f t="shared" si="10"/>
        <v>-22.433460076045634</v>
      </c>
      <c r="M46" s="314"/>
      <c r="N46" s="355"/>
      <c r="O46" s="356"/>
      <c r="Q46" s="356"/>
      <c r="R46" s="1454">
        <v>66</v>
      </c>
    </row>
    <row r="47" spans="1:18" ht="19.5" customHeight="1" thickBot="1">
      <c r="A47" s="317" t="s">
        <v>16</v>
      </c>
      <c r="B47" s="389">
        <f>SUM(B37:C46)</f>
        <v>12589</v>
      </c>
      <c r="C47" s="390"/>
      <c r="D47" s="389">
        <f>SUM(D37:E46)</f>
        <v>23002</v>
      </c>
      <c r="E47" s="390"/>
      <c r="F47" s="1770">
        <f>SUM(F37:G46)</f>
        <v>12255</v>
      </c>
      <c r="G47" s="390"/>
      <c r="H47" s="389">
        <f>SUM(H37:I46)</f>
        <v>12548</v>
      </c>
      <c r="I47" s="390"/>
      <c r="J47" s="391">
        <f>SUM(J37:J46)</f>
        <v>10788</v>
      </c>
      <c r="K47" s="392"/>
      <c r="L47" s="324">
        <f t="shared" si="10"/>
        <v>-14.306140281197884</v>
      </c>
      <c r="N47" s="355"/>
      <c r="O47" s="356"/>
      <c r="Q47" s="325"/>
      <c r="R47" s="1455">
        <f>SUM(R37:R46)</f>
        <v>2938</v>
      </c>
    </row>
    <row r="48" spans="1:18" ht="22.5" customHeight="1">
      <c r="A48" s="308"/>
      <c r="B48" s="326"/>
      <c r="C48" s="326"/>
      <c r="D48" s="326"/>
      <c r="E48" s="326"/>
      <c r="F48" s="327"/>
      <c r="G48" s="328"/>
    </row>
    <row r="49" spans="1:19" ht="15" customHeight="1">
      <c r="A49" s="308"/>
      <c r="B49" s="329"/>
      <c r="C49" s="329"/>
      <c r="D49" s="329"/>
      <c r="E49" s="329"/>
      <c r="F49" s="329"/>
      <c r="G49" s="329"/>
      <c r="H49" s="329"/>
      <c r="I49" s="329"/>
    </row>
    <row r="50" spans="1:19" ht="23.4">
      <c r="A50" s="308" t="s">
        <v>469</v>
      </c>
      <c r="H50" s="2140">
        <f>F47/D47*100</f>
        <v>53.27797582818885</v>
      </c>
      <c r="N50" s="365"/>
    </row>
    <row r="51" spans="1:19" ht="24" thickBot="1">
      <c r="A51" s="308"/>
      <c r="M51" s="365" t="s">
        <v>29</v>
      </c>
    </row>
    <row r="52" spans="1:19" ht="16.2" thickBot="1">
      <c r="A52" s="330" t="s">
        <v>0</v>
      </c>
      <c r="B52" s="331" t="s">
        <v>148</v>
      </c>
      <c r="C52" s="332"/>
      <c r="D52" s="331" t="s">
        <v>149</v>
      </c>
      <c r="E52" s="332"/>
      <c r="F52" s="331" t="s">
        <v>150</v>
      </c>
      <c r="G52" s="332"/>
      <c r="H52" s="331" t="s">
        <v>151</v>
      </c>
      <c r="I52" s="332"/>
      <c r="J52" s="331" t="s">
        <v>152</v>
      </c>
      <c r="K52" s="333"/>
      <c r="L52" s="334" t="s">
        <v>20</v>
      </c>
    </row>
    <row r="53" spans="1:19" ht="16.2" thickBot="1">
      <c r="A53" s="335"/>
      <c r="B53" s="336" t="s">
        <v>153</v>
      </c>
      <c r="C53" s="337" t="s">
        <v>154</v>
      </c>
      <c r="D53" s="336" t="s">
        <v>153</v>
      </c>
      <c r="E53" s="337" t="s">
        <v>154</v>
      </c>
      <c r="F53" s="336" t="s">
        <v>153</v>
      </c>
      <c r="G53" s="338" t="s">
        <v>154</v>
      </c>
      <c r="H53" s="339" t="s">
        <v>153</v>
      </c>
      <c r="I53" s="338" t="s">
        <v>154</v>
      </c>
      <c r="J53" s="339" t="s">
        <v>153</v>
      </c>
      <c r="K53" s="337" t="s">
        <v>154</v>
      </c>
      <c r="L53" s="340" t="s">
        <v>155</v>
      </c>
      <c r="R53" s="347"/>
      <c r="S53" s="347" t="s">
        <v>810</v>
      </c>
    </row>
    <row r="54" spans="1:19">
      <c r="A54" s="341" t="s">
        <v>68</v>
      </c>
      <c r="B54" s="2478">
        <v>323</v>
      </c>
      <c r="C54" s="2479">
        <f>B54/L54*100</f>
        <v>34.361702127659576</v>
      </c>
      <c r="D54" s="2480">
        <v>533</v>
      </c>
      <c r="E54" s="2479">
        <f>D54/L54*100</f>
        <v>56.702127659574465</v>
      </c>
      <c r="F54" s="2480">
        <v>11</v>
      </c>
      <c r="G54" s="2479">
        <f t="shared" ref="G54:G64" si="12">F54/L54*100</f>
        <v>1.1702127659574468</v>
      </c>
      <c r="H54" s="2480">
        <v>36</v>
      </c>
      <c r="I54" s="2479">
        <f t="shared" ref="I54:I62" si="13">H54/L54*100</f>
        <v>3.8297872340425529</v>
      </c>
      <c r="J54" s="2480">
        <v>37</v>
      </c>
      <c r="K54" s="2479">
        <f>J54/L54*100</f>
        <v>3.9361702127659575</v>
      </c>
      <c r="L54" s="2481">
        <f t="shared" ref="L54:L63" si="14">B54+D54+F54+H54+J54</f>
        <v>940</v>
      </c>
      <c r="M54" s="314">
        <f>J37-L54</f>
        <v>0</v>
      </c>
      <c r="R54" s="2053">
        <f>L54-B54</f>
        <v>617</v>
      </c>
      <c r="S54" s="342">
        <v>2</v>
      </c>
    </row>
    <row r="55" spans="1:19">
      <c r="A55" s="312" t="s">
        <v>7</v>
      </c>
      <c r="B55" s="2259">
        <v>79</v>
      </c>
      <c r="C55" s="2260">
        <f t="shared" ref="C55:C64" si="15">B55/L55*100</f>
        <v>14.00709219858156</v>
      </c>
      <c r="D55" s="2261">
        <v>249</v>
      </c>
      <c r="E55" s="2260">
        <f t="shared" ref="E55:E64" si="16">D55/L55*100</f>
        <v>44.148936170212764</v>
      </c>
      <c r="F55" s="2261">
        <v>144</v>
      </c>
      <c r="G55" s="2260">
        <f t="shared" si="12"/>
        <v>25.531914893617021</v>
      </c>
      <c r="H55" s="2261">
        <v>92</v>
      </c>
      <c r="I55" s="2260">
        <f t="shared" si="13"/>
        <v>16.312056737588655</v>
      </c>
      <c r="J55" s="2261">
        <v>0</v>
      </c>
      <c r="K55" s="2260">
        <f t="shared" ref="K55:K64" si="17">J55/L55*100</f>
        <v>0</v>
      </c>
      <c r="L55" s="2262">
        <f t="shared" si="14"/>
        <v>564</v>
      </c>
      <c r="M55" s="122">
        <f t="shared" ref="M55:M63" si="18">J38-L55</f>
        <v>0</v>
      </c>
      <c r="R55" s="2052">
        <f t="shared" ref="R55:R63" si="19">L55-B55</f>
        <v>485</v>
      </c>
      <c r="S55" s="2054">
        <v>2</v>
      </c>
    </row>
    <row r="56" spans="1:19">
      <c r="A56" s="312" t="s">
        <v>8</v>
      </c>
      <c r="B56" s="2259">
        <v>592</v>
      </c>
      <c r="C56" s="2260">
        <f t="shared" si="15"/>
        <v>26.148409893992934</v>
      </c>
      <c r="D56" s="2261">
        <v>635</v>
      </c>
      <c r="E56" s="2260">
        <f t="shared" si="16"/>
        <v>28.047703180212014</v>
      </c>
      <c r="F56" s="2261">
        <v>288</v>
      </c>
      <c r="G56" s="2260">
        <f t="shared" si="12"/>
        <v>12.7208480565371</v>
      </c>
      <c r="H56" s="2261">
        <v>99</v>
      </c>
      <c r="I56" s="2260">
        <f t="shared" si="13"/>
        <v>4.372791519434629</v>
      </c>
      <c r="J56" s="2261">
        <v>650</v>
      </c>
      <c r="K56" s="2260">
        <f t="shared" si="17"/>
        <v>28.710247349823319</v>
      </c>
      <c r="L56" s="2262">
        <f t="shared" si="14"/>
        <v>2264</v>
      </c>
      <c r="M56" s="122">
        <f t="shared" si="18"/>
        <v>0</v>
      </c>
      <c r="R56" s="2052">
        <f t="shared" si="19"/>
        <v>1672</v>
      </c>
      <c r="S56" s="2054">
        <v>4</v>
      </c>
    </row>
    <row r="57" spans="1:19">
      <c r="A57" s="312" t="s">
        <v>4</v>
      </c>
      <c r="B57" s="2259">
        <v>76</v>
      </c>
      <c r="C57" s="2260">
        <f t="shared" si="15"/>
        <v>11.326378539493295</v>
      </c>
      <c r="D57" s="2261">
        <v>373</v>
      </c>
      <c r="E57" s="2260">
        <f t="shared" si="16"/>
        <v>55.588673621460508</v>
      </c>
      <c r="F57" s="2261">
        <v>33</v>
      </c>
      <c r="G57" s="2260">
        <f t="shared" si="12"/>
        <v>4.918032786885246</v>
      </c>
      <c r="H57" s="2261">
        <v>189</v>
      </c>
      <c r="I57" s="2260">
        <f t="shared" si="13"/>
        <v>28.166915052160952</v>
      </c>
      <c r="J57" s="2261">
        <v>0</v>
      </c>
      <c r="K57" s="2260">
        <f t="shared" si="17"/>
        <v>0</v>
      </c>
      <c r="L57" s="2262">
        <f t="shared" si="14"/>
        <v>671</v>
      </c>
      <c r="M57" s="122">
        <f t="shared" si="18"/>
        <v>0</v>
      </c>
      <c r="R57" s="2052">
        <f t="shared" si="19"/>
        <v>595</v>
      </c>
      <c r="S57" s="2054">
        <v>4</v>
      </c>
    </row>
    <row r="58" spans="1:19">
      <c r="A58" s="312" t="s">
        <v>3</v>
      </c>
      <c r="B58" s="343">
        <v>71</v>
      </c>
      <c r="C58" s="344">
        <f t="shared" si="15"/>
        <v>19.346049046321525</v>
      </c>
      <c r="D58" s="345">
        <v>79</v>
      </c>
      <c r="E58" s="344">
        <f t="shared" si="16"/>
        <v>21.525885558583106</v>
      </c>
      <c r="F58" s="345">
        <v>163</v>
      </c>
      <c r="G58" s="344">
        <f t="shared" si="12"/>
        <v>44.414168937329698</v>
      </c>
      <c r="H58" s="345">
        <v>54</v>
      </c>
      <c r="I58" s="344">
        <f t="shared" si="13"/>
        <v>14.713896457765669</v>
      </c>
      <c r="J58" s="345">
        <v>0</v>
      </c>
      <c r="K58" s="344">
        <f t="shared" si="17"/>
        <v>0</v>
      </c>
      <c r="L58" s="346">
        <f t="shared" si="14"/>
        <v>367</v>
      </c>
      <c r="M58" s="122">
        <f t="shared" si="18"/>
        <v>0</v>
      </c>
      <c r="R58" s="2052">
        <f t="shared" si="19"/>
        <v>296</v>
      </c>
      <c r="S58" s="2054">
        <v>2</v>
      </c>
    </row>
    <row r="59" spans="1:19">
      <c r="A59" s="312" t="s">
        <v>397</v>
      </c>
      <c r="B59" s="2259">
        <v>408</v>
      </c>
      <c r="C59" s="2260">
        <f t="shared" si="15"/>
        <v>55.585831062670302</v>
      </c>
      <c r="D59" s="2261">
        <v>201</v>
      </c>
      <c r="E59" s="2260">
        <f t="shared" si="16"/>
        <v>27.384196185286104</v>
      </c>
      <c r="F59" s="2261">
        <v>78</v>
      </c>
      <c r="G59" s="2260">
        <f t="shared" si="12"/>
        <v>10.626702997275205</v>
      </c>
      <c r="H59" s="2261">
        <v>47</v>
      </c>
      <c r="I59" s="2260">
        <f t="shared" si="13"/>
        <v>6.4032697547683926</v>
      </c>
      <c r="J59" s="2261">
        <v>0</v>
      </c>
      <c r="K59" s="2260">
        <f t="shared" si="17"/>
        <v>0</v>
      </c>
      <c r="L59" s="2262">
        <f t="shared" si="14"/>
        <v>734</v>
      </c>
      <c r="M59" s="122">
        <f t="shared" si="18"/>
        <v>0</v>
      </c>
      <c r="R59" s="2052">
        <f t="shared" si="19"/>
        <v>326</v>
      </c>
      <c r="S59" s="2054">
        <v>4</v>
      </c>
    </row>
    <row r="60" spans="1:19">
      <c r="A60" s="312" t="s">
        <v>399</v>
      </c>
      <c r="B60" s="2259">
        <v>377</v>
      </c>
      <c r="C60" s="2260">
        <f t="shared" si="15"/>
        <v>30.378726833199032</v>
      </c>
      <c r="D60" s="2261">
        <v>324</v>
      </c>
      <c r="E60" s="2260">
        <f t="shared" si="16"/>
        <v>26.10797743755036</v>
      </c>
      <c r="F60" s="2261">
        <v>133</v>
      </c>
      <c r="G60" s="2260">
        <f t="shared" si="12"/>
        <v>10.717163577759871</v>
      </c>
      <c r="H60" s="2261">
        <v>101</v>
      </c>
      <c r="I60" s="2260">
        <f t="shared" si="13"/>
        <v>8.1385979049153914</v>
      </c>
      <c r="J60" s="2261">
        <v>306</v>
      </c>
      <c r="K60" s="2260">
        <f t="shared" si="17"/>
        <v>24.657534246575342</v>
      </c>
      <c r="L60" s="2262">
        <f t="shared" si="14"/>
        <v>1241</v>
      </c>
      <c r="M60" s="122">
        <f t="shared" si="18"/>
        <v>0</v>
      </c>
      <c r="R60" s="2052">
        <f t="shared" si="19"/>
        <v>864</v>
      </c>
      <c r="S60" s="2054">
        <v>10</v>
      </c>
    </row>
    <row r="61" spans="1:19">
      <c r="A61" s="312" t="s">
        <v>883</v>
      </c>
      <c r="B61" s="2259">
        <v>84</v>
      </c>
      <c r="C61" s="2260">
        <f t="shared" si="15"/>
        <v>3.5087719298245612</v>
      </c>
      <c r="D61" s="2261">
        <v>2133</v>
      </c>
      <c r="E61" s="2260">
        <f t="shared" si="16"/>
        <v>89.097744360902254</v>
      </c>
      <c r="F61" s="2261">
        <v>61</v>
      </c>
      <c r="G61" s="2260">
        <f t="shared" si="12"/>
        <v>2.5480367585630743</v>
      </c>
      <c r="H61" s="2261">
        <v>16</v>
      </c>
      <c r="I61" s="2260">
        <f t="shared" si="13"/>
        <v>0.66833751044277356</v>
      </c>
      <c r="J61" s="2261">
        <v>100</v>
      </c>
      <c r="K61" s="2260">
        <f t="shared" si="17"/>
        <v>4.1771094402673352</v>
      </c>
      <c r="L61" s="2262">
        <f t="shared" si="14"/>
        <v>2394</v>
      </c>
      <c r="M61" s="122">
        <f t="shared" si="18"/>
        <v>0</v>
      </c>
      <c r="R61" s="2052">
        <f t="shared" si="19"/>
        <v>2310</v>
      </c>
      <c r="S61" s="2054">
        <v>9</v>
      </c>
    </row>
    <row r="62" spans="1:19">
      <c r="A62" s="312" t="s">
        <v>884</v>
      </c>
      <c r="B62" s="2259">
        <v>117</v>
      </c>
      <c r="C62" s="2260">
        <f t="shared" si="15"/>
        <v>8.3037615330021293</v>
      </c>
      <c r="D62" s="2261">
        <v>687</v>
      </c>
      <c r="E62" s="2260">
        <f t="shared" si="16"/>
        <v>48.757984386089426</v>
      </c>
      <c r="F62" s="2261">
        <v>85</v>
      </c>
      <c r="G62" s="2260">
        <f t="shared" si="12"/>
        <v>6.0326472675656495</v>
      </c>
      <c r="H62" s="2261">
        <v>79</v>
      </c>
      <c r="I62" s="2260">
        <f t="shared" si="13"/>
        <v>5.6068133427963094</v>
      </c>
      <c r="J62" s="2261">
        <v>441</v>
      </c>
      <c r="K62" s="2260">
        <f t="shared" si="17"/>
        <v>31.298793470546489</v>
      </c>
      <c r="L62" s="2262">
        <f t="shared" si="14"/>
        <v>1409</v>
      </c>
      <c r="M62" s="122">
        <f t="shared" si="18"/>
        <v>0</v>
      </c>
      <c r="R62" s="2052">
        <f t="shared" si="19"/>
        <v>1292</v>
      </c>
      <c r="S62" s="2054">
        <v>2</v>
      </c>
    </row>
    <row r="63" spans="1:19" ht="16.2" thickBot="1">
      <c r="A63" s="312" t="s">
        <v>885</v>
      </c>
      <c r="B63" s="2259">
        <v>50</v>
      </c>
      <c r="C63" s="2260">
        <f t="shared" si="15"/>
        <v>24.509803921568626</v>
      </c>
      <c r="D63" s="2261">
        <v>107</v>
      </c>
      <c r="E63" s="2260">
        <f t="shared" si="16"/>
        <v>52.450980392156865</v>
      </c>
      <c r="F63" s="2261">
        <v>23</v>
      </c>
      <c r="G63" s="2260">
        <f t="shared" si="12"/>
        <v>11.274509803921569</v>
      </c>
      <c r="H63" s="2261">
        <v>24</v>
      </c>
      <c r="I63" s="2260">
        <f>H63/L63*100</f>
        <v>11.76470588235294</v>
      </c>
      <c r="J63" s="2261">
        <v>0</v>
      </c>
      <c r="K63" s="2260">
        <f t="shared" si="17"/>
        <v>0</v>
      </c>
      <c r="L63" s="2262">
        <f t="shared" si="14"/>
        <v>204</v>
      </c>
      <c r="M63" s="122">
        <f t="shared" si="18"/>
        <v>0</v>
      </c>
      <c r="R63" s="2052">
        <f t="shared" si="19"/>
        <v>154</v>
      </c>
      <c r="S63" s="2054">
        <v>4</v>
      </c>
    </row>
    <row r="64" spans="1:19" ht="16.2" thickBot="1">
      <c r="A64" s="347" t="s">
        <v>16</v>
      </c>
      <c r="B64" s="348">
        <f>SUM(B54:B63)</f>
        <v>2177</v>
      </c>
      <c r="C64" s="349">
        <f t="shared" si="15"/>
        <v>20.179829440118649</v>
      </c>
      <c r="D64" s="350">
        <f>SUM(D54:D63)</f>
        <v>5321</v>
      </c>
      <c r="E64" s="349">
        <f t="shared" si="16"/>
        <v>49.323322209862816</v>
      </c>
      <c r="F64" s="350">
        <f>SUM(F54:F63)</f>
        <v>1019</v>
      </c>
      <c r="G64" s="351">
        <f t="shared" si="12"/>
        <v>9.4456803856136453</v>
      </c>
      <c r="H64" s="348">
        <f>SUM(H54:H63)</f>
        <v>737</v>
      </c>
      <c r="I64" s="351">
        <f>H64/L64*100</f>
        <v>6.8316648127549131</v>
      </c>
      <c r="J64" s="348">
        <f>SUM(J54:J63)</f>
        <v>1534</v>
      </c>
      <c r="K64" s="351">
        <f t="shared" si="17"/>
        <v>14.219503151649981</v>
      </c>
      <c r="L64" s="347">
        <f>SUM(L54:L63)</f>
        <v>10788</v>
      </c>
      <c r="R64" s="347">
        <f>SUM(R54:R63)</f>
        <v>8611</v>
      </c>
      <c r="S64" s="1672">
        <f>((R54*S54)+(R55*S55)+(R56*S56)+(R57*S57)+(R58*S58)+(R59*S59)+(R60*S60)+(R61*S61)+(R62*S62)+(R63*S63))/R64</f>
        <v>5.3185460457554292</v>
      </c>
    </row>
    <row r="68" spans="7:7">
      <c r="G68" s="160"/>
    </row>
    <row r="69" spans="7:7">
      <c r="G69" s="160"/>
    </row>
    <row r="70" spans="7:7">
      <c r="G70" s="160"/>
    </row>
    <row r="71" spans="7:7">
      <c r="G71" s="160"/>
    </row>
    <row r="72" spans="7:7">
      <c r="G72" s="160"/>
    </row>
    <row r="73" spans="7:7">
      <c r="G73" s="160"/>
    </row>
    <row r="74" spans="7:7">
      <c r="G74" s="160"/>
    </row>
    <row r="75" spans="7:7">
      <c r="G75" s="160"/>
    </row>
    <row r="76" spans="7:7">
      <c r="G76" s="160"/>
    </row>
    <row r="77" spans="7:7">
      <c r="G77" s="160"/>
    </row>
    <row r="78" spans="7:7">
      <c r="G78" s="160"/>
    </row>
    <row r="79" spans="7:7">
      <c r="G79" s="160"/>
    </row>
    <row r="80" spans="7:7">
      <c r="G80" s="160"/>
    </row>
    <row r="81" spans="7:7">
      <c r="G81" s="160"/>
    </row>
    <row r="82" spans="7:7">
      <c r="G82" s="160"/>
    </row>
  </sheetData>
  <mergeCells count="10">
    <mergeCell ref="B36:C36"/>
    <mergeCell ref="J5:K5"/>
    <mergeCell ref="B5:C5"/>
    <mergeCell ref="D5:E5"/>
    <mergeCell ref="H5:I5"/>
    <mergeCell ref="F5:G5"/>
    <mergeCell ref="D36:E36"/>
    <mergeCell ref="F36:G36"/>
    <mergeCell ref="H36:I36"/>
    <mergeCell ref="J36:K36"/>
  </mergeCells>
  <phoneticPr fontId="28" type="noConversion"/>
  <conditionalFormatting sqref="M22:M32">
    <cfRule type="cellIs" dxfId="66" priority="1" operator="greaterThan">
      <formula>0</formula>
    </cfRule>
  </conditionalFormatting>
  <hyperlinks>
    <hyperlink ref="M50:N50" location="Abonnés!I52" display="Retour" xr:uid="{00000000-0004-0000-0B00-000000000000}"/>
    <hyperlink ref="M51" location="Abonnés!B52" display="Retour" xr:uid="{00000000-0004-0000-0B00-000001000000}"/>
  </hyperlinks>
  <pageMargins left="0.41" right="0" top="0.23" bottom="0.5" header="0.16" footer="0.51181102362204722"/>
  <pageSetup paperSize="9" scale="75" orientation="portrait" horizontalDpi="4294967295" verticalDpi="4294967295" r:id="rId1"/>
  <headerFooter alignWithMargins="0"/>
  <legacyDrawing r:id="rId2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C00-000000000000}">
  <dimension ref="A1:K68"/>
  <sheetViews>
    <sheetView showGridLines="0" zoomScale="84" zoomScaleNormal="84" workbookViewId="0">
      <selection activeCell="F58" sqref="F58:F67"/>
    </sheetView>
  </sheetViews>
  <sheetFormatPr baseColWidth="10" defaultRowHeight="13.2"/>
  <cols>
    <col min="1" max="1" width="22.109375" customWidth="1"/>
    <col min="4" max="4" width="22.109375" customWidth="1"/>
    <col min="7" max="7" width="18.109375" customWidth="1"/>
    <col min="10" max="10" width="15.5546875" customWidth="1"/>
    <col min="11" max="11" width="19.5546875" customWidth="1"/>
  </cols>
  <sheetData>
    <row r="1" spans="1:11" ht="15" customHeight="1"/>
    <row r="2" spans="1:11" ht="15" customHeight="1">
      <c r="A2" s="3023" t="s">
        <v>678</v>
      </c>
      <c r="B2" s="3024"/>
      <c r="C2" s="3024"/>
      <c r="D2" s="3024"/>
      <c r="E2" s="3024"/>
      <c r="F2" s="3024"/>
      <c r="G2" s="3024"/>
      <c r="H2" s="3024"/>
      <c r="I2" s="3024"/>
      <c r="J2" s="3024"/>
      <c r="K2" s="3024"/>
    </row>
    <row r="3" spans="1:11" ht="15" customHeight="1">
      <c r="A3" s="1400"/>
      <c r="B3" s="1400"/>
      <c r="C3" s="1400"/>
      <c r="D3" s="1400"/>
      <c r="E3" s="1400"/>
      <c r="F3" s="1400"/>
      <c r="G3" s="1400"/>
      <c r="H3" s="1400"/>
      <c r="I3" s="1488"/>
      <c r="J3" s="1488"/>
      <c r="K3" s="1488"/>
    </row>
    <row r="4" spans="1:11" ht="15" customHeight="1">
      <c r="A4" s="3011" t="s">
        <v>679</v>
      </c>
      <c r="B4" s="3012"/>
      <c r="C4" s="1401"/>
      <c r="D4" s="1401"/>
      <c r="E4" s="3011" t="s">
        <v>680</v>
      </c>
      <c r="F4" s="3020"/>
      <c r="G4" s="3020"/>
      <c r="H4" s="3020"/>
      <c r="I4" s="3025" t="s">
        <v>681</v>
      </c>
      <c r="J4" s="3026"/>
      <c r="K4" s="3027"/>
    </row>
    <row r="5" spans="1:11" ht="14.4">
      <c r="A5" s="3013"/>
      <c r="B5" s="3014"/>
      <c r="C5" s="1402"/>
      <c r="D5" s="1402"/>
      <c r="E5" s="3015"/>
      <c r="F5" s="3021"/>
      <c r="G5" s="3021"/>
      <c r="H5" s="3021"/>
      <c r="I5" s="3028"/>
      <c r="J5" s="3029"/>
      <c r="K5" s="3030"/>
    </row>
    <row r="6" spans="1:11" ht="66" customHeight="1">
      <c r="A6" s="3015"/>
      <c r="B6" s="3016"/>
      <c r="C6" s="1403" t="s">
        <v>682</v>
      </c>
      <c r="D6" s="1403" t="s">
        <v>683</v>
      </c>
      <c r="E6" s="1404" t="s">
        <v>806</v>
      </c>
      <c r="F6" s="1404" t="s">
        <v>807</v>
      </c>
      <c r="G6" s="1403" t="s">
        <v>684</v>
      </c>
      <c r="H6" s="1268" t="s">
        <v>685</v>
      </c>
      <c r="I6" s="1487" t="str">
        <f>E6</f>
        <v>M-1</v>
      </c>
      <c r="J6" s="1487" t="str">
        <f>F6</f>
        <v>M</v>
      </c>
      <c r="K6" s="1402" t="s">
        <v>686</v>
      </c>
    </row>
    <row r="7" spans="1:11" ht="14.25" customHeight="1">
      <c r="A7" s="3004" t="s">
        <v>25</v>
      </c>
      <c r="B7" s="1405" t="s">
        <v>6</v>
      </c>
      <c r="C7" s="1406">
        <f>'enc-ag'!M18</f>
        <v>13</v>
      </c>
      <c r="D7" s="1407">
        <f>'RCN_Elec  '!O39</f>
        <v>1045</v>
      </c>
      <c r="E7" s="1408">
        <v>171</v>
      </c>
      <c r="F7" s="1408">
        <f>'RCN_Elec  '!B56</f>
        <v>512</v>
      </c>
      <c r="G7" s="1407">
        <f t="shared" ref="G7:G17" si="0">+ROUND((F7/C7),0)</f>
        <v>39</v>
      </c>
      <c r="H7" s="1409">
        <f t="shared" ref="H7:H17" si="1">((F7-E7)/E7)*100</f>
        <v>199.41520467836258</v>
      </c>
      <c r="I7" s="1408">
        <v>6</v>
      </c>
      <c r="J7" s="1408">
        <f>'RCN_Elec  '!F56</f>
        <v>1</v>
      </c>
      <c r="K7" s="1409">
        <f t="shared" ref="K7:K17" si="2">((J7-I7)/I7)*100</f>
        <v>-83.333333333333343</v>
      </c>
    </row>
    <row r="8" spans="1:11" ht="14.25" customHeight="1">
      <c r="A8" s="3005"/>
      <c r="B8" s="1405" t="s">
        <v>7</v>
      </c>
      <c r="C8" s="1406">
        <f>'enc-ag'!M29</f>
        <v>10</v>
      </c>
      <c r="D8" s="1407">
        <f>'RCN_Elec  '!O40</f>
        <v>724</v>
      </c>
      <c r="E8" s="1408">
        <v>164</v>
      </c>
      <c r="F8" s="1408">
        <f>'RCN_Elec  '!B57</f>
        <v>133</v>
      </c>
      <c r="G8" s="1407">
        <f t="shared" si="0"/>
        <v>13</v>
      </c>
      <c r="H8" s="1409">
        <f t="shared" si="1"/>
        <v>-18.902439024390244</v>
      </c>
      <c r="I8" s="1408">
        <v>16</v>
      </c>
      <c r="J8" s="1408">
        <f>'RCN_Elec  '!F57</f>
        <v>7</v>
      </c>
      <c r="K8" s="1409">
        <f t="shared" si="2"/>
        <v>-56.25</v>
      </c>
    </row>
    <row r="9" spans="1:11" ht="14.25" customHeight="1">
      <c r="A9" s="3005"/>
      <c r="B9" s="1405" t="s">
        <v>8</v>
      </c>
      <c r="C9" s="1406">
        <f>'enc-ag'!M38</f>
        <v>8</v>
      </c>
      <c r="D9" s="1407">
        <f>'RCN_Elec  '!O41</f>
        <v>826</v>
      </c>
      <c r="E9" s="1408">
        <v>1062</v>
      </c>
      <c r="F9" s="1408">
        <f>'RCN_Elec  '!B58</f>
        <v>958</v>
      </c>
      <c r="G9" s="1407">
        <f t="shared" si="0"/>
        <v>120</v>
      </c>
      <c r="H9" s="1409">
        <f t="shared" si="1"/>
        <v>-9.7928436911487751</v>
      </c>
      <c r="I9" s="1408">
        <v>282</v>
      </c>
      <c r="J9" s="1408">
        <f>'RCN_Elec  '!F58</f>
        <v>340</v>
      </c>
      <c r="K9" s="1409">
        <f t="shared" si="2"/>
        <v>20.567375886524822</v>
      </c>
    </row>
    <row r="10" spans="1:11" ht="14.25" customHeight="1">
      <c r="A10" s="3005"/>
      <c r="B10" s="1405" t="s">
        <v>44</v>
      </c>
      <c r="C10" s="1406">
        <f>'enc-ag'!M56</f>
        <v>17</v>
      </c>
      <c r="D10" s="1407">
        <f>'RCN_Elec  '!O42</f>
        <v>204</v>
      </c>
      <c r="E10" s="1408">
        <v>212</v>
      </c>
      <c r="F10" s="1408">
        <f>'RCN_Elec  '!B59</f>
        <v>204</v>
      </c>
      <c r="G10" s="1407">
        <f t="shared" si="0"/>
        <v>12</v>
      </c>
      <c r="H10" s="1409">
        <f t="shared" si="1"/>
        <v>-3.7735849056603774</v>
      </c>
      <c r="I10" s="1408">
        <v>39</v>
      </c>
      <c r="J10" s="1408">
        <f>'RCN_Elec  '!F59</f>
        <v>24</v>
      </c>
      <c r="K10" s="1409">
        <f t="shared" si="2"/>
        <v>-38.461538461538467</v>
      </c>
    </row>
    <row r="11" spans="1:11" ht="14.25" customHeight="1">
      <c r="A11" s="3005"/>
      <c r="B11" s="1405" t="s">
        <v>3</v>
      </c>
      <c r="C11" s="1406">
        <f>'enc-ag'!M68</f>
        <v>11</v>
      </c>
      <c r="D11" s="1407">
        <f>'RCN_Elec  '!O43</f>
        <v>414</v>
      </c>
      <c r="E11" s="1408">
        <v>282</v>
      </c>
      <c r="F11" s="1408">
        <f>'RCN_Elec  '!B60</f>
        <v>239</v>
      </c>
      <c r="G11" s="1407">
        <f t="shared" si="0"/>
        <v>22</v>
      </c>
      <c r="H11" s="1409">
        <f t="shared" si="1"/>
        <v>-15.24822695035461</v>
      </c>
      <c r="I11" s="1408">
        <v>114</v>
      </c>
      <c r="J11" s="1408">
        <f>'RCN_Elec  '!F60</f>
        <v>166</v>
      </c>
      <c r="K11" s="1409">
        <f t="shared" si="2"/>
        <v>45.614035087719294</v>
      </c>
    </row>
    <row r="12" spans="1:11" ht="14.25" customHeight="1">
      <c r="A12" s="3005"/>
      <c r="B12" s="1405" t="s">
        <v>397</v>
      </c>
      <c r="C12" s="1406">
        <f>'enc-ag'!M75</f>
        <v>6</v>
      </c>
      <c r="D12" s="1407">
        <f>'RCN_Elec  '!O44</f>
        <v>373</v>
      </c>
      <c r="E12" s="1408">
        <v>349</v>
      </c>
      <c r="F12" s="1408">
        <f>'RCN_Elec  '!B61</f>
        <v>345</v>
      </c>
      <c r="G12" s="1407">
        <f t="shared" si="0"/>
        <v>58</v>
      </c>
      <c r="H12" s="1409">
        <f t="shared" si="1"/>
        <v>-1.1461318051575931</v>
      </c>
      <c r="I12" s="1408">
        <v>155</v>
      </c>
      <c r="J12" s="1408">
        <f>'RCN_Elec  '!F61</f>
        <v>108</v>
      </c>
      <c r="K12" s="1409">
        <f t="shared" si="2"/>
        <v>-30.322580645161288</v>
      </c>
    </row>
    <row r="13" spans="1:11" ht="14.25" customHeight="1">
      <c r="A13" s="3005"/>
      <c r="B13" s="1405" t="s">
        <v>399</v>
      </c>
      <c r="C13" s="1406">
        <f>'enc-ag'!M85</f>
        <v>9</v>
      </c>
      <c r="D13" s="1407">
        <f>'RCN_Elec  '!O45</f>
        <v>1224</v>
      </c>
      <c r="E13" s="1408">
        <v>1179</v>
      </c>
      <c r="F13" s="1408">
        <f>'RCN_Elec  '!B62</f>
        <v>1224</v>
      </c>
      <c r="G13" s="1410">
        <f t="shared" si="0"/>
        <v>136</v>
      </c>
      <c r="H13" s="1409">
        <f t="shared" si="1"/>
        <v>3.8167938931297711</v>
      </c>
      <c r="I13" s="1411">
        <v>975</v>
      </c>
      <c r="J13" s="1408">
        <f>'RCN_Elec  '!F62</f>
        <v>1009</v>
      </c>
      <c r="K13" s="1409">
        <f t="shared" si="2"/>
        <v>3.4871794871794872</v>
      </c>
    </row>
    <row r="14" spans="1:11" ht="14.25" customHeight="1">
      <c r="A14" s="3005"/>
      <c r="B14" s="1405" t="s">
        <v>883</v>
      </c>
      <c r="C14" s="1406">
        <f>'enc-ag'!M92</f>
        <v>6</v>
      </c>
      <c r="D14" s="1407">
        <f>'RCN_Elec  '!O46</f>
        <v>580</v>
      </c>
      <c r="E14" s="1408">
        <v>353</v>
      </c>
      <c r="F14" s="1408">
        <f>'RCN_Elec  '!B63</f>
        <v>339</v>
      </c>
      <c r="G14" s="1407">
        <f t="shared" si="0"/>
        <v>57</v>
      </c>
      <c r="H14" s="1409">
        <f t="shared" si="1"/>
        <v>-3.9660056657223794</v>
      </c>
      <c r="I14" s="1408">
        <v>233</v>
      </c>
      <c r="J14" s="1408">
        <f>'RCN_Elec  '!F63</f>
        <v>173</v>
      </c>
      <c r="K14" s="1409">
        <f t="shared" si="2"/>
        <v>-25.751072961373389</v>
      </c>
    </row>
    <row r="15" spans="1:11" ht="14.25" customHeight="1">
      <c r="A15" s="3005"/>
      <c r="B15" s="1405" t="s">
        <v>884</v>
      </c>
      <c r="C15" s="1406">
        <f>'enc-ag'!M103</f>
        <v>10</v>
      </c>
      <c r="D15" s="1407">
        <f>'RCN_Elec  '!O47</f>
        <v>863</v>
      </c>
      <c r="E15" s="1408">
        <v>420</v>
      </c>
      <c r="F15" s="1408">
        <f>'RCN_Elec  '!B64</f>
        <v>429</v>
      </c>
      <c r="G15" s="1407">
        <f t="shared" si="0"/>
        <v>43</v>
      </c>
      <c r="H15" s="1409">
        <f t="shared" si="1"/>
        <v>2.1428571428571428</v>
      </c>
      <c r="I15" s="1408">
        <v>279</v>
      </c>
      <c r="J15" s="1408">
        <f>'RCN_Elec  '!F64</f>
        <v>557</v>
      </c>
      <c r="K15" s="1409">
        <f t="shared" si="2"/>
        <v>99.641577060931894</v>
      </c>
    </row>
    <row r="16" spans="1:11" ht="14.25" customHeight="1">
      <c r="A16" s="3005"/>
      <c r="B16" s="1405" t="s">
        <v>885</v>
      </c>
      <c r="C16" s="1406">
        <f>'enc-ag'!M107</f>
        <v>3</v>
      </c>
      <c r="D16" s="1407">
        <f>'RCN_Elec  '!O48</f>
        <v>246</v>
      </c>
      <c r="E16" s="1408">
        <v>65</v>
      </c>
      <c r="F16" s="1408">
        <f>'RCN_Elec  '!B65</f>
        <v>152</v>
      </c>
      <c r="G16" s="1407">
        <f t="shared" si="0"/>
        <v>51</v>
      </c>
      <c r="H16" s="1409">
        <f t="shared" si="1"/>
        <v>133.84615384615384</v>
      </c>
      <c r="I16" s="1408">
        <v>14</v>
      </c>
      <c r="J16" s="1408">
        <f>'RCN_Elec  '!F65</f>
        <v>10</v>
      </c>
      <c r="K16" s="1409">
        <f t="shared" si="2"/>
        <v>-28.571428571428569</v>
      </c>
    </row>
    <row r="17" spans="1:11" ht="14.4">
      <c r="A17" s="3006" t="s">
        <v>687</v>
      </c>
      <c r="B17" s="3007"/>
      <c r="C17" s="1412">
        <f>SUM(C7:C16)</f>
        <v>93</v>
      </c>
      <c r="D17" s="1413">
        <f>SUM(D7:D16)</f>
        <v>6499</v>
      </c>
      <c r="E17" s="1414">
        <f>SUM(E7:E16)</f>
        <v>4257</v>
      </c>
      <c r="F17" s="1414">
        <f>SUM(F7:F16)</f>
        <v>4535</v>
      </c>
      <c r="G17" s="1412">
        <f t="shared" si="0"/>
        <v>49</v>
      </c>
      <c r="H17" s="1409">
        <f t="shared" si="1"/>
        <v>6.5304204839088555</v>
      </c>
      <c r="I17" s="1415">
        <f>SUM(I7:I16)</f>
        <v>2113</v>
      </c>
      <c r="J17" s="1415">
        <f>SUM(J7:J16)</f>
        <v>2395</v>
      </c>
      <c r="K17" s="1409">
        <f t="shared" si="2"/>
        <v>13.345953620444865</v>
      </c>
    </row>
    <row r="18" spans="1:11" ht="15.75" customHeight="1">
      <c r="E18" s="1416"/>
    </row>
    <row r="19" spans="1:11" ht="15.75" customHeight="1">
      <c r="A19" s="3017" t="s">
        <v>688</v>
      </c>
      <c r="B19" s="3018"/>
      <c r="C19" s="3018"/>
      <c r="D19" s="3018"/>
      <c r="E19" s="3018"/>
      <c r="F19" s="3018"/>
      <c r="G19" s="3018"/>
      <c r="H19" s="3018"/>
    </row>
    <row r="20" spans="1:11" ht="15.75" customHeight="1">
      <c r="A20" s="1400"/>
      <c r="B20" s="1400"/>
      <c r="C20" s="1488"/>
      <c r="D20" s="1488"/>
      <c r="E20" s="1488"/>
      <c r="F20" s="1488"/>
      <c r="G20" s="1488"/>
      <c r="H20" s="1488"/>
    </row>
    <row r="21" spans="1:11" ht="15.75" customHeight="1">
      <c r="A21" s="3008" t="s">
        <v>679</v>
      </c>
      <c r="B21" s="1485"/>
      <c r="C21" s="3019" t="s">
        <v>689</v>
      </c>
      <c r="D21" s="3019"/>
      <c r="E21" s="3019"/>
      <c r="F21" s="3019" t="s">
        <v>681</v>
      </c>
      <c r="G21" s="3019"/>
      <c r="H21" s="3019"/>
    </row>
    <row r="22" spans="1:11" ht="15.6">
      <c r="A22" s="3009"/>
      <c r="B22" s="1486"/>
      <c r="C22" s="3019"/>
      <c r="D22" s="3019"/>
      <c r="E22" s="3019"/>
      <c r="F22" s="3019"/>
      <c r="G22" s="3019"/>
      <c r="H22" s="3019"/>
    </row>
    <row r="23" spans="1:11" ht="62.4">
      <c r="A23" s="3010"/>
      <c r="B23" s="1417" t="s">
        <v>683</v>
      </c>
      <c r="C23" s="1489" t="str">
        <f>E6</f>
        <v>M-1</v>
      </c>
      <c r="D23" s="1489" t="str">
        <f>F6</f>
        <v>M</v>
      </c>
      <c r="E23" s="1484" t="s">
        <v>690</v>
      </c>
      <c r="F23" s="1489" t="str">
        <f>C23</f>
        <v>M-1</v>
      </c>
      <c r="G23" s="1489" t="str">
        <f>D23</f>
        <v>M</v>
      </c>
      <c r="H23" s="1484" t="s">
        <v>690</v>
      </c>
    </row>
    <row r="24" spans="1:11" ht="15.6">
      <c r="A24" s="1418" t="s">
        <v>6</v>
      </c>
      <c r="B24" s="1419">
        <f>'RCN_Elec  '!O7</f>
        <v>77</v>
      </c>
      <c r="C24" s="1420">
        <v>375</v>
      </c>
      <c r="D24" s="1420">
        <f>'RCN_Elec  '!B24</f>
        <v>290</v>
      </c>
      <c r="E24" s="1421">
        <f t="shared" ref="E24:E34" si="3">((D24-C24)/C24)*100</f>
        <v>-22.666666666666664</v>
      </c>
      <c r="F24" s="1420">
        <v>304</v>
      </c>
      <c r="G24" s="1420">
        <f>'RCN_Elec  '!F24</f>
        <v>309</v>
      </c>
      <c r="H24" s="1421">
        <f t="shared" ref="H24:H34" si="4">((G24-F24)/F24)*100</f>
        <v>1.6447368421052631</v>
      </c>
    </row>
    <row r="25" spans="1:11" ht="15.6">
      <c r="A25" s="1418" t="s">
        <v>7</v>
      </c>
      <c r="B25" s="1419">
        <f>'RCN_Elec  '!O8</f>
        <v>92</v>
      </c>
      <c r="C25" s="1420">
        <v>37</v>
      </c>
      <c r="D25" s="1420">
        <f>'RCN_Elec  '!B25</f>
        <v>51</v>
      </c>
      <c r="E25" s="1421">
        <f t="shared" si="3"/>
        <v>37.837837837837839</v>
      </c>
      <c r="F25" s="1420">
        <v>161</v>
      </c>
      <c r="G25" s="1420">
        <f>'RCN_Elec  '!F25</f>
        <v>176</v>
      </c>
      <c r="H25" s="1421">
        <f t="shared" si="4"/>
        <v>9.316770186335404</v>
      </c>
    </row>
    <row r="26" spans="1:11" ht="15.6">
      <c r="A26" s="1418" t="s">
        <v>8</v>
      </c>
      <c r="B26" s="1419">
        <f>'RCN_Elec  '!O9</f>
        <v>95</v>
      </c>
      <c r="C26" s="1420">
        <v>767</v>
      </c>
      <c r="D26" s="1420">
        <f>'RCN_Elec  '!B26</f>
        <v>807</v>
      </c>
      <c r="E26" s="1421">
        <f t="shared" si="3"/>
        <v>5.2151238591916558</v>
      </c>
      <c r="F26" s="1420">
        <v>292</v>
      </c>
      <c r="G26" s="1420">
        <f>'RCN_Elec  '!F26</f>
        <v>266</v>
      </c>
      <c r="H26" s="1421">
        <f t="shared" si="4"/>
        <v>-8.9041095890410951</v>
      </c>
    </row>
    <row r="27" spans="1:11" ht="15.6">
      <c r="A27" s="1418" t="s">
        <v>44</v>
      </c>
      <c r="B27" s="1419">
        <f>'RCN_Elec  '!O10</f>
        <v>201</v>
      </c>
      <c r="C27" s="1420">
        <v>777</v>
      </c>
      <c r="D27" s="1420">
        <f>'RCN_Elec  '!B27</f>
        <v>329</v>
      </c>
      <c r="E27" s="1421">
        <f t="shared" si="3"/>
        <v>-57.657657657657658</v>
      </c>
      <c r="F27" s="1420">
        <v>225</v>
      </c>
      <c r="G27" s="1420">
        <f>'RCN_Elec  '!F27</f>
        <v>28</v>
      </c>
      <c r="H27" s="1421">
        <f t="shared" si="4"/>
        <v>-87.555555555555557</v>
      </c>
    </row>
    <row r="28" spans="1:11" ht="15.6">
      <c r="A28" s="1418" t="s">
        <v>3</v>
      </c>
      <c r="B28" s="1419">
        <f>'RCN_Elec  '!O11</f>
        <v>106</v>
      </c>
      <c r="C28" s="1420">
        <v>137</v>
      </c>
      <c r="D28" s="1420">
        <f>'RCN_Elec  '!B28</f>
        <v>329</v>
      </c>
      <c r="E28" s="1421">
        <f t="shared" si="3"/>
        <v>140.14598540145985</v>
      </c>
      <c r="F28" s="1420">
        <v>235</v>
      </c>
      <c r="G28" s="1420">
        <f>'RCN_Elec  '!F28</f>
        <v>28</v>
      </c>
      <c r="H28" s="1421">
        <f t="shared" si="4"/>
        <v>-88.085106382978722</v>
      </c>
    </row>
    <row r="29" spans="1:11" ht="15.6">
      <c r="A29" s="1418" t="s">
        <v>397</v>
      </c>
      <c r="B29" s="1419">
        <f>'RCN_Elec  '!O12</f>
        <v>121</v>
      </c>
      <c r="C29" s="1420">
        <v>173</v>
      </c>
      <c r="D29" s="1420">
        <f>'RCN_Elec  '!B29</f>
        <v>140</v>
      </c>
      <c r="E29" s="1421">
        <f t="shared" si="3"/>
        <v>-19.075144508670519</v>
      </c>
      <c r="F29" s="1420">
        <v>70</v>
      </c>
      <c r="G29" s="1420">
        <f>'RCN_Elec  '!F29</f>
        <v>62</v>
      </c>
      <c r="H29" s="1421">
        <f t="shared" si="4"/>
        <v>-11.428571428571429</v>
      </c>
    </row>
    <row r="30" spans="1:11" ht="15.6">
      <c r="A30" s="1418" t="s">
        <v>399</v>
      </c>
      <c r="B30" s="1419">
        <f>'RCN_Elec  '!O13</f>
        <v>123</v>
      </c>
      <c r="C30" s="1422">
        <v>218</v>
      </c>
      <c r="D30" s="1420">
        <f>'RCN_Elec  '!B30</f>
        <v>137</v>
      </c>
      <c r="E30" s="1421">
        <f t="shared" si="3"/>
        <v>-37.155963302752291</v>
      </c>
      <c r="F30" s="1422">
        <v>112</v>
      </c>
      <c r="G30" s="1420">
        <f>'RCN_Elec  '!F30</f>
        <v>142</v>
      </c>
      <c r="H30" s="1421">
        <f t="shared" si="4"/>
        <v>26.785714285714285</v>
      </c>
    </row>
    <row r="31" spans="1:11" ht="15.6">
      <c r="A31" s="1418" t="s">
        <v>883</v>
      </c>
      <c r="B31" s="1419">
        <f>'RCN_Elec  '!O14</f>
        <v>53</v>
      </c>
      <c r="C31" s="1420">
        <v>587</v>
      </c>
      <c r="D31" s="1420">
        <f>'RCN_Elec  '!B31</f>
        <v>529</v>
      </c>
      <c r="E31" s="1421">
        <f t="shared" si="3"/>
        <v>-9.8807495741056215</v>
      </c>
      <c r="F31" s="1420">
        <v>159</v>
      </c>
      <c r="G31" s="1420">
        <f>'RCN_Elec  '!F31</f>
        <v>144</v>
      </c>
      <c r="H31" s="1421">
        <f t="shared" si="4"/>
        <v>-9.433962264150944</v>
      </c>
    </row>
    <row r="32" spans="1:11" ht="15.6">
      <c r="A32" s="1418" t="s">
        <v>884</v>
      </c>
      <c r="B32" s="1419">
        <f>'RCN_Elec  '!O15</f>
        <v>56</v>
      </c>
      <c r="C32" s="1420">
        <v>89</v>
      </c>
      <c r="D32" s="1420">
        <f>'RCN_Elec  '!B32</f>
        <v>97</v>
      </c>
      <c r="E32" s="1421">
        <f t="shared" si="3"/>
        <v>8.9887640449438209</v>
      </c>
      <c r="F32" s="1420">
        <v>8</v>
      </c>
      <c r="G32" s="1420">
        <f>'RCN_Elec  '!F32</f>
        <v>9</v>
      </c>
      <c r="H32" s="1421">
        <f t="shared" si="4"/>
        <v>12.5</v>
      </c>
    </row>
    <row r="33" spans="1:11" ht="15.6">
      <c r="A33" s="1418" t="s">
        <v>885</v>
      </c>
      <c r="B33" s="1419">
        <f>'RCN_Elec  '!O16</f>
        <v>29</v>
      </c>
      <c r="C33" s="1420">
        <v>212</v>
      </c>
      <c r="D33" s="1420">
        <f>'RCN_Elec  '!B33</f>
        <v>156</v>
      </c>
      <c r="E33" s="1421">
        <f t="shared" si="3"/>
        <v>-26.415094339622641</v>
      </c>
      <c r="F33" s="1420">
        <v>210</v>
      </c>
      <c r="G33" s="1420">
        <f>'RCN_Elec  '!F33</f>
        <v>210</v>
      </c>
      <c r="H33" s="1421">
        <f t="shared" si="4"/>
        <v>0</v>
      </c>
    </row>
    <row r="34" spans="1:11" ht="15.6">
      <c r="A34" s="1423" t="s">
        <v>614</v>
      </c>
      <c r="B34" s="1424">
        <f>SUM(B24:B33)</f>
        <v>953</v>
      </c>
      <c r="C34" s="1425">
        <f>SUM(C24:C33)</f>
        <v>3372</v>
      </c>
      <c r="D34" s="1425">
        <f>SUM(D24:D33)</f>
        <v>2865</v>
      </c>
      <c r="E34" s="1426">
        <f t="shared" si="3"/>
        <v>-15.035587188612098</v>
      </c>
      <c r="F34" s="1425">
        <f>SUM(F24:F33)</f>
        <v>1776</v>
      </c>
      <c r="G34" s="1425">
        <f>SUM(G24:G33)</f>
        <v>1374</v>
      </c>
      <c r="H34" s="1426">
        <f t="shared" si="4"/>
        <v>-22.635135135135133</v>
      </c>
    </row>
    <row r="35" spans="1:11" ht="15" customHeight="1">
      <c r="E35" s="1416"/>
    </row>
    <row r="36" spans="1:11" ht="15" customHeight="1">
      <c r="A36" s="3023" t="s">
        <v>691</v>
      </c>
      <c r="B36" s="3024"/>
      <c r="C36" s="3024"/>
      <c r="D36" s="3024"/>
      <c r="E36" s="3024"/>
      <c r="F36" s="3024"/>
      <c r="G36" s="3024"/>
      <c r="H36" s="3024"/>
      <c r="I36" s="3024"/>
      <c r="J36" s="3024"/>
      <c r="K36" s="3024"/>
    </row>
    <row r="37" spans="1:11" ht="15" customHeight="1">
      <c r="A37" s="1400"/>
      <c r="B37" s="1400"/>
      <c r="C37" s="1400"/>
      <c r="D37" s="1400"/>
      <c r="E37" s="1400"/>
      <c r="F37" s="1400"/>
      <c r="G37" s="1400"/>
      <c r="H37" s="1400"/>
      <c r="I37" s="1488"/>
      <c r="J37" s="1488"/>
      <c r="K37" s="1488"/>
    </row>
    <row r="38" spans="1:11" ht="15" customHeight="1">
      <c r="A38" s="3011" t="s">
        <v>679</v>
      </c>
      <c r="B38" s="3012"/>
      <c r="C38" s="1401"/>
      <c r="D38" s="1401"/>
      <c r="E38" s="3011" t="s">
        <v>680</v>
      </c>
      <c r="F38" s="3020"/>
      <c r="G38" s="3020"/>
      <c r="H38" s="3020"/>
      <c r="I38" s="3022" t="s">
        <v>681</v>
      </c>
      <c r="J38" s="3022"/>
      <c r="K38" s="3022"/>
    </row>
    <row r="39" spans="1:11" ht="14.4">
      <c r="A39" s="3013"/>
      <c r="B39" s="3014"/>
      <c r="C39" s="1402"/>
      <c r="D39" s="1402"/>
      <c r="E39" s="3015"/>
      <c r="F39" s="3021"/>
      <c r="G39" s="3021"/>
      <c r="H39" s="3021"/>
      <c r="I39" s="3022"/>
      <c r="J39" s="3022"/>
      <c r="K39" s="3022"/>
    </row>
    <row r="40" spans="1:11" ht="44.25" customHeight="1">
      <c r="A40" s="3015"/>
      <c r="B40" s="3016"/>
      <c r="C40" s="1403" t="s">
        <v>682</v>
      </c>
      <c r="D40" s="1403" t="s">
        <v>683</v>
      </c>
      <c r="E40" s="1404" t="str">
        <f>C23</f>
        <v>M-1</v>
      </c>
      <c r="F40" s="1404" t="str">
        <f>D23</f>
        <v>M</v>
      </c>
      <c r="G40" s="1403" t="s">
        <v>684</v>
      </c>
      <c r="H40" s="1268" t="s">
        <v>692</v>
      </c>
      <c r="I40" s="1487" t="str">
        <f>F23</f>
        <v>M-1</v>
      </c>
      <c r="J40" s="1487" t="str">
        <f>G23</f>
        <v>M</v>
      </c>
      <c r="K40" s="1402" t="s">
        <v>693</v>
      </c>
    </row>
    <row r="41" spans="1:11" ht="14.25" customHeight="1">
      <c r="A41" s="3004" t="s">
        <v>26</v>
      </c>
      <c r="B41" s="1405" t="s">
        <v>6</v>
      </c>
      <c r="C41" s="1406">
        <f t="shared" ref="C41:C50" si="5">C7</f>
        <v>13</v>
      </c>
      <c r="D41" s="1407">
        <f>'RCN_Gaz  '!R37</f>
        <v>351</v>
      </c>
      <c r="E41" s="1408">
        <v>101</v>
      </c>
      <c r="F41" s="1408">
        <f>'RCN_Gaz  '!B54</f>
        <v>323</v>
      </c>
      <c r="G41" s="1407">
        <f t="shared" ref="G41:G51" si="6">+ROUND((F41/C41),0)</f>
        <v>25</v>
      </c>
      <c r="H41" s="1409">
        <f t="shared" ref="H41:H51" si="7">((F41-E41)/E41)*100</f>
        <v>219.80198019801981</v>
      </c>
      <c r="I41" s="1408">
        <v>15</v>
      </c>
      <c r="J41" s="1408">
        <f>'RCN_Gaz  '!F54</f>
        <v>11</v>
      </c>
      <c r="K41" s="1409">
        <f t="shared" ref="K41:K50" si="8">((J41-I41)/I41)*100</f>
        <v>-26.666666666666668</v>
      </c>
    </row>
    <row r="42" spans="1:11" ht="14.25" customHeight="1">
      <c r="A42" s="3005"/>
      <c r="B42" s="1405" t="s">
        <v>7</v>
      </c>
      <c r="C42" s="1406">
        <f t="shared" si="5"/>
        <v>10</v>
      </c>
      <c r="D42" s="1407">
        <f>'RCN_Gaz  '!R38</f>
        <v>321</v>
      </c>
      <c r="E42" s="1408">
        <v>88</v>
      </c>
      <c r="F42" s="1408">
        <f>'RCN_Gaz  '!B55</f>
        <v>79</v>
      </c>
      <c r="G42" s="1407">
        <f t="shared" si="6"/>
        <v>8</v>
      </c>
      <c r="H42" s="1409">
        <f t="shared" si="7"/>
        <v>-10.227272727272728</v>
      </c>
      <c r="I42" s="1408">
        <v>152</v>
      </c>
      <c r="J42" s="1408">
        <f>'RCN_Gaz  '!F55</f>
        <v>144</v>
      </c>
      <c r="K42" s="1409">
        <f t="shared" si="8"/>
        <v>-5.2631578947368416</v>
      </c>
    </row>
    <row r="43" spans="1:11" ht="14.25" customHeight="1">
      <c r="A43" s="3005"/>
      <c r="B43" s="1405" t="s">
        <v>8</v>
      </c>
      <c r="C43" s="1406">
        <f t="shared" si="5"/>
        <v>8</v>
      </c>
      <c r="D43" s="1407">
        <f>'RCN_Gaz  '!R39</f>
        <v>321</v>
      </c>
      <c r="E43" s="1408">
        <v>613</v>
      </c>
      <c r="F43" s="1408">
        <f>'RCN_Gaz  '!B56</f>
        <v>592</v>
      </c>
      <c r="G43" s="1407">
        <f t="shared" si="6"/>
        <v>74</v>
      </c>
      <c r="H43" s="1409">
        <f t="shared" si="7"/>
        <v>-3.4257748776508974</v>
      </c>
      <c r="I43" s="1408">
        <v>296</v>
      </c>
      <c r="J43" s="1408">
        <f>'RCN_Gaz  '!F56</f>
        <v>288</v>
      </c>
      <c r="K43" s="1409">
        <f t="shared" si="8"/>
        <v>-2.7027027027027026</v>
      </c>
    </row>
    <row r="44" spans="1:11" ht="14.25" customHeight="1">
      <c r="A44" s="3005"/>
      <c r="B44" s="1405" t="s">
        <v>44</v>
      </c>
      <c r="C44" s="1406">
        <f t="shared" si="5"/>
        <v>17</v>
      </c>
      <c r="D44" s="1407">
        <f>'RCN_Gaz  '!R40</f>
        <v>536</v>
      </c>
      <c r="E44" s="1408">
        <v>53</v>
      </c>
      <c r="F44" s="1408">
        <f>'RCN_Gaz  '!B57</f>
        <v>76</v>
      </c>
      <c r="G44" s="1407">
        <f t="shared" si="6"/>
        <v>4</v>
      </c>
      <c r="H44" s="1409">
        <f t="shared" si="7"/>
        <v>43.39622641509434</v>
      </c>
      <c r="I44" s="1408">
        <v>45</v>
      </c>
      <c r="J44" s="1408">
        <f>'RCN_Gaz  '!F57</f>
        <v>33</v>
      </c>
      <c r="K44" s="1409">
        <f t="shared" si="8"/>
        <v>-26.666666666666668</v>
      </c>
    </row>
    <row r="45" spans="1:11" ht="14.25" customHeight="1">
      <c r="A45" s="3005"/>
      <c r="B45" s="1405" t="s">
        <v>3</v>
      </c>
      <c r="C45" s="1406">
        <f t="shared" si="5"/>
        <v>11</v>
      </c>
      <c r="D45" s="1407">
        <f>'RCN_Gaz  '!R41</f>
        <v>235</v>
      </c>
      <c r="E45" s="1408">
        <v>136</v>
      </c>
      <c r="F45" s="1408">
        <f>'RCN_Gaz  '!B58</f>
        <v>71</v>
      </c>
      <c r="G45" s="1407">
        <f t="shared" si="6"/>
        <v>6</v>
      </c>
      <c r="H45" s="1409">
        <f t="shared" si="7"/>
        <v>-47.794117647058826</v>
      </c>
      <c r="I45" s="1408">
        <v>89</v>
      </c>
      <c r="J45" s="1408">
        <f>'RCN_Gaz  '!F58</f>
        <v>163</v>
      </c>
      <c r="K45" s="1409">
        <f t="shared" si="8"/>
        <v>83.146067415730343</v>
      </c>
    </row>
    <row r="46" spans="1:11" ht="14.25" customHeight="1">
      <c r="A46" s="3005"/>
      <c r="B46" s="1405" t="s">
        <v>397</v>
      </c>
      <c r="C46" s="1406">
        <f t="shared" si="5"/>
        <v>6</v>
      </c>
      <c r="D46" s="1407">
        <f>'RCN_Gaz  '!R42</f>
        <v>380</v>
      </c>
      <c r="E46" s="1408">
        <v>412</v>
      </c>
      <c r="F46" s="1408">
        <f>'RCN_Gaz  '!B59</f>
        <v>408</v>
      </c>
      <c r="G46" s="1407">
        <f t="shared" si="6"/>
        <v>68</v>
      </c>
      <c r="H46" s="1409">
        <f t="shared" si="7"/>
        <v>-0.97087378640776689</v>
      </c>
      <c r="I46" s="1408">
        <v>120</v>
      </c>
      <c r="J46" s="1408">
        <f>'RCN_Gaz  '!F59</f>
        <v>78</v>
      </c>
      <c r="K46" s="1409">
        <f t="shared" si="8"/>
        <v>-35</v>
      </c>
    </row>
    <row r="47" spans="1:11" ht="14.25" customHeight="1">
      <c r="A47" s="3005"/>
      <c r="B47" s="1405" t="s">
        <v>399</v>
      </c>
      <c r="C47" s="1406">
        <f t="shared" si="5"/>
        <v>9</v>
      </c>
      <c r="D47" s="1407">
        <f>'RCN_Gaz  '!R43</f>
        <v>316</v>
      </c>
      <c r="E47" s="1411">
        <v>346</v>
      </c>
      <c r="F47" s="1408">
        <f>'RCN_Gaz  '!B60</f>
        <v>377</v>
      </c>
      <c r="G47" s="1410">
        <f t="shared" si="6"/>
        <v>42</v>
      </c>
      <c r="H47" s="1409">
        <f t="shared" si="7"/>
        <v>8.9595375722543356</v>
      </c>
      <c r="I47" s="1411">
        <v>109</v>
      </c>
      <c r="J47" s="1408">
        <f>'RCN_Gaz  '!F60</f>
        <v>133</v>
      </c>
      <c r="K47" s="1409">
        <f t="shared" si="8"/>
        <v>22.018348623853214</v>
      </c>
    </row>
    <row r="48" spans="1:11" ht="14.25" customHeight="1">
      <c r="A48" s="3005"/>
      <c r="B48" s="1405" t="s">
        <v>883</v>
      </c>
      <c r="C48" s="1406">
        <f t="shared" si="5"/>
        <v>6</v>
      </c>
      <c r="D48" s="1407">
        <f>'RCN_Gaz  '!R44</f>
        <v>168</v>
      </c>
      <c r="E48" s="1408">
        <v>118</v>
      </c>
      <c r="F48" s="1408">
        <f>'RCN_Gaz  '!B61</f>
        <v>84</v>
      </c>
      <c r="G48" s="1407">
        <f t="shared" si="6"/>
        <v>14</v>
      </c>
      <c r="H48" s="1409">
        <f t="shared" si="7"/>
        <v>-28.8135593220339</v>
      </c>
      <c r="I48" s="1408">
        <v>68</v>
      </c>
      <c r="J48" s="1408">
        <f>'RCN_Gaz  '!F61</f>
        <v>61</v>
      </c>
      <c r="K48" s="1409">
        <f t="shared" si="8"/>
        <v>-10.294117647058822</v>
      </c>
    </row>
    <row r="49" spans="1:11" ht="14.25" customHeight="1">
      <c r="A49" s="3005"/>
      <c r="B49" s="1405" t="s">
        <v>884</v>
      </c>
      <c r="C49" s="1406">
        <f t="shared" si="5"/>
        <v>10</v>
      </c>
      <c r="D49" s="1407">
        <f>'RCN_Gaz  '!R45</f>
        <v>244</v>
      </c>
      <c r="E49" s="1408">
        <v>137</v>
      </c>
      <c r="F49" s="1408">
        <f>'RCN_Gaz  '!B62</f>
        <v>117</v>
      </c>
      <c r="G49" s="1407">
        <f t="shared" si="6"/>
        <v>12</v>
      </c>
      <c r="H49" s="1409">
        <f t="shared" si="7"/>
        <v>-14.5985401459854</v>
      </c>
      <c r="I49" s="1408">
        <v>78</v>
      </c>
      <c r="J49" s="1408">
        <f>'RCN_Gaz  '!F62</f>
        <v>85</v>
      </c>
      <c r="K49" s="1409">
        <f t="shared" si="8"/>
        <v>8.9743589743589745</v>
      </c>
    </row>
    <row r="50" spans="1:11" ht="14.25" customHeight="1">
      <c r="A50" s="3005"/>
      <c r="B50" s="1405" t="s">
        <v>885</v>
      </c>
      <c r="C50" s="1406">
        <f t="shared" si="5"/>
        <v>3</v>
      </c>
      <c r="D50" s="1407">
        <f>'RCN_Gaz  '!R46</f>
        <v>66</v>
      </c>
      <c r="E50" s="1408">
        <v>34</v>
      </c>
      <c r="F50" s="1408">
        <f>'RCN_Gaz  '!B63</f>
        <v>50</v>
      </c>
      <c r="G50" s="1407">
        <f t="shared" si="6"/>
        <v>17</v>
      </c>
      <c r="H50" s="1409">
        <f t="shared" si="7"/>
        <v>47.058823529411761</v>
      </c>
      <c r="I50" s="1408">
        <v>10</v>
      </c>
      <c r="J50" s="1408">
        <f>'RCN_Gaz  '!F63</f>
        <v>23</v>
      </c>
      <c r="K50" s="1409">
        <f t="shared" si="8"/>
        <v>130</v>
      </c>
    </row>
    <row r="51" spans="1:11" ht="14.4">
      <c r="A51" s="3006" t="s">
        <v>687</v>
      </c>
      <c r="B51" s="3007"/>
      <c r="C51" s="1412">
        <f>SUM(C41:C50)</f>
        <v>93</v>
      </c>
      <c r="D51" s="1413">
        <f>SUM(D41:D50)</f>
        <v>2938</v>
      </c>
      <c r="E51" s="1414">
        <f>SUM(E41:E50)</f>
        <v>2038</v>
      </c>
      <c r="F51" s="1414">
        <f>SUM(F41:F50)</f>
        <v>2177</v>
      </c>
      <c r="G51" s="1412">
        <f t="shared" si="6"/>
        <v>23</v>
      </c>
      <c r="H51" s="1409">
        <f t="shared" si="7"/>
        <v>6.8204121687929344</v>
      </c>
      <c r="I51" s="1415">
        <f>SUM(I41:I50)</f>
        <v>982</v>
      </c>
      <c r="J51" s="1415">
        <f>SUM(J41:J50)</f>
        <v>1019</v>
      </c>
      <c r="K51" s="1409">
        <f>((J51-I51)/I51)*100</f>
        <v>3.7678207739307537</v>
      </c>
    </row>
    <row r="52" spans="1:11" ht="14.4">
      <c r="E52" s="1416"/>
    </row>
    <row r="53" spans="1:11" ht="15.75" customHeight="1">
      <c r="A53" s="3017" t="s">
        <v>694</v>
      </c>
      <c r="B53" s="3018"/>
      <c r="C53" s="3018"/>
      <c r="D53" s="3018"/>
      <c r="E53" s="3018"/>
      <c r="F53" s="3018"/>
      <c r="G53" s="3018"/>
      <c r="H53" s="3018"/>
    </row>
    <row r="54" spans="1:11" ht="22.8">
      <c r="A54" s="1400"/>
      <c r="B54" s="1400"/>
      <c r="C54" s="1488"/>
      <c r="D54" s="1488"/>
      <c r="E54" s="1488"/>
      <c r="F54" s="1488"/>
      <c r="G54" s="1488"/>
      <c r="H54" s="1488"/>
    </row>
    <row r="55" spans="1:11" ht="15.75" customHeight="1">
      <c r="A55" s="3008" t="s">
        <v>679</v>
      </c>
      <c r="B55" s="1485"/>
      <c r="C55" s="3019" t="s">
        <v>689</v>
      </c>
      <c r="D55" s="3019"/>
      <c r="E55" s="3019"/>
      <c r="F55" s="3019" t="s">
        <v>681</v>
      </c>
      <c r="G55" s="3019"/>
      <c r="H55" s="3019"/>
    </row>
    <row r="56" spans="1:11" ht="15.6">
      <c r="A56" s="3009"/>
      <c r="B56" s="1486"/>
      <c r="C56" s="3019"/>
      <c r="D56" s="3019"/>
      <c r="E56" s="3019"/>
      <c r="F56" s="3019"/>
      <c r="G56" s="3019"/>
      <c r="H56" s="3019"/>
    </row>
    <row r="57" spans="1:11" ht="72.75" customHeight="1">
      <c r="A57" s="3010"/>
      <c r="B57" s="1417" t="s">
        <v>683</v>
      </c>
      <c r="C57" s="1489" t="str">
        <f>E40</f>
        <v>M-1</v>
      </c>
      <c r="D57" s="1489" t="str">
        <f>F40</f>
        <v>M</v>
      </c>
      <c r="E57" s="1484" t="s">
        <v>690</v>
      </c>
      <c r="F57" s="1489" t="str">
        <f>I40</f>
        <v>M-1</v>
      </c>
      <c r="G57" s="1489" t="str">
        <f>J40</f>
        <v>M</v>
      </c>
      <c r="H57" s="1484" t="s">
        <v>690</v>
      </c>
    </row>
    <row r="58" spans="1:11" ht="15.6">
      <c r="A58" s="1418" t="s">
        <v>6</v>
      </c>
      <c r="B58" s="1419">
        <f>'RCN_Gaz  '!R6</f>
        <v>44</v>
      </c>
      <c r="C58" s="1420">
        <v>104</v>
      </c>
      <c r="D58" s="1420">
        <f>'RCN_Gaz  '!B22</f>
        <v>90</v>
      </c>
      <c r="E58" s="1421">
        <f t="shared" ref="E58:E68" si="9">((D58-C58)/C58)*100</f>
        <v>-13.461538461538462</v>
      </c>
      <c r="F58" s="1420">
        <v>86</v>
      </c>
      <c r="G58" s="1420">
        <f>'RCN_Gaz  '!F22</f>
        <v>50</v>
      </c>
      <c r="H58" s="1427">
        <f t="shared" ref="H58:H68" si="10">((G58-F58)/F58)*100</f>
        <v>-41.860465116279073</v>
      </c>
    </row>
    <row r="59" spans="1:11" ht="15.6">
      <c r="A59" s="1418" t="s">
        <v>7</v>
      </c>
      <c r="B59" s="1419">
        <f>'RCN_Gaz  '!R7</f>
        <v>60</v>
      </c>
      <c r="C59" s="1420">
        <v>18</v>
      </c>
      <c r="D59" s="1420">
        <f>'RCN_Gaz  '!B23</f>
        <v>43</v>
      </c>
      <c r="E59" s="1421">
        <f t="shared" si="9"/>
        <v>138.88888888888889</v>
      </c>
      <c r="F59" s="1420">
        <v>30</v>
      </c>
      <c r="G59" s="1420">
        <f>'RCN_Gaz  '!F23</f>
        <v>41</v>
      </c>
      <c r="H59" s="1427">
        <f t="shared" si="10"/>
        <v>36.666666666666664</v>
      </c>
    </row>
    <row r="60" spans="1:11" ht="15.6">
      <c r="A60" s="1418" t="s">
        <v>8</v>
      </c>
      <c r="B60" s="1419">
        <f>'RCN_Gaz  '!R8</f>
        <v>36</v>
      </c>
      <c r="C60" s="1420">
        <v>668</v>
      </c>
      <c r="D60" s="1420">
        <f>'RCN_Gaz  '!B24</f>
        <v>667</v>
      </c>
      <c r="E60" s="1421">
        <f t="shared" si="9"/>
        <v>-0.14970059880239522</v>
      </c>
      <c r="F60" s="1420">
        <v>231</v>
      </c>
      <c r="G60" s="1420">
        <f>'RCN_Gaz  '!F24</f>
        <v>227</v>
      </c>
      <c r="H60" s="1427">
        <f t="shared" si="10"/>
        <v>-1.7316017316017316</v>
      </c>
    </row>
    <row r="61" spans="1:11" ht="15.6">
      <c r="A61" s="1418" t="s">
        <v>44</v>
      </c>
      <c r="B61" s="1419">
        <f>'RCN_Gaz  '!R9</f>
        <v>87</v>
      </c>
      <c r="C61" s="1420">
        <v>55</v>
      </c>
      <c r="D61" s="1420">
        <f>'RCN_Gaz  '!B25</f>
        <v>72</v>
      </c>
      <c r="E61" s="1421">
        <f t="shared" si="9"/>
        <v>30.909090909090907</v>
      </c>
      <c r="F61" s="1420">
        <v>85</v>
      </c>
      <c r="G61" s="1420">
        <f>'RCN_Gaz  '!F25</f>
        <v>98</v>
      </c>
      <c r="H61" s="1427">
        <f t="shared" si="10"/>
        <v>15.294117647058824</v>
      </c>
    </row>
    <row r="62" spans="1:11" ht="15.6">
      <c r="A62" s="1418" t="s">
        <v>3</v>
      </c>
      <c r="B62" s="1419">
        <f>'RCN_Gaz  '!R10</f>
        <v>98</v>
      </c>
      <c r="C62" s="1420">
        <v>55</v>
      </c>
      <c r="D62" s="1420">
        <f>'RCN_Gaz  '!B26</f>
        <v>35</v>
      </c>
      <c r="E62" s="1421">
        <f t="shared" si="9"/>
        <v>-36.363636363636367</v>
      </c>
      <c r="F62" s="1420">
        <v>100</v>
      </c>
      <c r="G62" s="1420">
        <f>'RCN_Gaz  '!F26</f>
        <v>125</v>
      </c>
      <c r="H62" s="1427">
        <f t="shared" si="10"/>
        <v>25</v>
      </c>
    </row>
    <row r="63" spans="1:11" ht="15.6">
      <c r="A63" s="1418" t="s">
        <v>397</v>
      </c>
      <c r="B63" s="1419">
        <f>'RCN_Gaz  '!R11</f>
        <v>44</v>
      </c>
      <c r="C63" s="1420">
        <v>45</v>
      </c>
      <c r="D63" s="1420">
        <f>'RCN_Gaz  '!B27</f>
        <v>47</v>
      </c>
      <c r="E63" s="1421">
        <f t="shared" si="9"/>
        <v>4.4444444444444446</v>
      </c>
      <c r="F63" s="1420">
        <v>16</v>
      </c>
      <c r="G63" s="1420">
        <f>'RCN_Gaz  '!F27</f>
        <v>15</v>
      </c>
      <c r="H63" s="1427">
        <f t="shared" si="10"/>
        <v>-6.25</v>
      </c>
    </row>
    <row r="64" spans="1:11" ht="15.6">
      <c r="A64" s="1418" t="s">
        <v>399</v>
      </c>
      <c r="B64" s="1419">
        <f>'RCN_Gaz  '!R12</f>
        <v>112</v>
      </c>
      <c r="C64" s="1422">
        <v>245</v>
      </c>
      <c r="D64" s="1420">
        <f>'RCN_Gaz  '!B28</f>
        <v>157</v>
      </c>
      <c r="E64" s="1421">
        <f t="shared" si="9"/>
        <v>-35.918367346938773</v>
      </c>
      <c r="F64" s="1422">
        <v>161</v>
      </c>
      <c r="G64" s="1420">
        <f>'RCN_Gaz  '!F28</f>
        <v>152</v>
      </c>
      <c r="H64" s="1427">
        <f t="shared" si="10"/>
        <v>-5.5900621118012426</v>
      </c>
    </row>
    <row r="65" spans="1:8" ht="15.6">
      <c r="A65" s="1418" t="s">
        <v>883</v>
      </c>
      <c r="B65" s="1419">
        <f>'RCN_Gaz  '!R13</f>
        <v>30</v>
      </c>
      <c r="C65" s="1420">
        <v>97</v>
      </c>
      <c r="D65" s="1420">
        <f>'RCN_Gaz  '!B29</f>
        <v>84</v>
      </c>
      <c r="E65" s="1421">
        <f t="shared" si="9"/>
        <v>-13.402061855670103</v>
      </c>
      <c r="F65" s="1420">
        <v>22</v>
      </c>
      <c r="G65" s="1420">
        <f>'RCN_Gaz  '!F29</f>
        <v>47</v>
      </c>
      <c r="H65" s="1427">
        <f t="shared" si="10"/>
        <v>113.63636363636364</v>
      </c>
    </row>
    <row r="66" spans="1:8" ht="15.6">
      <c r="A66" s="1418" t="s">
        <v>884</v>
      </c>
      <c r="B66" s="1419">
        <f>'RCN_Gaz  '!R14</f>
        <v>37</v>
      </c>
      <c r="C66" s="1420">
        <v>0</v>
      </c>
      <c r="D66" s="1420">
        <f>'RCN_Gaz  '!B30</f>
        <v>0</v>
      </c>
      <c r="E66" s="1421" t="e">
        <f t="shared" si="9"/>
        <v>#DIV/0!</v>
      </c>
      <c r="F66" s="1420">
        <v>2</v>
      </c>
      <c r="G66" s="1420">
        <f>'RCN_Gaz  '!F30</f>
        <v>2</v>
      </c>
      <c r="H66" s="1427">
        <f t="shared" si="10"/>
        <v>0</v>
      </c>
    </row>
    <row r="67" spans="1:8" ht="15.6">
      <c r="A67" s="1418" t="s">
        <v>885</v>
      </c>
      <c r="B67" s="1419">
        <f>'RCN_Gaz  '!R15</f>
        <v>14</v>
      </c>
      <c r="C67" s="1420">
        <v>134</v>
      </c>
      <c r="D67" s="1420">
        <f>'RCN_Gaz  '!B31</f>
        <v>134</v>
      </c>
      <c r="E67" s="1421">
        <f t="shared" si="9"/>
        <v>0</v>
      </c>
      <c r="F67" s="1420">
        <v>40</v>
      </c>
      <c r="G67" s="1420">
        <f>'RCN_Gaz  '!F31</f>
        <v>40</v>
      </c>
      <c r="H67" s="1427">
        <f t="shared" si="10"/>
        <v>0</v>
      </c>
    </row>
    <row r="68" spans="1:8" ht="15.6">
      <c r="A68" s="1423" t="s">
        <v>614</v>
      </c>
      <c r="B68" s="1424">
        <f>SUM(B58:B67)</f>
        <v>562</v>
      </c>
      <c r="C68" s="1425">
        <f>SUM(C58:C67)</f>
        <v>1421</v>
      </c>
      <c r="D68" s="1425">
        <f>SUM(D58:D67)</f>
        <v>1329</v>
      </c>
      <c r="E68" s="1426">
        <f t="shared" si="9"/>
        <v>-6.474313863476425</v>
      </c>
      <c r="F68" s="1425">
        <f>SUM(F58:F67)</f>
        <v>773</v>
      </c>
      <c r="G68" s="1425">
        <f>SUM(G58:G67)</f>
        <v>797</v>
      </c>
      <c r="H68" s="1428">
        <f t="shared" si="10"/>
        <v>3.1047865459249677</v>
      </c>
    </row>
  </sheetData>
  <mergeCells count="20">
    <mergeCell ref="I38:K39"/>
    <mergeCell ref="A36:K36"/>
    <mergeCell ref="A21:A23"/>
    <mergeCell ref="A2:K2"/>
    <mergeCell ref="A17:B17"/>
    <mergeCell ref="A19:H19"/>
    <mergeCell ref="A4:B6"/>
    <mergeCell ref="A7:A16"/>
    <mergeCell ref="I4:K5"/>
    <mergeCell ref="E4:H5"/>
    <mergeCell ref="F21:H22"/>
    <mergeCell ref="C21:E22"/>
    <mergeCell ref="A41:A50"/>
    <mergeCell ref="A51:B51"/>
    <mergeCell ref="A55:A57"/>
    <mergeCell ref="A38:B40"/>
    <mergeCell ref="A53:H53"/>
    <mergeCell ref="F55:H56"/>
    <mergeCell ref="C55:E56"/>
    <mergeCell ref="E38:H39"/>
  </mergeCells>
  <pageMargins left="0.7" right="0.7" top="0.75" bottom="0.75" header="0.3" footer="0.3"/>
  <pageSetup paperSize="9" orientation="portrait" r:id="rId1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D00-000000000000}">
  <sheetPr codeName="Feuil3">
    <tabColor indexed="31"/>
  </sheetPr>
  <dimension ref="A1:AA92"/>
  <sheetViews>
    <sheetView showGridLines="0" showOutlineSymbols="0" topLeftCell="A10" zoomScaleNormal="100" zoomScaleSheetLayoutView="70" workbookViewId="0">
      <selection activeCell="K14" sqref="K14"/>
    </sheetView>
  </sheetViews>
  <sheetFormatPr baseColWidth="10" defaultColWidth="11.44140625" defaultRowHeight="13.8"/>
  <cols>
    <col min="1" max="1" width="10.33203125" style="87" customWidth="1"/>
    <col min="2" max="2" width="10" style="87" customWidth="1"/>
    <col min="3" max="3" width="13.6640625" style="87" customWidth="1"/>
    <col min="4" max="4" width="8.88671875" style="87" customWidth="1"/>
    <col min="5" max="5" width="10" style="87" customWidth="1"/>
    <col min="6" max="6" width="11.5546875" style="87" customWidth="1"/>
    <col min="7" max="7" width="16.33203125" style="87" customWidth="1"/>
    <col min="8" max="8" width="10.109375" style="87" customWidth="1"/>
    <col min="9" max="9" width="8.6640625" style="87" customWidth="1"/>
    <col min="10" max="10" width="14.44140625" style="87" bestFit="1" customWidth="1"/>
    <col min="11" max="11" width="14.5546875" style="87" bestFit="1" customWidth="1"/>
    <col min="12" max="12" width="15.6640625" style="87" customWidth="1"/>
    <col min="13" max="13" width="16.109375" style="87" customWidth="1"/>
    <col min="14" max="14" width="11.44140625" style="87" customWidth="1"/>
    <col min="15" max="15" width="7.33203125" style="87" customWidth="1"/>
    <col min="16" max="16" width="8.5546875" style="87" customWidth="1"/>
    <col min="17" max="17" width="7.109375" style="87" customWidth="1"/>
    <col min="18" max="18" width="9" style="87" customWidth="1"/>
    <col min="19" max="19" width="7.6640625" style="87" customWidth="1"/>
    <col min="20" max="20" width="10.5546875" style="232" customWidth="1"/>
    <col min="21" max="21" width="11.5546875" style="87" customWidth="1"/>
    <col min="22" max="22" width="11.88671875" style="87" customWidth="1"/>
    <col min="23" max="23" width="7.44140625" style="87" customWidth="1"/>
    <col min="24" max="24" width="10.44140625" style="87" bestFit="1" customWidth="1"/>
    <col min="25" max="25" width="8.5546875" style="87" customWidth="1"/>
    <col min="26" max="26" width="11.44140625" style="87"/>
    <col min="27" max="27" width="11.6640625" style="87" bestFit="1" customWidth="1"/>
    <col min="28" max="16384" width="11.44140625" style="87"/>
  </cols>
  <sheetData>
    <row r="1" spans="1:26" ht="30.75" customHeight="1" thickBot="1">
      <c r="A1" s="124"/>
      <c r="B1" s="124"/>
      <c r="C1" s="124"/>
      <c r="D1" s="3032" t="s">
        <v>216</v>
      </c>
      <c r="E1" s="3032"/>
      <c r="F1" s="3032"/>
      <c r="G1" s="3032"/>
      <c r="H1" s="3032"/>
      <c r="I1" s="3032"/>
      <c r="J1" s="3032"/>
      <c r="K1" s="3032"/>
      <c r="L1" s="3032"/>
      <c r="M1" s="3032"/>
      <c r="N1" s="3032"/>
      <c r="O1" s="3032"/>
      <c r="P1" s="3032"/>
      <c r="Q1" s="3032"/>
      <c r="R1" s="3032"/>
      <c r="S1" s="3032"/>
    </row>
    <row r="2" spans="1:26" ht="13.5" customHeight="1" thickBot="1">
      <c r="A2" s="124"/>
      <c r="B2" s="3033">
        <f>Clientele!B3</f>
        <v>45139</v>
      </c>
      <c r="C2" s="3034"/>
      <c r="D2" s="3034"/>
      <c r="E2" s="3034"/>
      <c r="F2" s="3034"/>
      <c r="G2" s="3035"/>
      <c r="H2" s="3033">
        <f>Clientele!E3</f>
        <v>45505</v>
      </c>
      <c r="I2" s="3034"/>
      <c r="J2" s="3034"/>
      <c r="K2" s="3034"/>
      <c r="L2" s="3034"/>
      <c r="M2" s="3035"/>
      <c r="N2" s="3033" t="s">
        <v>53</v>
      </c>
      <c r="O2" s="3034"/>
      <c r="P2" s="3034"/>
      <c r="Q2" s="3034"/>
      <c r="R2" s="3034"/>
      <c r="S2" s="3035"/>
    </row>
    <row r="3" spans="1:26" ht="27.6">
      <c r="A3" s="124"/>
      <c r="B3" s="161" t="s">
        <v>17</v>
      </c>
      <c r="C3" s="162" t="s">
        <v>18</v>
      </c>
      <c r="D3" s="162" t="s">
        <v>52</v>
      </c>
      <c r="E3" s="162" t="s">
        <v>19</v>
      </c>
      <c r="F3" s="162" t="s">
        <v>315</v>
      </c>
      <c r="G3" s="95" t="s">
        <v>340</v>
      </c>
      <c r="H3" s="163" t="s">
        <v>17</v>
      </c>
      <c r="I3" s="162" t="s">
        <v>18</v>
      </c>
      <c r="J3" s="162" t="s">
        <v>52</v>
      </c>
      <c r="K3" s="162" t="s">
        <v>19</v>
      </c>
      <c r="L3" s="162" t="s">
        <v>315</v>
      </c>
      <c r="M3" s="95" t="str">
        <f>G3</f>
        <v>Liv aux Rx MT</v>
      </c>
      <c r="N3" s="163" t="s">
        <v>17</v>
      </c>
      <c r="O3" s="162" t="s">
        <v>18</v>
      </c>
      <c r="P3" s="162" t="s">
        <v>52</v>
      </c>
      <c r="Q3" s="162" t="s">
        <v>19</v>
      </c>
      <c r="R3" s="162" t="s">
        <v>315</v>
      </c>
      <c r="S3" s="95" t="str">
        <f>M3</f>
        <v>Liv aux Rx MT</v>
      </c>
    </row>
    <row r="4" spans="1:26">
      <c r="A4" s="96" t="s">
        <v>68</v>
      </c>
      <c r="B4" s="164">
        <f>élec!BF194</f>
        <v>183.23836900000001</v>
      </c>
      <c r="C4" s="165">
        <f>élec!BG194</f>
        <v>11.121567000000001</v>
      </c>
      <c r="D4" s="165">
        <f>élec!BD194</f>
        <v>194.359936</v>
      </c>
      <c r="E4" s="165">
        <f>élec!BE194</f>
        <v>88.154376900000003</v>
      </c>
      <c r="F4" s="165">
        <f t="shared" ref="F4:F13" si="0">E4+D4</f>
        <v>282.51431289999999</v>
      </c>
      <c r="G4" s="166">
        <f>élec!BD226</f>
        <v>329.58566664999984</v>
      </c>
      <c r="H4" s="167">
        <f>élec!BF209</f>
        <v>193.85362000000001</v>
      </c>
      <c r="I4" s="165">
        <f>élec!BG209</f>
        <v>12.626743000000001</v>
      </c>
      <c r="J4" s="165">
        <f>élec!BD209</f>
        <v>206.48036300000001</v>
      </c>
      <c r="K4" s="165">
        <f>élec!BE209</f>
        <v>96.694337939999997</v>
      </c>
      <c r="L4" s="2069">
        <f>K4+J4</f>
        <v>303.17470093999998</v>
      </c>
      <c r="M4" s="166">
        <f>élec!BD241</f>
        <v>390.38474823999979</v>
      </c>
      <c r="N4" s="167">
        <f t="shared" ref="N4:N14" si="1">(((H4-B4)/B4)*100)</f>
        <v>5.7931376806786572</v>
      </c>
      <c r="O4" s="165">
        <f>(((I4-C4)/C4)*100)</f>
        <v>13.533848242788093</v>
      </c>
      <c r="P4" s="165">
        <f>(((J4-D4)/D4)*100)</f>
        <v>6.2360727470089339</v>
      </c>
      <c r="Q4" s="165">
        <f t="shared" ref="P4:Q14" si="2">(((K4-E4)/E4)*100)</f>
        <v>9.687506554198098</v>
      </c>
      <c r="R4" s="165">
        <f t="shared" ref="R4:R14" si="3">(((L4-F4)/F4)*100)</f>
        <v>7.3130411793731058</v>
      </c>
      <c r="S4" s="165">
        <f>(((M4-G4)/G4)*100)</f>
        <v>18.44712551003164</v>
      </c>
      <c r="U4" s="215"/>
      <c r="V4" s="215"/>
      <c r="W4" s="215"/>
      <c r="X4" s="215"/>
      <c r="Y4" s="215"/>
      <c r="Z4" s="173"/>
    </row>
    <row r="5" spans="1:26">
      <c r="A5" s="96" t="s">
        <v>7</v>
      </c>
      <c r="B5" s="164">
        <f>élec!BF195</f>
        <v>80.516846999999999</v>
      </c>
      <c r="C5" s="165">
        <f>élec!BG195</f>
        <v>5.2450409999999996</v>
      </c>
      <c r="D5" s="1280">
        <f>élec!BD195</f>
        <v>85.761887999999999</v>
      </c>
      <c r="E5" s="1280">
        <f>élec!BE195</f>
        <v>31.148863739999999</v>
      </c>
      <c r="F5" s="165">
        <f t="shared" si="0"/>
        <v>116.91075173999999</v>
      </c>
      <c r="G5" s="166">
        <f>élec!BD227</f>
        <v>128.53754269999993</v>
      </c>
      <c r="H5" s="167">
        <f>élec!BF210</f>
        <v>80.651584999999997</v>
      </c>
      <c r="I5" s="165">
        <f>élec!BG210</f>
        <v>5.2450409999999996</v>
      </c>
      <c r="J5" s="1280">
        <f>élec!BD210</f>
        <v>85.896625999999998</v>
      </c>
      <c r="K5" s="1280">
        <f>élec!BE210</f>
        <v>34.079603169999999</v>
      </c>
      <c r="L5" s="1280">
        <f t="shared" ref="L5:L13" si="4">K5+J5</f>
        <v>119.97622917</v>
      </c>
      <c r="M5" s="1788">
        <f>élec!BD242</f>
        <v>148.76684479999994</v>
      </c>
      <c r="N5" s="167">
        <f t="shared" si="1"/>
        <v>0.16734137639542529</v>
      </c>
      <c r="O5" s="165">
        <f t="shared" ref="O5:O14" si="5">(((I5-C5)/C5)*100)</f>
        <v>0</v>
      </c>
      <c r="P5" s="165">
        <f t="shared" si="2"/>
        <v>0.15710708234408119</v>
      </c>
      <c r="Q5" s="165">
        <f t="shared" si="2"/>
        <v>9.4088164963670007</v>
      </c>
      <c r="R5" s="165">
        <f t="shared" si="3"/>
        <v>2.6220663064568894</v>
      </c>
      <c r="S5" s="166">
        <f t="shared" ref="S5:S14" si="6">(((M5-G5)/G5)*100)</f>
        <v>15.738049502948856</v>
      </c>
      <c r="U5" s="215"/>
      <c r="V5" s="215"/>
      <c r="W5" s="215"/>
      <c r="X5" s="215"/>
      <c r="Y5" s="215"/>
      <c r="Z5" s="173"/>
    </row>
    <row r="6" spans="1:26">
      <c r="A6" s="96" t="s">
        <v>8</v>
      </c>
      <c r="B6" s="164">
        <f>élec!BF196</f>
        <v>70.924943999999996</v>
      </c>
      <c r="C6" s="165">
        <f>élec!BG196</f>
        <v>9.9408390000000004</v>
      </c>
      <c r="D6" s="165">
        <f>élec!BD196</f>
        <v>80.865782999999993</v>
      </c>
      <c r="E6" s="165">
        <f>élec!BE196</f>
        <v>20.96</v>
      </c>
      <c r="F6" s="165">
        <f t="shared" si="0"/>
        <v>101.825783</v>
      </c>
      <c r="G6" s="166">
        <f>élec!BD228</f>
        <v>103.53431200000006</v>
      </c>
      <c r="H6" s="167">
        <f>élec!BF211</f>
        <v>72.23345599999999</v>
      </c>
      <c r="I6" s="165">
        <f>élec!BG211</f>
        <v>9.1286530000000017</v>
      </c>
      <c r="J6" s="165">
        <f>élec!BD211</f>
        <v>81.36210899999999</v>
      </c>
      <c r="K6" s="165">
        <f>élec!BE211</f>
        <v>17.501550110000004</v>
      </c>
      <c r="L6" s="2069">
        <f>K6+J6</f>
        <v>98.863659109999986</v>
      </c>
      <c r="M6" s="166">
        <f>élec!BD243</f>
        <v>115.55272699999998</v>
      </c>
      <c r="N6" s="167">
        <f t="shared" si="1"/>
        <v>1.8449249674416284</v>
      </c>
      <c r="O6" s="165">
        <f>(((I6-C6)/C6)*100)</f>
        <v>-8.1701956947496956</v>
      </c>
      <c r="P6" s="165">
        <f t="shared" si="2"/>
        <v>0.61376515701331469</v>
      </c>
      <c r="Q6" s="165">
        <f t="shared" si="2"/>
        <v>-16.500238024809146</v>
      </c>
      <c r="R6" s="165">
        <f t="shared" si="3"/>
        <v>-2.9090116498294103</v>
      </c>
      <c r="S6" s="166">
        <f t="shared" si="6"/>
        <v>11.608146872120919</v>
      </c>
      <c r="T6" s="232">
        <f>H6/B6</f>
        <v>1.0184492496744162</v>
      </c>
      <c r="U6" s="232">
        <f>I6/C6</f>
        <v>0.91829804305250307</v>
      </c>
      <c r="V6" s="232">
        <f t="shared" ref="V6" si="7">J6/D6</f>
        <v>1.0061376515701332</v>
      </c>
      <c r="W6" s="232">
        <f>K6/E6</f>
        <v>0.83499761975190856</v>
      </c>
      <c r="X6" s="215"/>
      <c r="Y6" s="215"/>
      <c r="Z6" s="173"/>
    </row>
    <row r="7" spans="1:26">
      <c r="A7" s="96" t="s">
        <v>125</v>
      </c>
      <c r="B7" s="164">
        <f>élec!BF197</f>
        <v>138.340755</v>
      </c>
      <c r="C7" s="165">
        <f>élec!BG197</f>
        <v>8.8522970000000001</v>
      </c>
      <c r="D7" s="165">
        <f>élec!BD197</f>
        <v>147.19305199999999</v>
      </c>
      <c r="E7" s="165">
        <f>élec!BE197</f>
        <v>40.851418559999999</v>
      </c>
      <c r="F7" s="165">
        <f t="shared" si="0"/>
        <v>188.04447055999998</v>
      </c>
      <c r="G7" s="166">
        <f>élec!BD229</f>
        <v>210.772402</v>
      </c>
      <c r="H7" s="167">
        <f>élec!BF212</f>
        <v>135.680117</v>
      </c>
      <c r="I7" s="165">
        <f>élec!BG212</f>
        <v>9.3881610000000002</v>
      </c>
      <c r="J7" s="165">
        <f>élec!BD212</f>
        <v>145.06827799999999</v>
      </c>
      <c r="K7" s="165">
        <f>élec!BE212</f>
        <v>47.205277950000003</v>
      </c>
      <c r="L7" s="2069">
        <f t="shared" si="4"/>
        <v>192.27355595</v>
      </c>
      <c r="M7" s="166">
        <f>élec!BD244</f>
        <v>238.84910980000012</v>
      </c>
      <c r="N7" s="167">
        <f t="shared" si="1"/>
        <v>-1.9232495875853837</v>
      </c>
      <c r="O7" s="165">
        <f t="shared" si="5"/>
        <v>6.0533893067528135</v>
      </c>
      <c r="P7" s="165">
        <f t="shared" si="2"/>
        <v>-1.443528733951384</v>
      </c>
      <c r="Q7" s="165">
        <f t="shared" si="2"/>
        <v>15.553583238897456</v>
      </c>
      <c r="R7" s="165">
        <f t="shared" si="3"/>
        <v>2.2489815187895323</v>
      </c>
      <c r="S7" s="166">
        <f t="shared" si="6"/>
        <v>13.320865318980482</v>
      </c>
      <c r="U7" s="215"/>
      <c r="V7" s="215"/>
      <c r="W7" s="215"/>
      <c r="X7" s="215"/>
      <c r="Y7" s="215"/>
      <c r="Z7" s="173"/>
    </row>
    <row r="8" spans="1:26">
      <c r="A8" s="96" t="s">
        <v>3</v>
      </c>
      <c r="B8" s="164">
        <f>élec!BF198</f>
        <v>88.144406000000004</v>
      </c>
      <c r="C8" s="165">
        <f>élec!BG198</f>
        <v>6.6023670000000001</v>
      </c>
      <c r="D8" s="165">
        <f>élec!BD198</f>
        <v>94.746773000000005</v>
      </c>
      <c r="E8" s="165">
        <f>élec!BE198</f>
        <v>33.914996880000004</v>
      </c>
      <c r="F8" s="165">
        <f t="shared" si="0"/>
        <v>128.66176988000001</v>
      </c>
      <c r="G8" s="166">
        <f>élec!BD230</f>
        <v>153.59463</v>
      </c>
      <c r="H8" s="167">
        <f>élec!BF213</f>
        <v>100.76337700000001</v>
      </c>
      <c r="I8" s="165">
        <f>élec!BG213</f>
        <v>4.4044350000000003</v>
      </c>
      <c r="J8" s="165">
        <f>élec!BD213</f>
        <v>105.16781200000001</v>
      </c>
      <c r="K8" s="165">
        <f>élec!BE213</f>
        <v>37.931612340000001</v>
      </c>
      <c r="L8" s="2069">
        <f t="shared" si="4"/>
        <v>143.09942434000001</v>
      </c>
      <c r="M8" s="166">
        <f>élec!BD245</f>
        <v>169.47863699999999</v>
      </c>
      <c r="N8" s="167">
        <f t="shared" si="1"/>
        <v>14.316247136545456</v>
      </c>
      <c r="O8" s="165">
        <f t="shared" si="5"/>
        <v>-33.290060973587195</v>
      </c>
      <c r="P8" s="165">
        <f t="shared" si="2"/>
        <v>10.99883264625805</v>
      </c>
      <c r="Q8" s="165">
        <f t="shared" si="2"/>
        <v>11.843183928961624</v>
      </c>
      <c r="R8" s="165">
        <f t="shared" si="3"/>
        <v>11.221402032216474</v>
      </c>
      <c r="S8" s="166">
        <f t="shared" si="6"/>
        <v>10.341511939577574</v>
      </c>
      <c r="U8" s="215"/>
      <c r="V8" s="215"/>
      <c r="W8" s="215"/>
      <c r="X8" s="215"/>
      <c r="Y8" s="215"/>
      <c r="Z8" s="173"/>
    </row>
    <row r="9" spans="1:26">
      <c r="A9" s="96" t="s">
        <v>397</v>
      </c>
      <c r="B9" s="164">
        <f>élec!BF199</f>
        <v>70.662699000000003</v>
      </c>
      <c r="C9" s="165">
        <f>élec!BG199</f>
        <v>6.6483920000000003</v>
      </c>
      <c r="D9" s="165">
        <f>élec!BD199</f>
        <v>77.311091000000005</v>
      </c>
      <c r="E9" s="165">
        <f>élec!BE199</f>
        <v>27.089156980000002</v>
      </c>
      <c r="F9" s="165">
        <f t="shared" si="0"/>
        <v>104.40024798</v>
      </c>
      <c r="G9" s="166">
        <f>élec!BD231</f>
        <v>138.0392720800001</v>
      </c>
      <c r="H9" s="167">
        <f>élec!BF214</f>
        <v>74.387291000000005</v>
      </c>
      <c r="I9" s="165">
        <f>élec!BG214</f>
        <v>11.254087</v>
      </c>
      <c r="J9" s="165">
        <f>élec!BD214</f>
        <v>85.641378000000003</v>
      </c>
      <c r="K9" s="165">
        <f>élec!BE214</f>
        <v>30.202004989999999</v>
      </c>
      <c r="L9" s="2069">
        <f t="shared" si="4"/>
        <v>115.84338299000001</v>
      </c>
      <c r="M9" s="166">
        <f>élec!BD246</f>
        <v>167.20619046000004</v>
      </c>
      <c r="N9" s="167">
        <f t="shared" si="1"/>
        <v>5.2709450002751819</v>
      </c>
      <c r="O9" s="165">
        <f t="shared" si="5"/>
        <v>69.275322514075583</v>
      </c>
      <c r="P9" s="165">
        <f t="shared" si="2"/>
        <v>10.775021917618519</v>
      </c>
      <c r="Q9" s="165">
        <f t="shared" si="2"/>
        <v>11.491121751401201</v>
      </c>
      <c r="R9" s="165">
        <f t="shared" si="3"/>
        <v>10.960831254148143</v>
      </c>
      <c r="S9" s="166">
        <f t="shared" si="6"/>
        <v>21.129435080689483</v>
      </c>
      <c r="U9" s="215">
        <f>H9/B9</f>
        <v>1.0527094500027518</v>
      </c>
      <c r="V9" s="215">
        <f>I9/C9</f>
        <v>1.6927532251407558</v>
      </c>
      <c r="W9" s="215">
        <f>J9/D9</f>
        <v>1.1077502191761852</v>
      </c>
      <c r="X9" s="215">
        <f>K9/E9</f>
        <v>1.1149112175140119</v>
      </c>
      <c r="Y9" s="215">
        <f>L9/F9</f>
        <v>1.1096083125414815</v>
      </c>
      <c r="Z9" s="173"/>
    </row>
    <row r="10" spans="1:26">
      <c r="A10" s="96" t="s">
        <v>399</v>
      </c>
      <c r="B10" s="164">
        <f>élec!BF200</f>
        <v>110.414902</v>
      </c>
      <c r="C10" s="165">
        <f>élec!BG200</f>
        <v>4.9298640000000002</v>
      </c>
      <c r="D10" s="165">
        <f>élec!BD200</f>
        <v>115.34476599999999</v>
      </c>
      <c r="E10" s="165">
        <f>élec!BE200</f>
        <v>60.390454810000001</v>
      </c>
      <c r="F10" s="165">
        <f t="shared" si="0"/>
        <v>175.73522080999999</v>
      </c>
      <c r="G10" s="166">
        <f>élec!BD232</f>
        <v>233.45446799999999</v>
      </c>
      <c r="H10" s="167">
        <f>élec!BF215</f>
        <v>119.535984</v>
      </c>
      <c r="I10" s="165">
        <f>élec!BG215</f>
        <v>3.4458030000000002</v>
      </c>
      <c r="J10" s="165">
        <f>élec!BD215</f>
        <v>122.981787</v>
      </c>
      <c r="K10" s="165">
        <f>élec!BE215</f>
        <v>63.368111240000005</v>
      </c>
      <c r="L10" s="2069">
        <f t="shared" si="4"/>
        <v>186.34989824000002</v>
      </c>
      <c r="M10" s="166">
        <f>élec!BD247</f>
        <v>278.98992730000009</v>
      </c>
      <c r="N10" s="167">
        <f t="shared" si="1"/>
        <v>8.2607345881627481</v>
      </c>
      <c r="O10" s="165">
        <f>(((I10-C10)/C10)*100)</f>
        <v>-30.103487641849753</v>
      </c>
      <c r="P10" s="165">
        <f>(((J10-D10)/D10)*100)</f>
        <v>6.621038183908583</v>
      </c>
      <c r="Q10" s="165">
        <f t="shared" si="2"/>
        <v>4.9306739605924212</v>
      </c>
      <c r="R10" s="165">
        <f t="shared" si="3"/>
        <v>6.0401536931952426</v>
      </c>
      <c r="S10" s="166">
        <f t="shared" si="6"/>
        <v>19.505070813208896</v>
      </c>
      <c r="U10" s="215"/>
      <c r="V10" s="215"/>
      <c r="W10" s="215"/>
      <c r="X10" s="215"/>
      <c r="Y10" s="215"/>
      <c r="Z10" s="173"/>
    </row>
    <row r="11" spans="1:26">
      <c r="A11" s="96" t="s">
        <v>883</v>
      </c>
      <c r="B11" s="164">
        <f>élec!BF201</f>
        <v>97.857541999999995</v>
      </c>
      <c r="C11" s="165">
        <f>élec!BG201</f>
        <v>9.6996219999999997</v>
      </c>
      <c r="D11" s="165">
        <f>élec!BD201</f>
        <v>107.557164</v>
      </c>
      <c r="E11" s="165">
        <f>élec!BE201</f>
        <v>33.636603710000003</v>
      </c>
      <c r="F11" s="165">
        <f t="shared" si="0"/>
        <v>141.19376771</v>
      </c>
      <c r="G11" s="166">
        <f>élec!BD233</f>
        <v>158.15943100000001</v>
      </c>
      <c r="H11" s="167">
        <f>élec!BF216</f>
        <v>103.63957929999999</v>
      </c>
      <c r="I11" s="165">
        <f>élec!BG216</f>
        <v>10.133416499999999</v>
      </c>
      <c r="J11" s="165">
        <f>élec!BD216</f>
        <v>113.77299579999999</v>
      </c>
      <c r="K11" s="165">
        <f>élec!BE216</f>
        <v>35.474420880000011</v>
      </c>
      <c r="L11" s="2069">
        <f t="shared" si="4"/>
        <v>149.24741668000001</v>
      </c>
      <c r="M11" s="166">
        <f>élec!BD248</f>
        <v>182.32920399999983</v>
      </c>
      <c r="N11" s="167">
        <f t="shared" si="1"/>
        <v>5.9086271551762453</v>
      </c>
      <c r="O11" s="165">
        <f>(((I11-C11)/C11)*100)</f>
        <v>4.4722825281232552</v>
      </c>
      <c r="P11" s="165">
        <f t="shared" si="2"/>
        <v>5.7790960349233362</v>
      </c>
      <c r="Q11" s="165">
        <f t="shared" si="2"/>
        <v>5.4637417791785969</v>
      </c>
      <c r="R11" s="165">
        <f t="shared" si="3"/>
        <v>5.7039691628185194</v>
      </c>
      <c r="S11" s="166">
        <f t="shared" si="6"/>
        <v>15.281904371545076</v>
      </c>
      <c r="U11" s="215"/>
      <c r="V11" s="215"/>
      <c r="W11" s="215"/>
      <c r="X11" s="215"/>
      <c r="Y11" s="215"/>
      <c r="Z11" s="173"/>
    </row>
    <row r="12" spans="1:26">
      <c r="A12" s="96" t="s">
        <v>884</v>
      </c>
      <c r="B12" s="164">
        <f>élec!BF202</f>
        <v>136.10755599999999</v>
      </c>
      <c r="C12" s="165">
        <f>élec!BG202</f>
        <v>13.767982999999999</v>
      </c>
      <c r="D12" s="165">
        <f>élec!BD202</f>
        <v>149.87553899999997</v>
      </c>
      <c r="E12" s="165">
        <f>élec!BE202</f>
        <v>32.225255449999999</v>
      </c>
      <c r="F12" s="165">
        <f t="shared" si="0"/>
        <v>182.10079444999997</v>
      </c>
      <c r="G12" s="166">
        <f>élec!BD234</f>
        <v>203.085733</v>
      </c>
      <c r="H12" s="167">
        <f>élec!BF217</f>
        <v>142.14089200000001</v>
      </c>
      <c r="I12" s="165">
        <f>élec!BG217</f>
        <v>15.669142000000001</v>
      </c>
      <c r="J12" s="165">
        <f>élec!BD217</f>
        <v>157.810034</v>
      </c>
      <c r="K12" s="165">
        <f>élec!BE217</f>
        <v>35.196384280000004</v>
      </c>
      <c r="L12" s="2069">
        <f t="shared" si="4"/>
        <v>193.00641827999999</v>
      </c>
      <c r="M12" s="166">
        <f>élec!BD249</f>
        <v>231.29498500000008</v>
      </c>
      <c r="N12" s="167">
        <f t="shared" si="1"/>
        <v>4.4327708007629054</v>
      </c>
      <c r="O12" s="165">
        <f t="shared" si="5"/>
        <v>13.808551332464617</v>
      </c>
      <c r="P12" s="165">
        <f t="shared" si="2"/>
        <v>5.2940560233781904</v>
      </c>
      <c r="Q12" s="165">
        <f t="shared" si="2"/>
        <v>9.2198767349104287</v>
      </c>
      <c r="R12" s="165">
        <f t="shared" si="3"/>
        <v>5.9887843229560538</v>
      </c>
      <c r="S12" s="166">
        <f t="shared" si="6"/>
        <v>13.890316952988558</v>
      </c>
      <c r="U12" s="215"/>
      <c r="V12" s="215"/>
      <c r="W12" s="215"/>
      <c r="X12" s="215"/>
      <c r="Y12" s="215"/>
      <c r="Z12" s="173"/>
    </row>
    <row r="13" spans="1:26">
      <c r="A13" s="96" t="s">
        <v>885</v>
      </c>
      <c r="B13" s="164">
        <f>élec!BF203</f>
        <v>20.238011</v>
      </c>
      <c r="C13" s="165">
        <f>élec!BG203</f>
        <v>3.164393</v>
      </c>
      <c r="D13" s="165">
        <f>élec!BD203</f>
        <v>23.402404000000001</v>
      </c>
      <c r="E13" s="165">
        <f>élec!BE203</f>
        <v>6.5938285399999996</v>
      </c>
      <c r="F13" s="165">
        <f t="shared" si="0"/>
        <v>29.996232540000001</v>
      </c>
      <c r="G13" s="166">
        <f>élec!BD235</f>
        <v>31.598647</v>
      </c>
      <c r="H13" s="167">
        <f>élec!BF218</f>
        <v>21.202586</v>
      </c>
      <c r="I13" s="165">
        <f>élec!BG218</f>
        <v>3.8654790000000001</v>
      </c>
      <c r="J13" s="165">
        <f>élec!BD218</f>
        <v>25.068065000000001</v>
      </c>
      <c r="K13" s="165">
        <f>élec!BE218</f>
        <v>5.1736015199999992</v>
      </c>
      <c r="L13" s="2069">
        <f t="shared" si="4"/>
        <v>30.241666519999999</v>
      </c>
      <c r="M13" s="2130">
        <f>élec!BD250</f>
        <v>32.764583999999999</v>
      </c>
      <c r="N13" s="167">
        <f t="shared" si="1"/>
        <v>4.7661551325374809</v>
      </c>
      <c r="O13" s="165">
        <f t="shared" si="5"/>
        <v>22.155465518979472</v>
      </c>
      <c r="P13" s="165">
        <f t="shared" si="2"/>
        <v>7.1174781872836661</v>
      </c>
      <c r="Q13" s="165">
        <f t="shared" si="2"/>
        <v>-21.538731427189955</v>
      </c>
      <c r="R13" s="165">
        <f t="shared" si="3"/>
        <v>0.81821601987086678</v>
      </c>
      <c r="S13" s="166">
        <f t="shared" si="6"/>
        <v>3.6898320361628127</v>
      </c>
      <c r="U13" s="215"/>
      <c r="V13" s="215"/>
      <c r="W13" s="215"/>
      <c r="X13" s="215"/>
      <c r="Y13" s="215"/>
      <c r="Z13" s="173"/>
    </row>
    <row r="14" spans="1:26" ht="14.4" thickBot="1">
      <c r="A14" s="168"/>
      <c r="B14" s="169">
        <f t="shared" ref="B14:M14" si="8">SUM(B4:B13)</f>
        <v>996.44603099999983</v>
      </c>
      <c r="C14" s="170">
        <f t="shared" si="8"/>
        <v>79.972365000000011</v>
      </c>
      <c r="D14" s="170">
        <f t="shared" si="8"/>
        <v>1076.4183959999998</v>
      </c>
      <c r="E14" s="170">
        <f t="shared" si="8"/>
        <v>374.96495557000009</v>
      </c>
      <c r="F14" s="170">
        <f t="shared" si="8"/>
        <v>1451.3833515699998</v>
      </c>
      <c r="G14" s="171">
        <f t="shared" si="8"/>
        <v>1690.36210443</v>
      </c>
      <c r="H14" s="172">
        <f t="shared" si="8"/>
        <v>1044.0884873</v>
      </c>
      <c r="I14" s="170">
        <f t="shared" si="8"/>
        <v>85.160960499999987</v>
      </c>
      <c r="J14" s="2167">
        <f t="shared" si="8"/>
        <v>1129.2494478000001</v>
      </c>
      <c r="K14" s="2167">
        <f t="shared" si="8"/>
        <v>402.82690442000006</v>
      </c>
      <c r="L14" s="1942">
        <f t="shared" si="8"/>
        <v>1532.0763522200002</v>
      </c>
      <c r="M14" s="1789">
        <f t="shared" si="8"/>
        <v>1955.6169575999998</v>
      </c>
      <c r="N14" s="172">
        <f t="shared" si="1"/>
        <v>4.7812380016394656</v>
      </c>
      <c r="O14" s="170">
        <f t="shared" si="5"/>
        <v>6.4879855685147936</v>
      </c>
      <c r="P14" s="170">
        <f t="shared" si="2"/>
        <v>4.9080405905660784</v>
      </c>
      <c r="Q14" s="170">
        <f t="shared" si="2"/>
        <v>7.4305474247975649</v>
      </c>
      <c r="R14" s="170">
        <f t="shared" si="3"/>
        <v>5.5597303471004142</v>
      </c>
      <c r="S14" s="171">
        <f t="shared" si="6"/>
        <v>15.692191186423052</v>
      </c>
      <c r="X14" s="173"/>
      <c r="Y14" s="173"/>
      <c r="Z14" s="173"/>
    </row>
    <row r="15" spans="1:26" s="177" customFormat="1" ht="21.75" customHeight="1">
      <c r="A15" s="174"/>
      <c r="B15" s="175"/>
      <c r="C15" s="175"/>
      <c r="D15" s="175"/>
      <c r="E15" s="175"/>
      <c r="F15" s="1115">
        <f>SUM(F4:F13)</f>
        <v>1451.3833515699998</v>
      </c>
      <c r="G15" s="1115">
        <f>G14-F14</f>
        <v>238.97875286000021</v>
      </c>
      <c r="H15" s="175"/>
      <c r="I15" s="175"/>
      <c r="J15" s="175"/>
      <c r="K15" s="175"/>
      <c r="L15" s="1115">
        <f>SUM(L4:L13)</f>
        <v>1532.0763522200002</v>
      </c>
      <c r="M15" s="1115">
        <f>M14-L14</f>
        <v>423.54060537999953</v>
      </c>
      <c r="N15" s="176"/>
      <c r="O15" s="176">
        <f>((I4-C4)/C4)*100</f>
        <v>13.533848242788093</v>
      </c>
      <c r="P15" s="176"/>
      <c r="Q15" s="176"/>
      <c r="R15" s="176">
        <f>(((L15-F15)/F15)*100)</f>
        <v>5.5597303471004142</v>
      </c>
      <c r="S15" s="176">
        <f>(((M15-G15)/G15)*100)</f>
        <v>77.229398141566293</v>
      </c>
      <c r="T15" s="1071"/>
      <c r="U15" s="87"/>
      <c r="V15" s="87"/>
    </row>
    <row r="16" spans="1:26" s="177" customFormat="1" ht="22.5" customHeight="1" thickBot="1">
      <c r="A16" s="124"/>
      <c r="B16" s="124"/>
      <c r="C16" s="124"/>
      <c r="D16" s="3032" t="s">
        <v>217</v>
      </c>
      <c r="E16" s="3032"/>
      <c r="F16" s="3032"/>
      <c r="G16" s="3032"/>
      <c r="H16" s="3032"/>
      <c r="I16" s="3032"/>
      <c r="J16" s="3032"/>
      <c r="K16" s="3032"/>
      <c r="L16" s="3032"/>
      <c r="M16" s="3032"/>
      <c r="N16" s="3032"/>
      <c r="O16" s="3032"/>
      <c r="P16" s="3032"/>
      <c r="Q16" s="3032"/>
      <c r="R16" s="3032"/>
      <c r="S16" s="3032"/>
      <c r="T16" s="1072"/>
      <c r="U16" s="87"/>
      <c r="V16" s="87"/>
    </row>
    <row r="17" spans="1:25" s="177" customFormat="1" ht="13.5" customHeight="1" thickBot="1">
      <c r="A17" s="124"/>
      <c r="B17" s="3033">
        <f>B2</f>
        <v>45139</v>
      </c>
      <c r="C17" s="3034"/>
      <c r="D17" s="3034"/>
      <c r="E17" s="3034"/>
      <c r="F17" s="3034"/>
      <c r="G17" s="3035"/>
      <c r="H17" s="3033">
        <f>H2</f>
        <v>45505</v>
      </c>
      <c r="I17" s="3034"/>
      <c r="J17" s="3034"/>
      <c r="K17" s="3034"/>
      <c r="L17" s="3034"/>
      <c r="M17" s="3035"/>
      <c r="N17" s="2920" t="s">
        <v>53</v>
      </c>
      <c r="O17" s="2912"/>
      <c r="P17" s="2912"/>
      <c r="Q17" s="2912"/>
      <c r="R17" s="2912"/>
      <c r="S17" s="2913"/>
      <c r="T17" s="1071"/>
      <c r="U17" s="87"/>
      <c r="V17" s="87"/>
    </row>
    <row r="18" spans="1:25" s="177" customFormat="1" ht="27.6">
      <c r="A18" s="124"/>
      <c r="B18" s="178" t="s">
        <v>17</v>
      </c>
      <c r="C18" s="162" t="s">
        <v>18</v>
      </c>
      <c r="D18" s="162" t="s">
        <v>52</v>
      </c>
      <c r="E18" s="162" t="s">
        <v>19</v>
      </c>
      <c r="F18" s="162" t="s">
        <v>315</v>
      </c>
      <c r="G18" s="95" t="str">
        <f>G3</f>
        <v>Liv aux Rx MT</v>
      </c>
      <c r="H18" s="163" t="s">
        <v>17</v>
      </c>
      <c r="I18" s="162" t="s">
        <v>18</v>
      </c>
      <c r="J18" s="162" t="s">
        <v>52</v>
      </c>
      <c r="K18" s="162" t="s">
        <v>19</v>
      </c>
      <c r="L18" s="162" t="s">
        <v>315</v>
      </c>
      <c r="M18" s="95" t="str">
        <f>M3</f>
        <v>Liv aux Rx MT</v>
      </c>
      <c r="N18" s="163" t="s">
        <v>17</v>
      </c>
      <c r="O18" s="162" t="s">
        <v>18</v>
      </c>
      <c r="P18" s="162" t="s">
        <v>52</v>
      </c>
      <c r="Q18" s="162" t="s">
        <v>19</v>
      </c>
      <c r="R18" s="162" t="s">
        <v>315</v>
      </c>
      <c r="S18" s="100" t="s">
        <v>340</v>
      </c>
      <c r="T18" s="1071"/>
    </row>
    <row r="19" spans="1:25" s="177" customFormat="1">
      <c r="A19" s="96" t="s">
        <v>68</v>
      </c>
      <c r="B19" s="179">
        <f>élec!AX194</f>
        <v>832.80991800000015</v>
      </c>
      <c r="C19" s="180">
        <f>élec!AY194</f>
        <v>94.05407000000001</v>
      </c>
      <c r="D19" s="180">
        <f>+élec!AZ194</f>
        <v>926.86398800000006</v>
      </c>
      <c r="E19" s="180">
        <f>+élec!BA194</f>
        <v>596.95128384999998</v>
      </c>
      <c r="F19" s="180">
        <f t="shared" ref="F19:F28" si="9">E19+D19</f>
        <v>1523.81527185</v>
      </c>
      <c r="G19" s="181">
        <f>+élec!AX226</f>
        <v>1829.8415790600002</v>
      </c>
      <c r="H19" s="182">
        <f>élec!AX209</f>
        <v>872.79693100000009</v>
      </c>
      <c r="I19" s="180">
        <f>élec!AY209</f>
        <v>107.727479</v>
      </c>
      <c r="J19" s="180">
        <f>+élec!AZ209</f>
        <v>980.5244100000001</v>
      </c>
      <c r="K19" s="180">
        <f>+élec!BA209</f>
        <v>641.34551910999994</v>
      </c>
      <c r="L19" s="2070">
        <f t="shared" ref="L19:L28" si="10">K19+J19</f>
        <v>1621.8699291100002</v>
      </c>
      <c r="M19" s="181">
        <f>+élec!AX241</f>
        <v>1955.9128814300002</v>
      </c>
      <c r="N19" s="167">
        <f t="shared" ref="N19:N29" si="11">(((H19-B19)/B19)*100)</f>
        <v>4.8014573476777356</v>
      </c>
      <c r="O19" s="165">
        <f t="shared" ref="O19:O29" si="12">(((I19-C19)/C19)*100)</f>
        <v>14.537817449048182</v>
      </c>
      <c r="P19" s="165">
        <f>(((J19-D19)/D19)*100)</f>
        <v>5.78946023308007</v>
      </c>
      <c r="Q19" s="165">
        <f t="shared" ref="Q19:Q29" si="13">(((K19-E19)/E19)*100)</f>
        <v>7.436827168488878</v>
      </c>
      <c r="R19" s="165">
        <f t="shared" ref="R19:R29" si="14">(((L19-F19)/F19)*100)</f>
        <v>6.4348126095990681</v>
      </c>
      <c r="S19" s="165">
        <f t="shared" ref="S19:S29" si="15">(((M19-G19)/G19)*100)</f>
        <v>6.8897386425530645</v>
      </c>
      <c r="T19" s="1071"/>
    </row>
    <row r="20" spans="1:25" s="177" customFormat="1">
      <c r="A20" s="96" t="s">
        <v>7</v>
      </c>
      <c r="B20" s="179">
        <f>élec!AX195</f>
        <v>360.03166199999998</v>
      </c>
      <c r="C20" s="180">
        <f>élec!AY195</f>
        <v>55.626343999999996</v>
      </c>
      <c r="D20" s="180">
        <f>+élec!AZ195</f>
        <v>415.658006</v>
      </c>
      <c r="E20" s="180">
        <f>+élec!BA195</f>
        <v>224.30930996399997</v>
      </c>
      <c r="F20" s="180">
        <f t="shared" si="9"/>
        <v>639.96731596399991</v>
      </c>
      <c r="G20" s="181">
        <f>+élec!AX227</f>
        <v>757.98682699999995</v>
      </c>
      <c r="H20" s="182">
        <f>élec!AX210</f>
        <v>375.73144800124123</v>
      </c>
      <c r="I20" s="180">
        <f>élec!AY210</f>
        <v>62.087600999999999</v>
      </c>
      <c r="J20" s="180">
        <f>+élec!AZ210</f>
        <v>437.81904900124118</v>
      </c>
      <c r="K20" s="180">
        <f>+élec!BA210</f>
        <v>239.41776834699999</v>
      </c>
      <c r="L20" s="2070">
        <f t="shared" si="10"/>
        <v>677.23681734824117</v>
      </c>
      <c r="M20" s="181">
        <f>+élec!AX242</f>
        <v>800.05573700000002</v>
      </c>
      <c r="N20" s="167">
        <f t="shared" si="11"/>
        <v>4.3606681462479955</v>
      </c>
      <c r="O20" s="165">
        <f t="shared" si="12"/>
        <v>11.615462270898126</v>
      </c>
      <c r="P20" s="165">
        <f t="shared" ref="P20:P29" si="16">(((J20-D20)/D20)*100)</f>
        <v>5.331556876409878</v>
      </c>
      <c r="Q20" s="165">
        <f t="shared" si="13"/>
        <v>6.7355467258246327</v>
      </c>
      <c r="R20" s="165">
        <f t="shared" si="14"/>
        <v>5.8236569984986213</v>
      </c>
      <c r="S20" s="166">
        <f t="shared" si="15"/>
        <v>5.5500845795041869</v>
      </c>
      <c r="T20" s="1071"/>
    </row>
    <row r="21" spans="1:25" s="177" customFormat="1">
      <c r="A21" s="96" t="s">
        <v>8</v>
      </c>
      <c r="B21" s="179">
        <f>élec!AX196</f>
        <v>356.67922599999997</v>
      </c>
      <c r="C21" s="180">
        <f>élec!AY196</f>
        <v>69.009789999999995</v>
      </c>
      <c r="D21" s="2034">
        <f>+élec!AZ196</f>
        <v>425.68901599999992</v>
      </c>
      <c r="E21" s="2034">
        <f>+élec!BA196</f>
        <v>147.59696535</v>
      </c>
      <c r="F21" s="2034">
        <f t="shared" si="9"/>
        <v>573.28598134999993</v>
      </c>
      <c r="G21" s="2033">
        <f>+élec!AX228</f>
        <v>658.71934099999999</v>
      </c>
      <c r="H21" s="182">
        <f>élec!AX211</f>
        <v>376.57461999999992</v>
      </c>
      <c r="I21" s="180">
        <f>élec!AY211</f>
        <v>79.568139000000002</v>
      </c>
      <c r="J21" s="180">
        <f>+élec!AZ211</f>
        <v>456.1427589999999</v>
      </c>
      <c r="K21" s="180">
        <f>+élec!BA211</f>
        <v>140.19971149</v>
      </c>
      <c r="L21" s="2070">
        <f t="shared" si="10"/>
        <v>596.34247048999987</v>
      </c>
      <c r="M21" s="2033">
        <f>+élec!AX243</f>
        <v>677.30711699999995</v>
      </c>
      <c r="N21" s="167">
        <f t="shared" si="11"/>
        <v>5.577951433594273</v>
      </c>
      <c r="O21" s="165">
        <f t="shared" si="12"/>
        <v>15.299784276984479</v>
      </c>
      <c r="P21" s="165">
        <f t="shared" si="16"/>
        <v>7.1539884411769696</v>
      </c>
      <c r="Q21" s="165">
        <f t="shared" si="13"/>
        <v>-5.0117926492992124</v>
      </c>
      <c r="R21" s="165">
        <f t="shared" si="14"/>
        <v>4.0218128281639594</v>
      </c>
      <c r="S21" s="166">
        <f t="shared" si="15"/>
        <v>2.8218051062204901</v>
      </c>
      <c r="T21" s="1071"/>
    </row>
    <row r="22" spans="1:25" s="177" customFormat="1">
      <c r="A22" s="96" t="s">
        <v>4</v>
      </c>
      <c r="B22" s="179">
        <f>élec!AX197</f>
        <v>667.81402400000002</v>
      </c>
      <c r="C22" s="180">
        <f>élec!AY197</f>
        <v>74.394495000000006</v>
      </c>
      <c r="D22" s="180">
        <f>+élec!AZ197</f>
        <v>742.20851899999991</v>
      </c>
      <c r="E22" s="180">
        <f>+élec!BA197</f>
        <v>308.18043899000003</v>
      </c>
      <c r="F22" s="180">
        <f t="shared" si="9"/>
        <v>1050.3889579899999</v>
      </c>
      <c r="G22" s="181">
        <f>+élec!AX229</f>
        <v>1249.610809</v>
      </c>
      <c r="H22" s="182">
        <f>élec!AX212</f>
        <v>672.27186200000006</v>
      </c>
      <c r="I22" s="180">
        <f>élec!AY212</f>
        <v>77.246469000000005</v>
      </c>
      <c r="J22" s="180">
        <f>+élec!AZ212</f>
        <v>749.51833099999999</v>
      </c>
      <c r="K22" s="180">
        <f>+élec!BA212</f>
        <v>328.09549126000002</v>
      </c>
      <c r="L22" s="2070">
        <f t="shared" si="10"/>
        <v>1077.61382226</v>
      </c>
      <c r="M22" s="181">
        <f>+élec!AX244</f>
        <v>1269.7754998</v>
      </c>
      <c r="N22" s="167">
        <f t="shared" si="11"/>
        <v>0.66752686223912516</v>
      </c>
      <c r="O22" s="165">
        <f t="shared" si="12"/>
        <v>3.83358204125184</v>
      </c>
      <c r="P22" s="165">
        <f t="shared" si="16"/>
        <v>0.98487309332541895</v>
      </c>
      <c r="Q22" s="165">
        <f t="shared" si="13"/>
        <v>6.4621402757642903</v>
      </c>
      <c r="R22" s="165">
        <f t="shared" si="14"/>
        <v>2.591884088547256</v>
      </c>
      <c r="S22" s="166">
        <f t="shared" si="15"/>
        <v>1.6136776870661669</v>
      </c>
      <c r="T22" s="1071"/>
    </row>
    <row r="23" spans="1:25" s="177" customFormat="1">
      <c r="A23" s="96" t="s">
        <v>3</v>
      </c>
      <c r="B23" s="179">
        <f>élec!AX198</f>
        <v>486.00913800000001</v>
      </c>
      <c r="C23" s="180">
        <f>élec!AY198</f>
        <v>85.516540999999989</v>
      </c>
      <c r="D23" s="180">
        <f>+élec!AZ198</f>
        <v>571.52567899999997</v>
      </c>
      <c r="E23" s="180">
        <f>+élec!BA198</f>
        <v>227.79940060000001</v>
      </c>
      <c r="F23" s="180">
        <f t="shared" si="9"/>
        <v>799.32507959999998</v>
      </c>
      <c r="G23" s="181">
        <f>+élec!AX230</f>
        <v>967.63730399999986</v>
      </c>
      <c r="H23" s="182">
        <f>élec!AX213</f>
        <v>563.41090799999995</v>
      </c>
      <c r="I23" s="180">
        <f>élec!AY213</f>
        <v>89.30896700000001</v>
      </c>
      <c r="J23" s="180">
        <f>+élec!AZ213</f>
        <v>652.71987499999989</v>
      </c>
      <c r="K23" s="180">
        <f>+élec!BA213</f>
        <v>260.80452672000001</v>
      </c>
      <c r="L23" s="2070">
        <f t="shared" si="10"/>
        <v>913.5244017199999</v>
      </c>
      <c r="M23" s="181">
        <f>+élec!AX245</f>
        <v>1096.83943316</v>
      </c>
      <c r="N23" s="167">
        <f t="shared" si="11"/>
        <v>15.925990675508645</v>
      </c>
      <c r="O23" s="165">
        <f t="shared" si="12"/>
        <v>4.4347280136132028</v>
      </c>
      <c r="P23" s="165">
        <f t="shared" si="16"/>
        <v>14.206570060345431</v>
      </c>
      <c r="Q23" s="165">
        <f t="shared" si="13"/>
        <v>14.488679967141231</v>
      </c>
      <c r="R23" s="165">
        <f t="shared" si="14"/>
        <v>14.286968473095801</v>
      </c>
      <c r="S23" s="166">
        <f t="shared" si="15"/>
        <v>13.352330323139357</v>
      </c>
      <c r="T23" s="1071"/>
    </row>
    <row r="24" spans="1:25" s="177" customFormat="1">
      <c r="A24" s="96" t="s">
        <v>397</v>
      </c>
      <c r="B24" s="179">
        <f>élec!AX199</f>
        <v>401.22767384446161</v>
      </c>
      <c r="C24" s="180">
        <f>élec!AY199</f>
        <v>57.721002155538365</v>
      </c>
      <c r="D24" s="180">
        <f>+élec!AZ199</f>
        <v>458.94867600000009</v>
      </c>
      <c r="E24" s="180">
        <f>+élec!BA199</f>
        <v>190.18858255000001</v>
      </c>
      <c r="F24" s="180">
        <f t="shared" si="9"/>
        <v>649.13725855000007</v>
      </c>
      <c r="G24" s="181">
        <f>+élec!AX231</f>
        <v>809.03115288999993</v>
      </c>
      <c r="H24" s="182">
        <f>élec!AX214</f>
        <v>404.399002</v>
      </c>
      <c r="I24" s="180">
        <f>élec!AY214</f>
        <v>78.254519000000002</v>
      </c>
      <c r="J24" s="180">
        <f>+élec!AZ214</f>
        <v>482.65352100000007</v>
      </c>
      <c r="K24" s="180">
        <f>+élec!BA214</f>
        <v>197.33596256999999</v>
      </c>
      <c r="L24" s="2070">
        <f t="shared" si="10"/>
        <v>679.98948357000006</v>
      </c>
      <c r="M24" s="181">
        <f>+élec!AX246</f>
        <v>836.17435503999991</v>
      </c>
      <c r="N24" s="167">
        <f t="shared" si="11"/>
        <v>0.79040613653378633</v>
      </c>
      <c r="O24" s="165">
        <f t="shared" si="12"/>
        <v>35.573735863301245</v>
      </c>
      <c r="P24" s="165">
        <f t="shared" si="16"/>
        <v>5.1650317866915412</v>
      </c>
      <c r="Q24" s="165">
        <f t="shared" si="13"/>
        <v>3.7580489449838348</v>
      </c>
      <c r="R24" s="165">
        <f t="shared" si="14"/>
        <v>4.752804528416017</v>
      </c>
      <c r="S24" s="166">
        <f t="shared" si="15"/>
        <v>3.3550255825180209</v>
      </c>
      <c r="T24" s="1071"/>
      <c r="U24" s="177">
        <f>H24/B24</f>
        <v>1.0079040613653378</v>
      </c>
      <c r="V24" s="177">
        <f>I24/C24</f>
        <v>1.3557373586330124</v>
      </c>
      <c r="W24" s="177">
        <f>J24/D24</f>
        <v>1.0516503178669154</v>
      </c>
      <c r="X24" s="177">
        <f>K24/E24</f>
        <v>1.0375804894498384</v>
      </c>
      <c r="Y24" s="177">
        <f>L24/F24</f>
        <v>1.0475280452841602</v>
      </c>
    </row>
    <row r="25" spans="1:25" s="177" customFormat="1">
      <c r="A25" s="96" t="s">
        <v>399</v>
      </c>
      <c r="B25" s="179">
        <f>élec!AX200</f>
        <v>591.65383700000007</v>
      </c>
      <c r="C25" s="180">
        <f>élec!AY200</f>
        <v>60.510641</v>
      </c>
      <c r="D25" s="180">
        <f>+élec!AZ200</f>
        <v>652.16447799999992</v>
      </c>
      <c r="E25" s="180">
        <f>+élec!BA200</f>
        <v>450.98804264</v>
      </c>
      <c r="F25" s="180">
        <f t="shared" si="9"/>
        <v>1103.1525206399999</v>
      </c>
      <c r="G25" s="181">
        <f>+élec!AX232</f>
        <v>1378.4631664399999</v>
      </c>
      <c r="H25" s="182">
        <f>élec!AX215</f>
        <v>628.03891199999998</v>
      </c>
      <c r="I25" s="180">
        <f>élec!AY215</f>
        <v>74.631151000000003</v>
      </c>
      <c r="J25" s="180">
        <f>+élec!AZ215</f>
        <v>702.67006300000003</v>
      </c>
      <c r="K25" s="180">
        <f>+élec!BA215</f>
        <v>467.06204053000005</v>
      </c>
      <c r="L25" s="2070">
        <f t="shared" si="10"/>
        <v>1169.7321035300001</v>
      </c>
      <c r="M25" s="181">
        <f>+élec!AX247</f>
        <v>1452.1211226</v>
      </c>
      <c r="N25" s="167">
        <f t="shared" si="11"/>
        <v>6.1497234911027734</v>
      </c>
      <c r="O25" s="165">
        <f t="shared" si="12"/>
        <v>23.33558158803838</v>
      </c>
      <c r="P25" s="165">
        <f t="shared" si="16"/>
        <v>7.744301737329538</v>
      </c>
      <c r="Q25" s="165">
        <f t="shared" si="13"/>
        <v>3.5641738516848145</v>
      </c>
      <c r="R25" s="165">
        <f t="shared" si="14"/>
        <v>6.0353923545742987</v>
      </c>
      <c r="S25" s="166">
        <f t="shared" si="15"/>
        <v>5.3434838125002759</v>
      </c>
      <c r="T25" s="1071"/>
    </row>
    <row r="26" spans="1:25" s="177" customFormat="1">
      <c r="A26" s="96" t="s">
        <v>883</v>
      </c>
      <c r="B26" s="179">
        <f>élec!AX201</f>
        <v>401.26494700000001</v>
      </c>
      <c r="C26" s="180">
        <f>élec!AY201</f>
        <v>64.247787000000002</v>
      </c>
      <c r="D26" s="180">
        <f>+élec!AZ201</f>
        <v>465.51273400000002</v>
      </c>
      <c r="E26" s="180">
        <f>+élec!BA201</f>
        <v>219.51324613</v>
      </c>
      <c r="F26" s="180">
        <f t="shared" si="9"/>
        <v>685.02598012999999</v>
      </c>
      <c r="G26" s="181">
        <f>+élec!AX233</f>
        <v>828.07340900000008</v>
      </c>
      <c r="H26" s="182">
        <f>élec!AX216</f>
        <v>427.86669330000001</v>
      </c>
      <c r="I26" s="180">
        <f>élec!AY216</f>
        <v>69.368206499999999</v>
      </c>
      <c r="J26" s="180">
        <f>+élec!AZ216</f>
        <v>497.23489979999999</v>
      </c>
      <c r="K26" s="180">
        <f>+élec!BA216</f>
        <v>237.97074068000001</v>
      </c>
      <c r="L26" s="2070">
        <f t="shared" si="10"/>
        <v>735.20564048000006</v>
      </c>
      <c r="M26" s="181">
        <f>+élec!AX248</f>
        <v>881.64851299999987</v>
      </c>
      <c r="N26" s="167">
        <f t="shared" si="11"/>
        <v>6.6294717489987987</v>
      </c>
      <c r="O26" s="165">
        <f t="shared" si="12"/>
        <v>7.9697990220270105</v>
      </c>
      <c r="P26" s="165">
        <f t="shared" si="16"/>
        <v>6.8144571529594229</v>
      </c>
      <c r="Q26" s="165">
        <f t="shared" si="13"/>
        <v>8.408373925220495</v>
      </c>
      <c r="R26" s="165">
        <f t="shared" si="14"/>
        <v>7.325220036249906</v>
      </c>
      <c r="S26" s="166">
        <f t="shared" si="15"/>
        <v>6.469849583106198</v>
      </c>
      <c r="T26" s="1071"/>
    </row>
    <row r="27" spans="1:25" s="177" customFormat="1">
      <c r="A27" s="96" t="s">
        <v>884</v>
      </c>
      <c r="B27" s="179">
        <f>élec!AX202</f>
        <v>553.96468500000003</v>
      </c>
      <c r="C27" s="180">
        <f>élec!AY202</f>
        <v>84.88535499999999</v>
      </c>
      <c r="D27" s="180">
        <f>+élec!AZ202</f>
        <v>638.85004000000004</v>
      </c>
      <c r="E27" s="180">
        <f>+élec!BA202</f>
        <v>216.99726517999997</v>
      </c>
      <c r="F27" s="180">
        <f t="shared" si="9"/>
        <v>855.84730518000003</v>
      </c>
      <c r="G27" s="181">
        <f>+élec!AX234</f>
        <v>1025.3679259999999</v>
      </c>
      <c r="H27" s="182">
        <f>élec!AX217</f>
        <v>586.12705600000004</v>
      </c>
      <c r="I27" s="180">
        <f>élec!AY217</f>
        <v>96.741081999999977</v>
      </c>
      <c r="J27" s="180">
        <f>+élec!AZ217</f>
        <v>682.86813800000004</v>
      </c>
      <c r="K27" s="180">
        <f>+élec!BA217</f>
        <v>223.73247636000002</v>
      </c>
      <c r="L27" s="2070">
        <f t="shared" si="10"/>
        <v>906.60061436000001</v>
      </c>
      <c r="M27" s="181">
        <f>+élec!AX249</f>
        <v>1076.1029840000001</v>
      </c>
      <c r="N27" s="167">
        <f t="shared" si="11"/>
        <v>5.8058522268436672</v>
      </c>
      <c r="O27" s="165">
        <f t="shared" si="12"/>
        <v>13.966751979773177</v>
      </c>
      <c r="P27" s="165">
        <f t="shared" si="16"/>
        <v>6.8902082247658631</v>
      </c>
      <c r="Q27" s="165">
        <f t="shared" si="13"/>
        <v>3.1038230709558343</v>
      </c>
      <c r="R27" s="165">
        <f t="shared" si="14"/>
        <v>5.9301827408717074</v>
      </c>
      <c r="S27" s="166">
        <f t="shared" si="15"/>
        <v>4.9479856657814176</v>
      </c>
      <c r="T27" s="1071"/>
    </row>
    <row r="28" spans="1:25">
      <c r="A28" s="96" t="s">
        <v>885</v>
      </c>
      <c r="B28" s="179">
        <f>élec!AX203</f>
        <v>102.96811000000001</v>
      </c>
      <c r="C28" s="180">
        <f>élec!AY203</f>
        <v>26.265007000000001</v>
      </c>
      <c r="D28" s="180">
        <f>+élec!AZ203</f>
        <v>129.23311699999999</v>
      </c>
      <c r="E28" s="180">
        <f>+élec!BA203</f>
        <v>50.037580909999996</v>
      </c>
      <c r="F28" s="180">
        <f t="shared" si="9"/>
        <v>179.27069791</v>
      </c>
      <c r="G28" s="185">
        <f>+élec!AX235</f>
        <v>201.50454199999999</v>
      </c>
      <c r="H28" s="182">
        <f>élec!AX218</f>
        <v>107.21534</v>
      </c>
      <c r="I28" s="180">
        <f>élec!AY218</f>
        <v>29.297593000000003</v>
      </c>
      <c r="J28" s="180">
        <f>+élec!AZ218</f>
        <v>136.512933</v>
      </c>
      <c r="K28" s="180">
        <f>+élec!BA218</f>
        <v>46.288626170000001</v>
      </c>
      <c r="L28" s="2070">
        <f t="shared" si="10"/>
        <v>182.80155917000002</v>
      </c>
      <c r="M28" s="2131">
        <f>+élec!AX250</f>
        <v>203.04239200000001</v>
      </c>
      <c r="N28" s="167">
        <f t="shared" si="11"/>
        <v>4.1248013584011467</v>
      </c>
      <c r="O28" s="165">
        <f t="shared" si="12"/>
        <v>11.546107716628448</v>
      </c>
      <c r="P28" s="165">
        <f t="shared" si="16"/>
        <v>5.633088614584767</v>
      </c>
      <c r="Q28" s="165">
        <f t="shared" si="13"/>
        <v>-7.4922781473849538</v>
      </c>
      <c r="R28" s="165">
        <f t="shared" si="14"/>
        <v>1.969569651462302</v>
      </c>
      <c r="S28" s="166">
        <f>(((M28-G28)/G28)*100)</f>
        <v>0.76318378967359468</v>
      </c>
      <c r="U28" s="177"/>
      <c r="V28" s="177"/>
    </row>
    <row r="29" spans="1:25" s="177" customFormat="1" ht="14.4" thickBot="1">
      <c r="A29" s="168" t="s">
        <v>16</v>
      </c>
      <c r="B29" s="186">
        <f t="shared" ref="B29:M29" si="17">SUM(B19:B28)</f>
        <v>4754.423220844461</v>
      </c>
      <c r="C29" s="187">
        <f t="shared" si="17"/>
        <v>672.23103215553829</v>
      </c>
      <c r="D29" s="187">
        <f t="shared" si="17"/>
        <v>5426.6542529999997</v>
      </c>
      <c r="E29" s="187">
        <f t="shared" si="17"/>
        <v>2632.5621161639997</v>
      </c>
      <c r="F29" s="187">
        <f t="shared" si="17"/>
        <v>8059.2163691640008</v>
      </c>
      <c r="G29" s="2149">
        <f t="shared" si="17"/>
        <v>9706.236056390002</v>
      </c>
      <c r="H29" s="189">
        <f t="shared" si="17"/>
        <v>5014.4327723012411</v>
      </c>
      <c r="I29" s="187">
        <f t="shared" si="17"/>
        <v>764.2312065000001</v>
      </c>
      <c r="J29" s="2149">
        <f t="shared" si="17"/>
        <v>5778.6639788012399</v>
      </c>
      <c r="K29" s="2149">
        <f t="shared" si="17"/>
        <v>2782.2528632369999</v>
      </c>
      <c r="L29" s="2068">
        <f t="shared" si="17"/>
        <v>8560.916842038243</v>
      </c>
      <c r="M29" s="2150">
        <f t="shared" si="17"/>
        <v>10248.980035029999</v>
      </c>
      <c r="N29" s="172">
        <f t="shared" si="11"/>
        <v>5.468792730037995</v>
      </c>
      <c r="O29" s="170">
        <f t="shared" si="12"/>
        <v>13.685796987005972</v>
      </c>
      <c r="P29" s="170">
        <f t="shared" si="16"/>
        <v>6.486680547349037</v>
      </c>
      <c r="Q29" s="170">
        <f t="shared" si="13"/>
        <v>5.686124029282924</v>
      </c>
      <c r="R29" s="170">
        <f t="shared" si="14"/>
        <v>6.2251768645130028</v>
      </c>
      <c r="S29" s="171">
        <f t="shared" si="15"/>
        <v>5.5917038848719045</v>
      </c>
      <c r="T29" s="1071"/>
    </row>
    <row r="30" spans="1:25">
      <c r="A30" s="174"/>
      <c r="B30" s="174"/>
      <c r="C30" s="191"/>
      <c r="D30" s="192"/>
      <c r="E30" s="192"/>
      <c r="F30" s="1115">
        <f>SUM(F19:F28)</f>
        <v>8059.2163691640008</v>
      </c>
      <c r="G30" s="1115">
        <f>G29-F29</f>
        <v>1647.0196872260012</v>
      </c>
      <c r="H30" s="192">
        <f>H19+H21+H22+H23+H24+H25+H26+H27+H28+H31</f>
        <v>5017.9282791326141</v>
      </c>
      <c r="I30" s="192">
        <f>I19+I21+I22+I23+I24+I25+I26+I27+I28+I31</f>
        <v>760.73569966862749</v>
      </c>
      <c r="J30" s="192"/>
      <c r="K30" s="192"/>
      <c r="L30" s="193">
        <f>SUM(L19:L28)</f>
        <v>8560.916842038243</v>
      </c>
      <c r="M30" s="192">
        <f>M29-L29</f>
        <v>1688.0631929917563</v>
      </c>
      <c r="N30" s="192"/>
      <c r="O30" s="192"/>
      <c r="P30" s="192"/>
      <c r="Q30" s="192"/>
      <c r="R30" s="192">
        <f>(((L30-F30)/F30)*100)</f>
        <v>6.2251768645130028</v>
      </c>
      <c r="S30" s="192">
        <f>(((M30-G30)/G30)*100)</f>
        <v>2.491986348680673</v>
      </c>
      <c r="U30" s="177"/>
      <c r="V30" s="177"/>
      <c r="W30" s="194"/>
      <c r="Y30" s="86"/>
    </row>
    <row r="31" spans="1:25">
      <c r="A31" s="174"/>
      <c r="B31" s="174">
        <f>B20/D20</f>
        <v>0.86617280745940928</v>
      </c>
      <c r="C31" s="191"/>
      <c r="D31" s="192"/>
      <c r="E31" s="192"/>
      <c r="F31" s="192"/>
      <c r="G31" s="192"/>
      <c r="H31" s="192">
        <f>J20*B31</f>
        <v>379.22695483261373</v>
      </c>
      <c r="I31" s="192">
        <f>J20-H31</f>
        <v>58.592094168627455</v>
      </c>
      <c r="J31" s="192"/>
      <c r="K31" s="192"/>
      <c r="L31" s="193"/>
      <c r="M31" s="192">
        <f>M29-G29</f>
        <v>542.74397863999729</v>
      </c>
      <c r="N31" s="193"/>
      <c r="O31" s="192"/>
      <c r="P31" s="192"/>
      <c r="Q31" s="192"/>
      <c r="R31" s="192"/>
      <c r="S31" s="192"/>
      <c r="U31" s="177"/>
      <c r="V31" s="177"/>
      <c r="W31" s="194"/>
      <c r="Y31" s="86"/>
    </row>
    <row r="32" spans="1:25">
      <c r="A32" s="174"/>
      <c r="B32" s="174"/>
      <c r="C32" s="174"/>
      <c r="D32" s="192"/>
      <c r="E32" s="192"/>
      <c r="F32" s="192"/>
      <c r="G32" s="192"/>
      <c r="H32" s="192"/>
      <c r="I32" s="192"/>
      <c r="J32" s="192"/>
      <c r="K32" s="192"/>
      <c r="L32" s="192"/>
      <c r="M32" s="195"/>
      <c r="N32" s="196"/>
      <c r="O32" s="192"/>
      <c r="P32" s="192"/>
      <c r="Q32" s="192"/>
      <c r="R32" s="192"/>
      <c r="S32" s="192"/>
      <c r="U32" s="177"/>
      <c r="V32" s="177"/>
      <c r="W32" s="194"/>
      <c r="Y32" s="86"/>
    </row>
    <row r="33" spans="1:27" ht="54.75" customHeight="1" thickBot="1">
      <c r="A33" s="124"/>
      <c r="B33" s="124"/>
      <c r="C33" s="124"/>
      <c r="D33" s="3032" t="s">
        <v>303</v>
      </c>
      <c r="E33" s="3032"/>
      <c r="F33" s="3032"/>
      <c r="G33" s="3032"/>
      <c r="H33" s="3032"/>
      <c r="I33" s="3032"/>
      <c r="J33" s="3032"/>
      <c r="K33" s="3032"/>
      <c r="L33" s="3032"/>
      <c r="M33" s="3032"/>
      <c r="N33" s="3032"/>
      <c r="O33" s="3032"/>
      <c r="P33" s="3032"/>
      <c r="Q33" s="3032"/>
      <c r="R33" s="3032"/>
      <c r="S33" s="3032"/>
      <c r="T33" s="1073"/>
      <c r="U33" s="177"/>
      <c r="V33" s="177"/>
      <c r="Z33" s="86"/>
    </row>
    <row r="34" spans="1:27" ht="24" customHeight="1" thickBot="1">
      <c r="A34" s="124"/>
      <c r="B34" s="3033" t="s">
        <v>1086</v>
      </c>
      <c r="C34" s="3034"/>
      <c r="D34" s="3034"/>
      <c r="E34" s="3034"/>
      <c r="F34" s="3034"/>
      <c r="G34" s="3035"/>
      <c r="H34" s="3033" t="s">
        <v>1083</v>
      </c>
      <c r="I34" s="3034"/>
      <c r="J34" s="3034"/>
      <c r="K34" s="3034"/>
      <c r="L34" s="3034"/>
      <c r="M34" s="3035"/>
      <c r="N34" s="2920" t="s">
        <v>302</v>
      </c>
      <c r="O34" s="2912"/>
      <c r="P34" s="2912"/>
      <c r="Q34" s="2912"/>
      <c r="R34" s="2912"/>
      <c r="S34" s="2913"/>
      <c r="T34" s="1073"/>
      <c r="U34" s="177"/>
      <c r="V34" s="177"/>
      <c r="Z34" s="86"/>
    </row>
    <row r="35" spans="1:27" ht="27.6">
      <c r="A35" s="124"/>
      <c r="B35" s="178" t="s">
        <v>17</v>
      </c>
      <c r="C35" s="162" t="s">
        <v>18</v>
      </c>
      <c r="D35" s="162" t="s">
        <v>52</v>
      </c>
      <c r="E35" s="162" t="s">
        <v>19</v>
      </c>
      <c r="F35" s="162" t="s">
        <v>315</v>
      </c>
      <c r="G35" s="95" t="str">
        <f>G18</f>
        <v>Liv aux Rx MT</v>
      </c>
      <c r="H35" s="163" t="s">
        <v>17</v>
      </c>
      <c r="I35" s="162" t="s">
        <v>18</v>
      </c>
      <c r="J35" s="162" t="s">
        <v>52</v>
      </c>
      <c r="K35" s="162" t="s">
        <v>19</v>
      </c>
      <c r="L35" s="162" t="s">
        <v>315</v>
      </c>
      <c r="M35" s="95" t="str">
        <f>G35</f>
        <v>Liv aux Rx MT</v>
      </c>
      <c r="N35" s="163" t="s">
        <v>17</v>
      </c>
      <c r="O35" s="162" t="s">
        <v>18</v>
      </c>
      <c r="P35" s="162" t="s">
        <v>52</v>
      </c>
      <c r="Q35" s="162" t="s">
        <v>19</v>
      </c>
      <c r="R35" s="162" t="s">
        <v>315</v>
      </c>
      <c r="S35" s="95" t="str">
        <f>M35</f>
        <v>Liv aux Rx MT</v>
      </c>
      <c r="T35" s="1073" t="s">
        <v>889</v>
      </c>
      <c r="U35" s="87" t="s">
        <v>890</v>
      </c>
      <c r="X35" s="162" t="s">
        <v>198</v>
      </c>
      <c r="Z35" s="86"/>
    </row>
    <row r="36" spans="1:27" ht="12.75" customHeight="1">
      <c r="A36" s="96" t="s">
        <v>68</v>
      </c>
      <c r="B36" s="179">
        <f>H19</f>
        <v>872.79693100000009</v>
      </c>
      <c r="C36" s="180">
        <f>I19</f>
        <v>107.727479</v>
      </c>
      <c r="D36" s="180">
        <f>J19</f>
        <v>980.5244100000001</v>
      </c>
      <c r="E36" s="180">
        <f>K19</f>
        <v>641.34551910999994</v>
      </c>
      <c r="F36" s="180">
        <f>L19</f>
        <v>1621.8699291100002</v>
      </c>
      <c r="G36" s="181">
        <f t="shared" ref="G36:G45" si="18">M19</f>
        <v>1955.9128814300002</v>
      </c>
      <c r="H36" s="182">
        <v>1826.7026848275787</v>
      </c>
      <c r="I36" s="180">
        <v>137.71340032932011</v>
      </c>
      <c r="J36" s="180">
        <f>H36+I36</f>
        <v>1964.4160851568988</v>
      </c>
      <c r="K36" s="180">
        <v>884.8</v>
      </c>
      <c r="L36" s="180">
        <f>J36+K36</f>
        <v>2849.2160851568988</v>
      </c>
      <c r="M36" s="181">
        <v>3149.8709525949957</v>
      </c>
      <c r="N36" s="183">
        <f t="shared" ref="N36:N46" si="19">(B36/H36)*100</f>
        <v>47.77991176393234</v>
      </c>
      <c r="O36" s="184">
        <f t="shared" ref="O36:O45" si="20">(C36/I36)*100</f>
        <v>78.225850746831142</v>
      </c>
      <c r="P36" s="184">
        <f t="shared" ref="P36:P46" si="21">(D36/J36)*100</f>
        <v>49.914293484401249</v>
      </c>
      <c r="Q36" s="184">
        <f t="shared" ref="Q36:Q46" si="22">(E36/K36)*100</f>
        <v>72.48480098440325</v>
      </c>
      <c r="R36" s="184">
        <f t="shared" ref="R36:R46" si="23">(F36/L36)*100</f>
        <v>56.923374031165771</v>
      </c>
      <c r="S36" s="185">
        <f>(G36/M36)*100</f>
        <v>62.095016299592757</v>
      </c>
      <c r="T36" s="1073">
        <f>((M36-L36)/M36)*100</f>
        <v>9.5449899999999968</v>
      </c>
      <c r="U36" s="232">
        <f>M36-L36</f>
        <v>300.65486743809697</v>
      </c>
      <c r="W36" s="173"/>
      <c r="X36" s="184">
        <v>228.6</v>
      </c>
      <c r="Y36" s="173"/>
      <c r="Z36" s="1317"/>
    </row>
    <row r="37" spans="1:27" ht="12.75" customHeight="1">
      <c r="A37" s="96" t="s">
        <v>7</v>
      </c>
      <c r="B37" s="179">
        <f t="shared" ref="B37:B45" si="24">H20</f>
        <v>375.73144800124123</v>
      </c>
      <c r="C37" s="180">
        <f t="shared" ref="C37:C45" si="25">I20</f>
        <v>62.087600999999999</v>
      </c>
      <c r="D37" s="180">
        <f t="shared" ref="D37:D45" si="26">J20</f>
        <v>437.81904900124118</v>
      </c>
      <c r="E37" s="180">
        <f t="shared" ref="E37:E45" si="27">K20</f>
        <v>239.41776834699999</v>
      </c>
      <c r="F37" s="180">
        <f t="shared" ref="F37:F45" si="28">L20</f>
        <v>677.23681734824117</v>
      </c>
      <c r="G37" s="181">
        <f t="shared" si="18"/>
        <v>800.05573700000002</v>
      </c>
      <c r="H37" s="182">
        <v>618.02262146103396</v>
      </c>
      <c r="I37" s="180">
        <v>120.31822888672981</v>
      </c>
      <c r="J37" s="180">
        <f t="shared" ref="J37:J45" si="29">H37+I37</f>
        <v>738.34085034776376</v>
      </c>
      <c r="K37" s="180">
        <v>340</v>
      </c>
      <c r="L37" s="180">
        <f t="shared" ref="L37:L45" si="30">J37+K37</f>
        <v>1078.3408503477638</v>
      </c>
      <c r="M37" s="181">
        <v>1171.5364584650094</v>
      </c>
      <c r="N37" s="183">
        <f t="shared" si="19"/>
        <v>60.795743546246705</v>
      </c>
      <c r="O37" s="184">
        <f t="shared" si="20"/>
        <v>51.60282159609465</v>
      </c>
      <c r="P37" s="184">
        <f t="shared" si="21"/>
        <v>59.297687347926818</v>
      </c>
      <c r="Q37" s="184">
        <f t="shared" si="22"/>
        <v>70.416990690294114</v>
      </c>
      <c r="R37" s="184">
        <f t="shared" si="23"/>
        <v>62.803594719594734</v>
      </c>
      <c r="S37" s="185">
        <f t="shared" ref="S37:S46" si="31">(G37/M37)*100</f>
        <v>68.291151437853046</v>
      </c>
      <c r="T37" s="1073">
        <f t="shared" ref="T37:T46" si="32">((M37-L37)/M37)*100</f>
        <v>7.9549900000000022</v>
      </c>
      <c r="U37" s="232">
        <f t="shared" ref="U37:U45" si="33">M37-L37</f>
        <v>93.195608117245683</v>
      </c>
      <c r="W37" s="173"/>
      <c r="X37" s="184">
        <v>249</v>
      </c>
      <c r="Y37" s="173"/>
      <c r="Z37" s="1317"/>
    </row>
    <row r="38" spans="1:27" ht="12" customHeight="1">
      <c r="A38" s="96" t="s">
        <v>8</v>
      </c>
      <c r="B38" s="179">
        <f t="shared" si="24"/>
        <v>376.57461999999992</v>
      </c>
      <c r="C38" s="180">
        <f t="shared" si="25"/>
        <v>79.568139000000002</v>
      </c>
      <c r="D38" s="180">
        <f t="shared" si="26"/>
        <v>456.1427589999999</v>
      </c>
      <c r="E38" s="180">
        <f t="shared" si="27"/>
        <v>140.19971149</v>
      </c>
      <c r="F38" s="180">
        <f t="shared" si="28"/>
        <v>596.34247048999987</v>
      </c>
      <c r="G38" s="181">
        <f t="shared" si="18"/>
        <v>677.30711699999995</v>
      </c>
      <c r="H38" s="182">
        <v>562.28381664867425</v>
      </c>
      <c r="I38" s="180">
        <v>144.06396126379184</v>
      </c>
      <c r="J38" s="180">
        <f t="shared" si="29"/>
        <v>706.34777791246609</v>
      </c>
      <c r="K38" s="180">
        <v>240.93512960000001</v>
      </c>
      <c r="L38" s="180">
        <f t="shared" si="30"/>
        <v>947.28290751246607</v>
      </c>
      <c r="M38" s="181">
        <v>1016.0163092302624</v>
      </c>
      <c r="N38" s="183">
        <f t="shared" si="19"/>
        <v>66.972338319189262</v>
      </c>
      <c r="O38" s="184">
        <f t="shared" si="20"/>
        <v>55.231119776239403</v>
      </c>
      <c r="P38" s="184">
        <f t="shared" si="21"/>
        <v>64.577644789664404</v>
      </c>
      <c r="Q38" s="184">
        <f t="shared" si="22"/>
        <v>58.189817202148674</v>
      </c>
      <c r="R38" s="184">
        <f t="shared" si="23"/>
        <v>62.952943176814593</v>
      </c>
      <c r="S38" s="185">
        <f t="shared" si="31"/>
        <v>66.663016218030023</v>
      </c>
      <c r="T38" s="1073">
        <f t="shared" si="32"/>
        <v>6.7649900000000045</v>
      </c>
      <c r="U38" s="232">
        <f t="shared" si="33"/>
        <v>68.733401717796369</v>
      </c>
      <c r="W38" s="173"/>
      <c r="X38" s="184">
        <v>44.8</v>
      </c>
      <c r="Y38" s="173"/>
      <c r="Z38" s="1317"/>
    </row>
    <row r="39" spans="1:27">
      <c r="A39" s="96" t="s">
        <v>4</v>
      </c>
      <c r="B39" s="179">
        <f t="shared" si="24"/>
        <v>672.27186200000006</v>
      </c>
      <c r="C39" s="180">
        <f t="shared" si="25"/>
        <v>77.246469000000005</v>
      </c>
      <c r="D39" s="180">
        <f t="shared" si="26"/>
        <v>749.51833099999999</v>
      </c>
      <c r="E39" s="180">
        <f t="shared" si="27"/>
        <v>328.09549126000002</v>
      </c>
      <c r="F39" s="180">
        <f t="shared" si="28"/>
        <v>1077.61382226</v>
      </c>
      <c r="G39" s="181">
        <f t="shared" si="18"/>
        <v>1269.7754998</v>
      </c>
      <c r="H39" s="182">
        <v>1126.930244367506</v>
      </c>
      <c r="I39" s="180">
        <v>228.85772481050952</v>
      </c>
      <c r="J39" s="180">
        <f t="shared" si="29"/>
        <v>1355.7879691780156</v>
      </c>
      <c r="K39" s="180">
        <v>497.72836000000001</v>
      </c>
      <c r="L39" s="180">
        <f t="shared" si="30"/>
        <v>1853.5163291780157</v>
      </c>
      <c r="M39" s="181">
        <v>2025.3686572049937</v>
      </c>
      <c r="N39" s="183">
        <f t="shared" si="19"/>
        <v>59.655144172416385</v>
      </c>
      <c r="O39" s="184">
        <f t="shared" si="20"/>
        <v>33.75305293450716</v>
      </c>
      <c r="P39" s="184">
        <f t="shared" si="21"/>
        <v>55.28285749979154</v>
      </c>
      <c r="Q39" s="184">
        <f t="shared" si="22"/>
        <v>65.918584840132482</v>
      </c>
      <c r="R39" s="184">
        <f t="shared" si="23"/>
        <v>58.138890135264823</v>
      </c>
      <c r="S39" s="185">
        <f t="shared" si="31"/>
        <v>62.69354940805141</v>
      </c>
      <c r="T39" s="1073">
        <f t="shared" si="32"/>
        <v>8.4849900000000034</v>
      </c>
      <c r="U39" s="232">
        <f t="shared" si="33"/>
        <v>171.85232802697806</v>
      </c>
      <c r="W39" s="173"/>
      <c r="X39" s="184">
        <v>45.4</v>
      </c>
      <c r="Y39" s="173"/>
      <c r="Z39" s="1317"/>
    </row>
    <row r="40" spans="1:27" ht="12" customHeight="1">
      <c r="A40" s="96" t="s">
        <v>3</v>
      </c>
      <c r="B40" s="179">
        <f t="shared" si="24"/>
        <v>563.41090799999995</v>
      </c>
      <c r="C40" s="180">
        <f t="shared" si="25"/>
        <v>89.30896700000001</v>
      </c>
      <c r="D40" s="180">
        <f t="shared" si="26"/>
        <v>652.71987499999989</v>
      </c>
      <c r="E40" s="180">
        <f t="shared" si="27"/>
        <v>260.80452672000001</v>
      </c>
      <c r="F40" s="180">
        <f t="shared" si="28"/>
        <v>913.5244017199999</v>
      </c>
      <c r="G40" s="181">
        <f t="shared" si="18"/>
        <v>1096.83943316</v>
      </c>
      <c r="H40" s="182">
        <v>832.41311972273661</v>
      </c>
      <c r="I40" s="180">
        <v>81.215034128834219</v>
      </c>
      <c r="J40" s="180">
        <f t="shared" si="29"/>
        <v>913.6281538515708</v>
      </c>
      <c r="K40" s="180">
        <v>361.56200000000001</v>
      </c>
      <c r="L40" s="180">
        <f t="shared" si="30"/>
        <v>1275.1901538515708</v>
      </c>
      <c r="M40" s="181">
        <v>1410.9986309839089</v>
      </c>
      <c r="N40" s="183">
        <f t="shared" si="19"/>
        <v>67.684049500284544</v>
      </c>
      <c r="O40" s="184">
        <f t="shared" si="20"/>
        <v>109.96605241626337</v>
      </c>
      <c r="P40" s="184">
        <f t="shared" si="21"/>
        <v>71.442618339675377</v>
      </c>
      <c r="Q40" s="184">
        <f t="shared" si="22"/>
        <v>72.132725983372154</v>
      </c>
      <c r="R40" s="184">
        <f t="shared" si="23"/>
        <v>71.638288529816549</v>
      </c>
      <c r="S40" s="185">
        <f t="shared" si="31"/>
        <v>77.734975008101799</v>
      </c>
      <c r="T40" s="1073">
        <f t="shared" si="32"/>
        <v>9.6249899999999986</v>
      </c>
      <c r="U40" s="232">
        <f t="shared" si="33"/>
        <v>135.80847713233811</v>
      </c>
      <c r="W40" s="173"/>
      <c r="X40" s="184"/>
      <c r="Y40" s="173"/>
      <c r="Z40" s="1317"/>
    </row>
    <row r="41" spans="1:27" ht="12" customHeight="1">
      <c r="A41" s="1923" t="s">
        <v>397</v>
      </c>
      <c r="B41" s="179">
        <f t="shared" si="24"/>
        <v>404.399002</v>
      </c>
      <c r="C41" s="180">
        <f t="shared" si="25"/>
        <v>78.254519000000002</v>
      </c>
      <c r="D41" s="180">
        <f t="shared" si="26"/>
        <v>482.65352100000007</v>
      </c>
      <c r="E41" s="180">
        <f t="shared" si="27"/>
        <v>197.33596256999999</v>
      </c>
      <c r="F41" s="180">
        <f t="shared" si="28"/>
        <v>679.98948357000006</v>
      </c>
      <c r="G41" s="181">
        <f t="shared" si="18"/>
        <v>836.17435503999991</v>
      </c>
      <c r="H41" s="1925">
        <v>760.01434423191051</v>
      </c>
      <c r="I41" s="1924">
        <v>90.12592345252105</v>
      </c>
      <c r="J41" s="180">
        <f>H41+I41</f>
        <v>850.14026768443159</v>
      </c>
      <c r="K41" s="1924">
        <v>272.870788</v>
      </c>
      <c r="L41" s="180">
        <f>J41+K41</f>
        <v>1123.0110556844315</v>
      </c>
      <c r="M41" s="181">
        <v>1259.1926106017497</v>
      </c>
      <c r="N41" s="183">
        <f t="shared" ref="N41:S44" si="34">(B41/H41)*100</f>
        <v>53.209390726525797</v>
      </c>
      <c r="O41" s="184">
        <f t="shared" si="34"/>
        <v>86.827980232818376</v>
      </c>
      <c r="P41" s="184">
        <f t="shared" si="34"/>
        <v>56.773398384554461</v>
      </c>
      <c r="Q41" s="184">
        <f t="shared" si="34"/>
        <v>72.318463994027823</v>
      </c>
      <c r="R41" s="184">
        <f t="shared" si="34"/>
        <v>60.550560043736425</v>
      </c>
      <c r="S41" s="185">
        <f t="shared" si="34"/>
        <v>66.405595776201736</v>
      </c>
      <c r="T41" s="1073">
        <f t="shared" si="32"/>
        <v>10.81499</v>
      </c>
      <c r="U41" s="232">
        <f>M41-L41</f>
        <v>136.18155491731818</v>
      </c>
      <c r="W41" s="173"/>
      <c r="X41" s="184">
        <v>198.73000000000002</v>
      </c>
      <c r="Y41" s="173"/>
      <c r="Z41" s="1317"/>
    </row>
    <row r="42" spans="1:27" ht="12" customHeight="1">
      <c r="A42" s="1923" t="s">
        <v>399</v>
      </c>
      <c r="B42" s="179">
        <f t="shared" si="24"/>
        <v>628.03891199999998</v>
      </c>
      <c r="C42" s="180">
        <f t="shared" si="25"/>
        <v>74.631151000000003</v>
      </c>
      <c r="D42" s="180">
        <f t="shared" si="26"/>
        <v>702.67006300000003</v>
      </c>
      <c r="E42" s="180">
        <f t="shared" si="27"/>
        <v>467.06204053000005</v>
      </c>
      <c r="F42" s="180">
        <f t="shared" si="28"/>
        <v>1169.7321035300001</v>
      </c>
      <c r="G42" s="181">
        <f t="shared" si="18"/>
        <v>1452.1211226</v>
      </c>
      <c r="H42" s="1925">
        <v>1252.3491670072724</v>
      </c>
      <c r="I42" s="1924">
        <v>50.873409481974313</v>
      </c>
      <c r="J42" s="180">
        <f t="shared" si="29"/>
        <v>1303.2225764892466</v>
      </c>
      <c r="K42" s="1924">
        <v>630.5</v>
      </c>
      <c r="L42" s="180">
        <f>J42+K42</f>
        <v>1933.7225764892466</v>
      </c>
      <c r="M42" s="181">
        <v>2165.786369390838</v>
      </c>
      <c r="N42" s="183">
        <f t="shared" si="34"/>
        <v>50.14886650987431</v>
      </c>
      <c r="O42" s="184">
        <f t="shared" si="34"/>
        <v>146.69972341138967</v>
      </c>
      <c r="P42" s="184">
        <f t="shared" si="34"/>
        <v>53.917885990965871</v>
      </c>
      <c r="Q42" s="184">
        <f t="shared" si="34"/>
        <v>74.078039735130858</v>
      </c>
      <c r="R42" s="184">
        <f t="shared" si="34"/>
        <v>60.491205809558124</v>
      </c>
      <c r="S42" s="185">
        <f t="shared" si="34"/>
        <v>67.048215979327281</v>
      </c>
      <c r="T42" s="1073">
        <f t="shared" si="32"/>
        <v>10.714989999999998</v>
      </c>
      <c r="U42" s="232">
        <f>M42-L42</f>
        <v>232.06379290159134</v>
      </c>
      <c r="W42" s="173"/>
      <c r="X42" s="184">
        <v>185</v>
      </c>
      <c r="Y42" s="173"/>
      <c r="Z42" s="1317"/>
    </row>
    <row r="43" spans="1:27" ht="12" customHeight="1">
      <c r="A43" s="1923" t="s">
        <v>883</v>
      </c>
      <c r="B43" s="179">
        <f t="shared" si="24"/>
        <v>427.86669330000001</v>
      </c>
      <c r="C43" s="180">
        <f t="shared" si="25"/>
        <v>69.368206499999999</v>
      </c>
      <c r="D43" s="180">
        <f t="shared" si="26"/>
        <v>497.23489979999999</v>
      </c>
      <c r="E43" s="180">
        <f t="shared" si="27"/>
        <v>237.97074068000001</v>
      </c>
      <c r="F43" s="180">
        <f t="shared" si="28"/>
        <v>735.20564048000006</v>
      </c>
      <c r="G43" s="181">
        <f t="shared" si="18"/>
        <v>881.64851299999987</v>
      </c>
      <c r="H43" s="1925">
        <v>677.55133336236941</v>
      </c>
      <c r="I43" s="1924">
        <v>93.51719387069781</v>
      </c>
      <c r="J43" s="180">
        <f t="shared" si="29"/>
        <v>771.06852723306724</v>
      </c>
      <c r="K43" s="1924">
        <v>340.67005</v>
      </c>
      <c r="L43" s="180">
        <f>J43+K43</f>
        <v>1111.7385772330672</v>
      </c>
      <c r="M43" s="181">
        <v>1210.45071172954</v>
      </c>
      <c r="N43" s="183">
        <f t="shared" si="34"/>
        <v>63.14897074686553</v>
      </c>
      <c r="O43" s="184">
        <f t="shared" si="34"/>
        <v>74.176954663451966</v>
      </c>
      <c r="P43" s="184">
        <f t="shared" si="34"/>
        <v>64.486473281991849</v>
      </c>
      <c r="Q43" s="184">
        <f t="shared" si="34"/>
        <v>69.853731104333946</v>
      </c>
      <c r="R43" s="184">
        <f t="shared" si="34"/>
        <v>66.131162085767031</v>
      </c>
      <c r="S43" s="185">
        <f t="shared" si="34"/>
        <v>72.836382717332242</v>
      </c>
      <c r="T43" s="1073">
        <f t="shared" si="32"/>
        <v>8.1549899999999997</v>
      </c>
      <c r="U43" s="232">
        <f>M43-L43</f>
        <v>98.7121344964728</v>
      </c>
      <c r="W43" s="173"/>
      <c r="X43" s="184">
        <v>3.654867062161065</v>
      </c>
      <c r="Y43" s="173"/>
      <c r="Z43" s="1317"/>
    </row>
    <row r="44" spans="1:27">
      <c r="A44" s="96" t="s">
        <v>884</v>
      </c>
      <c r="B44" s="179">
        <f t="shared" si="24"/>
        <v>586.12705600000004</v>
      </c>
      <c r="C44" s="180">
        <f t="shared" si="25"/>
        <v>96.741081999999977</v>
      </c>
      <c r="D44" s="180">
        <f t="shared" si="26"/>
        <v>682.86813800000004</v>
      </c>
      <c r="E44" s="180">
        <f t="shared" si="27"/>
        <v>223.73247636000002</v>
      </c>
      <c r="F44" s="180">
        <f t="shared" si="28"/>
        <v>906.60061436000001</v>
      </c>
      <c r="G44" s="181">
        <f t="shared" si="18"/>
        <v>1076.1029840000001</v>
      </c>
      <c r="H44" s="182">
        <v>952.56027092901593</v>
      </c>
      <c r="I44" s="180">
        <v>143.54774067140815</v>
      </c>
      <c r="J44" s="180">
        <f t="shared" si="29"/>
        <v>1096.1080116004241</v>
      </c>
      <c r="K44" s="180">
        <v>329.63818099999997</v>
      </c>
      <c r="L44" s="180">
        <f>J44+K44</f>
        <v>1425.7461926004241</v>
      </c>
      <c r="M44" s="181">
        <v>1554.7091621280279</v>
      </c>
      <c r="N44" s="183">
        <f t="shared" si="34"/>
        <v>61.5317554057089</v>
      </c>
      <c r="O44" s="184">
        <f t="shared" si="34"/>
        <v>67.392967348366554</v>
      </c>
      <c r="P44" s="184">
        <f t="shared" si="34"/>
        <v>62.299347397611506</v>
      </c>
      <c r="Q44" s="184">
        <f t="shared" si="34"/>
        <v>67.872136559326563</v>
      </c>
      <c r="R44" s="184">
        <f t="shared" si="34"/>
        <v>63.587798379909934</v>
      </c>
      <c r="S44" s="185">
        <f t="shared" si="34"/>
        <v>69.215709935552866</v>
      </c>
      <c r="T44" s="1073">
        <f t="shared" si="32"/>
        <v>8.2949900000000003</v>
      </c>
      <c r="U44" s="232">
        <f>M44-L44</f>
        <v>128.96296952760372</v>
      </c>
      <c r="W44" s="173"/>
      <c r="X44" s="184">
        <v>574.99513293783889</v>
      </c>
      <c r="Y44" s="173"/>
      <c r="Z44" s="1317"/>
    </row>
    <row r="45" spans="1:27">
      <c r="A45" s="96" t="s">
        <v>885</v>
      </c>
      <c r="B45" s="179">
        <f t="shared" si="24"/>
        <v>107.21534</v>
      </c>
      <c r="C45" s="180">
        <f t="shared" si="25"/>
        <v>29.297593000000003</v>
      </c>
      <c r="D45" s="180">
        <f t="shared" si="26"/>
        <v>136.512933</v>
      </c>
      <c r="E45" s="180">
        <f t="shared" si="27"/>
        <v>46.288626170000001</v>
      </c>
      <c r="F45" s="180">
        <f t="shared" si="28"/>
        <v>182.80155917000002</v>
      </c>
      <c r="G45" s="181">
        <f t="shared" si="18"/>
        <v>203.04239200000001</v>
      </c>
      <c r="H45" s="182">
        <v>156.68266693956937</v>
      </c>
      <c r="I45" s="180">
        <v>50.484813117255882</v>
      </c>
      <c r="J45" s="180">
        <f t="shared" si="29"/>
        <v>207.16748005682524</v>
      </c>
      <c r="K45" s="180">
        <v>91.2</v>
      </c>
      <c r="L45" s="180">
        <f t="shared" si="30"/>
        <v>298.36748005682523</v>
      </c>
      <c r="M45" s="181">
        <v>325.35570309280291</v>
      </c>
      <c r="N45" s="183">
        <f t="shared" si="19"/>
        <v>68.42833485937004</v>
      </c>
      <c r="O45" s="184">
        <f t="shared" si="20"/>
        <v>58.032487774003435</v>
      </c>
      <c r="P45" s="184">
        <f t="shared" si="21"/>
        <v>65.894962357294219</v>
      </c>
      <c r="Q45" s="184">
        <f t="shared" si="22"/>
        <v>50.755072554824565</v>
      </c>
      <c r="R45" s="184">
        <f t="shared" si="23"/>
        <v>61.267253098489405</v>
      </c>
      <c r="S45" s="185">
        <f>(G45/M45)*100</f>
        <v>62.406280286436278</v>
      </c>
      <c r="T45" s="1073">
        <f t="shared" si="32"/>
        <v>8.2949899999999968</v>
      </c>
      <c r="U45" s="232">
        <f t="shared" si="33"/>
        <v>26.988223035977683</v>
      </c>
      <c r="W45" s="173"/>
      <c r="X45" s="184"/>
      <c r="Y45" s="173"/>
      <c r="Z45" s="1317"/>
    </row>
    <row r="46" spans="1:27" s="118" customFormat="1" ht="14.25" customHeight="1" thickBot="1">
      <c r="A46" s="168" t="s">
        <v>16</v>
      </c>
      <c r="B46" s="186">
        <f t="shared" ref="B46:L46" si="35">SUM(B36:B45)</f>
        <v>5014.4327723012411</v>
      </c>
      <c r="C46" s="187">
        <f t="shared" si="35"/>
        <v>764.2312065000001</v>
      </c>
      <c r="D46" s="187">
        <f t="shared" si="35"/>
        <v>5778.6639788012399</v>
      </c>
      <c r="E46" s="187">
        <f t="shared" si="35"/>
        <v>2782.2528632369999</v>
      </c>
      <c r="F46" s="187">
        <f t="shared" si="35"/>
        <v>8560.916842038243</v>
      </c>
      <c r="G46" s="188">
        <f t="shared" si="35"/>
        <v>10248.980035029999</v>
      </c>
      <c r="H46" s="186">
        <f t="shared" si="35"/>
        <v>8765.5102694976649</v>
      </c>
      <c r="I46" s="187">
        <f t="shared" si="35"/>
        <v>1140.7174300130428</v>
      </c>
      <c r="J46" s="187">
        <f>SUM(J36:J45)</f>
        <v>9906.2276995107095</v>
      </c>
      <c r="K46" s="187">
        <f t="shared" si="35"/>
        <v>3989.9045086000001</v>
      </c>
      <c r="L46" s="1494">
        <f t="shared" si="35"/>
        <v>13896.13220811071</v>
      </c>
      <c r="M46" s="1494">
        <f>SUM(M36:M45)</f>
        <v>15289.285565422128</v>
      </c>
      <c r="N46" s="189">
        <f t="shared" si="19"/>
        <v>57.206398921812095</v>
      </c>
      <c r="O46" s="187">
        <f>(C46/I46)*100</f>
        <v>66.995663114506982</v>
      </c>
      <c r="P46" s="190">
        <f t="shared" si="21"/>
        <v>58.333647823244171</v>
      </c>
      <c r="Q46" s="187">
        <f t="shared" si="22"/>
        <v>69.732317082777811</v>
      </c>
      <c r="R46" s="187">
        <f t="shared" si="23"/>
        <v>61.60647231782611</v>
      </c>
      <c r="S46" s="188">
        <f t="shared" si="31"/>
        <v>67.033740662211443</v>
      </c>
      <c r="T46" s="1073">
        <f t="shared" si="32"/>
        <v>9.1119585107504228</v>
      </c>
      <c r="U46" s="232">
        <f>SUM(U36:U45)</f>
        <v>1393.1533573114189</v>
      </c>
      <c r="V46" s="87">
        <f>L46/9.32</f>
        <v>1491.0013098831234</v>
      </c>
      <c r="W46" s="87">
        <f>M46/9.32</f>
        <v>1640.481283843576</v>
      </c>
      <c r="X46" s="187">
        <f>SUM(X36:X45)</f>
        <v>1530.1799999999998</v>
      </c>
      <c r="Y46" s="173"/>
      <c r="Z46" s="1317"/>
      <c r="AA46" s="87"/>
    </row>
    <row r="47" spans="1:27" s="118" customFormat="1" ht="14.25" customHeight="1">
      <c r="A47" s="175"/>
      <c r="B47" s="175"/>
      <c r="C47" s="175"/>
      <c r="D47" s="175"/>
      <c r="E47" s="175"/>
      <c r="F47" s="200"/>
      <c r="G47" s="200"/>
      <c r="H47" s="175"/>
      <c r="I47" s="175"/>
      <c r="J47" s="175"/>
      <c r="K47" s="200">
        <f>K46+J46</f>
        <v>13896.13220811071</v>
      </c>
      <c r="L47" s="200"/>
      <c r="M47" s="200">
        <f>M46-K47</f>
        <v>1393.1533573114175</v>
      </c>
      <c r="N47" s="200"/>
      <c r="O47" s="175"/>
      <c r="P47" s="175"/>
      <c r="Q47" s="201"/>
      <c r="R47" s="201"/>
      <c r="S47" s="201"/>
      <c r="T47" s="1074"/>
      <c r="U47" s="173"/>
      <c r="V47" s="87"/>
      <c r="W47" s="87"/>
      <c r="X47" s="199"/>
      <c r="Y47" s="198"/>
    </row>
    <row r="48" spans="1:27" s="118" customFormat="1" ht="14.25" customHeight="1">
      <c r="A48" s="3031"/>
      <c r="B48" s="3031"/>
      <c r="C48" s="3031"/>
      <c r="D48" s="3031"/>
      <c r="E48" s="3031"/>
      <c r="F48" s="3031"/>
      <c r="G48" s="3031"/>
      <c r="H48" s="3031"/>
      <c r="I48" s="3031"/>
      <c r="J48" s="3031"/>
      <c r="K48" s="3031"/>
      <c r="L48" s="3031"/>
      <c r="M48" s="3031"/>
      <c r="N48" s="3031"/>
      <c r="O48" s="3031"/>
      <c r="P48" s="3031"/>
      <c r="Q48" s="3031"/>
      <c r="R48" s="3031"/>
      <c r="S48" s="3031"/>
      <c r="T48" s="1074"/>
      <c r="U48" s="87"/>
      <c r="V48" s="87"/>
      <c r="W48" s="87"/>
      <c r="X48" s="199"/>
      <c r="Y48" s="198"/>
    </row>
    <row r="49" spans="5:17">
      <c r="Q49" s="87">
        <f>8.33*8</f>
        <v>66.64</v>
      </c>
    </row>
    <row r="50" spans="5:17">
      <c r="F50" s="87" t="s">
        <v>539</v>
      </c>
      <c r="G50" s="87" t="s">
        <v>551</v>
      </c>
    </row>
    <row r="51" spans="5:17">
      <c r="E51" s="87" t="s">
        <v>52</v>
      </c>
      <c r="F51" s="173">
        <f>D46</f>
        <v>5778.6639788012399</v>
      </c>
      <c r="G51" s="173">
        <f>J46-F51</f>
        <v>4127.5637207094696</v>
      </c>
    </row>
    <row r="52" spans="5:17">
      <c r="E52" s="87" t="s">
        <v>553</v>
      </c>
      <c r="F52" s="173">
        <f>E46</f>
        <v>2782.2528632369999</v>
      </c>
      <c r="G52" s="173">
        <f>K46-F52</f>
        <v>1207.6516453630002</v>
      </c>
    </row>
    <row r="53" spans="5:17">
      <c r="E53" s="87" t="s">
        <v>552</v>
      </c>
      <c r="F53" s="173">
        <f>F46</f>
        <v>8560.916842038243</v>
      </c>
      <c r="G53" s="173">
        <f>L46-F53</f>
        <v>5335.2153660724671</v>
      </c>
    </row>
    <row r="68" spans="3:7">
      <c r="D68" s="87" t="s">
        <v>17</v>
      </c>
      <c r="E68" s="87" t="s">
        <v>18</v>
      </c>
      <c r="F68" s="87" t="s">
        <v>52</v>
      </c>
      <c r="G68" s="87" t="s">
        <v>553</v>
      </c>
    </row>
    <row r="69" spans="3:7">
      <c r="C69" s="87" t="s">
        <v>68</v>
      </c>
      <c r="D69" s="87">
        <f>D83*F69</f>
        <v>1765.075803978046</v>
      </c>
      <c r="E69" s="87">
        <f>E83*F69</f>
        <v>199.34028117885279</v>
      </c>
      <c r="F69" s="87">
        <v>1964.4160851568988</v>
      </c>
      <c r="G69" s="87">
        <v>884.8</v>
      </c>
    </row>
    <row r="70" spans="3:7">
      <c r="C70" s="87" t="s">
        <v>7</v>
      </c>
      <c r="D70" s="87">
        <f t="shared" ref="D70:D78" si="36">D84*F70</f>
        <v>639.53076720769013</v>
      </c>
      <c r="E70" s="87">
        <f t="shared" ref="E70:E78" si="37">E84*F70</f>
        <v>98.810083140073658</v>
      </c>
      <c r="F70" s="87">
        <v>738.34085034776376</v>
      </c>
      <c r="G70" s="87">
        <v>340</v>
      </c>
    </row>
    <row r="71" spans="3:7">
      <c r="C71" s="87" t="s">
        <v>8</v>
      </c>
      <c r="D71" s="87">
        <f t="shared" si="36"/>
        <v>591.8395101663566</v>
      </c>
      <c r="E71" s="87">
        <f t="shared" si="37"/>
        <v>114.5082677461095</v>
      </c>
      <c r="F71" s="87">
        <v>706.34777791246609</v>
      </c>
      <c r="G71" s="87">
        <v>240.93512960000001</v>
      </c>
    </row>
    <row r="72" spans="3:7">
      <c r="C72" s="87" t="s">
        <v>4</v>
      </c>
      <c r="D72" s="87">
        <f t="shared" si="36"/>
        <v>1219.8919794230478</v>
      </c>
      <c r="E72" s="87">
        <f t="shared" si="37"/>
        <v>135.8959897549679</v>
      </c>
      <c r="F72" s="87">
        <v>1355.7879691780156</v>
      </c>
      <c r="G72" s="87">
        <v>497.72836000000001</v>
      </c>
    </row>
    <row r="73" spans="3:7">
      <c r="C73" s="87" t="s">
        <v>3</v>
      </c>
      <c r="D73" s="87">
        <f t="shared" si="36"/>
        <v>776.9233261449541</v>
      </c>
      <c r="E73" s="87">
        <f t="shared" si="37"/>
        <v>136.70482770661667</v>
      </c>
      <c r="F73" s="87">
        <v>913.6281538515708</v>
      </c>
      <c r="G73" s="87">
        <v>361.56200000000001</v>
      </c>
    </row>
    <row r="74" spans="3:7">
      <c r="C74" s="87" t="s">
        <v>397</v>
      </c>
      <c r="D74" s="87">
        <f t="shared" si="36"/>
        <v>743.21992824429094</v>
      </c>
      <c r="E74" s="87">
        <f t="shared" si="37"/>
        <v>106.92033944014068</v>
      </c>
      <c r="F74" s="87">
        <v>850.14026768443159</v>
      </c>
      <c r="G74" s="87">
        <v>272.870788</v>
      </c>
    </row>
    <row r="75" spans="3:7">
      <c r="C75" s="87" t="s">
        <v>399</v>
      </c>
      <c r="D75" s="87">
        <f t="shared" si="36"/>
        <v>1182.3039491655493</v>
      </c>
      <c r="E75" s="87">
        <f t="shared" si="37"/>
        <v>120.91862732369742</v>
      </c>
      <c r="F75" s="87">
        <v>1303.2225764892466</v>
      </c>
      <c r="G75" s="87">
        <v>630.5</v>
      </c>
    </row>
    <row r="76" spans="3:7">
      <c r="C76" s="87" t="s">
        <v>883</v>
      </c>
      <c r="D76" s="87">
        <f t="shared" si="36"/>
        <v>664.64942656873643</v>
      </c>
      <c r="E76" s="87">
        <f t="shared" si="37"/>
        <v>106.41910066433077</v>
      </c>
      <c r="F76" s="87">
        <v>771.06852723306724</v>
      </c>
      <c r="G76" s="87">
        <v>340.67005</v>
      </c>
    </row>
    <row r="77" spans="3:7">
      <c r="C77" s="87" t="s">
        <v>884</v>
      </c>
      <c r="D77" s="87">
        <f t="shared" si="36"/>
        <v>950.46582351658822</v>
      </c>
      <c r="E77" s="87">
        <f t="shared" si="37"/>
        <v>145.64218808383592</v>
      </c>
      <c r="F77" s="87">
        <v>1096.1080116004241</v>
      </c>
      <c r="G77" s="87">
        <v>329.63818099999997</v>
      </c>
    </row>
    <row r="78" spans="3:7">
      <c r="C78" s="87" t="s">
        <v>885</v>
      </c>
      <c r="D78" s="87">
        <f t="shared" si="36"/>
        <v>165.06329314113805</v>
      </c>
      <c r="E78" s="87">
        <f t="shared" si="37"/>
        <v>42.104186915687187</v>
      </c>
      <c r="F78" s="87">
        <v>207.16748005682524</v>
      </c>
      <c r="G78" s="87">
        <v>91.2</v>
      </c>
    </row>
    <row r="79" spans="3:7">
      <c r="F79" s="87">
        <f>SUM(F69:F78)</f>
        <v>9906.2276995107095</v>
      </c>
    </row>
    <row r="82" spans="3:5">
      <c r="D82" s="87" t="s">
        <v>17</v>
      </c>
      <c r="E82" s="87" t="s">
        <v>18</v>
      </c>
    </row>
    <row r="83" spans="3:5">
      <c r="C83" s="87" t="s">
        <v>68</v>
      </c>
      <c r="D83" s="87">
        <f>B19/D19</f>
        <v>0.89852441003458217</v>
      </c>
      <c r="E83" s="87">
        <f>1-D83</f>
        <v>0.10147558996541783</v>
      </c>
    </row>
    <row r="84" spans="3:5">
      <c r="C84" s="87" t="s">
        <v>7</v>
      </c>
      <c r="D84" s="87">
        <f t="shared" ref="D84:D92" si="38">B20/D20</f>
        <v>0.86617280745940928</v>
      </c>
      <c r="E84" s="87">
        <f t="shared" ref="E84:E92" si="39">1-D84</f>
        <v>0.13382719254059072</v>
      </c>
    </row>
    <row r="85" spans="3:5">
      <c r="C85" s="87" t="s">
        <v>8</v>
      </c>
      <c r="D85" s="87">
        <f t="shared" si="38"/>
        <v>0.83788684366711508</v>
      </c>
      <c r="E85" s="87">
        <f t="shared" si="39"/>
        <v>0.16211315633288492</v>
      </c>
    </row>
    <row r="86" spans="3:5">
      <c r="C86" s="87" t="s">
        <v>4</v>
      </c>
      <c r="D86" s="87">
        <f t="shared" si="38"/>
        <v>0.89976604539619964</v>
      </c>
      <c r="E86" s="87">
        <f t="shared" si="39"/>
        <v>0.10023395460380036</v>
      </c>
    </row>
    <row r="87" spans="3:5">
      <c r="C87" s="87" t="s">
        <v>3</v>
      </c>
      <c r="D87" s="87">
        <f t="shared" si="38"/>
        <v>0.85037148085869307</v>
      </c>
      <c r="E87" s="87">
        <f t="shared" si="39"/>
        <v>0.14962851914130693</v>
      </c>
    </row>
    <row r="88" spans="3:5">
      <c r="C88" s="87" t="s">
        <v>397</v>
      </c>
      <c r="D88" s="87">
        <f t="shared" si="38"/>
        <v>0.87423211968142056</v>
      </c>
      <c r="E88" s="87">
        <f t="shared" si="39"/>
        <v>0.12576788031857944</v>
      </c>
    </row>
    <row r="89" spans="3:5">
      <c r="C89" s="87" t="s">
        <v>399</v>
      </c>
      <c r="D89" s="87">
        <f t="shared" si="38"/>
        <v>0.90721567481631549</v>
      </c>
      <c r="E89" s="87">
        <f t="shared" si="39"/>
        <v>9.2784325183684513E-2</v>
      </c>
    </row>
    <row r="90" spans="3:5">
      <c r="C90" s="87" t="s">
        <v>883</v>
      </c>
      <c r="D90" s="87">
        <f t="shared" si="38"/>
        <v>0.86198489899956199</v>
      </c>
      <c r="E90" s="87">
        <f t="shared" si="39"/>
        <v>0.13801510100043801</v>
      </c>
    </row>
    <row r="91" spans="3:5">
      <c r="C91" s="87" t="s">
        <v>884</v>
      </c>
      <c r="D91" s="87">
        <f t="shared" si="38"/>
        <v>0.86712788653813033</v>
      </c>
      <c r="E91" s="87">
        <f t="shared" si="39"/>
        <v>0.13287211346186967</v>
      </c>
    </row>
    <row r="92" spans="3:5">
      <c r="C92" s="87" t="s">
        <v>885</v>
      </c>
      <c r="D92" s="87">
        <f t="shared" si="38"/>
        <v>0.79676256667244216</v>
      </c>
      <c r="E92" s="87">
        <f t="shared" si="39"/>
        <v>0.20323743332755784</v>
      </c>
    </row>
  </sheetData>
  <mergeCells count="13">
    <mergeCell ref="A48:S48"/>
    <mergeCell ref="D1:S1"/>
    <mergeCell ref="B2:G2"/>
    <mergeCell ref="H2:M2"/>
    <mergeCell ref="N2:S2"/>
    <mergeCell ref="B34:G34"/>
    <mergeCell ref="D16:S16"/>
    <mergeCell ref="N34:S34"/>
    <mergeCell ref="H17:M17"/>
    <mergeCell ref="B17:G17"/>
    <mergeCell ref="N17:S17"/>
    <mergeCell ref="H34:M34"/>
    <mergeCell ref="D33:S33"/>
  </mergeCells>
  <phoneticPr fontId="28" type="noConversion"/>
  <conditionalFormatting sqref="N4:S14">
    <cfRule type="cellIs" dxfId="65" priority="3" operator="lessThan">
      <formula>0</formula>
    </cfRule>
    <cfRule type="cellIs" dxfId="64" priority="4" operator="greaterThan">
      <formula>0</formula>
    </cfRule>
  </conditionalFormatting>
  <conditionalFormatting sqref="N19:S29">
    <cfRule type="cellIs" dxfId="63" priority="1" operator="lessThan">
      <formula>0</formula>
    </cfRule>
    <cfRule type="cellIs" dxfId="62" priority="2" operator="greaterThan">
      <formula>0</formula>
    </cfRule>
  </conditionalFormatting>
  <pageMargins left="0.15748031496062992" right="0.15748031496062992" top="1.1417322834645669" bottom="0.43307086614173229" header="0.62992125984251968" footer="0.27559055118110237"/>
  <pageSetup paperSize="9" scale="69" orientation="landscape" r:id="rId1"/>
  <headerFooter alignWithMargins="0">
    <oddHeader>&amp;L&amp;"Times New Roman,Gras"&amp;12SDC_SPADCMD/EC&amp;C&amp;"Times New Roman,Gras"&amp;20Paramètre Ventes/Achats électrcité &amp;16&amp;G</oddHeader>
    <oddFooter>&amp;LTableau de bord juillet 2016&amp;Rpage -5-</oddFooter>
  </headerFooter>
  <drawing r:id="rId2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E00-000000000000}">
  <sheetPr>
    <tabColor indexed="49"/>
  </sheetPr>
  <dimension ref="A1:AF68"/>
  <sheetViews>
    <sheetView showGridLines="0" showOutlineSymbols="0" zoomScale="70" zoomScaleNormal="70" workbookViewId="0">
      <selection activeCell="Q4" sqref="Q4:R13"/>
    </sheetView>
  </sheetViews>
  <sheetFormatPr baseColWidth="10" defaultColWidth="11.44140625" defaultRowHeight="15" customHeight="1"/>
  <cols>
    <col min="1" max="1" width="21.109375" style="87" customWidth="1"/>
    <col min="2" max="2" width="7.33203125" style="87" customWidth="1"/>
    <col min="3" max="3" width="14.44140625" style="87" customWidth="1"/>
    <col min="4" max="4" width="10" style="87" customWidth="1"/>
    <col min="5" max="5" width="10.33203125" style="87" customWidth="1"/>
    <col min="6" max="6" width="12" style="87" customWidth="1"/>
    <col min="7" max="7" width="11.5546875" style="87" customWidth="1"/>
    <col min="8" max="8" width="10.88671875" style="87" customWidth="1"/>
    <col min="9" max="9" width="9" style="87" customWidth="1"/>
    <col min="10" max="10" width="10.109375" style="87" customWidth="1"/>
    <col min="11" max="11" width="9.88671875" style="87" customWidth="1"/>
    <col min="12" max="12" width="9.6640625" style="87" customWidth="1"/>
    <col min="13" max="13" width="8.6640625" style="87" customWidth="1"/>
    <col min="14" max="14" width="10.109375" style="87" customWidth="1"/>
    <col min="15" max="15" width="12.33203125" style="87" customWidth="1"/>
    <col min="16" max="16" width="8.33203125" style="87" customWidth="1"/>
    <col min="17" max="18" width="11" style="87" customWidth="1"/>
    <col min="19" max="19" width="9.5546875" style="87" customWidth="1"/>
    <col min="20" max="20" width="9.33203125" style="87" customWidth="1"/>
    <col min="21" max="22" width="11.44140625" style="87" customWidth="1"/>
    <col min="23" max="24" width="11.44140625" style="87"/>
    <col min="25" max="25" width="18.44140625" style="87" customWidth="1"/>
    <col min="26" max="16384" width="11.44140625" style="87"/>
  </cols>
  <sheetData>
    <row r="1" spans="1:32" ht="27.75" customHeight="1" thickBot="1">
      <c r="C1" s="177"/>
      <c r="D1" s="3043" t="s">
        <v>14</v>
      </c>
      <c r="E1" s="3043"/>
      <c r="F1" s="3043"/>
      <c r="G1" s="3043"/>
      <c r="H1" s="3043"/>
      <c r="I1" s="3043"/>
      <c r="J1" s="3043"/>
      <c r="K1" s="3043"/>
      <c r="L1" s="3043"/>
      <c r="M1" s="3043"/>
      <c r="N1" s="1206"/>
      <c r="U1" s="206"/>
      <c r="V1" s="86"/>
      <c r="W1" s="86"/>
      <c r="X1" s="86"/>
      <c r="Y1" s="86"/>
      <c r="Z1" s="86"/>
      <c r="AA1" s="86"/>
      <c r="AB1" s="86"/>
      <c r="AC1" s="86"/>
      <c r="AD1" s="86"/>
      <c r="AE1" s="86"/>
      <c r="AF1" s="86"/>
    </row>
    <row r="2" spans="1:32" ht="30" customHeight="1">
      <c r="C2" s="1772"/>
      <c r="D2" s="3047" t="s">
        <v>179</v>
      </c>
      <c r="E2" s="3045"/>
      <c r="F2" s="3046"/>
      <c r="G2" s="3044" t="s">
        <v>1</v>
      </c>
      <c r="H2" s="3045"/>
      <c r="I2" s="3045"/>
      <c r="J2" s="3045"/>
      <c r="K2" s="3046"/>
      <c r="L2" s="1595" t="s">
        <v>589</v>
      </c>
      <c r="M2" s="1209" t="s">
        <v>2</v>
      </c>
      <c r="N2" s="3040" t="s">
        <v>592</v>
      </c>
      <c r="O2" s="3036"/>
      <c r="P2" s="3038" t="s">
        <v>575</v>
      </c>
      <c r="Q2" s="3040" t="s">
        <v>593</v>
      </c>
      <c r="R2" s="3036"/>
      <c r="S2" s="3038" t="s">
        <v>575</v>
      </c>
      <c r="T2" s="3040" t="s">
        <v>590</v>
      </c>
      <c r="U2" s="3036" t="s">
        <v>2</v>
      </c>
      <c r="V2" s="3038" t="s">
        <v>591</v>
      </c>
      <c r="W2" s="118" t="s">
        <v>4</v>
      </c>
      <c r="X2" s="118" t="s">
        <v>3</v>
      </c>
      <c r="Y2" s="118" t="s">
        <v>28</v>
      </c>
      <c r="Z2" s="118" t="s">
        <v>9</v>
      </c>
      <c r="AA2" s="118" t="s">
        <v>5</v>
      </c>
      <c r="AB2" s="118" t="s">
        <v>31</v>
      </c>
      <c r="AC2" s="118" t="s">
        <v>10</v>
      </c>
      <c r="AD2" s="118" t="s">
        <v>12</v>
      </c>
      <c r="AE2" s="118" t="s">
        <v>27</v>
      </c>
      <c r="AF2" s="118" t="s">
        <v>15</v>
      </c>
    </row>
    <row r="3" spans="1:32" ht="42.75" customHeight="1">
      <c r="C3" s="1773"/>
      <c r="D3" s="1775">
        <f>ventes_achats_élec!B2</f>
        <v>45139</v>
      </c>
      <c r="E3" s="1776">
        <f>ventes_achats_élec!H2</f>
        <v>45505</v>
      </c>
      <c r="F3" s="1594" t="s">
        <v>596</v>
      </c>
      <c r="G3" s="1598">
        <f>D3</f>
        <v>45139</v>
      </c>
      <c r="H3" s="1776">
        <f>E3</f>
        <v>45505</v>
      </c>
      <c r="I3" s="1776" t="s">
        <v>854</v>
      </c>
      <c r="J3" s="1777" t="s">
        <v>275</v>
      </c>
      <c r="K3" s="1599" t="s">
        <v>291</v>
      </c>
      <c r="L3" s="1949" t="s">
        <v>599</v>
      </c>
      <c r="M3" s="1948" t="s">
        <v>921</v>
      </c>
      <c r="N3" s="2348">
        <f>G3</f>
        <v>45139</v>
      </c>
      <c r="O3" s="2349">
        <f>H3</f>
        <v>45505</v>
      </c>
      <c r="P3" s="3039"/>
      <c r="Q3" s="1212">
        <v>2023</v>
      </c>
      <c r="R3" s="1208">
        <v>2024</v>
      </c>
      <c r="S3" s="3039"/>
      <c r="T3" s="3041"/>
      <c r="U3" s="3037"/>
      <c r="V3" s="3039"/>
      <c r="W3" s="207">
        <v>18.5</v>
      </c>
      <c r="X3" s="207">
        <v>20</v>
      </c>
      <c r="Y3" s="207">
        <v>10</v>
      </c>
      <c r="Z3" s="207">
        <v>12.7</v>
      </c>
      <c r="AA3" s="207">
        <v>13.6</v>
      </c>
      <c r="AB3" s="207">
        <v>10.7</v>
      </c>
      <c r="AC3" s="207">
        <v>12.5</v>
      </c>
      <c r="AD3" s="207">
        <v>12.5</v>
      </c>
      <c r="AE3" s="207">
        <v>9.9</v>
      </c>
      <c r="AF3" s="207">
        <v>8.6</v>
      </c>
    </row>
    <row r="4" spans="1:32" ht="15" customHeight="1">
      <c r="C4" s="1774" t="s">
        <v>6</v>
      </c>
      <c r="D4" s="1778">
        <f>élec!BE226</f>
        <v>14.281978408966065</v>
      </c>
      <c r="E4" s="209">
        <f>élec!BE241</f>
        <v>22.339511902853602</v>
      </c>
      <c r="F4" s="1457">
        <f t="shared" ref="F4:F13" si="0">+E4-D4</f>
        <v>8.0575334938875365</v>
      </c>
      <c r="G4" s="1600">
        <f>élec!BA226</f>
        <v>16.724196821847688</v>
      </c>
      <c r="H4" s="213">
        <f>élec!BA241</f>
        <v>17.078621215264747</v>
      </c>
      <c r="I4" s="1457">
        <f>+H4-G4</f>
        <v>0.35442439341705878</v>
      </c>
      <c r="J4" s="210">
        <f>'Année-mobile elec'!I218</f>
        <v>10.108169431811618</v>
      </c>
      <c r="K4" s="1601">
        <f>J4-L4</f>
        <v>0.563179431811621</v>
      </c>
      <c r="L4" s="1596">
        <f>ventes_achats_élec!T36</f>
        <v>9.5449899999999968</v>
      </c>
      <c r="M4" s="1380">
        <f>H4-L4</f>
        <v>7.5336312152647498</v>
      </c>
      <c r="N4" s="1510">
        <f>'Achats et ventes BT agences'!CL19</f>
        <v>196.23581246640049</v>
      </c>
      <c r="O4" s="1511">
        <f>'Achats et ventes BT agences'!CM19</f>
        <v>57.526230010000091</v>
      </c>
      <c r="P4" s="1380">
        <f t="shared" ref="P4:P14" si="1">O4-N4</f>
        <v>-138.7095824564004</v>
      </c>
      <c r="Q4" s="1510">
        <f>+ventes_achats_élec!G19-ventes_achats_élec!F19</f>
        <v>306.02630721000014</v>
      </c>
      <c r="R4" s="1511">
        <f>+ventes_achats_élec!G36-ventes_achats_élec!F36</f>
        <v>334.04295232000004</v>
      </c>
      <c r="S4" s="1457">
        <f>R4-Q4</f>
        <v>28.016645109999899</v>
      </c>
      <c r="T4" s="1381">
        <f>ventes_achats_élec!U36</f>
        <v>300.65486743809697</v>
      </c>
      <c r="U4" s="1207">
        <f>R4-T4</f>
        <v>33.388084881903069</v>
      </c>
      <c r="V4" s="1210">
        <f>R4/T4*100</f>
        <v>111.10512035491243</v>
      </c>
      <c r="W4" s="207">
        <f>H7</f>
        <v>15.133515930199239</v>
      </c>
      <c r="X4" s="207">
        <f>H8</f>
        <v>16.713023428768278</v>
      </c>
      <c r="Y4" s="207" t="e">
        <f>#REF!</f>
        <v>#REF!</v>
      </c>
      <c r="Z4" s="207">
        <f>H9</f>
        <v>18.678505329492985</v>
      </c>
      <c r="AA4" s="207">
        <f>H10</f>
        <v>19.446657353512411</v>
      </c>
      <c r="AB4" s="207">
        <f>H11</f>
        <v>16.610119606700888</v>
      </c>
      <c r="AC4" s="207">
        <f>H12</f>
        <v>15.751500754132291</v>
      </c>
      <c r="AD4" s="207">
        <f>H13</f>
        <v>9.9687718562732535</v>
      </c>
      <c r="AE4" s="207" t="e">
        <f>#REF!</f>
        <v>#REF!</v>
      </c>
      <c r="AF4" s="207" t="e">
        <f>#REF!</f>
        <v>#REF!</v>
      </c>
    </row>
    <row r="5" spans="1:32" ht="15" customHeight="1">
      <c r="A5" s="1387"/>
      <c r="C5" s="1774" t="s">
        <v>7</v>
      </c>
      <c r="D5" s="1779">
        <f>élec!BE227</f>
        <v>9.0454436235304989</v>
      </c>
      <c r="E5" s="212">
        <f>élec!BE242</f>
        <v>19.352844156038699</v>
      </c>
      <c r="F5" s="1457">
        <f t="shared" si="0"/>
        <v>10.307400532508201</v>
      </c>
      <c r="G5" s="1600">
        <f>élec!BA227</f>
        <v>15.570126924646402</v>
      </c>
      <c r="H5" s="213">
        <f>élec!BA242</f>
        <v>15.351295412529344</v>
      </c>
      <c r="I5" s="1457">
        <f t="shared" ref="I5:I13" si="2">+H5-G5</f>
        <v>-0.21883151211705787</v>
      </c>
      <c r="J5" s="213">
        <f>'Année-mobile elec'!I219</f>
        <v>8.0823773503145908</v>
      </c>
      <c r="K5" s="1602">
        <f t="shared" ref="K5:K13" si="3">J5-L5</f>
        <v>0.12738735031458859</v>
      </c>
      <c r="L5" s="1596">
        <f>ventes_achats_élec!T37</f>
        <v>7.9549900000000022</v>
      </c>
      <c r="M5" s="1233">
        <f t="shared" ref="M5:M13" si="4">H5-L5</f>
        <v>7.3963054125293421</v>
      </c>
      <c r="N5" s="1382">
        <f>'Achats et ventes BT agences'!CL29</f>
        <v>72.537594512776934</v>
      </c>
      <c r="O5" s="1383">
        <f>'Achats et ventes BT agences'!CM29</f>
        <v>55.03271866682725</v>
      </c>
      <c r="P5" s="1380">
        <f t="shared" si="1"/>
        <v>-17.504875845949684</v>
      </c>
      <c r="Q5" s="1382">
        <f>+ventes_achats_élec!G20-ventes_achats_élec!F20</f>
        <v>118.01951103600004</v>
      </c>
      <c r="R5" s="1383">
        <f>+ventes_achats_élec!G37-ventes_achats_élec!F37</f>
        <v>122.81891965175885</v>
      </c>
      <c r="S5" s="2129">
        <f t="shared" ref="S5:S14" si="5">R5-Q5</f>
        <v>4.7994086157588072</v>
      </c>
      <c r="T5" s="1381">
        <f>ventes_achats_élec!U37</f>
        <v>93.195608117245683</v>
      </c>
      <c r="U5" s="1234">
        <f t="shared" ref="U5:U10" si="6">R5-T5</f>
        <v>29.623311534513164</v>
      </c>
      <c r="V5" s="1210">
        <f>R5/T5*100</f>
        <v>131.78616689452281</v>
      </c>
      <c r="W5" s="211">
        <f t="shared" ref="W5:AF5" si="7">W4-W3</f>
        <v>-3.3664840698007605</v>
      </c>
      <c r="X5" s="211">
        <f t="shared" si="7"/>
        <v>-3.2869765712317225</v>
      </c>
      <c r="Y5" s="211" t="e">
        <f t="shared" si="7"/>
        <v>#REF!</v>
      </c>
      <c r="Z5" s="211">
        <f t="shared" si="7"/>
        <v>5.978505329492986</v>
      </c>
      <c r="AA5" s="211">
        <f t="shared" si="7"/>
        <v>5.8466573535124109</v>
      </c>
      <c r="AB5" s="211">
        <f t="shared" si="7"/>
        <v>5.9101196067008885</v>
      </c>
      <c r="AC5" s="211">
        <f t="shared" si="7"/>
        <v>3.2515007541322909</v>
      </c>
      <c r="AD5" s="211">
        <f t="shared" si="7"/>
        <v>-2.5312281437267465</v>
      </c>
      <c r="AE5" s="211" t="e">
        <f t="shared" si="7"/>
        <v>#REF!</v>
      </c>
      <c r="AF5" s="211" t="e">
        <f t="shared" si="7"/>
        <v>#REF!</v>
      </c>
    </row>
    <row r="6" spans="1:32" ht="15" customHeight="1">
      <c r="C6" s="1774" t="s">
        <v>8</v>
      </c>
      <c r="D6" s="1779">
        <f>élec!BE228</f>
        <v>1.650205585951114</v>
      </c>
      <c r="E6" s="212">
        <f>élec!BE243</f>
        <v>14.442816126702049</v>
      </c>
      <c r="F6" s="1457">
        <f t="shared" si="0"/>
        <v>12.792610540750935</v>
      </c>
      <c r="G6" s="1600">
        <f>élec!BA228</f>
        <v>12.969614573682309</v>
      </c>
      <c r="H6" s="213">
        <f>élec!BA243</f>
        <v>11.953904584469335</v>
      </c>
      <c r="I6" s="1457">
        <f t="shared" si="2"/>
        <v>-1.015709989212974</v>
      </c>
      <c r="J6" s="213">
        <f>'Année-mobile elec'!I220</f>
        <v>6.1699054374635489</v>
      </c>
      <c r="K6" s="1602">
        <f t="shared" si="3"/>
        <v>-0.59508456253645559</v>
      </c>
      <c r="L6" s="1596">
        <f>ventes_achats_élec!T38</f>
        <v>6.7649900000000045</v>
      </c>
      <c r="M6" s="1233">
        <f t="shared" si="4"/>
        <v>5.1889145844693303</v>
      </c>
      <c r="N6" s="1382">
        <f>'Achats et ventes BT agences'!CL38</f>
        <v>45.932597786589376</v>
      </c>
      <c r="O6" s="1383">
        <f>'Achats et ventes BT agences'!CM38</f>
        <v>30.586641057784082</v>
      </c>
      <c r="P6" s="1233">
        <f t="shared" si="1"/>
        <v>-15.345956728805294</v>
      </c>
      <c r="Q6" s="1382">
        <f>+ventes_achats_élec!G21-ventes_achats_élec!F21</f>
        <v>85.433359650000057</v>
      </c>
      <c r="R6" s="1383">
        <f>+ventes_achats_élec!G38-ventes_achats_élec!F38</f>
        <v>80.96464651000008</v>
      </c>
      <c r="S6" s="1457">
        <f t="shared" si="5"/>
        <v>-4.4687131399999771</v>
      </c>
      <c r="T6" s="1510">
        <f>ventes_achats_élec!U38</f>
        <v>68.733401717796369</v>
      </c>
      <c r="U6" s="1234">
        <f>R6-T6</f>
        <v>12.231244792203711</v>
      </c>
      <c r="V6" s="1210">
        <f>R6/T6*100</f>
        <v>117.79519780269629</v>
      </c>
      <c r="W6" s="203"/>
      <c r="X6" s="203"/>
    </row>
    <row r="7" spans="1:32" ht="15" customHeight="1">
      <c r="A7" s="194"/>
      <c r="C7" s="1774" t="s">
        <v>4</v>
      </c>
      <c r="D7" s="1779">
        <f>élec!BE229</f>
        <v>10.783162892454971</v>
      </c>
      <c r="E7" s="212">
        <f>élec!BE244</f>
        <v>19.499990554287631</v>
      </c>
      <c r="F7" s="1938">
        <f t="shared" si="0"/>
        <v>8.7168276618326601</v>
      </c>
      <c r="G7" s="1600">
        <f>élec!BA229</f>
        <v>15.942711888786176</v>
      </c>
      <c r="H7" s="213">
        <f>élec!BA244</f>
        <v>15.133515930199239</v>
      </c>
      <c r="I7" s="1938">
        <f t="shared" si="2"/>
        <v>-0.80919595858693683</v>
      </c>
      <c r="J7" s="210">
        <f>'Année-mobile elec'!I221</f>
        <v>8.0018513149757542</v>
      </c>
      <c r="K7" s="1601">
        <f t="shared" si="3"/>
        <v>-0.48313868502424917</v>
      </c>
      <c r="L7" s="1596">
        <f>ventes_achats_élec!T39</f>
        <v>8.4849900000000034</v>
      </c>
      <c r="M7" s="1233">
        <f t="shared" si="4"/>
        <v>6.6485259301992361</v>
      </c>
      <c r="N7" s="1382">
        <f>'Achats et ventes BT agences'!CL56</f>
        <v>124.24570631000003</v>
      </c>
      <c r="O7" s="1383">
        <f>'Achats et ventes BT agences'!CM56</f>
        <v>83.731751949999961</v>
      </c>
      <c r="P7" s="1233">
        <f t="shared" si="1"/>
        <v>-40.513954360000071</v>
      </c>
      <c r="Q7" s="1382">
        <f>+ventes_achats_élec!G22-ventes_achats_élec!F22</f>
        <v>199.22185101000014</v>
      </c>
      <c r="R7" s="1383">
        <f>+ventes_achats_élec!G39-ventes_achats_élec!F39</f>
        <v>192.16167754000003</v>
      </c>
      <c r="S7" s="1938">
        <f t="shared" si="5"/>
        <v>-7.0601734700001089</v>
      </c>
      <c r="T7" s="1381">
        <f>ventes_achats_élec!U39</f>
        <v>171.85232802697806</v>
      </c>
      <c r="U7" s="1197">
        <f t="shared" si="6"/>
        <v>20.309349513021971</v>
      </c>
      <c r="V7" s="1210">
        <f>R7/T7*100</f>
        <v>111.81790770377793</v>
      </c>
      <c r="W7" s="203"/>
      <c r="X7" s="203"/>
    </row>
    <row r="8" spans="1:32" ht="15" customHeight="1">
      <c r="C8" s="1774" t="s">
        <v>3</v>
      </c>
      <c r="D8" s="1779">
        <f>élec!BE230</f>
        <v>16.232898324635432</v>
      </c>
      <c r="E8" s="212">
        <f>élec!BE245</f>
        <v>15.564919052305088</v>
      </c>
      <c r="F8" s="1457">
        <f t="shared" si="0"/>
        <v>-0.66797927233034393</v>
      </c>
      <c r="G8" s="1600">
        <f>élec!BA230</f>
        <v>17.394143828915457</v>
      </c>
      <c r="H8" s="213">
        <f>élec!BA245</f>
        <v>16.713023428768278</v>
      </c>
      <c r="I8" s="1457">
        <f t="shared" si="2"/>
        <v>-0.68112040014717934</v>
      </c>
      <c r="J8" s="210">
        <f>'Année-mobile elec'!I222</f>
        <v>9.78684073855311</v>
      </c>
      <c r="K8" s="1601">
        <f t="shared" si="3"/>
        <v>0.16185073855311138</v>
      </c>
      <c r="L8" s="1596">
        <f>ventes_achats_élec!T40</f>
        <v>9.6249899999999986</v>
      </c>
      <c r="M8" s="1233">
        <f t="shared" si="4"/>
        <v>7.0880334287682789</v>
      </c>
      <c r="N8" s="1382">
        <f>'Achats et ventes BT agences'!CL68</f>
        <v>110.25398615999993</v>
      </c>
      <c r="O8" s="1383">
        <f>'Achats et ventes BT agences'!CM68</f>
        <v>101.29417101039998</v>
      </c>
      <c r="P8" s="1233">
        <f t="shared" si="1"/>
        <v>-8.9598151495999474</v>
      </c>
      <c r="Q8" s="1382">
        <f>+ventes_achats_élec!G23-ventes_achats_élec!F23</f>
        <v>168.31222439999988</v>
      </c>
      <c r="R8" s="1383">
        <f>+ventes_achats_élec!G40-ventes_achats_élec!F40</f>
        <v>183.3150314400001</v>
      </c>
      <c r="S8" s="1457">
        <f t="shared" si="5"/>
        <v>15.002807040000221</v>
      </c>
      <c r="T8" s="1381">
        <f>ventes_achats_élec!U40</f>
        <v>135.80847713233811</v>
      </c>
      <c r="U8" s="1197">
        <f t="shared" si="6"/>
        <v>47.506554307661986</v>
      </c>
      <c r="V8" s="1210">
        <f>R8/T8*100</f>
        <v>134.98055151694942</v>
      </c>
      <c r="W8" s="203"/>
      <c r="X8" s="203"/>
    </row>
    <row r="9" spans="1:32" ht="15" customHeight="1">
      <c r="A9" s="215"/>
      <c r="C9" s="1774" t="s">
        <v>397</v>
      </c>
      <c r="D9" s="1779">
        <f>élec!BE231</f>
        <v>24.369169434988571</v>
      </c>
      <c r="E9" s="212">
        <f>élec!BE246</f>
        <v>30.718245137154369</v>
      </c>
      <c r="F9" s="1457">
        <f t="shared" si="0"/>
        <v>6.3490757021657984</v>
      </c>
      <c r="G9" s="1600">
        <f>élec!BA231</f>
        <v>19.763626378147624</v>
      </c>
      <c r="H9" s="213">
        <f>élec!BA246</f>
        <v>18.678505329492985</v>
      </c>
      <c r="I9" s="1457">
        <f t="shared" si="2"/>
        <v>-1.0851210486546385</v>
      </c>
      <c r="J9" s="210">
        <f>'Année-mobile elec'!I223</f>
        <v>10.286520324761799</v>
      </c>
      <c r="K9" s="1601">
        <f t="shared" si="3"/>
        <v>-0.52846967523820076</v>
      </c>
      <c r="L9" s="1596">
        <f>ventes_achats_élec!T41</f>
        <v>10.81499</v>
      </c>
      <c r="M9" s="1241">
        <f t="shared" si="4"/>
        <v>7.8635153294929854</v>
      </c>
      <c r="N9" s="1382">
        <f>'Achats et ventes BT agences'!CL75</f>
        <v>111.35202516659977</v>
      </c>
      <c r="O9" s="1383">
        <f>'Achats et ventes BT agences'!CM75</f>
        <v>34.607048065800129</v>
      </c>
      <c r="P9" s="1233">
        <f t="shared" si="1"/>
        <v>-76.744977100799645</v>
      </c>
      <c r="Q9" s="1382">
        <f>+ventes_achats_élec!G24-ventes_achats_élec!F24</f>
        <v>159.89389433999986</v>
      </c>
      <c r="R9" s="1383">
        <f>+ventes_achats_élec!G41-ventes_achats_élec!F41</f>
        <v>156.18487146999985</v>
      </c>
      <c r="S9" s="1457">
        <f t="shared" si="5"/>
        <v>-3.7090228700000125</v>
      </c>
      <c r="T9" s="1381">
        <f>ventes_achats_élec!U41</f>
        <v>136.18155491731818</v>
      </c>
      <c r="U9" s="1197">
        <f t="shared" si="6"/>
        <v>20.003316552681667</v>
      </c>
      <c r="V9" s="1210">
        <f t="shared" ref="V9:V14" si="8">R9/T9*100</f>
        <v>114.68871211290438</v>
      </c>
      <c r="W9" s="203"/>
      <c r="X9" s="203"/>
    </row>
    <row r="10" spans="1:32" ht="15" customHeight="1">
      <c r="C10" s="1774" t="s">
        <v>399</v>
      </c>
      <c r="D10" s="1779">
        <f>élec!BE232</f>
        <v>24.72398480289527</v>
      </c>
      <c r="E10" s="212">
        <f>élec!BE247</f>
        <v>33.205510305174393</v>
      </c>
      <c r="F10" s="1457">
        <f t="shared" si="0"/>
        <v>8.4815255022791227</v>
      </c>
      <c r="G10" s="1600">
        <f>élec!BA232</f>
        <v>19.97228888683426</v>
      </c>
      <c r="H10" s="213">
        <f>élec!BA247</f>
        <v>19.446657353512411</v>
      </c>
      <c r="I10" s="1457">
        <f t="shared" si="2"/>
        <v>-0.52563153332184953</v>
      </c>
      <c r="J10" s="210">
        <f>'Année-mobile elec'!I224</f>
        <v>10.770779338600661</v>
      </c>
      <c r="K10" s="1601">
        <f t="shared" si="3"/>
        <v>5.578933860066293E-2</v>
      </c>
      <c r="L10" s="1596">
        <f>ventes_achats_élec!T42</f>
        <v>10.714989999999998</v>
      </c>
      <c r="M10" s="1233">
        <f t="shared" si="4"/>
        <v>8.7316673535124121</v>
      </c>
      <c r="N10" s="1382">
        <f>'Achats et ventes BT agences'!CL85</f>
        <v>192.60200342360008</v>
      </c>
      <c r="O10" s="1383">
        <f>'Achats et ventes BT agences'!CM85</f>
        <v>234.40816232600008</v>
      </c>
      <c r="P10" s="1233">
        <f t="shared" si="1"/>
        <v>41.8061589024</v>
      </c>
      <c r="Q10" s="1382">
        <f>+ventes_achats_élec!G25-ventes_achats_élec!F25</f>
        <v>275.31064579999997</v>
      </c>
      <c r="R10" s="1383">
        <f>+ventes_achats_élec!G42-ventes_achats_élec!F42</f>
        <v>282.3890190699999</v>
      </c>
      <c r="S10" s="1457">
        <f t="shared" si="5"/>
        <v>7.0783732699999291</v>
      </c>
      <c r="T10" s="1381">
        <f>ventes_achats_élec!U42</f>
        <v>232.06379290159134</v>
      </c>
      <c r="U10" s="1197">
        <f t="shared" si="6"/>
        <v>50.325226168408562</v>
      </c>
      <c r="V10" s="1210">
        <f t="shared" si="8"/>
        <v>121.68594485989006</v>
      </c>
      <c r="W10" s="203"/>
      <c r="X10" s="203"/>
    </row>
    <row r="11" spans="1:32" ht="15" customHeight="1">
      <c r="C11" s="1774" t="s">
        <v>883</v>
      </c>
      <c r="D11" s="1779">
        <f>élec!BE233</f>
        <v>10.726937484998924</v>
      </c>
      <c r="E11" s="212">
        <f>élec!BE248</f>
        <v>18.143987136586112</v>
      </c>
      <c r="F11" s="1457">
        <f t="shared" si="0"/>
        <v>7.4170496515871882</v>
      </c>
      <c r="G11" s="1600">
        <f>élec!BA233</f>
        <v>17.274727978857268</v>
      </c>
      <c r="H11" s="213">
        <f>élec!BA248</f>
        <v>16.610119606700888</v>
      </c>
      <c r="I11" s="1457">
        <f t="shared" si="2"/>
        <v>-0.6646083721563798</v>
      </c>
      <c r="J11" s="213">
        <f>'Année-mobile elec'!I225</f>
        <v>8.1630354294726786</v>
      </c>
      <c r="K11" s="1602">
        <f>J11-L11</f>
        <v>8.0454294726788333E-3</v>
      </c>
      <c r="L11" s="1597">
        <f>ventes_achats_élec!T43</f>
        <v>8.1549899999999997</v>
      </c>
      <c r="M11" s="1233">
        <f t="shared" si="4"/>
        <v>8.4551296067008881</v>
      </c>
      <c r="N11" s="1382">
        <f>'Achats et ventes BT agences'!CL92</f>
        <v>93.363017593240741</v>
      </c>
      <c r="O11" s="1383">
        <f>'Achats et ventes BT agences'!CM92</f>
        <v>71.401926660000044</v>
      </c>
      <c r="P11" s="1233">
        <f t="shared" si="1"/>
        <v>-21.961090933240698</v>
      </c>
      <c r="Q11" s="1382">
        <f>+ventes_achats_élec!G26-ventes_achats_élec!F26</f>
        <v>143.04742887000009</v>
      </c>
      <c r="R11" s="1383">
        <f>+ventes_achats_élec!G43-ventes_achats_élec!F43</f>
        <v>146.44287251999981</v>
      </c>
      <c r="S11" s="1457">
        <f t="shared" si="5"/>
        <v>3.39544364999972</v>
      </c>
      <c r="T11" s="1381">
        <f>ventes_achats_élec!U43</f>
        <v>98.7121344964728</v>
      </c>
      <c r="U11" s="1197">
        <f>R11-T11</f>
        <v>47.73073802352701</v>
      </c>
      <c r="V11" s="1210">
        <f t="shared" si="8"/>
        <v>148.3534656270983</v>
      </c>
    </row>
    <row r="12" spans="1:32" ht="15" customHeight="1">
      <c r="A12" s="1387"/>
      <c r="C12" s="1774" t="s">
        <v>884</v>
      </c>
      <c r="D12" s="1779">
        <f>élec!BE234</f>
        <v>10.333044197644369</v>
      </c>
      <c r="E12" s="212">
        <f>élec!BE249</f>
        <v>16.553997796363841</v>
      </c>
      <c r="F12" s="1457">
        <f t="shared" si="0"/>
        <v>6.220953598719472</v>
      </c>
      <c r="G12" s="1600">
        <f>élec!BA234</f>
        <v>16.532662717597038</v>
      </c>
      <c r="H12" s="213">
        <f>élec!BA249</f>
        <v>15.751500754132291</v>
      </c>
      <c r="I12" s="1457">
        <f t="shared" si="2"/>
        <v>-0.78116196346474709</v>
      </c>
      <c r="J12" s="210">
        <f>'Année-mobile elec'!I226</f>
        <v>8.0109132624694901</v>
      </c>
      <c r="K12" s="1601">
        <f t="shared" si="3"/>
        <v>-0.28407673753051021</v>
      </c>
      <c r="L12" s="1597">
        <f>ventes_achats_élec!T44</f>
        <v>8.2949900000000003</v>
      </c>
      <c r="M12" s="1233">
        <f t="shared" si="4"/>
        <v>7.4565107541322906</v>
      </c>
      <c r="N12" s="1382">
        <f>'Achats et ventes BT agences'!CL103</f>
        <v>107.99854510019998</v>
      </c>
      <c r="O12" s="1383">
        <f>'Achats et ventes BT agences'!CM103</f>
        <v>25.919857300000089</v>
      </c>
      <c r="P12" s="1233">
        <f t="shared" si="1"/>
        <v>-82.078687800199887</v>
      </c>
      <c r="Q12" s="1382">
        <f>+ventes_achats_élec!G27-ventes_achats_élec!F27</f>
        <v>169.52062081999986</v>
      </c>
      <c r="R12" s="1383">
        <f>+ventes_achats_élec!G44-ventes_achats_élec!F44</f>
        <v>169.5023696400001</v>
      </c>
      <c r="S12" s="1457">
        <f t="shared" si="5"/>
        <v>-1.8251179999765554E-2</v>
      </c>
      <c r="T12" s="1381">
        <f>ventes_achats_élec!U44</f>
        <v>128.96296952760372</v>
      </c>
      <c r="U12" s="1197">
        <f>R12-T12</f>
        <v>40.539400112396379</v>
      </c>
      <c r="V12" s="1210">
        <f t="shared" si="8"/>
        <v>131.43491520154487</v>
      </c>
    </row>
    <row r="13" spans="1:32" ht="17.25" customHeight="1" thickBot="1">
      <c r="C13" s="1774" t="s">
        <v>885</v>
      </c>
      <c r="D13" s="1779">
        <f>élec!BE235</f>
        <v>5.0711489640679819</v>
      </c>
      <c r="E13" s="212">
        <f>élec!BE250</f>
        <v>7.7001358540062652</v>
      </c>
      <c r="F13" s="1457">
        <f t="shared" si="0"/>
        <v>2.6289868899382833</v>
      </c>
      <c r="G13" s="1600">
        <f>élec!BA235</f>
        <v>11.033917086593508</v>
      </c>
      <c r="H13" s="213">
        <f>élec!BA250</f>
        <v>9.9687718562732535</v>
      </c>
      <c r="I13" s="1457">
        <f t="shared" si="2"/>
        <v>-1.0651452303202547</v>
      </c>
      <c r="J13" s="210">
        <f>'Année-mobile elec'!I227</f>
        <v>7.5681045510973197</v>
      </c>
      <c r="K13" s="1601">
        <f t="shared" si="3"/>
        <v>-0.72688544890267703</v>
      </c>
      <c r="L13" s="1597">
        <f>ventes_achats_élec!T45</f>
        <v>8.2949899999999968</v>
      </c>
      <c r="M13" s="1241">
        <f t="shared" si="4"/>
        <v>1.6737818562732567</v>
      </c>
      <c r="N13" s="1382">
        <f>'Achats et ventes BT agences'!CL107</f>
        <v>10.143571570000017</v>
      </c>
      <c r="O13" s="1383">
        <f>'Achats et ventes BT agences'!CM107</f>
        <v>7.5012468699999992</v>
      </c>
      <c r="P13" s="1241">
        <f t="shared" si="1"/>
        <v>-2.6423247000000174</v>
      </c>
      <c r="Q13" s="1382">
        <f>+ventes_achats_élec!G28-ventes_achats_élec!F28</f>
        <v>22.233844089999991</v>
      </c>
      <c r="R13" s="1383">
        <f>+ventes_achats_élec!G45-ventes_achats_élec!F45</f>
        <v>20.240832829999988</v>
      </c>
      <c r="S13" s="1457">
        <f t="shared" si="5"/>
        <v>-1.9930112600000029</v>
      </c>
      <c r="T13" s="1381">
        <f>ventes_achats_élec!U45</f>
        <v>26.988223035977683</v>
      </c>
      <c r="U13" s="1197">
        <f>R13-T13</f>
        <v>-6.7473902059776947</v>
      </c>
      <c r="V13" s="1210">
        <f t="shared" si="8"/>
        <v>74.998760766935902</v>
      </c>
    </row>
    <row r="14" spans="1:32" ht="15" customHeight="1" thickBot="1">
      <c r="C14" s="105" t="s">
        <v>992</v>
      </c>
      <c r="D14" s="216">
        <f>élec!BE236</f>
        <v>14.137725415974423</v>
      </c>
      <c r="E14" s="217">
        <f>élec!BE251</f>
        <v>21.657646387960508</v>
      </c>
      <c r="F14" s="1871">
        <f>+E14-D14</f>
        <v>7.5199209719860853</v>
      </c>
      <c r="G14" s="218">
        <f>élec!BA236</f>
        <v>16.968675371764757</v>
      </c>
      <c r="H14" s="218">
        <f>élec!BA251</f>
        <v>16.470548164033136</v>
      </c>
      <c r="I14" s="1871">
        <f>+H14-G14</f>
        <v>-0.49812720773162056</v>
      </c>
      <c r="J14" s="1684">
        <f>'Année-mobile elec'!I228</f>
        <v>9.0736510415058742</v>
      </c>
      <c r="K14" s="1685">
        <f>J14-L14</f>
        <v>-3.8307469244548642E-2</v>
      </c>
      <c r="L14" s="218">
        <f>ventes_achats_élec!T46</f>
        <v>9.1119585107504228</v>
      </c>
      <c r="M14" s="1374">
        <f>+H14-L14</f>
        <v>7.3585896532827135</v>
      </c>
      <c r="N14" s="1372">
        <f>SUM(N4:N13)</f>
        <v>1064.6648600894073</v>
      </c>
      <c r="O14" s="1373">
        <f>SUM(O4:O13)</f>
        <v>702.00975391681175</v>
      </c>
      <c r="P14" s="1374">
        <f t="shared" si="1"/>
        <v>-362.65510617259554</v>
      </c>
      <c r="Q14" s="1372">
        <f>SUM(Q4:Q13)</f>
        <v>1647.0196872260001</v>
      </c>
      <c r="R14" s="1373">
        <f>SUM(R4:R13)</f>
        <v>1688.0631929917588</v>
      </c>
      <c r="S14" s="1871">
        <f t="shared" si="5"/>
        <v>41.043505765758709</v>
      </c>
      <c r="T14" s="1372">
        <f>SUM(T4:T13)</f>
        <v>1393.1533573114189</v>
      </c>
      <c r="U14" s="1198">
        <f>R14-T14</f>
        <v>294.90983568033994</v>
      </c>
      <c r="V14" s="1211">
        <f t="shared" si="8"/>
        <v>121.16851200426868</v>
      </c>
      <c r="W14" s="203"/>
      <c r="X14" s="203"/>
    </row>
    <row r="15" spans="1:32" ht="15" customHeight="1">
      <c r="C15" s="3042"/>
      <c r="D15" s="3042"/>
      <c r="E15" s="3042"/>
      <c r="F15" s="3042"/>
      <c r="G15" s="3042"/>
      <c r="H15" s="3042"/>
      <c r="I15" s="3042"/>
      <c r="J15" s="3042"/>
      <c r="K15" s="3042"/>
      <c r="L15" s="3042"/>
      <c r="M15" s="3042"/>
      <c r="N15" s="1388"/>
      <c r="P15" s="1387"/>
      <c r="W15" s="203"/>
      <c r="X15" s="203"/>
    </row>
    <row r="16" spans="1:32" s="219" customFormat="1" ht="15" customHeight="1">
      <c r="A16" s="231"/>
      <c r="B16" s="231"/>
      <c r="C16" s="231">
        <f>H14/L14*100</f>
        <v>180.75749735472283</v>
      </c>
      <c r="D16" s="2171">
        <f>L14/H14*100</f>
        <v>55.322739838424305</v>
      </c>
      <c r="E16" s="2171"/>
      <c r="F16" s="2172"/>
      <c r="G16" s="2171"/>
      <c r="H16" s="2172">
        <f>H14/L14*100</f>
        <v>180.75749735472283</v>
      </c>
      <c r="I16" s="2172">
        <v>14.53</v>
      </c>
      <c r="J16" s="2173"/>
      <c r="K16" s="2174"/>
      <c r="L16" s="2175">
        <v>10.46</v>
      </c>
      <c r="M16" s="2175"/>
      <c r="N16" s="2175"/>
      <c r="O16" s="231"/>
    </row>
    <row r="17" spans="1:22" s="219" customFormat="1" ht="15" customHeight="1">
      <c r="A17" s="2176"/>
      <c r="B17" s="231" t="s">
        <v>6</v>
      </c>
      <c r="C17" s="231" t="s">
        <v>7</v>
      </c>
      <c r="D17" s="231" t="s">
        <v>8</v>
      </c>
      <c r="E17" s="231" t="s">
        <v>4</v>
      </c>
      <c r="F17" s="231" t="s">
        <v>3</v>
      </c>
      <c r="G17" s="231" t="s">
        <v>397</v>
      </c>
      <c r="H17" s="231" t="s">
        <v>399</v>
      </c>
      <c r="I17" s="2177" t="s">
        <v>883</v>
      </c>
      <c r="J17" s="231" t="s">
        <v>884</v>
      </c>
      <c r="K17" s="231" t="s">
        <v>885</v>
      </c>
      <c r="L17" s="231" t="s">
        <v>614</v>
      </c>
      <c r="M17" s="231"/>
      <c r="N17" s="231"/>
      <c r="O17" s="231"/>
      <c r="Q17" s="220"/>
      <c r="V17" s="1389"/>
    </row>
    <row r="18" spans="1:22" s="219" customFormat="1" ht="15" customHeight="1">
      <c r="A18" s="2178" t="s">
        <v>35</v>
      </c>
      <c r="B18" s="2179">
        <f>L4</f>
        <v>9.5449899999999968</v>
      </c>
      <c r="C18" s="2179">
        <f>L5</f>
        <v>7.9549900000000022</v>
      </c>
      <c r="D18" s="2179">
        <f>L6</f>
        <v>6.7649900000000045</v>
      </c>
      <c r="E18" s="2179">
        <f>L7</f>
        <v>8.4849900000000034</v>
      </c>
      <c r="F18" s="2179">
        <f>L8</f>
        <v>9.6249899999999986</v>
      </c>
      <c r="G18" s="2179">
        <f>L9</f>
        <v>10.81499</v>
      </c>
      <c r="H18" s="2179">
        <f>L10</f>
        <v>10.714989999999998</v>
      </c>
      <c r="I18" s="2179">
        <f>L11</f>
        <v>8.1549899999999997</v>
      </c>
      <c r="J18" s="2179">
        <f>L12</f>
        <v>8.2949900000000003</v>
      </c>
      <c r="K18" s="2179">
        <f>L13</f>
        <v>8.2949899999999968</v>
      </c>
      <c r="L18" s="2179">
        <f>H14</f>
        <v>16.470548164033136</v>
      </c>
      <c r="M18" s="2180"/>
      <c r="N18" s="2180"/>
      <c r="O18" s="2180"/>
      <c r="P18" s="2158"/>
      <c r="Q18" s="220"/>
    </row>
    <row r="19" spans="1:22" s="219" customFormat="1" ht="15" customHeight="1">
      <c r="A19" s="2178" t="s">
        <v>36</v>
      </c>
      <c r="B19" s="2177">
        <f>H4</f>
        <v>17.078621215264747</v>
      </c>
      <c r="C19" s="2177">
        <f>H5</f>
        <v>15.351295412529344</v>
      </c>
      <c r="D19" s="2177">
        <f>H6</f>
        <v>11.953904584469335</v>
      </c>
      <c r="E19" s="2177">
        <f>H7</f>
        <v>15.133515930199239</v>
      </c>
      <c r="F19" s="2177">
        <f>H8</f>
        <v>16.713023428768278</v>
      </c>
      <c r="G19" s="2177">
        <f>H9</f>
        <v>18.678505329492985</v>
      </c>
      <c r="H19" s="2177">
        <f>H10</f>
        <v>19.446657353512411</v>
      </c>
      <c r="I19" s="2177">
        <f>H11</f>
        <v>16.610119606700888</v>
      </c>
      <c r="J19" s="2177">
        <f>H12</f>
        <v>15.751500754132291</v>
      </c>
      <c r="K19" s="2177">
        <f>H13</f>
        <v>9.9687718562732535</v>
      </c>
      <c r="L19" s="2181">
        <f>D14</f>
        <v>14.137725415974423</v>
      </c>
      <c r="M19" s="2177"/>
      <c r="N19" s="2177"/>
      <c r="O19" s="2177"/>
      <c r="P19" s="2159"/>
      <c r="Q19" s="220"/>
    </row>
    <row r="20" spans="1:22" s="219" customFormat="1" ht="33" customHeight="1">
      <c r="A20" s="2176" t="s">
        <v>63</v>
      </c>
      <c r="B20" s="2179">
        <f>H4-B18</f>
        <v>7.5336312152647498</v>
      </c>
      <c r="C20" s="2179">
        <f>H5-C18</f>
        <v>7.3963054125293421</v>
      </c>
      <c r="D20" s="2179">
        <f>H6-D18</f>
        <v>5.1889145844693303</v>
      </c>
      <c r="E20" s="2179">
        <f>H7-E18</f>
        <v>6.6485259301992361</v>
      </c>
      <c r="F20" s="2179">
        <f>H8-F18</f>
        <v>7.0880334287682789</v>
      </c>
      <c r="G20" s="2179">
        <f>H9-G18</f>
        <v>7.8635153294929854</v>
      </c>
      <c r="H20" s="2179">
        <f>H10-H18</f>
        <v>8.7316673535124121</v>
      </c>
      <c r="I20" s="2179">
        <f>H11-I18</f>
        <v>8.4551296067008881</v>
      </c>
      <c r="J20" s="2179">
        <f>H12-J18</f>
        <v>7.4565107541322906</v>
      </c>
      <c r="K20" s="2179">
        <f>H13-K18</f>
        <v>1.6737818562732567</v>
      </c>
      <c r="L20" s="2179">
        <f>D14-L18</f>
        <v>-2.3328227480587138</v>
      </c>
      <c r="M20" s="2180"/>
      <c r="N20" s="2180"/>
      <c r="O20" s="2180"/>
      <c r="P20" s="2158"/>
      <c r="Q20" s="220"/>
    </row>
    <row r="21" spans="1:22" s="219" customFormat="1" ht="15" customHeight="1">
      <c r="A21" s="220"/>
      <c r="B21" s="220"/>
      <c r="C21" s="220"/>
      <c r="D21" s="220"/>
      <c r="E21" s="220"/>
      <c r="F21" s="220"/>
      <c r="G21" s="220"/>
      <c r="H21" s="220"/>
      <c r="I21" s="220"/>
      <c r="J21" s="220"/>
      <c r="K21" s="220"/>
      <c r="L21" s="220"/>
      <c r="M21" s="220"/>
      <c r="N21" s="220"/>
      <c r="O21" s="220"/>
      <c r="P21" s="220"/>
      <c r="Q21" s="220"/>
      <c r="R21" s="220"/>
      <c r="S21" s="220"/>
      <c r="T21" s="220"/>
    </row>
    <row r="22" spans="1:22" s="219" customFormat="1" ht="15" customHeight="1">
      <c r="A22" s="220"/>
      <c r="B22" s="220"/>
      <c r="C22" s="220"/>
      <c r="D22" s="220"/>
      <c r="E22" s="220"/>
      <c r="F22" s="220"/>
      <c r="G22" s="220"/>
      <c r="H22" s="220"/>
      <c r="I22" s="220"/>
      <c r="J22" s="220"/>
      <c r="K22" s="220"/>
      <c r="L22" s="220"/>
      <c r="M22" s="220"/>
      <c r="N22" s="220"/>
      <c r="O22" s="220"/>
      <c r="P22" s="220"/>
      <c r="Q22" s="220"/>
      <c r="R22" s="220"/>
      <c r="S22" s="220"/>
      <c r="T22" s="220"/>
    </row>
    <row r="23" spans="1:22" s="219" customFormat="1" ht="15" customHeight="1">
      <c r="A23" s="220"/>
      <c r="B23" s="220"/>
      <c r="C23" s="220"/>
      <c r="D23" s="220"/>
      <c r="E23" s="220"/>
      <c r="F23" s="220"/>
      <c r="G23" s="220"/>
      <c r="H23" s="220"/>
      <c r="I23" s="220"/>
      <c r="J23" s="220"/>
      <c r="K23" s="220"/>
      <c r="L23" s="220"/>
      <c r="M23" s="220"/>
      <c r="N23" s="220"/>
      <c r="O23" s="220"/>
      <c r="P23" s="220"/>
      <c r="Q23" s="220"/>
      <c r="R23" s="220"/>
      <c r="S23" s="220"/>
      <c r="T23" s="220"/>
    </row>
    <row r="24" spans="1:22" s="219" customFormat="1" ht="15" customHeight="1">
      <c r="A24" s="231"/>
      <c r="B24" s="231"/>
      <c r="C24" s="231"/>
      <c r="D24" s="231"/>
      <c r="E24" s="231"/>
      <c r="F24" s="231"/>
      <c r="G24" s="231"/>
      <c r="H24" s="231"/>
      <c r="I24" s="231"/>
      <c r="J24" s="231"/>
      <c r="K24" s="231"/>
      <c r="L24" s="231"/>
      <c r="M24" s="231"/>
      <c r="N24" s="231"/>
      <c r="O24" s="231"/>
      <c r="P24" s="231"/>
      <c r="Q24" s="231"/>
      <c r="R24" s="231"/>
      <c r="S24" s="231"/>
    </row>
    <row r="25" spans="1:22" s="219" customFormat="1" ht="15" customHeight="1"/>
    <row r="26" spans="1:22" s="219" customFormat="1" ht="15" customHeight="1"/>
    <row r="27" spans="1:22" s="219" customFormat="1" ht="15" customHeight="1"/>
    <row r="28" spans="1:22" s="219" customFormat="1" ht="15" customHeight="1"/>
    <row r="29" spans="1:22" s="219" customFormat="1" ht="15" customHeight="1"/>
    <row r="30" spans="1:22" ht="15" customHeight="1">
      <c r="A30" s="86"/>
      <c r="B30" s="86"/>
      <c r="C30" s="86"/>
      <c r="D30" s="86"/>
      <c r="E30" s="86"/>
      <c r="F30" s="86"/>
      <c r="G30" s="86"/>
      <c r="H30" s="86"/>
      <c r="I30" s="86"/>
      <c r="J30" s="86"/>
      <c r="K30" s="86"/>
      <c r="L30" s="86"/>
      <c r="M30" s="86"/>
      <c r="N30" s="86"/>
      <c r="O30" s="86"/>
      <c r="P30" s="86"/>
      <c r="Q30" s="86"/>
      <c r="R30" s="86"/>
      <c r="S30" s="86"/>
      <c r="T30" s="86"/>
    </row>
    <row r="31" spans="1:22" ht="15" customHeight="1">
      <c r="A31" s="86"/>
      <c r="B31" s="86"/>
      <c r="C31" s="86"/>
      <c r="D31" s="86"/>
      <c r="E31" s="86"/>
      <c r="F31" s="86"/>
      <c r="G31" s="86"/>
      <c r="H31" s="86"/>
      <c r="I31" s="86"/>
      <c r="J31" s="86"/>
      <c r="K31" s="86"/>
      <c r="L31" s="86"/>
      <c r="M31" s="86"/>
      <c r="N31" s="86"/>
      <c r="O31" s="86"/>
      <c r="P31" s="86"/>
      <c r="Q31" s="86"/>
      <c r="R31" s="86"/>
      <c r="S31" s="86"/>
      <c r="T31" s="86"/>
    </row>
    <row r="32" spans="1:22" ht="15" customHeight="1">
      <c r="A32" s="86"/>
      <c r="B32" s="86"/>
      <c r="C32" s="86"/>
      <c r="D32" s="86"/>
      <c r="E32" s="86"/>
      <c r="F32" s="86"/>
      <c r="G32" s="86"/>
      <c r="H32" s="86"/>
      <c r="I32" s="86"/>
      <c r="J32" s="86"/>
      <c r="K32" s="86"/>
      <c r="L32" s="86"/>
      <c r="M32" s="86"/>
      <c r="N32" s="86"/>
      <c r="O32" s="86"/>
      <c r="P32" s="86"/>
      <c r="Q32" s="86"/>
      <c r="R32" s="86"/>
      <c r="S32" s="86"/>
      <c r="T32" s="86"/>
    </row>
    <row r="33" spans="1:20" ht="15" customHeight="1">
      <c r="A33" s="86"/>
      <c r="B33" s="86"/>
      <c r="C33" s="86"/>
      <c r="D33" s="86"/>
      <c r="H33" s="86"/>
      <c r="I33" s="86"/>
      <c r="J33" s="86"/>
      <c r="K33" s="86"/>
      <c r="L33" s="86"/>
      <c r="M33" s="86"/>
      <c r="N33" s="86"/>
      <c r="O33" s="86"/>
      <c r="P33" s="86"/>
      <c r="Q33" s="86"/>
      <c r="R33" s="86"/>
      <c r="S33" s="86"/>
      <c r="T33" s="86"/>
    </row>
    <row r="36" spans="1:20" ht="15" customHeight="1">
      <c r="D36" s="194"/>
      <c r="H36" s="194"/>
      <c r="I36" s="194"/>
      <c r="J36" s="194"/>
      <c r="K36" s="194"/>
      <c r="L36" s="194"/>
      <c r="M36" s="194"/>
      <c r="N36" s="194"/>
      <c r="O36" s="194"/>
      <c r="P36" s="194"/>
      <c r="Q36" s="194"/>
      <c r="R36" s="194"/>
      <c r="S36" s="194"/>
      <c r="T36" s="194"/>
    </row>
    <row r="48" spans="1:20" ht="15" customHeight="1">
      <c r="L48" s="3049" t="s">
        <v>29</v>
      </c>
      <c r="M48" s="3049"/>
      <c r="N48" s="250"/>
    </row>
    <row r="49" spans="1:12" ht="15" customHeight="1">
      <c r="B49" s="122"/>
      <c r="D49" s="203"/>
      <c r="E49" s="203"/>
      <c r="F49" s="203"/>
      <c r="G49" s="203"/>
      <c r="H49" s="203"/>
    </row>
    <row r="50" spans="1:12" ht="15" customHeight="1">
      <c r="B50" s="122"/>
      <c r="D50" s="221"/>
      <c r="E50" s="221"/>
      <c r="F50" s="221"/>
      <c r="G50" s="221"/>
      <c r="H50" s="203"/>
    </row>
    <row r="51" spans="1:12" ht="15" customHeight="1">
      <c r="B51" s="120"/>
      <c r="D51" s="203"/>
      <c r="E51" s="214"/>
      <c r="F51" s="214"/>
      <c r="G51" s="214"/>
      <c r="H51" s="214"/>
    </row>
    <row r="52" spans="1:12" ht="15" customHeight="1">
      <c r="B52" s="122"/>
      <c r="D52" s="203"/>
      <c r="E52" s="203"/>
      <c r="F52" s="203"/>
      <c r="G52" s="203"/>
      <c r="H52" s="203"/>
    </row>
    <row r="53" spans="1:12" ht="15" customHeight="1">
      <c r="B53" s="120"/>
      <c r="D53" s="203"/>
      <c r="E53" s="203"/>
      <c r="F53" s="203"/>
      <c r="G53" s="203"/>
      <c r="H53" s="203"/>
    </row>
    <row r="54" spans="1:12" ht="15" customHeight="1">
      <c r="B54" s="222"/>
      <c r="C54" s="86"/>
      <c r="D54" s="86"/>
      <c r="E54" s="86"/>
      <c r="F54" s="86"/>
      <c r="G54" s="86"/>
      <c r="H54" s="86"/>
      <c r="I54" s="86"/>
    </row>
    <row r="55" spans="1:12" ht="15" customHeight="1">
      <c r="B55" s="223"/>
      <c r="C55" s="3048"/>
      <c r="D55" s="3048"/>
      <c r="E55" s="224"/>
      <c r="F55" s="224"/>
      <c r="G55" s="224"/>
      <c r="H55" s="3048"/>
      <c r="I55" s="86"/>
    </row>
    <row r="56" spans="1:12" ht="15" customHeight="1">
      <c r="A56" s="118"/>
      <c r="B56" s="86"/>
      <c r="C56" s="3048"/>
      <c r="D56" s="3048"/>
      <c r="E56" s="225"/>
      <c r="F56" s="225"/>
      <c r="G56" s="226"/>
      <c r="H56" s="3048"/>
      <c r="I56" s="3050"/>
      <c r="J56" s="118"/>
      <c r="K56" s="118"/>
      <c r="L56" s="118"/>
    </row>
    <row r="57" spans="1:12" ht="15" customHeight="1">
      <c r="A57" s="118"/>
      <c r="B57" s="86"/>
      <c r="C57" s="224"/>
      <c r="D57" s="227"/>
      <c r="E57" s="228"/>
      <c r="F57" s="229"/>
      <c r="G57" s="228"/>
      <c r="H57" s="228"/>
      <c r="I57" s="3050"/>
      <c r="J57" s="118"/>
      <c r="K57" s="118"/>
      <c r="L57" s="118"/>
    </row>
    <row r="58" spans="1:12" ht="15" customHeight="1">
      <c r="A58" s="118"/>
      <c r="B58" s="86"/>
      <c r="C58" s="224"/>
      <c r="D58" s="227"/>
      <c r="E58" s="228"/>
      <c r="F58" s="229"/>
      <c r="G58" s="228"/>
      <c r="H58" s="228"/>
      <c r="I58" s="230"/>
      <c r="J58" s="118"/>
      <c r="K58" s="118"/>
      <c r="L58" s="118"/>
    </row>
    <row r="59" spans="1:12" ht="15" customHeight="1">
      <c r="A59" s="118"/>
      <c r="B59" s="86"/>
      <c r="C59" s="224"/>
      <c r="D59" s="227"/>
      <c r="E59" s="228"/>
      <c r="F59" s="229"/>
      <c r="G59" s="228"/>
      <c r="H59" s="228"/>
      <c r="I59" s="230"/>
      <c r="J59" s="118"/>
      <c r="K59" s="118"/>
      <c r="L59" s="118"/>
    </row>
    <row r="60" spans="1:12" ht="15" customHeight="1">
      <c r="A60" s="118"/>
      <c r="B60" s="86"/>
      <c r="C60" s="224"/>
      <c r="D60" s="227"/>
      <c r="E60" s="228"/>
      <c r="F60" s="229"/>
      <c r="H60" s="1318"/>
      <c r="I60" s="230"/>
      <c r="J60" s="118"/>
      <c r="K60" s="118"/>
      <c r="L60" s="118"/>
    </row>
    <row r="61" spans="1:12" ht="15" customHeight="1">
      <c r="A61" s="118"/>
      <c r="B61" s="86"/>
      <c r="C61" s="224"/>
      <c r="D61" s="227"/>
      <c r="E61" s="228"/>
      <c r="F61" s="229"/>
      <c r="H61" s="1318"/>
      <c r="I61" s="230"/>
      <c r="J61" s="118"/>
      <c r="K61" s="118"/>
      <c r="L61" s="118"/>
    </row>
    <row r="62" spans="1:12" ht="15" customHeight="1">
      <c r="A62" s="118"/>
      <c r="B62" s="86"/>
      <c r="C62" s="224"/>
      <c r="D62" s="227"/>
      <c r="E62" s="228"/>
      <c r="F62" s="229"/>
      <c r="H62" s="1318"/>
      <c r="I62" s="230"/>
      <c r="J62" s="118"/>
      <c r="K62" s="118"/>
      <c r="L62" s="118"/>
    </row>
    <row r="63" spans="1:12" ht="15" customHeight="1">
      <c r="A63" s="118"/>
      <c r="B63" s="86"/>
      <c r="C63" s="224"/>
      <c r="D63" s="227"/>
      <c r="E63" s="228"/>
      <c r="F63" s="229"/>
      <c r="H63" s="1318"/>
      <c r="I63" s="230"/>
      <c r="J63" s="118"/>
      <c r="K63" s="118"/>
      <c r="L63" s="118"/>
    </row>
    <row r="64" spans="1:12" ht="15" customHeight="1">
      <c r="A64" s="118"/>
      <c r="B64" s="86"/>
      <c r="C64" s="224"/>
      <c r="D64" s="227"/>
      <c r="E64" s="228"/>
      <c r="F64" s="229"/>
      <c r="H64" s="1318"/>
      <c r="I64" s="230"/>
      <c r="J64" s="118"/>
      <c r="K64" s="118"/>
      <c r="L64" s="118"/>
    </row>
    <row r="65" spans="1:12" ht="15" customHeight="1">
      <c r="A65" s="118"/>
      <c r="B65" s="86"/>
      <c r="C65" s="224"/>
      <c r="D65" s="227"/>
      <c r="E65" s="228"/>
      <c r="F65" s="229"/>
      <c r="G65" s="228"/>
      <c r="H65" s="228"/>
      <c r="I65" s="230"/>
      <c r="J65" s="118"/>
      <c r="K65" s="118"/>
      <c r="L65" s="118"/>
    </row>
    <row r="66" spans="1:12" ht="15" customHeight="1">
      <c r="A66" s="118"/>
      <c r="B66" s="86"/>
      <c r="C66" s="224"/>
      <c r="D66" s="227"/>
      <c r="E66" s="228"/>
      <c r="F66" s="229"/>
      <c r="G66" s="228"/>
      <c r="H66" s="228"/>
      <c r="I66" s="230"/>
      <c r="J66" s="118"/>
      <c r="K66" s="118"/>
      <c r="L66" s="118"/>
    </row>
    <row r="67" spans="1:12" ht="15" customHeight="1">
      <c r="A67" s="118"/>
      <c r="B67" s="86"/>
      <c r="C67" s="224"/>
      <c r="D67" s="227"/>
      <c r="E67" s="228"/>
      <c r="F67" s="229"/>
      <c r="G67" s="228"/>
      <c r="H67" s="228"/>
      <c r="I67" s="230"/>
      <c r="J67" s="118"/>
      <c r="K67" s="118"/>
      <c r="L67" s="118"/>
    </row>
    <row r="68" spans="1:12" ht="15" customHeight="1">
      <c r="A68" s="118"/>
      <c r="B68" s="86"/>
      <c r="C68" s="224"/>
      <c r="D68" s="227"/>
      <c r="E68" s="228"/>
      <c r="F68" s="229"/>
      <c r="G68" s="228"/>
      <c r="H68" s="228"/>
      <c r="I68" s="230"/>
      <c r="J68" s="118"/>
      <c r="K68" s="118"/>
      <c r="L68" s="118"/>
    </row>
  </sheetData>
  <mergeCells count="16">
    <mergeCell ref="C15:M15"/>
    <mergeCell ref="D1:M1"/>
    <mergeCell ref="G2:K2"/>
    <mergeCell ref="D2:F2"/>
    <mergeCell ref="C55:C56"/>
    <mergeCell ref="D55:D56"/>
    <mergeCell ref="L48:M48"/>
    <mergeCell ref="I56:I57"/>
    <mergeCell ref="H55:H56"/>
    <mergeCell ref="U2:U3"/>
    <mergeCell ref="V2:V3"/>
    <mergeCell ref="N2:O2"/>
    <mergeCell ref="P2:P3"/>
    <mergeCell ref="Q2:R2"/>
    <mergeCell ref="S2:S3"/>
    <mergeCell ref="T2:T3"/>
  </mergeCells>
  <phoneticPr fontId="28" type="noConversion"/>
  <conditionalFormatting sqref="F4:F14">
    <cfRule type="cellIs" dxfId="61" priority="4" operator="greaterThan">
      <formula>0</formula>
    </cfRule>
    <cfRule type="cellIs" dxfId="60" priority="5" operator="lessThanOrEqual">
      <formula>0</formula>
    </cfRule>
  </conditionalFormatting>
  <conditionalFormatting sqref="I4:I14">
    <cfRule type="cellIs" dxfId="59" priority="6" operator="greaterThan">
      <formula>0</formula>
    </cfRule>
    <cfRule type="cellIs" dxfId="58" priority="7" operator="lessThanOrEqual">
      <formula>0</formula>
    </cfRule>
  </conditionalFormatting>
  <conditionalFormatting sqref="S4:S13">
    <cfRule type="cellIs" dxfId="57" priority="1" operator="greaterThan">
      <formula>0</formula>
    </cfRule>
  </conditionalFormatting>
  <conditionalFormatting sqref="S4:S14">
    <cfRule type="cellIs" dxfId="56" priority="2" operator="greaterThan">
      <formula>0</formula>
    </cfRule>
    <cfRule type="cellIs" dxfId="55" priority="3" operator="lessThanOrEqual">
      <formula>0</formula>
    </cfRule>
  </conditionalFormatting>
  <hyperlinks>
    <hyperlink ref="L48" location="'tableau de bord'!F4" display="Retour" xr:uid="{00000000-0004-0000-0E00-000000000000}"/>
  </hyperlinks>
  <pageMargins left="0.35433070866141736" right="0.15748031496062992" top="1.1811023622047245" bottom="0.70866141732283472" header="0.51181102362204722" footer="0.47244094488188981"/>
  <pageSetup paperSize="9" scale="69" orientation="landscape" r:id="rId1"/>
  <headerFooter alignWithMargins="0">
    <oddHeader>&amp;C&amp;"Times New Roman,Gras"&amp;20Taux de pertes</oddHeader>
  </headerFooter>
  <drawing r:id="rId2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F00-000000000000}">
  <sheetPr codeName="Feuil5"/>
  <dimension ref="A1:AG91"/>
  <sheetViews>
    <sheetView showGridLines="0" showOutlineSymbols="0" topLeftCell="A16" zoomScaleNormal="100" zoomScaleSheetLayoutView="80" zoomScalePageLayoutView="85" workbookViewId="0">
      <selection activeCell="Q20" sqref="Q20:T30"/>
    </sheetView>
  </sheetViews>
  <sheetFormatPr baseColWidth="10" defaultColWidth="11.44140625" defaultRowHeight="13.8"/>
  <cols>
    <col min="1" max="1" width="1.33203125" style="87" customWidth="1"/>
    <col min="2" max="2" width="13.33203125" style="87" customWidth="1"/>
    <col min="3" max="3" width="9.44140625" style="87" customWidth="1"/>
    <col min="4" max="4" width="11.44140625" style="87" customWidth="1"/>
    <col min="5" max="5" width="13.5546875" style="87" customWidth="1"/>
    <col min="6" max="6" width="9" style="87" customWidth="1"/>
    <col min="7" max="7" width="14" style="87" customWidth="1"/>
    <col min="8" max="8" width="17.6640625" style="87" customWidth="1"/>
    <col min="9" max="10" width="11.44140625" style="87" customWidth="1"/>
    <col min="11" max="11" width="15.5546875" style="87" customWidth="1"/>
    <col min="12" max="12" width="14.44140625" style="87" customWidth="1"/>
    <col min="13" max="13" width="13" style="87" bestFit="1" customWidth="1"/>
    <col min="14" max="14" width="18" style="87" customWidth="1"/>
    <col min="15" max="15" width="8.44140625" style="87" customWidth="1"/>
    <col min="16" max="16" width="9.109375" style="87" customWidth="1"/>
    <col min="17" max="18" width="7.6640625" style="87" customWidth="1"/>
    <col min="19" max="19" width="11" style="87" customWidth="1"/>
    <col min="20" max="20" width="9.109375" style="87" customWidth="1"/>
    <col min="21" max="30" width="8.44140625" style="87" customWidth="1"/>
    <col min="31" max="31" width="5.5546875" style="87" customWidth="1"/>
    <col min="32" max="32" width="11.44140625" style="87" bestFit="1" customWidth="1"/>
    <col min="33" max="33" width="4.5546875" style="87" bestFit="1" customWidth="1"/>
    <col min="34" max="34" width="7.109375" style="87" bestFit="1" customWidth="1"/>
    <col min="35" max="35" width="6.44140625" style="87" bestFit="1" customWidth="1"/>
    <col min="36" max="16384" width="11.44140625" style="87"/>
  </cols>
  <sheetData>
    <row r="1" spans="2:33" ht="24" thickBot="1">
      <c r="B1" s="124"/>
      <c r="C1" s="124"/>
      <c r="D1" s="124"/>
      <c r="E1" s="3032" t="s">
        <v>218</v>
      </c>
      <c r="F1" s="3032"/>
      <c r="G1" s="3032"/>
      <c r="H1" s="3032"/>
      <c r="I1" s="3032"/>
      <c r="J1" s="3032"/>
      <c r="K1" s="3032"/>
      <c r="L1" s="3032"/>
      <c r="M1" s="3032"/>
      <c r="N1" s="3032"/>
      <c r="O1" s="3032"/>
      <c r="P1" s="3032"/>
      <c r="Q1" s="3032"/>
      <c r="R1" s="3032"/>
      <c r="S1" s="3032"/>
      <c r="T1" s="3032"/>
    </row>
    <row r="2" spans="2:33" ht="14.4" thickBot="1">
      <c r="B2" s="124"/>
      <c r="C2" s="3033">
        <f>ventes_achats_élec!B2</f>
        <v>45139</v>
      </c>
      <c r="D2" s="3034"/>
      <c r="E2" s="3034"/>
      <c r="F2" s="3034"/>
      <c r="G2" s="3034"/>
      <c r="H2" s="3035"/>
      <c r="I2" s="3033">
        <f>ventes_achats_élec!H2</f>
        <v>45505</v>
      </c>
      <c r="J2" s="3034"/>
      <c r="K2" s="3034"/>
      <c r="L2" s="3034"/>
      <c r="M2" s="3034"/>
      <c r="N2" s="3035"/>
      <c r="O2" s="3033" t="s">
        <v>53</v>
      </c>
      <c r="P2" s="3034"/>
      <c r="Q2" s="3034"/>
      <c r="R2" s="3034"/>
      <c r="S2" s="3034"/>
      <c r="T2" s="3035"/>
    </row>
    <row r="3" spans="2:33" ht="27.6">
      <c r="B3" s="124"/>
      <c r="C3" s="161" t="s">
        <v>17</v>
      </c>
      <c r="D3" s="162" t="s">
        <v>18</v>
      </c>
      <c r="E3" s="162" t="s">
        <v>56</v>
      </c>
      <c r="F3" s="162" t="s">
        <v>21</v>
      </c>
      <c r="G3" s="162" t="s">
        <v>57</v>
      </c>
      <c r="H3" s="95" t="s">
        <v>341</v>
      </c>
      <c r="I3" s="163" t="s">
        <v>17</v>
      </c>
      <c r="J3" s="162" t="s">
        <v>18</v>
      </c>
      <c r="K3" s="162" t="s">
        <v>56</v>
      </c>
      <c r="L3" s="162" t="s">
        <v>21</v>
      </c>
      <c r="M3" s="162" t="s">
        <v>57</v>
      </c>
      <c r="N3" s="95" t="str">
        <f>H3</f>
        <v>Liv au Rx MP</v>
      </c>
      <c r="O3" s="163" t="s">
        <v>17</v>
      </c>
      <c r="P3" s="162" t="s">
        <v>18</v>
      </c>
      <c r="Q3" s="162" t="s">
        <v>56</v>
      </c>
      <c r="R3" s="162" t="s">
        <v>21</v>
      </c>
      <c r="S3" s="162" t="s">
        <v>57</v>
      </c>
      <c r="T3" s="95" t="str">
        <f>N3</f>
        <v>Liv au Rx MP</v>
      </c>
      <c r="V3" s="87" t="s">
        <v>17</v>
      </c>
      <c r="W3" s="87" t="s">
        <v>18</v>
      </c>
      <c r="X3" s="87" t="s">
        <v>56</v>
      </c>
      <c r="Y3" s="87" t="s">
        <v>21</v>
      </c>
    </row>
    <row r="4" spans="2:33">
      <c r="B4" s="96" t="s">
        <v>6</v>
      </c>
      <c r="C4" s="1954">
        <f>gaz!BF196</f>
        <v>183.23836900000001</v>
      </c>
      <c r="D4" s="1280">
        <f>gaz!BG196</f>
        <v>11.121567000000001</v>
      </c>
      <c r="E4" s="1280">
        <f>gaz!BD196</f>
        <v>194.359936</v>
      </c>
      <c r="F4" s="1280">
        <f>gaz!BE196</f>
        <v>74.972859920000005</v>
      </c>
      <c r="G4" s="1280">
        <f>F4+E4</f>
        <v>269.33279592000002</v>
      </c>
      <c r="H4" s="1788">
        <f>gaz!BD228</f>
        <v>150.14617427000002</v>
      </c>
      <c r="I4" s="1955">
        <f>gaz!BF211</f>
        <v>94.824811670000003</v>
      </c>
      <c r="J4" s="1280">
        <f>gaz!BG211</f>
        <v>1.2603662799999999</v>
      </c>
      <c r="K4" s="1280">
        <f>gaz!BD211</f>
        <v>96.085177950000002</v>
      </c>
      <c r="L4" s="1280">
        <f>gaz!BE211</f>
        <v>88.108672380000002</v>
      </c>
      <c r="M4" s="1280">
        <f>L4+K4</f>
        <v>184.19385033</v>
      </c>
      <c r="N4" s="1788">
        <f>gaz!BD243</f>
        <v>157.50607149000001</v>
      </c>
      <c r="O4" s="167">
        <f>(((I4-C4)/C4)*100)</f>
        <v>-48.250569906567989</v>
      </c>
      <c r="P4" s="165">
        <f>(((J4-D4)/D4)*100)</f>
        <v>-88.667367826853905</v>
      </c>
      <c r="Q4" s="165">
        <f>(((K4-E4)/E4)*100)</f>
        <v>-50.563279692580267</v>
      </c>
      <c r="R4" s="165">
        <f>(((L4-F4)/F4)*100)</f>
        <v>17.520756809886407</v>
      </c>
      <c r="S4" s="165">
        <f t="shared" ref="S4:S14" si="0">(((M4-G4)/G4)*100)</f>
        <v>-31.611057724766965</v>
      </c>
      <c r="T4" s="165">
        <f t="shared" ref="T4:T14" si="1">(((N4-H4)/H4)*100)</f>
        <v>4.9018213456208848</v>
      </c>
      <c r="V4" s="215">
        <f>I4/C4</f>
        <v>0.51749430093432014</v>
      </c>
      <c r="W4" s="215">
        <f t="shared" ref="W4:Y13" si="2">J4/D4</f>
        <v>0.11332632173146104</v>
      </c>
      <c r="X4" s="215">
        <f>K4/E4</f>
        <v>0.49436720307419735</v>
      </c>
      <c r="Y4" s="215">
        <f>L4/F4</f>
        <v>1.1752075680988641</v>
      </c>
      <c r="AA4" s="87">
        <v>138.88115070000003</v>
      </c>
      <c r="AB4" s="87">
        <v>76.213797589999999</v>
      </c>
    </row>
    <row r="5" spans="2:33">
      <c r="B5" s="96" t="s">
        <v>7</v>
      </c>
      <c r="C5" s="1954">
        <f>gaz!BF197</f>
        <v>75.535152330000102</v>
      </c>
      <c r="D5" s="1280">
        <f>gaz!BG197</f>
        <v>8.1376311999999995</v>
      </c>
      <c r="E5" s="1280">
        <f>gaz!BD197</f>
        <v>83.672783530000103</v>
      </c>
      <c r="F5" s="1280">
        <f>gaz!BE197</f>
        <v>5.6272923600000002</v>
      </c>
      <c r="G5" s="1280">
        <f t="shared" ref="G5:G13" si="3">F5+E5</f>
        <v>89.300075890000102</v>
      </c>
      <c r="H5" s="1788">
        <f>gaz!BD229</f>
        <v>58.993186000000001</v>
      </c>
      <c r="I5" s="1955">
        <f>gaz!BF212</f>
        <v>61.471590820000003</v>
      </c>
      <c r="J5" s="1280">
        <f>gaz!BG212</f>
        <v>1.14333237</v>
      </c>
      <c r="K5" s="1280">
        <f>gaz!BD212</f>
        <v>62.614923190000006</v>
      </c>
      <c r="L5" s="1280">
        <f>gaz!BE212</f>
        <v>7.8269351</v>
      </c>
      <c r="M5" s="1280">
        <f t="shared" ref="M5:M13" si="4">L5+K5</f>
        <v>70.441858289999999</v>
      </c>
      <c r="N5" s="1788">
        <f>gaz!BD244</f>
        <v>61.369314000000003</v>
      </c>
      <c r="O5" s="167">
        <f t="shared" ref="O5:O13" si="5">(((I5-C5)/C5)*100)</f>
        <v>-18.618565100072633</v>
      </c>
      <c r="P5" s="165">
        <f t="shared" ref="P5:P10" si="6">(((J5-D5)/D5)*100)</f>
        <v>-85.950059152348913</v>
      </c>
      <c r="Q5" s="165">
        <f t="shared" ref="Q5:Q14" si="7">(((K5-E5)/E5)*100)</f>
        <v>-25.166917427158374</v>
      </c>
      <c r="R5" s="165">
        <f t="shared" ref="R5:R13" si="8">(((L5-F5)/F5)*100)</f>
        <v>39.088829925303536</v>
      </c>
      <c r="S5" s="165">
        <f t="shared" si="0"/>
        <v>-21.117806913433835</v>
      </c>
      <c r="T5" s="166">
        <f t="shared" si="1"/>
        <v>4.0278007700753804</v>
      </c>
      <c r="V5" s="215">
        <f t="shared" ref="V5:V13" si="9">I5/C5</f>
        <v>0.81381434899927363</v>
      </c>
      <c r="W5" s="215">
        <f t="shared" si="2"/>
        <v>0.14049940847651096</v>
      </c>
      <c r="X5" s="215">
        <f t="shared" si="2"/>
        <v>0.74833082572841625</v>
      </c>
      <c r="Y5" s="215">
        <f t="shared" si="2"/>
        <v>1.3908882992530354</v>
      </c>
      <c r="AA5" s="87">
        <v>116.18425670000003</v>
      </c>
      <c r="AB5" s="87">
        <v>6.95</v>
      </c>
    </row>
    <row r="6" spans="2:33">
      <c r="B6" s="96" t="s">
        <v>8</v>
      </c>
      <c r="C6" s="1954">
        <f>gaz!BF198</f>
        <v>67.676375869999987</v>
      </c>
      <c r="D6" s="1280">
        <f>gaz!BG198</f>
        <v>1.7606510000000002</v>
      </c>
      <c r="E6" s="1280">
        <f>gaz!BD198</f>
        <v>69.437026869999983</v>
      </c>
      <c r="F6" s="1280">
        <f>gaz!BE198</f>
        <v>1.0900000000000001</v>
      </c>
      <c r="G6" s="1280">
        <f t="shared" si="3"/>
        <v>70.527026869999986</v>
      </c>
      <c r="H6" s="1788">
        <f>gaz!BD230</f>
        <v>48.505294999999997</v>
      </c>
      <c r="I6" s="1955">
        <f>gaz!BF213</f>
        <v>61.102983379999962</v>
      </c>
      <c r="J6" s="1280">
        <f>gaz!BG213</f>
        <v>1.5316339200000002</v>
      </c>
      <c r="K6" s="1280">
        <f>gaz!BD213</f>
        <v>62.63461729999996</v>
      </c>
      <c r="L6" s="1280">
        <f>gaz!BE213</f>
        <v>1.79</v>
      </c>
      <c r="M6" s="1280">
        <f t="shared" si="4"/>
        <v>64.424617299999966</v>
      </c>
      <c r="N6" s="1788">
        <f>gaz!BD245</f>
        <v>55.285124000000003</v>
      </c>
      <c r="O6" s="167">
        <f t="shared" si="5"/>
        <v>-9.7129794636564153</v>
      </c>
      <c r="P6" s="165">
        <f t="shared" si="6"/>
        <v>-13.007522785606005</v>
      </c>
      <c r="Q6" s="165">
        <f t="shared" si="7"/>
        <v>-9.796516176787776</v>
      </c>
      <c r="R6" s="165">
        <f t="shared" si="8"/>
        <v>64.220183486238525</v>
      </c>
      <c r="S6" s="165">
        <f t="shared" si="0"/>
        <v>-8.6525830462815048</v>
      </c>
      <c r="T6" s="166">
        <f t="shared" si="1"/>
        <v>13.977502868501279</v>
      </c>
      <c r="V6" s="215">
        <f t="shared" si="9"/>
        <v>0.90287020536343587</v>
      </c>
      <c r="W6" s="215">
        <f t="shared" si="2"/>
        <v>0.86992477214393993</v>
      </c>
      <c r="X6" s="215">
        <f t="shared" si="2"/>
        <v>0.90203483823212227</v>
      </c>
      <c r="Y6" s="215">
        <f>L6/F6</f>
        <v>1.6422018348623852</v>
      </c>
      <c r="AA6" s="87">
        <v>123.65223893999983</v>
      </c>
      <c r="AB6" s="87">
        <v>1.6260818800000005</v>
      </c>
      <c r="AC6" s="87">
        <f>I6/C6</f>
        <v>0.90287020536343587</v>
      </c>
      <c r="AD6" s="87">
        <f>J6/D6</f>
        <v>0.86992477214393993</v>
      </c>
      <c r="AF6" s="87">
        <f>L6/F6</f>
        <v>1.6422018348623852</v>
      </c>
      <c r="AG6" s="87">
        <f t="shared" ref="AG6" si="10">M6/G6</f>
        <v>0.91347416953718497</v>
      </c>
    </row>
    <row r="7" spans="2:33">
      <c r="B7" s="96" t="s">
        <v>4</v>
      </c>
      <c r="C7" s="1954">
        <f>gaz!BF199</f>
        <v>114.1155729</v>
      </c>
      <c r="D7" s="1280">
        <f>gaz!BG199</f>
        <v>2.2938269</v>
      </c>
      <c r="E7" s="1280">
        <f>gaz!BD199</f>
        <v>116.4093998</v>
      </c>
      <c r="F7" s="1280">
        <f>gaz!BE199</f>
        <v>10.499326749999998</v>
      </c>
      <c r="G7" s="1280">
        <f t="shared" si="3"/>
        <v>126.90872655</v>
      </c>
      <c r="H7" s="1788">
        <f>gaz!BD231</f>
        <v>77.462791999999993</v>
      </c>
      <c r="I7" s="1955">
        <f>gaz!BF214</f>
        <v>90.010799199999994</v>
      </c>
      <c r="J7" s="1280">
        <f>gaz!BG214</f>
        <v>1.7232923</v>
      </c>
      <c r="K7" s="1280">
        <f>gaz!BD214</f>
        <v>91.734091499999991</v>
      </c>
      <c r="L7" s="1280">
        <f>gaz!BE214</f>
        <v>9.2275667999999982</v>
      </c>
      <c r="M7" s="1280">
        <f t="shared" si="4"/>
        <v>100.96165829999998</v>
      </c>
      <c r="N7" s="1788">
        <f>gaz!BD246</f>
        <v>79.869473999999997</v>
      </c>
      <c r="O7" s="167">
        <f t="shared" si="5"/>
        <v>-21.123123766046493</v>
      </c>
      <c r="P7" s="165">
        <f>(((J7-D7)/D7)*100)</f>
        <v>-24.872609175522356</v>
      </c>
      <c r="Q7" s="165">
        <f t="shared" si="7"/>
        <v>-21.197006721445195</v>
      </c>
      <c r="R7" s="165">
        <f t="shared" si="8"/>
        <v>-12.112776183482431</v>
      </c>
      <c r="S7" s="165">
        <f t="shared" si="0"/>
        <v>-20.445456317597898</v>
      </c>
      <c r="T7" s="166">
        <f t="shared" si="1"/>
        <v>3.1068877558660728</v>
      </c>
      <c r="V7" s="215">
        <f t="shared" si="9"/>
        <v>0.78876876233953508</v>
      </c>
      <c r="W7" s="215">
        <f t="shared" si="2"/>
        <v>0.75127390824477647</v>
      </c>
      <c r="X7" s="215">
        <f t="shared" si="2"/>
        <v>0.788029932785548</v>
      </c>
      <c r="Y7" s="215">
        <f t="shared" si="2"/>
        <v>0.87887223816517568</v>
      </c>
      <c r="AA7" s="87">
        <v>196.38982570000002</v>
      </c>
      <c r="AB7" s="87">
        <v>8.8796888299999992</v>
      </c>
    </row>
    <row r="8" spans="2:33">
      <c r="B8" s="96" t="s">
        <v>3</v>
      </c>
      <c r="C8" s="1954">
        <f>gaz!BF200</f>
        <v>125.46999752000002</v>
      </c>
      <c r="D8" s="1280">
        <f>gaz!BG200</f>
        <v>2.2625136600000002</v>
      </c>
      <c r="E8" s="1280">
        <f>gaz!BD200</f>
        <v>127.73251118000002</v>
      </c>
      <c r="F8" s="1280">
        <f>gaz!BE200</f>
        <v>8.2396663600000011</v>
      </c>
      <c r="G8" s="1280">
        <f t="shared" si="3"/>
        <v>135.97217754000002</v>
      </c>
      <c r="H8" s="1788">
        <f>gaz!BD232</f>
        <v>94.440179000000001</v>
      </c>
      <c r="I8" s="1955">
        <f>gaz!BF215</f>
        <v>109.60296886000003</v>
      </c>
      <c r="J8" s="1280">
        <f>gaz!BG215</f>
        <v>1.09545194</v>
      </c>
      <c r="K8" s="1280">
        <f>gaz!BD215</f>
        <v>110.69842080000004</v>
      </c>
      <c r="L8" s="1280">
        <f>gaz!BE215</f>
        <v>8.3753515099999998</v>
      </c>
      <c r="M8" s="1280">
        <f t="shared" si="4"/>
        <v>119.07377231000004</v>
      </c>
      <c r="N8" s="1788">
        <f>gaz!BD247</f>
        <v>104.927069</v>
      </c>
      <c r="O8" s="167">
        <f t="shared" si="5"/>
        <v>-12.646073940880385</v>
      </c>
      <c r="P8" s="165">
        <f t="shared" si="6"/>
        <v>-51.582527019969469</v>
      </c>
      <c r="Q8" s="165">
        <f t="shared" si="7"/>
        <v>-13.335751581674948</v>
      </c>
      <c r="R8" s="165">
        <f t="shared" si="8"/>
        <v>1.6467311183701701</v>
      </c>
      <c r="S8" s="165">
        <f t="shared" si="0"/>
        <v>-12.427840412446761</v>
      </c>
      <c r="T8" s="166">
        <f t="shared" si="1"/>
        <v>11.104267390259819</v>
      </c>
      <c r="V8" s="215">
        <f t="shared" si="9"/>
        <v>0.87353926059119613</v>
      </c>
      <c r="W8" s="215">
        <f t="shared" si="2"/>
        <v>0.48417472980030535</v>
      </c>
      <c r="X8" s="215">
        <f t="shared" si="2"/>
        <v>0.86664248418325052</v>
      </c>
      <c r="Y8" s="215">
        <f t="shared" si="2"/>
        <v>1.0164673111837017</v>
      </c>
      <c r="AA8" s="87">
        <v>194.72571127999987</v>
      </c>
      <c r="AB8" s="87">
        <v>8.3869362999999986</v>
      </c>
    </row>
    <row r="9" spans="2:33">
      <c r="B9" s="96" t="s">
        <v>397</v>
      </c>
      <c r="C9" s="1954">
        <f>gaz!BF201</f>
        <v>42.962432800000101</v>
      </c>
      <c r="D9" s="1280">
        <f>gaz!BG201</f>
        <v>1.9312436000000002</v>
      </c>
      <c r="E9" s="1280">
        <f>gaz!BD201</f>
        <v>44.893676400000103</v>
      </c>
      <c r="F9" s="1280">
        <f>gaz!BE201</f>
        <v>6.99715197</v>
      </c>
      <c r="G9" s="1280">
        <f t="shared" si="3"/>
        <v>51.890828370000101</v>
      </c>
      <c r="H9" s="1788">
        <f>gaz!BD233</f>
        <v>48.25179069</v>
      </c>
      <c r="I9" s="1955">
        <f>gaz!BF216</f>
        <v>48.138341399999867</v>
      </c>
      <c r="J9" s="1280">
        <f>gaz!BG216</f>
        <v>1.2222284999999999</v>
      </c>
      <c r="K9" s="1280">
        <f>gaz!BD216</f>
        <v>49.360569899999867</v>
      </c>
      <c r="L9" s="1280">
        <f>gaz!BE216</f>
        <v>10.058000960000001</v>
      </c>
      <c r="M9" s="1280">
        <f t="shared" si="4"/>
        <v>59.418570859999868</v>
      </c>
      <c r="N9" s="1788">
        <f>gaz!BD248</f>
        <v>57.610941509999996</v>
      </c>
      <c r="O9" s="167">
        <f t="shared" si="5"/>
        <v>12.047522131939774</v>
      </c>
      <c r="P9" s="165">
        <f>(((J9-D9)/D9)*100)</f>
        <v>-36.712877650442451</v>
      </c>
      <c r="Q9" s="165">
        <f>(((K9-E9)/E9)*100)</f>
        <v>9.949939185643867</v>
      </c>
      <c r="R9" s="165">
        <f t="shared" si="8"/>
        <v>43.744211975433217</v>
      </c>
      <c r="S9" s="165">
        <f t="shared" si="0"/>
        <v>14.506884408019621</v>
      </c>
      <c r="T9" s="166">
        <f t="shared" si="1"/>
        <v>19.396483915237667</v>
      </c>
      <c r="V9" s="215">
        <f t="shared" si="9"/>
        <v>1.1204752213193978</v>
      </c>
      <c r="W9" s="215">
        <f t="shared" si="2"/>
        <v>0.63287122349557556</v>
      </c>
      <c r="X9" s="215">
        <f t="shared" si="2"/>
        <v>1.0994993918564386</v>
      </c>
      <c r="Y9" s="215">
        <f t="shared" si="2"/>
        <v>1.4374421197543321</v>
      </c>
      <c r="AA9" s="87">
        <v>0</v>
      </c>
      <c r="AB9" s="87">
        <v>0</v>
      </c>
    </row>
    <row r="10" spans="2:33">
      <c r="B10" s="96" t="s">
        <v>399</v>
      </c>
      <c r="C10" s="1954">
        <f>gaz!BF202</f>
        <v>65.872637000000026</v>
      </c>
      <c r="D10" s="1280">
        <f>gaz!BG202</f>
        <v>0.51592159999999998</v>
      </c>
      <c r="E10" s="1280">
        <f>gaz!BD202</f>
        <v>66.388558600000025</v>
      </c>
      <c r="F10" s="1280">
        <f>gaz!BE202</f>
        <v>58.240503340000004</v>
      </c>
      <c r="G10" s="1280">
        <f t="shared" si="3"/>
        <v>124.62906194000003</v>
      </c>
      <c r="H10" s="1788">
        <f>gaz!BD234</f>
        <v>114.3881392</v>
      </c>
      <c r="I10" s="1955">
        <f>gaz!BF217</f>
        <v>71.212302909999991</v>
      </c>
      <c r="J10" s="1280">
        <f>gaz!BG217</f>
        <v>4.5515799999999995E-2</v>
      </c>
      <c r="K10" s="1280">
        <f>gaz!BD217</f>
        <v>71.257818709999995</v>
      </c>
      <c r="L10" s="1280">
        <f>gaz!BE217</f>
        <v>69.229719739999993</v>
      </c>
      <c r="M10" s="1280">
        <f t="shared" si="4"/>
        <v>140.48753844999999</v>
      </c>
      <c r="N10" s="1788">
        <f>gaz!BD249</f>
        <v>122.400375</v>
      </c>
      <c r="O10" s="167">
        <f t="shared" si="5"/>
        <v>8.1060454737829364</v>
      </c>
      <c r="P10" s="165">
        <f t="shared" si="6"/>
        <v>-91.177768094997376</v>
      </c>
      <c r="Q10" s="165">
        <f t="shared" si="7"/>
        <v>7.3344868644278254</v>
      </c>
      <c r="R10" s="165">
        <f t="shared" si="8"/>
        <v>18.868683767800672</v>
      </c>
      <c r="S10" s="165">
        <f t="shared" si="0"/>
        <v>12.724541341436623</v>
      </c>
      <c r="T10" s="166">
        <f t="shared" si="1"/>
        <v>7.0044288298030111</v>
      </c>
      <c r="V10" s="215">
        <f t="shared" si="9"/>
        <v>1.0810604547378293</v>
      </c>
      <c r="W10" s="215">
        <f t="shared" si="2"/>
        <v>8.8222319050026199E-2</v>
      </c>
      <c r="X10" s="215">
        <f t="shared" si="2"/>
        <v>1.0733448686442781</v>
      </c>
      <c r="Y10" s="215">
        <f t="shared" si="2"/>
        <v>1.1886868376780066</v>
      </c>
      <c r="AA10" s="87">
        <v>90.465544679999965</v>
      </c>
      <c r="AB10" s="87">
        <v>58.899746520000001</v>
      </c>
    </row>
    <row r="11" spans="2:33">
      <c r="B11" s="96" t="s">
        <v>883</v>
      </c>
      <c r="C11" s="1954">
        <f>gaz!BF203</f>
        <v>51.272410649999941</v>
      </c>
      <c r="D11" s="1280">
        <f>gaz!BG203</f>
        <v>1.1725372999999997</v>
      </c>
      <c r="E11" s="1280">
        <f>gaz!BD203</f>
        <v>52.444947949999943</v>
      </c>
      <c r="F11" s="1280">
        <f>gaz!BE203</f>
        <v>3.3050338999999997</v>
      </c>
      <c r="G11" s="1280">
        <f t="shared" si="3"/>
        <v>55.749981849999941</v>
      </c>
      <c r="H11" s="1788">
        <f>gaz!BD235</f>
        <v>40.919502999999999</v>
      </c>
      <c r="I11" s="1955">
        <f>gaz!BF218</f>
        <v>52.39614304299964</v>
      </c>
      <c r="J11" s="1280">
        <f>gaz!BG218</f>
        <v>0.40883815900000037</v>
      </c>
      <c r="K11" s="1280">
        <f>gaz!BD218</f>
        <v>52.804981201999638</v>
      </c>
      <c r="L11" s="1280">
        <f>gaz!BE218</f>
        <v>2.23609759</v>
      </c>
      <c r="M11" s="1280">
        <f t="shared" si="4"/>
        <v>55.041078791999638</v>
      </c>
      <c r="N11" s="1788">
        <f>gaz!BD250</f>
        <v>43.985266000000003</v>
      </c>
      <c r="O11" s="167">
        <f t="shared" si="5"/>
        <v>2.1916901872834025</v>
      </c>
      <c r="P11" s="165">
        <f>(((J11-D11)/D11)*100)</f>
        <v>-65.132183087054003</v>
      </c>
      <c r="Q11" s="165">
        <f t="shared" si="7"/>
        <v>0.68649749131783777</v>
      </c>
      <c r="R11" s="165">
        <f>(((L11-F11)/F11)*100)</f>
        <v>-32.342673096333442</v>
      </c>
      <c r="S11" s="165">
        <f t="shared" si="0"/>
        <v>-1.2715754059035687</v>
      </c>
      <c r="T11" s="166">
        <f t="shared" si="1"/>
        <v>7.4921804402169894</v>
      </c>
      <c r="V11" s="215">
        <f t="shared" si="9"/>
        <v>1.021916901872834</v>
      </c>
      <c r="W11" s="215">
        <f t="shared" si="2"/>
        <v>0.34867816912946009</v>
      </c>
      <c r="X11" s="215">
        <f t="shared" si="2"/>
        <v>1.0068649749131784</v>
      </c>
      <c r="Y11" s="215">
        <f t="shared" si="2"/>
        <v>0.67657326903666559</v>
      </c>
      <c r="AA11" s="87">
        <v>65.118516819999996</v>
      </c>
      <c r="AB11" s="87">
        <v>3.0310238900000002</v>
      </c>
    </row>
    <row r="12" spans="2:33">
      <c r="B12" s="96" t="s">
        <v>884</v>
      </c>
      <c r="C12" s="1954">
        <f>gaz!BF204</f>
        <v>65.779488599999993</v>
      </c>
      <c r="D12" s="1280">
        <f>gaz!BG204</f>
        <v>1.7691636000000002</v>
      </c>
      <c r="E12" s="1280">
        <f>gaz!BD204</f>
        <v>67.548652199999992</v>
      </c>
      <c r="F12" s="1280">
        <f>gaz!BE204</f>
        <v>10.18097972</v>
      </c>
      <c r="G12" s="1280">
        <f t="shared" si="3"/>
        <v>77.729631919999989</v>
      </c>
      <c r="H12" s="1788">
        <f>gaz!BD236</f>
        <v>59.404097999999998</v>
      </c>
      <c r="I12" s="1955">
        <f>gaz!BF219</f>
        <v>67.280575099999993</v>
      </c>
      <c r="J12" s="1280">
        <f>gaz!BG219</f>
        <v>2.0808149</v>
      </c>
      <c r="K12" s="1280">
        <f>gaz!BD219</f>
        <v>69.36139</v>
      </c>
      <c r="L12" s="1280">
        <f>gaz!BE219</f>
        <v>12.63827478</v>
      </c>
      <c r="M12" s="1280">
        <f t="shared" si="4"/>
        <v>81.999664780000003</v>
      </c>
      <c r="N12" s="1788">
        <f>gaz!BD251</f>
        <v>68.217302000000004</v>
      </c>
      <c r="O12" s="167">
        <f t="shared" si="5"/>
        <v>2.2819978262950493</v>
      </c>
      <c r="P12" s="165">
        <f>(((J12-D12)/D12)*100)</f>
        <v>17.615742263745414</v>
      </c>
      <c r="Q12" s="165">
        <f t="shared" si="7"/>
        <v>2.6836032118491451</v>
      </c>
      <c r="R12" s="165">
        <f t="shared" si="8"/>
        <v>24.136135495612205</v>
      </c>
      <c r="S12" s="165">
        <f t="shared" si="0"/>
        <v>5.4934427894818407</v>
      </c>
      <c r="T12" s="166">
        <f t="shared" si="1"/>
        <v>14.836020235506323</v>
      </c>
      <c r="V12" s="215">
        <f t="shared" si="9"/>
        <v>1.0228199782629506</v>
      </c>
      <c r="W12" s="215">
        <f t="shared" si="2"/>
        <v>1.176157422637454</v>
      </c>
      <c r="X12" s="215">
        <f t="shared" si="2"/>
        <v>1.0268360321184915</v>
      </c>
      <c r="Y12" s="215">
        <f t="shared" si="2"/>
        <v>1.241361354956122</v>
      </c>
      <c r="AA12" s="87">
        <v>88.655116600000014</v>
      </c>
      <c r="AB12" s="87">
        <v>16.556926400000002</v>
      </c>
    </row>
    <row r="13" spans="2:33">
      <c r="B13" s="96" t="s">
        <v>885</v>
      </c>
      <c r="C13" s="1954">
        <f>gaz!BF205</f>
        <v>29.132175145999977</v>
      </c>
      <c r="D13" s="1280">
        <f>gaz!BG205</f>
        <v>1.3359850979999999</v>
      </c>
      <c r="E13" s="1280">
        <f>gaz!BD205</f>
        <v>30.468160243999975</v>
      </c>
      <c r="F13" s="1280">
        <f>gaz!BE205</f>
        <v>0.37016800999999999</v>
      </c>
      <c r="G13" s="1280">
        <f t="shared" si="3"/>
        <v>30.838328253999975</v>
      </c>
      <c r="H13" s="1788">
        <f>gaz!BD237</f>
        <v>18.711783</v>
      </c>
      <c r="I13" s="1955">
        <f>gaz!BF220</f>
        <v>25.679285671999995</v>
      </c>
      <c r="J13" s="1280">
        <f>gaz!BG220</f>
        <v>0.91148159799999995</v>
      </c>
      <c r="K13" s="1280">
        <f>gaz!BD220</f>
        <v>26.590767269999994</v>
      </c>
      <c r="L13" s="1280">
        <f>gaz!BE220</f>
        <v>0.27369351000000003</v>
      </c>
      <c r="M13" s="1280">
        <f t="shared" si="4"/>
        <v>26.864460779999995</v>
      </c>
      <c r="N13" s="1788">
        <f>gaz!BD252</f>
        <v>20.659275999999998</v>
      </c>
      <c r="O13" s="167">
        <f t="shared" si="5"/>
        <v>-11.852494558663548</v>
      </c>
      <c r="P13" s="165">
        <f>(((J13-D13)/D13)*100)</f>
        <v>-31.77456849148178</v>
      </c>
      <c r="Q13" s="165">
        <f t="shared" si="7"/>
        <v>-12.726048907936763</v>
      </c>
      <c r="R13" s="165">
        <f t="shared" si="8"/>
        <v>-26.062354766961075</v>
      </c>
      <c r="S13" s="165">
        <f t="shared" si="0"/>
        <v>-12.886131314477264</v>
      </c>
      <c r="T13" s="166">
        <f t="shared" si="1"/>
        <v>10.407843015280788</v>
      </c>
      <c r="V13" s="215">
        <f t="shared" si="9"/>
        <v>0.88147505441336449</v>
      </c>
      <c r="W13" s="215">
        <f t="shared" si="2"/>
        <v>0.68225431508518219</v>
      </c>
      <c r="X13" s="215">
        <f t="shared" si="2"/>
        <v>0.8727395109206324</v>
      </c>
      <c r="Y13" s="215">
        <f>L13/F13</f>
        <v>0.73937645233038918</v>
      </c>
      <c r="AA13" s="87">
        <v>52.24790798600003</v>
      </c>
      <c r="AB13" s="87">
        <v>0.42132444000000002</v>
      </c>
    </row>
    <row r="14" spans="2:33" ht="14.4" thickBot="1">
      <c r="B14" s="168" t="s">
        <v>16</v>
      </c>
      <c r="C14" s="1956">
        <f t="shared" ref="C14:N14" si="11">SUM(C4:C13)</f>
        <v>821.05461181600037</v>
      </c>
      <c r="D14" s="1942">
        <f t="shared" si="11"/>
        <v>32.301040957999994</v>
      </c>
      <c r="E14" s="1942">
        <f t="shared" si="11"/>
        <v>853.35565277400008</v>
      </c>
      <c r="F14" s="1942">
        <f t="shared" si="11"/>
        <v>179.52298233000002</v>
      </c>
      <c r="G14" s="1942">
        <f t="shared" si="11"/>
        <v>1032.8786351040001</v>
      </c>
      <c r="H14" s="1789">
        <f t="shared" si="11"/>
        <v>711.22294015999989</v>
      </c>
      <c r="I14" s="1957">
        <f t="shared" si="11"/>
        <v>681.71980205499938</v>
      </c>
      <c r="J14" s="1942">
        <f t="shared" si="11"/>
        <v>11.422955766999999</v>
      </c>
      <c r="K14" s="2167">
        <f t="shared" si="11"/>
        <v>693.14275782199957</v>
      </c>
      <c r="L14" s="2167">
        <f t="shared" si="11"/>
        <v>209.76431237</v>
      </c>
      <c r="M14" s="1942">
        <f t="shared" si="11"/>
        <v>902.90707019199942</v>
      </c>
      <c r="N14" s="1789">
        <f t="shared" si="11"/>
        <v>771.83021300000019</v>
      </c>
      <c r="O14" s="172">
        <f>(((I14-C14)/C14)*100)</f>
        <v>-16.970224362155601</v>
      </c>
      <c r="P14" s="170">
        <f>(((J14-D14)/D14)*100)</f>
        <v>-64.635951572418676</v>
      </c>
      <c r="Q14" s="170">
        <f t="shared" si="7"/>
        <v>-18.774457570087812</v>
      </c>
      <c r="R14" s="170">
        <f>(((L14-F14)/F14)*100)</f>
        <v>16.845380823949448</v>
      </c>
      <c r="S14" s="170">
        <f t="shared" si="0"/>
        <v>-12.583430472343332</v>
      </c>
      <c r="T14" s="171">
        <f t="shared" si="1"/>
        <v>8.521557646378195</v>
      </c>
    </row>
    <row r="15" spans="2:33">
      <c r="G15" s="194">
        <f>SUM(G4:G13)</f>
        <v>1032.8786351040001</v>
      </c>
      <c r="H15" s="194">
        <f>H14-G14</f>
        <v>-321.65569494400017</v>
      </c>
      <c r="I15" s="194"/>
      <c r="J15" s="194"/>
      <c r="K15" s="194"/>
      <c r="L15" s="194"/>
      <c r="M15" s="194">
        <f>SUM(M4:M13)</f>
        <v>902.90707019199942</v>
      </c>
      <c r="N15" s="194">
        <f>N14-M14</f>
        <v>-131.07685719199924</v>
      </c>
      <c r="O15" s="194"/>
      <c r="P15" s="194"/>
      <c r="Q15" s="194"/>
      <c r="R15" s="194"/>
      <c r="S15" s="194">
        <f>(((M15-G15)/G15)*100)</f>
        <v>-12.583430472343332</v>
      </c>
      <c r="T15" s="194">
        <f>(((N15-H15)/H15)*100)</f>
        <v>-59.24932800744611</v>
      </c>
    </row>
    <row r="16" spans="2:33">
      <c r="J16" s="106"/>
      <c r="K16" s="106"/>
    </row>
    <row r="17" spans="1:24" ht="24" thickBot="1">
      <c r="A17" s="124"/>
      <c r="B17" s="124"/>
      <c r="C17" s="124"/>
      <c r="D17" s="124"/>
      <c r="E17" s="3032" t="s">
        <v>219</v>
      </c>
      <c r="F17" s="3032"/>
      <c r="G17" s="3032"/>
      <c r="H17" s="3032"/>
      <c r="I17" s="3032"/>
      <c r="J17" s="3032"/>
      <c r="K17" s="3032"/>
      <c r="L17" s="3032"/>
      <c r="M17" s="3032"/>
      <c r="N17" s="3032"/>
      <c r="O17" s="3032"/>
      <c r="P17" s="3032"/>
      <c r="Q17" s="3032"/>
      <c r="R17" s="3032"/>
      <c r="S17" s="3032"/>
      <c r="T17" s="3032"/>
      <c r="V17" s="87">
        <f>I9/C9</f>
        <v>1.1204752213193978</v>
      </c>
      <c r="W17" s="87">
        <f>J9/D9</f>
        <v>0.63287122349557556</v>
      </c>
      <c r="X17" s="87">
        <f>L9/F9</f>
        <v>1.4374421197543321</v>
      </c>
    </row>
    <row r="18" spans="1:24" ht="14.4" thickBot="1">
      <c r="A18" s="124"/>
      <c r="B18" s="124"/>
      <c r="C18" s="3033">
        <f>C2</f>
        <v>45139</v>
      </c>
      <c r="D18" s="3034"/>
      <c r="E18" s="3034"/>
      <c r="F18" s="3034"/>
      <c r="G18" s="3034"/>
      <c r="H18" s="3035"/>
      <c r="I18" s="3033">
        <f>I2</f>
        <v>45505</v>
      </c>
      <c r="J18" s="3034"/>
      <c r="K18" s="3034"/>
      <c r="L18" s="3034"/>
      <c r="M18" s="3034"/>
      <c r="N18" s="3035"/>
      <c r="O18" s="2920" t="s">
        <v>53</v>
      </c>
      <c r="P18" s="2912"/>
      <c r="Q18" s="2912"/>
      <c r="R18" s="2912"/>
      <c r="S18" s="2912"/>
      <c r="T18" s="2913"/>
    </row>
    <row r="19" spans="1:24" ht="23.25" customHeight="1">
      <c r="A19" s="124"/>
      <c r="B19" s="124"/>
      <c r="C19" s="178" t="s">
        <v>17</v>
      </c>
      <c r="D19" s="162" t="s">
        <v>18</v>
      </c>
      <c r="E19" s="162" t="s">
        <v>56</v>
      </c>
      <c r="F19" s="162" t="s">
        <v>21</v>
      </c>
      <c r="G19" s="162" t="s">
        <v>57</v>
      </c>
      <c r="H19" s="95" t="str">
        <f>H3</f>
        <v>Liv au Rx MP</v>
      </c>
      <c r="I19" s="163" t="s">
        <v>17</v>
      </c>
      <c r="J19" s="162" t="s">
        <v>18</v>
      </c>
      <c r="K19" s="162" t="s">
        <v>56</v>
      </c>
      <c r="L19" s="162" t="s">
        <v>21</v>
      </c>
      <c r="M19" s="162" t="s">
        <v>57</v>
      </c>
      <c r="N19" s="95" t="str">
        <f>N3</f>
        <v>Liv au Rx MP</v>
      </c>
      <c r="O19" s="163" t="s">
        <v>17</v>
      </c>
      <c r="P19" s="162" t="s">
        <v>18</v>
      </c>
      <c r="Q19" s="162" t="s">
        <v>56</v>
      </c>
      <c r="R19" s="162" t="s">
        <v>21</v>
      </c>
      <c r="S19" s="162" t="s">
        <v>57</v>
      </c>
      <c r="T19" s="95" t="str">
        <f>T3</f>
        <v>Liv au Rx MP</v>
      </c>
    </row>
    <row r="20" spans="1:24">
      <c r="A20" s="3052"/>
      <c r="B20" s="96" t="s">
        <v>6</v>
      </c>
      <c r="C20" s="179">
        <f>gaz!AX196</f>
        <v>2450.8868348200008</v>
      </c>
      <c r="D20" s="180">
        <f>gaz!AY196</f>
        <v>76.872297160000002</v>
      </c>
      <c r="E20" s="180">
        <f>+gaz!AZ196</f>
        <v>2527.7591319800003</v>
      </c>
      <c r="F20" s="180">
        <f>+gaz!BA196</f>
        <v>525.75988208000001</v>
      </c>
      <c r="G20" s="180">
        <f>F20+E20</f>
        <v>3053.5190140600002</v>
      </c>
      <c r="H20" s="181">
        <f>+gaz!AX228</f>
        <v>2838.0943592399999</v>
      </c>
      <c r="I20" s="182">
        <f>gaz!AX211</f>
        <v>2404.1634604500014</v>
      </c>
      <c r="J20" s="180">
        <f>gaz!AY211</f>
        <v>66.569699660000012</v>
      </c>
      <c r="K20" s="180">
        <f>+gaz!AZ211</f>
        <v>2470.7331601100009</v>
      </c>
      <c r="L20" s="165">
        <f>+gaz!BA211</f>
        <v>564.95270572999993</v>
      </c>
      <c r="M20" s="180">
        <f>L20+K20</f>
        <v>3035.6858658400006</v>
      </c>
      <c r="N20" s="1788">
        <f>+gaz!AX243</f>
        <v>2804.7358327700008</v>
      </c>
      <c r="O20" s="167">
        <f t="shared" ref="O20:T26" si="12">(((I20-C20)/C20)*100)</f>
        <v>-1.9063864437229676</v>
      </c>
      <c r="P20" s="165">
        <f t="shared" si="12"/>
        <v>-13.402224052907425</v>
      </c>
      <c r="Q20" s="165">
        <f t="shared" si="12"/>
        <v>-2.2559891545256083</v>
      </c>
      <c r="R20" s="165">
        <f>(((L20-F20)/F20)*100)</f>
        <v>7.4545101263615079</v>
      </c>
      <c r="S20" s="165">
        <f t="shared" si="12"/>
        <v>-0.58401955703850228</v>
      </c>
      <c r="T20" s="165">
        <f t="shared" si="12"/>
        <v>-1.1753846859035382</v>
      </c>
    </row>
    <row r="21" spans="1:24">
      <c r="A21" s="3052"/>
      <c r="B21" s="96" t="s">
        <v>7</v>
      </c>
      <c r="C21" s="179">
        <f>gaz!AX197</f>
        <v>2348.88941402</v>
      </c>
      <c r="D21" s="180">
        <f>gaz!AY197</f>
        <v>120.39904981000001</v>
      </c>
      <c r="E21" s="180">
        <f>+gaz!AZ197</f>
        <v>2469.2884638299997</v>
      </c>
      <c r="F21" s="180">
        <f>+gaz!BA197</f>
        <v>115.03738446</v>
      </c>
      <c r="G21" s="180">
        <f t="shared" ref="G21:G29" si="13">F21+E21</f>
        <v>2584.3258482899996</v>
      </c>
      <c r="H21" s="181">
        <f>+gaz!AX229</f>
        <v>2255.0547529999999</v>
      </c>
      <c r="I21" s="182">
        <f>gaz!AX212</f>
        <v>2404.7901573799995</v>
      </c>
      <c r="J21" s="180">
        <f>gaz!AY212</f>
        <v>118.96630101</v>
      </c>
      <c r="K21" s="180">
        <f>+gaz!AZ212</f>
        <v>2523.7564583899994</v>
      </c>
      <c r="L21" s="165">
        <f>+gaz!BA212</f>
        <v>126.15878764999999</v>
      </c>
      <c r="M21" s="180">
        <f t="shared" ref="M21:M29" si="14">L21+K21</f>
        <v>2649.9152460399991</v>
      </c>
      <c r="N21" s="1788">
        <f>+gaz!AX244</f>
        <v>2250.7096760000004</v>
      </c>
      <c r="O21" s="167">
        <f t="shared" si="12"/>
        <v>2.3798797434370638</v>
      </c>
      <c r="P21" s="165">
        <f t="shared" si="12"/>
        <v>-1.190000089087923</v>
      </c>
      <c r="Q21" s="165">
        <f t="shared" si="12"/>
        <v>2.2058173987301921</v>
      </c>
      <c r="R21" s="165">
        <f t="shared" si="12"/>
        <v>9.6676426034938689</v>
      </c>
      <c r="S21" s="165">
        <f t="shared" si="12"/>
        <v>2.537969342890674</v>
      </c>
      <c r="T21" s="166">
        <f t="shared" si="12"/>
        <v>-0.19268166301589981</v>
      </c>
    </row>
    <row r="22" spans="1:24">
      <c r="A22" s="233"/>
      <c r="B22" s="96" t="s">
        <v>8</v>
      </c>
      <c r="C22" s="179">
        <f>gaz!AX198</f>
        <v>2207.0124430199999</v>
      </c>
      <c r="D22" s="180">
        <f>gaz!AY198</f>
        <v>126.27474546999998</v>
      </c>
      <c r="E22" s="180">
        <f>+gaz!AZ198</f>
        <v>2333.2871884899996</v>
      </c>
      <c r="F22" s="180">
        <f>+gaz!BA198</f>
        <v>79.852069360000016</v>
      </c>
      <c r="G22" s="180">
        <f t="shared" si="13"/>
        <v>2413.1392578499995</v>
      </c>
      <c r="H22" s="181">
        <f>+gaz!AX230</f>
        <v>2083.8534440000003</v>
      </c>
      <c r="I22" s="182">
        <f>gaz!AX213</f>
        <v>2358.4153367199992</v>
      </c>
      <c r="J22" s="180">
        <f>gaz!AY213</f>
        <v>133.04534864999999</v>
      </c>
      <c r="K22" s="180">
        <f>+gaz!AZ213</f>
        <v>2491.4606853699993</v>
      </c>
      <c r="L22" s="165">
        <f>+gaz!BA213</f>
        <v>80.97995748000001</v>
      </c>
      <c r="M22" s="180">
        <f t="shared" si="14"/>
        <v>2572.4406428499992</v>
      </c>
      <c r="N22" s="1788">
        <f>+gaz!AX245</f>
        <v>2155.7617600000003</v>
      </c>
      <c r="O22" s="167">
        <f t="shared" si="12"/>
        <v>6.8600833755529198</v>
      </c>
      <c r="P22" s="165">
        <f t="shared" si="12"/>
        <v>5.3618030705977944</v>
      </c>
      <c r="Q22" s="165">
        <f t="shared" si="12"/>
        <v>6.7789982159188282</v>
      </c>
      <c r="R22" s="165">
        <f t="shared" si="12"/>
        <v>1.4124719985841507</v>
      </c>
      <c r="S22" s="165">
        <f t="shared" si="12"/>
        <v>6.6014169916546903</v>
      </c>
      <c r="T22" s="166">
        <f t="shared" si="12"/>
        <v>3.4507376805717436</v>
      </c>
    </row>
    <row r="23" spans="1:24">
      <c r="A23" s="233"/>
      <c r="B23" s="96" t="s">
        <v>4</v>
      </c>
      <c r="C23" s="179">
        <f>gaz!AX199</f>
        <v>3811.8989216999998</v>
      </c>
      <c r="D23" s="180">
        <f>gaz!AY199</f>
        <v>144.41531559999999</v>
      </c>
      <c r="E23" s="180">
        <f>+gaz!AZ199</f>
        <v>3956.3142373000005</v>
      </c>
      <c r="F23" s="180">
        <f>+gaz!BA199</f>
        <v>158.14532054999998</v>
      </c>
      <c r="G23" s="180">
        <f t="shared" si="13"/>
        <v>4114.4595578500002</v>
      </c>
      <c r="H23" s="181">
        <f>+gaz!AX231</f>
        <v>3497.8411479999995</v>
      </c>
      <c r="I23" s="182">
        <f>gaz!AX214</f>
        <v>3681.8174694999998</v>
      </c>
      <c r="J23" s="180">
        <f>gaz!AY214</f>
        <v>143.73448929999998</v>
      </c>
      <c r="K23" s="180">
        <f>+gaz!AZ214</f>
        <v>3825.5519587999993</v>
      </c>
      <c r="L23" s="165">
        <f>+gaz!BA214</f>
        <v>173.62507333000002</v>
      </c>
      <c r="M23" s="180">
        <f t="shared" si="14"/>
        <v>3999.1770321299991</v>
      </c>
      <c r="N23" s="1788">
        <f>+gaz!AX246</f>
        <v>3233.6893380000001</v>
      </c>
      <c r="O23" s="167">
        <f t="shared" si="12"/>
        <v>-3.4125105327291148</v>
      </c>
      <c r="P23" s="165">
        <f t="shared" si="12"/>
        <v>-0.47143635505097825</v>
      </c>
      <c r="Q23" s="165">
        <f t="shared" si="12"/>
        <v>-3.3051540058971747</v>
      </c>
      <c r="R23" s="165">
        <f t="shared" si="12"/>
        <v>9.7883090856968398</v>
      </c>
      <c r="S23" s="165">
        <f t="shared" si="12"/>
        <v>-2.8018874435174101</v>
      </c>
      <c r="T23" s="166">
        <f t="shared" si="12"/>
        <v>-7.5518526663521142</v>
      </c>
    </row>
    <row r="24" spans="1:24">
      <c r="A24" s="233"/>
      <c r="B24" s="96" t="s">
        <v>3</v>
      </c>
      <c r="C24" s="179">
        <f>gaz!AX200</f>
        <v>3752.4742172199994</v>
      </c>
      <c r="D24" s="180">
        <f>gaz!AY200</f>
        <v>195.77021098999998</v>
      </c>
      <c r="E24" s="180">
        <f>+gaz!AZ200</f>
        <v>3948.2444282099996</v>
      </c>
      <c r="F24" s="180">
        <f>+gaz!BA200</f>
        <v>159.07446032999999</v>
      </c>
      <c r="G24" s="180">
        <f t="shared" si="13"/>
        <v>4107.3188885399995</v>
      </c>
      <c r="H24" s="181">
        <f>+gaz!AX232</f>
        <v>3707.8065139999999</v>
      </c>
      <c r="I24" s="182">
        <f>gaz!AX215</f>
        <v>3710.1362390199993</v>
      </c>
      <c r="J24" s="180">
        <f>gaz!AY215</f>
        <v>196.28525663999997</v>
      </c>
      <c r="K24" s="180">
        <f>+gaz!AZ215</f>
        <v>3906.4214956599994</v>
      </c>
      <c r="L24" s="165">
        <f>+gaz!BA215</f>
        <v>152.77921807000001</v>
      </c>
      <c r="M24" s="2144">
        <f t="shared" si="14"/>
        <v>4059.2007137299993</v>
      </c>
      <c r="N24" s="1788">
        <f>+gaz!AX247</f>
        <v>3651.2215449999994</v>
      </c>
      <c r="O24" s="167">
        <f>(((I24-C24)/C24)*100)</f>
        <v>-1.1282683304181647</v>
      </c>
      <c r="P24" s="165">
        <f t="shared" si="12"/>
        <v>0.26308683399554555</v>
      </c>
      <c r="Q24" s="165">
        <f t="shared" si="12"/>
        <v>-1.0592792141027914</v>
      </c>
      <c r="R24" s="165">
        <f t="shared" si="12"/>
        <v>-3.9574185868306575</v>
      </c>
      <c r="S24" s="165">
        <f t="shared" si="12"/>
        <v>-1.1715227406437023</v>
      </c>
      <c r="T24" s="166">
        <f t="shared" si="12"/>
        <v>-1.5261036083286967</v>
      </c>
    </row>
    <row r="25" spans="1:24">
      <c r="A25" s="233"/>
      <c r="B25" s="96" t="s">
        <v>397</v>
      </c>
      <c r="C25" s="179">
        <f>gaz!AX201</f>
        <v>1027.2210426178813</v>
      </c>
      <c r="D25" s="180">
        <f>gaz!AY201</f>
        <v>39.194783482119348</v>
      </c>
      <c r="E25" s="180">
        <f>+gaz!AZ201</f>
        <v>1066.4158261000007</v>
      </c>
      <c r="F25" s="180">
        <f>+gaz!BA201</f>
        <v>112.61474991</v>
      </c>
      <c r="G25" s="180">
        <f t="shared" si="13"/>
        <v>1179.0305760100007</v>
      </c>
      <c r="H25" s="181">
        <f>+gaz!AX233</f>
        <v>1174.83901941</v>
      </c>
      <c r="I25" s="182">
        <f>gaz!AX216</f>
        <v>1028.6482300000021</v>
      </c>
      <c r="J25" s="180">
        <f>gaz!AY216</f>
        <v>41.434344799999991</v>
      </c>
      <c r="K25" s="180">
        <f>+gaz!AZ216</f>
        <v>1070.0825748000025</v>
      </c>
      <c r="L25" s="165">
        <f>+gaz!BA216</f>
        <v>103.33308722</v>
      </c>
      <c r="M25" s="180">
        <f t="shared" si="14"/>
        <v>1173.4156620200024</v>
      </c>
      <c r="N25" s="1788">
        <f>+gaz!AX248</f>
        <v>1133.2621072299999</v>
      </c>
      <c r="O25" s="167">
        <f t="shared" si="12"/>
        <v>0.13893673541612747</v>
      </c>
      <c r="P25" s="165">
        <f t="shared" si="12"/>
        <v>5.7139270048585171</v>
      </c>
      <c r="Q25" s="165">
        <f t="shared" si="12"/>
        <v>0.34383854874054998</v>
      </c>
      <c r="R25" s="165">
        <f>(((L25-F25)/F25)*100)</f>
        <v>-8.2419600429053634</v>
      </c>
      <c r="S25" s="165">
        <f t="shared" si="12"/>
        <v>-0.4762314145405725</v>
      </c>
      <c r="T25" s="166">
        <f t="shared" si="12"/>
        <v>-3.5389454634286754</v>
      </c>
    </row>
    <row r="26" spans="1:24">
      <c r="A26" s="233"/>
      <c r="B26" s="96" t="s">
        <v>399</v>
      </c>
      <c r="C26" s="179">
        <f>gaz!AX202</f>
        <v>1530.7880646799997</v>
      </c>
      <c r="D26" s="180">
        <f>gaz!AY202</f>
        <v>41.556865149999993</v>
      </c>
      <c r="E26" s="180">
        <f>+gaz!AZ202</f>
        <v>1572.3449298299997</v>
      </c>
      <c r="F26" s="180">
        <f>+gaz!BA202</f>
        <v>529.89173208</v>
      </c>
      <c r="G26" s="180">
        <f t="shared" si="13"/>
        <v>2102.2366619099998</v>
      </c>
      <c r="H26" s="181">
        <f>+gaz!AX234</f>
        <v>2077.5528998</v>
      </c>
      <c r="I26" s="182">
        <f>gaz!AX217</f>
        <v>1647.6173208300002</v>
      </c>
      <c r="J26" s="180">
        <f>gaz!AY217</f>
        <v>39.664123249999996</v>
      </c>
      <c r="K26" s="180">
        <f>+gaz!AZ217</f>
        <v>1687.28144408</v>
      </c>
      <c r="L26" s="165">
        <f>+gaz!BA217</f>
        <v>577.98473827999999</v>
      </c>
      <c r="M26" s="180">
        <f t="shared" si="14"/>
        <v>2265.2661823600001</v>
      </c>
      <c r="N26" s="1788">
        <f>+gaz!AX249</f>
        <v>2092.9558408000003</v>
      </c>
      <c r="O26" s="167">
        <f t="shared" si="12"/>
        <v>7.6319680591723698</v>
      </c>
      <c r="P26" s="165">
        <f t="shared" si="12"/>
        <v>-4.5545829628104118</v>
      </c>
      <c r="Q26" s="165">
        <f t="shared" si="12"/>
        <v>7.3098791537062491</v>
      </c>
      <c r="R26" s="165">
        <f t="shared" si="12"/>
        <v>9.0760061515243997</v>
      </c>
      <c r="S26" s="165">
        <f t="shared" si="12"/>
        <v>7.7550507706339227</v>
      </c>
      <c r="T26" s="166">
        <f t="shared" si="12"/>
        <v>0.74139825760793288</v>
      </c>
    </row>
    <row r="27" spans="1:24">
      <c r="A27" s="233"/>
      <c r="B27" s="96" t="s">
        <v>883</v>
      </c>
      <c r="C27" s="179">
        <f>gaz!AX203</f>
        <v>1338.4092021800009</v>
      </c>
      <c r="D27" s="180">
        <f>gaz!AY203</f>
        <v>57.645842250000001</v>
      </c>
      <c r="E27" s="180">
        <f>+gaz!AZ203</f>
        <v>1396.0550444300006</v>
      </c>
      <c r="F27" s="180">
        <f>+gaz!BA203</f>
        <v>62.657821039999995</v>
      </c>
      <c r="G27" s="180">
        <f t="shared" si="13"/>
        <v>1458.7128654700007</v>
      </c>
      <c r="H27" s="181">
        <f>+gaz!AX235</f>
        <v>1311.524899</v>
      </c>
      <c r="I27" s="182">
        <f>gaz!AX218</f>
        <v>1463.2043598729997</v>
      </c>
      <c r="J27" s="180">
        <f>gaz!AY218</f>
        <v>65.080046879000008</v>
      </c>
      <c r="K27" s="180">
        <f>+gaz!AZ218</f>
        <v>1528.2844067519998</v>
      </c>
      <c r="L27" s="165">
        <f>+gaz!BA218</f>
        <v>54.934156869999995</v>
      </c>
      <c r="M27" s="180">
        <f t="shared" si="14"/>
        <v>1583.2185636219997</v>
      </c>
      <c r="N27" s="1788">
        <f>+gaz!AX250</f>
        <v>1360.5992479999998</v>
      </c>
      <c r="O27" s="167">
        <f t="shared" ref="O27:Q30" si="15">(((I27-C27)/C27)*100)</f>
        <v>9.3241407403455145</v>
      </c>
      <c r="P27" s="165">
        <f t="shared" si="15"/>
        <v>12.896341416539899</v>
      </c>
      <c r="Q27" s="165">
        <f t="shared" si="15"/>
        <v>9.4716438903730644</v>
      </c>
      <c r="R27" s="165">
        <f>(((L27-F27)/F27)*100)</f>
        <v>-12.326735979326996</v>
      </c>
      <c r="S27" s="165">
        <f t="shared" ref="S27:T30" si="16">(((M27-G27)/G27)*100)</f>
        <v>8.5353122673585933</v>
      </c>
      <c r="T27" s="166">
        <f t="shared" si="16"/>
        <v>3.7417779134363012</v>
      </c>
      <c r="V27" s="87">
        <f>K30/9.33</f>
        <v>2378.9332462512325</v>
      </c>
    </row>
    <row r="28" spans="1:24">
      <c r="A28" s="233"/>
      <c r="B28" s="96" t="s">
        <v>884</v>
      </c>
      <c r="C28" s="179">
        <f>gaz!AX204</f>
        <v>1385.3833379999999</v>
      </c>
      <c r="D28" s="180">
        <f>gaz!AY204</f>
        <v>60.4303113</v>
      </c>
      <c r="E28" s="180">
        <f>+gaz!AZ204</f>
        <v>1445.8136492999997</v>
      </c>
      <c r="F28" s="180">
        <f>+gaz!BA204</f>
        <v>106.50872141999999</v>
      </c>
      <c r="G28" s="180">
        <f t="shared" si="13"/>
        <v>1552.3223707199998</v>
      </c>
      <c r="H28" s="181">
        <f>+gaz!AX236</f>
        <v>1412.6576469999998</v>
      </c>
      <c r="I28" s="182">
        <f>gaz!AX219</f>
        <v>1545.3942724999999</v>
      </c>
      <c r="J28" s="180">
        <f>gaz!AY219</f>
        <v>74.421389099999999</v>
      </c>
      <c r="K28" s="180">
        <f>+gaz!AZ219</f>
        <v>1619.8156616000001</v>
      </c>
      <c r="L28" s="165">
        <f>+gaz!BA219</f>
        <v>110.21192136000001</v>
      </c>
      <c r="M28" s="180">
        <f t="shared" si="14"/>
        <v>1730.02758296</v>
      </c>
      <c r="N28" s="1788">
        <f>+gaz!AX251</f>
        <v>1474.2703550000001</v>
      </c>
      <c r="O28" s="167">
        <f t="shared" si="15"/>
        <v>11.549939291965131</v>
      </c>
      <c r="P28" s="165">
        <f t="shared" si="15"/>
        <v>23.152417220792969</v>
      </c>
      <c r="Q28" s="165">
        <f t="shared" si="15"/>
        <v>12.034885158557234</v>
      </c>
      <c r="R28" s="165">
        <f>(((L28-F28)/F28)*100)</f>
        <v>3.4768983146432175</v>
      </c>
      <c r="S28" s="165">
        <f t="shared" si="16"/>
        <v>11.44770027101889</v>
      </c>
      <c r="T28" s="166">
        <f t="shared" si="16"/>
        <v>4.3614748506720362</v>
      </c>
      <c r="V28" s="87">
        <f>L30/9.33</f>
        <v>210.42654471275452</v>
      </c>
    </row>
    <row r="29" spans="1:24">
      <c r="A29" s="233"/>
      <c r="B29" s="96" t="s">
        <v>885</v>
      </c>
      <c r="C29" s="179">
        <f>gaz!AX205</f>
        <v>912.72051703200032</v>
      </c>
      <c r="D29" s="180">
        <f>gaz!AY205</f>
        <v>76.606297519999998</v>
      </c>
      <c r="E29" s="180">
        <f>+gaz!AZ205</f>
        <v>989.3268145520002</v>
      </c>
      <c r="F29" s="180">
        <f>+gaz!BA205</f>
        <v>19.56195868</v>
      </c>
      <c r="G29" s="180">
        <f t="shared" si="13"/>
        <v>1008.8887732320002</v>
      </c>
      <c r="H29" s="185">
        <f>+gaz!AX237</f>
        <v>892.62269400000002</v>
      </c>
      <c r="I29" s="182">
        <f>gaz!AX220</f>
        <v>990.28256541799999</v>
      </c>
      <c r="J29" s="180">
        <f>gaz!AY220</f>
        <v>81.776776543999986</v>
      </c>
      <c r="K29" s="180">
        <f>+gaz!AZ220</f>
        <v>1072.059341962</v>
      </c>
      <c r="L29" s="165">
        <f>+gaz!BA220</f>
        <v>18.32001618</v>
      </c>
      <c r="M29" s="180">
        <f t="shared" si="14"/>
        <v>1090.379358142</v>
      </c>
      <c r="N29" s="1788">
        <f>+gaz!AX252</f>
        <v>936.13161700000001</v>
      </c>
      <c r="O29" s="167">
        <f t="shared" si="15"/>
        <v>8.49789688504179</v>
      </c>
      <c r="P29" s="165">
        <f t="shared" si="15"/>
        <v>6.7494177259383985</v>
      </c>
      <c r="Q29" s="165">
        <f t="shared" si="15"/>
        <v>8.3625073325707628</v>
      </c>
      <c r="R29" s="165">
        <f>(((L29-F29)/F29)*100)</f>
        <v>-6.3487635380282921</v>
      </c>
      <c r="S29" s="165">
        <f t="shared" si="16"/>
        <v>8.0772615447927638</v>
      </c>
      <c r="T29" s="166">
        <f t="shared" si="16"/>
        <v>4.874279277510726</v>
      </c>
    </row>
    <row r="30" spans="1:24" ht="14.4" thickBot="1">
      <c r="A30" s="233"/>
      <c r="B30" s="168" t="s">
        <v>16</v>
      </c>
      <c r="C30" s="186">
        <f t="shared" ref="C30:N30" si="17">SUM(C20:C29)</f>
        <v>20765.683995289881</v>
      </c>
      <c r="D30" s="187">
        <f t="shared" si="17"/>
        <v>939.16571873211922</v>
      </c>
      <c r="E30" s="187">
        <f t="shared" si="17"/>
        <v>21704.849714022002</v>
      </c>
      <c r="F30" s="187">
        <f t="shared" si="17"/>
        <v>1869.1040999100003</v>
      </c>
      <c r="G30" s="187">
        <f t="shared" si="17"/>
        <v>23573.953813931999</v>
      </c>
      <c r="H30" s="2151">
        <f t="shared" si="17"/>
        <v>21251.847377450002</v>
      </c>
      <c r="I30" s="189">
        <f t="shared" si="17"/>
        <v>21234.469411691007</v>
      </c>
      <c r="J30" s="187">
        <f t="shared" si="17"/>
        <v>960.97777583299978</v>
      </c>
      <c r="K30" s="2149">
        <f t="shared" si="17"/>
        <v>22195.447187523998</v>
      </c>
      <c r="L30" s="170">
        <f t="shared" si="17"/>
        <v>1963.2796621699997</v>
      </c>
      <c r="M30" s="2149">
        <f t="shared" si="17"/>
        <v>24158.726849693994</v>
      </c>
      <c r="N30" s="2151">
        <f t="shared" si="17"/>
        <v>21093.337319800001</v>
      </c>
      <c r="O30" s="172">
        <f t="shared" si="15"/>
        <v>2.2575004825627558</v>
      </c>
      <c r="P30" s="170">
        <f t="shared" si="15"/>
        <v>2.3224928961767266</v>
      </c>
      <c r="Q30" s="170">
        <f t="shared" si="15"/>
        <v>2.2603126949322037</v>
      </c>
      <c r="R30" s="170">
        <f>(((L30-F30)/F30)*100)</f>
        <v>5.0385402431322088</v>
      </c>
      <c r="S30" s="170">
        <f t="shared" si="16"/>
        <v>2.4805895539525453</v>
      </c>
      <c r="T30" s="171">
        <f t="shared" si="16"/>
        <v>-0.74586484099350969</v>
      </c>
    </row>
    <row r="31" spans="1:24">
      <c r="A31" s="233"/>
      <c r="B31" s="202"/>
      <c r="C31" s="202"/>
      <c r="D31" s="202"/>
      <c r="E31" s="201">
        <f>E30*1000000</f>
        <v>21704849714.022003</v>
      </c>
      <c r="F31" s="201">
        <f>F30*1000000</f>
        <v>1869104099.9100003</v>
      </c>
      <c r="G31" s="201">
        <f>SUM(G20:G29)</f>
        <v>23573.953813931999</v>
      </c>
      <c r="H31" s="201">
        <f>H30-G30</f>
        <v>-2322.1064364819977</v>
      </c>
      <c r="I31" s="201"/>
      <c r="J31" s="201"/>
      <c r="K31" s="173">
        <f>K30*1000000</f>
        <v>22195447187.523998</v>
      </c>
      <c r="L31" s="173">
        <f>L30*1000000</f>
        <v>1963279662.1699996</v>
      </c>
      <c r="M31" s="173">
        <f>SUM(M20:M29)</f>
        <v>24158.726849693994</v>
      </c>
      <c r="N31" s="173">
        <f>N30-M30</f>
        <v>-3065.3895298939933</v>
      </c>
      <c r="O31" s="173"/>
      <c r="P31" s="173"/>
      <c r="Q31" s="201"/>
      <c r="R31" s="201"/>
      <c r="S31" s="201">
        <f>(((M31-G31)/G31)*100)</f>
        <v>2.4805895539525453</v>
      </c>
      <c r="T31" s="201">
        <f>(((N31-H31)/H31)*100)</f>
        <v>32.00900190165585</v>
      </c>
    </row>
    <row r="32" spans="1:24">
      <c r="A32" s="233"/>
      <c r="B32" s="202"/>
      <c r="C32" s="202"/>
      <c r="D32" s="202"/>
      <c r="E32" s="201"/>
      <c r="F32" s="201"/>
      <c r="G32" s="201"/>
      <c r="H32" s="201"/>
      <c r="I32" s="201"/>
      <c r="J32" s="201"/>
      <c r="K32" s="234"/>
      <c r="L32" s="234"/>
      <c r="M32" s="234"/>
      <c r="N32" s="234"/>
      <c r="O32" s="235"/>
      <c r="P32" s="234"/>
      <c r="Q32" s="201"/>
      <c r="R32" s="201"/>
      <c r="S32" s="201"/>
      <c r="T32" s="201"/>
    </row>
    <row r="33" spans="1:29" ht="24" thickBot="1">
      <c r="A33" s="236"/>
      <c r="B33" s="124"/>
      <c r="C33" s="124"/>
      <c r="D33" s="124"/>
      <c r="E33" s="3032" t="s">
        <v>303</v>
      </c>
      <c r="F33" s="3032"/>
      <c r="G33" s="3032"/>
      <c r="H33" s="3032"/>
      <c r="I33" s="3032"/>
      <c r="J33" s="3032"/>
      <c r="K33" s="3032"/>
      <c r="L33" s="3032"/>
      <c r="M33" s="3032"/>
      <c r="N33" s="3032"/>
      <c r="O33" s="3032"/>
      <c r="P33" s="3032"/>
      <c r="Q33" s="3032"/>
      <c r="R33" s="3032"/>
      <c r="S33" s="3032"/>
      <c r="T33" s="3032"/>
    </row>
    <row r="34" spans="1:29" ht="14.4" thickBot="1">
      <c r="A34" s="236"/>
      <c r="B34" s="118"/>
      <c r="C34" s="3033" t="s">
        <v>1086</v>
      </c>
      <c r="D34" s="3034"/>
      <c r="E34" s="3034"/>
      <c r="F34" s="3034"/>
      <c r="G34" s="3034"/>
      <c r="H34" s="3035"/>
      <c r="I34" s="3033" t="s">
        <v>1083</v>
      </c>
      <c r="J34" s="3034"/>
      <c r="K34" s="3034"/>
      <c r="L34" s="3034"/>
      <c r="M34" s="3034"/>
      <c r="N34" s="3035"/>
      <c r="O34" s="2920" t="s">
        <v>302</v>
      </c>
      <c r="P34" s="2912"/>
      <c r="Q34" s="2912"/>
      <c r="R34" s="2912"/>
      <c r="S34" s="2912"/>
      <c r="T34" s="2913"/>
    </row>
    <row r="35" spans="1:29" ht="27.75" customHeight="1">
      <c r="A35" s="236"/>
      <c r="B35" s="118"/>
      <c r="C35" s="178" t="s">
        <v>17</v>
      </c>
      <c r="D35" s="162" t="s">
        <v>18</v>
      </c>
      <c r="E35" s="162" t="s">
        <v>56</v>
      </c>
      <c r="F35" s="162" t="s">
        <v>21</v>
      </c>
      <c r="G35" s="162" t="s">
        <v>57</v>
      </c>
      <c r="H35" s="95" t="str">
        <f>H19</f>
        <v>Liv au Rx MP</v>
      </c>
      <c r="I35" s="178" t="s">
        <v>17</v>
      </c>
      <c r="J35" s="162" t="s">
        <v>18</v>
      </c>
      <c r="K35" s="162" t="s">
        <v>56</v>
      </c>
      <c r="L35" s="162" t="s">
        <v>21</v>
      </c>
      <c r="M35" s="162" t="s">
        <v>57</v>
      </c>
      <c r="N35" s="95" t="str">
        <f>N19</f>
        <v>Liv au Rx MP</v>
      </c>
      <c r="O35" s="163" t="s">
        <v>17</v>
      </c>
      <c r="P35" s="162" t="s">
        <v>18</v>
      </c>
      <c r="Q35" s="162" t="s">
        <v>56</v>
      </c>
      <c r="R35" s="162" t="s">
        <v>21</v>
      </c>
      <c r="S35" s="162" t="s">
        <v>57</v>
      </c>
      <c r="T35" s="95" t="str">
        <f>T19</f>
        <v>Liv au Rx MP</v>
      </c>
      <c r="U35" s="87" t="s">
        <v>599</v>
      </c>
      <c r="V35" s="87" t="s">
        <v>1080</v>
      </c>
      <c r="Y35" s="162" t="s">
        <v>1189</v>
      </c>
      <c r="Z35" s="162" t="s">
        <v>1190</v>
      </c>
    </row>
    <row r="36" spans="1:29">
      <c r="A36" s="236"/>
      <c r="B36" s="96" t="s">
        <v>68</v>
      </c>
      <c r="C36" s="237">
        <f t="shared" ref="C36:C45" si="18">I20</f>
        <v>2404.1634604500014</v>
      </c>
      <c r="D36" s="238">
        <f t="shared" ref="D36:D45" si="19">J20</f>
        <v>66.569699660000012</v>
      </c>
      <c r="E36" s="238">
        <f t="shared" ref="E36:E45" si="20">K20</f>
        <v>2470.7331601100009</v>
      </c>
      <c r="F36" s="238">
        <f t="shared" ref="F36:F45" si="21">L20</f>
        <v>564.95270572999993</v>
      </c>
      <c r="G36" s="238">
        <f t="shared" ref="G36:G45" si="22">M20</f>
        <v>3035.6858658400006</v>
      </c>
      <c r="H36" s="239">
        <f t="shared" ref="H36:H45" si="23">N20</f>
        <v>2804.7358327700008</v>
      </c>
      <c r="I36" s="238">
        <v>3551.1687103952963</v>
      </c>
      <c r="J36" s="238">
        <v>73.689844708556876</v>
      </c>
      <c r="K36" s="238">
        <f>I36+J36</f>
        <v>3624.8585551038532</v>
      </c>
      <c r="L36" s="238">
        <v>734</v>
      </c>
      <c r="M36" s="238">
        <f>L36+K36</f>
        <v>4358.8585551038532</v>
      </c>
      <c r="N36" s="240">
        <v>4447.8148521467892</v>
      </c>
      <c r="O36" s="167">
        <f t="shared" ref="O36:O46" si="24">(C36/I36)*100</f>
        <v>67.700626371603249</v>
      </c>
      <c r="P36" s="241">
        <f t="shared" ref="P36:P46" si="25">(D36/J36)*100</f>
        <v>90.337684823849173</v>
      </c>
      <c r="Q36" s="241">
        <f t="shared" ref="Q36:Q46" si="26">(E36/K36)*100</f>
        <v>68.160815727035001</v>
      </c>
      <c r="R36" s="241">
        <f t="shared" ref="R36:R46" si="27">(F36/L36)*100</f>
        <v>76.969033478201624</v>
      </c>
      <c r="S36" s="241">
        <f>(G36/M36)*100</f>
        <v>69.644055375127294</v>
      </c>
      <c r="T36" s="242">
        <f t="shared" ref="T36:T46" si="28">(H36/N36)*100</f>
        <v>63.058736166058317</v>
      </c>
      <c r="U36" s="194">
        <f>((N36-M36)/N36)*100</f>
        <v>2.0000000000000062</v>
      </c>
      <c r="V36" s="194">
        <f>N36-M36</f>
        <v>88.956297042936058</v>
      </c>
      <c r="W36" s="194">
        <f>100-(U36)</f>
        <v>98</v>
      </c>
      <c r="X36" s="173">
        <f>N36-M36</f>
        <v>88.956297042936058</v>
      </c>
      <c r="Y36" s="184">
        <v>1958.6300573527665</v>
      </c>
      <c r="Z36" s="184">
        <v>209.47915051901248</v>
      </c>
    </row>
    <row r="37" spans="1:29">
      <c r="B37" s="96" t="s">
        <v>7</v>
      </c>
      <c r="C37" s="237">
        <f t="shared" si="18"/>
        <v>2404.7901573799995</v>
      </c>
      <c r="D37" s="238">
        <f t="shared" si="19"/>
        <v>118.96630101</v>
      </c>
      <c r="E37" s="238">
        <f t="shared" si="20"/>
        <v>2523.7564583899994</v>
      </c>
      <c r="F37" s="238">
        <f t="shared" si="21"/>
        <v>126.15878764999999</v>
      </c>
      <c r="G37" s="238">
        <f t="shared" si="22"/>
        <v>2649.9152460399991</v>
      </c>
      <c r="H37" s="239">
        <f t="shared" si="23"/>
        <v>2250.7096760000004</v>
      </c>
      <c r="I37" s="238">
        <v>3116.4460542955062</v>
      </c>
      <c r="J37" s="238">
        <v>65.061708535430725</v>
      </c>
      <c r="K37" s="238">
        <f t="shared" ref="K37:K45" si="29">I37+J37</f>
        <v>3181.5077628309368</v>
      </c>
      <c r="L37" s="238">
        <v>166.83300000000003</v>
      </c>
      <c r="M37" s="238">
        <f t="shared" ref="M37:M45" si="30">L37+K37</f>
        <v>3348.3407628309369</v>
      </c>
      <c r="N37" s="240">
        <v>3416.6742477866701</v>
      </c>
      <c r="O37" s="167">
        <f t="shared" si="24"/>
        <v>77.164504550476437</v>
      </c>
      <c r="P37" s="241">
        <f t="shared" si="25"/>
        <v>182.85148620899557</v>
      </c>
      <c r="Q37" s="241">
        <f t="shared" si="26"/>
        <v>79.325799165875239</v>
      </c>
      <c r="R37" s="241">
        <f t="shared" si="27"/>
        <v>75.619804025582454</v>
      </c>
      <c r="S37" s="241">
        <f t="shared" ref="S37:S46" si="31">(G37/M37)*100</f>
        <v>79.141145831273249</v>
      </c>
      <c r="T37" s="242">
        <f t="shared" si="28"/>
        <v>65.874283375361742</v>
      </c>
      <c r="U37" s="194">
        <f t="shared" ref="U37:U45" si="32">((N37-M37)/N37)*100</f>
        <v>1.9999999999999933</v>
      </c>
      <c r="V37" s="194">
        <f t="shared" ref="V37:V46" si="33">N37-M37</f>
        <v>68.333484955733184</v>
      </c>
      <c r="W37" s="194">
        <f t="shared" ref="W37:W46" si="34">100-(U37)</f>
        <v>98</v>
      </c>
      <c r="X37" s="173">
        <f t="shared" ref="X37:X46" si="35">N37-M37</f>
        <v>68.333484955733184</v>
      </c>
      <c r="Y37" s="184">
        <v>1468.9191390953561</v>
      </c>
      <c r="Z37" s="184">
        <v>157.10365124014504</v>
      </c>
    </row>
    <row r="38" spans="1:29">
      <c r="B38" s="96" t="s">
        <v>8</v>
      </c>
      <c r="C38" s="237">
        <f t="shared" si="18"/>
        <v>2358.4153367199992</v>
      </c>
      <c r="D38" s="238">
        <f t="shared" si="19"/>
        <v>133.04534864999999</v>
      </c>
      <c r="E38" s="238">
        <f t="shared" si="20"/>
        <v>2491.4606853699993</v>
      </c>
      <c r="F38" s="238">
        <f t="shared" si="21"/>
        <v>80.97995748000001</v>
      </c>
      <c r="G38" s="238">
        <f t="shared" si="22"/>
        <v>2572.4406428499992</v>
      </c>
      <c r="H38" s="239">
        <f t="shared" si="23"/>
        <v>2155.7617600000003</v>
      </c>
      <c r="I38" s="238">
        <v>2941.655760790773</v>
      </c>
      <c r="J38" s="238">
        <v>155.80709450620131</v>
      </c>
      <c r="K38" s="238">
        <f t="shared" si="29"/>
        <v>3097.4628552969743</v>
      </c>
      <c r="L38" s="238">
        <v>145</v>
      </c>
      <c r="M38" s="238">
        <f t="shared" si="30"/>
        <v>3242.4628552969743</v>
      </c>
      <c r="N38" s="240">
        <v>3308.6355666295658</v>
      </c>
      <c r="O38" s="167">
        <f t="shared" si="24"/>
        <v>80.173056553905283</v>
      </c>
      <c r="P38" s="241">
        <f t="shared" si="25"/>
        <v>85.391072256151105</v>
      </c>
      <c r="Q38" s="241">
        <f t="shared" si="26"/>
        <v>80.43553068309923</v>
      </c>
      <c r="R38" s="241">
        <f t="shared" si="27"/>
        <v>55.848246537931047</v>
      </c>
      <c r="S38" s="241">
        <f t="shared" si="31"/>
        <v>79.336009621439189</v>
      </c>
      <c r="T38" s="242">
        <f t="shared" si="28"/>
        <v>65.155612233112365</v>
      </c>
      <c r="U38" s="194">
        <f t="shared" si="32"/>
        <v>2.0000000000000044</v>
      </c>
      <c r="V38" s="194">
        <f t="shared" si="33"/>
        <v>66.172711332591462</v>
      </c>
      <c r="W38" s="194">
        <f t="shared" si="34"/>
        <v>98</v>
      </c>
      <c r="X38" s="173">
        <f t="shared" si="35"/>
        <v>66.172711332591462</v>
      </c>
      <c r="Y38" s="184">
        <v>125</v>
      </c>
      <c r="Z38" s="184">
        <v>13.368983957219251</v>
      </c>
    </row>
    <row r="39" spans="1:29" s="86" customFormat="1">
      <c r="B39" s="96" t="s">
        <v>4</v>
      </c>
      <c r="C39" s="237">
        <f t="shared" si="18"/>
        <v>3681.8174694999998</v>
      </c>
      <c r="D39" s="238">
        <f t="shared" si="19"/>
        <v>143.73448929999998</v>
      </c>
      <c r="E39" s="238">
        <f t="shared" si="20"/>
        <v>3825.5519587999993</v>
      </c>
      <c r="F39" s="238">
        <f t="shared" si="21"/>
        <v>173.62507333000002</v>
      </c>
      <c r="G39" s="238">
        <f t="shared" si="22"/>
        <v>3999.1770321299991</v>
      </c>
      <c r="H39" s="239">
        <f t="shared" si="23"/>
        <v>3233.6893380000001</v>
      </c>
      <c r="I39" s="238">
        <v>4539.5651579484247</v>
      </c>
      <c r="J39" s="238">
        <v>137.32882605157539</v>
      </c>
      <c r="K39" s="238">
        <f t="shared" si="29"/>
        <v>4676.8939840000003</v>
      </c>
      <c r="L39" s="238">
        <v>262.95281599999998</v>
      </c>
      <c r="M39" s="238">
        <f t="shared" si="30"/>
        <v>4939.8468000000003</v>
      </c>
      <c r="N39" s="240">
        <v>5040.66</v>
      </c>
      <c r="O39" s="167">
        <f>(C39/I39)*100</f>
        <v>81.105069349063626</v>
      </c>
      <c r="P39" s="241">
        <f t="shared" si="25"/>
        <v>104.6644709873358</v>
      </c>
      <c r="Q39" s="241">
        <f t="shared" si="26"/>
        <v>81.796850043800333</v>
      </c>
      <c r="R39" s="241">
        <f t="shared" si="27"/>
        <v>66.028984199963858</v>
      </c>
      <c r="S39" s="241">
        <f t="shared" si="31"/>
        <v>80.957511316545265</v>
      </c>
      <c r="T39" s="242">
        <f t="shared" si="28"/>
        <v>64.152101867612572</v>
      </c>
      <c r="U39" s="194">
        <f t="shared" si="32"/>
        <v>1.999999999999992</v>
      </c>
      <c r="V39" s="194">
        <f t="shared" si="33"/>
        <v>100.8131999999996</v>
      </c>
      <c r="W39" s="194">
        <f t="shared" si="34"/>
        <v>98.000000000000014</v>
      </c>
      <c r="X39" s="173">
        <f t="shared" si="35"/>
        <v>100.8131999999996</v>
      </c>
      <c r="Y39" s="184">
        <v>341.89017432231384</v>
      </c>
      <c r="Z39" s="184">
        <v>36.565794045167259</v>
      </c>
    </row>
    <row r="40" spans="1:29" s="86" customFormat="1">
      <c r="B40" s="208" t="s">
        <v>3</v>
      </c>
      <c r="C40" s="237">
        <f t="shared" si="18"/>
        <v>3710.1362390199993</v>
      </c>
      <c r="D40" s="238">
        <f t="shared" si="19"/>
        <v>196.28525663999997</v>
      </c>
      <c r="E40" s="238">
        <f t="shared" si="20"/>
        <v>3906.4214956599994</v>
      </c>
      <c r="F40" s="238">
        <f t="shared" si="21"/>
        <v>152.77921807000001</v>
      </c>
      <c r="G40" s="238">
        <f t="shared" si="22"/>
        <v>4059.2007137299993</v>
      </c>
      <c r="H40" s="239">
        <f t="shared" si="23"/>
        <v>3651.2215449999994</v>
      </c>
      <c r="I40" s="238">
        <v>5454.7191138240314</v>
      </c>
      <c r="J40" s="238">
        <v>141.18224934286602</v>
      </c>
      <c r="K40" s="238">
        <f t="shared" si="29"/>
        <v>5595.9013631668977</v>
      </c>
      <c r="L40" s="238">
        <v>267.75</v>
      </c>
      <c r="M40" s="238">
        <f t="shared" si="30"/>
        <v>5863.6513631668977</v>
      </c>
      <c r="N40" s="240">
        <v>5983.3177175172423</v>
      </c>
      <c r="O40" s="167">
        <f t="shared" si="24"/>
        <v>68.016998888491031</v>
      </c>
      <c r="P40" s="241">
        <f t="shared" si="25"/>
        <v>139.02969923882878</v>
      </c>
      <c r="Q40" s="241">
        <f t="shared" si="26"/>
        <v>69.808619597419636</v>
      </c>
      <c r="R40" s="241">
        <f t="shared" si="27"/>
        <v>57.060398905695621</v>
      </c>
      <c r="S40" s="241">
        <f t="shared" si="31"/>
        <v>69.22650175329774</v>
      </c>
      <c r="T40" s="242">
        <f t="shared" si="28"/>
        <v>61.023360573188178</v>
      </c>
      <c r="U40" s="194">
        <f t="shared" si="32"/>
        <v>1.9999999999999958</v>
      </c>
      <c r="V40" s="194">
        <f t="shared" si="33"/>
        <v>119.66635435034459</v>
      </c>
      <c r="W40" s="194">
        <f t="shared" si="34"/>
        <v>98</v>
      </c>
      <c r="X40" s="173">
        <f t="shared" si="35"/>
        <v>119.66635435034459</v>
      </c>
      <c r="Y40" s="184">
        <v>139</v>
      </c>
      <c r="Z40" s="184">
        <v>14.866310160427808</v>
      </c>
    </row>
    <row r="41" spans="1:29" s="86" customFormat="1">
      <c r="B41" s="96" t="s">
        <v>397</v>
      </c>
      <c r="C41" s="237">
        <f t="shared" si="18"/>
        <v>1028.6482300000021</v>
      </c>
      <c r="D41" s="238">
        <f t="shared" si="19"/>
        <v>41.434344799999991</v>
      </c>
      <c r="E41" s="238">
        <f t="shared" si="20"/>
        <v>1070.0825748000025</v>
      </c>
      <c r="F41" s="238">
        <f t="shared" si="21"/>
        <v>103.33308722</v>
      </c>
      <c r="G41" s="238">
        <f t="shared" si="22"/>
        <v>1173.4156620200024</v>
      </c>
      <c r="H41" s="239">
        <f t="shared" si="23"/>
        <v>1133.2621072299999</v>
      </c>
      <c r="I41" s="238">
        <v>1495.2722435005317</v>
      </c>
      <c r="J41" s="238">
        <v>77.853445261968332</v>
      </c>
      <c r="K41" s="238">
        <f t="shared" si="29"/>
        <v>1573.1256887625</v>
      </c>
      <c r="L41" s="238">
        <v>156</v>
      </c>
      <c r="M41" s="238">
        <f t="shared" si="30"/>
        <v>1729.1256887625</v>
      </c>
      <c r="N41" s="240">
        <v>1764.4139681249999</v>
      </c>
      <c r="O41" s="167">
        <f t="shared" si="24"/>
        <v>68.793374214709431</v>
      </c>
      <c r="P41" s="241">
        <f t="shared" si="25"/>
        <v>53.220952085778542</v>
      </c>
      <c r="Q41" s="241">
        <f t="shared" si="26"/>
        <v>68.022700439262636</v>
      </c>
      <c r="R41" s="241">
        <f t="shared" si="27"/>
        <v>66.239158474358973</v>
      </c>
      <c r="S41" s="241">
        <f t="shared" si="31"/>
        <v>67.861791056946942</v>
      </c>
      <c r="T41" s="243">
        <f t="shared" si="28"/>
        <v>64.228810681786314</v>
      </c>
      <c r="U41" s="194">
        <f>((N41-M41)/N41)*100</f>
        <v>1.9999999999999949</v>
      </c>
      <c r="V41" s="194">
        <f t="shared" si="33"/>
        <v>35.288279362499907</v>
      </c>
      <c r="W41" s="194">
        <f t="shared" si="34"/>
        <v>98</v>
      </c>
      <c r="X41" s="173">
        <f t="shared" si="35"/>
        <v>35.288279362499907</v>
      </c>
      <c r="Y41" s="184">
        <v>148</v>
      </c>
      <c r="Z41" s="184">
        <v>15.828877005347595</v>
      </c>
    </row>
    <row r="42" spans="1:29" s="86" customFormat="1">
      <c r="B42" s="96" t="s">
        <v>399</v>
      </c>
      <c r="C42" s="237">
        <f t="shared" si="18"/>
        <v>1647.6173208300002</v>
      </c>
      <c r="D42" s="238">
        <f t="shared" si="19"/>
        <v>39.664123249999996</v>
      </c>
      <c r="E42" s="238">
        <f t="shared" si="20"/>
        <v>1687.28144408</v>
      </c>
      <c r="F42" s="238">
        <f t="shared" si="21"/>
        <v>577.98473827999999</v>
      </c>
      <c r="G42" s="238">
        <f t="shared" si="22"/>
        <v>2265.2661823600001</v>
      </c>
      <c r="H42" s="239">
        <f t="shared" si="23"/>
        <v>2092.9558408000003</v>
      </c>
      <c r="I42" s="238">
        <v>2225.0811285888626</v>
      </c>
      <c r="J42" s="238">
        <v>8.6413619615228612</v>
      </c>
      <c r="K42" s="238">
        <f t="shared" si="29"/>
        <v>2233.7224905503854</v>
      </c>
      <c r="L42" s="238">
        <v>735</v>
      </c>
      <c r="M42" s="238">
        <f t="shared" si="30"/>
        <v>2968.7224905503854</v>
      </c>
      <c r="N42" s="240">
        <v>3029.3086638269237</v>
      </c>
      <c r="O42" s="167">
        <f t="shared" si="24"/>
        <v>74.047516724700841</v>
      </c>
      <c r="P42" s="241">
        <f t="shared" si="25"/>
        <v>459.00314587690315</v>
      </c>
      <c r="Q42" s="241">
        <f t="shared" si="26"/>
        <v>75.536753165083496</v>
      </c>
      <c r="R42" s="241">
        <f t="shared" si="27"/>
        <v>78.637379357823121</v>
      </c>
      <c r="S42" s="241">
        <f t="shared" si="31"/>
        <v>76.304410047435312</v>
      </c>
      <c r="T42" s="243">
        <f t="shared" si="28"/>
        <v>69.090214073991746</v>
      </c>
      <c r="U42" s="194">
        <f t="shared" si="32"/>
        <v>1.9999999999999967</v>
      </c>
      <c r="V42" s="194">
        <f t="shared" si="33"/>
        <v>60.586173276538375</v>
      </c>
      <c r="W42" s="194">
        <f t="shared" si="34"/>
        <v>98</v>
      </c>
      <c r="X42" s="173">
        <f t="shared" si="35"/>
        <v>60.586173276538375</v>
      </c>
      <c r="Y42" s="184">
        <v>1215.2</v>
      </c>
      <c r="Z42" s="184">
        <v>129.96791443850267</v>
      </c>
    </row>
    <row r="43" spans="1:29" s="86" customFormat="1">
      <c r="B43" s="96" t="s">
        <v>883</v>
      </c>
      <c r="C43" s="237">
        <f t="shared" si="18"/>
        <v>1463.2043598729997</v>
      </c>
      <c r="D43" s="238">
        <f t="shared" si="19"/>
        <v>65.080046879000008</v>
      </c>
      <c r="E43" s="238">
        <f t="shared" si="20"/>
        <v>1528.2844067519998</v>
      </c>
      <c r="F43" s="238">
        <f t="shared" si="21"/>
        <v>54.934156869999995</v>
      </c>
      <c r="G43" s="238">
        <f t="shared" si="22"/>
        <v>1583.2185636219997</v>
      </c>
      <c r="H43" s="239">
        <f t="shared" si="23"/>
        <v>1360.5992479999998</v>
      </c>
      <c r="I43" s="238">
        <v>1826.6415543429544</v>
      </c>
      <c r="J43" s="238">
        <v>65.498345157348908</v>
      </c>
      <c r="K43" s="238">
        <f t="shared" si="29"/>
        <v>1892.1398995003033</v>
      </c>
      <c r="L43" s="238">
        <v>117.60000000000001</v>
      </c>
      <c r="M43" s="238">
        <f t="shared" si="30"/>
        <v>2009.7398995003032</v>
      </c>
      <c r="N43" s="240">
        <v>2050.75</v>
      </c>
      <c r="O43" s="167">
        <f t="shared" si="24"/>
        <v>80.103529693285466</v>
      </c>
      <c r="P43" s="241">
        <f t="shared" si="25"/>
        <v>99.361360539195289</v>
      </c>
      <c r="Q43" s="241">
        <f t="shared" si="26"/>
        <v>80.770159075214551</v>
      </c>
      <c r="R43" s="241">
        <f t="shared" si="27"/>
        <v>46.712718426870744</v>
      </c>
      <c r="S43" s="241">
        <f t="shared" si="31"/>
        <v>78.777286753158819</v>
      </c>
      <c r="T43" s="243">
        <f t="shared" si="28"/>
        <v>66.346421943191501</v>
      </c>
      <c r="U43" s="194">
        <f t="shared" si="32"/>
        <v>1.9997610873922624</v>
      </c>
      <c r="V43" s="194">
        <f t="shared" si="33"/>
        <v>41.010100499696819</v>
      </c>
      <c r="W43" s="194">
        <f t="shared" si="34"/>
        <v>98.000238912607742</v>
      </c>
      <c r="X43" s="173">
        <f t="shared" si="35"/>
        <v>41.010100499696819</v>
      </c>
      <c r="Y43" s="184">
        <v>230</v>
      </c>
      <c r="Z43" s="184">
        <v>24.598930481283425</v>
      </c>
    </row>
    <row r="44" spans="1:29" s="86" customFormat="1">
      <c r="B44" s="96" t="s">
        <v>884</v>
      </c>
      <c r="C44" s="237">
        <f t="shared" si="18"/>
        <v>1545.3942724999999</v>
      </c>
      <c r="D44" s="238">
        <f t="shared" si="19"/>
        <v>74.421389099999999</v>
      </c>
      <c r="E44" s="238">
        <f t="shared" si="20"/>
        <v>1619.8156616000001</v>
      </c>
      <c r="F44" s="238">
        <f t="shared" si="21"/>
        <v>110.21192136000001</v>
      </c>
      <c r="G44" s="238">
        <f t="shared" si="22"/>
        <v>1730.02758296</v>
      </c>
      <c r="H44" s="239">
        <f t="shared" si="23"/>
        <v>1474.2703550000001</v>
      </c>
      <c r="I44" s="238">
        <v>1844.614395525414</v>
      </c>
      <c r="J44" s="238">
        <v>65.930169184241123</v>
      </c>
      <c r="K44" s="238">
        <f t="shared" si="29"/>
        <v>1910.5445647096551</v>
      </c>
      <c r="L44" s="238">
        <v>166.21440000000001</v>
      </c>
      <c r="M44" s="238">
        <f t="shared" si="30"/>
        <v>2076.7589647096552</v>
      </c>
      <c r="N44" s="240">
        <v>2119.1418007241382</v>
      </c>
      <c r="O44" s="167">
        <f t="shared" si="24"/>
        <v>83.77871690954764</v>
      </c>
      <c r="P44" s="241">
        <f t="shared" si="25"/>
        <v>112.87911137013809</v>
      </c>
      <c r="Q44" s="241">
        <f t="shared" si="26"/>
        <v>84.782930035770349</v>
      </c>
      <c r="R44" s="241">
        <f t="shared" si="27"/>
        <v>66.307083718378195</v>
      </c>
      <c r="S44" s="241">
        <f t="shared" si="31"/>
        <v>83.304206812554654</v>
      </c>
      <c r="T44" s="242">
        <f t="shared" si="28"/>
        <v>69.569216863931558</v>
      </c>
      <c r="U44" s="194">
        <f t="shared" si="32"/>
        <v>2.000000000000012</v>
      </c>
      <c r="V44" s="194">
        <f t="shared" si="33"/>
        <v>42.382836014483019</v>
      </c>
      <c r="W44" s="194">
        <f t="shared" si="34"/>
        <v>97.999999999999986</v>
      </c>
      <c r="X44" s="173">
        <f t="shared" si="35"/>
        <v>42.382836014483019</v>
      </c>
      <c r="Y44" s="184">
        <v>3677</v>
      </c>
      <c r="Z44" s="184">
        <v>393.26203208556149</v>
      </c>
    </row>
    <row r="45" spans="1:29" s="86" customFormat="1" ht="14.4" thickBot="1">
      <c r="B45" s="96" t="s">
        <v>885</v>
      </c>
      <c r="C45" s="237">
        <f t="shared" si="18"/>
        <v>990.28256541799999</v>
      </c>
      <c r="D45" s="238">
        <f t="shared" si="19"/>
        <v>81.776776543999986</v>
      </c>
      <c r="E45" s="238">
        <f t="shared" si="20"/>
        <v>1072.059341962</v>
      </c>
      <c r="F45" s="238">
        <f t="shared" si="21"/>
        <v>18.32001618</v>
      </c>
      <c r="G45" s="238">
        <f t="shared" si="22"/>
        <v>1090.379358142</v>
      </c>
      <c r="H45" s="239">
        <f t="shared" si="23"/>
        <v>936.13161700000001</v>
      </c>
      <c r="I45" s="238">
        <v>1298.5821124015763</v>
      </c>
      <c r="J45" s="238">
        <v>87.911205266220875</v>
      </c>
      <c r="K45" s="238">
        <f t="shared" si="29"/>
        <v>1386.4933176677971</v>
      </c>
      <c r="L45" s="238">
        <v>34.151040000000002</v>
      </c>
      <c r="M45" s="238">
        <f t="shared" si="30"/>
        <v>1420.6443576677971</v>
      </c>
      <c r="N45" s="240">
        <v>1449.6370996610174</v>
      </c>
      <c r="O45" s="167">
        <f t="shared" si="24"/>
        <v>76.258756066382887</v>
      </c>
      <c r="P45" s="241">
        <f t="shared" si="25"/>
        <v>93.022017268852082</v>
      </c>
      <c r="Q45" s="241">
        <f t="shared" si="26"/>
        <v>77.321637854360333</v>
      </c>
      <c r="R45" s="241">
        <f t="shared" si="27"/>
        <v>53.644094528307185</v>
      </c>
      <c r="S45" s="241">
        <f t="shared" si="31"/>
        <v>76.752450552228495</v>
      </c>
      <c r="T45" s="243">
        <f t="shared" si="28"/>
        <v>64.576963242656021</v>
      </c>
      <c r="U45" s="194">
        <f t="shared" si="32"/>
        <v>1.9999999999999973</v>
      </c>
      <c r="V45" s="194">
        <f t="shared" si="33"/>
        <v>28.992741993220307</v>
      </c>
      <c r="W45" s="194">
        <f t="shared" si="34"/>
        <v>98</v>
      </c>
      <c r="X45" s="173">
        <f t="shared" si="35"/>
        <v>28.992741993220307</v>
      </c>
      <c r="Y45" s="184">
        <v>31.8</v>
      </c>
      <c r="Z45" s="184">
        <v>3.4010695187165778</v>
      </c>
      <c r="AB45" s="86">
        <f>M46/9.32</f>
        <v>3428.986237938766</v>
      </c>
      <c r="AC45" s="86">
        <f>N46/9.32</f>
        <v>3498.9650124911313</v>
      </c>
    </row>
    <row r="46" spans="1:29" s="86" customFormat="1" ht="14.4" thickBot="1">
      <c r="B46" s="244" t="s">
        <v>16</v>
      </c>
      <c r="C46" s="245">
        <f t="shared" ref="C46:N46" si="36">SUM(C36:C45)</f>
        <v>21234.469411691007</v>
      </c>
      <c r="D46" s="246">
        <f t="shared" si="36"/>
        <v>960.97777583299978</v>
      </c>
      <c r="E46" s="246">
        <f t="shared" si="36"/>
        <v>22195.447187523998</v>
      </c>
      <c r="F46" s="246">
        <f t="shared" si="36"/>
        <v>1963.2796621699997</v>
      </c>
      <c r="G46" s="246">
        <f t="shared" si="36"/>
        <v>24158.726849693994</v>
      </c>
      <c r="H46" s="247">
        <f t="shared" si="36"/>
        <v>21093.337319800001</v>
      </c>
      <c r="I46" s="245">
        <f t="shared" si="36"/>
        <v>28293.746231613368</v>
      </c>
      <c r="J46" s="246">
        <f t="shared" si="36"/>
        <v>878.90424997593243</v>
      </c>
      <c r="K46" s="246">
        <f t="shared" si="36"/>
        <v>29172.650481589306</v>
      </c>
      <c r="L46" s="246">
        <f t="shared" si="36"/>
        <v>2785.501256</v>
      </c>
      <c r="M46" s="246">
        <f t="shared" si="36"/>
        <v>31958.151737589298</v>
      </c>
      <c r="N46" s="247">
        <f t="shared" si="36"/>
        <v>32610.353916417345</v>
      </c>
      <c r="O46" s="245">
        <f t="shared" si="24"/>
        <v>75.050045468935323</v>
      </c>
      <c r="P46" s="246">
        <f t="shared" si="25"/>
        <v>109.33816463617222</v>
      </c>
      <c r="Q46" s="246">
        <f t="shared" si="26"/>
        <v>76.083066917527503</v>
      </c>
      <c r="R46" s="246">
        <f t="shared" si="27"/>
        <v>70.482095742770682</v>
      </c>
      <c r="S46" s="246">
        <f t="shared" si="31"/>
        <v>75.594881231127047</v>
      </c>
      <c r="T46" s="247">
        <f t="shared" si="28"/>
        <v>64.682945097326211</v>
      </c>
      <c r="U46" s="194">
        <f>((N46-M46)/N46)*100</f>
        <v>1.9999849756297883</v>
      </c>
      <c r="V46" s="194">
        <f t="shared" si="33"/>
        <v>652.20217882804718</v>
      </c>
      <c r="W46" s="194">
        <f t="shared" si="34"/>
        <v>98.000015024370214</v>
      </c>
      <c r="X46" s="173">
        <f t="shared" si="35"/>
        <v>652.20217882804718</v>
      </c>
      <c r="Y46" s="187">
        <f>SUM(Y36:Y45)</f>
        <v>9335.4393707704367</v>
      </c>
      <c r="Z46" s="187">
        <f>SUM(Z36:Z45)</f>
        <v>998.44271345138361</v>
      </c>
    </row>
    <row r="47" spans="1:29" s="86" customFormat="1" ht="23.4">
      <c r="B47" s="202"/>
      <c r="C47" s="202"/>
      <c r="D47" s="202"/>
      <c r="E47" s="3051"/>
      <c r="F47" s="3051"/>
      <c r="G47" s="3051"/>
      <c r="H47" s="3051"/>
      <c r="I47" s="3051"/>
      <c r="J47" s="3051"/>
      <c r="K47" s="3051"/>
      <c r="L47" s="3051"/>
      <c r="M47" s="3051"/>
      <c r="N47" s="3051"/>
      <c r="O47" s="248"/>
      <c r="P47" s="248"/>
      <c r="Q47" s="249"/>
      <c r="R47" s="249"/>
      <c r="S47" s="249"/>
      <c r="T47" s="249"/>
      <c r="V47" s="1520">
        <f>100-U46</f>
        <v>98.000015024370214</v>
      </c>
    </row>
    <row r="48" spans="1:29">
      <c r="V48" s="87">
        <f>136/98.9</f>
        <v>1.3751263902932254</v>
      </c>
    </row>
    <row r="50" spans="5:7" ht="27.6">
      <c r="F50" s="87" t="s">
        <v>539</v>
      </c>
      <c r="G50" s="87" t="s">
        <v>551</v>
      </c>
    </row>
    <row r="51" spans="5:7">
      <c r="E51" s="87" t="s">
        <v>56</v>
      </c>
      <c r="F51" s="173">
        <f>E46</f>
        <v>22195.447187523998</v>
      </c>
      <c r="G51" s="173">
        <f>K46-F51</f>
        <v>6977.203294065308</v>
      </c>
    </row>
    <row r="52" spans="5:7">
      <c r="E52" s="87" t="s">
        <v>21</v>
      </c>
      <c r="F52" s="173">
        <f>F46</f>
        <v>1963.2796621699997</v>
      </c>
      <c r="G52" s="173">
        <f>L46-F52</f>
        <v>822.2215938300003</v>
      </c>
    </row>
    <row r="53" spans="5:7">
      <c r="E53" s="87" t="s">
        <v>57</v>
      </c>
      <c r="F53" s="173">
        <f>G46</f>
        <v>24158.726849693994</v>
      </c>
      <c r="G53" s="173">
        <f>M46-F53</f>
        <v>7799.424887895304</v>
      </c>
    </row>
    <row r="68" spans="2:7">
      <c r="C68" s="87" t="s">
        <v>17</v>
      </c>
      <c r="D68" s="87" t="s">
        <v>18</v>
      </c>
      <c r="E68" s="87" t="s">
        <v>56</v>
      </c>
      <c r="F68" s="87" t="s">
        <v>913</v>
      </c>
    </row>
    <row r="69" spans="2:7">
      <c r="B69" s="87" t="s">
        <v>68</v>
      </c>
      <c r="C69" s="87">
        <f>E69*E82</f>
        <v>3514.6221008129564</v>
      </c>
      <c r="D69" s="87">
        <f>E69*F82</f>
        <v>110.23645429089655</v>
      </c>
      <c r="E69" s="87">
        <v>3624.8585551038532</v>
      </c>
      <c r="F69" s="87">
        <v>734</v>
      </c>
      <c r="G69" s="87">
        <f>E69+F69</f>
        <v>4358.8585551038532</v>
      </c>
    </row>
    <row r="70" spans="2:7">
      <c r="B70" s="87" t="s">
        <v>7</v>
      </c>
      <c r="C70" s="87">
        <f t="shared" ref="C70:C78" si="37">E70*E83</f>
        <v>3026.3818967286625</v>
      </c>
      <c r="D70" s="87">
        <f t="shared" ref="D70:D78" si="38">E70*F83</f>
        <v>155.12586610227424</v>
      </c>
      <c r="E70" s="87">
        <v>3181.5077628309368</v>
      </c>
      <c r="F70" s="87">
        <v>166.83300000000003</v>
      </c>
      <c r="G70" s="87">
        <f t="shared" ref="G70:G78" si="39">E70+F70</f>
        <v>3348.3407628309369</v>
      </c>
    </row>
    <row r="71" spans="2:7">
      <c r="B71" s="87" t="s">
        <v>8</v>
      </c>
      <c r="C71" s="87">
        <f t="shared" si="37"/>
        <v>2929.8318257414026</v>
      </c>
      <c r="D71" s="87">
        <f t="shared" si="38"/>
        <v>167.63102955557162</v>
      </c>
      <c r="E71" s="87">
        <v>3097.4628552969743</v>
      </c>
      <c r="F71" s="87">
        <v>145</v>
      </c>
      <c r="G71" s="87">
        <f t="shared" si="39"/>
        <v>3242.4628552969743</v>
      </c>
    </row>
    <row r="72" spans="2:7">
      <c r="B72" s="87" t="s">
        <v>4</v>
      </c>
      <c r="C72" s="87">
        <f t="shared" si="37"/>
        <v>4506.175714364259</v>
      </c>
      <c r="D72" s="87">
        <f t="shared" si="38"/>
        <v>170.71826963574168</v>
      </c>
      <c r="E72" s="87">
        <v>4676.8939840000003</v>
      </c>
      <c r="F72" s="87">
        <v>262.95281599999998</v>
      </c>
      <c r="G72" s="87">
        <f t="shared" si="39"/>
        <v>4939.8468000000003</v>
      </c>
    </row>
    <row r="73" spans="2:7">
      <c r="B73" s="87" t="s">
        <v>3</v>
      </c>
      <c r="C73" s="87">
        <f t="shared" si="37"/>
        <v>5318.4335390577708</v>
      </c>
      <c r="D73" s="87">
        <f t="shared" si="38"/>
        <v>277.46782410912726</v>
      </c>
      <c r="E73" s="87">
        <v>5595.9013631668977</v>
      </c>
      <c r="F73" s="87">
        <v>267.75</v>
      </c>
      <c r="G73" s="87">
        <f t="shared" si="39"/>
        <v>5863.6513631668977</v>
      </c>
    </row>
    <row r="74" spans="2:7">
      <c r="B74" s="87" t="s">
        <v>397</v>
      </c>
      <c r="C74" s="87">
        <f t="shared" si="37"/>
        <v>1515.3074163286619</v>
      </c>
      <c r="D74" s="87">
        <f t="shared" si="38"/>
        <v>57.818272433837983</v>
      </c>
      <c r="E74" s="87">
        <v>1573.1256887625</v>
      </c>
      <c r="F74" s="87">
        <v>156</v>
      </c>
      <c r="G74" s="87">
        <f t="shared" si="39"/>
        <v>1729.1256887625</v>
      </c>
    </row>
    <row r="75" spans="2:7">
      <c r="B75" s="87" t="s">
        <v>399</v>
      </c>
      <c r="C75" s="87">
        <f t="shared" si="37"/>
        <v>2174.6855053690479</v>
      </c>
      <c r="D75" s="87">
        <f t="shared" si="38"/>
        <v>59.03698518133735</v>
      </c>
      <c r="E75" s="87">
        <v>2233.7224905503854</v>
      </c>
      <c r="F75" s="87">
        <v>735</v>
      </c>
      <c r="G75" s="87">
        <f t="shared" si="39"/>
        <v>2968.7224905503854</v>
      </c>
    </row>
    <row r="76" spans="2:7">
      <c r="B76" s="87" t="s">
        <v>883</v>
      </c>
      <c r="C76" s="87">
        <f t="shared" si="37"/>
        <v>1814.0097436753524</v>
      </c>
      <c r="D76" s="87">
        <f t="shared" si="38"/>
        <v>78.130155824950933</v>
      </c>
      <c r="E76" s="87">
        <v>1892.1398995003033</v>
      </c>
      <c r="F76" s="87">
        <v>117.60000000000001</v>
      </c>
      <c r="G76" s="87">
        <f t="shared" si="39"/>
        <v>2009.7398995003032</v>
      </c>
    </row>
    <row r="77" spans="2:7">
      <c r="B77" s="87" t="s">
        <v>884</v>
      </c>
      <c r="C77" s="87">
        <f t="shared" si="37"/>
        <v>1830.6900116323445</v>
      </c>
      <c r="D77" s="87">
        <f t="shared" si="38"/>
        <v>79.854553077310669</v>
      </c>
      <c r="E77" s="87">
        <v>1910.5445647096551</v>
      </c>
      <c r="F77" s="87">
        <v>166.21440000000001</v>
      </c>
      <c r="G77" s="87">
        <f t="shared" si="39"/>
        <v>2076.7589647096552</v>
      </c>
    </row>
    <row r="78" spans="2:7">
      <c r="B78" s="87" t="s">
        <v>885</v>
      </c>
      <c r="C78" s="87">
        <f t="shared" si="37"/>
        <v>1279.1333249531065</v>
      </c>
      <c r="D78" s="87">
        <f t="shared" si="38"/>
        <v>107.3599927146907</v>
      </c>
      <c r="E78" s="87">
        <v>1386.4933176677971</v>
      </c>
      <c r="F78" s="87">
        <v>34.151040000000002</v>
      </c>
      <c r="G78" s="87">
        <f t="shared" si="39"/>
        <v>1420.6443576677971</v>
      </c>
    </row>
    <row r="79" spans="2:7">
      <c r="E79" s="87">
        <f>SUM(E69:E78)</f>
        <v>29172.650481589306</v>
      </c>
      <c r="F79" s="87">
        <f>SUM(F69:F78)</f>
        <v>2785.501256</v>
      </c>
      <c r="G79" s="87">
        <f>SUM(G69:G78)</f>
        <v>31958.151737589298</v>
      </c>
    </row>
    <row r="82" spans="4:6">
      <c r="D82" s="87" t="s">
        <v>6</v>
      </c>
      <c r="E82" s="87">
        <f>C20/E20</f>
        <v>0.96958875701903402</v>
      </c>
      <c r="F82" s="87">
        <f>1-E82</f>
        <v>3.041124298096598E-2</v>
      </c>
    </row>
    <row r="83" spans="4:6">
      <c r="D83" s="87" t="s">
        <v>7</v>
      </c>
      <c r="E83" s="87">
        <f t="shared" ref="E83:E91" si="40">C21/E21</f>
        <v>0.95124139946644615</v>
      </c>
      <c r="F83" s="87">
        <f t="shared" ref="F83:F91" si="41">1-E83</f>
        <v>4.8758600533553853E-2</v>
      </c>
    </row>
    <row r="84" spans="4:6">
      <c r="D84" s="87" t="s">
        <v>8</v>
      </c>
      <c r="E84" s="87">
        <f t="shared" si="40"/>
        <v>0.9458811816681173</v>
      </c>
      <c r="F84" s="87">
        <f t="shared" si="41"/>
        <v>5.4118818331882701E-2</v>
      </c>
    </row>
    <row r="85" spans="4:6">
      <c r="D85" s="87" t="s">
        <v>125</v>
      </c>
      <c r="E85" s="87">
        <f t="shared" si="40"/>
        <v>0.96349751133556127</v>
      </c>
      <c r="F85" s="87">
        <f t="shared" si="41"/>
        <v>3.6502488664438726E-2</v>
      </c>
    </row>
    <row r="86" spans="4:6">
      <c r="D86" s="87" t="s">
        <v>3</v>
      </c>
      <c r="E86" s="87">
        <f t="shared" si="40"/>
        <v>0.950415883679533</v>
      </c>
      <c r="F86" s="87">
        <f t="shared" si="41"/>
        <v>4.9584116320466998E-2</v>
      </c>
    </row>
    <row r="87" spans="4:6">
      <c r="D87" s="87" t="s">
        <v>883</v>
      </c>
      <c r="E87" s="87">
        <f t="shared" si="40"/>
        <v>0.96324624736163278</v>
      </c>
      <c r="F87" s="87">
        <f t="shared" si="41"/>
        <v>3.6753752638367221E-2</v>
      </c>
    </row>
    <row r="88" spans="4:6">
      <c r="D88" s="87" t="s">
        <v>884</v>
      </c>
      <c r="E88" s="87">
        <f t="shared" si="40"/>
        <v>0.97357013441414975</v>
      </c>
      <c r="F88" s="87">
        <f t="shared" si="41"/>
        <v>2.6429865585850254E-2</v>
      </c>
    </row>
    <row r="89" spans="4:6">
      <c r="D89" s="87" t="s">
        <v>885</v>
      </c>
      <c r="E89" s="87">
        <f t="shared" si="40"/>
        <v>0.95870804487258876</v>
      </c>
      <c r="F89" s="87">
        <f t="shared" si="41"/>
        <v>4.129195512741124E-2</v>
      </c>
    </row>
    <row r="90" spans="4:6">
      <c r="D90" s="87" t="s">
        <v>399</v>
      </c>
      <c r="E90" s="87">
        <f t="shared" si="40"/>
        <v>0.95820325023957442</v>
      </c>
      <c r="F90" s="87">
        <f t="shared" si="41"/>
        <v>4.1796749760425578E-2</v>
      </c>
    </row>
    <row r="91" spans="4:6">
      <c r="D91" s="87" t="s">
        <v>397</v>
      </c>
      <c r="E91" s="87">
        <f t="shared" si="40"/>
        <v>0.92256724836201909</v>
      </c>
      <c r="F91" s="87">
        <f t="shared" si="41"/>
        <v>7.7432751637980912E-2</v>
      </c>
    </row>
  </sheetData>
  <mergeCells count="14">
    <mergeCell ref="E1:T1"/>
    <mergeCell ref="E47:N47"/>
    <mergeCell ref="E33:T33"/>
    <mergeCell ref="A20:A21"/>
    <mergeCell ref="C2:H2"/>
    <mergeCell ref="I2:N2"/>
    <mergeCell ref="O2:T2"/>
    <mergeCell ref="C34:H34"/>
    <mergeCell ref="I34:N34"/>
    <mergeCell ref="O34:T34"/>
    <mergeCell ref="E17:T17"/>
    <mergeCell ref="C18:H18"/>
    <mergeCell ref="I18:N18"/>
    <mergeCell ref="O18:T18"/>
  </mergeCells>
  <phoneticPr fontId="28" type="noConversion"/>
  <conditionalFormatting sqref="O4:T14">
    <cfRule type="cellIs" dxfId="54" priority="3" operator="lessThan">
      <formula>0</formula>
    </cfRule>
    <cfRule type="cellIs" dxfId="53" priority="4" operator="greaterThan">
      <formula>0</formula>
    </cfRule>
  </conditionalFormatting>
  <conditionalFormatting sqref="O20:T30">
    <cfRule type="cellIs" dxfId="52" priority="1" operator="lessThan">
      <formula>0</formula>
    </cfRule>
    <cfRule type="cellIs" dxfId="51" priority="2" operator="greaterThan">
      <formula>0</formula>
    </cfRule>
  </conditionalFormatting>
  <pageMargins left="0.15748031496062992" right="0.11811023622047245" top="0.94488188976377963" bottom="0.35433070866141736" header="0.35433070866141736" footer="0.23622047244094491"/>
  <pageSetup paperSize="9" scale="65" orientation="landscape" r:id="rId1"/>
  <headerFooter alignWithMargins="0">
    <oddHeader>&amp;L&amp;"Times New Roman,Gras"&amp;12SDC_SPADCMD/EC&amp;C&amp;"Times New Roman,Gras"&amp;20Pramètre Ventes/Achats Gaz&amp;G</oddHeader>
    <oddFooter>&amp;LTableau de bord Août 2015&amp;Rpage -7-</oddFooter>
  </headerFooter>
  <colBreaks count="1" manualBreakCount="1">
    <brk id="20" max="1048575" man="1"/>
  </colBreaks>
  <drawing r:id="rId2"/>
  <legacyDrawingHF r:id="rId3"/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000-000000000000}">
  <sheetPr codeName="Feuil6"/>
  <dimension ref="A1:X40"/>
  <sheetViews>
    <sheetView showGridLines="0" showOutlineSymbols="0" topLeftCell="B1" zoomScale="87" zoomScaleNormal="87" workbookViewId="0">
      <selection activeCell="T14" sqref="T14:U14"/>
    </sheetView>
  </sheetViews>
  <sheetFormatPr baseColWidth="10" defaultColWidth="11.44140625" defaultRowHeight="13.8"/>
  <cols>
    <col min="1" max="1" width="12.44140625" style="87" customWidth="1"/>
    <col min="2" max="3" width="8.88671875" style="87" bestFit="1" customWidth="1"/>
    <col min="4" max="4" width="13.44140625" style="87" bestFit="1" customWidth="1"/>
    <col min="5" max="5" width="7.5546875" style="87" customWidth="1"/>
    <col min="6" max="6" width="11.5546875" style="87" customWidth="1"/>
    <col min="7" max="7" width="7.88671875" style="87" customWidth="1"/>
    <col min="8" max="8" width="11.88671875" style="87" bestFit="1" customWidth="1"/>
    <col min="9" max="9" width="9.109375" style="87" customWidth="1"/>
    <col min="10" max="10" width="7.6640625" style="87" bestFit="1" customWidth="1"/>
    <col min="11" max="11" width="9.5546875" style="87" customWidth="1"/>
    <col min="12" max="12" width="8.5546875" style="87" bestFit="1" customWidth="1"/>
    <col min="13" max="13" width="9" style="87" bestFit="1" customWidth="1"/>
    <col min="14" max="14" width="8.5546875" style="87" bestFit="1" customWidth="1"/>
    <col min="15" max="15" width="4.109375" style="87" bestFit="1" customWidth="1"/>
    <col min="16" max="16" width="11.44140625" style="87" bestFit="1" customWidth="1"/>
    <col min="17" max="16384" width="11.44140625" style="87"/>
  </cols>
  <sheetData>
    <row r="1" spans="4:24" ht="23.25" customHeight="1" thickBot="1">
      <c r="D1" s="3032" t="s">
        <v>62</v>
      </c>
      <c r="E1" s="3032"/>
      <c r="F1" s="3032"/>
      <c r="G1" s="3032"/>
      <c r="H1" s="3032"/>
      <c r="I1" s="3032"/>
      <c r="J1" s="3032"/>
      <c r="K1" s="3032"/>
      <c r="L1" s="3032"/>
      <c r="P1" s="3032" t="s">
        <v>1082</v>
      </c>
      <c r="Q1" s="3032"/>
      <c r="R1" s="3032"/>
      <c r="S1" s="3032"/>
      <c r="T1" s="3032"/>
      <c r="U1" s="3032"/>
      <c r="V1" s="3032"/>
      <c r="W1" s="3032"/>
      <c r="X1" s="3032"/>
    </row>
    <row r="2" spans="4:24" ht="12.75" customHeight="1">
      <c r="D2" s="3057" t="s">
        <v>308</v>
      </c>
      <c r="E2" s="3053" t="s">
        <v>179</v>
      </c>
      <c r="F2" s="3054"/>
      <c r="G2" s="3055"/>
      <c r="H2" s="3053" t="s">
        <v>1</v>
      </c>
      <c r="I2" s="3054"/>
      <c r="J2" s="3055"/>
      <c r="K2" s="3058" t="s">
        <v>1083</v>
      </c>
      <c r="L2" s="162" t="s">
        <v>2</v>
      </c>
      <c r="P2" s="3057" t="s">
        <v>308</v>
      </c>
      <c r="Q2" s="3053" t="s">
        <v>179</v>
      </c>
      <c r="R2" s="3054"/>
      <c r="S2" s="3055"/>
      <c r="T2" s="3053" t="s">
        <v>1</v>
      </c>
      <c r="U2" s="3054"/>
      <c r="V2" s="3055"/>
      <c r="W2" s="3058" t="str">
        <f>K2</f>
        <v>Objectif 2024</v>
      </c>
      <c r="X2" s="162" t="s">
        <v>2</v>
      </c>
    </row>
    <row r="3" spans="4:24" ht="27.6">
      <c r="D3" s="3057"/>
      <c r="E3" s="110">
        <f>TP_élec!D3</f>
        <v>45139</v>
      </c>
      <c r="F3" s="111">
        <f>TP_élec!E3</f>
        <v>45505</v>
      </c>
      <c r="G3" s="112" t="s">
        <v>596</v>
      </c>
      <c r="H3" s="110">
        <f>E3</f>
        <v>45139</v>
      </c>
      <c r="I3" s="111">
        <f>F3</f>
        <v>45505</v>
      </c>
      <c r="J3" s="112" t="s">
        <v>596</v>
      </c>
      <c r="K3" s="3059"/>
      <c r="L3" s="251" t="s">
        <v>1087</v>
      </c>
      <c r="P3" s="3057"/>
      <c r="Q3" s="110">
        <f>E3</f>
        <v>45139</v>
      </c>
      <c r="R3" s="111">
        <f>F3</f>
        <v>45505</v>
      </c>
      <c r="S3" s="112" t="s">
        <v>596</v>
      </c>
      <c r="T3" s="110">
        <f>Q3</f>
        <v>45139</v>
      </c>
      <c r="U3" s="111">
        <f>R3</f>
        <v>45505</v>
      </c>
      <c r="V3" s="112" t="s">
        <v>596</v>
      </c>
      <c r="W3" s="3059"/>
      <c r="X3" s="251" t="str">
        <f>L3</f>
        <v>2024-Objectif</v>
      </c>
    </row>
    <row r="4" spans="4:24" ht="18" customHeight="1">
      <c r="D4" s="252" t="s">
        <v>6</v>
      </c>
      <c r="E4" s="1366">
        <f>gaz!BE228</f>
        <v>-79.38039196101856</v>
      </c>
      <c r="F4" s="1367">
        <f>gaz!BE243</f>
        <v>-16.943968310259322</v>
      </c>
      <c r="G4" s="1368">
        <f t="shared" ref="G4:G13" si="0">+F4-E4</f>
        <v>62.436423650759238</v>
      </c>
      <c r="H4" s="253">
        <f>((ventes_achats_gaz!H20-ventes_achats_gaz!G20)/ventes_achats_gaz!H20)*100</f>
        <v>-7.5904683760298912</v>
      </c>
      <c r="I4" s="205">
        <f>((ventes_achats_gaz!N20-ventes_achats_gaz!M20)/ventes_achats_gaz!N20)*100</f>
        <v>-8.2342882481702357</v>
      </c>
      <c r="J4" s="2760">
        <f>+I4-H4</f>
        <v>-0.64381987214034453</v>
      </c>
      <c r="K4" s="255">
        <f>ventes_achats_gaz!U36</f>
        <v>2.0000000000000062</v>
      </c>
      <c r="L4" s="256">
        <f>+I4-K4</f>
        <v>-10.234288248170241</v>
      </c>
      <c r="P4" s="252" t="s">
        <v>6</v>
      </c>
      <c r="Q4" s="1366">
        <f>100-(E4)</f>
        <v>179.38039196101857</v>
      </c>
      <c r="R4" s="1367">
        <f t="shared" ref="R4:R14" si="1">100-(F4)</f>
        <v>116.94396831025932</v>
      </c>
      <c r="S4" s="1368">
        <f t="shared" ref="S4:S13" si="2">+R4-Q4</f>
        <v>-62.436423650759252</v>
      </c>
      <c r="T4" s="253">
        <f t="shared" ref="T4:T13" si="3">100-(H4)</f>
        <v>107.59046837602989</v>
      </c>
      <c r="U4" s="205">
        <f t="shared" ref="U4:U14" si="4">100-(I4)</f>
        <v>108.23428824817023</v>
      </c>
      <c r="V4" s="254">
        <f>+U4-T4</f>
        <v>0.64381987214034098</v>
      </c>
      <c r="W4" s="255">
        <f t="shared" ref="W4:W14" si="5">100-(K4)</f>
        <v>98</v>
      </c>
      <c r="X4" s="256">
        <f>+U4-W4</f>
        <v>10.23428824817023</v>
      </c>
    </row>
    <row r="5" spans="4:24" ht="18" customHeight="1">
      <c r="D5" s="252" t="s">
        <v>7</v>
      </c>
      <c r="E5" s="1366">
        <f>gaz!BE229</f>
        <v>-51.373543191920668</v>
      </c>
      <c r="F5" s="1367">
        <f>gaz!BE244</f>
        <v>-14.783519154214428</v>
      </c>
      <c r="G5" s="1368">
        <f t="shared" si="0"/>
        <v>36.590024037706243</v>
      </c>
      <c r="H5" s="253">
        <f>((ventes_achats_gaz!H21-ventes_achats_gaz!G21)/ventes_achats_gaz!H21)*100</f>
        <v>-14.60146787353858</v>
      </c>
      <c r="I5" s="205">
        <f>((ventes_achats_gaz!N21-ventes_achats_gaz!M21)/ventes_achats_gaz!N21)*100</f>
        <v>-17.736875364106208</v>
      </c>
      <c r="J5" s="2761">
        <f t="shared" ref="J5:J13" si="6">+I5-H5</f>
        <v>-3.1354074905676281</v>
      </c>
      <c r="K5" s="255">
        <f>ventes_achats_gaz!U37</f>
        <v>1.9999999999999933</v>
      </c>
      <c r="L5" s="256">
        <f t="shared" ref="L5:L13" si="7">+I5-K5</f>
        <v>-19.736875364106201</v>
      </c>
      <c r="P5" s="252" t="s">
        <v>7</v>
      </c>
      <c r="Q5" s="1366">
        <f t="shared" ref="Q5:Q14" si="8">100-(E5)</f>
        <v>151.37354319192067</v>
      </c>
      <c r="R5" s="1367">
        <f t="shared" si="1"/>
        <v>114.78351915421443</v>
      </c>
      <c r="S5" s="1368">
        <f t="shared" si="2"/>
        <v>-36.590024037706243</v>
      </c>
      <c r="T5" s="253">
        <f t="shared" si="3"/>
        <v>114.60146787353858</v>
      </c>
      <c r="U5" s="205">
        <f t="shared" si="4"/>
        <v>117.73687536410621</v>
      </c>
      <c r="V5" s="254">
        <f t="shared" ref="V5:V13" si="9">+U5-T5</f>
        <v>3.1354074905676299</v>
      </c>
      <c r="W5" s="255">
        <f t="shared" si="5"/>
        <v>98</v>
      </c>
      <c r="X5" s="256">
        <f t="shared" ref="X5:X13" si="10">+U5-W5</f>
        <v>19.736875364106211</v>
      </c>
    </row>
    <row r="6" spans="4:24" ht="18" customHeight="1">
      <c r="D6" s="252" t="s">
        <v>8</v>
      </c>
      <c r="E6" s="1366">
        <f>gaz!BE230</f>
        <v>-45.400676091136013</v>
      </c>
      <c r="F6" s="1367">
        <f>gaz!BE245</f>
        <v>-16.531559737480126</v>
      </c>
      <c r="G6" s="1368">
        <f t="shared" si="0"/>
        <v>28.869116353655887</v>
      </c>
      <c r="H6" s="253">
        <f>((ventes_achats_gaz!H22-ventes_achats_gaz!G22)/ventes_achats_gaz!H22)*100</f>
        <v>-15.80177410259371</v>
      </c>
      <c r="I6" s="205">
        <f>((ventes_achats_gaz!N22-ventes_achats_gaz!M22)/ventes_achats_gaz!N22)*100</f>
        <v>-19.328614626228401</v>
      </c>
      <c r="J6" s="2761">
        <f t="shared" si="6"/>
        <v>-3.5268405236346911</v>
      </c>
      <c r="K6" s="255">
        <f>ventes_achats_gaz!U38</f>
        <v>2.0000000000000044</v>
      </c>
      <c r="L6" s="256">
        <f t="shared" si="7"/>
        <v>-21.328614626228404</v>
      </c>
      <c r="P6" s="252" t="s">
        <v>8</v>
      </c>
      <c r="Q6" s="1366">
        <f t="shared" si="8"/>
        <v>145.40067609113601</v>
      </c>
      <c r="R6" s="1367">
        <f t="shared" si="1"/>
        <v>116.53155973748012</v>
      </c>
      <c r="S6" s="1368">
        <f t="shared" si="2"/>
        <v>-28.869116353655883</v>
      </c>
      <c r="T6" s="253">
        <f t="shared" si="3"/>
        <v>115.80177410259371</v>
      </c>
      <c r="U6" s="205">
        <f t="shared" si="4"/>
        <v>119.3286146262284</v>
      </c>
      <c r="V6" s="254">
        <f t="shared" si="9"/>
        <v>3.5268405236346894</v>
      </c>
      <c r="W6" s="255">
        <f t="shared" si="5"/>
        <v>98</v>
      </c>
      <c r="X6" s="256">
        <f t="shared" si="10"/>
        <v>21.328614626228401</v>
      </c>
    </row>
    <row r="7" spans="4:24" ht="18" customHeight="1">
      <c r="D7" s="252" t="s">
        <v>4</v>
      </c>
      <c r="E7" s="1366">
        <f>gaz!BE231</f>
        <v>-63.831851748901599</v>
      </c>
      <c r="F7" s="1367">
        <f>gaz!BE246</f>
        <v>-26.408317525666924</v>
      </c>
      <c r="G7" s="1368">
        <f t="shared" si="0"/>
        <v>37.423534223234675</v>
      </c>
      <c r="H7" s="1366">
        <f>((ventes_achats_gaz!H23-ventes_achats_gaz!G23)/ventes_achats_gaz!H23)*100</f>
        <v>-17.628542399719084</v>
      </c>
      <c r="I7" s="1367">
        <f>((ventes_achats_gaz!N23-ventes_achats_gaz!M23)/ventes_achats_gaz!N23)*100</f>
        <v>-23.67227071365626</v>
      </c>
      <c r="J7" s="2762">
        <f t="shared" si="6"/>
        <v>-6.0437283139371765</v>
      </c>
      <c r="K7" s="255">
        <f>ventes_achats_gaz!U39</f>
        <v>1.999999999999992</v>
      </c>
      <c r="L7" s="256">
        <f t="shared" si="7"/>
        <v>-25.672270713656253</v>
      </c>
      <c r="P7" s="252" t="s">
        <v>4</v>
      </c>
      <c r="Q7" s="1366">
        <f t="shared" si="8"/>
        <v>163.83185174890161</v>
      </c>
      <c r="R7" s="1367">
        <f t="shared" si="1"/>
        <v>126.40831752566692</v>
      </c>
      <c r="S7" s="1368">
        <f t="shared" si="2"/>
        <v>-37.423534223234697</v>
      </c>
      <c r="T7" s="1366">
        <f t="shared" si="3"/>
        <v>117.62854239971908</v>
      </c>
      <c r="U7" s="1367">
        <f t="shared" si="4"/>
        <v>123.67227071365626</v>
      </c>
      <c r="V7" s="254">
        <f t="shared" si="9"/>
        <v>6.04372831393718</v>
      </c>
      <c r="W7" s="255">
        <f t="shared" si="5"/>
        <v>98.000000000000014</v>
      </c>
      <c r="X7" s="256">
        <f t="shared" si="10"/>
        <v>25.672270713656246</v>
      </c>
    </row>
    <row r="8" spans="4:24" ht="18" customHeight="1">
      <c r="D8" s="252" t="s">
        <v>3</v>
      </c>
      <c r="E8" s="1366">
        <f>gaz!BE232</f>
        <v>-43.977043436141749</v>
      </c>
      <c r="F8" s="1367">
        <f>gaz!BE247</f>
        <v>-13.48241540035778</v>
      </c>
      <c r="G8" s="1368">
        <f t="shared" si="0"/>
        <v>30.494628035783968</v>
      </c>
      <c r="H8" s="253">
        <f>((ventes_achats_gaz!H24-ventes_achats_gaz!G24)/ventes_achats_gaz!H24)*100</f>
        <v>-10.774898124578883</v>
      </c>
      <c r="I8" s="205">
        <f>((ventes_achats_gaz!N24-ventes_achats_gaz!M24)/ventes_achats_gaz!N24)*100</f>
        <v>-11.173771947327833</v>
      </c>
      <c r="J8" s="2761">
        <f t="shared" si="6"/>
        <v>-0.39887382274894989</v>
      </c>
      <c r="K8" s="255">
        <f>ventes_achats_gaz!U40</f>
        <v>1.9999999999999958</v>
      </c>
      <c r="L8" s="256">
        <f t="shared" si="7"/>
        <v>-13.173771947327829</v>
      </c>
      <c r="P8" s="252" t="s">
        <v>3</v>
      </c>
      <c r="Q8" s="1366">
        <f t="shared" si="8"/>
        <v>143.97704343614174</v>
      </c>
      <c r="R8" s="1367">
        <f t="shared" si="1"/>
        <v>113.48241540035778</v>
      </c>
      <c r="S8" s="1368">
        <f t="shared" si="2"/>
        <v>-30.494628035783961</v>
      </c>
      <c r="T8" s="253">
        <f t="shared" si="3"/>
        <v>110.77489812457888</v>
      </c>
      <c r="U8" s="205">
        <f t="shared" si="4"/>
        <v>111.17377194732784</v>
      </c>
      <c r="V8" s="254">
        <f t="shared" si="9"/>
        <v>0.39887382274895344</v>
      </c>
      <c r="W8" s="255">
        <f t="shared" si="5"/>
        <v>98</v>
      </c>
      <c r="X8" s="256">
        <f t="shared" si="10"/>
        <v>13.173771947327836</v>
      </c>
    </row>
    <row r="9" spans="4:24" ht="18" customHeight="1">
      <c r="D9" s="252" t="s">
        <v>397</v>
      </c>
      <c r="E9" s="1366">
        <f>gaz!BE233</f>
        <v>-7.5417671094935708</v>
      </c>
      <c r="F9" s="1367">
        <f>gaz!BE248</f>
        <v>-3.137649381560804</v>
      </c>
      <c r="G9" s="1368">
        <f t="shared" si="0"/>
        <v>4.4041177279327668</v>
      </c>
      <c r="H9" s="1366">
        <f>((ventes_achats_gaz!H25-ventes_achats_gaz!G25)/ventes_achats_gaz!H25)*100</f>
        <v>-0.35677710143689984</v>
      </c>
      <c r="I9" s="1367">
        <f>((ventes_achats_gaz!N25-ventes_achats_gaz!M25)/ventes_achats_gaz!N25)*100</f>
        <v>-3.5431833936589241</v>
      </c>
      <c r="J9" s="2761">
        <f t="shared" si="6"/>
        <v>-3.1864062922220242</v>
      </c>
      <c r="K9" s="255">
        <f>ventes_achats_gaz!U41</f>
        <v>1.9999999999999949</v>
      </c>
      <c r="L9" s="256">
        <f t="shared" si="7"/>
        <v>-5.5431833936589188</v>
      </c>
      <c r="P9" s="252" t="s">
        <v>397</v>
      </c>
      <c r="Q9" s="1366">
        <f t="shared" si="8"/>
        <v>107.54176710949358</v>
      </c>
      <c r="R9" s="1367">
        <f t="shared" si="1"/>
        <v>103.13764938156081</v>
      </c>
      <c r="S9" s="1368">
        <f t="shared" si="2"/>
        <v>-4.4041177279327712</v>
      </c>
      <c r="T9" s="1366">
        <f t="shared" si="3"/>
        <v>100.3567771014369</v>
      </c>
      <c r="U9" s="1367">
        <f t="shared" si="4"/>
        <v>103.54318339365892</v>
      </c>
      <c r="V9" s="1368">
        <f t="shared" si="9"/>
        <v>3.1864062922220171</v>
      </c>
      <c r="W9" s="255">
        <f t="shared" si="5"/>
        <v>98</v>
      </c>
      <c r="X9" s="256">
        <f t="shared" si="10"/>
        <v>5.5431833936589214</v>
      </c>
    </row>
    <row r="10" spans="4:24" ht="18" customHeight="1">
      <c r="D10" s="252" t="s">
        <v>399</v>
      </c>
      <c r="E10" s="1366">
        <f>gaz!BE234</f>
        <v>-8.9527837515517774</v>
      </c>
      <c r="F10" s="1367">
        <f>gaz!BE249</f>
        <v>-14.777049049073575</v>
      </c>
      <c r="G10" s="1368">
        <f t="shared" si="0"/>
        <v>-5.8242652975217979</v>
      </c>
      <c r="H10" s="253">
        <f>((ventes_achats_gaz!H26-ventes_achats_gaz!G26)/ventes_achats_gaz!H26)*100</f>
        <v>-1.188117140717625</v>
      </c>
      <c r="I10" s="205">
        <f>((ventes_achats_gaz!N26-ventes_achats_gaz!M26)/ventes_achats_gaz!N26)*100</f>
        <v>-8.2328703836454036</v>
      </c>
      <c r="J10" s="2761">
        <f t="shared" si="6"/>
        <v>-7.0447532429277784</v>
      </c>
      <c r="K10" s="255">
        <f>ventes_achats_gaz!U42</f>
        <v>1.9999999999999967</v>
      </c>
      <c r="L10" s="256">
        <f t="shared" si="7"/>
        <v>-10.2328703836454</v>
      </c>
      <c r="P10" s="252" t="s">
        <v>399</v>
      </c>
      <c r="Q10" s="1366">
        <f t="shared" si="8"/>
        <v>108.95278375155178</v>
      </c>
      <c r="R10" s="1367">
        <f t="shared" si="1"/>
        <v>114.77704904907358</v>
      </c>
      <c r="S10" s="1368">
        <f t="shared" si="2"/>
        <v>5.824265297521805</v>
      </c>
      <c r="T10" s="253">
        <f t="shared" si="3"/>
        <v>101.18811714071762</v>
      </c>
      <c r="U10" s="205">
        <f t="shared" si="4"/>
        <v>108.23287038364541</v>
      </c>
      <c r="V10" s="254">
        <f t="shared" si="9"/>
        <v>7.0447532429277828</v>
      </c>
      <c r="W10" s="255">
        <f t="shared" si="5"/>
        <v>98</v>
      </c>
      <c r="X10" s="256">
        <f t="shared" si="10"/>
        <v>10.232870383645405</v>
      </c>
    </row>
    <row r="11" spans="4:24" ht="18" customHeight="1">
      <c r="D11" s="252" t="s">
        <v>883</v>
      </c>
      <c r="E11" s="1366">
        <f>gaz!BE235</f>
        <v>-36.243057130972346</v>
      </c>
      <c r="F11" s="1367">
        <f>gaz!BE250</f>
        <v>-25.135264140495671</v>
      </c>
      <c r="G11" s="1368">
        <f t="shared" si="0"/>
        <v>11.107792990476675</v>
      </c>
      <c r="H11" s="253">
        <f>((ventes_achats_gaz!H27-ventes_achats_gaz!G27)/ventes_achats_gaz!H27)*100</f>
        <v>-11.222658950830995</v>
      </c>
      <c r="I11" s="205">
        <f>((ventes_achats_gaz!N27-ventes_achats_gaz!M27)/ventes_achats_gaz!N27)*100</f>
        <v>-16.361857905568971</v>
      </c>
      <c r="J11" s="2761">
        <f t="shared" si="6"/>
        <v>-5.1391989547379762</v>
      </c>
      <c r="K11" s="255">
        <f>ventes_achats_gaz!U43</f>
        <v>1.9997610873922624</v>
      </c>
      <c r="L11" s="256">
        <f t="shared" si="7"/>
        <v>-18.361618992961233</v>
      </c>
      <c r="P11" s="252" t="s">
        <v>883</v>
      </c>
      <c r="Q11" s="1366">
        <f t="shared" si="8"/>
        <v>136.24305713097235</v>
      </c>
      <c r="R11" s="1367">
        <f t="shared" si="1"/>
        <v>125.13526414049568</v>
      </c>
      <c r="S11" s="1368">
        <f t="shared" si="2"/>
        <v>-11.107792990476668</v>
      </c>
      <c r="T11" s="253">
        <f t="shared" si="3"/>
        <v>111.22265895083099</v>
      </c>
      <c r="U11" s="205">
        <f t="shared" si="4"/>
        <v>116.36185790556897</v>
      </c>
      <c r="V11" s="254">
        <f t="shared" si="9"/>
        <v>5.1391989547379779</v>
      </c>
      <c r="W11" s="255">
        <f t="shared" si="5"/>
        <v>98.000238912607742</v>
      </c>
      <c r="X11" s="256">
        <f t="shared" si="10"/>
        <v>18.361618992961226</v>
      </c>
    </row>
    <row r="12" spans="4:24" ht="18" customHeight="1">
      <c r="D12" s="252" t="s">
        <v>884</v>
      </c>
      <c r="E12" s="1366">
        <f>gaz!BE236</f>
        <v>-30.848938940205763</v>
      </c>
      <c r="F12" s="1367">
        <f>gaz!BE251</f>
        <v>-20.203617522135364</v>
      </c>
      <c r="G12" s="1368">
        <f t="shared" si="0"/>
        <v>10.645321418070399</v>
      </c>
      <c r="H12" s="253">
        <f>((ventes_achats_gaz!H28-ventes_achats_gaz!G28)/ventes_achats_gaz!H28)*100</f>
        <v>-9.8866646152094901</v>
      </c>
      <c r="I12" s="205">
        <f>((ventes_achats_gaz!N28-ventes_achats_gaz!M28)/ventes_achats_gaz!N28)*100</f>
        <v>-17.348054723653444</v>
      </c>
      <c r="J12" s="2761">
        <f t="shared" si="6"/>
        <v>-7.461390108443954</v>
      </c>
      <c r="K12" s="255">
        <f>ventes_achats_gaz!U44</f>
        <v>2.000000000000012</v>
      </c>
      <c r="L12" s="256">
        <f t="shared" si="7"/>
        <v>-19.348054723653455</v>
      </c>
      <c r="P12" s="252" t="s">
        <v>884</v>
      </c>
      <c r="Q12" s="1366">
        <f t="shared" si="8"/>
        <v>130.84893894020576</v>
      </c>
      <c r="R12" s="1367">
        <f t="shared" si="1"/>
        <v>120.20361752213536</v>
      </c>
      <c r="S12" s="1368">
        <f t="shared" si="2"/>
        <v>-10.645321418070395</v>
      </c>
      <c r="T12" s="253">
        <f t="shared" si="3"/>
        <v>109.8866646152095</v>
      </c>
      <c r="U12" s="205">
        <f t="shared" si="4"/>
        <v>117.34805472365345</v>
      </c>
      <c r="V12" s="254">
        <f t="shared" si="9"/>
        <v>7.4613901084439505</v>
      </c>
      <c r="W12" s="255">
        <f t="shared" si="5"/>
        <v>97.999999999999986</v>
      </c>
      <c r="X12" s="256">
        <f t="shared" si="10"/>
        <v>19.348054723653462</v>
      </c>
    </row>
    <row r="13" spans="4:24" ht="18" customHeight="1" thickBot="1">
      <c r="D13" s="252" t="s">
        <v>885</v>
      </c>
      <c r="E13" s="1366">
        <f>gaz!BE237</f>
        <v>-64.807000241505435</v>
      </c>
      <c r="F13" s="1367">
        <f>gaz!BE252</f>
        <v>-30.035828845115368</v>
      </c>
      <c r="G13" s="1368">
        <f t="shared" si="0"/>
        <v>34.771171396390066</v>
      </c>
      <c r="H13" s="253">
        <f>((ventes_achats_gaz!H29-ventes_achats_gaz!G29)/ventes_achats_gaz!H29)*100</f>
        <v>-13.025221071961694</v>
      </c>
      <c r="I13" s="205">
        <f>((ventes_achats_gaz!N29-ventes_achats_gaz!M29)/ventes_achats_gaz!N29)*100</f>
        <v>-16.47714256637483</v>
      </c>
      <c r="J13" s="2761">
        <f t="shared" si="6"/>
        <v>-3.4519214944131367</v>
      </c>
      <c r="K13" s="255">
        <f>ventes_achats_gaz!U45</f>
        <v>1.9999999999999973</v>
      </c>
      <c r="L13" s="256">
        <f t="shared" si="7"/>
        <v>-18.477142566374827</v>
      </c>
      <c r="P13" s="252" t="s">
        <v>885</v>
      </c>
      <c r="Q13" s="1366">
        <f t="shared" si="8"/>
        <v>164.80700024150542</v>
      </c>
      <c r="R13" s="1367">
        <f t="shared" si="1"/>
        <v>130.03582884511536</v>
      </c>
      <c r="S13" s="1368">
        <f t="shared" si="2"/>
        <v>-34.771171396390059</v>
      </c>
      <c r="T13" s="253">
        <f t="shared" si="3"/>
        <v>113.0252210719617</v>
      </c>
      <c r="U13" s="205">
        <f t="shared" si="4"/>
        <v>116.47714256637482</v>
      </c>
      <c r="V13" s="254">
        <f t="shared" si="9"/>
        <v>3.4519214944131278</v>
      </c>
      <c r="W13" s="255">
        <f t="shared" si="5"/>
        <v>98</v>
      </c>
      <c r="X13" s="256">
        <f t="shared" si="10"/>
        <v>18.477142566374823</v>
      </c>
    </row>
    <row r="14" spans="4:24" ht="14.4" thickBot="1">
      <c r="D14" s="105" t="s">
        <v>614</v>
      </c>
      <c r="E14" s="1369">
        <f>gaz!BE238</f>
        <v>-45.225719922875243</v>
      </c>
      <c r="F14" s="1370">
        <f>gaz!BE253</f>
        <v>-16.98260251856702</v>
      </c>
      <c r="G14" s="1371">
        <f>+F14-E14</f>
        <v>28.243117404308222</v>
      </c>
      <c r="H14" s="1885">
        <f>((ventes_achats_gaz!H30-ventes_achats_gaz!G30)/ventes_achats_gaz!H30)*100</f>
        <v>-10.92660979179602</v>
      </c>
      <c r="I14" s="1464">
        <f>((ventes_achats_gaz!N30-ventes_achats_gaz!M30)/ventes_achats_gaz!N30)*100</f>
        <v>-14.532501345894458</v>
      </c>
      <c r="J14" s="2763">
        <f>+I14-H14</f>
        <v>-3.605891554098438</v>
      </c>
      <c r="K14" s="2165">
        <f>ventes_achats_gaz!U46</f>
        <v>1.9999849756297883</v>
      </c>
      <c r="L14" s="257">
        <f>+I14-K14</f>
        <v>-16.532486321524246</v>
      </c>
      <c r="P14" s="105" t="s">
        <v>614</v>
      </c>
      <c r="Q14" s="1369">
        <f t="shared" si="8"/>
        <v>145.22571992287524</v>
      </c>
      <c r="R14" s="1370">
        <f t="shared" si="1"/>
        <v>116.98260251856702</v>
      </c>
      <c r="S14" s="1371">
        <f>+R14-Q14</f>
        <v>-28.243117404308222</v>
      </c>
      <c r="T14" s="1885">
        <f>100-(H14)</f>
        <v>110.92660979179603</v>
      </c>
      <c r="U14" s="1464">
        <f t="shared" si="4"/>
        <v>114.53250134589446</v>
      </c>
      <c r="V14" s="257">
        <f>+U14-T14</f>
        <v>3.6058915540984344</v>
      </c>
      <c r="W14" s="2165">
        <f t="shared" si="5"/>
        <v>98.000015024370214</v>
      </c>
      <c r="X14" s="257">
        <f>+U14-W14</f>
        <v>16.532486321524246</v>
      </c>
    </row>
    <row r="15" spans="4:24">
      <c r="E15" s="87">
        <f>100-(E14)</f>
        <v>145.22571992287524</v>
      </c>
      <c r="F15" s="87">
        <f>100-(F14)</f>
        <v>116.98260251856702</v>
      </c>
      <c r="H15" s="232">
        <f>100-(H14)</f>
        <v>110.92660979179603</v>
      </c>
      <c r="I15" s="232">
        <f>100-(I14)</f>
        <v>114.53250134589446</v>
      </c>
      <c r="M15" s="194">
        <f>1-K14</f>
        <v>-0.99998497562978828</v>
      </c>
    </row>
    <row r="16" spans="4:24" ht="8.25" customHeight="1">
      <c r="I16" s="232">
        <f>I15-H15</f>
        <v>3.6058915540984344</v>
      </c>
      <c r="K16" s="250"/>
      <c r="L16" s="250"/>
    </row>
    <row r="17" spans="1:17">
      <c r="I17" s="232">
        <f>F15-E15</f>
        <v>-28.243117404308222</v>
      </c>
    </row>
    <row r="18" spans="1:17" ht="27.6">
      <c r="A18" s="124"/>
      <c r="B18" s="124" t="s">
        <v>6</v>
      </c>
      <c r="C18" s="124" t="s">
        <v>7</v>
      </c>
      <c r="D18" s="124" t="s">
        <v>8</v>
      </c>
      <c r="E18" s="124" t="s">
        <v>4</v>
      </c>
      <c r="F18" s="124" t="s">
        <v>3</v>
      </c>
      <c r="G18" s="124" t="s">
        <v>28</v>
      </c>
      <c r="H18" s="124" t="s">
        <v>9</v>
      </c>
      <c r="I18" s="124" t="s">
        <v>5</v>
      </c>
      <c r="J18" s="124" t="s">
        <v>31</v>
      </c>
      <c r="K18" s="124" t="s">
        <v>10</v>
      </c>
      <c r="L18" s="124" t="s">
        <v>12</v>
      </c>
      <c r="M18" s="124" t="s">
        <v>27</v>
      </c>
      <c r="N18" s="124" t="s">
        <v>15</v>
      </c>
      <c r="O18" s="124" t="s">
        <v>397</v>
      </c>
      <c r="P18" s="118" t="s">
        <v>398</v>
      </c>
      <c r="Q18" s="118"/>
    </row>
    <row r="19" spans="1:17">
      <c r="A19" s="258" t="s">
        <v>35</v>
      </c>
      <c r="B19" s="259">
        <f>K4</f>
        <v>2.0000000000000062</v>
      </c>
      <c r="C19" s="259">
        <f>K5</f>
        <v>1.9999999999999933</v>
      </c>
      <c r="D19" s="259">
        <f>K6</f>
        <v>2.0000000000000044</v>
      </c>
      <c r="E19" s="259">
        <f>K7</f>
        <v>1.999999999999992</v>
      </c>
      <c r="F19" s="259">
        <f>K8</f>
        <v>1.9999999999999958</v>
      </c>
      <c r="G19" s="259" t="e">
        <f>#REF!</f>
        <v>#REF!</v>
      </c>
      <c r="H19" s="259">
        <f>K9</f>
        <v>1.9999999999999949</v>
      </c>
      <c r="I19" s="259">
        <f>K10</f>
        <v>1.9999999999999967</v>
      </c>
      <c r="J19" s="259">
        <f>K11</f>
        <v>1.9997610873922624</v>
      </c>
      <c r="K19" s="259">
        <f>K12</f>
        <v>2.000000000000012</v>
      </c>
      <c r="L19" s="259">
        <f>K13</f>
        <v>1.9999999999999973</v>
      </c>
      <c r="M19" s="259" t="e">
        <f>#REF!</f>
        <v>#REF!</v>
      </c>
      <c r="N19" s="259" t="e">
        <f>#REF!</f>
        <v>#REF!</v>
      </c>
      <c r="O19" s="259" t="e">
        <f>#REF!</f>
        <v>#REF!</v>
      </c>
      <c r="P19" s="207" t="e">
        <f>#REF!</f>
        <v>#REF!</v>
      </c>
      <c r="Q19" s="118"/>
    </row>
    <row r="20" spans="1:17">
      <c r="A20" s="258" t="s">
        <v>36</v>
      </c>
      <c r="B20" s="259">
        <f>I4</f>
        <v>-8.2342882481702357</v>
      </c>
      <c r="C20" s="259">
        <f>I5</f>
        <v>-17.736875364106208</v>
      </c>
      <c r="D20" s="259">
        <f>I6</f>
        <v>-19.328614626228401</v>
      </c>
      <c r="E20" s="259">
        <f>I7</f>
        <v>-23.67227071365626</v>
      </c>
      <c r="F20" s="259">
        <f>I8</f>
        <v>-11.173771947327833</v>
      </c>
      <c r="G20" s="259" t="e">
        <f>#REF!</f>
        <v>#REF!</v>
      </c>
      <c r="H20" s="259">
        <f>I9</f>
        <v>-3.5431833936589241</v>
      </c>
      <c r="I20" s="259">
        <f>I10</f>
        <v>-8.2328703836454036</v>
      </c>
      <c r="J20" s="259">
        <f>I11</f>
        <v>-16.361857905568971</v>
      </c>
      <c r="K20" s="259">
        <f>I12</f>
        <v>-17.348054723653444</v>
      </c>
      <c r="L20" s="259">
        <f>I13</f>
        <v>-16.47714256637483</v>
      </c>
      <c r="M20" s="259" t="e">
        <f>#REF!</f>
        <v>#REF!</v>
      </c>
      <c r="N20" s="259" t="e">
        <f>#REF!</f>
        <v>#REF!</v>
      </c>
      <c r="O20" s="259" t="e">
        <f>#REF!</f>
        <v>#REF!</v>
      </c>
      <c r="P20" s="207" t="e">
        <f>#REF!</f>
        <v>#REF!</v>
      </c>
      <c r="Q20" s="118"/>
    </row>
    <row r="21" spans="1:17" ht="41.4">
      <c r="A21" s="124" t="s">
        <v>63</v>
      </c>
      <c r="B21" s="260">
        <f>B20-B19</f>
        <v>-10.234288248170241</v>
      </c>
      <c r="C21" s="260">
        <f t="shared" ref="C21:P21" si="11">C20-C19</f>
        <v>-19.736875364106201</v>
      </c>
      <c r="D21" s="260">
        <f t="shared" si="11"/>
        <v>-21.328614626228404</v>
      </c>
      <c r="E21" s="260">
        <f t="shared" si="11"/>
        <v>-25.672270713656253</v>
      </c>
      <c r="F21" s="260">
        <f t="shared" si="11"/>
        <v>-13.173771947327829</v>
      </c>
      <c r="G21" s="260" t="e">
        <f t="shared" si="11"/>
        <v>#REF!</v>
      </c>
      <c r="H21" s="260">
        <f t="shared" si="11"/>
        <v>-5.5431833936589188</v>
      </c>
      <c r="I21" s="260">
        <f t="shared" si="11"/>
        <v>-10.2328703836454</v>
      </c>
      <c r="J21" s="260">
        <f t="shared" si="11"/>
        <v>-18.361618992961233</v>
      </c>
      <c r="K21" s="260">
        <f t="shared" si="11"/>
        <v>-19.348054723653455</v>
      </c>
      <c r="L21" s="260">
        <f t="shared" si="11"/>
        <v>-18.477142566374827</v>
      </c>
      <c r="M21" s="260" t="e">
        <f t="shared" si="11"/>
        <v>#REF!</v>
      </c>
      <c r="N21" s="260" t="e">
        <f t="shared" si="11"/>
        <v>#REF!</v>
      </c>
      <c r="O21" s="260" t="e">
        <f t="shared" si="11"/>
        <v>#REF!</v>
      </c>
      <c r="P21" s="260" t="e">
        <f t="shared" si="11"/>
        <v>#REF!</v>
      </c>
      <c r="Q21" s="118"/>
    </row>
    <row r="22" spans="1:17" s="86" customFormat="1">
      <c r="A22" s="124"/>
      <c r="B22" s="124"/>
      <c r="C22" s="124"/>
      <c r="D22" s="124"/>
      <c r="E22" s="124"/>
      <c r="F22" s="124"/>
      <c r="G22" s="124"/>
      <c r="H22" s="124"/>
      <c r="I22" s="124"/>
      <c r="J22" s="124"/>
      <c r="K22" s="124"/>
      <c r="L22" s="124"/>
      <c r="M22" s="124"/>
      <c r="N22" s="124"/>
      <c r="O22" s="124"/>
    </row>
    <row r="23" spans="1:17" s="86" customFormat="1"/>
    <row r="24" spans="1:17" s="86" customFormat="1"/>
    <row r="25" spans="1:17" s="86" customFormat="1"/>
    <row r="26" spans="1:17" s="86" customFormat="1"/>
    <row r="27" spans="1:17" s="86" customFormat="1"/>
    <row r="28" spans="1:17" s="86" customFormat="1">
      <c r="D28" s="86">
        <v>53000</v>
      </c>
    </row>
    <row r="29" spans="1:17" s="86" customFormat="1"/>
    <row r="37" spans="1:14" s="221" customFormat="1" ht="15.6">
      <c r="A37" s="261"/>
    </row>
    <row r="40" spans="1:14" ht="23.4">
      <c r="B40" s="194"/>
      <c r="C40" s="194"/>
      <c r="D40" s="194"/>
      <c r="E40" s="194"/>
      <c r="F40" s="194"/>
      <c r="G40" s="194"/>
      <c r="H40" s="194"/>
      <c r="I40" s="194"/>
      <c r="J40" s="194"/>
      <c r="K40" s="194"/>
      <c r="L40" s="3056" t="s">
        <v>29</v>
      </c>
      <c r="M40" s="3056"/>
      <c r="N40" s="194"/>
    </row>
  </sheetData>
  <mergeCells count="11">
    <mergeCell ref="P1:X1"/>
    <mergeCell ref="P2:P3"/>
    <mergeCell ref="Q2:S2"/>
    <mergeCell ref="T2:V2"/>
    <mergeCell ref="W2:W3"/>
    <mergeCell ref="D1:L1"/>
    <mergeCell ref="E2:G2"/>
    <mergeCell ref="H2:J2"/>
    <mergeCell ref="L40:M40"/>
    <mergeCell ref="D2:D3"/>
    <mergeCell ref="K2:K3"/>
  </mergeCells>
  <phoneticPr fontId="28" type="noConversion"/>
  <conditionalFormatting sqref="J4:J14">
    <cfRule type="cellIs" dxfId="50" priority="1" operator="greaterThan">
      <formula>0</formula>
    </cfRule>
    <cfRule type="cellIs" dxfId="49" priority="2" operator="lessThanOrEqual">
      <formula>0</formula>
    </cfRule>
  </conditionalFormatting>
  <hyperlinks>
    <hyperlink ref="L40" location="'tableau de bord'!F4" display="Retour" xr:uid="{00000000-0004-0000-1000-000000000000}"/>
    <hyperlink ref="L40:M40" location="'tableau de bord'!C23" display="Retour" xr:uid="{00000000-0004-0000-1000-000001000000}"/>
  </hyperlinks>
  <pageMargins left="0.15748031496062992" right="0.15748031496062992" top="1.3385826771653544" bottom="0.6692913385826772" header="0.59055118110236227" footer="0.51181102362204722"/>
  <pageSetup paperSize="9" scale="73" orientation="portrait" r:id="rId1"/>
  <headerFooter alignWithMargins="0">
    <oddHeader>&amp;L&amp;"Times New Roman,Gras"&amp;12SDC_SPADCMD/EC&amp;C&amp;"Times New Roman,Gras"&amp;20Taux de pertes Gaz&amp;G</oddHeader>
    <oddFooter>&amp;LTableau de bord  Août 2015&amp;Rpage -8-</oddFooter>
  </headerFooter>
  <legacyDrawingHF r:id="rId2"/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100-000000000000}">
  <sheetPr codeName="Feuil7"/>
  <dimension ref="B1:AE174"/>
  <sheetViews>
    <sheetView showGridLines="0" showOutlineSymbols="0" zoomScale="90" zoomScaleNormal="90" workbookViewId="0">
      <selection activeCell="M4" activeCellId="1" sqref="H4:H13 M4:M13"/>
    </sheetView>
  </sheetViews>
  <sheetFormatPr baseColWidth="10" defaultColWidth="11.44140625" defaultRowHeight="13.8"/>
  <cols>
    <col min="1" max="1" width="8.6640625" style="87" bestFit="1" customWidth="1"/>
    <col min="2" max="2" width="0.6640625" style="87" customWidth="1"/>
    <col min="3" max="3" width="13.109375" style="87" bestFit="1" customWidth="1"/>
    <col min="4" max="4" width="9.5546875" style="87" customWidth="1"/>
    <col min="5" max="5" width="8.5546875" style="87" customWidth="1"/>
    <col min="6" max="6" width="12.109375" style="87" customWidth="1"/>
    <col min="7" max="7" width="10.109375" style="87" customWidth="1"/>
    <col min="8" max="8" width="11.44140625" style="87" customWidth="1"/>
    <col min="9" max="9" width="9.33203125" style="87" customWidth="1"/>
    <col min="10" max="10" width="8.88671875" style="87" customWidth="1"/>
    <col min="11" max="11" width="14.44140625" style="87" customWidth="1"/>
    <col min="12" max="12" width="15.109375" style="87" customWidth="1"/>
    <col min="13" max="13" width="14.6640625" style="87" customWidth="1"/>
    <col min="14" max="14" width="8.44140625" style="87" customWidth="1"/>
    <col min="15" max="15" width="10" style="87" customWidth="1"/>
    <col min="16" max="16" width="7.5546875" style="87" customWidth="1"/>
    <col min="17" max="17" width="9.109375" style="87" customWidth="1"/>
    <col min="18" max="18" width="6.6640625" style="87" customWidth="1"/>
    <col min="19" max="19" width="13.109375" style="87" customWidth="1"/>
    <col min="20" max="20" width="7.44140625" style="87" customWidth="1"/>
    <col min="21" max="21" width="10.44140625" style="87" customWidth="1"/>
    <col min="22" max="22" width="13.6640625" style="87" bestFit="1" customWidth="1"/>
    <col min="23" max="23" width="11.88671875" style="87" bestFit="1" customWidth="1"/>
    <col min="24" max="24" width="12.6640625" style="87" bestFit="1" customWidth="1"/>
    <col min="25" max="25" width="5" style="87" bestFit="1" customWidth="1"/>
    <col min="26" max="26" width="7.109375" style="87" bestFit="1" customWidth="1"/>
    <col min="27" max="28" width="6.109375" style="87" bestFit="1" customWidth="1"/>
    <col min="29" max="29" width="7.109375" style="87" bestFit="1" customWidth="1"/>
    <col min="30" max="30" width="7.33203125" style="87" bestFit="1" customWidth="1"/>
    <col min="31" max="31" width="7.6640625" style="87" bestFit="1" customWidth="1"/>
    <col min="32" max="16384" width="11.44140625" style="87"/>
  </cols>
  <sheetData>
    <row r="1" spans="3:18" ht="23.25" customHeight="1" thickBot="1">
      <c r="C1" s="2910" t="s">
        <v>259</v>
      </c>
      <c r="D1" s="2910"/>
      <c r="E1" s="2910"/>
      <c r="F1" s="2910"/>
      <c r="G1" s="2910"/>
      <c r="H1" s="2910"/>
      <c r="I1" s="2910"/>
      <c r="J1" s="2910"/>
      <c r="K1" s="2910"/>
      <c r="L1" s="2910"/>
      <c r="M1" s="2910"/>
      <c r="N1" s="2910"/>
      <c r="O1" s="2910"/>
      <c r="P1" s="2910"/>
      <c r="Q1" s="2910"/>
      <c r="R1" s="2910"/>
    </row>
    <row r="2" spans="3:18" ht="14.4" thickBot="1">
      <c r="C2" s="3061" t="s">
        <v>308</v>
      </c>
      <c r="D2" s="3062">
        <f>ventes_achats_gaz!C2</f>
        <v>45139</v>
      </c>
      <c r="E2" s="3063"/>
      <c r="F2" s="3063"/>
      <c r="G2" s="3063"/>
      <c r="H2" s="3064"/>
      <c r="I2" s="3062">
        <f>ventes_achats_gaz!I2</f>
        <v>45505</v>
      </c>
      <c r="J2" s="3063"/>
      <c r="K2" s="3063"/>
      <c r="L2" s="3063"/>
      <c r="M2" s="3064"/>
      <c r="N2" s="3062" t="s">
        <v>53</v>
      </c>
      <c r="O2" s="3063"/>
      <c r="P2" s="3063"/>
      <c r="Q2" s="3063"/>
      <c r="R2" s="3064"/>
    </row>
    <row r="3" spans="3:18" ht="14.4" thickBot="1">
      <c r="C3" s="3061"/>
      <c r="D3" s="262" t="s">
        <v>17</v>
      </c>
      <c r="E3" s="263" t="s">
        <v>18</v>
      </c>
      <c r="F3" s="263" t="s">
        <v>52</v>
      </c>
      <c r="G3" s="263" t="s">
        <v>19</v>
      </c>
      <c r="H3" s="264" t="s">
        <v>20</v>
      </c>
      <c r="I3" s="262" t="s">
        <v>17</v>
      </c>
      <c r="J3" s="263" t="s">
        <v>18</v>
      </c>
      <c r="K3" s="263" t="s">
        <v>52</v>
      </c>
      <c r="L3" s="263" t="s">
        <v>19</v>
      </c>
      <c r="M3" s="264" t="s">
        <v>20</v>
      </c>
      <c r="N3" s="262" t="s">
        <v>17</v>
      </c>
      <c r="O3" s="263" t="s">
        <v>18</v>
      </c>
      <c r="P3" s="263" t="s">
        <v>52</v>
      </c>
      <c r="Q3" s="263" t="s">
        <v>19</v>
      </c>
      <c r="R3" s="264" t="s">
        <v>20</v>
      </c>
    </row>
    <row r="4" spans="3:18">
      <c r="C4" s="265" t="s">
        <v>6</v>
      </c>
      <c r="D4" s="266">
        <f>élec!BD258</f>
        <v>899.92661514999998</v>
      </c>
      <c r="E4" s="267">
        <f>élec!BE258</f>
        <v>46.702122570000007</v>
      </c>
      <c r="F4" s="267">
        <f>SUM(D4:E4)</f>
        <v>946.62873772</v>
      </c>
      <c r="G4" s="267">
        <f>élec!BG258</f>
        <v>333.95485180000003</v>
      </c>
      <c r="H4" s="268">
        <f>SUM(F4:G4)</f>
        <v>1280.58358952</v>
      </c>
      <c r="I4" s="266">
        <f>élec!BD273</f>
        <v>770.29716877999999</v>
      </c>
      <c r="J4" s="267">
        <f>élec!BE273</f>
        <v>27.903106640000001</v>
      </c>
      <c r="K4" s="267">
        <f>SUM(I4:J4)</f>
        <v>798.20027542000003</v>
      </c>
      <c r="L4" s="267">
        <f>élec!BG273</f>
        <v>357.33169142600002</v>
      </c>
      <c r="M4" s="268">
        <f>SUM(K4:L4)</f>
        <v>1155.5319668460002</v>
      </c>
      <c r="N4" s="266">
        <f>+I4/D4*100-100</f>
        <v>-14.40444633903769</v>
      </c>
      <c r="O4" s="267">
        <f t="shared" ref="O4:O14" si="0">(((J4-E4)/E4)*100)</f>
        <v>-40.253022551218926</v>
      </c>
      <c r="P4" s="267">
        <f>(((K4-F4)/F4)*100)</f>
        <v>-15.679691138206614</v>
      </c>
      <c r="Q4" s="267">
        <f>(((L4-G4)/G4)*100)</f>
        <v>6.9999999999999964</v>
      </c>
      <c r="R4" s="268">
        <f t="shared" ref="R4:R14" si="1">(((M4-H4)/H4)*100)</f>
        <v>-9.7652057778495234</v>
      </c>
    </row>
    <row r="5" spans="3:18">
      <c r="C5" s="265" t="s">
        <v>7</v>
      </c>
      <c r="D5" s="266">
        <f>élec!BD259</f>
        <v>385.47416548000001</v>
      </c>
      <c r="E5" s="267">
        <f>élec!BE259</f>
        <v>23.48469274</v>
      </c>
      <c r="F5" s="267">
        <f t="shared" ref="F5:F13" si="2">SUM(D5:E5)</f>
        <v>408.95885822000002</v>
      </c>
      <c r="G5" s="267">
        <f>élec!BG259</f>
        <v>117.9481772</v>
      </c>
      <c r="H5" s="268">
        <f t="shared" ref="H5:H13" si="3">SUM(F5:G5)</f>
        <v>526.90703542000006</v>
      </c>
      <c r="I5" s="266">
        <f>élec!BD274</f>
        <v>369.74586440400003</v>
      </c>
      <c r="J5" s="267">
        <f>élec!BE274</f>
        <v>22.620016755784</v>
      </c>
      <c r="K5" s="267">
        <f t="shared" ref="K5:K13" si="4">SUM(I5:J5)</f>
        <v>392.36588115978401</v>
      </c>
      <c r="L5" s="267">
        <f>élec!BG274</f>
        <v>129.49685959999999</v>
      </c>
      <c r="M5" s="268">
        <f t="shared" ref="M5:M13" si="5">SUM(K5:L5)</f>
        <v>521.86274075978395</v>
      </c>
      <c r="N5" s="266">
        <f t="shared" ref="N5:N14" si="6">(((I5-D5)/D5)*100)</f>
        <v>-4.0802477790994862</v>
      </c>
      <c r="O5" s="267">
        <f t="shared" si="0"/>
        <v>-3.6818705434593624</v>
      </c>
      <c r="P5" s="267">
        <f t="shared" ref="P5:Q14" si="7">(((K5-F5)/F5)*100)</f>
        <v>-4.057370741995225</v>
      </c>
      <c r="Q5" s="267">
        <f t="shared" si="7"/>
        <v>9.7913190980623224</v>
      </c>
      <c r="R5" s="268">
        <f t="shared" si="1"/>
        <v>-0.95734054038494276</v>
      </c>
    </row>
    <row r="6" spans="3:18">
      <c r="C6" s="265" t="s">
        <v>8</v>
      </c>
      <c r="D6" s="266">
        <f>élec!BD260</f>
        <v>318.14177993999999</v>
      </c>
      <c r="E6" s="267">
        <f>élec!BE260</f>
        <v>39.382872859999999</v>
      </c>
      <c r="F6" s="267">
        <f t="shared" si="2"/>
        <v>357.52465280000001</v>
      </c>
      <c r="G6" s="267">
        <f>élec!BG260</f>
        <v>68.441850000000002</v>
      </c>
      <c r="H6" s="268">
        <f>SUM(F6:G6)</f>
        <v>425.9665028</v>
      </c>
      <c r="I6" s="266">
        <f>élec!BD275</f>
        <v>329.33219171000002</v>
      </c>
      <c r="J6" s="267">
        <f>élec!BE275</f>
        <v>38.620850099999998</v>
      </c>
      <c r="K6" s="267">
        <f t="shared" si="4"/>
        <v>367.95304181</v>
      </c>
      <c r="L6" s="267">
        <f>élec!BG275</f>
        <v>73.104027709999997</v>
      </c>
      <c r="M6" s="268">
        <f>SUM(K6:L6)</f>
        <v>441.05706952000003</v>
      </c>
      <c r="N6" s="266">
        <f t="shared" si="6"/>
        <v>3.5174291701361842</v>
      </c>
      <c r="O6" s="267">
        <f t="shared" si="0"/>
        <v>-1.9349090217691161</v>
      </c>
      <c r="P6" s="267">
        <f t="shared" si="7"/>
        <v>2.9168307495241876</v>
      </c>
      <c r="Q6" s="267">
        <f t="shared" si="7"/>
        <v>6.8118814877154765</v>
      </c>
      <c r="R6" s="268">
        <f t="shared" si="1"/>
        <v>3.5426651205682615</v>
      </c>
    </row>
    <row r="7" spans="3:18">
      <c r="C7" s="265" t="s">
        <v>4</v>
      </c>
      <c r="D7" s="266">
        <f>élec!BD261</f>
        <v>661.68731481000009</v>
      </c>
      <c r="E7" s="267">
        <f>élec!BE261</f>
        <v>46.552584160000002</v>
      </c>
      <c r="F7" s="267">
        <f t="shared" si="2"/>
        <v>708.23989897000013</v>
      </c>
      <c r="G7" s="267">
        <f>élec!BG261</f>
        <v>155.84604702999999</v>
      </c>
      <c r="H7" s="268">
        <f t="shared" si="3"/>
        <v>864.08594600000015</v>
      </c>
      <c r="I7" s="266">
        <f>élec!BD276</f>
        <v>646.88134727998852</v>
      </c>
      <c r="J7" s="267">
        <f>élec!BE276</f>
        <v>49.383954110000005</v>
      </c>
      <c r="K7" s="267">
        <f t="shared" si="4"/>
        <v>696.26530138998851</v>
      </c>
      <c r="L7" s="267">
        <f>élec!BG276</f>
        <v>175.99633706999995</v>
      </c>
      <c r="M7" s="268">
        <f t="shared" si="5"/>
        <v>872.26163845998849</v>
      </c>
      <c r="N7" s="266">
        <f t="shared" si="6"/>
        <v>-2.2376078849664851</v>
      </c>
      <c r="O7" s="267">
        <f t="shared" si="0"/>
        <v>6.082089750954875</v>
      </c>
      <c r="P7" s="267">
        <f t="shared" si="7"/>
        <v>-1.690754445976058</v>
      </c>
      <c r="Q7" s="267">
        <f t="shared" si="7"/>
        <v>12.92961254007365</v>
      </c>
      <c r="R7" s="268">
        <f t="shared" si="1"/>
        <v>0.94616658190484426</v>
      </c>
    </row>
    <row r="8" spans="3:18">
      <c r="C8" s="265" t="s">
        <v>3</v>
      </c>
      <c r="D8" s="266">
        <f>élec!BD262</f>
        <v>349.94015983000003</v>
      </c>
      <c r="E8" s="267">
        <f>élec!BE262</f>
        <v>23.062011060000003</v>
      </c>
      <c r="F8" s="267">
        <f t="shared" si="2"/>
        <v>373.00217089</v>
      </c>
      <c r="G8" s="267">
        <f>élec!BG262</f>
        <v>136.2776523</v>
      </c>
      <c r="H8" s="268">
        <f t="shared" si="3"/>
        <v>509.27982319</v>
      </c>
      <c r="I8" s="266">
        <f>élec!BD277</f>
        <v>397.18839137999998</v>
      </c>
      <c r="J8" s="267">
        <f>élec!BE277</f>
        <v>14.498154909999997</v>
      </c>
      <c r="K8" s="267">
        <f t="shared" si="4"/>
        <v>411.68654628999997</v>
      </c>
      <c r="L8" s="267">
        <f>élec!BG277</f>
        <v>151.6918642</v>
      </c>
      <c r="M8" s="268">
        <f t="shared" si="5"/>
        <v>563.37841048999996</v>
      </c>
      <c r="N8" s="266">
        <f t="shared" si="6"/>
        <v>13.501803157703595</v>
      </c>
      <c r="O8" s="269">
        <f t="shared" si="0"/>
        <v>-37.134038864692165</v>
      </c>
      <c r="P8" s="269">
        <f t="shared" si="7"/>
        <v>10.371085859285296</v>
      </c>
      <c r="Q8" s="267">
        <f t="shared" si="7"/>
        <v>11.310887471166097</v>
      </c>
      <c r="R8" s="268">
        <f t="shared" si="1"/>
        <v>10.62256638426005</v>
      </c>
    </row>
    <row r="9" spans="3:18">
      <c r="C9" s="265" t="s">
        <v>397</v>
      </c>
      <c r="D9" s="266">
        <f>élec!BD263</f>
        <v>305.91903150000002</v>
      </c>
      <c r="E9" s="267">
        <f>élec!BE263</f>
        <v>41.964590399999999</v>
      </c>
      <c r="F9" s="267">
        <f t="shared" si="2"/>
        <v>347.88362190000004</v>
      </c>
      <c r="G9" s="267">
        <f>élec!BG263</f>
        <v>111.76277162</v>
      </c>
      <c r="H9" s="268">
        <f t="shared" si="3"/>
        <v>459.64639352000006</v>
      </c>
      <c r="I9" s="266">
        <f>élec!BD278</f>
        <v>355.358138250004</v>
      </c>
      <c r="J9" s="267">
        <f>élec!BE278</f>
        <v>37.391298409999976</v>
      </c>
      <c r="K9" s="267">
        <f t="shared" si="4"/>
        <v>392.74943666000399</v>
      </c>
      <c r="L9" s="267">
        <f>élec!BG278</f>
        <v>146.63118105000001</v>
      </c>
      <c r="M9" s="268">
        <f t="shared" si="5"/>
        <v>539.380617710004</v>
      </c>
      <c r="N9" s="266">
        <f t="shared" si="6"/>
        <v>16.160847040993584</v>
      </c>
      <c r="O9" s="267">
        <f t="shared" si="0"/>
        <v>-10.897978382269692</v>
      </c>
      <c r="P9" s="267">
        <f t="shared" si="7"/>
        <v>12.896788447517297</v>
      </c>
      <c r="Q9" s="267">
        <f t="shared" si="7"/>
        <v>31.198590482844018</v>
      </c>
      <c r="R9" s="268">
        <f t="shared" si="1"/>
        <v>17.346861699358588</v>
      </c>
    </row>
    <row r="10" spans="3:18">
      <c r="C10" s="265" t="s">
        <v>399</v>
      </c>
      <c r="D10" s="266">
        <f>élec!BD264</f>
        <v>532.16002354000011</v>
      </c>
      <c r="E10" s="267">
        <f>élec!BE264</f>
        <v>16.840538649999999</v>
      </c>
      <c r="F10" s="267">
        <f t="shared" si="2"/>
        <v>549.0005621900001</v>
      </c>
      <c r="G10" s="267">
        <f>élec!BG264</f>
        <v>271.85024179999999</v>
      </c>
      <c r="H10" s="268">
        <f t="shared" si="3"/>
        <v>820.85080399000003</v>
      </c>
      <c r="I10" s="266">
        <f>élec!BD279</f>
        <v>579.18113741999991</v>
      </c>
      <c r="J10" s="267">
        <f>élec!BE279</f>
        <v>15.77036974</v>
      </c>
      <c r="K10" s="267">
        <f t="shared" si="4"/>
        <v>594.95150715999989</v>
      </c>
      <c r="L10" s="267">
        <f>élec!BG279</f>
        <v>292.68985349000002</v>
      </c>
      <c r="M10" s="268">
        <f t="shared" si="5"/>
        <v>887.64136064999991</v>
      </c>
      <c r="N10" s="266">
        <f t="shared" si="6"/>
        <v>8.8358974368666452</v>
      </c>
      <c r="O10" s="267">
        <f t="shared" si="0"/>
        <v>-6.3547190041928951</v>
      </c>
      <c r="P10" s="267">
        <f t="shared" si="7"/>
        <v>8.3699267604933567</v>
      </c>
      <c r="Q10" s="267">
        <f t="shared" si="7"/>
        <v>7.665842616881581</v>
      </c>
      <c r="R10" s="268">
        <f t="shared" si="1"/>
        <v>8.1367474253961447</v>
      </c>
    </row>
    <row r="11" spans="3:18">
      <c r="C11" s="265" t="s">
        <v>883</v>
      </c>
      <c r="D11" s="266">
        <f>élec!BD265</f>
        <v>469.62209185</v>
      </c>
      <c r="E11" s="267">
        <f>élec!BE265</f>
        <v>51.936436790000002</v>
      </c>
      <c r="F11" s="267">
        <f t="shared" si="2"/>
        <v>521.55852863999996</v>
      </c>
      <c r="G11" s="267">
        <f>élec!BG265</f>
        <v>162.618089</v>
      </c>
      <c r="H11" s="268">
        <f t="shared" si="3"/>
        <v>684.1766176399999</v>
      </c>
      <c r="I11" s="266">
        <f>élec!BD280</f>
        <v>461.61494966725621</v>
      </c>
      <c r="J11" s="267">
        <f>élec!BE280</f>
        <v>54.320803151731297</v>
      </c>
      <c r="K11" s="267">
        <f t="shared" si="4"/>
        <v>515.93575281898757</v>
      </c>
      <c r="L11" s="267">
        <f>élec!BG280</f>
        <v>146.67569547328748</v>
      </c>
      <c r="M11" s="268">
        <f t="shared" si="5"/>
        <v>662.6114482922751</v>
      </c>
      <c r="N11" s="266">
        <f t="shared" si="6"/>
        <v>-1.705018209684505</v>
      </c>
      <c r="O11" s="267">
        <f t="shared" si="0"/>
        <v>4.5909317409899568</v>
      </c>
      <c r="P11" s="267">
        <f t="shared" si="7"/>
        <v>-1.0780718773162765</v>
      </c>
      <c r="Q11" s="267">
        <f t="shared" si="7"/>
        <v>-9.803579432490146</v>
      </c>
      <c r="R11" s="268">
        <f t="shared" si="1"/>
        <v>-3.1519886520109002</v>
      </c>
    </row>
    <row r="12" spans="3:18">
      <c r="C12" s="265" t="s">
        <v>884</v>
      </c>
      <c r="D12" s="266">
        <f>élec!BD266</f>
        <v>627.86548839999989</v>
      </c>
      <c r="E12" s="267">
        <f>élec!BE266</f>
        <v>58.920622879999996</v>
      </c>
      <c r="F12" s="267">
        <f t="shared" si="2"/>
        <v>686.78611127999989</v>
      </c>
      <c r="G12" s="267">
        <f>élec!BG266</f>
        <v>130.58095740000002</v>
      </c>
      <c r="H12" s="268">
        <f t="shared" si="3"/>
        <v>817.36706867999987</v>
      </c>
      <c r="I12" s="266">
        <f>élec!BD281</f>
        <v>665.93845718999125</v>
      </c>
      <c r="J12" s="267">
        <f>élec!BE281</f>
        <v>61.526351680000047</v>
      </c>
      <c r="K12" s="267">
        <f t="shared" si="4"/>
        <v>727.46480886999132</v>
      </c>
      <c r="L12" s="267">
        <f>élec!BG281</f>
        <v>107.9944763</v>
      </c>
      <c r="M12" s="268">
        <f t="shared" si="5"/>
        <v>835.45928516999129</v>
      </c>
      <c r="N12" s="266">
        <f t="shared" si="6"/>
        <v>6.0638734718503713</v>
      </c>
      <c r="O12" s="267">
        <f t="shared" si="0"/>
        <v>4.4224393304649521</v>
      </c>
      <c r="P12" s="267">
        <f t="shared" si="7"/>
        <v>5.923051867513216</v>
      </c>
      <c r="Q12" s="267">
        <f t="shared" si="7"/>
        <v>-17.296917980783629</v>
      </c>
      <c r="R12" s="268">
        <f t="shared" si="1"/>
        <v>2.2134750937799939</v>
      </c>
    </row>
    <row r="13" spans="3:18" ht="14.4" thickBot="1">
      <c r="C13" s="265" t="s">
        <v>885</v>
      </c>
      <c r="D13" s="266">
        <f>élec!BD267</f>
        <v>92.025483359999996</v>
      </c>
      <c r="E13" s="267">
        <f>élec!BE267</f>
        <v>16.895985960000001</v>
      </c>
      <c r="F13" s="267">
        <f t="shared" si="2"/>
        <v>108.92146932</v>
      </c>
      <c r="G13" s="267">
        <f>élec!BG267</f>
        <v>23.504567570000003</v>
      </c>
      <c r="H13" s="268">
        <f t="shared" si="3"/>
        <v>132.42603689000001</v>
      </c>
      <c r="I13" s="266">
        <f>élec!BD282</f>
        <v>96.532057519999981</v>
      </c>
      <c r="J13" s="267">
        <f>élec!BE282</f>
        <v>20.515560220000005</v>
      </c>
      <c r="K13" s="267">
        <f t="shared" si="4"/>
        <v>117.04761773999999</v>
      </c>
      <c r="L13" s="267">
        <f>élec!BG282</f>
        <v>23.37974809</v>
      </c>
      <c r="M13" s="268">
        <f t="shared" si="5"/>
        <v>140.42736582999999</v>
      </c>
      <c r="N13" s="266">
        <f t="shared" si="6"/>
        <v>4.8970937130212597</v>
      </c>
      <c r="O13" s="267">
        <f t="shared" si="0"/>
        <v>21.422687427469924</v>
      </c>
      <c r="P13" s="267">
        <f t="shared" si="7"/>
        <v>7.4605571066308425</v>
      </c>
      <c r="Q13" s="267">
        <f t="shared" si="7"/>
        <v>-0.53104350730245264</v>
      </c>
      <c r="R13" s="268">
        <f t="shared" si="1"/>
        <v>6.0421116027555071</v>
      </c>
    </row>
    <row r="14" spans="3:18" ht="14.4" thickBot="1">
      <c r="C14" s="105" t="s">
        <v>614</v>
      </c>
      <c r="D14" s="270">
        <f>SUM(D4:D13)</f>
        <v>4642.7621538600006</v>
      </c>
      <c r="E14" s="270">
        <f>SUM(E4:E13)</f>
        <v>365.74245807000005</v>
      </c>
      <c r="F14" s="270">
        <f>SUM(F4:F13)</f>
        <v>5008.5046119300005</v>
      </c>
      <c r="G14" s="270">
        <f>SUM(G4:G13)</f>
        <v>1512.7852057200002</v>
      </c>
      <c r="H14" s="271">
        <f>SUM(F14:G14)</f>
        <v>6521.2898176500003</v>
      </c>
      <c r="I14" s="270">
        <f>SUM(I4:I13)</f>
        <v>4672.0697036012398</v>
      </c>
      <c r="J14" s="272">
        <f>SUM(J4:J13)</f>
        <v>342.55046571751529</v>
      </c>
      <c r="K14" s="2152">
        <f>SUM(K4:K13)</f>
        <v>5014.620169318755</v>
      </c>
      <c r="L14" s="2152">
        <f>SUM(L4:L13)</f>
        <v>1604.9917344092876</v>
      </c>
      <c r="M14" s="271">
        <f>SUM(K14:L14)</f>
        <v>6619.6119037280423</v>
      </c>
      <c r="N14" s="270">
        <f t="shared" si="6"/>
        <v>0.63125244778849698</v>
      </c>
      <c r="O14" s="272">
        <f t="shared" si="0"/>
        <v>-6.3410719321096725</v>
      </c>
      <c r="P14" s="272">
        <f t="shared" si="7"/>
        <v>0.12210345926781324</v>
      </c>
      <c r="Q14" s="272">
        <f t="shared" si="7"/>
        <v>6.0951500808339958</v>
      </c>
      <c r="R14" s="271">
        <f t="shared" si="1"/>
        <v>1.5077091929257824</v>
      </c>
    </row>
    <row r="15" spans="3:18">
      <c r="E15" s="173">
        <f>E14+D14</f>
        <v>5008.5046119300005</v>
      </c>
      <c r="F15" s="173"/>
      <c r="G15" s="173">
        <f>G14</f>
        <v>1512.7852057200002</v>
      </c>
      <c r="J15" s="173">
        <f>J14+I14</f>
        <v>5014.620169318755</v>
      </c>
      <c r="K15" s="173"/>
      <c r="L15" s="173">
        <f>L14</f>
        <v>1604.9917344092876</v>
      </c>
    </row>
    <row r="16" spans="3:18" ht="23.25" customHeight="1" thickBot="1">
      <c r="C16" s="2910" t="s">
        <v>220</v>
      </c>
      <c r="D16" s="2910"/>
      <c r="E16" s="2910"/>
      <c r="F16" s="2910"/>
      <c r="G16" s="2910"/>
      <c r="H16" s="2910"/>
      <c r="I16" s="2910"/>
      <c r="J16" s="2910"/>
      <c r="K16" s="2910"/>
      <c r="L16" s="2910"/>
      <c r="M16" s="2910"/>
      <c r="N16" s="2910"/>
      <c r="O16" s="2910"/>
      <c r="P16" s="2910"/>
      <c r="Q16" s="2910"/>
      <c r="R16" s="2910"/>
    </row>
    <row r="17" spans="3:23" ht="12.75" customHeight="1" thickBot="1">
      <c r="C17" s="3061" t="s">
        <v>308</v>
      </c>
      <c r="D17" s="3062">
        <f>D2</f>
        <v>45139</v>
      </c>
      <c r="E17" s="3063"/>
      <c r="F17" s="3063"/>
      <c r="G17" s="3063"/>
      <c r="H17" s="3064"/>
      <c r="I17" s="3062">
        <f>I2</f>
        <v>45505</v>
      </c>
      <c r="J17" s="3063"/>
      <c r="K17" s="3063"/>
      <c r="L17" s="3063"/>
      <c r="M17" s="3064"/>
      <c r="N17" s="3062" t="s">
        <v>53</v>
      </c>
      <c r="O17" s="3063"/>
      <c r="P17" s="3063"/>
      <c r="Q17" s="3063"/>
      <c r="R17" s="3064"/>
    </row>
    <row r="18" spans="3:23" ht="14.4" thickBot="1">
      <c r="C18" s="3061"/>
      <c r="D18" s="262" t="s">
        <v>17</v>
      </c>
      <c r="E18" s="263" t="s">
        <v>18</v>
      </c>
      <c r="F18" s="263" t="s">
        <v>52</v>
      </c>
      <c r="G18" s="263" t="s">
        <v>19</v>
      </c>
      <c r="H18" s="264" t="s">
        <v>20</v>
      </c>
      <c r="I18" s="262" t="s">
        <v>17</v>
      </c>
      <c r="J18" s="263" t="s">
        <v>18</v>
      </c>
      <c r="K18" s="263" t="s">
        <v>52</v>
      </c>
      <c r="L18" s="263" t="s">
        <v>19</v>
      </c>
      <c r="M18" s="264" t="s">
        <v>20</v>
      </c>
      <c r="N18" s="262" t="s">
        <v>17</v>
      </c>
      <c r="O18" s="263" t="s">
        <v>18</v>
      </c>
      <c r="P18" s="263" t="s">
        <v>52</v>
      </c>
      <c r="Q18" s="263" t="s">
        <v>19</v>
      </c>
      <c r="R18" s="264" t="s">
        <v>20</v>
      </c>
    </row>
    <row r="19" spans="3:23">
      <c r="C19" s="265" t="s">
        <v>6</v>
      </c>
      <c r="D19" s="266">
        <f>+élec!AX258</f>
        <v>3933.4955114799932</v>
      </c>
      <c r="E19" s="267">
        <f>+élec!AY258</f>
        <v>382.41472254000001</v>
      </c>
      <c r="F19" s="267">
        <f>SUM(D19:E19)</f>
        <v>4315.9102340199934</v>
      </c>
      <c r="G19" s="267">
        <f>+élec!BA258</f>
        <v>2323.6099781600001</v>
      </c>
      <c r="H19" s="268">
        <f>SUM(F19:G19)</f>
        <v>6639.5202121799939</v>
      </c>
      <c r="I19" s="266">
        <f>+élec!AX273</f>
        <v>3932.1034550099998</v>
      </c>
      <c r="J19" s="267">
        <f>+élec!AY273</f>
        <v>391.43348586999997</v>
      </c>
      <c r="K19" s="267">
        <f>SUM(I19:J19)</f>
        <v>4323.5369408799997</v>
      </c>
      <c r="L19" s="267">
        <f>+élec!BA273</f>
        <v>2416.3264068559993</v>
      </c>
      <c r="M19" s="268">
        <f>SUM(K19:L19)</f>
        <v>6739.863347735999</v>
      </c>
      <c r="N19" s="266">
        <f t="shared" ref="N19:N29" si="8">(((I19-D19)/D19)*100)</f>
        <v>-3.5389807003226567E-2</v>
      </c>
      <c r="O19" s="267">
        <f t="shared" ref="O19:P29" si="9">(((J19-E19)/E19)*100)</f>
        <v>2.3583724157106967</v>
      </c>
      <c r="P19" s="267">
        <f>(((K19-F19)/F19)*100)</f>
        <v>0.17671143389149202</v>
      </c>
      <c r="Q19" s="267">
        <f t="shared" ref="Q19:Q29" si="10">(((L19-G19)/G19)*100)</f>
        <v>3.9901889545774227</v>
      </c>
      <c r="R19" s="268">
        <f t="shared" ref="R19:R29" si="11">(((M19-H19)/H19)*100)</f>
        <v>1.5113010029238068</v>
      </c>
      <c r="T19" s="87">
        <f t="shared" ref="T19:T28" si="12">I34/K34</f>
        <v>0.88962077185665522</v>
      </c>
      <c r="U19" s="87">
        <f t="shared" ref="U19:U28" si="13">J34/K34</f>
        <v>0.11037922814334478</v>
      </c>
      <c r="V19" s="87">
        <f>T19*X19</f>
        <v>0</v>
      </c>
      <c r="W19" s="87">
        <f>U19*X19</f>
        <v>0</v>
      </c>
    </row>
    <row r="20" spans="3:23">
      <c r="C20" s="265" t="s">
        <v>7</v>
      </c>
      <c r="D20" s="266">
        <f>+élec!AX259</f>
        <v>1630.6516125000001</v>
      </c>
      <c r="E20" s="267">
        <f>+élec!AY259</f>
        <v>273.01345676</v>
      </c>
      <c r="F20" s="267">
        <f t="shared" ref="F20:F28" si="14">SUM(D20:E20)</f>
        <v>1903.6650692600001</v>
      </c>
      <c r="G20" s="267">
        <f>+élec!BA259</f>
        <v>860.94789748000005</v>
      </c>
      <c r="H20" s="268">
        <f t="shared" ref="H20:H28" si="15">SUM(F20:G20)</f>
        <v>2764.61296674</v>
      </c>
      <c r="I20" s="266">
        <f>+élec!AX274</f>
        <v>1683.5125140040002</v>
      </c>
      <c r="J20" s="267">
        <f>+élec!AY274</f>
        <v>290.37027884578396</v>
      </c>
      <c r="K20" s="267">
        <f t="shared" ref="K20:K28" si="16">SUM(I20:J20)</f>
        <v>1973.8827928497842</v>
      </c>
      <c r="L20" s="267">
        <f>+élec!BA274</f>
        <v>928.96561783999994</v>
      </c>
      <c r="M20" s="2224">
        <f t="shared" ref="M20:M28" si="17">SUM(K20:L20)</f>
        <v>2902.848410689784</v>
      </c>
      <c r="N20" s="266">
        <f t="shared" si="8"/>
        <v>3.2417041812479819</v>
      </c>
      <c r="O20" s="267">
        <f t="shared" si="9"/>
        <v>6.3574969130704622</v>
      </c>
      <c r="P20" s="267">
        <f t="shared" si="9"/>
        <v>3.6885545006653615</v>
      </c>
      <c r="Q20" s="267">
        <f t="shared" si="10"/>
        <v>7.9003294576928731</v>
      </c>
      <c r="R20" s="268">
        <f t="shared" si="11"/>
        <v>5.0001734641644839</v>
      </c>
      <c r="T20" s="87">
        <f t="shared" si="12"/>
        <v>0.80410314944132433</v>
      </c>
      <c r="U20" s="87">
        <f t="shared" si="13"/>
        <v>0.19589685055867556</v>
      </c>
      <c r="V20" s="87">
        <f t="shared" ref="V20:V28" si="18">T20*X20</f>
        <v>0</v>
      </c>
      <c r="W20" s="87">
        <f t="shared" ref="W20:W28" si="19">U20*X20</f>
        <v>0</v>
      </c>
    </row>
    <row r="21" spans="3:23">
      <c r="C21" s="265" t="s">
        <v>8</v>
      </c>
      <c r="D21" s="266">
        <f>+élec!AX260</f>
        <v>1561.95689679</v>
      </c>
      <c r="E21" s="267">
        <f>+élec!AY260</f>
        <v>335.53974929000003</v>
      </c>
      <c r="F21" s="267">
        <f t="shared" si="14"/>
        <v>1897.4966460800001</v>
      </c>
      <c r="G21" s="267">
        <f>+élec!BA260</f>
        <v>629.16017015000011</v>
      </c>
      <c r="H21" s="268">
        <f t="shared" si="15"/>
        <v>2526.65681623</v>
      </c>
      <c r="I21" s="266">
        <f>+élec!AX275</f>
        <v>1645.4273143999999</v>
      </c>
      <c r="J21" s="267">
        <f>+élec!AY275</f>
        <v>362.80677433999995</v>
      </c>
      <c r="K21" s="267">
        <f t="shared" si="16"/>
        <v>2008.2340887399998</v>
      </c>
      <c r="L21" s="267">
        <f>+élec!BA275</f>
        <v>620.92098993999991</v>
      </c>
      <c r="M21" s="268">
        <f t="shared" si="17"/>
        <v>2629.1550786799999</v>
      </c>
      <c r="N21" s="266">
        <f t="shared" si="8"/>
        <v>5.3439642144761592</v>
      </c>
      <c r="O21" s="267">
        <f t="shared" si="9"/>
        <v>8.1263174058205525</v>
      </c>
      <c r="P21" s="267">
        <f t="shared" si="9"/>
        <v>5.8359756729357048</v>
      </c>
      <c r="Q21" s="267">
        <f t="shared" si="10"/>
        <v>-1.3095520983211431</v>
      </c>
      <c r="R21" s="268">
        <f t="shared" si="11"/>
        <v>4.0566752790328096</v>
      </c>
      <c r="T21" s="87">
        <f t="shared" si="12"/>
        <v>0.78491321488741328</v>
      </c>
      <c r="U21" s="87">
        <f t="shared" si="13"/>
        <v>0.21508678511258675</v>
      </c>
      <c r="V21" s="87">
        <f t="shared" si="18"/>
        <v>0</v>
      </c>
      <c r="W21" s="87">
        <f t="shared" si="19"/>
        <v>0</v>
      </c>
    </row>
    <row r="22" spans="3:23">
      <c r="C22" s="265" t="s">
        <v>4</v>
      </c>
      <c r="D22" s="266">
        <f>+élec!AX261</f>
        <v>3059.8878493299999</v>
      </c>
      <c r="E22" s="267">
        <f>+élec!AY261</f>
        <v>391.66078216</v>
      </c>
      <c r="F22" s="267">
        <f t="shared" si="14"/>
        <v>3451.5486314899999</v>
      </c>
      <c r="G22" s="267">
        <f>+élec!BA261</f>
        <v>1183.1874581500001</v>
      </c>
      <c r="H22" s="268">
        <f t="shared" si="15"/>
        <v>4634.7360896400005</v>
      </c>
      <c r="I22" s="266">
        <f>+élec!AX276</f>
        <v>3074.9380000099886</v>
      </c>
      <c r="J22" s="267">
        <f>+élec!AY276</f>
        <v>407.19649859999998</v>
      </c>
      <c r="K22" s="267">
        <f t="shared" si="16"/>
        <v>3482.1344986099884</v>
      </c>
      <c r="L22" s="267">
        <f>+élec!BA276</f>
        <v>1249.4920410599998</v>
      </c>
      <c r="M22" s="268">
        <f t="shared" si="17"/>
        <v>4731.6265396699882</v>
      </c>
      <c r="N22" s="266">
        <f t="shared" si="8"/>
        <v>0.49185301622359007</v>
      </c>
      <c r="O22" s="267">
        <f t="shared" si="9"/>
        <v>3.9666254952361779</v>
      </c>
      <c r="P22" s="267">
        <f t="shared" si="9"/>
        <v>0.88614909959373478</v>
      </c>
      <c r="Q22" s="267">
        <f t="shared" si="10"/>
        <v>5.6038950086296326</v>
      </c>
      <c r="R22" s="268">
        <f t="shared" si="11"/>
        <v>2.0905278780935643</v>
      </c>
      <c r="T22" s="87">
        <f t="shared" si="12"/>
        <v>0.8642527361968686</v>
      </c>
      <c r="U22" s="87">
        <f t="shared" si="13"/>
        <v>0.1357472638031314</v>
      </c>
      <c r="V22" s="87">
        <f t="shared" si="18"/>
        <v>0</v>
      </c>
      <c r="W22" s="87">
        <f t="shared" si="19"/>
        <v>0</v>
      </c>
    </row>
    <row r="23" spans="3:23">
      <c r="C23" s="265" t="s">
        <v>3</v>
      </c>
      <c r="D23" s="266">
        <f>+élec!AX262</f>
        <v>1826.23600265</v>
      </c>
      <c r="E23" s="267">
        <f>+élec!AY262</f>
        <v>275.36000053999999</v>
      </c>
      <c r="F23" s="267">
        <f t="shared" si="14"/>
        <v>2101.5960031899999</v>
      </c>
      <c r="G23" s="267">
        <f>+élec!BA262</f>
        <v>955.96057669999993</v>
      </c>
      <c r="H23" s="268">
        <f t="shared" si="15"/>
        <v>3057.5565798899997</v>
      </c>
      <c r="I23" s="266">
        <f>+élec!AX277</f>
        <v>2071.0963719800002</v>
      </c>
      <c r="J23" s="267">
        <f>+élec!AY277</f>
        <v>285.96228819999999</v>
      </c>
      <c r="K23" s="267">
        <f t="shared" si="16"/>
        <v>2357.0586601800001</v>
      </c>
      <c r="L23" s="267">
        <f>+élec!BA277</f>
        <v>1062.5979136200001</v>
      </c>
      <c r="M23" s="268">
        <f t="shared" si="17"/>
        <v>3419.6565737999999</v>
      </c>
      <c r="N23" s="266">
        <f t="shared" si="8"/>
        <v>13.407925863617304</v>
      </c>
      <c r="O23" s="267">
        <f t="shared" si="9"/>
        <v>3.8503368823388229</v>
      </c>
      <c r="P23" s="267">
        <f t="shared" si="9"/>
        <v>12.155650115542421</v>
      </c>
      <c r="Q23" s="267">
        <f t="shared" si="10"/>
        <v>11.154993157575069</v>
      </c>
      <c r="R23" s="268">
        <f t="shared" si="11"/>
        <v>11.842789640969695</v>
      </c>
      <c r="T23" s="87">
        <f t="shared" si="12"/>
        <v>0.83527418940477305</v>
      </c>
      <c r="U23" s="87">
        <f t="shared" si="13"/>
        <v>0.16472581059522695</v>
      </c>
      <c r="V23" s="87">
        <f t="shared" si="18"/>
        <v>0</v>
      </c>
      <c r="W23" s="87">
        <f t="shared" si="19"/>
        <v>0</v>
      </c>
    </row>
    <row r="24" spans="3:23">
      <c r="C24" s="265" t="s">
        <v>397</v>
      </c>
      <c r="D24" s="266">
        <f>+élec!AX263</f>
        <v>1808.8105526500065</v>
      </c>
      <c r="E24" s="267">
        <f>+élec!AY263</f>
        <v>281.47787600000004</v>
      </c>
      <c r="F24" s="267">
        <f t="shared" si="14"/>
        <v>2090.2884286500066</v>
      </c>
      <c r="G24" s="267">
        <f>+élec!BA263</f>
        <v>698.20963831000017</v>
      </c>
      <c r="H24" s="268">
        <f t="shared" si="15"/>
        <v>2788.4980669600068</v>
      </c>
      <c r="I24" s="266">
        <f>+élec!AX278</f>
        <v>1866.6330327700593</v>
      </c>
      <c r="J24" s="267">
        <f>+élec!AY278</f>
        <v>288.27647218999999</v>
      </c>
      <c r="K24" s="267">
        <f t="shared" si="16"/>
        <v>2154.9095049600592</v>
      </c>
      <c r="L24" s="267">
        <f>+élec!BA278</f>
        <v>849.42821628000002</v>
      </c>
      <c r="M24" s="268">
        <f t="shared" si="17"/>
        <v>3004.3377212400592</v>
      </c>
      <c r="N24" s="266">
        <f t="shared" si="8"/>
        <v>3.1967128915374685</v>
      </c>
      <c r="O24" s="267">
        <f t="shared" si="9"/>
        <v>2.4153216894389078</v>
      </c>
      <c r="P24" s="267">
        <f t="shared" si="9"/>
        <v>3.0914908882592576</v>
      </c>
      <c r="Q24" s="267">
        <f t="shared" si="10"/>
        <v>21.658047908937611</v>
      </c>
      <c r="R24" s="268">
        <f t="shared" si="11"/>
        <v>7.7403551695970396</v>
      </c>
      <c r="T24" s="87">
        <f t="shared" si="12"/>
        <v>0.84966744074741518</v>
      </c>
      <c r="U24" s="87">
        <f t="shared" si="13"/>
        <v>0.15033255925258482</v>
      </c>
      <c r="V24" s="87">
        <f>T24*X24</f>
        <v>0</v>
      </c>
      <c r="W24" s="87">
        <f t="shared" si="19"/>
        <v>0</v>
      </c>
    </row>
    <row r="25" spans="3:23">
      <c r="C25" s="265" t="s">
        <v>399</v>
      </c>
      <c r="D25" s="266">
        <f>+élec!AX264</f>
        <v>2781.0324473400005</v>
      </c>
      <c r="E25" s="267">
        <f>+élec!AY264</f>
        <v>282.49123372999998</v>
      </c>
      <c r="F25" s="267">
        <f t="shared" si="14"/>
        <v>3063.5236810700007</v>
      </c>
      <c r="G25" s="267">
        <f>+élec!BA264</f>
        <v>1878.9668741099999</v>
      </c>
      <c r="H25" s="268">
        <f t="shared" si="15"/>
        <v>4942.4905551800002</v>
      </c>
      <c r="I25" s="266">
        <f>+élec!AX279</f>
        <v>2958.5271158199994</v>
      </c>
      <c r="J25" s="267">
        <f>+élec!AY279</f>
        <v>303.43899062000003</v>
      </c>
      <c r="K25" s="267">
        <f t="shared" si="16"/>
        <v>3261.9661064399993</v>
      </c>
      <c r="L25" s="267">
        <f>+élec!BA279</f>
        <v>1810.6072885099998</v>
      </c>
      <c r="M25" s="268">
        <f t="shared" si="17"/>
        <v>5072.5733949499991</v>
      </c>
      <c r="N25" s="266">
        <f t="shared" si="8"/>
        <v>6.3823300102006639</v>
      </c>
      <c r="O25" s="267">
        <f t="shared" si="9"/>
        <v>7.4153652888292942</v>
      </c>
      <c r="P25" s="267">
        <f t="shared" si="9"/>
        <v>6.477587445992528</v>
      </c>
      <c r="Q25" s="267">
        <f t="shared" si="10"/>
        <v>-3.6381474597512362</v>
      </c>
      <c r="R25" s="268">
        <f t="shared" si="11"/>
        <v>2.631928949943362</v>
      </c>
      <c r="T25" s="87">
        <f t="shared" si="12"/>
        <v>0.89679916264277626</v>
      </c>
      <c r="U25" s="87">
        <f t="shared" si="13"/>
        <v>0.10320083735722374</v>
      </c>
      <c r="V25" s="87">
        <f t="shared" si="18"/>
        <v>0</v>
      </c>
      <c r="W25" s="87">
        <f t="shared" si="19"/>
        <v>0</v>
      </c>
    </row>
    <row r="26" spans="3:23">
      <c r="C26" s="265" t="s">
        <v>883</v>
      </c>
      <c r="D26" s="266">
        <f>+élec!AX265</f>
        <v>2098.53521490003</v>
      </c>
      <c r="E26" s="267">
        <f>+élec!AY265</f>
        <v>360.98104428999994</v>
      </c>
      <c r="F26" s="267">
        <f t="shared" si="14"/>
        <v>2459.5162591900298</v>
      </c>
      <c r="G26" s="267">
        <f>+élec!BA265</f>
        <v>988.81025473999966</v>
      </c>
      <c r="H26" s="268">
        <f>SUM(F26:G26)</f>
        <v>3448.3265139300293</v>
      </c>
      <c r="I26" s="266">
        <f>+élec!AX280</f>
        <v>1921.7772421772563</v>
      </c>
      <c r="J26" s="267">
        <f>+élec!AY280</f>
        <v>371.86162537173124</v>
      </c>
      <c r="K26" s="267">
        <f t="shared" si="16"/>
        <v>2293.6388675489875</v>
      </c>
      <c r="L26" s="267">
        <f>+élec!BA280</f>
        <v>982.09520336328751</v>
      </c>
      <c r="M26" s="268">
        <f t="shared" si="17"/>
        <v>3275.734070912275</v>
      </c>
      <c r="N26" s="266">
        <f t="shared" si="8"/>
        <v>-8.4229214486254929</v>
      </c>
      <c r="O26" s="267">
        <f t="shared" si="9"/>
        <v>3.0141696506895257</v>
      </c>
      <c r="P26" s="267">
        <f t="shared" si="9"/>
        <v>-6.7443096186592904</v>
      </c>
      <c r="Q26" s="267">
        <f t="shared" si="10"/>
        <v>-0.6791041400028589</v>
      </c>
      <c r="R26" s="268">
        <f t="shared" si="11"/>
        <v>-5.0051073272945974</v>
      </c>
      <c r="T26" s="87">
        <f t="shared" si="12"/>
        <v>0.81797059287846541</v>
      </c>
      <c r="U26" s="87">
        <f t="shared" si="13"/>
        <v>0.18202940712153459</v>
      </c>
      <c r="V26" s="87">
        <f t="shared" si="18"/>
        <v>0</v>
      </c>
      <c r="W26" s="87">
        <f t="shared" si="19"/>
        <v>0</v>
      </c>
    </row>
    <row r="27" spans="3:23">
      <c r="C27" s="265" t="s">
        <v>884</v>
      </c>
      <c r="D27" s="266">
        <f>+élec!AX266</f>
        <v>2375.4591474999988</v>
      </c>
      <c r="E27" s="267">
        <f>+élec!AY266</f>
        <v>387.66654620999998</v>
      </c>
      <c r="F27" s="267">
        <f t="shared" si="14"/>
        <v>2763.1256937099988</v>
      </c>
      <c r="G27" s="267">
        <f>+élec!BA266</f>
        <v>863.24858257000005</v>
      </c>
      <c r="H27" s="268">
        <f t="shared" si="15"/>
        <v>3626.3742762799989</v>
      </c>
      <c r="I27" s="266">
        <f>+élec!AX281</f>
        <v>2591.4638593899913</v>
      </c>
      <c r="J27" s="267">
        <f>+élec!AY281</f>
        <v>427.78429620000003</v>
      </c>
      <c r="K27" s="267">
        <f t="shared" si="16"/>
        <v>3019.2481555899913</v>
      </c>
      <c r="L27" s="267">
        <f>+élec!BA281</f>
        <v>886.33485642999995</v>
      </c>
      <c r="M27" s="268">
        <f>SUM(K27:L27)</f>
        <v>3905.5830120199912</v>
      </c>
      <c r="N27" s="266">
        <f t="shared" si="8"/>
        <v>9.0931772965795687</v>
      </c>
      <c r="O27" s="267">
        <f t="shared" si="9"/>
        <v>10.34851997991804</v>
      </c>
      <c r="P27" s="267">
        <f t="shared" si="9"/>
        <v>9.2693018802232441</v>
      </c>
      <c r="Q27" s="267">
        <f t="shared" si="10"/>
        <v>2.6743483077920778</v>
      </c>
      <c r="R27" s="268">
        <f t="shared" si="11"/>
        <v>7.6993910299410624</v>
      </c>
      <c r="T27" s="87">
        <f t="shared" si="12"/>
        <v>0.81723198744951564</v>
      </c>
      <c r="U27" s="87">
        <f t="shared" si="13"/>
        <v>0.18276801255048436</v>
      </c>
      <c r="V27" s="87">
        <f t="shared" si="18"/>
        <v>0</v>
      </c>
      <c r="W27" s="87">
        <f t="shared" si="19"/>
        <v>0</v>
      </c>
    </row>
    <row r="28" spans="3:23" ht="14.4" thickBot="1">
      <c r="C28" s="265" t="s">
        <v>885</v>
      </c>
      <c r="D28" s="266">
        <f>+élec!AX267</f>
        <v>440.10875423000005</v>
      </c>
      <c r="E28" s="267">
        <f>+élec!AY267</f>
        <v>140.58407598999997</v>
      </c>
      <c r="F28" s="267">
        <f t="shared" si="14"/>
        <v>580.69283022000002</v>
      </c>
      <c r="G28" s="267">
        <f>+élec!BA267</f>
        <v>188.15960907000002</v>
      </c>
      <c r="H28" s="268">
        <f t="shared" si="15"/>
        <v>768.85243929000001</v>
      </c>
      <c r="I28" s="266">
        <f>+élec!AX282</f>
        <v>456.56788214000028</v>
      </c>
      <c r="J28" s="267">
        <f>+élec!AY282</f>
        <v>156.54048560000001</v>
      </c>
      <c r="K28" s="267">
        <f t="shared" si="16"/>
        <v>613.10836774000029</v>
      </c>
      <c r="L28" s="267">
        <f>+élec!BA282</f>
        <v>186.13395176999998</v>
      </c>
      <c r="M28" s="268">
        <f t="shared" si="17"/>
        <v>799.24231951000024</v>
      </c>
      <c r="N28" s="266">
        <f t="shared" si="8"/>
        <v>3.7397865304444098</v>
      </c>
      <c r="O28" s="267">
        <f t="shared" si="9"/>
        <v>11.350083213645796</v>
      </c>
      <c r="P28" s="267">
        <f t="shared" si="9"/>
        <v>5.582217625748779</v>
      </c>
      <c r="Q28" s="267">
        <f t="shared" si="10"/>
        <v>-1.0765633017692122</v>
      </c>
      <c r="R28" s="268">
        <f t="shared" si="11"/>
        <v>3.9526284455914453</v>
      </c>
      <c r="T28" s="87">
        <f t="shared" si="12"/>
        <v>0.70693258688204397</v>
      </c>
      <c r="U28" s="87">
        <f t="shared" si="13"/>
        <v>0.29306741311795603</v>
      </c>
      <c r="V28" s="87">
        <f t="shared" si="18"/>
        <v>0</v>
      </c>
      <c r="W28" s="87">
        <f t="shared" si="19"/>
        <v>0</v>
      </c>
    </row>
    <row r="29" spans="3:23" ht="14.4" thickBot="1">
      <c r="C29" s="105" t="s">
        <v>614</v>
      </c>
      <c r="D29" s="270">
        <f>SUM(D19:D28)</f>
        <v>21516.173989370029</v>
      </c>
      <c r="E29" s="270">
        <f>SUM(E19:E28)</f>
        <v>3111.1894875099997</v>
      </c>
      <c r="F29" s="2166">
        <f>SUM(F19:F28)</f>
        <v>24627.363476880029</v>
      </c>
      <c r="G29" s="270">
        <f>SUM(G19:G28)</f>
        <v>10570.261039440002</v>
      </c>
      <c r="H29" s="271">
        <f>SUM(F29:G29)</f>
        <v>35197.624516320029</v>
      </c>
      <c r="I29" s="270">
        <f>SUM(I19:I28)</f>
        <v>22202.046787701296</v>
      </c>
      <c r="J29" s="270">
        <f>SUM(J19:J28)</f>
        <v>3285.6711958375154</v>
      </c>
      <c r="K29" s="2153">
        <f>SUM(K19:K28)</f>
        <v>25487.717983538809</v>
      </c>
      <c r="L29" s="2153">
        <f>SUM(L19:L28)</f>
        <v>10992.902485669285</v>
      </c>
      <c r="M29" s="271">
        <f>SUM(K29:L29)</f>
        <v>36480.620469208094</v>
      </c>
      <c r="N29" s="270">
        <f t="shared" si="8"/>
        <v>3.1877079943214808</v>
      </c>
      <c r="O29" s="272">
        <f t="shared" si="9"/>
        <v>5.608199340733818</v>
      </c>
      <c r="P29" s="272">
        <f t="shared" si="9"/>
        <v>3.4934901069149094</v>
      </c>
      <c r="Q29" s="272">
        <f t="shared" si="10"/>
        <v>3.9984012187808204</v>
      </c>
      <c r="R29" s="271">
        <f t="shared" si="11"/>
        <v>3.6451208583499142</v>
      </c>
    </row>
    <row r="30" spans="3:23">
      <c r="E30" s="173">
        <f>E29+D29</f>
        <v>24627.363476880029</v>
      </c>
      <c r="F30" s="173"/>
      <c r="G30" s="87">
        <f>G29</f>
        <v>10570.261039440002</v>
      </c>
      <c r="I30" s="173">
        <f>I29+J29</f>
        <v>25487.717983538812</v>
      </c>
      <c r="J30" s="173">
        <f>J29+I29</f>
        <v>25487.717983538812</v>
      </c>
      <c r="K30" s="173"/>
      <c r="L30" s="232">
        <f>L29</f>
        <v>10992.902485669285</v>
      </c>
      <c r="M30" s="273"/>
    </row>
    <row r="31" spans="3:23" ht="21.6" thickBot="1">
      <c r="C31" s="2910" t="s">
        <v>304</v>
      </c>
      <c r="D31" s="2910"/>
      <c r="E31" s="2910"/>
      <c r="F31" s="2910"/>
      <c r="G31" s="2910"/>
      <c r="H31" s="2910"/>
      <c r="I31" s="2910"/>
      <c r="J31" s="2910"/>
      <c r="K31" s="2910"/>
      <c r="L31" s="2910"/>
      <c r="M31" s="2910"/>
      <c r="N31" s="2910"/>
      <c r="O31" s="2910"/>
      <c r="P31" s="2910"/>
      <c r="Q31" s="2910"/>
      <c r="R31" s="2910"/>
    </row>
    <row r="32" spans="3:23" ht="23.25" customHeight="1" thickBot="1">
      <c r="C32" s="3061" t="s">
        <v>308</v>
      </c>
      <c r="D32" s="3065" t="s">
        <v>1092</v>
      </c>
      <c r="E32" s="3063"/>
      <c r="F32" s="3063"/>
      <c r="G32" s="3063"/>
      <c r="H32" s="3064"/>
      <c r="I32" s="3062" t="s">
        <v>1093</v>
      </c>
      <c r="J32" s="3063"/>
      <c r="K32" s="3063"/>
      <c r="L32" s="3063"/>
      <c r="M32" s="3064"/>
      <c r="N32" s="3062" t="s">
        <v>305</v>
      </c>
      <c r="O32" s="3063"/>
      <c r="P32" s="3063"/>
      <c r="Q32" s="3063"/>
      <c r="R32" s="3064"/>
    </row>
    <row r="33" spans="2:22" ht="14.4" thickBot="1">
      <c r="C33" s="3061"/>
      <c r="D33" s="262" t="s">
        <v>17</v>
      </c>
      <c r="E33" s="263" t="s">
        <v>18</v>
      </c>
      <c r="F33" s="263" t="s">
        <v>52</v>
      </c>
      <c r="G33" s="263" t="s">
        <v>19</v>
      </c>
      <c r="H33" s="264" t="s">
        <v>20</v>
      </c>
      <c r="I33" s="262" t="s">
        <v>17</v>
      </c>
      <c r="J33" s="263" t="s">
        <v>18</v>
      </c>
      <c r="K33" s="263" t="s">
        <v>52</v>
      </c>
      <c r="L33" s="263" t="s">
        <v>19</v>
      </c>
      <c r="M33" s="264" t="s">
        <v>20</v>
      </c>
      <c r="N33" s="262" t="s">
        <v>17</v>
      </c>
      <c r="O33" s="263" t="s">
        <v>18</v>
      </c>
      <c r="P33" s="263" t="s">
        <v>52</v>
      </c>
      <c r="Q33" s="263" t="s">
        <v>19</v>
      </c>
      <c r="R33" s="264" t="s">
        <v>20</v>
      </c>
      <c r="T33" s="263" t="s">
        <v>198</v>
      </c>
      <c r="V33" s="263" t="s">
        <v>1188</v>
      </c>
    </row>
    <row r="34" spans="2:22">
      <c r="B34" s="87">
        <v>4934.9277599999996</v>
      </c>
      <c r="C34" s="265" t="s">
        <v>6</v>
      </c>
      <c r="D34" s="274">
        <f>+élec!AX273</f>
        <v>3932.1034550099998</v>
      </c>
      <c r="E34" s="269">
        <f>+élec!AY273</f>
        <v>391.43348586999997</v>
      </c>
      <c r="F34" s="269">
        <f>SUM(D34:E34)</f>
        <v>4323.5369408799997</v>
      </c>
      <c r="G34" s="269">
        <f>+élec!BA273</f>
        <v>2416.3264068559993</v>
      </c>
      <c r="H34" s="275">
        <f>SUM(F34:G34)</f>
        <v>6739.863347735999</v>
      </c>
      <c r="I34" s="274">
        <v>7792.3255016586809</v>
      </c>
      <c r="J34" s="269">
        <v>966.82867748211356</v>
      </c>
      <c r="K34" s="269">
        <f>J34+I34</f>
        <v>8759.1541791407944</v>
      </c>
      <c r="L34" s="269">
        <v>3425.0608000000002</v>
      </c>
      <c r="M34" s="275">
        <f>SUM(K34:L34)</f>
        <v>12184.214979140794</v>
      </c>
      <c r="N34" s="274">
        <f t="shared" ref="N34:N44" si="20">D34/I34*100</f>
        <v>50.461232069592178</v>
      </c>
      <c r="O34" s="269">
        <f t="shared" ref="O34:O44" si="21">E34/J34*100</f>
        <v>40.48633382383732</v>
      </c>
      <c r="P34" s="269">
        <f>F34/K34*100</f>
        <v>49.360210500417352</v>
      </c>
      <c r="Q34" s="269">
        <f t="shared" ref="Q34:Q44" si="22">G34/L34*100</f>
        <v>70.548423749324357</v>
      </c>
      <c r="R34" s="275">
        <f t="shared" ref="R34:R44" si="23">H34/M34*100</f>
        <v>55.316352832534157</v>
      </c>
      <c r="T34" s="269">
        <v>585.90179999999998</v>
      </c>
      <c r="V34" s="269">
        <f>M34+T34</f>
        <v>12770.116779140793</v>
      </c>
    </row>
    <row r="35" spans="2:22">
      <c r="B35" s="87">
        <v>2490.4291799999996</v>
      </c>
      <c r="C35" s="265" t="s">
        <v>7</v>
      </c>
      <c r="D35" s="274">
        <f>+élec!AX274</f>
        <v>1683.5125140040002</v>
      </c>
      <c r="E35" s="269">
        <f>+élec!AY274</f>
        <v>290.37027884578396</v>
      </c>
      <c r="F35" s="269">
        <f t="shared" ref="F35:F43" si="24">SUM(D35:E35)</f>
        <v>1973.8827928497842</v>
      </c>
      <c r="G35" s="269">
        <f>+élec!BA274</f>
        <v>928.96561783999994</v>
      </c>
      <c r="H35" s="275">
        <f t="shared" ref="H35:H43" si="25">SUM(F35:G35)</f>
        <v>2902.848410689784</v>
      </c>
      <c r="I35" s="274">
        <v>2640.9599918990111</v>
      </c>
      <c r="J35" s="269">
        <v>643.39475006898124</v>
      </c>
      <c r="K35" s="269">
        <f t="shared" ref="K35:K43" si="26">J35+I35</f>
        <v>3284.3547419679926</v>
      </c>
      <c r="L35" s="269">
        <v>1316.14</v>
      </c>
      <c r="M35" s="275">
        <f>SUM(K35:L35)</f>
        <v>4600.4947419679929</v>
      </c>
      <c r="N35" s="274">
        <f t="shared" si="20"/>
        <v>63.746233156430819</v>
      </c>
      <c r="O35" s="269">
        <f t="shared" si="21"/>
        <v>45.130968012196568</v>
      </c>
      <c r="P35" s="269">
        <f t="shared" ref="P35:P44" si="27">F35/K35*100</f>
        <v>60.099561342360644</v>
      </c>
      <c r="Q35" s="269">
        <f t="shared" si="22"/>
        <v>70.582583755527523</v>
      </c>
      <c r="R35" s="275">
        <f t="shared" si="23"/>
        <v>63.098613812305061</v>
      </c>
      <c r="T35" s="269">
        <v>638.18700000000001</v>
      </c>
      <c r="V35" s="269">
        <f t="shared" ref="V35:V43" si="28">M35+T35</f>
        <v>5238.6817419679928</v>
      </c>
    </row>
    <row r="36" spans="2:22">
      <c r="B36" s="87">
        <v>2463.2310600000001</v>
      </c>
      <c r="C36" s="265" t="s">
        <v>8</v>
      </c>
      <c r="D36" s="274">
        <f>+élec!AX275</f>
        <v>1645.4273143999999</v>
      </c>
      <c r="E36" s="269">
        <f>+élec!AY275</f>
        <v>362.80677433999995</v>
      </c>
      <c r="F36" s="269">
        <f t="shared" si="24"/>
        <v>2008.2340887399998</v>
      </c>
      <c r="G36" s="269">
        <f>+élec!BA275</f>
        <v>620.92098993999991</v>
      </c>
      <c r="H36" s="275">
        <f t="shared" si="25"/>
        <v>2629.1550786799999</v>
      </c>
      <c r="I36" s="274">
        <v>2471.0643479016462</v>
      </c>
      <c r="J36" s="269">
        <v>677.13637165954992</v>
      </c>
      <c r="K36" s="269">
        <f t="shared" si="26"/>
        <v>3148.2007195611959</v>
      </c>
      <c r="L36" s="269">
        <v>932.65988668160003</v>
      </c>
      <c r="M36" s="275">
        <f t="shared" ref="M36:M43" si="29">SUM(K36:L36)</f>
        <v>4080.8606062427962</v>
      </c>
      <c r="N36" s="274">
        <f t="shared" si="20"/>
        <v>66.58779710845036</v>
      </c>
      <c r="O36" s="269">
        <f t="shared" si="21"/>
        <v>53.579572671723454</v>
      </c>
      <c r="P36" s="269">
        <f t="shared" si="27"/>
        <v>63.789899934331771</v>
      </c>
      <c r="Q36" s="269">
        <f t="shared" si="22"/>
        <v>66.575286318921059</v>
      </c>
      <c r="R36" s="275">
        <f t="shared" si="23"/>
        <v>64.426485792187691</v>
      </c>
      <c r="T36" s="269">
        <v>114.8224</v>
      </c>
      <c r="V36" s="269">
        <f t="shared" si="28"/>
        <v>4195.6830062427962</v>
      </c>
    </row>
    <row r="37" spans="2:22">
      <c r="B37" s="87">
        <v>4448.3335800000004</v>
      </c>
      <c r="C37" s="265" t="s">
        <v>4</v>
      </c>
      <c r="D37" s="274">
        <f>+élec!AX276</f>
        <v>3074.9380000099886</v>
      </c>
      <c r="E37" s="269">
        <f>+élec!AY276</f>
        <v>407.19649859999998</v>
      </c>
      <c r="F37" s="269">
        <f t="shared" si="24"/>
        <v>3482.1344986099884</v>
      </c>
      <c r="G37" s="269">
        <f>+élec!BA276</f>
        <v>1249.4920410599998</v>
      </c>
      <c r="H37" s="275">
        <f t="shared" si="25"/>
        <v>4731.6265396699882</v>
      </c>
      <c r="I37" s="274">
        <v>5223.6324306417619</v>
      </c>
      <c r="J37" s="269">
        <v>820.47042476634397</v>
      </c>
      <c r="K37" s="269">
        <f t="shared" si="26"/>
        <v>6044.1028554081058</v>
      </c>
      <c r="L37" s="269">
        <v>1926.7064815600002</v>
      </c>
      <c r="M37" s="275">
        <f t="shared" si="29"/>
        <v>7970.8093369681064</v>
      </c>
      <c r="N37" s="274">
        <f t="shared" si="20"/>
        <v>58.865895348463667</v>
      </c>
      <c r="O37" s="269">
        <f t="shared" si="21"/>
        <v>49.62963762111994</v>
      </c>
      <c r="P37" s="269">
        <f t="shared" si="27"/>
        <v>57.612098634196229</v>
      </c>
      <c r="Q37" s="269">
        <f t="shared" si="22"/>
        <v>64.851187921905009</v>
      </c>
      <c r="R37" s="275">
        <f t="shared" si="23"/>
        <v>59.361933520665275</v>
      </c>
      <c r="T37" s="269">
        <v>116.36020000000001</v>
      </c>
      <c r="V37" s="269">
        <f t="shared" si="28"/>
        <v>8087.1695369681065</v>
      </c>
    </row>
    <row r="38" spans="2:22">
      <c r="B38" s="87">
        <v>2936.8566000000005</v>
      </c>
      <c r="C38" s="265" t="s">
        <v>3</v>
      </c>
      <c r="D38" s="274">
        <f>+élec!AX277</f>
        <v>2071.0963719800002</v>
      </c>
      <c r="E38" s="269">
        <f>+élec!AY277</f>
        <v>285.96228819999999</v>
      </c>
      <c r="F38" s="269">
        <f t="shared" si="24"/>
        <v>2357.0586601800001</v>
      </c>
      <c r="G38" s="269">
        <f>+élec!BA277</f>
        <v>1062.5979136200001</v>
      </c>
      <c r="H38" s="275">
        <f t="shared" si="25"/>
        <v>3419.6565737999999</v>
      </c>
      <c r="I38" s="274">
        <v>3393.4529670426855</v>
      </c>
      <c r="J38" s="269">
        <v>669.22849742457288</v>
      </c>
      <c r="K38" s="269">
        <f t="shared" si="26"/>
        <v>4062.6814644672586</v>
      </c>
      <c r="L38" s="269">
        <v>1399.6065020000001</v>
      </c>
      <c r="M38" s="275">
        <f t="shared" si="29"/>
        <v>5462.2879664672582</v>
      </c>
      <c r="N38" s="274">
        <f t="shared" si="20"/>
        <v>61.032122504556533</v>
      </c>
      <c r="O38" s="269">
        <f t="shared" si="21"/>
        <v>42.73014214135884</v>
      </c>
      <c r="P38" s="269">
        <f t="shared" si="27"/>
        <v>58.017313953730863</v>
      </c>
      <c r="Q38" s="269">
        <f t="shared" si="22"/>
        <v>75.921190141770296</v>
      </c>
      <c r="R38" s="275">
        <f t="shared" si="23"/>
        <v>62.604838756087531</v>
      </c>
      <c r="T38" s="269"/>
      <c r="V38" s="269">
        <f t="shared" si="28"/>
        <v>5462.2879664672582</v>
      </c>
    </row>
    <row r="39" spans="2:22" ht="12.75" customHeight="1">
      <c r="B39" s="87">
        <v>7522.2615000000005</v>
      </c>
      <c r="C39" s="265" t="s">
        <v>397</v>
      </c>
      <c r="D39" s="274">
        <f>+élec!AX278</f>
        <v>1866.6330327700593</v>
      </c>
      <c r="E39" s="269">
        <f>+élec!AY278</f>
        <v>288.27647218999999</v>
      </c>
      <c r="F39" s="269">
        <f t="shared" si="24"/>
        <v>2154.9095049600592</v>
      </c>
      <c r="G39" s="269">
        <f>+élec!BA278</f>
        <v>849.42821628000002</v>
      </c>
      <c r="H39" s="275">
        <f t="shared" si="25"/>
        <v>3004.3377212400592</v>
      </c>
      <c r="I39" s="274">
        <v>3226.2410448903761</v>
      </c>
      <c r="J39" s="269">
        <v>570.82224148481248</v>
      </c>
      <c r="K39" s="269">
        <f t="shared" si="26"/>
        <v>3797.0632863751885</v>
      </c>
      <c r="L39" s="269">
        <v>1056.2828203480001</v>
      </c>
      <c r="M39" s="275">
        <f t="shared" si="29"/>
        <v>4853.3461067231883</v>
      </c>
      <c r="N39" s="274">
        <f t="shared" si="20"/>
        <v>57.857829182552145</v>
      </c>
      <c r="O39" s="269">
        <f t="shared" si="21"/>
        <v>50.501969131430556</v>
      </c>
      <c r="P39" s="269">
        <f t="shared" si="27"/>
        <v>56.752003915563186</v>
      </c>
      <c r="Q39" s="269">
        <f t="shared" si="22"/>
        <v>80.416740660436915</v>
      </c>
      <c r="R39" s="275">
        <f t="shared" si="23"/>
        <v>61.902400017963778</v>
      </c>
      <c r="T39" s="269">
        <v>509.34499000000005</v>
      </c>
      <c r="V39" s="269">
        <f t="shared" si="28"/>
        <v>5362.6910967231888</v>
      </c>
    </row>
    <row r="40" spans="2:22">
      <c r="B40" s="87">
        <v>1975.4661000000001</v>
      </c>
      <c r="C40" s="265" t="s">
        <v>399</v>
      </c>
      <c r="D40" s="274">
        <f>+élec!AX279</f>
        <v>2958.5271158199994</v>
      </c>
      <c r="E40" s="269">
        <f>+élec!AY279</f>
        <v>303.43899062000003</v>
      </c>
      <c r="F40" s="269">
        <f t="shared" si="24"/>
        <v>3261.9661064399993</v>
      </c>
      <c r="G40" s="269">
        <f>+élec!BA279</f>
        <v>1810.6072885099998</v>
      </c>
      <c r="H40" s="275">
        <f t="shared" si="25"/>
        <v>5072.5733949499991</v>
      </c>
      <c r="I40" s="274">
        <v>5220.0629205725854</v>
      </c>
      <c r="J40" s="269">
        <v>600.7084829037392</v>
      </c>
      <c r="K40" s="269">
        <f t="shared" si="26"/>
        <v>5820.7714034763248</v>
      </c>
      <c r="L40" s="269">
        <v>2440.6655000000001</v>
      </c>
      <c r="M40" s="275">
        <f t="shared" si="29"/>
        <v>8261.4369034763258</v>
      </c>
      <c r="N40" s="274">
        <f t="shared" si="20"/>
        <v>56.676081511589913</v>
      </c>
      <c r="O40" s="269">
        <f t="shared" si="21"/>
        <v>50.513518496229516</v>
      </c>
      <c r="P40" s="269">
        <f t="shared" si="27"/>
        <v>56.040099848138055</v>
      </c>
      <c r="Q40" s="269">
        <f t="shared" si="22"/>
        <v>74.184983092111551</v>
      </c>
      <c r="R40" s="275">
        <f t="shared" si="23"/>
        <v>61.400618974836128</v>
      </c>
      <c r="T40" s="269">
        <v>474.15499999999997</v>
      </c>
      <c r="V40" s="269">
        <f t="shared" si="28"/>
        <v>8735.5919034763265</v>
      </c>
    </row>
    <row r="41" spans="2:22">
      <c r="B41" s="87">
        <v>1465.00602</v>
      </c>
      <c r="C41" s="265" t="s">
        <v>883</v>
      </c>
      <c r="D41" s="274">
        <f>+élec!AX280</f>
        <v>1921.7772421772563</v>
      </c>
      <c r="E41" s="269">
        <f>+élec!AY280</f>
        <v>371.86162537173124</v>
      </c>
      <c r="F41" s="269">
        <f t="shared" si="24"/>
        <v>2293.6388675489875</v>
      </c>
      <c r="G41" s="269">
        <f>+élec!BA280</f>
        <v>982.09520336328751</v>
      </c>
      <c r="H41" s="275">
        <f t="shared" si="25"/>
        <v>3275.734070912275</v>
      </c>
      <c r="I41" s="274">
        <v>2816.8008010017325</v>
      </c>
      <c r="J41" s="269">
        <v>626.844759762644</v>
      </c>
      <c r="K41" s="269">
        <f t="shared" si="26"/>
        <v>3443.6455607643766</v>
      </c>
      <c r="L41" s="269">
        <v>1318.73376355</v>
      </c>
      <c r="M41" s="275">
        <f t="shared" si="29"/>
        <v>4762.3793243143764</v>
      </c>
      <c r="N41" s="274">
        <f t="shared" si="20"/>
        <v>68.225528816017771</v>
      </c>
      <c r="O41" s="269">
        <f t="shared" si="21"/>
        <v>59.322762068320934</v>
      </c>
      <c r="P41" s="269">
        <f t="shared" si="27"/>
        <v>66.604963463193201</v>
      </c>
      <c r="Q41" s="269">
        <f t="shared" si="22"/>
        <v>74.472591095226875</v>
      </c>
      <c r="R41" s="275">
        <f t="shared" si="23"/>
        <v>68.783560649778181</v>
      </c>
      <c r="T41" s="269">
        <v>9.3674242803188097</v>
      </c>
      <c r="U41" s="1387"/>
      <c r="V41" s="269">
        <f t="shared" si="28"/>
        <v>4771.7467485946954</v>
      </c>
    </row>
    <row r="42" spans="2:22">
      <c r="B42" s="87">
        <v>6550.6942200000003</v>
      </c>
      <c r="C42" s="265" t="s">
        <v>884</v>
      </c>
      <c r="D42" s="274">
        <f>+élec!AX281</f>
        <v>2591.4638593899913</v>
      </c>
      <c r="E42" s="269">
        <f>+élec!AY281</f>
        <v>427.78429620000003</v>
      </c>
      <c r="F42" s="269">
        <f t="shared" si="24"/>
        <v>3019.2481555899913</v>
      </c>
      <c r="G42" s="269">
        <f>+élec!BA281</f>
        <v>886.33485642999995</v>
      </c>
      <c r="H42" s="275">
        <f t="shared" si="25"/>
        <v>3905.5830120199912</v>
      </c>
      <c r="I42" s="274">
        <v>3943.5981029013528</v>
      </c>
      <c r="J42" s="269">
        <v>881.95714146549574</v>
      </c>
      <c r="K42" s="269">
        <f t="shared" si="26"/>
        <v>4825.5552443668485</v>
      </c>
      <c r="L42" s="269">
        <v>1276.0293986509998</v>
      </c>
      <c r="M42" s="275">
        <f t="shared" si="29"/>
        <v>6101.5846430178481</v>
      </c>
      <c r="N42" s="274">
        <f t="shared" si="20"/>
        <v>65.713183538743962</v>
      </c>
      <c r="O42" s="269">
        <f t="shared" si="21"/>
        <v>48.50397781111861</v>
      </c>
      <c r="P42" s="269">
        <f t="shared" si="27"/>
        <v>62.567891210333471</v>
      </c>
      <c r="Q42" s="269">
        <f t="shared" si="22"/>
        <v>69.460378998087393</v>
      </c>
      <c r="R42" s="275">
        <f t="shared" si="23"/>
        <v>64.009322832048539</v>
      </c>
      <c r="T42" s="269">
        <v>1473.712525719681</v>
      </c>
      <c r="U42" s="1387"/>
      <c r="V42" s="269">
        <f t="shared" si="28"/>
        <v>7575.2971687375293</v>
      </c>
    </row>
    <row r="43" spans="2:22" ht="14.4" thickBot="1">
      <c r="B43" s="87">
        <v>2490.5192400000001</v>
      </c>
      <c r="C43" s="265" t="s">
        <v>885</v>
      </c>
      <c r="D43" s="274">
        <f>+élec!AX282</f>
        <v>456.56788214000028</v>
      </c>
      <c r="E43" s="269">
        <f>+élec!AY282</f>
        <v>156.54048560000001</v>
      </c>
      <c r="F43" s="269">
        <f t="shared" si="24"/>
        <v>613.10836774000029</v>
      </c>
      <c r="G43" s="269">
        <f>+élec!BA282</f>
        <v>186.13395176999998</v>
      </c>
      <c r="H43" s="275">
        <f t="shared" si="25"/>
        <v>799.24231951000024</v>
      </c>
      <c r="I43" s="274">
        <v>643.64516071108233</v>
      </c>
      <c r="J43" s="269">
        <v>266.83084881891614</v>
      </c>
      <c r="K43" s="269">
        <f t="shared" si="26"/>
        <v>910.47600952999846</v>
      </c>
      <c r="L43" s="269">
        <v>353.03520000000003</v>
      </c>
      <c r="M43" s="275">
        <f t="shared" si="29"/>
        <v>1263.5112095299985</v>
      </c>
      <c r="N43" s="274">
        <f t="shared" si="20"/>
        <v>70.934718383588262</v>
      </c>
      <c r="O43" s="269">
        <f t="shared" si="21"/>
        <v>58.66656209089065</v>
      </c>
      <c r="P43" s="269">
        <f t="shared" si="27"/>
        <v>67.339321555160595</v>
      </c>
      <c r="Q43" s="269">
        <f t="shared" si="22"/>
        <v>52.723907352581264</v>
      </c>
      <c r="R43" s="275">
        <f t="shared" si="23"/>
        <v>63.255657209982552</v>
      </c>
      <c r="T43" s="269"/>
      <c r="U43" s="1387"/>
      <c r="V43" s="269">
        <f t="shared" si="28"/>
        <v>1263.5112095299985</v>
      </c>
    </row>
    <row r="44" spans="2:22" ht="14.4" thickBot="1">
      <c r="B44" s="87">
        <f>SUM(B34:B43)</f>
        <v>37277.725260000007</v>
      </c>
      <c r="C44" s="105" t="s">
        <v>614</v>
      </c>
      <c r="D44" s="270">
        <f>SUM(D34:D43)</f>
        <v>22202.046787701296</v>
      </c>
      <c r="E44" s="270">
        <f>SUM(E34:E43)</f>
        <v>3285.6711958375154</v>
      </c>
      <c r="F44" s="270">
        <f>SUM(F34:F43)</f>
        <v>25487.717983538809</v>
      </c>
      <c r="G44" s="270">
        <f>SUM(G34:G43)</f>
        <v>10992.902485669285</v>
      </c>
      <c r="H44" s="271">
        <f>SUM(F44:G44)</f>
        <v>36480.620469208094</v>
      </c>
      <c r="I44" s="270">
        <f>SUM(I34:I43)</f>
        <v>37371.783269220905</v>
      </c>
      <c r="J44" s="270">
        <f>SUM(J34:J43)</f>
        <v>6724.2221958371683</v>
      </c>
      <c r="K44" s="270">
        <f>SUM(K34:K43)</f>
        <v>44096.005465058093</v>
      </c>
      <c r="L44" s="270">
        <f>SUM(L34:L43)</f>
        <v>15444.920352790605</v>
      </c>
      <c r="M44" s="270">
        <f>SUM(K44:L44)</f>
        <v>59540.9258178487</v>
      </c>
      <c r="N44" s="270">
        <f t="shared" si="20"/>
        <v>59.408582747472792</v>
      </c>
      <c r="O44" s="272">
        <f t="shared" si="21"/>
        <v>48.86321570205709</v>
      </c>
      <c r="P44" s="272">
        <f t="shared" si="27"/>
        <v>57.800514388396039</v>
      </c>
      <c r="Q44" s="272">
        <f t="shared" si="22"/>
        <v>71.174873256520712</v>
      </c>
      <c r="R44" s="271">
        <f t="shared" si="23"/>
        <v>61.269824021231841</v>
      </c>
      <c r="T44" s="270">
        <f>SUM(T34:T43)</f>
        <v>3921.8513400000002</v>
      </c>
      <c r="V44" s="270">
        <f>SUM(V34:V43)</f>
        <v>63462.777157848694</v>
      </c>
    </row>
    <row r="45" spans="2:22">
      <c r="E45" s="173"/>
      <c r="F45" s="173"/>
      <c r="J45" s="173">
        <f>J44+I44</f>
        <v>44096.005465058071</v>
      </c>
      <c r="K45" s="173"/>
      <c r="L45" s="173">
        <f>L44</f>
        <v>15444.920352790605</v>
      </c>
      <c r="M45" s="173">
        <f>M44+M133</f>
        <v>72082.448805263703</v>
      </c>
    </row>
    <row r="46" spans="2:22" ht="21.6" thickBot="1">
      <c r="C46" s="2910" t="s">
        <v>221</v>
      </c>
      <c r="D46" s="2910"/>
      <c r="E46" s="2910"/>
      <c r="F46" s="2910"/>
      <c r="G46" s="2910"/>
      <c r="H46" s="2910"/>
      <c r="I46" s="2910"/>
      <c r="J46" s="2910"/>
      <c r="K46" s="2910"/>
      <c r="L46" s="2910"/>
      <c r="M46" s="2910"/>
      <c r="N46" s="2910"/>
      <c r="O46" s="2910"/>
      <c r="P46" s="2910"/>
      <c r="Q46" s="2910"/>
      <c r="R46" s="2910"/>
    </row>
    <row r="47" spans="2:22" ht="20.25" customHeight="1" thickBot="1">
      <c r="C47" s="3061" t="s">
        <v>308</v>
      </c>
      <c r="D47" s="3062">
        <f>D2</f>
        <v>45139</v>
      </c>
      <c r="E47" s="3063"/>
      <c r="F47" s="3063"/>
      <c r="G47" s="3063"/>
      <c r="H47" s="3064"/>
      <c r="I47" s="3062">
        <f>I2</f>
        <v>45505</v>
      </c>
      <c r="J47" s="3063"/>
      <c r="K47" s="3063"/>
      <c r="L47" s="3063"/>
      <c r="M47" s="3064"/>
      <c r="N47" s="3062" t="s">
        <v>53</v>
      </c>
      <c r="O47" s="3063"/>
      <c r="P47" s="3063"/>
      <c r="Q47" s="3063"/>
      <c r="R47" s="3064"/>
    </row>
    <row r="48" spans="2:22" ht="14.4" thickBot="1">
      <c r="C48" s="3061"/>
      <c r="D48" s="262" t="s">
        <v>17</v>
      </c>
      <c r="E48" s="263" t="s">
        <v>18</v>
      </c>
      <c r="F48" s="263" t="s">
        <v>52</v>
      </c>
      <c r="G48" s="263" t="s">
        <v>19</v>
      </c>
      <c r="H48" s="264" t="s">
        <v>58</v>
      </c>
      <c r="I48" s="262" t="s">
        <v>17</v>
      </c>
      <c r="J48" s="263" t="s">
        <v>18</v>
      </c>
      <c r="K48" s="263" t="s">
        <v>52</v>
      </c>
      <c r="L48" s="263" t="s">
        <v>19</v>
      </c>
      <c r="M48" s="264" t="s">
        <v>58</v>
      </c>
      <c r="N48" s="262" t="s">
        <v>17</v>
      </c>
      <c r="O48" s="263" t="s">
        <v>18</v>
      </c>
      <c r="P48" s="263" t="s">
        <v>52</v>
      </c>
      <c r="Q48" s="263" t="s">
        <v>19</v>
      </c>
      <c r="R48" s="264" t="s">
        <v>58</v>
      </c>
    </row>
    <row r="49" spans="3:18">
      <c r="C49" s="265" t="s">
        <v>6</v>
      </c>
      <c r="D49" s="266">
        <f>+élec!AX290</f>
        <v>472.31612237835918</v>
      </c>
      <c r="E49" s="267">
        <f>+élec!AY290</f>
        <v>406.59029698555304</v>
      </c>
      <c r="F49" s="267">
        <f>+élec!AZ290</f>
        <v>465.64655547066008</v>
      </c>
      <c r="G49" s="267">
        <f>+élec!BA290</f>
        <v>389.2461648082944</v>
      </c>
      <c r="H49" s="268">
        <f>+élec!BB290</f>
        <v>435.71687033423876</v>
      </c>
      <c r="I49" s="266">
        <f>+élec!AX305</f>
        <v>450.51756202955755</v>
      </c>
      <c r="J49" s="267">
        <f>+élec!AY305</f>
        <v>363.35528270368229</v>
      </c>
      <c r="K49" s="267">
        <f>+élec!AZ305</f>
        <v>440.94128578400199</v>
      </c>
      <c r="L49" s="267">
        <f>+élec!BA305</f>
        <v>376.75891307530361</v>
      </c>
      <c r="M49" s="268">
        <f>+élec!BB305</f>
        <v>415.5612744749817</v>
      </c>
      <c r="N49" s="266">
        <f t="shared" ref="N49:N59" si="30">(((I49-D49)/D49)*100)</f>
        <v>-4.6152479909079656</v>
      </c>
      <c r="O49" s="267">
        <f t="shared" ref="O49:O59" si="31">(((J49-E49)/E49)*100)</f>
        <v>-10.633557810506966</v>
      </c>
      <c r="P49" s="267">
        <f t="shared" ref="P49:Q59" si="32">(((K49-F49)/F49)*100)</f>
        <v>-5.3055841166239954</v>
      </c>
      <c r="Q49" s="267">
        <f t="shared" si="32"/>
        <v>-3.2080603129746486</v>
      </c>
      <c r="R49" s="268">
        <f t="shared" ref="R49:R59" si="33">(((M49-H49)/H49)*100)</f>
        <v>-4.6258470193719345</v>
      </c>
    </row>
    <row r="50" spans="3:18">
      <c r="C50" s="265" t="s">
        <v>7</v>
      </c>
      <c r="D50" s="266">
        <f>+élec!AX291</f>
        <v>452.9189470286089</v>
      </c>
      <c r="E50" s="267">
        <f>+élec!AY291</f>
        <v>490.7988501994667</v>
      </c>
      <c r="F50" s="267">
        <f>+élec!AZ291</f>
        <v>457.98830812367413</v>
      </c>
      <c r="G50" s="267">
        <f>+élec!BA291</f>
        <v>383.82174044321926</v>
      </c>
      <c r="H50" s="268">
        <f>+élec!BB291</f>
        <v>431.99283741164027</v>
      </c>
      <c r="I50" s="266">
        <f>+élec!AX306</f>
        <v>448.06271153497875</v>
      </c>
      <c r="J50" s="267">
        <f>+élec!AY306</f>
        <v>467.67836761124653</v>
      </c>
      <c r="K50" s="267">
        <f>+élec!AZ306</f>
        <v>450.84442930307222</v>
      </c>
      <c r="L50" s="267">
        <f>+élec!BA306</f>
        <v>388.01030694330268</v>
      </c>
      <c r="M50" s="268">
        <f>+élec!BB306</f>
        <v>428.63121678116227</v>
      </c>
      <c r="N50" s="266">
        <f t="shared" si="30"/>
        <v>-1.072208510041291</v>
      </c>
      <c r="O50" s="267">
        <f t="shared" si="31"/>
        <v>-4.7107858094662856</v>
      </c>
      <c r="P50" s="267">
        <f t="shared" si="32"/>
        <v>-1.5598386888673139</v>
      </c>
      <c r="Q50" s="267">
        <f t="shared" si="32"/>
        <v>1.0912791170314287</v>
      </c>
      <c r="R50" s="268">
        <f t="shared" si="33"/>
        <v>-0.77816582576223525</v>
      </c>
    </row>
    <row r="51" spans="3:18">
      <c r="C51" s="265" t="s">
        <v>8</v>
      </c>
      <c r="D51" s="266">
        <f>+élec!AX292</f>
        <v>437.91641983376968</v>
      </c>
      <c r="E51" s="267">
        <f>+élec!AY292</f>
        <v>486.22050478634992</v>
      </c>
      <c r="F51" s="267">
        <f>+élec!AZ292</f>
        <v>445.7471475092043</v>
      </c>
      <c r="G51" s="267">
        <f>+élec!BA292</f>
        <v>426.26904195357838</v>
      </c>
      <c r="H51" s="268">
        <f>+élec!BB292</f>
        <v>440.7323566992016</v>
      </c>
      <c r="I51" s="274">
        <f>+élec!AX307</f>
        <v>436.94588721884662</v>
      </c>
      <c r="J51" s="269">
        <f>+élec!AY307</f>
        <v>455.96991320860212</v>
      </c>
      <c r="K51" s="269">
        <f>+élec!AZ307</f>
        <v>440.26437976186327</v>
      </c>
      <c r="L51" s="269">
        <f>+élec!BA307</f>
        <v>442.88321519426825</v>
      </c>
      <c r="M51" s="275">
        <f>+élec!BB307</f>
        <v>440.88006620083399</v>
      </c>
      <c r="N51" s="274">
        <f t="shared" si="30"/>
        <v>-0.22162507980209253</v>
      </c>
      <c r="O51" s="269">
        <f t="shared" si="31"/>
        <v>-6.2215787446151012</v>
      </c>
      <c r="P51" s="269">
        <f t="shared" si="32"/>
        <v>-1.230017461239685</v>
      </c>
      <c r="Q51" s="269">
        <f t="shared" si="32"/>
        <v>3.8975791355965237</v>
      </c>
      <c r="R51" s="268">
        <f t="shared" si="33"/>
        <v>3.3514558072985492E-2</v>
      </c>
    </row>
    <row r="52" spans="3:18">
      <c r="C52" s="265" t="s">
        <v>4</v>
      </c>
      <c r="D52" s="266">
        <f>+élec!AX293</f>
        <v>458.19460798415338</v>
      </c>
      <c r="E52" s="267">
        <f>+élec!AY293</f>
        <v>526.4647366179446</v>
      </c>
      <c r="F52" s="267">
        <f>+élec!AZ293</f>
        <v>465.03759295842843</v>
      </c>
      <c r="G52" s="267">
        <f>+élec!BA293</f>
        <v>383.92685208303982</v>
      </c>
      <c r="H52" s="268">
        <f>+élec!BB293</f>
        <v>441.23998585332845</v>
      </c>
      <c r="I52" s="274">
        <f>+élec!AX308</f>
        <v>457.39501737616808</v>
      </c>
      <c r="J52" s="269">
        <f>+élec!AY308</f>
        <v>527.13930341592697</v>
      </c>
      <c r="K52" s="269">
        <f>+élec!AZ308</f>
        <v>464.58296676535707</v>
      </c>
      <c r="L52" s="269">
        <f>+élec!BA308</f>
        <v>380.83182315658127</v>
      </c>
      <c r="M52" s="275">
        <f>+élec!BB308</f>
        <v>439.08369045848889</v>
      </c>
      <c r="N52" s="274">
        <f t="shared" si="30"/>
        <v>-0.17450895188468654</v>
      </c>
      <c r="O52" s="269">
        <f t="shared" si="31"/>
        <v>0.12813143047639911</v>
      </c>
      <c r="P52" s="269">
        <f t="shared" si="32"/>
        <v>-9.7761170269949238E-2</v>
      </c>
      <c r="Q52" s="269">
        <f t="shared" si="32"/>
        <v>-0.80615067939794094</v>
      </c>
      <c r="R52" s="268">
        <f t="shared" si="33"/>
        <v>-0.48868993381672565</v>
      </c>
    </row>
    <row r="53" spans="3:18">
      <c r="C53" s="265" t="s">
        <v>3</v>
      </c>
      <c r="D53" s="266">
        <f>+élec!AX294</f>
        <v>375.76165957809621</v>
      </c>
      <c r="E53" s="267">
        <f>+élec!AY294</f>
        <v>321.9961861413455</v>
      </c>
      <c r="F53" s="267">
        <f>+élec!AZ294</f>
        <v>367.71681140682392</v>
      </c>
      <c r="G53" s="267">
        <f>+élec!BA294</f>
        <v>419.65017211726581</v>
      </c>
      <c r="H53" s="268">
        <f>+élec!BB294</f>
        <v>382.51728338363523</v>
      </c>
      <c r="I53" s="274">
        <f>+élec!AX309</f>
        <v>367.59962268604147</v>
      </c>
      <c r="J53" s="269">
        <f>+élec!AY309</f>
        <v>320.19437443498811</v>
      </c>
      <c r="K53" s="269">
        <f>+élec!AZ309</f>
        <v>361.11335818907008</v>
      </c>
      <c r="L53" s="269">
        <f>+élec!BA309</f>
        <v>407.43077851589834</v>
      </c>
      <c r="M53" s="275">
        <f>+élec!BB309</f>
        <v>374.33664249815439</v>
      </c>
      <c r="N53" s="274">
        <f t="shared" si="30"/>
        <v>-2.1721313721093973</v>
      </c>
      <c r="O53" s="269">
        <f t="shared" si="31"/>
        <v>-0.55957548067555785</v>
      </c>
      <c r="P53" s="269">
        <f t="shared" si="32"/>
        <v>-1.7957985637072491</v>
      </c>
      <c r="Q53" s="269">
        <f t="shared" si="32"/>
        <v>-2.9118047395803091</v>
      </c>
      <c r="R53" s="268">
        <f t="shared" si="33"/>
        <v>-2.138633008453187</v>
      </c>
    </row>
    <row r="54" spans="3:18">
      <c r="C54" s="265" t="s">
        <v>397</v>
      </c>
      <c r="D54" s="266">
        <f>+élec!AX295</f>
        <v>450.81899145152261</v>
      </c>
      <c r="E54" s="267">
        <f>+élec!AY295</f>
        <v>487.65244103266508</v>
      </c>
      <c r="F54" s="267">
        <f>+élec!AZ295</f>
        <v>455.45145633016409</v>
      </c>
      <c r="G54" s="267">
        <f>+élec!BA295</f>
        <v>367.11438139376372</v>
      </c>
      <c r="H54" s="268">
        <f>+élec!BB295</f>
        <v>429.56986834937953</v>
      </c>
      <c r="I54" s="274">
        <f>+élec!AX310</f>
        <v>461.58200775432664</v>
      </c>
      <c r="J54" s="269">
        <f>+élec!AY310</f>
        <v>368.38316288162218</v>
      </c>
      <c r="K54" s="269">
        <f>+élec!AZ310</f>
        <v>446.47131144829234</v>
      </c>
      <c r="L54" s="269">
        <f>+élec!BA310</f>
        <v>430.44775276512848</v>
      </c>
      <c r="M54" s="275">
        <f>+élec!BB310</f>
        <v>441.8212036849514</v>
      </c>
      <c r="N54" s="274">
        <f t="shared" si="30"/>
        <v>2.3874363118886928</v>
      </c>
      <c r="O54" s="269">
        <f t="shared" si="31"/>
        <v>-24.457844996833249</v>
      </c>
      <c r="P54" s="269">
        <f t="shared" si="32"/>
        <v>-1.9717018701026834</v>
      </c>
      <c r="Q54" s="269">
        <f t="shared" si="32"/>
        <v>17.251672661505989</v>
      </c>
      <c r="R54" s="268">
        <f t="shared" si="33"/>
        <v>2.8520006262654252</v>
      </c>
    </row>
    <row r="55" spans="3:18">
      <c r="C55" s="265" t="s">
        <v>399</v>
      </c>
      <c r="D55" s="266">
        <f>+élec!AX296</f>
        <v>470.04384547581327</v>
      </c>
      <c r="E55" s="267">
        <f>+élec!AY296</f>
        <v>466.8455482565455</v>
      </c>
      <c r="F55" s="267">
        <f>+élec!AZ296</f>
        <v>469.74709362658666</v>
      </c>
      <c r="G55" s="267">
        <f>+élec!BA296</f>
        <v>416.63341296387324</v>
      </c>
      <c r="H55" s="268">
        <f>+élec!BB296</f>
        <v>448.03329210657</v>
      </c>
      <c r="I55" s="274">
        <f>+élec!AX311</f>
        <v>471.07385534417324</v>
      </c>
      <c r="J55" s="269">
        <f>+élec!AY311</f>
        <v>406.58489994345661</v>
      </c>
      <c r="K55" s="269">
        <f>+élec!AZ311</f>
        <v>464.22443166473704</v>
      </c>
      <c r="L55" s="269">
        <f>+élec!BA311</f>
        <v>387.65884002378095</v>
      </c>
      <c r="M55" s="275">
        <f>+élec!BB311</f>
        <v>433.65257563181024</v>
      </c>
      <c r="N55" s="274">
        <f t="shared" si="30"/>
        <v>0.21913059351246605</v>
      </c>
      <c r="O55" s="269">
        <f t="shared" si="31"/>
        <v>-12.908048183844709</v>
      </c>
      <c r="P55" s="269">
        <f t="shared" si="32"/>
        <v>-1.1756670848590112</v>
      </c>
      <c r="Q55" s="269">
        <f t="shared" si="32"/>
        <v>-6.9544525327364246</v>
      </c>
      <c r="R55" s="268">
        <f t="shared" si="33"/>
        <v>-3.209742831195487</v>
      </c>
    </row>
    <row r="56" spans="3:18">
      <c r="C56" s="265" t="s">
        <v>883</v>
      </c>
      <c r="D56" s="266">
        <f>+élec!AX297</f>
        <v>522.97994893135535</v>
      </c>
      <c r="E56" s="267">
        <f>+élec!AY297</f>
        <v>561.85755361503732</v>
      </c>
      <c r="F56" s="267">
        <f>+élec!AZ297</f>
        <v>528.34564546842887</v>
      </c>
      <c r="G56" s="267">
        <f>+élec!BA297</f>
        <v>450.45584818804383</v>
      </c>
      <c r="H56" s="268">
        <f>+élec!BB297</f>
        <v>503.38623847166036</v>
      </c>
      <c r="I56" s="274">
        <f>+élec!AX312</f>
        <v>449.15326952775831</v>
      </c>
      <c r="J56" s="269">
        <f>+élec!AY312</f>
        <v>536.06925151183088</v>
      </c>
      <c r="K56" s="269">
        <f>+élec!AZ312</f>
        <v>461.27873736769988</v>
      </c>
      <c r="L56" s="269">
        <f>+élec!BA312</f>
        <v>412.69577955548493</v>
      </c>
      <c r="M56" s="275">
        <f>+élec!BB312</f>
        <v>445.55344662122263</v>
      </c>
      <c r="N56" s="274">
        <f t="shared" si="30"/>
        <v>-14.116541093870369</v>
      </c>
      <c r="O56" s="269">
        <f t="shared" si="31"/>
        <v>-4.5898292080051952</v>
      </c>
      <c r="P56" s="269">
        <f t="shared" si="32"/>
        <v>-12.693756194634249</v>
      </c>
      <c r="Q56" s="269">
        <f t="shared" si="32"/>
        <v>-8.382634787504383</v>
      </c>
      <c r="R56" s="268">
        <f t="shared" si="33"/>
        <v>-11.488751068369464</v>
      </c>
    </row>
    <row r="57" spans="3:18">
      <c r="C57" s="265" t="s">
        <v>884</v>
      </c>
      <c r="D57" s="266">
        <f>+élec!AX298</f>
        <v>428.8105743599881</v>
      </c>
      <c r="E57" s="267">
        <f>+élec!AY298</f>
        <v>456.69426276181565</v>
      </c>
      <c r="F57" s="267">
        <f>+élec!AZ298</f>
        <v>432.51553896905114</v>
      </c>
      <c r="G57" s="267">
        <f>+élec!BA298</f>
        <v>397.81542032519741</v>
      </c>
      <c r="H57" s="268">
        <f>+élec!BB298</f>
        <v>423.71743818452609</v>
      </c>
      <c r="I57" s="274">
        <f>+élec!AX313</f>
        <v>442.13346455550607</v>
      </c>
      <c r="J57" s="269">
        <f>+élec!AY313</f>
        <v>442.19507096271684</v>
      </c>
      <c r="K57" s="269">
        <f>+élec!AZ313</f>
        <v>442.14219225879168</v>
      </c>
      <c r="L57" s="269">
        <f>+élec!BA313</f>
        <v>396.15833644277461</v>
      </c>
      <c r="M57" s="275">
        <f>+élec!BB313</f>
        <v>430.79421634597878</v>
      </c>
      <c r="N57" s="274">
        <f t="shared" si="30"/>
        <v>3.1069406848006862</v>
      </c>
      <c r="O57" s="269">
        <f t="shared" si="31"/>
        <v>-3.1748136513509739</v>
      </c>
      <c r="P57" s="269">
        <f t="shared" si="32"/>
        <v>2.2257358227375468</v>
      </c>
      <c r="Q57" s="269">
        <f t="shared" si="32"/>
        <v>-0.41654591495427695</v>
      </c>
      <c r="R57" s="268">
        <f t="shared" si="33"/>
        <v>1.670164483145677</v>
      </c>
    </row>
    <row r="58" spans="3:18" ht="14.4" thickBot="1">
      <c r="C58" s="265" t="s">
        <v>885</v>
      </c>
      <c r="D58" s="266">
        <f>+élec!AX299</f>
        <v>427.42238760136513</v>
      </c>
      <c r="E58" s="267">
        <f>+élec!AY299</f>
        <v>535.25238348499192</v>
      </c>
      <c r="F58" s="267">
        <f>+élec!AZ299</f>
        <v>449.33747920047466</v>
      </c>
      <c r="G58" s="267">
        <f>+élec!BA299</f>
        <v>376.03658220095201</v>
      </c>
      <c r="H58" s="268">
        <f>+élec!BB299</f>
        <v>428.87791939985095</v>
      </c>
      <c r="I58" s="274">
        <f>+élec!AX314</f>
        <v>425.84193842037934</v>
      </c>
      <c r="J58" s="269">
        <f>+élec!AY314</f>
        <v>534.31176274446841</v>
      </c>
      <c r="K58" s="269">
        <f>+élec!AZ314</f>
        <v>449.12108638087818</v>
      </c>
      <c r="L58" s="269">
        <f>+élec!BA314</f>
        <v>402.1159562748802</v>
      </c>
      <c r="M58" s="275">
        <f>+élec!BB314</f>
        <v>437.21854624157157</v>
      </c>
      <c r="N58" s="274">
        <f t="shared" si="30"/>
        <v>-0.36976284509921337</v>
      </c>
      <c r="O58" s="269">
        <f t="shared" si="31"/>
        <v>-0.17573405921131932</v>
      </c>
      <c r="P58" s="269">
        <f t="shared" si="32"/>
        <v>-4.8158195034501812E-2</v>
      </c>
      <c r="Q58" s="269">
        <f t="shared" si="32"/>
        <v>6.9353289834954177</v>
      </c>
      <c r="R58" s="268">
        <f t="shared" si="33"/>
        <v>1.9447554803921945</v>
      </c>
    </row>
    <row r="59" spans="3:18" ht="14.4" thickBot="1">
      <c r="C59" s="105" t="s">
        <v>614</v>
      </c>
      <c r="D59" s="270">
        <f>+élec!AX300</f>
        <v>452.55066681986324</v>
      </c>
      <c r="E59" s="272">
        <f>+élec!AY300</f>
        <v>462.81551113965003</v>
      </c>
      <c r="F59" s="272">
        <f>+élec!AZ300</f>
        <v>453.82223242369577</v>
      </c>
      <c r="G59" s="272">
        <f>+élec!BA300</f>
        <v>401.51990999712126</v>
      </c>
      <c r="H59" s="271">
        <f>+élec!BB300</f>
        <v>436.73755491901687</v>
      </c>
      <c r="I59" s="270">
        <f>+élec!AX315</f>
        <v>442.76287659775033</v>
      </c>
      <c r="J59" s="272">
        <f>+élec!AY315</f>
        <v>429.93156624486977</v>
      </c>
      <c r="K59" s="272">
        <f>+élec!AZ315</f>
        <v>441.06592937466712</v>
      </c>
      <c r="L59" s="272">
        <f>+élec!BA315</f>
        <v>395.10795840747704</v>
      </c>
      <c r="M59" s="271">
        <f>+élec!BB315</f>
        <v>426.12983097874047</v>
      </c>
      <c r="N59" s="270">
        <f t="shared" si="30"/>
        <v>-2.1628053916908514</v>
      </c>
      <c r="O59" s="272">
        <f t="shared" si="31"/>
        <v>-7.1051950730445261</v>
      </c>
      <c r="P59" s="272">
        <f t="shared" si="32"/>
        <v>-2.8108589966829025</v>
      </c>
      <c r="Q59" s="272">
        <f t="shared" si="32"/>
        <v>-1.5969199608782014</v>
      </c>
      <c r="R59" s="271">
        <f t="shared" si="33"/>
        <v>-2.4288554581122215</v>
      </c>
    </row>
    <row r="60" spans="3:18">
      <c r="C60" s="115"/>
      <c r="D60" s="279"/>
      <c r="E60" s="279"/>
      <c r="F60" s="279"/>
      <c r="G60" s="279"/>
      <c r="H60" s="279"/>
      <c r="I60" s="279"/>
      <c r="J60" s="279"/>
      <c r="K60" s="279"/>
      <c r="L60" s="279"/>
      <c r="M60" s="279"/>
      <c r="N60" s="279"/>
      <c r="O60" s="279"/>
      <c r="P60" s="279"/>
      <c r="Q60" s="279"/>
      <c r="R60" s="279"/>
    </row>
    <row r="61" spans="3:18" ht="21">
      <c r="C61" s="115"/>
      <c r="D61" s="109"/>
      <c r="E61" s="109"/>
      <c r="F61" s="109"/>
      <c r="G61" s="109"/>
      <c r="H61" s="109"/>
      <c r="I61" s="279"/>
      <c r="J61" s="279"/>
      <c r="K61" s="279"/>
      <c r="L61" s="279"/>
      <c r="M61" s="279"/>
      <c r="N61" s="109"/>
      <c r="O61" s="109"/>
      <c r="P61" s="109"/>
      <c r="Q61" s="109"/>
    </row>
    <row r="62" spans="3:18" ht="15.6">
      <c r="D62" s="3060"/>
      <c r="E62" s="3060"/>
      <c r="F62" s="3060"/>
      <c r="G62" s="3060"/>
      <c r="H62" s="92"/>
      <c r="I62" s="279"/>
      <c r="J62" s="279"/>
      <c r="K62" s="279"/>
      <c r="L62" s="279"/>
      <c r="M62" s="279"/>
      <c r="N62" s="92"/>
      <c r="O62" s="279"/>
      <c r="P62" s="279"/>
    </row>
    <row r="63" spans="3:18" ht="21">
      <c r="D63" s="115"/>
      <c r="E63" s="115"/>
      <c r="F63" s="115"/>
      <c r="G63" s="115"/>
      <c r="H63" s="115"/>
      <c r="I63" s="279"/>
      <c r="J63" s="279"/>
      <c r="K63" s="279"/>
      <c r="L63" s="279"/>
      <c r="M63" s="279"/>
      <c r="N63" s="109"/>
      <c r="O63" s="109"/>
      <c r="P63" s="109"/>
    </row>
    <row r="64" spans="3:18" ht="15.6">
      <c r="C64" s="115"/>
      <c r="D64" s="279" t="s">
        <v>17</v>
      </c>
      <c r="E64" s="279" t="s">
        <v>18</v>
      </c>
      <c r="F64" s="279" t="s">
        <v>914</v>
      </c>
      <c r="G64" s="279" t="s">
        <v>17</v>
      </c>
      <c r="H64" s="279" t="s">
        <v>18</v>
      </c>
      <c r="I64" s="279"/>
      <c r="J64" s="279"/>
      <c r="K64" s="279"/>
      <c r="L64" s="279"/>
      <c r="M64" s="279"/>
      <c r="N64" s="92"/>
      <c r="O64" s="279"/>
      <c r="P64" s="279"/>
    </row>
    <row r="65" spans="3:18" ht="21">
      <c r="C65" s="115" t="s">
        <v>6</v>
      </c>
      <c r="D65" s="279">
        <f>D19/F19</f>
        <v>0.9113941899148803</v>
      </c>
      <c r="E65" s="279">
        <f>1-D65</f>
        <v>8.8605810085119696E-2</v>
      </c>
      <c r="F65" s="279">
        <v>8759.1541791407944</v>
      </c>
      <c r="G65" s="279">
        <f>D65*F65</f>
        <v>7983.0422274375624</v>
      </c>
      <c r="H65" s="279">
        <f>E65*F65</f>
        <v>776.11195170323174</v>
      </c>
      <c r="I65" s="279"/>
      <c r="J65" s="279"/>
      <c r="K65" s="279"/>
      <c r="L65" s="279"/>
      <c r="M65" s="279"/>
      <c r="N65" s="109"/>
      <c r="O65" s="109"/>
      <c r="P65" s="109"/>
      <c r="Q65" s="279"/>
      <c r="R65" s="279"/>
    </row>
    <row r="66" spans="3:18" ht="15.6">
      <c r="C66" s="115" t="s">
        <v>7</v>
      </c>
      <c r="D66" s="279">
        <f t="shared" ref="D66:D74" si="34">D20/F20</f>
        <v>0.85658535150506976</v>
      </c>
      <c r="E66" s="279">
        <f t="shared" ref="E66:E74" si="35">1-D66</f>
        <v>0.14341464849493024</v>
      </c>
      <c r="F66" s="87">
        <v>3284.3547419679926</v>
      </c>
      <c r="G66" s="279">
        <f t="shared" ref="G66:G74" si="36">D66*F66</f>
        <v>2813.3301611159955</v>
      </c>
      <c r="H66" s="279">
        <f t="shared" ref="H66:H74" si="37">E66*F66</f>
        <v>471.02458085199697</v>
      </c>
      <c r="I66" s="279"/>
      <c r="J66" s="279"/>
      <c r="K66" s="279"/>
      <c r="L66" s="279"/>
      <c r="M66" s="279"/>
      <c r="N66" s="92"/>
      <c r="O66" s="279"/>
      <c r="P66" s="279"/>
    </row>
    <row r="67" spans="3:18" ht="21">
      <c r="C67" s="115" t="s">
        <v>8</v>
      </c>
      <c r="D67" s="279">
        <f t="shared" si="34"/>
        <v>0.82316714499433508</v>
      </c>
      <c r="E67" s="279">
        <f t="shared" si="35"/>
        <v>0.17683285500566492</v>
      </c>
      <c r="F67" s="87">
        <v>3148.2007195611964</v>
      </c>
      <c r="G67" s="279">
        <f t="shared" si="36"/>
        <v>2591.4953981903013</v>
      </c>
      <c r="H67" s="279">
        <f t="shared" si="37"/>
        <v>556.70532137089504</v>
      </c>
      <c r="I67" s="279"/>
      <c r="J67" s="279"/>
      <c r="K67" s="279"/>
      <c r="L67" s="279"/>
      <c r="M67" s="279"/>
      <c r="N67" s="109"/>
      <c r="O67" s="109"/>
      <c r="P67" s="109"/>
    </row>
    <row r="68" spans="3:18" ht="15.6">
      <c r="C68" s="115" t="s">
        <v>4</v>
      </c>
      <c r="D68" s="279">
        <f t="shared" si="34"/>
        <v>0.88652607163442343</v>
      </c>
      <c r="E68" s="279">
        <f t="shared" si="35"/>
        <v>0.11347392836557657</v>
      </c>
      <c r="F68" s="87">
        <v>6044.1028554081058</v>
      </c>
      <c r="G68" s="279">
        <f t="shared" si="36"/>
        <v>5358.2547609593494</v>
      </c>
      <c r="H68" s="279">
        <f t="shared" si="37"/>
        <v>685.84809444875623</v>
      </c>
      <c r="I68" s="279"/>
      <c r="J68" s="279"/>
      <c r="K68" s="279"/>
      <c r="L68" s="279"/>
      <c r="M68" s="279"/>
      <c r="N68" s="92"/>
      <c r="O68" s="279"/>
      <c r="P68" s="279"/>
    </row>
    <row r="69" spans="3:18">
      <c r="C69" s="115" t="s">
        <v>3</v>
      </c>
      <c r="D69" s="279">
        <f t="shared" si="34"/>
        <v>0.86897576883376604</v>
      </c>
      <c r="E69" s="279">
        <f t="shared" si="35"/>
        <v>0.13102423116623396</v>
      </c>
      <c r="F69" s="87">
        <v>4062.6814644672586</v>
      </c>
      <c r="G69" s="279">
        <f t="shared" si="36"/>
        <v>3530.3717491121265</v>
      </c>
      <c r="H69" s="279">
        <f t="shared" si="37"/>
        <v>532.30971535513197</v>
      </c>
    </row>
    <row r="70" spans="3:18">
      <c r="C70" s="115" t="s">
        <v>397</v>
      </c>
      <c r="D70" s="279">
        <f t="shared" si="34"/>
        <v>0.86534017404392849</v>
      </c>
      <c r="E70" s="279">
        <f t="shared" si="35"/>
        <v>0.13465982595607151</v>
      </c>
      <c r="F70" s="87">
        <v>3797.0632863751885</v>
      </c>
      <c r="G70" s="279">
        <f t="shared" si="36"/>
        <v>3285.7514050877166</v>
      </c>
      <c r="H70" s="279">
        <f t="shared" si="37"/>
        <v>511.31188128747181</v>
      </c>
    </row>
    <row r="71" spans="3:18">
      <c r="C71" s="115" t="s">
        <v>399</v>
      </c>
      <c r="D71" s="279">
        <f t="shared" si="34"/>
        <v>0.90778878731195767</v>
      </c>
      <c r="E71" s="279">
        <f t="shared" si="35"/>
        <v>9.2211212688042332E-2</v>
      </c>
      <c r="F71" s="87">
        <v>5820.7714034763248</v>
      </c>
      <c r="G71" s="279">
        <f t="shared" si="36"/>
        <v>5284.0310135818945</v>
      </c>
      <c r="H71" s="279">
        <f t="shared" si="37"/>
        <v>536.74038989443011</v>
      </c>
    </row>
    <row r="72" spans="3:18">
      <c r="C72" s="115" t="s">
        <v>883</v>
      </c>
      <c r="D72" s="279">
        <f t="shared" si="34"/>
        <v>0.85323087703072209</v>
      </c>
      <c r="E72" s="279">
        <f t="shared" si="35"/>
        <v>0.14676912296927791</v>
      </c>
      <c r="F72" s="87">
        <v>3443.6455607643766</v>
      </c>
      <c r="G72" s="279">
        <f t="shared" si="36"/>
        <v>2938.2247219939418</v>
      </c>
      <c r="H72" s="279">
        <f t="shared" si="37"/>
        <v>505.42083877043478</v>
      </c>
    </row>
    <row r="73" spans="3:18" ht="24" customHeight="1">
      <c r="C73" s="115" t="s">
        <v>884</v>
      </c>
      <c r="D73" s="279">
        <f t="shared" si="34"/>
        <v>0.85969999588057566</v>
      </c>
      <c r="E73" s="279">
        <f t="shared" si="35"/>
        <v>0.14030000411942434</v>
      </c>
      <c r="F73" s="87">
        <v>4825.5552443668485</v>
      </c>
      <c r="G73" s="279">
        <f t="shared" si="36"/>
        <v>4148.5298237036695</v>
      </c>
      <c r="H73" s="279">
        <f t="shared" si="37"/>
        <v>677.02542066317858</v>
      </c>
    </row>
    <row r="74" spans="3:18" ht="13.5" customHeight="1">
      <c r="C74" s="115" t="s">
        <v>885</v>
      </c>
      <c r="D74" s="279">
        <f t="shared" si="34"/>
        <v>0.75790285556524162</v>
      </c>
      <c r="E74" s="279">
        <f t="shared" si="35"/>
        <v>0.24209714443475838</v>
      </c>
      <c r="F74" s="87">
        <v>910.47600952999846</v>
      </c>
      <c r="G74" s="279">
        <f t="shared" si="36"/>
        <v>690.05236754643192</v>
      </c>
      <c r="H74" s="279">
        <f t="shared" si="37"/>
        <v>220.42364198356648</v>
      </c>
    </row>
    <row r="75" spans="3:18">
      <c r="F75" s="173">
        <f>SUM(F65:F74)</f>
        <v>44096.005465058093</v>
      </c>
    </row>
    <row r="89" spans="3:20">
      <c r="S89" s="173"/>
    </row>
    <row r="90" spans="3:20" ht="21.6" thickBot="1">
      <c r="C90" s="2910" t="s">
        <v>258</v>
      </c>
      <c r="D90" s="2910"/>
      <c r="E90" s="2910"/>
      <c r="F90" s="2910"/>
      <c r="G90" s="2910"/>
      <c r="H90" s="2910"/>
      <c r="I90" s="2910"/>
      <c r="J90" s="2910"/>
      <c r="K90" s="2910"/>
      <c r="L90" s="2910"/>
      <c r="M90" s="2910"/>
      <c r="N90" s="2910"/>
      <c r="O90" s="2910"/>
      <c r="P90" s="2910"/>
      <c r="Q90" s="2910"/>
      <c r="R90" s="2910"/>
    </row>
    <row r="91" spans="3:20" ht="24" customHeight="1" thickBot="1">
      <c r="C91" s="3061" t="s">
        <v>308</v>
      </c>
      <c r="D91" s="3033">
        <f>D2</f>
        <v>45139</v>
      </c>
      <c r="E91" s="3034"/>
      <c r="F91" s="3034"/>
      <c r="G91" s="3034"/>
      <c r="H91" s="3035"/>
      <c r="I91" s="3062">
        <f>I2</f>
        <v>45505</v>
      </c>
      <c r="J91" s="3063"/>
      <c r="K91" s="3063"/>
      <c r="L91" s="3063"/>
      <c r="M91" s="3064"/>
      <c r="N91" s="3062" t="s">
        <v>53</v>
      </c>
      <c r="O91" s="3063"/>
      <c r="P91" s="3063"/>
      <c r="Q91" s="3063"/>
      <c r="R91" s="3064"/>
    </row>
    <row r="92" spans="3:20" ht="13.5" customHeight="1" thickBot="1">
      <c r="C92" s="3061"/>
      <c r="D92" s="262" t="s">
        <v>17</v>
      </c>
      <c r="E92" s="263" t="s">
        <v>18</v>
      </c>
      <c r="F92" s="263" t="s">
        <v>56</v>
      </c>
      <c r="G92" s="263" t="s">
        <v>21</v>
      </c>
      <c r="H92" s="264" t="s">
        <v>20</v>
      </c>
      <c r="I92" s="262" t="s">
        <v>17</v>
      </c>
      <c r="J92" s="263" t="s">
        <v>18</v>
      </c>
      <c r="K92" s="263" t="s">
        <v>56</v>
      </c>
      <c r="L92" s="263" t="s">
        <v>21</v>
      </c>
      <c r="M92" s="264" t="s">
        <v>20</v>
      </c>
      <c r="N92" s="262" t="s">
        <v>17</v>
      </c>
      <c r="O92" s="263" t="s">
        <v>18</v>
      </c>
      <c r="P92" s="263" t="s">
        <v>56</v>
      </c>
      <c r="Q92" s="263" t="s">
        <v>21</v>
      </c>
      <c r="R92" s="264" t="s">
        <v>20</v>
      </c>
      <c r="S92" s="87">
        <v>2016</v>
      </c>
      <c r="T92" s="87">
        <v>2017</v>
      </c>
    </row>
    <row r="93" spans="3:20">
      <c r="C93" s="265" t="s">
        <v>6</v>
      </c>
      <c r="D93" s="266">
        <f>gaz!BD350</f>
        <v>37.091052160000004</v>
      </c>
      <c r="E93" s="267">
        <f>gaz!BE350</f>
        <v>0.69461609999999996</v>
      </c>
      <c r="F93" s="267">
        <f>SUM(D93:E93)</f>
        <v>37.785668260000001</v>
      </c>
      <c r="G93" s="267">
        <f>gaz!BG350</f>
        <v>26.963627379999998</v>
      </c>
      <c r="H93" s="268">
        <f>SUM(F93:G93)</f>
        <v>64.74929564</v>
      </c>
      <c r="I93" s="266">
        <f>gaz!BD365</f>
        <v>26.477821600000002</v>
      </c>
      <c r="J93" s="267">
        <f>gaz!BE365</f>
        <v>0.46012359000000003</v>
      </c>
      <c r="K93" s="267">
        <f>SUM(I93:J93)</f>
        <v>26.937945190000001</v>
      </c>
      <c r="L93" s="267">
        <f>gaz!BG365</f>
        <v>31.23215922</v>
      </c>
      <c r="M93" s="268">
        <f>SUM(K93:L93)</f>
        <v>58.17010441</v>
      </c>
      <c r="N93" s="266">
        <f t="shared" ref="N93:N103" si="38">(((I93-D93)/D93)*100)</f>
        <v>-28.613991628540525</v>
      </c>
      <c r="O93" s="267">
        <f t="shared" ref="O93:O103" si="39">(((J93-E93)/E93)*100)</f>
        <v>-33.758576859937442</v>
      </c>
      <c r="P93" s="267">
        <f t="shared" ref="P93:Q103" si="40">(((K93-F93)/F93)*100)</f>
        <v>-28.708564832988348</v>
      </c>
      <c r="Q93" s="267">
        <f t="shared" si="40"/>
        <v>15.830703264969989</v>
      </c>
      <c r="R93" s="268">
        <f t="shared" ref="R93:R103" si="41">(((M93-H93)/H93)*100)</f>
        <v>-10.161023629630945</v>
      </c>
      <c r="S93" s="173">
        <f t="shared" ref="S93:S103" si="42">D93+E93</f>
        <v>37.785668260000001</v>
      </c>
      <c r="T93" s="87">
        <f t="shared" ref="T93:T103" si="43">I93+J93</f>
        <v>26.937945190000001</v>
      </c>
    </row>
    <row r="94" spans="3:20">
      <c r="C94" s="265" t="s">
        <v>7</v>
      </c>
      <c r="D94" s="266">
        <f>gaz!BD351</f>
        <v>24.615839520000002</v>
      </c>
      <c r="E94" s="267">
        <f>gaz!BE351</f>
        <v>0.35414785999999998</v>
      </c>
      <c r="F94" s="267">
        <f t="shared" ref="F94:F102" si="44">SUM(D94:E94)</f>
        <v>24.969987380000003</v>
      </c>
      <c r="G94" s="267">
        <f>gaz!BG351</f>
        <v>4.3367673599999996</v>
      </c>
      <c r="H94" s="268">
        <f t="shared" ref="H94:H102" si="45">SUM(F94:G94)</f>
        <v>29.306754740000002</v>
      </c>
      <c r="I94" s="266">
        <f>gaz!BD366</f>
        <v>25.026739859999999</v>
      </c>
      <c r="J94" s="267">
        <f>gaz!BE366</f>
        <v>0.31088618856868999</v>
      </c>
      <c r="K94" s="267">
        <f t="shared" ref="K94:K102" si="46">SUM(I94:J94)</f>
        <v>25.337626048568691</v>
      </c>
      <c r="L94" s="267">
        <f>gaz!BG366</f>
        <v>5.1699632800000002</v>
      </c>
      <c r="M94" s="268">
        <f t="shared" ref="M94:M102" si="47">SUM(K94:L94)</f>
        <v>30.507589328568692</v>
      </c>
      <c r="N94" s="266">
        <f t="shared" si="38"/>
        <v>1.6692517826424218</v>
      </c>
      <c r="O94" s="267">
        <f t="shared" si="39"/>
        <v>-12.215708837351153</v>
      </c>
      <c r="P94" s="267">
        <f t="shared" si="40"/>
        <v>1.4723222041479775</v>
      </c>
      <c r="Q94" s="267">
        <f t="shared" si="40"/>
        <v>19.212372968975689</v>
      </c>
      <c r="R94" s="268">
        <f t="shared" si="41"/>
        <v>4.0974669465183142</v>
      </c>
      <c r="S94" s="173">
        <f t="shared" si="42"/>
        <v>24.969987380000003</v>
      </c>
      <c r="T94" s="87">
        <f t="shared" si="43"/>
        <v>25.337626048568691</v>
      </c>
    </row>
    <row r="95" spans="3:20">
      <c r="C95" s="265" t="s">
        <v>8</v>
      </c>
      <c r="D95" s="266">
        <f>gaz!BD352</f>
        <v>22.099317370000001</v>
      </c>
      <c r="E95" s="267">
        <f>gaz!BE352</f>
        <v>0.76098030000000005</v>
      </c>
      <c r="F95" s="267">
        <f t="shared" si="44"/>
        <v>22.860297670000001</v>
      </c>
      <c r="G95" s="267">
        <f>gaz!BG352</f>
        <v>2.6764683700000003</v>
      </c>
      <c r="H95" s="268">
        <f t="shared" si="45"/>
        <v>25.536766040000003</v>
      </c>
      <c r="I95" s="274">
        <f>gaz!BD367</f>
        <v>20.068063890000001</v>
      </c>
      <c r="J95" s="269">
        <f>gaz!BE367</f>
        <v>0.68280688999999994</v>
      </c>
      <c r="K95" s="269">
        <f t="shared" si="46"/>
        <v>20.75087078</v>
      </c>
      <c r="L95" s="269">
        <f>gaz!BG367</f>
        <v>2.8097934499999999</v>
      </c>
      <c r="M95" s="275">
        <f t="shared" si="47"/>
        <v>23.56066423</v>
      </c>
      <c r="N95" s="274">
        <f t="shared" si="38"/>
        <v>-9.1914761256718407</v>
      </c>
      <c r="O95" s="269">
        <f t="shared" si="39"/>
        <v>-10.272724537021537</v>
      </c>
      <c r="P95" s="269">
        <f t="shared" si="40"/>
        <v>-9.2274690402139523</v>
      </c>
      <c r="Q95" s="269">
        <f t="shared" si="40"/>
        <v>4.9813807439091704</v>
      </c>
      <c r="R95" s="268">
        <f t="shared" si="41"/>
        <v>-7.7382617944053598</v>
      </c>
      <c r="S95" s="173">
        <f t="shared" si="42"/>
        <v>22.860297670000001</v>
      </c>
      <c r="T95" s="87">
        <f t="shared" si="43"/>
        <v>20.75087078</v>
      </c>
    </row>
    <row r="96" spans="3:20">
      <c r="C96" s="265" t="s">
        <v>4</v>
      </c>
      <c r="D96" s="266">
        <f>gaz!BD353</f>
        <v>38.622178980000001</v>
      </c>
      <c r="E96" s="267">
        <f>gaz!BE353</f>
        <v>0.98810300999999989</v>
      </c>
      <c r="F96" s="267">
        <f t="shared" si="44"/>
        <v>39.610281990000004</v>
      </c>
      <c r="G96" s="267">
        <f>gaz!BG353</f>
        <v>6.5452774599999994</v>
      </c>
      <c r="H96" s="268">
        <f t="shared" si="45"/>
        <v>46.155559450000005</v>
      </c>
      <c r="I96" s="274">
        <f>gaz!BD368</f>
        <v>32.270362999999946</v>
      </c>
      <c r="J96" s="269">
        <f>gaz!BE368</f>
        <v>0.79787261999999992</v>
      </c>
      <c r="K96" s="269">
        <f t="shared" si="46"/>
        <v>33.068235619999946</v>
      </c>
      <c r="L96" s="269">
        <f>gaz!BG368</f>
        <v>6.4587565099999997</v>
      </c>
      <c r="M96" s="275">
        <f t="shared" si="47"/>
        <v>39.526992129999947</v>
      </c>
      <c r="N96" s="274">
        <f t="shared" si="38"/>
        <v>-16.44603217050302</v>
      </c>
      <c r="O96" s="269">
        <f t="shared" si="39"/>
        <v>-19.252080812910386</v>
      </c>
      <c r="P96" s="269">
        <f t="shared" si="40"/>
        <v>-16.516030791327516</v>
      </c>
      <c r="Q96" s="269">
        <f t="shared" si="40"/>
        <v>-1.3218836104161078</v>
      </c>
      <c r="R96" s="268">
        <f t="shared" si="41"/>
        <v>-14.361362745869735</v>
      </c>
      <c r="S96" s="173">
        <f t="shared" si="42"/>
        <v>39.610281990000004</v>
      </c>
      <c r="T96" s="87">
        <f t="shared" si="43"/>
        <v>33.068235619999946</v>
      </c>
    </row>
    <row r="97" spans="3:22">
      <c r="C97" s="265" t="s">
        <v>3</v>
      </c>
      <c r="D97" s="266">
        <f>gaz!BD354</f>
        <v>42.935211460000005</v>
      </c>
      <c r="E97" s="267">
        <f>gaz!BE354</f>
        <v>0.98552340999999999</v>
      </c>
      <c r="F97" s="267">
        <f t="shared" si="44"/>
        <v>43.920734870000004</v>
      </c>
      <c r="G97" s="267">
        <f>gaz!BG354</f>
        <v>3.9536792300000001</v>
      </c>
      <c r="H97" s="268">
        <f t="shared" si="45"/>
        <v>47.874414100000003</v>
      </c>
      <c r="I97" s="274">
        <f>gaz!BD369</f>
        <v>37.624971020000004</v>
      </c>
      <c r="J97" s="269">
        <f>gaz!BE369</f>
        <v>0.48853210000000002</v>
      </c>
      <c r="K97" s="269">
        <f t="shared" si="46"/>
        <v>38.113503120000004</v>
      </c>
      <c r="L97" s="269">
        <f>gaz!BG369</f>
        <v>4.0870285099999997</v>
      </c>
      <c r="M97" s="275">
        <f t="shared" si="47"/>
        <v>42.20053163</v>
      </c>
      <c r="N97" s="274">
        <f t="shared" si="38"/>
        <v>-12.368031411577448</v>
      </c>
      <c r="O97" s="269">
        <f t="shared" si="39"/>
        <v>-50.429173468340039</v>
      </c>
      <c r="P97" s="269">
        <f t="shared" si="40"/>
        <v>-13.222073280851731</v>
      </c>
      <c r="Q97" s="269">
        <f t="shared" si="40"/>
        <v>3.3727895522773501</v>
      </c>
      <c r="R97" s="268">
        <f t="shared" si="41"/>
        <v>-11.851596675728302</v>
      </c>
      <c r="S97" s="173">
        <f t="shared" si="42"/>
        <v>43.920734870000004</v>
      </c>
      <c r="T97" s="87">
        <f t="shared" si="43"/>
        <v>38.113503120000004</v>
      </c>
    </row>
    <row r="98" spans="3:22">
      <c r="C98" s="265" t="s">
        <v>397</v>
      </c>
      <c r="D98" s="266">
        <f>gaz!BD355</f>
        <v>12.88872984000003</v>
      </c>
      <c r="E98" s="267">
        <f>gaz!BE355</f>
        <v>0.67593526000000004</v>
      </c>
      <c r="F98" s="267">
        <f t="shared" si="44"/>
        <v>13.564665100000029</v>
      </c>
      <c r="G98" s="267">
        <f>gaz!BG355</f>
        <v>3.8852184799999998</v>
      </c>
      <c r="H98" s="268">
        <f t="shared" si="45"/>
        <v>17.44988358000003</v>
      </c>
      <c r="I98" s="274">
        <f>gaz!BD370</f>
        <v>17.069173059999741</v>
      </c>
      <c r="J98" s="269">
        <f>gaz!BE370</f>
        <v>0.33428822000000008</v>
      </c>
      <c r="K98" s="269">
        <f t="shared" si="46"/>
        <v>17.403461279999743</v>
      </c>
      <c r="L98" s="269">
        <f>gaz!BG370</f>
        <v>5.1061570400000003</v>
      </c>
      <c r="M98" s="275">
        <f t="shared" si="47"/>
        <v>22.509618319999742</v>
      </c>
      <c r="N98" s="274">
        <f t="shared" si="38"/>
        <v>32.434873504957423</v>
      </c>
      <c r="O98" s="269">
        <f t="shared" si="39"/>
        <v>-50.544343551481532</v>
      </c>
      <c r="P98" s="269">
        <f t="shared" si="40"/>
        <v>28.299970192406036</v>
      </c>
      <c r="Q98" s="269">
        <f t="shared" si="40"/>
        <v>31.425222707166796</v>
      </c>
      <c r="R98" s="268">
        <f t="shared" si="41"/>
        <v>28.995808005268671</v>
      </c>
      <c r="S98" s="173">
        <f t="shared" si="42"/>
        <v>13.564665100000029</v>
      </c>
      <c r="T98" s="87">
        <f t="shared" si="43"/>
        <v>17.403461279999743</v>
      </c>
    </row>
    <row r="99" spans="3:22">
      <c r="C99" s="265" t="s">
        <v>399</v>
      </c>
      <c r="D99" s="266">
        <f>gaz!BD356</f>
        <v>23.189756449999997</v>
      </c>
      <c r="E99" s="267">
        <f>gaz!BE356</f>
        <v>0.22278676</v>
      </c>
      <c r="F99" s="267">
        <f t="shared" si="44"/>
        <v>23.412543209999999</v>
      </c>
      <c r="G99" s="267">
        <f>gaz!BG356</f>
        <v>24.888590699999998</v>
      </c>
      <c r="H99" s="268">
        <f t="shared" si="45"/>
        <v>48.301133909999997</v>
      </c>
      <c r="I99" s="274">
        <f>gaz!BD371</f>
        <v>25.643871630000003</v>
      </c>
      <c r="J99" s="269">
        <f>gaz!BE371</f>
        <v>1.7288779999999983E-2</v>
      </c>
      <c r="K99" s="269">
        <f t="shared" si="46"/>
        <v>25.661160410000004</v>
      </c>
      <c r="L99" s="269">
        <f>gaz!BG371</f>
        <v>27.521311969999999</v>
      </c>
      <c r="M99" s="275">
        <f t="shared" si="47"/>
        <v>53.182472380000007</v>
      </c>
      <c r="N99" s="274">
        <f t="shared" si="38"/>
        <v>10.582755300994142</v>
      </c>
      <c r="O99" s="269">
        <f t="shared" si="39"/>
        <v>-92.239763260617465</v>
      </c>
      <c r="P99" s="269">
        <f t="shared" si="40"/>
        <v>9.6043269619661515</v>
      </c>
      <c r="Q99" s="269">
        <f t="shared" si="40"/>
        <v>10.578024693057456</v>
      </c>
      <c r="R99" s="268">
        <f t="shared" si="41"/>
        <v>10.106053574426346</v>
      </c>
      <c r="S99" s="173">
        <f t="shared" si="42"/>
        <v>23.412543209999999</v>
      </c>
      <c r="T99" s="87">
        <f t="shared" si="43"/>
        <v>25.661160410000004</v>
      </c>
    </row>
    <row r="100" spans="3:22">
      <c r="C100" s="265" t="s">
        <v>883</v>
      </c>
      <c r="D100" s="266">
        <f>gaz!BD357</f>
        <v>17.162716059999997</v>
      </c>
      <c r="E100" s="1816">
        <f>gaz!BE357</f>
        <v>0.52402910999999996</v>
      </c>
      <c r="F100" s="267">
        <f t="shared" si="44"/>
        <v>17.686745169999998</v>
      </c>
      <c r="G100" s="267">
        <f>gaz!BG357</f>
        <v>2.9118518399999997</v>
      </c>
      <c r="H100" s="268">
        <f t="shared" si="45"/>
        <v>20.598597009999999</v>
      </c>
      <c r="I100" s="274">
        <f>gaz!BD372</f>
        <v>19.097044713777532</v>
      </c>
      <c r="J100" s="1815">
        <f>gaz!BE372</f>
        <v>0.18058940200402512</v>
      </c>
      <c r="K100" s="269">
        <f t="shared" si="46"/>
        <v>19.277634115781556</v>
      </c>
      <c r="L100" s="269">
        <f>gaz!BG372</f>
        <v>1.4227210004898854</v>
      </c>
      <c r="M100" s="275">
        <f t="shared" si="47"/>
        <v>20.700355116271442</v>
      </c>
      <c r="N100" s="274">
        <f t="shared" si="38"/>
        <v>11.270527619376898</v>
      </c>
      <c r="O100" s="269">
        <f t="shared" si="39"/>
        <v>-65.538288129828288</v>
      </c>
      <c r="P100" s="269">
        <f t="shared" si="40"/>
        <v>8.9948089967395486</v>
      </c>
      <c r="Q100" s="269">
        <f t="shared" si="40"/>
        <v>-51.140336848667225</v>
      </c>
      <c r="R100" s="268">
        <f t="shared" si="41"/>
        <v>0.49400503452756001</v>
      </c>
      <c r="S100" s="173">
        <f t="shared" si="42"/>
        <v>17.686745169999998</v>
      </c>
      <c r="T100" s="87">
        <f t="shared" si="43"/>
        <v>19.277634115781556</v>
      </c>
    </row>
    <row r="101" spans="3:22">
      <c r="C101" s="265" t="s">
        <v>884</v>
      </c>
      <c r="D101" s="266">
        <f>gaz!BD358</f>
        <v>22.261234260000002</v>
      </c>
      <c r="E101" s="267">
        <f>gaz!BE358</f>
        <v>0.77208564000000002</v>
      </c>
      <c r="F101" s="267">
        <f t="shared" si="44"/>
        <v>23.033319900000002</v>
      </c>
      <c r="G101" s="267">
        <f>gaz!BG358</f>
        <v>4.9074197300000009</v>
      </c>
      <c r="H101" s="268">
        <f t="shared" si="45"/>
        <v>27.940739630000003</v>
      </c>
      <c r="I101" s="274">
        <f>gaz!BD373</f>
        <v>22.50784745999999</v>
      </c>
      <c r="J101" s="269">
        <f>gaz!BE373</f>
        <v>0.91735704999999967</v>
      </c>
      <c r="K101" s="269">
        <f t="shared" si="46"/>
        <v>23.42520450999999</v>
      </c>
      <c r="L101" s="269">
        <f>gaz!BG373</f>
        <v>5.7027692400000003</v>
      </c>
      <c r="M101" s="275">
        <f t="shared" si="47"/>
        <v>29.127973749999988</v>
      </c>
      <c r="N101" s="274">
        <f t="shared" si="38"/>
        <v>1.1078145852995847</v>
      </c>
      <c r="O101" s="269">
        <f t="shared" si="39"/>
        <v>18.815452907529746</v>
      </c>
      <c r="P101" s="269">
        <f t="shared" si="40"/>
        <v>1.7013813540617195</v>
      </c>
      <c r="Q101" s="269">
        <f t="shared" si="40"/>
        <v>16.207081394278848</v>
      </c>
      <c r="R101" s="268">
        <f t="shared" si="41"/>
        <v>4.2491148613877439</v>
      </c>
      <c r="S101" s="173">
        <f t="shared" si="42"/>
        <v>23.033319900000002</v>
      </c>
      <c r="T101" s="87">
        <f t="shared" si="43"/>
        <v>23.42520450999999</v>
      </c>
    </row>
    <row r="102" spans="3:22" ht="14.4" thickBot="1">
      <c r="C102" s="265" t="s">
        <v>885</v>
      </c>
      <c r="D102" s="266">
        <f>gaz!BD359</f>
        <v>9.4328160800000003</v>
      </c>
      <c r="E102" s="267">
        <f>gaz!BE359</f>
        <v>0.56026348000000004</v>
      </c>
      <c r="F102" s="267">
        <f t="shared" si="44"/>
        <v>9.99307956</v>
      </c>
      <c r="G102" s="267">
        <f>gaz!BG359</f>
        <v>0.38313422000000003</v>
      </c>
      <c r="H102" s="268">
        <f t="shared" si="45"/>
        <v>10.37621378</v>
      </c>
      <c r="I102" s="274">
        <f>gaz!BD374</f>
        <v>8.4422317800000002</v>
      </c>
      <c r="J102" s="269">
        <f>gaz!BE374</f>
        <v>0.39957048000000001</v>
      </c>
      <c r="K102" s="269">
        <f t="shared" si="46"/>
        <v>8.8418022599999997</v>
      </c>
      <c r="L102" s="269">
        <f>gaz!BG374</f>
        <v>0.34962357999999999</v>
      </c>
      <c r="M102" s="275">
        <f t="shared" si="47"/>
        <v>9.1914258399999991</v>
      </c>
      <c r="N102" s="274">
        <f t="shared" si="38"/>
        <v>-10.50146946149299</v>
      </c>
      <c r="O102" s="269">
        <f t="shared" si="39"/>
        <v>-28.681683839182238</v>
      </c>
      <c r="P102" s="269">
        <f t="shared" si="40"/>
        <v>-11.520745863050051</v>
      </c>
      <c r="Q102" s="269">
        <f t="shared" si="40"/>
        <v>-8.7464492208500797</v>
      </c>
      <c r="R102" s="268">
        <f t="shared" si="41"/>
        <v>-11.418306957819842</v>
      </c>
      <c r="S102" s="173">
        <f t="shared" si="42"/>
        <v>9.99307956</v>
      </c>
      <c r="T102" s="87">
        <f t="shared" si="43"/>
        <v>8.8418022599999997</v>
      </c>
    </row>
    <row r="103" spans="3:22" ht="14.4" thickBot="1">
      <c r="C103" s="280" t="s">
        <v>614</v>
      </c>
      <c r="D103" s="281">
        <f>SUM(D93:D102)</f>
        <v>250.29885218000007</v>
      </c>
      <c r="E103" s="281">
        <f>SUM(E93:E102)</f>
        <v>6.5384709299999999</v>
      </c>
      <c r="F103" s="281">
        <f>SUM(F93:F102)</f>
        <v>256.83732311000006</v>
      </c>
      <c r="G103" s="281">
        <f>SUM(G93:G102)</f>
        <v>81.452034769999997</v>
      </c>
      <c r="H103" s="282">
        <f>SUM(F103:G103)</f>
        <v>338.28935788000007</v>
      </c>
      <c r="I103" s="283">
        <f>SUM(I93:I102)</f>
        <v>234.22812801377722</v>
      </c>
      <c r="J103" s="283">
        <f>SUM(J93:J102)</f>
        <v>4.5893153205727151</v>
      </c>
      <c r="K103" s="2154">
        <f>SUM(K93:K102)</f>
        <v>238.81744333434992</v>
      </c>
      <c r="L103" s="2154">
        <f>SUM(L93:L102)</f>
        <v>89.860283800489881</v>
      </c>
      <c r="M103" s="282">
        <f>SUM(K103:L103)</f>
        <v>328.67772713483981</v>
      </c>
      <c r="N103" s="283">
        <f t="shared" si="38"/>
        <v>-6.4206144080380101</v>
      </c>
      <c r="O103" s="281">
        <f t="shared" si="39"/>
        <v>-29.810572384502208</v>
      </c>
      <c r="P103" s="281">
        <f t="shared" si="40"/>
        <v>-7.0160674303292208</v>
      </c>
      <c r="Q103" s="281">
        <f t="shared" si="40"/>
        <v>10.322945343517395</v>
      </c>
      <c r="R103" s="282">
        <f t="shared" si="41"/>
        <v>-2.8412453780380957</v>
      </c>
      <c r="S103" s="173">
        <f t="shared" si="42"/>
        <v>256.83732311000006</v>
      </c>
      <c r="T103" s="173">
        <f t="shared" si="43"/>
        <v>238.81744333434995</v>
      </c>
      <c r="V103" s="173"/>
    </row>
    <row r="104" spans="3:22">
      <c r="E104" s="173">
        <f>E103+D103</f>
        <v>256.83732311000006</v>
      </c>
      <c r="F104" s="173"/>
      <c r="G104" s="87">
        <f>G103</f>
        <v>81.452034769999997</v>
      </c>
      <c r="J104" s="173">
        <f>J103+I103</f>
        <v>238.81744333434995</v>
      </c>
      <c r="K104" s="173"/>
      <c r="L104" s="87">
        <f>L103</f>
        <v>89.860283800489881</v>
      </c>
    </row>
    <row r="105" spans="3:22" ht="21.6" thickBot="1">
      <c r="C105" s="2910" t="s">
        <v>222</v>
      </c>
      <c r="D105" s="2910"/>
      <c r="E105" s="2910"/>
      <c r="F105" s="2910"/>
      <c r="G105" s="2910"/>
      <c r="H105" s="2910"/>
      <c r="I105" s="2910"/>
      <c r="J105" s="2910"/>
      <c r="K105" s="2910"/>
      <c r="L105" s="2910"/>
      <c r="M105" s="2910"/>
      <c r="N105" s="2910"/>
      <c r="O105" s="2910"/>
      <c r="P105" s="2910"/>
      <c r="Q105" s="2910"/>
      <c r="R105" s="2910"/>
      <c r="S105" s="173"/>
    </row>
    <row r="106" spans="3:22" ht="23.25" customHeight="1" thickBot="1">
      <c r="C106" s="3061" t="s">
        <v>308</v>
      </c>
      <c r="D106" s="3033">
        <f>D2</f>
        <v>45139</v>
      </c>
      <c r="E106" s="3034"/>
      <c r="F106" s="3034"/>
      <c r="G106" s="3034"/>
      <c r="H106" s="3035"/>
      <c r="I106" s="3062">
        <f>I91</f>
        <v>45505</v>
      </c>
      <c r="J106" s="3063"/>
      <c r="K106" s="3063"/>
      <c r="L106" s="3063"/>
      <c r="M106" s="3064"/>
      <c r="N106" s="3062" t="s">
        <v>53</v>
      </c>
      <c r="O106" s="3063"/>
      <c r="P106" s="3063"/>
      <c r="Q106" s="3063"/>
      <c r="R106" s="3064"/>
      <c r="S106" s="1522"/>
    </row>
    <row r="107" spans="3:22" ht="14.4" thickBot="1">
      <c r="C107" s="3061"/>
      <c r="D107" s="262" t="s">
        <v>17</v>
      </c>
      <c r="E107" s="263" t="s">
        <v>18</v>
      </c>
      <c r="F107" s="263" t="s">
        <v>56</v>
      </c>
      <c r="G107" s="263" t="s">
        <v>21</v>
      </c>
      <c r="H107" s="264" t="s">
        <v>20</v>
      </c>
      <c r="I107" s="262" t="s">
        <v>17</v>
      </c>
      <c r="J107" s="263" t="s">
        <v>18</v>
      </c>
      <c r="K107" s="263" t="s">
        <v>56</v>
      </c>
      <c r="L107" s="263" t="s">
        <v>21</v>
      </c>
      <c r="M107" s="264" t="s">
        <v>20</v>
      </c>
      <c r="N107" s="262" t="s">
        <v>17</v>
      </c>
      <c r="O107" s="263" t="s">
        <v>18</v>
      </c>
      <c r="P107" s="263" t="s">
        <v>56</v>
      </c>
      <c r="Q107" s="263" t="s">
        <v>21</v>
      </c>
      <c r="R107" s="264" t="s">
        <v>20</v>
      </c>
      <c r="S107" s="87">
        <v>2016</v>
      </c>
      <c r="T107" s="87">
        <v>2017</v>
      </c>
    </row>
    <row r="108" spans="3:22">
      <c r="C108" s="265" t="s">
        <v>6</v>
      </c>
      <c r="D108" s="274">
        <f>gaz!AX350</f>
        <v>890.12508284999956</v>
      </c>
      <c r="E108" s="269">
        <f>gaz!AY350</f>
        <v>29.414325719999997</v>
      </c>
      <c r="F108" s="269">
        <f>SUM(D108:E108)</f>
        <v>919.53940856999952</v>
      </c>
      <c r="G108" s="269">
        <f>gaz!BA350</f>
        <v>204.91444992999999</v>
      </c>
      <c r="H108" s="268">
        <f>SUM(F108:G108)</f>
        <v>1124.4538584999996</v>
      </c>
      <c r="I108" s="274">
        <f>gaz!AX365</f>
        <v>893.3399034900001</v>
      </c>
      <c r="J108" s="269">
        <f>gaz!AY365</f>
        <v>29.000575189999996</v>
      </c>
      <c r="K108" s="269">
        <f>SUM(I108:J108)</f>
        <v>922.34047868000005</v>
      </c>
      <c r="L108" s="269">
        <f>gaz!BA365</f>
        <v>217.18133158999998</v>
      </c>
      <c r="M108" s="268">
        <f>SUM(K108:L108)</f>
        <v>1139.5218102700001</v>
      </c>
      <c r="N108" s="284">
        <f t="shared" ref="N108:N118" si="48">(((I108-D108)/D108)*100)</f>
        <v>0.36116504319902287</v>
      </c>
      <c r="O108" s="285">
        <f t="shared" ref="O108:P118" si="49">(((J108-E108)/E108)*100)</f>
        <v>-1.4066293204833715</v>
      </c>
      <c r="P108" s="285">
        <f t="shared" si="49"/>
        <v>0.30461664654009152</v>
      </c>
      <c r="Q108" s="285">
        <f t="shared" ref="Q108:Q118" si="50">(((L108-G108)/G108)*100)</f>
        <v>5.9863429173444995</v>
      </c>
      <c r="R108" s="286">
        <f>(((M108-H108)/H108)*100)</f>
        <v>1.3400240175351308</v>
      </c>
      <c r="S108" s="173">
        <f t="shared" ref="S108:S118" si="51">D108+E108</f>
        <v>919.53940856999952</v>
      </c>
      <c r="T108" s="87">
        <f t="shared" ref="T108:T118" si="52">I108+J108</f>
        <v>922.34047868000005</v>
      </c>
    </row>
    <row r="109" spans="3:22">
      <c r="C109" s="265" t="s">
        <v>7</v>
      </c>
      <c r="D109" s="274">
        <f>gaz!AX351</f>
        <v>898.27673103999996</v>
      </c>
      <c r="E109" s="269">
        <f>gaz!AY351</f>
        <v>50.007070649999996</v>
      </c>
      <c r="F109" s="269">
        <f t="shared" ref="F109:F117" si="53">SUM(D109:E109)</f>
        <v>948.2838016899999</v>
      </c>
      <c r="G109" s="269">
        <f>gaz!BA351</f>
        <v>62.61386306</v>
      </c>
      <c r="H109" s="268">
        <f t="shared" ref="H109:H117" si="54">SUM(F109:G109)</f>
        <v>1010.8976647499999</v>
      </c>
      <c r="I109" s="274">
        <f>gaz!AX366</f>
        <v>928.05312388249149</v>
      </c>
      <c r="J109" s="269">
        <f>gaz!AY366</f>
        <v>52.479989787234217</v>
      </c>
      <c r="K109" s="269">
        <f t="shared" ref="K109:K117" si="55">SUM(I109:J109)</f>
        <v>980.53311366972571</v>
      </c>
      <c r="L109" s="269">
        <f>gaz!BA366</f>
        <v>67.212415680000007</v>
      </c>
      <c r="M109" s="2224">
        <f t="shared" ref="M109:M117" si="56">SUM(K109:L109)</f>
        <v>1047.7455293497258</v>
      </c>
      <c r="N109" s="284">
        <f t="shared" si="48"/>
        <v>3.3148351519711801</v>
      </c>
      <c r="O109" s="285">
        <f t="shared" si="49"/>
        <v>4.9451389675316273</v>
      </c>
      <c r="P109" s="285">
        <f t="shared" si="49"/>
        <v>3.4008080621278305</v>
      </c>
      <c r="Q109" s="285">
        <f t="shared" si="50"/>
        <v>7.344304272671093</v>
      </c>
      <c r="R109" s="286">
        <f t="shared" ref="R109:R118" si="57">(((M109-H109)/H109)*100)</f>
        <v>3.645063776939137</v>
      </c>
      <c r="S109" s="87">
        <f t="shared" si="51"/>
        <v>948.2838016899999</v>
      </c>
      <c r="T109" s="87">
        <f t="shared" si="52"/>
        <v>980.53311366972571</v>
      </c>
    </row>
    <row r="110" spans="3:22">
      <c r="C110" s="265" t="s">
        <v>8</v>
      </c>
      <c r="D110" s="274">
        <f>gaz!AX352</f>
        <v>847.94462909999993</v>
      </c>
      <c r="E110" s="269">
        <f>gaz!AY352</f>
        <v>56.370500389999997</v>
      </c>
      <c r="F110" s="269">
        <f t="shared" si="53"/>
        <v>904.31512948999989</v>
      </c>
      <c r="G110" s="269">
        <f>gaz!BA352</f>
        <v>47.268470129999997</v>
      </c>
      <c r="H110" s="268">
        <f t="shared" si="54"/>
        <v>951.58359961999986</v>
      </c>
      <c r="I110" s="274">
        <f>gaz!AX367</f>
        <v>905.38813210000001</v>
      </c>
      <c r="J110" s="269">
        <f>gaz!AY367</f>
        <v>59.278240020000005</v>
      </c>
      <c r="K110" s="269">
        <f t="shared" si="55"/>
        <v>964.66637212000001</v>
      </c>
      <c r="L110" s="269">
        <f>gaz!BA367</f>
        <v>43.432435850000005</v>
      </c>
      <c r="M110" s="268">
        <f t="shared" si="56"/>
        <v>1008.0988079700001</v>
      </c>
      <c r="N110" s="284">
        <f t="shared" si="48"/>
        <v>6.7744403382765741</v>
      </c>
      <c r="O110" s="285">
        <f t="shared" si="49"/>
        <v>5.158264712718136</v>
      </c>
      <c r="P110" s="285">
        <f t="shared" si="49"/>
        <v>6.6736960006448163</v>
      </c>
      <c r="Q110" s="285">
        <f t="shared" si="50"/>
        <v>-8.1154187335658392</v>
      </c>
      <c r="R110" s="286">
        <f t="shared" si="57"/>
        <v>5.9390691866241347</v>
      </c>
      <c r="S110" s="87">
        <f t="shared" si="51"/>
        <v>904.31512948999989</v>
      </c>
      <c r="T110" s="87">
        <f t="shared" si="52"/>
        <v>964.66637212000001</v>
      </c>
    </row>
    <row r="111" spans="3:22">
      <c r="C111" s="265" t="s">
        <v>4</v>
      </c>
      <c r="D111" s="274">
        <f>gaz!AX353</f>
        <v>1458.8758285399997</v>
      </c>
      <c r="E111" s="269">
        <f>gaz!AY353</f>
        <v>63.82068180000001</v>
      </c>
      <c r="F111" s="269">
        <f t="shared" si="53"/>
        <v>1522.6965103399998</v>
      </c>
      <c r="G111" s="269">
        <f>gaz!BA353</f>
        <v>78.126195789999997</v>
      </c>
      <c r="H111" s="268">
        <f t="shared" si="54"/>
        <v>1600.8227061299999</v>
      </c>
      <c r="I111" s="274">
        <f>gaz!AX368</f>
        <v>1404.1546371300001</v>
      </c>
      <c r="J111" s="269">
        <f>gaz!AY368</f>
        <v>63.55849491</v>
      </c>
      <c r="K111" s="269">
        <f t="shared" si="55"/>
        <v>1467.7131320400001</v>
      </c>
      <c r="L111" s="269">
        <f>gaz!BA368</f>
        <v>85.221844259999997</v>
      </c>
      <c r="M111" s="268">
        <f t="shared" si="56"/>
        <v>1552.9349763</v>
      </c>
      <c r="N111" s="284">
        <f t="shared" si="48"/>
        <v>-3.7509149400852704</v>
      </c>
      <c r="O111" s="285">
        <f t="shared" si="49"/>
        <v>-0.41081806493645051</v>
      </c>
      <c r="P111" s="285">
        <f t="shared" si="49"/>
        <v>-3.6109216726137081</v>
      </c>
      <c r="Q111" s="285">
        <f t="shared" si="50"/>
        <v>9.0822910270363231</v>
      </c>
      <c r="R111" s="286">
        <f t="shared" si="57"/>
        <v>-2.9914449393192841</v>
      </c>
      <c r="S111" s="87">
        <f t="shared" si="51"/>
        <v>1522.6965103399998</v>
      </c>
      <c r="T111" s="87">
        <f t="shared" si="52"/>
        <v>1467.7131320400001</v>
      </c>
    </row>
    <row r="112" spans="3:22">
      <c r="C112" s="265" t="s">
        <v>3</v>
      </c>
      <c r="D112" s="274">
        <f>gaz!AX354</f>
        <v>1492.0511047699997</v>
      </c>
      <c r="E112" s="269">
        <f>gaz!AY354</f>
        <v>87.780963409999998</v>
      </c>
      <c r="F112" s="269">
        <f t="shared" si="53"/>
        <v>1579.8320681799996</v>
      </c>
      <c r="G112" s="269">
        <f>gaz!BA354</f>
        <v>68.156452480000013</v>
      </c>
      <c r="H112" s="268">
        <f t="shared" si="54"/>
        <v>1647.9885206599997</v>
      </c>
      <c r="I112" s="274">
        <f>gaz!AX369</f>
        <v>1470.6514475899999</v>
      </c>
      <c r="J112" s="269">
        <f>gaz!AY369</f>
        <v>87.983276100000012</v>
      </c>
      <c r="K112" s="269">
        <f t="shared" si="55"/>
        <v>1558.6347236899999</v>
      </c>
      <c r="L112" s="269">
        <f>gaz!BA369</f>
        <v>65.898027830000004</v>
      </c>
      <c r="M112" s="268">
        <f t="shared" si="56"/>
        <v>1624.5327515199999</v>
      </c>
      <c r="N112" s="284">
        <f t="shared" si="48"/>
        <v>-1.4342442501859625</v>
      </c>
      <c r="O112" s="285">
        <f t="shared" si="49"/>
        <v>0.23047444701087227</v>
      </c>
      <c r="P112" s="285">
        <f t="shared" si="49"/>
        <v>-1.3417466904833464</v>
      </c>
      <c r="Q112" s="285">
        <f t="shared" si="50"/>
        <v>-3.3135889087870685</v>
      </c>
      <c r="R112" s="286">
        <f t="shared" si="57"/>
        <v>-1.423296876522298</v>
      </c>
      <c r="S112" s="87">
        <f t="shared" si="51"/>
        <v>1579.8320681799996</v>
      </c>
      <c r="T112" s="87">
        <f t="shared" si="52"/>
        <v>1558.6347236899999</v>
      </c>
    </row>
    <row r="113" spans="2:22">
      <c r="C113" s="265" t="s">
        <v>397</v>
      </c>
      <c r="D113" s="274">
        <f>gaz!AX355</f>
        <v>374.53562508000056</v>
      </c>
      <c r="E113" s="269">
        <f>gaz!AY355</f>
        <v>16.872063489999999</v>
      </c>
      <c r="F113" s="269">
        <f t="shared" si="53"/>
        <v>391.40768857000057</v>
      </c>
      <c r="G113" s="1899">
        <f>gaz!BA355</f>
        <v>45.875741500000004</v>
      </c>
      <c r="H113" s="1900">
        <f t="shared" si="54"/>
        <v>437.28343007000058</v>
      </c>
      <c r="I113" s="274">
        <f>gaz!AX370</f>
        <v>379.56784662000274</v>
      </c>
      <c r="J113" s="269">
        <f>gaz!AY370</f>
        <v>18.076687190000001</v>
      </c>
      <c r="K113" s="269">
        <f t="shared" si="55"/>
        <v>397.64453381000271</v>
      </c>
      <c r="L113" s="269">
        <f>gaz!BA370</f>
        <v>52.898232629999995</v>
      </c>
      <c r="M113" s="268">
        <f t="shared" si="56"/>
        <v>450.54276644000271</v>
      </c>
      <c r="N113" s="284">
        <f t="shared" si="48"/>
        <v>1.3435895554467761</v>
      </c>
      <c r="O113" s="285">
        <f t="shared" si="49"/>
        <v>7.139753241884006</v>
      </c>
      <c r="P113" s="285">
        <f t="shared" si="49"/>
        <v>1.5934396339500425</v>
      </c>
      <c r="Q113" s="285">
        <f t="shared" si="50"/>
        <v>15.307635147434057</v>
      </c>
      <c r="R113" s="286">
        <f t="shared" si="57"/>
        <v>3.0322064496886081</v>
      </c>
      <c r="S113" s="87">
        <f t="shared" si="51"/>
        <v>391.40768857000057</v>
      </c>
      <c r="T113" s="87">
        <f t="shared" si="52"/>
        <v>397.64453381000271</v>
      </c>
    </row>
    <row r="114" spans="2:22">
      <c r="C114" s="265" t="s">
        <v>399</v>
      </c>
      <c r="D114" s="274">
        <f>gaz!AX356</f>
        <v>568.60477803999993</v>
      </c>
      <c r="E114" s="269">
        <f>gaz!AY356</f>
        <v>18.313316690000004</v>
      </c>
      <c r="F114" s="269">
        <f t="shared" si="53"/>
        <v>586.91809472999989</v>
      </c>
      <c r="G114" s="269">
        <f>gaz!BA356</f>
        <v>236.12141896</v>
      </c>
      <c r="H114" s="268">
        <f t="shared" si="54"/>
        <v>823.03951368999992</v>
      </c>
      <c r="I114" s="274">
        <f>gaz!AX371</f>
        <v>613.40150521999999</v>
      </c>
      <c r="J114" s="269">
        <f>gaz!AY371</f>
        <v>17.454586010000003</v>
      </c>
      <c r="K114" s="269">
        <f t="shared" si="55"/>
        <v>630.85609122999995</v>
      </c>
      <c r="L114" s="269">
        <f>gaz!BA371</f>
        <v>197.20192419</v>
      </c>
      <c r="M114" s="268">
        <f t="shared" si="56"/>
        <v>828.05801541999995</v>
      </c>
      <c r="N114" s="284">
        <f t="shared" si="48"/>
        <v>7.8783592593815177</v>
      </c>
      <c r="O114" s="285">
        <f t="shared" si="49"/>
        <v>-4.6891051715875749</v>
      </c>
      <c r="P114" s="285">
        <f t="shared" si="49"/>
        <v>7.4862228468544432</v>
      </c>
      <c r="Q114" s="285">
        <f t="shared" si="50"/>
        <v>-16.482831138920577</v>
      </c>
      <c r="R114" s="286">
        <f t="shared" si="57"/>
        <v>0.6097522228914829</v>
      </c>
      <c r="S114" s="87">
        <f t="shared" si="51"/>
        <v>586.91809472999989</v>
      </c>
      <c r="T114" s="87">
        <f t="shared" si="52"/>
        <v>630.85609122999995</v>
      </c>
    </row>
    <row r="115" spans="2:22">
      <c r="C115" s="265" t="s">
        <v>883</v>
      </c>
      <c r="D115" s="274">
        <f>gaz!AX357</f>
        <v>620.85665063999431</v>
      </c>
      <c r="E115" s="269">
        <f>gaz!AY357</f>
        <v>29.447715749999997</v>
      </c>
      <c r="F115" s="269">
        <f t="shared" si="53"/>
        <v>650.30436638999436</v>
      </c>
      <c r="G115" s="269">
        <f>gaz!BA357</f>
        <v>35.753838989999998</v>
      </c>
      <c r="H115" s="268">
        <f t="shared" si="54"/>
        <v>686.05820537999432</v>
      </c>
      <c r="I115" s="274">
        <f>gaz!AX372</f>
        <v>549.77712640377763</v>
      </c>
      <c r="J115" s="269">
        <f>gaz!AY372</f>
        <v>28.905378872004025</v>
      </c>
      <c r="K115" s="269">
        <f t="shared" si="55"/>
        <v>578.68250527578164</v>
      </c>
      <c r="L115" s="269">
        <f>gaz!BA372</f>
        <v>30.302573470489889</v>
      </c>
      <c r="M115" s="268">
        <f t="shared" si="56"/>
        <v>608.98507874627148</v>
      </c>
      <c r="N115" s="284">
        <f t="shared" si="48"/>
        <v>-11.448620895491118</v>
      </c>
      <c r="O115" s="285">
        <f t="shared" si="49"/>
        <v>-1.8416942169647632</v>
      </c>
      <c r="P115" s="285">
        <f t="shared" si="49"/>
        <v>-11.013590683975254</v>
      </c>
      <c r="Q115" s="285">
        <f t="shared" si="50"/>
        <v>-15.246657907238367</v>
      </c>
      <c r="R115" s="286">
        <f t="shared" si="57"/>
        <v>-11.234196461659332</v>
      </c>
      <c r="S115" s="87">
        <f t="shared" si="51"/>
        <v>650.30436638999436</v>
      </c>
      <c r="T115" s="87">
        <f t="shared" si="52"/>
        <v>578.68250527578164</v>
      </c>
    </row>
    <row r="116" spans="2:22">
      <c r="C116" s="265" t="s">
        <v>884</v>
      </c>
      <c r="D116" s="274">
        <f>gaz!AX358</f>
        <v>513.11635634999982</v>
      </c>
      <c r="E116" s="269">
        <f>gaz!AY358</f>
        <v>28.669302380000001</v>
      </c>
      <c r="F116" s="269">
        <f t="shared" si="53"/>
        <v>541.7856587299998</v>
      </c>
      <c r="G116" s="269">
        <f>gaz!BA358</f>
        <v>47.433960750000004</v>
      </c>
      <c r="H116" s="268">
        <f t="shared" si="54"/>
        <v>589.21961947999978</v>
      </c>
      <c r="I116" s="274">
        <f>gaz!AX373</f>
        <v>566.50973785999997</v>
      </c>
      <c r="J116" s="269">
        <f>gaz!AY373</f>
        <v>32.924557610000001</v>
      </c>
      <c r="K116" s="269">
        <f t="shared" si="55"/>
        <v>599.43429546999994</v>
      </c>
      <c r="L116" s="269">
        <f>gaz!BA373</f>
        <v>50.644446729999999</v>
      </c>
      <c r="M116" s="268">
        <f t="shared" si="56"/>
        <v>650.07874219999997</v>
      </c>
      <c r="N116" s="284">
        <f t="shared" si="48"/>
        <v>10.405706395681568</v>
      </c>
      <c r="O116" s="285">
        <f t="shared" si="49"/>
        <v>14.842548917299464</v>
      </c>
      <c r="P116" s="285">
        <f t="shared" si="49"/>
        <v>10.640487766902941</v>
      </c>
      <c r="Q116" s="285">
        <f t="shared" si="50"/>
        <v>6.7683278588537306</v>
      </c>
      <c r="R116" s="286">
        <f t="shared" si="57"/>
        <v>10.328767187642155</v>
      </c>
      <c r="S116" s="87">
        <f t="shared" si="51"/>
        <v>541.7856587299998</v>
      </c>
      <c r="T116" s="87">
        <f t="shared" si="52"/>
        <v>599.43429546999994</v>
      </c>
    </row>
    <row r="117" spans="2:22" ht="14.4" thickBot="1">
      <c r="C117" s="265" t="s">
        <v>885</v>
      </c>
      <c r="D117" s="274">
        <f>gaz!AX359</f>
        <v>349.89001248</v>
      </c>
      <c r="E117" s="269">
        <f>gaz!AY359</f>
        <v>34.038449</v>
      </c>
      <c r="F117" s="269">
        <f t="shared" si="53"/>
        <v>383.92846148000001</v>
      </c>
      <c r="G117" s="269">
        <f>gaz!BA359</f>
        <v>10.150908530000002</v>
      </c>
      <c r="H117" s="268">
        <f t="shared" si="54"/>
        <v>394.07937000999999</v>
      </c>
      <c r="I117" s="274">
        <f>gaz!AX374</f>
        <v>380.55313818999974</v>
      </c>
      <c r="J117" s="269">
        <f>gaz!AY374</f>
        <v>36.412426240000002</v>
      </c>
      <c r="K117" s="269">
        <f t="shared" si="55"/>
        <v>416.96556442999974</v>
      </c>
      <c r="L117" s="269">
        <f>gaz!BA374</f>
        <v>9.688640229999999</v>
      </c>
      <c r="M117" s="268">
        <f t="shared" si="56"/>
        <v>426.65420465999972</v>
      </c>
      <c r="N117" s="284">
        <f t="shared" si="48"/>
        <v>8.7636470365819541</v>
      </c>
      <c r="O117" s="285">
        <f t="shared" si="49"/>
        <v>6.9743989804000828</v>
      </c>
      <c r="P117" s="285">
        <f t="shared" si="49"/>
        <v>8.6050153256795578</v>
      </c>
      <c r="Q117" s="285">
        <f t="shared" si="50"/>
        <v>-4.5539598611672574</v>
      </c>
      <c r="R117" s="286">
        <f t="shared" si="57"/>
        <v>8.2660593598627408</v>
      </c>
      <c r="S117" s="87">
        <f t="shared" si="51"/>
        <v>383.92846148000001</v>
      </c>
      <c r="T117" s="87">
        <f t="shared" si="52"/>
        <v>416.96556442999974</v>
      </c>
      <c r="V117" s="87">
        <v>5.9334481018573504</v>
      </c>
    </row>
    <row r="118" spans="2:22" ht="14.4" thickBot="1">
      <c r="B118" s="173">
        <f>I118+J118</f>
        <v>8517.4708104155106</v>
      </c>
      <c r="C118" s="280" t="s">
        <v>614</v>
      </c>
      <c r="D118" s="283">
        <f>SUM(D108:D117)</f>
        <v>8014.2767988899941</v>
      </c>
      <c r="E118" s="283">
        <f>SUM(E108:E117)</f>
        <v>414.73438928000002</v>
      </c>
      <c r="F118" s="283">
        <f>SUM(F108:F117)</f>
        <v>8429.0111881699941</v>
      </c>
      <c r="G118" s="283">
        <f>SUM(G108:G117)</f>
        <v>836.41530011999998</v>
      </c>
      <c r="H118" s="282">
        <f>SUM(F118:G118)</f>
        <v>9265.4264882899934</v>
      </c>
      <c r="I118" s="283">
        <f>SUM(I108:I117)</f>
        <v>8091.3965984862716</v>
      </c>
      <c r="J118" s="281">
        <f>SUM(J108:J117)</f>
        <v>426.07421192923829</v>
      </c>
      <c r="K118" s="2154">
        <f>SUM(K108:K117)</f>
        <v>8517.4708104155088</v>
      </c>
      <c r="L118" s="2154">
        <f>SUM(L108:L117)</f>
        <v>819.6818724604899</v>
      </c>
      <c r="M118" s="282">
        <f>SUM(K118:L118)</f>
        <v>9337.1526828759979</v>
      </c>
      <c r="N118" s="283">
        <f t="shared" si="48"/>
        <v>0.96228020982453322</v>
      </c>
      <c r="O118" s="281">
        <f t="shared" si="49"/>
        <v>2.7342373679030527</v>
      </c>
      <c r="P118" s="281">
        <f t="shared" si="49"/>
        <v>1.0494661861365977</v>
      </c>
      <c r="Q118" s="281">
        <f t="shared" si="50"/>
        <v>-2.0006123342207331</v>
      </c>
      <c r="R118" s="282">
        <f t="shared" si="57"/>
        <v>0.77412728573967882</v>
      </c>
      <c r="S118" s="173">
        <f t="shared" si="51"/>
        <v>8429.0111881699941</v>
      </c>
      <c r="T118" s="87">
        <f t="shared" si="52"/>
        <v>8517.4708104155106</v>
      </c>
    </row>
    <row r="119" spans="2:22">
      <c r="C119" s="115"/>
      <c r="D119" s="279"/>
      <c r="E119" s="279">
        <f>E118+D118</f>
        <v>8429.0111881699941</v>
      </c>
      <c r="F119" s="279"/>
      <c r="G119" s="279">
        <f>G118</f>
        <v>836.41530011999998</v>
      </c>
      <c r="H119" s="279"/>
      <c r="I119" s="279"/>
      <c r="J119" s="279">
        <f>J118+I118</f>
        <v>8517.4708104155106</v>
      </c>
      <c r="K119" s="279"/>
      <c r="L119" s="279">
        <f>L118</f>
        <v>819.6818724604899</v>
      </c>
      <c r="M119" s="279"/>
      <c r="N119" s="279"/>
      <c r="O119" s="279"/>
      <c r="P119" s="279"/>
      <c r="Q119" s="279"/>
      <c r="R119" s="279"/>
    </row>
    <row r="120" spans="2:22" ht="21.6" thickBot="1">
      <c r="C120" s="2910" t="s">
        <v>304</v>
      </c>
      <c r="D120" s="2910"/>
      <c r="E120" s="2910"/>
      <c r="F120" s="2910"/>
      <c r="G120" s="2910"/>
      <c r="H120" s="2910"/>
      <c r="I120" s="2910"/>
      <c r="J120" s="2910"/>
      <c r="K120" s="2910"/>
      <c r="L120" s="2910"/>
      <c r="M120" s="2910"/>
      <c r="N120" s="2910"/>
      <c r="O120" s="2910"/>
      <c r="P120" s="2910"/>
      <c r="Q120" s="2910"/>
      <c r="R120" s="2910"/>
    </row>
    <row r="121" spans="2:22" ht="33.75" customHeight="1" thickBot="1">
      <c r="C121" s="3061" t="s">
        <v>308</v>
      </c>
      <c r="D121" s="3065" t="s">
        <v>1187</v>
      </c>
      <c r="E121" s="3063"/>
      <c r="F121" s="3063"/>
      <c r="G121" s="3063"/>
      <c r="H121" s="3064"/>
      <c r="I121" s="3062" t="s">
        <v>1093</v>
      </c>
      <c r="J121" s="3063"/>
      <c r="K121" s="3063"/>
      <c r="L121" s="3063"/>
      <c r="M121" s="3064"/>
      <c r="N121" s="3062" t="s">
        <v>305</v>
      </c>
      <c r="O121" s="3063"/>
      <c r="P121" s="3063"/>
      <c r="Q121" s="3063"/>
      <c r="R121" s="3064"/>
    </row>
    <row r="122" spans="2:22" ht="20.25" customHeight="1" thickBot="1">
      <c r="C122" s="3061"/>
      <c r="D122" s="262" t="s">
        <v>17</v>
      </c>
      <c r="E122" s="263" t="s">
        <v>18</v>
      </c>
      <c r="F122" s="263" t="s">
        <v>56</v>
      </c>
      <c r="G122" s="263" t="s">
        <v>21</v>
      </c>
      <c r="H122" s="264" t="s">
        <v>20</v>
      </c>
      <c r="I122" s="262" t="s">
        <v>17</v>
      </c>
      <c r="J122" s="263" t="s">
        <v>18</v>
      </c>
      <c r="K122" s="263" t="s">
        <v>56</v>
      </c>
      <c r="L122" s="263" t="s">
        <v>21</v>
      </c>
      <c r="M122" s="264" t="s">
        <v>20</v>
      </c>
      <c r="N122" s="262" t="s">
        <v>17</v>
      </c>
      <c r="O122" s="263" t="s">
        <v>18</v>
      </c>
      <c r="P122" s="263" t="s">
        <v>56</v>
      </c>
      <c r="Q122" s="263" t="s">
        <v>21</v>
      </c>
      <c r="R122" s="264" t="s">
        <v>20</v>
      </c>
      <c r="T122" s="263" t="s">
        <v>199</v>
      </c>
      <c r="V122" s="263" t="s">
        <v>1188</v>
      </c>
    </row>
    <row r="123" spans="2:22">
      <c r="C123" s="265" t="s">
        <v>6</v>
      </c>
      <c r="D123" s="274">
        <f t="shared" ref="D123:D132" si="58">I108</f>
        <v>893.3399034900001</v>
      </c>
      <c r="E123" s="269">
        <f t="shared" ref="E123:E132" si="59">J108</f>
        <v>29.000575189999996</v>
      </c>
      <c r="F123" s="269">
        <f>SUM(D123:E123)</f>
        <v>922.34047868000005</v>
      </c>
      <c r="G123" s="269">
        <f t="shared" ref="G123:G132" si="60">L108</f>
        <v>217.18133158999998</v>
      </c>
      <c r="H123" s="275">
        <f>SUM(F123:G123)</f>
        <v>1139.5218102700001</v>
      </c>
      <c r="I123" s="274">
        <v>1371.3578481717202</v>
      </c>
      <c r="J123" s="269">
        <v>49.586705428990328</v>
      </c>
      <c r="K123" s="269">
        <f>J123+I123</f>
        <v>1420.9445536007106</v>
      </c>
      <c r="L123" s="269">
        <v>291.39800000000002</v>
      </c>
      <c r="M123" s="2160">
        <f>SUM(K123:L123)</f>
        <v>1712.3425536007107</v>
      </c>
      <c r="N123" s="274">
        <f t="shared" ref="N123:N133" si="61">D123/I123*100</f>
        <v>65.142727310817634</v>
      </c>
      <c r="O123" s="269">
        <f t="shared" ref="O123:O133" si="62">E123/J123*100</f>
        <v>58.484577547765703</v>
      </c>
      <c r="P123" s="269">
        <f t="shared" ref="P123:Q133" si="63">F123/K123*100</f>
        <v>64.91037784287677</v>
      </c>
      <c r="Q123" s="269">
        <f t="shared" si="63"/>
        <v>74.530824367360097</v>
      </c>
      <c r="R123" s="275">
        <f t="shared" ref="R123:R133" si="64">H123/M123*100</f>
        <v>66.547537925388568</v>
      </c>
      <c r="S123" s="173"/>
      <c r="T123" s="269">
        <v>413.27094210143377</v>
      </c>
      <c r="V123" s="269">
        <f t="shared" ref="V123:V132" si="65">M123+T123</f>
        <v>2125.6134957021445</v>
      </c>
    </row>
    <row r="124" spans="2:22">
      <c r="C124" s="265" t="s">
        <v>7</v>
      </c>
      <c r="D124" s="274">
        <f t="shared" si="58"/>
        <v>928.05312388249149</v>
      </c>
      <c r="E124" s="269">
        <f t="shared" si="59"/>
        <v>52.479989787234217</v>
      </c>
      <c r="F124" s="269">
        <f t="shared" ref="F124:F132" si="66">SUM(D124:E124)</f>
        <v>980.53311366972571</v>
      </c>
      <c r="G124" s="269">
        <f t="shared" si="60"/>
        <v>67.212415680000007</v>
      </c>
      <c r="H124" s="275">
        <f t="shared" ref="H124:H132" si="67">SUM(F124:G124)</f>
        <v>1047.7455293497258</v>
      </c>
      <c r="I124" s="274">
        <v>1180.0201282368664</v>
      </c>
      <c r="J124" s="269">
        <v>67.130914792860878</v>
      </c>
      <c r="K124" s="269">
        <f t="shared" ref="K124:K132" si="68">J124+I124</f>
        <v>1247.1510430297274</v>
      </c>
      <c r="L124" s="269">
        <v>66.23270100000002</v>
      </c>
      <c r="M124" s="2160">
        <f>SUM(K124:L124)</f>
        <v>1313.3837440297275</v>
      </c>
      <c r="N124" s="274">
        <f t="shared" si="61"/>
        <v>78.647228269669199</v>
      </c>
      <c r="O124" s="269">
        <f t="shared" si="62"/>
        <v>78.175591602120193</v>
      </c>
      <c r="P124" s="269">
        <f t="shared" si="63"/>
        <v>78.621841287780043</v>
      </c>
      <c r="Q124" s="269">
        <f t="shared" si="63"/>
        <v>101.47920085578268</v>
      </c>
      <c r="R124" s="275">
        <f t="shared" si="64"/>
        <v>79.77451632947961</v>
      </c>
      <c r="S124" s="173"/>
      <c r="T124" s="269">
        <v>309.94193834912016</v>
      </c>
      <c r="V124" s="269">
        <f t="shared" si="65"/>
        <v>1623.3256823788477</v>
      </c>
    </row>
    <row r="125" spans="2:22">
      <c r="B125" s="115"/>
      <c r="C125" s="265" t="s">
        <v>8</v>
      </c>
      <c r="D125" s="274">
        <f t="shared" si="58"/>
        <v>905.38813210000001</v>
      </c>
      <c r="E125" s="269">
        <f t="shared" si="59"/>
        <v>59.278240020000005</v>
      </c>
      <c r="F125" s="269">
        <f t="shared" si="66"/>
        <v>964.66637212000001</v>
      </c>
      <c r="G125" s="269">
        <f t="shared" si="60"/>
        <v>43.432435850000005</v>
      </c>
      <c r="H125" s="275">
        <f t="shared" si="67"/>
        <v>1008.0988079700001</v>
      </c>
      <c r="I125" s="274">
        <v>1137.056392321618</v>
      </c>
      <c r="J125" s="269">
        <v>77.149046954795949</v>
      </c>
      <c r="K125" s="269">
        <f t="shared" si="68"/>
        <v>1214.2054392764139</v>
      </c>
      <c r="L125" s="269">
        <v>57.564999999999998</v>
      </c>
      <c r="M125" s="2160">
        <f t="shared" ref="M125:M132" si="69">SUM(K125:L125)</f>
        <v>1271.770439276414</v>
      </c>
      <c r="N125" s="274">
        <f t="shared" si="61"/>
        <v>79.625613840611493</v>
      </c>
      <c r="O125" s="269">
        <f t="shared" si="62"/>
        <v>76.835997798823087</v>
      </c>
      <c r="P125" s="269">
        <f t="shared" si="63"/>
        <v>79.448365236683287</v>
      </c>
      <c r="Q125" s="269">
        <f t="shared" si="63"/>
        <v>75.449380439503173</v>
      </c>
      <c r="R125" s="275">
        <f t="shared" si="64"/>
        <v>79.26735650056213</v>
      </c>
      <c r="S125" s="173"/>
      <c r="T125" s="269">
        <v>26.375</v>
      </c>
      <c r="V125" s="269">
        <f t="shared" si="65"/>
        <v>1298.145439276414</v>
      </c>
    </row>
    <row r="126" spans="2:22">
      <c r="C126" s="265" t="s">
        <v>4</v>
      </c>
      <c r="D126" s="274">
        <f t="shared" si="58"/>
        <v>1404.1546371300001</v>
      </c>
      <c r="E126" s="269">
        <f t="shared" si="59"/>
        <v>63.55849491</v>
      </c>
      <c r="F126" s="269">
        <f t="shared" si="66"/>
        <v>1467.7131320400001</v>
      </c>
      <c r="G126" s="269">
        <f t="shared" si="60"/>
        <v>85.221844259999997</v>
      </c>
      <c r="H126" s="275">
        <f t="shared" si="67"/>
        <v>1552.9349763</v>
      </c>
      <c r="I126" s="274">
        <v>1757.4526371725324</v>
      </c>
      <c r="J126" s="269">
        <v>75.889804555467578</v>
      </c>
      <c r="K126" s="269">
        <f t="shared" si="68"/>
        <v>1833.342441728</v>
      </c>
      <c r="L126" s="269">
        <v>104.392267952</v>
      </c>
      <c r="M126" s="2160">
        <f t="shared" si="69"/>
        <v>1937.7347096799999</v>
      </c>
      <c r="N126" s="274">
        <f t="shared" si="61"/>
        <v>79.897153836763778</v>
      </c>
      <c r="O126" s="269">
        <f t="shared" si="62"/>
        <v>83.751032542909414</v>
      </c>
      <c r="P126" s="269">
        <f t="shared" si="63"/>
        <v>80.056682190623405</v>
      </c>
      <c r="Q126" s="269">
        <f t="shared" si="63"/>
        <v>81.636165141258701</v>
      </c>
      <c r="R126" s="275">
        <f t="shared" si="64"/>
        <v>80.141774234743096</v>
      </c>
      <c r="S126" s="173"/>
      <c r="T126" s="269">
        <v>72.138826782008223</v>
      </c>
      <c r="V126" s="269">
        <f t="shared" si="65"/>
        <v>2009.8735364620081</v>
      </c>
    </row>
    <row r="127" spans="2:22">
      <c r="C127" s="265" t="s">
        <v>3</v>
      </c>
      <c r="D127" s="274">
        <f t="shared" si="58"/>
        <v>1470.6514475899999</v>
      </c>
      <c r="E127" s="269">
        <f t="shared" si="59"/>
        <v>87.983276100000012</v>
      </c>
      <c r="F127" s="269">
        <f t="shared" si="66"/>
        <v>1558.6347236899999</v>
      </c>
      <c r="G127" s="269">
        <f t="shared" si="60"/>
        <v>65.898027830000004</v>
      </c>
      <c r="H127" s="275">
        <f t="shared" si="67"/>
        <v>1624.5327515199999</v>
      </c>
      <c r="I127" s="274">
        <v>2073.7957140712938</v>
      </c>
      <c r="J127" s="269">
        <v>119.79762029013017</v>
      </c>
      <c r="K127" s="269">
        <f t="shared" si="68"/>
        <v>2193.5933343614238</v>
      </c>
      <c r="L127" s="269">
        <v>106.29675000000002</v>
      </c>
      <c r="M127" s="2160">
        <f t="shared" si="69"/>
        <v>2299.8900843614238</v>
      </c>
      <c r="N127" s="274">
        <f t="shared" si="61"/>
        <v>70.915926656189484</v>
      </c>
      <c r="O127" s="269">
        <f t="shared" si="62"/>
        <v>73.443258628108779</v>
      </c>
      <c r="P127" s="269">
        <f t="shared" si="63"/>
        <v>71.053950578480112</v>
      </c>
      <c r="Q127" s="269">
        <f t="shared" si="63"/>
        <v>61.994395717648928</v>
      </c>
      <c r="R127" s="275">
        <f t="shared" si="64"/>
        <v>70.635234377779398</v>
      </c>
      <c r="S127" s="173"/>
      <c r="T127" s="269">
        <v>29.329000000000001</v>
      </c>
      <c r="V127" s="269">
        <f t="shared" si="65"/>
        <v>2329.2190843614239</v>
      </c>
    </row>
    <row r="128" spans="2:22">
      <c r="C128" s="265" t="s">
        <v>397</v>
      </c>
      <c r="D128" s="274">
        <f t="shared" si="58"/>
        <v>379.56784662000274</v>
      </c>
      <c r="E128" s="269">
        <f t="shared" si="59"/>
        <v>18.076687190000001</v>
      </c>
      <c r="F128" s="269">
        <f t="shared" si="66"/>
        <v>397.64453381000271</v>
      </c>
      <c r="G128" s="269">
        <f t="shared" si="60"/>
        <v>52.898232629999995</v>
      </c>
      <c r="H128" s="275">
        <f t="shared" si="67"/>
        <v>450.54276644000271</v>
      </c>
      <c r="I128" s="274">
        <v>587.86197227569414</v>
      </c>
      <c r="J128" s="269">
        <v>28.803297719205844</v>
      </c>
      <c r="K128" s="269">
        <f t="shared" si="68"/>
        <v>616.66526999489997</v>
      </c>
      <c r="L128" s="269">
        <v>61.932000000000009</v>
      </c>
      <c r="M128" s="2160">
        <f t="shared" si="69"/>
        <v>678.59726999489999</v>
      </c>
      <c r="N128" s="274">
        <f t="shared" si="61"/>
        <v>64.567511511357623</v>
      </c>
      <c r="O128" s="269">
        <f t="shared" si="62"/>
        <v>62.75908878984572</v>
      </c>
      <c r="P128" s="269">
        <f t="shared" si="63"/>
        <v>64.483043420507755</v>
      </c>
      <c r="Q128" s="269">
        <f t="shared" si="63"/>
        <v>85.413409271458988</v>
      </c>
      <c r="R128" s="275">
        <f t="shared" si="64"/>
        <v>66.393247712798612</v>
      </c>
      <c r="S128" s="173"/>
      <c r="T128" s="269">
        <v>31.228000000000002</v>
      </c>
      <c r="V128" s="269">
        <f t="shared" si="65"/>
        <v>709.82526999489994</v>
      </c>
    </row>
    <row r="129" spans="3:31">
      <c r="C129" s="265" t="s">
        <v>399</v>
      </c>
      <c r="D129" s="274">
        <f t="shared" si="58"/>
        <v>613.40150521999999</v>
      </c>
      <c r="E129" s="269">
        <f t="shared" si="59"/>
        <v>17.454586010000003</v>
      </c>
      <c r="F129" s="269">
        <f t="shared" si="66"/>
        <v>630.85609122999995</v>
      </c>
      <c r="G129" s="269">
        <f t="shared" si="60"/>
        <v>197.20192419</v>
      </c>
      <c r="H129" s="275">
        <f t="shared" si="67"/>
        <v>828.05801541999995</v>
      </c>
      <c r="I129" s="274">
        <v>849.57669330233068</v>
      </c>
      <c r="J129" s="269">
        <v>26.042522993420445</v>
      </c>
      <c r="K129" s="269">
        <f t="shared" si="68"/>
        <v>875.61921629575113</v>
      </c>
      <c r="L129" s="269">
        <v>291.79500000000002</v>
      </c>
      <c r="M129" s="2160">
        <f t="shared" si="69"/>
        <v>1167.4142162957512</v>
      </c>
      <c r="N129" s="274">
        <f t="shared" si="61"/>
        <v>72.200839554071266</v>
      </c>
      <c r="O129" s="269">
        <f t="shared" si="62"/>
        <v>67.023406351258075</v>
      </c>
      <c r="P129" s="269">
        <f t="shared" si="63"/>
        <v>72.046853185656971</v>
      </c>
      <c r="Q129" s="269">
        <f t="shared" si="63"/>
        <v>67.582352058808397</v>
      </c>
      <c r="R129" s="275">
        <f t="shared" si="64"/>
        <v>70.930951830230299</v>
      </c>
      <c r="S129" s="173"/>
      <c r="T129" s="269">
        <v>256.40719999999999</v>
      </c>
      <c r="V129" s="269">
        <f t="shared" si="65"/>
        <v>1423.8214162957511</v>
      </c>
    </row>
    <row r="130" spans="3:31">
      <c r="C130" s="265" t="s">
        <v>883</v>
      </c>
      <c r="D130" s="274">
        <f t="shared" si="58"/>
        <v>549.77712640377763</v>
      </c>
      <c r="E130" s="269">
        <f t="shared" si="59"/>
        <v>28.905378872004025</v>
      </c>
      <c r="F130" s="269">
        <f t="shared" si="66"/>
        <v>578.68250527578164</v>
      </c>
      <c r="G130" s="269">
        <f t="shared" si="60"/>
        <v>30.302573470489889</v>
      </c>
      <c r="H130" s="275">
        <f t="shared" si="67"/>
        <v>608.98507874627148</v>
      </c>
      <c r="I130" s="274">
        <v>708.26633326275203</v>
      </c>
      <c r="J130" s="269">
        <v>33.452507341366832</v>
      </c>
      <c r="K130" s="269">
        <f t="shared" si="68"/>
        <v>741.7188406041189</v>
      </c>
      <c r="L130" s="269">
        <v>46.687200000000004</v>
      </c>
      <c r="M130" s="2160">
        <f t="shared" si="69"/>
        <v>788.40604060411886</v>
      </c>
      <c r="N130" s="274">
        <f t="shared" si="61"/>
        <v>77.622936540147776</v>
      </c>
      <c r="O130" s="269">
        <f t="shared" si="62"/>
        <v>86.40721180340374</v>
      </c>
      <c r="P130" s="269">
        <f t="shared" si="63"/>
        <v>78.019119051156011</v>
      </c>
      <c r="Q130" s="269">
        <f t="shared" si="63"/>
        <v>64.905527576059157</v>
      </c>
      <c r="R130" s="275">
        <f t="shared" si="64"/>
        <v>77.242568851912225</v>
      </c>
      <c r="S130" s="173"/>
      <c r="T130" s="269">
        <v>48.53</v>
      </c>
      <c r="V130" s="269">
        <f t="shared" si="65"/>
        <v>836.93604060411883</v>
      </c>
    </row>
    <row r="131" spans="3:31">
      <c r="C131" s="265" t="s">
        <v>884</v>
      </c>
      <c r="D131" s="274">
        <f t="shared" si="58"/>
        <v>566.50973785999997</v>
      </c>
      <c r="E131" s="269">
        <f t="shared" si="59"/>
        <v>32.924557610000001</v>
      </c>
      <c r="F131" s="269">
        <f t="shared" si="66"/>
        <v>599.43429546999994</v>
      </c>
      <c r="G131" s="269">
        <f t="shared" si="60"/>
        <v>50.644446729999999</v>
      </c>
      <c r="H131" s="275">
        <f t="shared" si="67"/>
        <v>650.07874219999997</v>
      </c>
      <c r="I131" s="274">
        <v>708.67562178340575</v>
      </c>
      <c r="J131" s="269">
        <v>40.257847582779135</v>
      </c>
      <c r="K131" s="269">
        <f t="shared" si="68"/>
        <v>748.93346936618491</v>
      </c>
      <c r="L131" s="269">
        <v>65.98711680000001</v>
      </c>
      <c r="M131" s="2160">
        <f t="shared" si="69"/>
        <v>814.92058616618488</v>
      </c>
      <c r="N131" s="274">
        <f t="shared" si="61"/>
        <v>79.939216257271468</v>
      </c>
      <c r="O131" s="269">
        <f t="shared" si="62"/>
        <v>81.784197583588508</v>
      </c>
      <c r="P131" s="269">
        <f t="shared" si="63"/>
        <v>80.038390589927218</v>
      </c>
      <c r="Q131" s="269">
        <f t="shared" si="63"/>
        <v>76.74899160013004</v>
      </c>
      <c r="R131" s="275">
        <f t="shared" si="64"/>
        <v>79.77203585668542</v>
      </c>
      <c r="S131" s="173"/>
      <c r="T131" s="269">
        <v>775.84700000000009</v>
      </c>
      <c r="V131" s="269">
        <f t="shared" si="65"/>
        <v>1590.7675861661851</v>
      </c>
      <c r="Z131" s="221"/>
      <c r="AA131" s="221"/>
      <c r="AB131" s="221"/>
      <c r="AC131" s="221"/>
      <c r="AD131" s="221"/>
      <c r="AE131" s="221"/>
    </row>
    <row r="132" spans="3:31" ht="14.4" thickBot="1">
      <c r="C132" s="265" t="s">
        <v>885</v>
      </c>
      <c r="D132" s="274">
        <f t="shared" si="58"/>
        <v>380.55313818999974</v>
      </c>
      <c r="E132" s="269">
        <f t="shared" si="59"/>
        <v>36.412426240000002</v>
      </c>
      <c r="F132" s="269">
        <f t="shared" si="66"/>
        <v>416.96556442999974</v>
      </c>
      <c r="G132" s="269">
        <f t="shared" si="60"/>
        <v>9.688640229999999</v>
      </c>
      <c r="H132" s="275">
        <f t="shared" si="67"/>
        <v>426.65420465999972</v>
      </c>
      <c r="I132" s="274">
        <v>495.71645518896219</v>
      </c>
      <c r="J132" s="269">
        <v>47.788925336814273</v>
      </c>
      <c r="K132" s="269">
        <f t="shared" si="68"/>
        <v>543.50538052577645</v>
      </c>
      <c r="L132" s="269">
        <v>13.557962880000002</v>
      </c>
      <c r="M132" s="2160">
        <f t="shared" si="69"/>
        <v>557.06334340577644</v>
      </c>
      <c r="N132" s="274">
        <f t="shared" si="61"/>
        <v>76.768308618066087</v>
      </c>
      <c r="O132" s="269">
        <f t="shared" si="62"/>
        <v>76.194277195745258</v>
      </c>
      <c r="P132" s="269">
        <f t="shared" si="63"/>
        <v>76.717835622277647</v>
      </c>
      <c r="Q132" s="269">
        <f t="shared" si="63"/>
        <v>71.460884763832581</v>
      </c>
      <c r="R132" s="275">
        <f t="shared" si="64"/>
        <v>76.589890487411949</v>
      </c>
      <c r="S132" s="173"/>
      <c r="T132" s="269">
        <v>6.7098000000000004</v>
      </c>
      <c r="V132" s="269">
        <f t="shared" si="65"/>
        <v>563.77314340577641</v>
      </c>
      <c r="Z132" s="221"/>
      <c r="AA132" s="221"/>
      <c r="AB132" s="221"/>
      <c r="AC132" s="221"/>
      <c r="AD132" s="221"/>
      <c r="AE132" s="221"/>
    </row>
    <row r="133" spans="3:31" ht="14.4" thickBot="1">
      <c r="C133" s="105" t="s">
        <v>614</v>
      </c>
      <c r="D133" s="278">
        <f>SUM(D123:D132)</f>
        <v>8091.3965984862716</v>
      </c>
      <c r="E133" s="278">
        <f>SUM(E123:E132)</f>
        <v>426.07421192923829</v>
      </c>
      <c r="F133" s="278">
        <f>SUM(F123:F132)</f>
        <v>8517.4708104155088</v>
      </c>
      <c r="G133" s="278">
        <f>SUM(G123:G132)</f>
        <v>819.6818724604899</v>
      </c>
      <c r="H133" s="277">
        <f>SUM(F133:G133)</f>
        <v>9337.1526828759979</v>
      </c>
      <c r="I133" s="276">
        <f>SUM(I123:I132)</f>
        <v>10869.779795787177</v>
      </c>
      <c r="J133" s="278">
        <f>SUM(J123:J132)</f>
        <v>565.89919299583141</v>
      </c>
      <c r="K133" s="278">
        <f>SUM(K123:K132)</f>
        <v>11435.678988783004</v>
      </c>
      <c r="L133" s="278">
        <f>SUM(L123:L132)</f>
        <v>1105.8439986320002</v>
      </c>
      <c r="M133" s="2161">
        <f>SUM(K133:L133)</f>
        <v>12541.522987415005</v>
      </c>
      <c r="N133" s="276">
        <f t="shared" si="61"/>
        <v>74.439379182476827</v>
      </c>
      <c r="O133" s="278">
        <f t="shared" si="62"/>
        <v>75.291539059038186</v>
      </c>
      <c r="P133" s="278">
        <f t="shared" si="63"/>
        <v>74.481548658108551</v>
      </c>
      <c r="Q133" s="278">
        <f t="shared" si="63"/>
        <v>74.122740049635283</v>
      </c>
      <c r="R133" s="277">
        <f t="shared" si="64"/>
        <v>74.449910846119053</v>
      </c>
      <c r="T133" s="270">
        <f>SUM(T123:T132)</f>
        <v>1969.7777072325621</v>
      </c>
      <c r="V133" s="270">
        <f>SUM(V123:V132)</f>
        <v>14511.300694647571</v>
      </c>
    </row>
    <row r="134" spans="3:31">
      <c r="C134" s="115"/>
      <c r="D134" s="279"/>
      <c r="E134" s="279"/>
      <c r="F134" s="279"/>
      <c r="G134" s="279">
        <f>E133+D133</f>
        <v>8517.4708104155106</v>
      </c>
      <c r="H134" s="279"/>
      <c r="I134" s="279"/>
      <c r="J134" s="279">
        <f>J133+I133</f>
        <v>11435.678988783009</v>
      </c>
      <c r="K134" s="279"/>
      <c r="L134" s="279">
        <f>L133</f>
        <v>1105.8439986320002</v>
      </c>
      <c r="M134" s="287"/>
      <c r="N134" s="279"/>
      <c r="O134" s="279"/>
      <c r="P134" s="279"/>
      <c r="Q134" s="279">
        <f>G134/L134*100</f>
        <v>770.22354156211611</v>
      </c>
      <c r="R134" s="279"/>
    </row>
    <row r="135" spans="3:31" ht="21.6" thickBot="1">
      <c r="C135" s="2910" t="s">
        <v>223</v>
      </c>
      <c r="D135" s="2910"/>
      <c r="E135" s="2910"/>
      <c r="F135" s="2910"/>
      <c r="G135" s="2910"/>
      <c r="H135" s="2910"/>
      <c r="I135" s="2910"/>
      <c r="J135" s="2910"/>
      <c r="K135" s="2910"/>
      <c r="L135" s="2910"/>
      <c r="M135" s="2910"/>
      <c r="N135" s="2910"/>
      <c r="O135" s="2910"/>
      <c r="P135" s="2910"/>
      <c r="Q135" s="2910"/>
      <c r="R135" s="2910"/>
    </row>
    <row r="136" spans="3:31" ht="14.4" thickBot="1">
      <c r="C136" s="3061" t="s">
        <v>308</v>
      </c>
      <c r="D136" s="3033">
        <f>D106</f>
        <v>45139</v>
      </c>
      <c r="E136" s="3034"/>
      <c r="F136" s="3034"/>
      <c r="G136" s="3034"/>
      <c r="H136" s="3035"/>
      <c r="I136" s="3062">
        <f>I106</f>
        <v>45505</v>
      </c>
      <c r="J136" s="3063"/>
      <c r="K136" s="3063"/>
      <c r="L136" s="3063"/>
      <c r="M136" s="3064"/>
      <c r="N136" s="3062" t="s">
        <v>53</v>
      </c>
      <c r="O136" s="3063"/>
      <c r="P136" s="3063"/>
      <c r="Q136" s="3063"/>
      <c r="R136" s="3064"/>
    </row>
    <row r="137" spans="3:31" ht="14.4" thickBot="1">
      <c r="C137" s="3061"/>
      <c r="D137" s="262" t="s">
        <v>17</v>
      </c>
      <c r="E137" s="263" t="s">
        <v>18</v>
      </c>
      <c r="F137" s="263" t="s">
        <v>56</v>
      </c>
      <c r="G137" s="263" t="s">
        <v>21</v>
      </c>
      <c r="H137" s="264" t="s">
        <v>58</v>
      </c>
      <c r="I137" s="262" t="s">
        <v>17</v>
      </c>
      <c r="J137" s="263" t="s">
        <v>18</v>
      </c>
      <c r="K137" s="263" t="s">
        <v>56</v>
      </c>
      <c r="L137" s="263" t="s">
        <v>21</v>
      </c>
      <c r="M137" s="264" t="s">
        <v>58</v>
      </c>
      <c r="N137" s="262" t="s">
        <v>17</v>
      </c>
      <c r="O137" s="263" t="s">
        <v>18</v>
      </c>
      <c r="P137" s="263" t="s">
        <v>56</v>
      </c>
      <c r="Q137" s="263" t="s">
        <v>21</v>
      </c>
      <c r="R137" s="264" t="s">
        <v>58</v>
      </c>
    </row>
    <row r="138" spans="3:31">
      <c r="C138" s="265" t="s">
        <v>6</v>
      </c>
      <c r="D138" s="274">
        <f>+gaz!B382</f>
        <v>37.576510917815952</v>
      </c>
      <c r="E138" s="269">
        <f>+gaz!C382</f>
        <v>43.11662679943408</v>
      </c>
      <c r="F138" s="269">
        <f>+gaz!D382</f>
        <v>37.689136078985079</v>
      </c>
      <c r="G138" s="269">
        <f>+gaz!E382</f>
        <v>39.90121582543064</v>
      </c>
      <c r="H138" s="268">
        <f>+gaz!BB382</f>
        <v>36.824852025562151</v>
      </c>
      <c r="I138" s="284">
        <f>+gaz!AX397</f>
        <v>37.158035141370483</v>
      </c>
      <c r="J138" s="285">
        <f>+gaz!AY397</f>
        <v>43.564227175604458</v>
      </c>
      <c r="K138" s="285">
        <f>+gaz!AZ397</f>
        <v>37.33063908200171</v>
      </c>
      <c r="L138" s="285">
        <f>+gaz!BA397</f>
        <v>38.442391617431156</v>
      </c>
      <c r="M138" s="286">
        <f>+gaz!BB397</f>
        <v>37.537540464671373</v>
      </c>
      <c r="N138" s="266">
        <f t="shared" ref="N138:N148" si="70">(((I138-D138)/D138)*100)</f>
        <v>-1.1136632066790932</v>
      </c>
      <c r="O138" s="267">
        <f t="shared" ref="O138:O148" si="71">(((J138-E138)/E138)*100)</f>
        <v>1.03811547747574</v>
      </c>
      <c r="P138" s="267">
        <f t="shared" ref="P138:Q148" si="72">(((K138-F138)/F138)*100)</f>
        <v>-0.95119451990639314</v>
      </c>
      <c r="Q138" s="267">
        <f t="shared" si="72"/>
        <v>-3.6560896148676183</v>
      </c>
      <c r="R138" s="268">
        <f t="shared" ref="R138:R148" si="73">(((M138-H138)/H138)*100)</f>
        <v>1.9353463759053415</v>
      </c>
    </row>
    <row r="139" spans="3:31">
      <c r="C139" s="265" t="s">
        <v>7</v>
      </c>
      <c r="D139" s="274">
        <f>+gaz!B383</f>
        <v>38.709477802803526</v>
      </c>
      <c r="E139" s="269">
        <f>+gaz!C383</f>
        <v>44.059470157539309</v>
      </c>
      <c r="F139" s="269">
        <f>+gaz!D383</f>
        <v>38.81888493589846</v>
      </c>
      <c r="G139" s="269">
        <f>+gaz!E383</f>
        <v>46.651389105800817</v>
      </c>
      <c r="H139" s="268">
        <f>+gaz!BB383</f>
        <v>39.116493975358878</v>
      </c>
      <c r="I139" s="284">
        <f>+gaz!AX398</f>
        <v>38.591854721062155</v>
      </c>
      <c r="J139" s="285">
        <f>+gaz!AY398</f>
        <v>44.113323976361073</v>
      </c>
      <c r="K139" s="285">
        <f>+gaz!AZ398</f>
        <v>38.852128952856454</v>
      </c>
      <c r="L139" s="285">
        <f>+gaz!BA398</f>
        <v>53.276047536590298</v>
      </c>
      <c r="M139" s="286">
        <f>+gaz!BB398</f>
        <v>39.538831700955853</v>
      </c>
      <c r="N139" s="266">
        <f t="shared" si="70"/>
        <v>-0.30386119477140611</v>
      </c>
      <c r="O139" s="267">
        <f t="shared" si="71"/>
        <v>0.12222983760177841</v>
      </c>
      <c r="P139" s="267">
        <f t="shared" si="72"/>
        <v>8.5638773532237533E-2</v>
      </c>
      <c r="Q139" s="267">
        <f t="shared" si="72"/>
        <v>14.200345494033199</v>
      </c>
      <c r="R139" s="268">
        <f t="shared" si="73"/>
        <v>1.0796921775837667</v>
      </c>
    </row>
    <row r="140" spans="3:31">
      <c r="C140" s="265" t="s">
        <v>8</v>
      </c>
      <c r="D140" s="274">
        <f>+gaz!B384</f>
        <v>39.487994239812849</v>
      </c>
      <c r="E140" s="269">
        <f>+gaz!C384</f>
        <v>44.899557877926263</v>
      </c>
      <c r="F140" s="269">
        <f>+gaz!D384</f>
        <v>39.760204124670054</v>
      </c>
      <c r="G140" s="269">
        <f>+gaz!E384</f>
        <v>48.271019403707761</v>
      </c>
      <c r="H140" s="268">
        <f>+gaz!BB384</f>
        <v>39.433430811109467</v>
      </c>
      <c r="I140" s="284">
        <f>+gaz!AX399</f>
        <v>38.38968132556252</v>
      </c>
      <c r="J140" s="285">
        <f>+gaz!AY399</f>
        <v>44.55491350993578</v>
      </c>
      <c r="K140" s="285">
        <f>+gaz!AZ399</f>
        <v>38.718908060021846</v>
      </c>
      <c r="L140" s="285">
        <f>+gaz!BA399</f>
        <v>53.633562182008689</v>
      </c>
      <c r="M140" s="286">
        <f>+gaz!BB399</f>
        <v>39.188418623845507</v>
      </c>
      <c r="N140" s="266">
        <f t="shared" si="70"/>
        <v>-2.7813844065621858</v>
      </c>
      <c r="O140" s="267">
        <f t="shared" si="71"/>
        <v>-0.76758966965222364</v>
      </c>
      <c r="P140" s="267">
        <f t="shared" si="72"/>
        <v>-2.6189404394986839</v>
      </c>
      <c r="Q140" s="267">
        <f t="shared" si="72"/>
        <v>11.109238720342878</v>
      </c>
      <c r="R140" s="268">
        <f t="shared" si="73"/>
        <v>-0.62133114523459954</v>
      </c>
    </row>
    <row r="141" spans="3:31">
      <c r="C141" s="265" t="s">
        <v>4</v>
      </c>
      <c r="D141" s="274">
        <f>+gaz!B385</f>
        <v>38.427237745692771</v>
      </c>
      <c r="E141" s="269">
        <f>+gaz!C385</f>
        <v>44.005179456829914</v>
      </c>
      <c r="F141" s="269">
        <f>+gaz!D385</f>
        <v>38.591024265035564</v>
      </c>
      <c r="G141" s="269">
        <f>+gaz!E385</f>
        <v>42.434386451101041</v>
      </c>
      <c r="H141" s="268">
        <f>+gaz!BB385</f>
        <v>38.907241245713095</v>
      </c>
      <c r="I141" s="284">
        <f>+gaz!AX400</f>
        <v>38.137540732585201</v>
      </c>
      <c r="J141" s="285">
        <f>+gaz!AY400</f>
        <v>44.219376448572397</v>
      </c>
      <c r="K141" s="285">
        <f>+gaz!AZ400</f>
        <v>38.366048817185401</v>
      </c>
      <c r="L141" s="285">
        <f>+gaz!BA400</f>
        <v>49.083834854902172</v>
      </c>
      <c r="M141" s="286">
        <f>+gaz!BB400</f>
        <v>38.831363648657792</v>
      </c>
      <c r="N141" s="266">
        <f t="shared" si="70"/>
        <v>-0.7538845623636895</v>
      </c>
      <c r="O141" s="267">
        <f t="shared" si="71"/>
        <v>0.48675404665174749</v>
      </c>
      <c r="P141" s="267">
        <f t="shared" si="72"/>
        <v>-0.58297350779050527</v>
      </c>
      <c r="Q141" s="267">
        <f t="shared" si="72"/>
        <v>15.669952978968071</v>
      </c>
      <c r="R141" s="268">
        <f t="shared" si="73"/>
        <v>-0.19502178675714657</v>
      </c>
    </row>
    <row r="142" spans="3:31">
      <c r="C142" s="265" t="s">
        <v>3</v>
      </c>
      <c r="D142" s="274">
        <f>+gaz!B386</f>
        <v>40.562294973325663</v>
      </c>
      <c r="E142" s="269">
        <f>+gaz!C386</f>
        <v>44.938343991265135</v>
      </c>
      <c r="F142" s="269">
        <f>+gaz!D386</f>
        <v>40.67270085854264</v>
      </c>
      <c r="G142" s="269">
        <f>+gaz!E386</f>
        <v>39.520538317369514</v>
      </c>
      <c r="H142" s="268">
        <f>+gaz!BB386</f>
        <v>40.123218220482485</v>
      </c>
      <c r="I142" s="284">
        <f>+gaz!AX401</f>
        <v>39.638745125393562</v>
      </c>
      <c r="J142" s="285">
        <f>+gaz!AY401</f>
        <v>44.824189858215945</v>
      </c>
      <c r="K142" s="285">
        <f>+gaz!AZ401</f>
        <v>39.899297232048042</v>
      </c>
      <c r="L142" s="285">
        <f>+gaz!BA401</f>
        <v>43.132847950437217</v>
      </c>
      <c r="M142" s="286">
        <f>+gaz!BB401</f>
        <v>40.021000834600684</v>
      </c>
      <c r="N142" s="266">
        <f t="shared" si="70"/>
        <v>-2.2768678363476234</v>
      </c>
      <c r="O142" s="267">
        <f t="shared" si="71"/>
        <v>-0.25402389787967949</v>
      </c>
      <c r="P142" s="267">
        <f t="shared" si="72"/>
        <v>-1.9015300439094336</v>
      </c>
      <c r="Q142" s="267">
        <f t="shared" si="72"/>
        <v>9.1403350937658434</v>
      </c>
      <c r="R142" s="268">
        <f t="shared" si="73"/>
        <v>-0.25475869188783024</v>
      </c>
    </row>
    <row r="143" spans="3:31">
      <c r="C143" s="265" t="s">
        <v>397</v>
      </c>
      <c r="D143" s="274">
        <f>+gaz!B387</f>
        <v>34.606732408776004</v>
      </c>
      <c r="E143" s="269">
        <f>+gaz!C387</f>
        <v>43.790570016104915</v>
      </c>
      <c r="F143" s="269">
        <f>+gaz!D387</f>
        <v>35.061237349839821</v>
      </c>
      <c r="G143" s="269">
        <f>+gaz!E387</f>
        <v>34.254469669110733</v>
      </c>
      <c r="H143" s="268">
        <f>+gaz!BB387</f>
        <v>37.088387609914832</v>
      </c>
      <c r="I143" s="284">
        <f>+gaz!AX402</f>
        <v>36.899674305569164</v>
      </c>
      <c r="J143" s="285">
        <f>+gaz!AY402</f>
        <v>43.627303091806112</v>
      </c>
      <c r="K143" s="285">
        <f>+gaz!AZ402</f>
        <v>37.160172791741999</v>
      </c>
      <c r="L143" s="285">
        <f>+gaz!BA402</f>
        <v>51.191959955070047</v>
      </c>
      <c r="M143" s="286">
        <f>+gaz!BB402</f>
        <v>38.395837129394188</v>
      </c>
      <c r="N143" s="266">
        <f t="shared" si="70"/>
        <v>6.6257104823097572</v>
      </c>
      <c r="O143" s="267">
        <f t="shared" si="71"/>
        <v>-0.37283580514882103</v>
      </c>
      <c r="P143" s="267">
        <f t="shared" si="72"/>
        <v>5.9864842217605503</v>
      </c>
      <c r="Q143" s="267">
        <f t="shared" si="72"/>
        <v>49.446073606075544</v>
      </c>
      <c r="R143" s="268">
        <f t="shared" si="73"/>
        <v>3.5252260983430714</v>
      </c>
    </row>
    <row r="144" spans="3:31">
      <c r="C144" s="265" t="s">
        <v>399</v>
      </c>
      <c r="D144" s="274">
        <f>+gaz!B388</f>
        <v>37.530841003735716</v>
      </c>
      <c r="E144" s="269">
        <f>+gaz!C388</f>
        <v>43.412279343264011</v>
      </c>
      <c r="F144" s="269">
        <f>+gaz!D388</f>
        <v>37.553593891689005</v>
      </c>
      <c r="G144" s="269">
        <f>+gaz!E388</f>
        <v>33.367661599509894</v>
      </c>
      <c r="H144" s="268">
        <f>+gaz!BB388</f>
        <v>39.150659324065948</v>
      </c>
      <c r="I144" s="284">
        <f>+gaz!AX403</f>
        <v>37.22961014460531</v>
      </c>
      <c r="J144" s="285">
        <f>+gaz!AY403</f>
        <v>44.005979660725274</v>
      </c>
      <c r="K144" s="285">
        <f>+gaz!AZ403</f>
        <v>37.388907075545895</v>
      </c>
      <c r="L144" s="285">
        <f>+gaz!BA403</f>
        <v>34.118880850875883</v>
      </c>
      <c r="M144" s="286">
        <f>+gaz!BB403</f>
        <v>36.554556893499928</v>
      </c>
      <c r="N144" s="266">
        <f t="shared" si="70"/>
        <v>-0.80262219303964599</v>
      </c>
      <c r="O144" s="267">
        <f t="shared" si="71"/>
        <v>1.3675861448481699</v>
      </c>
      <c r="P144" s="267">
        <f t="shared" si="72"/>
        <v>-0.43853809736052174</v>
      </c>
      <c r="Q144" s="267">
        <f t="shared" si="72"/>
        <v>2.2513392169411786</v>
      </c>
      <c r="R144" s="268">
        <f t="shared" si="73"/>
        <v>-6.6310567315789593</v>
      </c>
    </row>
    <row r="145" spans="3:18">
      <c r="C145" s="265" t="s">
        <v>883</v>
      </c>
      <c r="D145" s="274">
        <f>+gaz!B389</f>
        <v>38.023649910513399</v>
      </c>
      <c r="E145" s="269">
        <f>+gaz!C389</f>
        <v>44.447428621194931</v>
      </c>
      <c r="F145" s="269">
        <f>+gaz!D389</f>
        <v>38.246015537557021</v>
      </c>
      <c r="G145" s="269">
        <f>+gaz!E389</f>
        <v>47.9793186938982</v>
      </c>
      <c r="H145" s="268">
        <f>+gaz!BB389</f>
        <v>47.031751184215736</v>
      </c>
      <c r="I145" s="284">
        <f>+gaz!AX404</f>
        <v>37.57350247722718</v>
      </c>
      <c r="J145" s="285">
        <f>+gaz!AY404</f>
        <v>44.415116857162559</v>
      </c>
      <c r="K145" s="285">
        <f>+gaz!AZ404</f>
        <v>37.864843920355881</v>
      </c>
      <c r="L145" s="285">
        <f>+gaz!BA404</f>
        <v>55.161624746876527</v>
      </c>
      <c r="M145" s="286">
        <f>+gaz!BB404</f>
        <v>38.465003679155267</v>
      </c>
      <c r="N145" s="266">
        <f t="shared" si="70"/>
        <v>-1.1838617132905873</v>
      </c>
      <c r="O145" s="267">
        <f t="shared" si="71"/>
        <v>-7.2696587934816051E-2</v>
      </c>
      <c r="P145" s="267">
        <f t="shared" si="72"/>
        <v>-0.99663092179323942</v>
      </c>
      <c r="Q145" s="267">
        <f t="shared" si="72"/>
        <v>14.969587414945391</v>
      </c>
      <c r="R145" s="275">
        <f t="shared" si="73"/>
        <v>-18.214817201906662</v>
      </c>
    </row>
    <row r="146" spans="3:18">
      <c r="C146" s="265" t="s">
        <v>884</v>
      </c>
      <c r="D146" s="274">
        <f>+gaz!B390</f>
        <v>34.696144519658034</v>
      </c>
      <c r="E146" s="269">
        <f>+gaz!C390</f>
        <v>43.43059781538237</v>
      </c>
      <c r="F146" s="269">
        <f>+gaz!D390</f>
        <v>34.997558050729722</v>
      </c>
      <c r="G146" s="269">
        <f>+gaz!E390</f>
        <v>43.721523889084587</v>
      </c>
      <c r="H146" s="268">
        <f>+gaz!BB390</f>
        <v>37.957297439880833</v>
      </c>
      <c r="I146" s="284">
        <f>+gaz!AX405</f>
        <v>36.657942114898063</v>
      </c>
      <c r="J146" s="285">
        <f>+gaz!AY405</f>
        <v>44.240718976313758</v>
      </c>
      <c r="K146" s="285">
        <f>+gaz!AZ405</f>
        <v>37.006327922394497</v>
      </c>
      <c r="L146" s="285">
        <f>+gaz!BA405</f>
        <v>45.9518771699599</v>
      </c>
      <c r="M146" s="286">
        <f>+gaz!BB405</f>
        <v>37.576206795948558</v>
      </c>
      <c r="N146" s="266">
        <f t="shared" si="70"/>
        <v>5.6542236101435401</v>
      </c>
      <c r="O146" s="267">
        <f t="shared" si="71"/>
        <v>1.8653235315228771</v>
      </c>
      <c r="P146" s="267">
        <f t="shared" si="72"/>
        <v>5.7397429522168926</v>
      </c>
      <c r="Q146" s="267">
        <f t="shared" si="72"/>
        <v>5.1012706842822055</v>
      </c>
      <c r="R146" s="275">
        <f t="shared" si="73"/>
        <v>-1.0039983603571103</v>
      </c>
    </row>
    <row r="147" spans="3:18" ht="14.4" thickBot="1">
      <c r="C147" s="265" t="s">
        <v>885</v>
      </c>
      <c r="D147" s="274">
        <f>+gaz!B391</f>
        <v>38.678471785868204</v>
      </c>
      <c r="E147" s="269">
        <f>+gaz!C391</f>
        <v>44.526945536498211</v>
      </c>
      <c r="F147" s="269">
        <f>+gaz!D391</f>
        <v>39.049296779998414</v>
      </c>
      <c r="G147" s="269">
        <f>+gaz!E391</f>
        <v>46.869126090206372</v>
      </c>
      <c r="H147" s="268">
        <f>+gaz!BB391</f>
        <v>39.060734985439176</v>
      </c>
      <c r="I147" s="284">
        <f>+gaz!AX406</f>
        <v>38.428742611394718</v>
      </c>
      <c r="J147" s="285">
        <f>+gaz!AY406</f>
        <v>44.526609850424101</v>
      </c>
      <c r="K147" s="285">
        <f>+gaz!AZ406</f>
        <v>38.893888435961173</v>
      </c>
      <c r="L147" s="285">
        <f>+gaz!BA406</f>
        <v>52.885544067243288</v>
      </c>
      <c r="M147" s="286">
        <f>+gaz!BB406</f>
        <v>39.128969332931618</v>
      </c>
      <c r="N147" s="266">
        <f t="shared" si="70"/>
        <v>-0.64565419196507445</v>
      </c>
      <c r="O147" s="267">
        <f t="shared" si="71"/>
        <v>-7.5389423205352826E-4</v>
      </c>
      <c r="P147" s="267">
        <f t="shared" si="72"/>
        <v>-0.39797987890230896</v>
      </c>
      <c r="Q147" s="267">
        <f t="shared" si="72"/>
        <v>12.836633577202731</v>
      </c>
      <c r="R147" s="268">
        <f t="shared" si="73"/>
        <v>0.17468782274035105</v>
      </c>
    </row>
    <row r="148" spans="3:18" ht="14.4" thickBot="1">
      <c r="C148" s="280" t="s">
        <v>614</v>
      </c>
      <c r="D148" s="283">
        <f>+gaz!AX392</f>
        <v>38.593849356023192</v>
      </c>
      <c r="E148" s="281">
        <f>+gaz!AY392</f>
        <v>44.15987306690608</v>
      </c>
      <c r="F148" s="281">
        <f>+gaz!D392</f>
        <v>38.63586281120795</v>
      </c>
      <c r="G148" s="281">
        <f>+gaz!BA392</f>
        <v>44.74953001067594</v>
      </c>
      <c r="H148" s="282">
        <f>+gaz!BB392</f>
        <v>39.303659290340207</v>
      </c>
      <c r="I148" s="283">
        <f>+gaz!AX407</f>
        <v>38.105009555978889</v>
      </c>
      <c r="J148" s="281">
        <f>+gaz!AY407</f>
        <v>44.337571861108486</v>
      </c>
      <c r="K148" s="281">
        <f>+gaz!AZ407</f>
        <v>38.374855610943307</v>
      </c>
      <c r="L148" s="281">
        <f>+gaz!BA407</f>
        <v>41.750642471103738</v>
      </c>
      <c r="M148" s="282">
        <f>+gaz!BB407</f>
        <v>38.649191826076169</v>
      </c>
      <c r="N148" s="283">
        <f t="shared" si="70"/>
        <v>-1.2666261805989352</v>
      </c>
      <c r="O148" s="281">
        <f t="shared" si="71"/>
        <v>0.40239878845026833</v>
      </c>
      <c r="P148" s="281">
        <f t="shared" si="72"/>
        <v>-0.67555680467145474</v>
      </c>
      <c r="Q148" s="281">
        <f t="shared" si="72"/>
        <v>-6.7014950522536312</v>
      </c>
      <c r="R148" s="282">
        <f t="shared" si="73"/>
        <v>-1.6651565683220952</v>
      </c>
    </row>
    <row r="149" spans="3:18">
      <c r="G149" s="106"/>
      <c r="H149" s="106"/>
      <c r="I149" s="106"/>
      <c r="J149" s="106"/>
      <c r="K149" s="106"/>
    </row>
    <row r="150" spans="3:18" ht="21">
      <c r="C150" s="109"/>
      <c r="D150" s="109"/>
      <c r="E150" s="109"/>
      <c r="F150" s="109"/>
      <c r="G150" s="109"/>
      <c r="H150" s="109"/>
      <c r="I150" s="109"/>
      <c r="J150" s="109"/>
      <c r="K150" s="109"/>
      <c r="L150" s="109"/>
      <c r="M150" s="109"/>
      <c r="N150" s="109"/>
    </row>
    <row r="151" spans="3:18" ht="15.6">
      <c r="C151" s="92"/>
      <c r="D151" s="92"/>
      <c r="E151" s="92"/>
      <c r="F151" s="1936"/>
      <c r="G151" s="92"/>
      <c r="H151" s="92"/>
      <c r="I151" s="92"/>
      <c r="J151" s="92"/>
      <c r="K151" s="92"/>
      <c r="L151" s="92"/>
      <c r="M151" s="92"/>
    </row>
    <row r="152" spans="3:18">
      <c r="C152" s="115"/>
      <c r="D152" s="115"/>
      <c r="E152" s="115"/>
      <c r="F152" s="115"/>
      <c r="G152" s="115"/>
      <c r="H152" s="115"/>
      <c r="I152" s="115"/>
      <c r="J152" s="115"/>
      <c r="K152" s="115"/>
      <c r="L152" s="115"/>
      <c r="M152" s="1790"/>
    </row>
    <row r="153" spans="3:18">
      <c r="C153" s="115"/>
      <c r="D153" s="279" t="s">
        <v>17</v>
      </c>
      <c r="E153" s="279" t="s">
        <v>18</v>
      </c>
      <c r="F153" s="279" t="s">
        <v>914</v>
      </c>
      <c r="G153" s="279" t="s">
        <v>17</v>
      </c>
      <c r="H153" s="279" t="s">
        <v>18</v>
      </c>
      <c r="I153" s="1937"/>
      <c r="J153" s="1937"/>
      <c r="K153" s="1937"/>
      <c r="L153" s="1937"/>
      <c r="M153" s="1937"/>
    </row>
    <row r="154" spans="3:18" ht="21">
      <c r="C154" s="115" t="s">
        <v>6</v>
      </c>
      <c r="D154" s="279">
        <f>D108/F108</f>
        <v>0.96801189220835793</v>
      </c>
      <c r="E154" s="279">
        <f>1-D154</f>
        <v>3.1988107791642073E-2</v>
      </c>
      <c r="F154" s="279">
        <v>1420.9445536007106</v>
      </c>
      <c r="G154" s="279">
        <f>D154*F154</f>
        <v>1375.4912260541844</v>
      </c>
      <c r="H154" s="279">
        <f>E154*F154</f>
        <v>45.453327546526261</v>
      </c>
      <c r="I154" s="109"/>
      <c r="J154" s="109"/>
      <c r="K154" s="109"/>
      <c r="L154" s="109"/>
      <c r="M154" s="109"/>
      <c r="N154" s="109"/>
    </row>
    <row r="155" spans="3:18" ht="15.6">
      <c r="C155" s="115" t="s">
        <v>7</v>
      </c>
      <c r="D155" s="279">
        <f t="shared" ref="D155:D163" si="74">D109/F109</f>
        <v>0.94726571247881808</v>
      </c>
      <c r="E155" s="279">
        <f t="shared" ref="E155:E163" si="75">1-D155</f>
        <v>5.2734287521181922E-2</v>
      </c>
      <c r="F155" s="87">
        <v>1247.1510430297274</v>
      </c>
      <c r="G155" s="279">
        <f t="shared" ref="G155:G163" si="76">D155*F155</f>
        <v>1181.3834213442558</v>
      </c>
      <c r="H155" s="279">
        <f t="shared" ref="H155:H163" si="77">E155*F155</f>
        <v>65.767621685471568</v>
      </c>
      <c r="I155" s="92"/>
      <c r="J155" s="92"/>
      <c r="K155" s="92"/>
      <c r="L155" s="92"/>
      <c r="M155" s="92"/>
    </row>
    <row r="156" spans="3:18">
      <c r="C156" s="115" t="s">
        <v>8</v>
      </c>
      <c r="D156" s="279">
        <f t="shared" si="74"/>
        <v>0.93766498142987964</v>
      </c>
      <c r="E156" s="279">
        <f t="shared" si="75"/>
        <v>6.233501857012036E-2</v>
      </c>
      <c r="F156" s="87">
        <v>1214.2054392764139</v>
      </c>
      <c r="G156" s="279">
        <f t="shared" si="76"/>
        <v>1138.5179206711775</v>
      </c>
      <c r="H156" s="279">
        <f t="shared" si="77"/>
        <v>75.687518605236406</v>
      </c>
      <c r="I156" s="115"/>
      <c r="J156" s="115"/>
      <c r="K156" s="115"/>
      <c r="L156" s="115"/>
      <c r="M156" s="1790"/>
    </row>
    <row r="157" spans="3:18">
      <c r="C157" s="115" t="s">
        <v>4</v>
      </c>
      <c r="D157" s="279">
        <f t="shared" si="74"/>
        <v>0.95808706372765662</v>
      </c>
      <c r="E157" s="279">
        <f t="shared" si="75"/>
        <v>4.1912936272343382E-2</v>
      </c>
      <c r="F157" s="87">
        <v>1833.342441728</v>
      </c>
      <c r="G157" s="279">
        <f t="shared" si="76"/>
        <v>1756.501676802472</v>
      </c>
      <c r="H157" s="279">
        <f t="shared" si="77"/>
        <v>76.840764925528077</v>
      </c>
      <c r="I157" s="1937"/>
      <c r="J157" s="1937"/>
      <c r="K157" s="1937"/>
      <c r="L157" s="1937"/>
      <c r="M157" s="1937"/>
    </row>
    <row r="158" spans="3:18">
      <c r="C158" s="115" t="s">
        <v>3</v>
      </c>
      <c r="D158" s="279">
        <f t="shared" si="74"/>
        <v>0.94443652260387045</v>
      </c>
      <c r="E158" s="279">
        <f t="shared" si="75"/>
        <v>5.5563477396129546E-2</v>
      </c>
      <c r="F158" s="87">
        <v>2193.5933343614238</v>
      </c>
      <c r="G158" s="279">
        <f t="shared" si="76"/>
        <v>2071.7096607113322</v>
      </c>
      <c r="H158" s="279">
        <f t="shared" si="77"/>
        <v>121.88367365009141</v>
      </c>
    </row>
    <row r="159" spans="3:18">
      <c r="C159" s="115" t="s">
        <v>397</v>
      </c>
      <c r="D159" s="279">
        <f t="shared" si="74"/>
        <v>0.95689388843729228</v>
      </c>
      <c r="E159" s="279">
        <f t="shared" si="75"/>
        <v>4.3106111562707716E-2</v>
      </c>
      <c r="F159" s="87">
        <v>616.66526999489997</v>
      </c>
      <c r="G159" s="279">
        <f t="shared" si="76"/>
        <v>590.08322806965259</v>
      </c>
      <c r="H159" s="279">
        <f t="shared" si="77"/>
        <v>26.582041925247434</v>
      </c>
    </row>
    <row r="160" spans="3:18">
      <c r="C160" s="115" t="s">
        <v>399</v>
      </c>
      <c r="D160" s="279">
        <f t="shared" si="74"/>
        <v>0.96879749175491914</v>
      </c>
      <c r="E160" s="279">
        <f t="shared" si="75"/>
        <v>3.1202508245080862E-2</v>
      </c>
      <c r="F160" s="87">
        <v>875.61921629575113</v>
      </c>
      <c r="G160" s="279">
        <f t="shared" si="76"/>
        <v>848.2977004797317</v>
      </c>
      <c r="H160" s="279">
        <f t="shared" si="77"/>
        <v>27.321515816019417</v>
      </c>
    </row>
    <row r="161" spans="3:17">
      <c r="C161" s="115" t="s">
        <v>883</v>
      </c>
      <c r="D161" s="279">
        <f t="shared" si="74"/>
        <v>0.95471702594667807</v>
      </c>
      <c r="E161" s="279">
        <f t="shared" si="75"/>
        <v>4.5282974053321934E-2</v>
      </c>
      <c r="F161" s="87">
        <v>741.7188406041189</v>
      </c>
      <c r="G161" s="279">
        <f t="shared" si="76"/>
        <v>708.13160559018252</v>
      </c>
      <c r="H161" s="279">
        <f t="shared" si="77"/>
        <v>33.587235013936343</v>
      </c>
    </row>
    <row r="162" spans="3:17">
      <c r="C162" s="115" t="s">
        <v>884</v>
      </c>
      <c r="D162" s="279">
        <f t="shared" si="74"/>
        <v>0.94708368167735613</v>
      </c>
      <c r="E162" s="279">
        <f t="shared" si="75"/>
        <v>5.2916318322643874E-2</v>
      </c>
      <c r="F162" s="87">
        <v>748.93346936618491</v>
      </c>
      <c r="G162" s="279">
        <f t="shared" si="76"/>
        <v>709.3026674987218</v>
      </c>
      <c r="H162" s="279">
        <f t="shared" si="77"/>
        <v>39.630801867463092</v>
      </c>
    </row>
    <row r="163" spans="3:17">
      <c r="C163" s="115" t="s">
        <v>885</v>
      </c>
      <c r="D163" s="279">
        <f t="shared" si="74"/>
        <v>0.91134168884279709</v>
      </c>
      <c r="E163" s="279">
        <f t="shared" si="75"/>
        <v>8.8658311157202907E-2</v>
      </c>
      <c r="F163" s="87">
        <v>543.50538052577645</v>
      </c>
      <c r="G163" s="279">
        <f t="shared" si="76"/>
        <v>495.31911138350819</v>
      </c>
      <c r="H163" s="279">
        <f t="shared" si="77"/>
        <v>48.186269142268259</v>
      </c>
    </row>
    <row r="164" spans="3:17">
      <c r="F164" s="173">
        <f>SUM(F154:F163)</f>
        <v>11435.678988783004</v>
      </c>
    </row>
    <row r="174" spans="3:17" ht="23.4">
      <c r="O174" s="3049" t="s">
        <v>29</v>
      </c>
      <c r="P174" s="3049"/>
      <c r="Q174" s="3049"/>
    </row>
  </sheetData>
  <mergeCells count="42">
    <mergeCell ref="C46:R46"/>
    <mergeCell ref="C31:R31"/>
    <mergeCell ref="C32:C33"/>
    <mergeCell ref="D32:H32"/>
    <mergeCell ref="I32:M32"/>
    <mergeCell ref="N32:R32"/>
    <mergeCell ref="C135:R135"/>
    <mergeCell ref="N106:R106"/>
    <mergeCell ref="C121:C122"/>
    <mergeCell ref="D121:H121"/>
    <mergeCell ref="I121:M121"/>
    <mergeCell ref="N121:R121"/>
    <mergeCell ref="C120:R120"/>
    <mergeCell ref="C106:C107"/>
    <mergeCell ref="I106:M106"/>
    <mergeCell ref="C90:R90"/>
    <mergeCell ref="D91:H91"/>
    <mergeCell ref="C105:R105"/>
    <mergeCell ref="D106:H106"/>
    <mergeCell ref="C91:C92"/>
    <mergeCell ref="I91:M91"/>
    <mergeCell ref="N91:R91"/>
    <mergeCell ref="N17:R17"/>
    <mergeCell ref="C1:R1"/>
    <mergeCell ref="C16:R16"/>
    <mergeCell ref="C17:C18"/>
    <mergeCell ref="D17:H17"/>
    <mergeCell ref="C2:C3"/>
    <mergeCell ref="D2:H2"/>
    <mergeCell ref="I2:M2"/>
    <mergeCell ref="I17:M17"/>
    <mergeCell ref="N2:R2"/>
    <mergeCell ref="O174:Q174"/>
    <mergeCell ref="C136:C137"/>
    <mergeCell ref="I136:M136"/>
    <mergeCell ref="N136:R136"/>
    <mergeCell ref="D136:H136"/>
    <mergeCell ref="D62:G62"/>
    <mergeCell ref="C47:C48"/>
    <mergeCell ref="D47:H47"/>
    <mergeCell ref="I47:M47"/>
    <mergeCell ref="N47:R47"/>
  </mergeCells>
  <phoneticPr fontId="28" type="noConversion"/>
  <hyperlinks>
    <hyperlink ref="O174" location="'tableau de bord'!F4" display="Retour" xr:uid="{00000000-0004-0000-1100-000000000000}"/>
    <hyperlink ref="O174:Q174" location="'tableau de bord'!C25" display="Retour" xr:uid="{00000000-0004-0000-1100-000001000000}"/>
  </hyperlinks>
  <pageMargins left="0.62992125984251968" right="0.15748031496062992" top="0.37" bottom="0.17" header="0.15748031496062992" footer="0.17"/>
  <pageSetup paperSize="9" scale="75" orientation="portrait" horizontalDpi="4294967294" verticalDpi="4294967294" r:id="rId1"/>
  <headerFooter alignWithMargins="0">
    <oddHeader xml:space="preserve">&amp;L&amp;"Times New Roman,Gras"&amp;12SDC_SPADCMD/EC&amp;C&amp;"Times New Roman,Gras"&amp;20Paramètre Chiffre d'affaires </oddHeader>
    <oddFooter>&amp;LTableau de bord Mai 2015&amp;RPage -10-</oddFooter>
  </headerFooter>
</worksheet>
</file>

<file path=xl/worksheets/sheet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200-000000000000}">
  <sheetPr codeName="Feuil16">
    <tabColor indexed="29"/>
  </sheetPr>
  <dimension ref="B1:AH130"/>
  <sheetViews>
    <sheetView showGridLines="0" zoomScale="82" zoomScaleNormal="82" workbookViewId="0">
      <selection activeCell="J18" sqref="J18"/>
    </sheetView>
  </sheetViews>
  <sheetFormatPr baseColWidth="10" defaultColWidth="11.44140625" defaultRowHeight="10.199999999999999"/>
  <cols>
    <col min="1" max="1" width="1.109375" style="853" customWidth="1"/>
    <col min="2" max="2" width="13.109375" style="853" bestFit="1" customWidth="1"/>
    <col min="3" max="3" width="25.88671875" style="853" customWidth="1"/>
    <col min="4" max="4" width="13" style="853" customWidth="1"/>
    <col min="5" max="5" width="12.5546875" style="853" customWidth="1"/>
    <col min="6" max="6" width="11.5546875" style="853" customWidth="1"/>
    <col min="7" max="7" width="13.5546875" style="853" customWidth="1"/>
    <col min="8" max="8" width="14.5546875" style="940" customWidth="1"/>
    <col min="9" max="9" width="7.88671875" style="853" customWidth="1"/>
    <col min="10" max="10" width="11.5546875" style="910" customWidth="1"/>
    <col min="11" max="11" width="12.5546875" style="853" customWidth="1"/>
    <col min="12" max="12" width="10.109375" style="853" customWidth="1"/>
    <col min="13" max="13" width="13" style="852" customWidth="1"/>
    <col min="14" max="14" width="13.5546875" style="853" customWidth="1"/>
    <col min="15" max="15" width="11.44140625" style="853" customWidth="1"/>
    <col min="16" max="16" width="12.33203125" style="854" customWidth="1"/>
    <col min="17" max="17" width="15" style="856" customWidth="1"/>
    <col min="18" max="18" width="9.109375" style="856" customWidth="1"/>
    <col min="19" max="19" width="11.5546875" style="856" customWidth="1"/>
    <col min="20" max="20" width="9.44140625" style="1178" customWidth="1"/>
    <col min="21" max="21" width="11.44140625" style="853" customWidth="1"/>
    <col min="22" max="16384" width="11.44140625" style="853"/>
  </cols>
  <sheetData>
    <row r="1" spans="2:34">
      <c r="B1" s="3073" t="s">
        <v>99</v>
      </c>
      <c r="C1" s="3073"/>
      <c r="D1" s="3073"/>
      <c r="E1" s="3073"/>
      <c r="F1" s="3073"/>
      <c r="G1" s="3073"/>
      <c r="H1" s="3073"/>
      <c r="I1" s="3073"/>
      <c r="J1" s="3073"/>
      <c r="K1" s="3073"/>
      <c r="L1" s="3073"/>
      <c r="Q1" s="855"/>
      <c r="R1" s="855"/>
      <c r="S1" s="855"/>
    </row>
    <row r="2" spans="2:34" ht="10.8" thickBot="1">
      <c r="B2" s="3074" t="s">
        <v>1224</v>
      </c>
      <c r="C2" s="3074"/>
      <c r="D2" s="3074"/>
      <c r="E2" s="3074"/>
      <c r="F2" s="3074"/>
      <c r="G2" s="3074"/>
      <c r="H2" s="3074"/>
      <c r="I2" s="3074"/>
      <c r="J2" s="3074"/>
      <c r="K2" s="3074"/>
      <c r="L2" s="3074"/>
    </row>
    <row r="3" spans="2:34">
      <c r="C3" s="857"/>
      <c r="D3" s="858"/>
      <c r="E3" s="858"/>
      <c r="F3" s="859"/>
      <c r="G3" s="858"/>
      <c r="H3" s="860"/>
      <c r="I3" s="858"/>
      <c r="J3" s="861"/>
      <c r="K3" s="1052"/>
      <c r="L3" s="862"/>
      <c r="M3" s="863"/>
      <c r="N3" s="3066" t="s">
        <v>1097</v>
      </c>
      <c r="O3" s="3067"/>
      <c r="P3" s="3068"/>
      <c r="Q3" s="3066" t="s">
        <v>1032</v>
      </c>
      <c r="R3" s="3067"/>
      <c r="S3" s="3068"/>
      <c r="T3" s="1201" t="s">
        <v>1033</v>
      </c>
    </row>
    <row r="4" spans="2:34" ht="29.25" customHeight="1">
      <c r="B4" s="864" t="s">
        <v>308</v>
      </c>
      <c r="C4" s="865" t="s">
        <v>100</v>
      </c>
      <c r="D4" s="866" t="s">
        <v>101</v>
      </c>
      <c r="E4" s="866" t="s">
        <v>102</v>
      </c>
      <c r="F4" s="866" t="s">
        <v>70</v>
      </c>
      <c r="G4" s="866" t="s">
        <v>103</v>
      </c>
      <c r="H4" s="867" t="s">
        <v>1094</v>
      </c>
      <c r="I4" s="866" t="s">
        <v>104</v>
      </c>
      <c r="J4" s="868" t="s">
        <v>1095</v>
      </c>
      <c r="K4" s="1053" t="s">
        <v>105</v>
      </c>
      <c r="L4" s="869" t="s">
        <v>106</v>
      </c>
      <c r="M4" s="870" t="s">
        <v>294</v>
      </c>
      <c r="N4" s="871" t="s">
        <v>1096</v>
      </c>
      <c r="O4" s="866" t="s">
        <v>104</v>
      </c>
      <c r="P4" s="872" t="s">
        <v>1037</v>
      </c>
      <c r="Q4" s="873" t="s">
        <v>729</v>
      </c>
      <c r="R4" s="874" t="s">
        <v>104</v>
      </c>
      <c r="S4" s="875" t="s">
        <v>339</v>
      </c>
      <c r="T4" s="1201"/>
    </row>
    <row r="5" spans="2:34" ht="16.5" customHeight="1">
      <c r="B5" s="3069" t="s">
        <v>107</v>
      </c>
      <c r="C5" s="876" t="s">
        <v>1031</v>
      </c>
      <c r="D5" s="877">
        <v>32.62391255</v>
      </c>
      <c r="E5" s="878">
        <f>'Feuil-saisie'!B269/1000</f>
        <v>352.58711710000006</v>
      </c>
      <c r="F5" s="878">
        <f>'Feuil-saisie'!C269/1000</f>
        <v>1.4888579399999997</v>
      </c>
      <c r="G5" s="878">
        <f>'Feuil-saisie'!D269/1000</f>
        <v>310.36309241999999</v>
      </c>
      <c r="H5" s="877">
        <f>+D5+E5-F5-G5</f>
        <v>73.359079290000068</v>
      </c>
      <c r="I5" s="879">
        <f>+G5/(D5+E5-F5)*100</f>
        <v>80.88224118948186</v>
      </c>
      <c r="J5" s="880">
        <f>+H5/((E5-F5)/'calcul-DCC-TX-Encais'!$A$98)</f>
        <v>50.77284151200066</v>
      </c>
      <c r="K5" s="1054">
        <v>28183</v>
      </c>
      <c r="L5" s="881">
        <f>+H5/K5*1000000</f>
        <v>2602.9549476634875</v>
      </c>
      <c r="M5" s="863">
        <v>1</v>
      </c>
      <c r="N5" s="882">
        <v>74.539876910000032</v>
      </c>
      <c r="O5" s="883">
        <v>85.006607660667044</v>
      </c>
      <c r="P5" s="884">
        <v>41.099810726725082</v>
      </c>
      <c r="Q5" s="885">
        <v>32.62391255</v>
      </c>
      <c r="R5" s="886">
        <v>95.354905778728295</v>
      </c>
      <c r="S5" s="887">
        <v>18.436120133065643</v>
      </c>
      <c r="T5" s="877"/>
      <c r="W5" s="80"/>
      <c r="X5" s="80"/>
      <c r="Y5" s="80"/>
      <c r="Z5" s="80" t="e">
        <f t="shared" ref="Z5:Z15" si="0">W5/$DO$61*$DR$61</f>
        <v>#DIV/0!</v>
      </c>
      <c r="AA5" s="80" t="e">
        <f t="shared" ref="AA5:AA15" si="1">X5/$DP$61*$DS$61</f>
        <v>#DIV/0!</v>
      </c>
      <c r="AB5" s="80" t="e">
        <f t="shared" ref="AB5:AB15" si="2">Y5/$DQ$61*$DT$61</f>
        <v>#DIV/0!</v>
      </c>
      <c r="AC5" s="1249" t="e">
        <f>Z5+#REF!</f>
        <v>#DIV/0!</v>
      </c>
      <c r="AD5" s="80" t="e">
        <f>AA5-W5</f>
        <v>#DIV/0!</v>
      </c>
      <c r="AE5" s="80" t="e">
        <f>AB5-Y5</f>
        <v>#DIV/0!</v>
      </c>
      <c r="AF5" s="83" t="e">
        <f t="shared" ref="AF5:AF15" si="3">AC5+W32</f>
        <v>#DIV/0!</v>
      </c>
      <c r="AG5" s="83" t="e">
        <f t="shared" ref="AG5:AG15" si="4">AD5+X32</f>
        <v>#DIV/0!</v>
      </c>
      <c r="AH5" s="83" t="e">
        <f>AE5+#REF!</f>
        <v>#DIV/0!</v>
      </c>
    </row>
    <row r="6" spans="2:34" ht="13.8">
      <c r="B6" s="3070"/>
      <c r="C6" s="876" t="s">
        <v>109</v>
      </c>
      <c r="D6" s="877">
        <v>60.057211189999975</v>
      </c>
      <c r="E6" s="878">
        <f>'Feuil-saisie'!B270/1000</f>
        <v>481.24182480999997</v>
      </c>
      <c r="F6" s="878">
        <f>'Feuil-saisie'!C270/1000</f>
        <v>5.0341772600000025</v>
      </c>
      <c r="G6" s="878">
        <f>'Feuil-saisie'!D270/1000</f>
        <v>425.88006416999997</v>
      </c>
      <c r="H6" s="877">
        <f t="shared" ref="H6:H15" si="5">+D6+E6-F6-G6</f>
        <v>110.38479456999994</v>
      </c>
      <c r="I6" s="879">
        <f t="shared" ref="I6:I41" si="6">+G6/(D6+E6-F6)*100</f>
        <v>79.415993278142736</v>
      </c>
      <c r="J6" s="880">
        <f>+H6/((E6-F6)/'calcul-DCC-TX-Encais'!$A$98)</f>
        <v>56.327329513736167</v>
      </c>
      <c r="K6" s="1054">
        <v>32112</v>
      </c>
      <c r="L6" s="881">
        <f t="shared" ref="L6:L34" si="7">+H6/K6*1000000</f>
        <v>3437.4936027030376</v>
      </c>
      <c r="M6" s="863">
        <v>2</v>
      </c>
      <c r="N6" s="882">
        <v>91.026010690000021</v>
      </c>
      <c r="O6" s="883">
        <v>85.808714403345689</v>
      </c>
      <c r="P6" s="884">
        <v>40.059230618960164</v>
      </c>
      <c r="Q6" s="885">
        <v>60.057211189999975</v>
      </c>
      <c r="R6" s="886">
        <v>93.788242099568421</v>
      </c>
      <c r="S6" s="887">
        <v>24.978936578297475</v>
      </c>
      <c r="T6" s="877"/>
      <c r="W6" s="80"/>
      <c r="X6" s="80"/>
      <c r="Y6" s="80"/>
      <c r="Z6" s="80" t="e">
        <f t="shared" si="0"/>
        <v>#DIV/0!</v>
      </c>
      <c r="AA6" s="80" t="e">
        <f t="shared" si="1"/>
        <v>#DIV/0!</v>
      </c>
      <c r="AB6" s="80" t="e">
        <f t="shared" si="2"/>
        <v>#DIV/0!</v>
      </c>
      <c r="AC6" s="1249" t="e">
        <f>Z6+#REF!</f>
        <v>#DIV/0!</v>
      </c>
      <c r="AD6" s="80" t="e">
        <f t="shared" ref="AD6:AE23" si="8">AA6-X6</f>
        <v>#DIV/0!</v>
      </c>
      <c r="AE6" s="80" t="e">
        <f t="shared" si="8"/>
        <v>#DIV/0!</v>
      </c>
      <c r="AF6" s="83" t="e">
        <f t="shared" si="3"/>
        <v>#DIV/0!</v>
      </c>
      <c r="AG6" s="83" t="e">
        <f t="shared" si="4"/>
        <v>#DIV/0!</v>
      </c>
      <c r="AH6" s="83" t="e">
        <f>AE6+#REF!</f>
        <v>#DIV/0!</v>
      </c>
    </row>
    <row r="7" spans="2:34" ht="13.8">
      <c r="B7" s="3070"/>
      <c r="C7" s="876" t="s">
        <v>1030</v>
      </c>
      <c r="D7" s="877">
        <v>81.953253220000079</v>
      </c>
      <c r="E7" s="878">
        <f>'Feuil-saisie'!B271/1000</f>
        <v>470.48344070000013</v>
      </c>
      <c r="F7" s="878">
        <f>'Feuil-saisie'!C271/1000</f>
        <v>5.6959614500000075</v>
      </c>
      <c r="G7" s="878">
        <f>'Feuil-saisie'!D271/1000</f>
        <v>401.58477151000011</v>
      </c>
      <c r="H7" s="877">
        <f t="shared" si="5"/>
        <v>145.15596096000002</v>
      </c>
      <c r="I7" s="879">
        <f t="shared" si="6"/>
        <v>73.450677379709433</v>
      </c>
      <c r="J7" s="880">
        <f>+H7/((E7-F7)/'calcul-DCC-TX-Encais'!$A$98)</f>
        <v>75.890380201716667</v>
      </c>
      <c r="K7" s="1054">
        <v>29953</v>
      </c>
      <c r="L7" s="881">
        <f t="shared" si="7"/>
        <v>4846.1242933929825</v>
      </c>
      <c r="M7" s="863">
        <v>3</v>
      </c>
      <c r="N7" s="882">
        <v>156.08310120000021</v>
      </c>
      <c r="O7" s="883">
        <v>79.723973836966593</v>
      </c>
      <c r="P7" s="884">
        <v>56.987916161152803</v>
      </c>
      <c r="Q7" s="885">
        <v>81.953253220000079</v>
      </c>
      <c r="R7" s="886">
        <v>92.383803010937299</v>
      </c>
      <c r="S7" s="887">
        <v>30.781097827164814</v>
      </c>
      <c r="T7" s="877"/>
      <c r="W7" s="80"/>
      <c r="X7" s="80"/>
      <c r="Y7" s="80"/>
      <c r="Z7" s="80" t="e">
        <f t="shared" si="0"/>
        <v>#DIV/0!</v>
      </c>
      <c r="AA7" s="80" t="e">
        <f t="shared" si="1"/>
        <v>#DIV/0!</v>
      </c>
      <c r="AB7" s="80" t="e">
        <f t="shared" si="2"/>
        <v>#DIV/0!</v>
      </c>
      <c r="AC7" s="1249" t="e">
        <f>Z7+#REF!</f>
        <v>#DIV/0!</v>
      </c>
      <c r="AD7" s="80" t="e">
        <f t="shared" si="8"/>
        <v>#DIV/0!</v>
      </c>
      <c r="AE7" s="80" t="e">
        <f t="shared" si="8"/>
        <v>#DIV/0!</v>
      </c>
      <c r="AF7" s="83" t="e">
        <f t="shared" si="3"/>
        <v>#DIV/0!</v>
      </c>
      <c r="AG7" s="83" t="e">
        <f t="shared" si="4"/>
        <v>#DIV/0!</v>
      </c>
      <c r="AH7" s="83" t="e">
        <f>AE7+#REF!</f>
        <v>#DIV/0!</v>
      </c>
    </row>
    <row r="8" spans="2:34" ht="13.8">
      <c r="B8" s="3070"/>
      <c r="C8" s="876" t="s">
        <v>111</v>
      </c>
      <c r="D8" s="877">
        <v>44.448251439999922</v>
      </c>
      <c r="E8" s="878">
        <f>'Feuil-saisie'!B272/1000</f>
        <v>508.18695935</v>
      </c>
      <c r="F8" s="878">
        <f>'Feuil-saisie'!C272/1000</f>
        <v>13.978995800000016</v>
      </c>
      <c r="G8" s="878">
        <f>'Feuil-saisie'!D272/1000</f>
        <v>408.19427826000003</v>
      </c>
      <c r="H8" s="877">
        <f t="shared" si="5"/>
        <v>130.46193672999993</v>
      </c>
      <c r="I8" s="879">
        <f t="shared" si="6"/>
        <v>75.78011111736231</v>
      </c>
      <c r="J8" s="880">
        <f>+H8/((E8-F8)/'calcul-DCC-TX-Encais'!$A$98)</f>
        <v>64.147591628564683</v>
      </c>
      <c r="K8" s="1054">
        <v>25202</v>
      </c>
      <c r="L8" s="881">
        <f t="shared" si="7"/>
        <v>5176.6501361003066</v>
      </c>
      <c r="M8" s="863">
        <v>4</v>
      </c>
      <c r="N8" s="882">
        <v>106.34485699000004</v>
      </c>
      <c r="O8" s="883">
        <v>83.755430891300236</v>
      </c>
      <c r="P8" s="884">
        <v>44.359963480010606</v>
      </c>
      <c r="Q8" s="885">
        <v>44.448251439999922</v>
      </c>
      <c r="R8" s="886">
        <v>95.168058697396205</v>
      </c>
      <c r="S8" s="887">
        <v>19.13651294194467</v>
      </c>
      <c r="T8" s="877"/>
      <c r="W8" s="80"/>
      <c r="X8" s="80"/>
      <c r="Y8" s="80"/>
      <c r="Z8" s="80" t="e">
        <f t="shared" si="0"/>
        <v>#DIV/0!</v>
      </c>
      <c r="AA8" s="80" t="e">
        <f t="shared" si="1"/>
        <v>#DIV/0!</v>
      </c>
      <c r="AB8" s="80" t="e">
        <f t="shared" si="2"/>
        <v>#DIV/0!</v>
      </c>
      <c r="AC8" s="1249" t="e">
        <f>Z8+#REF!</f>
        <v>#DIV/0!</v>
      </c>
      <c r="AD8" s="80" t="e">
        <f t="shared" si="8"/>
        <v>#DIV/0!</v>
      </c>
      <c r="AE8" s="80" t="e">
        <f t="shared" si="8"/>
        <v>#DIV/0!</v>
      </c>
      <c r="AF8" s="83" t="e">
        <f t="shared" si="3"/>
        <v>#DIV/0!</v>
      </c>
      <c r="AG8" s="83" t="e">
        <f t="shared" si="4"/>
        <v>#DIV/0!</v>
      </c>
      <c r="AH8" s="83" t="e">
        <f>AE8+#REF!</f>
        <v>#DIV/0!</v>
      </c>
    </row>
    <row r="9" spans="2:34" ht="13.8">
      <c r="B9" s="3070"/>
      <c r="C9" s="876" t="s">
        <v>112</v>
      </c>
      <c r="D9" s="877">
        <v>93.602147369999784</v>
      </c>
      <c r="E9" s="878">
        <f>'Feuil-saisie'!B273/1000</f>
        <v>397.15241480999998</v>
      </c>
      <c r="F9" s="878">
        <f>'Feuil-saisie'!C273/1000</f>
        <v>4.1940386600000137</v>
      </c>
      <c r="G9" s="878">
        <f>'Feuil-saisie'!D273/1000</f>
        <v>326.95019761999998</v>
      </c>
      <c r="H9" s="877">
        <f t="shared" si="5"/>
        <v>159.61032589999979</v>
      </c>
      <c r="I9" s="879">
        <f t="shared" si="6"/>
        <v>67.196203106387202</v>
      </c>
      <c r="J9" s="880">
        <f>+H9/((E9-F9)/'calcul-DCC-TX-Encais'!$A$98)</f>
        <v>98.700807891405859</v>
      </c>
      <c r="K9" s="1054">
        <v>32955</v>
      </c>
      <c r="L9" s="881">
        <f t="shared" si="7"/>
        <v>4843.2810165376968</v>
      </c>
      <c r="M9" s="863">
        <v>5</v>
      </c>
      <c r="N9" s="882">
        <v>137.05001307999987</v>
      </c>
      <c r="O9" s="883">
        <v>75.36257797401295</v>
      </c>
      <c r="P9" s="884">
        <v>74.784093291311564</v>
      </c>
      <c r="Q9" s="885">
        <v>93.602147369999784</v>
      </c>
      <c r="R9" s="886">
        <v>87.854654100867194</v>
      </c>
      <c r="S9" s="887">
        <v>51.78525475224459</v>
      </c>
      <c r="T9" s="877"/>
      <c r="W9" s="80"/>
      <c r="X9" s="80"/>
      <c r="Y9" s="80"/>
      <c r="Z9" s="80" t="e">
        <f t="shared" si="0"/>
        <v>#DIV/0!</v>
      </c>
      <c r="AA9" s="80" t="e">
        <f t="shared" si="1"/>
        <v>#DIV/0!</v>
      </c>
      <c r="AB9" s="80" t="e">
        <f t="shared" si="2"/>
        <v>#DIV/0!</v>
      </c>
      <c r="AC9" s="1249" t="e">
        <f>Z9+#REF!</f>
        <v>#DIV/0!</v>
      </c>
      <c r="AD9" s="80" t="e">
        <f t="shared" si="8"/>
        <v>#DIV/0!</v>
      </c>
      <c r="AE9" s="80" t="e">
        <f t="shared" si="8"/>
        <v>#DIV/0!</v>
      </c>
      <c r="AF9" s="83" t="e">
        <f t="shared" si="3"/>
        <v>#DIV/0!</v>
      </c>
      <c r="AG9" s="83" t="e">
        <f t="shared" si="4"/>
        <v>#DIV/0!</v>
      </c>
      <c r="AH9" s="83" t="e">
        <f>AE9+#REF!</f>
        <v>#DIV/0!</v>
      </c>
    </row>
    <row r="10" spans="2:34" ht="13.8">
      <c r="B10" s="3070"/>
      <c r="C10" s="876" t="s">
        <v>113</v>
      </c>
      <c r="D10" s="877">
        <v>278.2511397899998</v>
      </c>
      <c r="E10" s="878">
        <f>'Feuil-saisie'!B274/1000</f>
        <v>894.8490696299998</v>
      </c>
      <c r="F10" s="878">
        <f>'Feuil-saisie'!C274/1000</f>
        <v>13.370923900000019</v>
      </c>
      <c r="G10" s="878">
        <f>'Feuil-saisie'!D274/1000</f>
        <v>732.25558312999976</v>
      </c>
      <c r="H10" s="877">
        <f t="shared" si="5"/>
        <v>427.47370238999986</v>
      </c>
      <c r="I10" s="879">
        <f t="shared" si="6"/>
        <v>63.140216624060756</v>
      </c>
      <c r="J10" s="880">
        <f>+H10/((E10-F10)/'calcul-DCC-TX-Encais'!$A$98)</f>
        <v>117.84309138457941</v>
      </c>
      <c r="K10" s="1054">
        <v>29122</v>
      </c>
      <c r="L10" s="881">
        <f t="shared" si="7"/>
        <v>14678.720636975477</v>
      </c>
      <c r="M10" s="863">
        <v>6</v>
      </c>
      <c r="N10" s="882">
        <v>477.10138647999986</v>
      </c>
      <c r="O10" s="883">
        <v>65.614262412184331</v>
      </c>
      <c r="P10" s="884">
        <v>113.74195546473564</v>
      </c>
      <c r="Q10" s="885">
        <v>278.2511397899998</v>
      </c>
      <c r="R10" s="886">
        <v>84.367060559572323</v>
      </c>
      <c r="S10" s="887">
        <v>71.943246035293399</v>
      </c>
      <c r="T10" s="877"/>
      <c r="W10" s="80"/>
      <c r="X10" s="80"/>
      <c r="Y10" s="80"/>
      <c r="Z10" s="80" t="e">
        <f t="shared" si="0"/>
        <v>#DIV/0!</v>
      </c>
      <c r="AA10" s="80" t="e">
        <f t="shared" si="1"/>
        <v>#DIV/0!</v>
      </c>
      <c r="AB10" s="80" t="e">
        <f t="shared" si="2"/>
        <v>#DIV/0!</v>
      </c>
      <c r="AC10" s="1249" t="e">
        <f>Z10+#REF!</f>
        <v>#DIV/0!</v>
      </c>
      <c r="AD10" s="80" t="e">
        <f t="shared" si="8"/>
        <v>#DIV/0!</v>
      </c>
      <c r="AE10" s="80" t="e">
        <f>AB10-Y10</f>
        <v>#DIV/0!</v>
      </c>
      <c r="AF10" s="83" t="e">
        <f t="shared" si="3"/>
        <v>#DIV/0!</v>
      </c>
      <c r="AG10" s="83" t="e">
        <f t="shared" si="4"/>
        <v>#DIV/0!</v>
      </c>
      <c r="AH10" s="83" t="e">
        <f>AE10+#REF!</f>
        <v>#DIV/0!</v>
      </c>
    </row>
    <row r="11" spans="2:34" ht="13.8">
      <c r="B11" s="3070"/>
      <c r="C11" s="876" t="s">
        <v>65</v>
      </c>
      <c r="D11" s="877">
        <v>167.67140456999982</v>
      </c>
      <c r="E11" s="878">
        <f>'Feuil-saisie'!B275/1000</f>
        <v>712.86846761000004</v>
      </c>
      <c r="F11" s="878">
        <f>'Feuil-saisie'!C275/1000</f>
        <v>15.775189800000016</v>
      </c>
      <c r="G11" s="878">
        <f>'Feuil-saisie'!D275/1000</f>
        <v>605.44632880999995</v>
      </c>
      <c r="H11" s="877">
        <f>+D11+E11-F11-G11</f>
        <v>259.31835356999989</v>
      </c>
      <c r="I11" s="879">
        <f t="shared" si="6"/>
        <v>70.01284177606496</v>
      </c>
      <c r="J11" s="880">
        <f>+H11/((E11-F11)/'calcul-DCC-TX-Encais'!$A$98)</f>
        <v>90.395879466055021</v>
      </c>
      <c r="K11" s="1054">
        <v>42108</v>
      </c>
      <c r="L11" s="881">
        <f t="shared" si="7"/>
        <v>6158.4106005984586</v>
      </c>
      <c r="M11" s="863">
        <v>7</v>
      </c>
      <c r="N11" s="882">
        <v>303.68249803000003</v>
      </c>
      <c r="O11" s="883">
        <v>73.478553550553869</v>
      </c>
      <c r="P11" s="884">
        <v>86.657452469744612</v>
      </c>
      <c r="Q11" s="885">
        <v>167.67140456999982</v>
      </c>
      <c r="R11" s="886">
        <v>88.662185003516186</v>
      </c>
      <c r="S11" s="887">
        <v>51.628487084757616</v>
      </c>
      <c r="T11" s="877"/>
      <c r="W11" s="80"/>
      <c r="X11" s="80"/>
      <c r="Y11" s="80"/>
      <c r="Z11" s="80" t="e">
        <f t="shared" si="0"/>
        <v>#DIV/0!</v>
      </c>
      <c r="AA11" s="80" t="e">
        <f t="shared" si="1"/>
        <v>#DIV/0!</v>
      </c>
      <c r="AB11" s="80" t="e">
        <f t="shared" si="2"/>
        <v>#DIV/0!</v>
      </c>
      <c r="AC11" s="1249" t="e">
        <f>Z11+#REF!</f>
        <v>#DIV/0!</v>
      </c>
      <c r="AD11" s="80" t="e">
        <f t="shared" si="8"/>
        <v>#DIV/0!</v>
      </c>
      <c r="AE11" s="80" t="e">
        <f t="shared" si="8"/>
        <v>#DIV/0!</v>
      </c>
      <c r="AF11" s="83" t="e">
        <f t="shared" si="3"/>
        <v>#DIV/0!</v>
      </c>
      <c r="AG11" s="83" t="e">
        <f t="shared" si="4"/>
        <v>#DIV/0!</v>
      </c>
      <c r="AH11" s="83" t="e">
        <f>AE11+#REF!</f>
        <v>#DIV/0!</v>
      </c>
    </row>
    <row r="12" spans="2:34" ht="13.8">
      <c r="B12" s="3070"/>
      <c r="C12" s="876" t="s">
        <v>273</v>
      </c>
      <c r="D12" s="877">
        <v>41.153374799999938</v>
      </c>
      <c r="E12" s="878">
        <f>'Feuil-saisie'!B276/1000</f>
        <v>361.07849949999991</v>
      </c>
      <c r="F12" s="878">
        <f>'Feuil-saisie'!C276/1000</f>
        <v>14.702398139999994</v>
      </c>
      <c r="G12" s="878">
        <f>'Feuil-saisie'!D276/1000</f>
        <v>311.69838236999993</v>
      </c>
      <c r="H12" s="877">
        <f>+D12+E12-F12-G12</f>
        <v>75.831093789999898</v>
      </c>
      <c r="I12" s="879">
        <f t="shared" si="6"/>
        <v>80.432173949345881</v>
      </c>
      <c r="J12" s="880">
        <f>+H12/((E12-F12)/'calcul-DCC-TX-Encais'!$A$98)</f>
        <v>53.19927015350936</v>
      </c>
      <c r="K12" s="1054">
        <v>25202</v>
      </c>
      <c r="L12" s="881">
        <f t="shared" si="7"/>
        <v>3008.9315843980598</v>
      </c>
      <c r="M12" s="863">
        <v>8</v>
      </c>
      <c r="N12" s="882">
        <v>118.91046010999992</v>
      </c>
      <c r="O12" s="883">
        <v>76.39257573081008</v>
      </c>
      <c r="P12" s="884">
        <v>64.24075790543624</v>
      </c>
      <c r="Q12" s="885">
        <v>41.153374799999938</v>
      </c>
      <c r="R12" s="886">
        <v>93.926667073912611</v>
      </c>
      <c r="S12" s="887">
        <v>24.083494211881472</v>
      </c>
      <c r="T12" s="877"/>
      <c r="W12" s="80"/>
      <c r="X12" s="80"/>
      <c r="Y12" s="80"/>
      <c r="Z12" s="80" t="e">
        <f t="shared" si="0"/>
        <v>#DIV/0!</v>
      </c>
      <c r="AA12" s="80" t="e">
        <f t="shared" si="1"/>
        <v>#DIV/0!</v>
      </c>
      <c r="AB12" s="80" t="e">
        <f t="shared" si="2"/>
        <v>#DIV/0!</v>
      </c>
      <c r="AC12" s="1249" t="e">
        <f>Z12+#REF!</f>
        <v>#DIV/0!</v>
      </c>
      <c r="AD12" s="80" t="e">
        <f t="shared" si="8"/>
        <v>#DIV/0!</v>
      </c>
      <c r="AE12" s="80" t="e">
        <f t="shared" si="8"/>
        <v>#DIV/0!</v>
      </c>
      <c r="AF12" s="83" t="e">
        <f t="shared" si="3"/>
        <v>#DIV/0!</v>
      </c>
      <c r="AG12" s="83" t="e">
        <f t="shared" si="4"/>
        <v>#DIV/0!</v>
      </c>
      <c r="AH12" s="83" t="e">
        <f>AE12+#REF!</f>
        <v>#DIV/0!</v>
      </c>
    </row>
    <row r="13" spans="2:34" ht="13.8">
      <c r="B13" s="3070"/>
      <c r="C13" s="876" t="s">
        <v>411</v>
      </c>
      <c r="D13" s="877">
        <v>129.12296336999975</v>
      </c>
      <c r="E13" s="878">
        <f>'Feuil-saisie'!B277/1000</f>
        <v>719.33741773000008</v>
      </c>
      <c r="F13" s="878">
        <f>'Feuil-saisie'!C277/1000</f>
        <v>14.732754080000111</v>
      </c>
      <c r="G13" s="878">
        <f>'Feuil-saisie'!D277/1000</f>
        <v>608.16463705000001</v>
      </c>
      <c r="H13" s="877">
        <f t="shared" si="5"/>
        <v>225.56298996999976</v>
      </c>
      <c r="I13" s="879">
        <f>+G13/(D13+E13-F13)*100</f>
        <v>72.945242227820657</v>
      </c>
      <c r="J13" s="880">
        <f>+H13/((E13-F13)/'calcul-DCC-TX-Encais'!$A$98)</f>
        <v>77.790865417741173</v>
      </c>
      <c r="K13" s="1054">
        <v>24009</v>
      </c>
      <c r="L13" s="881">
        <f t="shared" si="7"/>
        <v>9394.9348148610843</v>
      </c>
      <c r="M13" s="863">
        <v>9</v>
      </c>
      <c r="N13" s="882">
        <v>189.19272451999984</v>
      </c>
      <c r="O13" s="883">
        <v>80.085009787652382</v>
      </c>
      <c r="P13" s="884">
        <v>57.335812092387712</v>
      </c>
      <c r="Q13" s="885">
        <v>129.12296336999975</v>
      </c>
      <c r="R13" s="886">
        <v>90.083687318983309</v>
      </c>
      <c r="S13" s="887">
        <v>40.841878776701151</v>
      </c>
      <c r="T13" s="877"/>
      <c r="W13" s="80"/>
      <c r="X13" s="80"/>
      <c r="Y13" s="80"/>
      <c r="Z13" s="80" t="e">
        <f t="shared" si="0"/>
        <v>#DIV/0!</v>
      </c>
      <c r="AA13" s="80" t="e">
        <f t="shared" si="1"/>
        <v>#DIV/0!</v>
      </c>
      <c r="AB13" s="80" t="e">
        <f t="shared" si="2"/>
        <v>#DIV/0!</v>
      </c>
      <c r="AC13" s="1249" t="e">
        <f t="shared" ref="AC13:AC25" si="9">Z13-W13</f>
        <v>#DIV/0!</v>
      </c>
      <c r="AD13" s="80" t="e">
        <f t="shared" si="8"/>
        <v>#DIV/0!</v>
      </c>
      <c r="AE13" s="80" t="e">
        <f t="shared" si="8"/>
        <v>#DIV/0!</v>
      </c>
      <c r="AF13" s="83" t="e">
        <f t="shared" si="3"/>
        <v>#DIV/0!</v>
      </c>
      <c r="AG13" s="83" t="e">
        <f t="shared" si="4"/>
        <v>#DIV/0!</v>
      </c>
      <c r="AH13" s="83" t="e">
        <f>AE13+#REF!</f>
        <v>#DIV/0!</v>
      </c>
    </row>
    <row r="14" spans="2:34" ht="13.8">
      <c r="B14" s="3070"/>
      <c r="C14" s="876" t="s">
        <v>412</v>
      </c>
      <c r="D14" s="877">
        <v>37.884916409999846</v>
      </c>
      <c r="E14" s="878">
        <f>'Feuil-saisie'!B278/1000</f>
        <v>323.70270955000001</v>
      </c>
      <c r="F14" s="878">
        <f>'Feuil-saisie'!C278/1000</f>
        <v>5.505104380000005</v>
      </c>
      <c r="G14" s="878">
        <f>'Feuil-saisie'!D278/1000</f>
        <v>280.29329468999998</v>
      </c>
      <c r="H14" s="877">
        <f t="shared" si="5"/>
        <v>75.789226889999895</v>
      </c>
      <c r="I14" s="879">
        <f>+G14/(D14+E14-F14)*100</f>
        <v>78.715825041422988</v>
      </c>
      <c r="J14" s="880">
        <f>+H14/((E14-F14)/'calcul-DCC-TX-Encais'!$A$98)</f>
        <v>57.878443567891203</v>
      </c>
      <c r="K14" s="1054">
        <v>23278</v>
      </c>
      <c r="L14" s="881">
        <f t="shared" si="7"/>
        <v>3255.8306937881216</v>
      </c>
      <c r="M14" s="863">
        <v>10</v>
      </c>
      <c r="N14" s="882">
        <v>83.387252939999996</v>
      </c>
      <c r="O14" s="883">
        <v>83.867594542527968</v>
      </c>
      <c r="P14" s="884">
        <v>43.232141594977108</v>
      </c>
      <c r="Q14" s="889">
        <v>37.884916409999846</v>
      </c>
      <c r="R14" s="886">
        <v>94.557303857163205</v>
      </c>
      <c r="S14" s="887">
        <v>21.34342941843142</v>
      </c>
      <c r="T14" s="877"/>
      <c r="W14" s="80"/>
      <c r="X14" s="80"/>
      <c r="Y14" s="80"/>
      <c r="Z14" s="80" t="e">
        <f t="shared" si="0"/>
        <v>#DIV/0!</v>
      </c>
      <c r="AA14" s="80" t="e">
        <f t="shared" si="1"/>
        <v>#DIV/0!</v>
      </c>
      <c r="AB14" s="80" t="e">
        <f t="shared" si="2"/>
        <v>#DIV/0!</v>
      </c>
      <c r="AC14" s="1249" t="e">
        <f t="shared" si="9"/>
        <v>#DIV/0!</v>
      </c>
      <c r="AD14" s="80" t="e">
        <f t="shared" si="8"/>
        <v>#DIV/0!</v>
      </c>
      <c r="AE14" s="80" t="e">
        <f t="shared" si="8"/>
        <v>#DIV/0!</v>
      </c>
      <c r="AF14" s="83" t="e">
        <f t="shared" si="3"/>
        <v>#DIV/0!</v>
      </c>
      <c r="AG14" s="83" t="e">
        <f t="shared" si="4"/>
        <v>#DIV/0!</v>
      </c>
      <c r="AH14" s="83" t="e">
        <f>AE14+#REF!</f>
        <v>#DIV/0!</v>
      </c>
    </row>
    <row r="15" spans="2:34" ht="13.8">
      <c r="B15" s="3070"/>
      <c r="C15" s="876" t="s">
        <v>417</v>
      </c>
      <c r="D15" s="877">
        <v>4.703808380000055</v>
      </c>
      <c r="E15" s="878">
        <f>'Feuil-saisie'!B279/1000</f>
        <v>179.49522307999999</v>
      </c>
      <c r="F15" s="878">
        <f>'Feuil-saisie'!C279/1000</f>
        <v>3.3324712200000075</v>
      </c>
      <c r="G15" s="878">
        <f>'Feuil-saisie'!D279/1000</f>
        <v>155.69591431999999</v>
      </c>
      <c r="H15" s="877">
        <f t="shared" si="5"/>
        <v>25.170645920000055</v>
      </c>
      <c r="I15" s="879">
        <f t="shared" si="6"/>
        <v>86.083305898779756</v>
      </c>
      <c r="J15" s="880">
        <f>+H15/((E15-F15)/'calcul-DCC-TX-Encais'!$A$98)</f>
        <v>34.720546165292028</v>
      </c>
      <c r="K15" s="1054">
        <v>15863</v>
      </c>
      <c r="L15" s="881">
        <f t="shared" si="7"/>
        <v>1586.7519334299977</v>
      </c>
      <c r="M15" s="863">
        <v>11</v>
      </c>
      <c r="N15" s="882">
        <v>20.006931460000061</v>
      </c>
      <c r="O15" s="883">
        <v>90.654941629801982</v>
      </c>
      <c r="P15" s="884">
        <v>24.198624920709065</v>
      </c>
      <c r="Q15" s="2747">
        <v>4.703808380000055</v>
      </c>
      <c r="R15" s="886">
        <v>98.454179889856761</v>
      </c>
      <c r="S15" s="887">
        <v>5.8977662389882006</v>
      </c>
      <c r="T15" s="877"/>
      <c r="W15" s="80"/>
      <c r="X15" s="80"/>
      <c r="Y15" s="80"/>
      <c r="Z15" s="80" t="e">
        <f t="shared" si="0"/>
        <v>#DIV/0!</v>
      </c>
      <c r="AA15" s="80" t="e">
        <f t="shared" si="1"/>
        <v>#DIV/0!</v>
      </c>
      <c r="AB15" s="80" t="e">
        <f t="shared" si="2"/>
        <v>#DIV/0!</v>
      </c>
      <c r="AC15" s="1249" t="e">
        <f t="shared" si="9"/>
        <v>#DIV/0!</v>
      </c>
      <c r="AD15" s="80" t="e">
        <f t="shared" si="8"/>
        <v>#DIV/0!</v>
      </c>
      <c r="AE15" s="80" t="e">
        <f t="shared" si="8"/>
        <v>#DIV/0!</v>
      </c>
      <c r="AF15" s="83" t="e">
        <f t="shared" si="3"/>
        <v>#DIV/0!</v>
      </c>
      <c r="AG15" s="83" t="e">
        <f t="shared" si="4"/>
        <v>#DIV/0!</v>
      </c>
      <c r="AH15" s="83" t="e">
        <f>AE15+#REF!</f>
        <v>#DIV/0!</v>
      </c>
    </row>
    <row r="16" spans="2:34" ht="13.8">
      <c r="B16" s="3070"/>
      <c r="C16" s="876" t="s">
        <v>1210</v>
      </c>
      <c r="D16" s="877"/>
      <c r="E16" s="878">
        <f>'Feuil-saisie'!B280/1000</f>
        <v>0</v>
      </c>
      <c r="F16" s="878">
        <f>'Feuil-saisie'!C280/1000</f>
        <v>0</v>
      </c>
      <c r="G16" s="878">
        <f>'Feuil-saisie'!D280/1000</f>
        <v>0</v>
      </c>
      <c r="H16" s="877">
        <f t="shared" ref="H16:H17" si="10">+D16+E16-F16-G16</f>
        <v>0</v>
      </c>
      <c r="I16" s="879" t="e">
        <f t="shared" ref="I16:I17" si="11">+G16/(D16+E16-F16)*100</f>
        <v>#DIV/0!</v>
      </c>
      <c r="J16" s="880" t="e">
        <f>+H16/((E16-F16)/'calcul-DCC-TX-Encais'!$A$98)</f>
        <v>#DIV/0!</v>
      </c>
      <c r="K16" s="2746">
        <v>54608</v>
      </c>
      <c r="L16" s="881">
        <f t="shared" si="7"/>
        <v>0</v>
      </c>
      <c r="M16" s="863">
        <v>12</v>
      </c>
      <c r="N16" s="2732"/>
      <c r="O16" s="2733"/>
      <c r="P16" s="2734"/>
      <c r="Q16" s="2732"/>
      <c r="R16" s="2733"/>
      <c r="S16" s="2734"/>
      <c r="T16" s="2735"/>
      <c r="W16" s="80"/>
      <c r="X16" s="80"/>
      <c r="Y16" s="80"/>
      <c r="Z16" s="80"/>
      <c r="AA16" s="80"/>
      <c r="AB16" s="80"/>
      <c r="AC16" s="1249"/>
      <c r="AD16" s="80"/>
      <c r="AE16" s="80"/>
      <c r="AF16" s="83"/>
      <c r="AG16" s="83"/>
      <c r="AH16" s="83"/>
    </row>
    <row r="17" spans="2:34" ht="13.8">
      <c r="B17" s="3070"/>
      <c r="C17" s="876" t="s">
        <v>1211</v>
      </c>
      <c r="D17" s="877"/>
      <c r="E17" s="878">
        <f>'Feuil-saisie'!B281/1000</f>
        <v>0</v>
      </c>
      <c r="F17" s="878">
        <f>'Feuil-saisie'!C281/1000</f>
        <v>0</v>
      </c>
      <c r="G17" s="878">
        <f>'Feuil-saisie'!D281/1000</f>
        <v>0</v>
      </c>
      <c r="H17" s="877">
        <f t="shared" si="10"/>
        <v>0</v>
      </c>
      <c r="I17" s="879" t="e">
        <f t="shared" si="11"/>
        <v>#DIV/0!</v>
      </c>
      <c r="J17" s="880" t="e">
        <f>+H17/((E17-F17)/'calcul-DCC-TX-Encais'!$A$98)</f>
        <v>#DIV/0!</v>
      </c>
      <c r="K17" s="2746">
        <v>30083</v>
      </c>
      <c r="L17" s="881">
        <f t="shared" si="7"/>
        <v>0</v>
      </c>
      <c r="M17" s="863">
        <v>13</v>
      </c>
      <c r="N17" s="2732"/>
      <c r="O17" s="2733"/>
      <c r="P17" s="2734"/>
      <c r="Q17" s="2732"/>
      <c r="R17" s="2733"/>
      <c r="S17" s="2734"/>
      <c r="T17" s="2735"/>
      <c r="W17" s="80"/>
      <c r="X17" s="80"/>
      <c r="Y17" s="80"/>
      <c r="Z17" s="80"/>
      <c r="AA17" s="80"/>
      <c r="AB17" s="80"/>
      <c r="AC17" s="1249"/>
      <c r="AD17" s="80"/>
      <c r="AE17" s="80"/>
      <c r="AF17" s="83"/>
      <c r="AG17" s="83"/>
      <c r="AH17" s="83"/>
    </row>
    <row r="18" spans="2:34" ht="15.6">
      <c r="B18" s="3071"/>
      <c r="C18" s="890" t="s">
        <v>311</v>
      </c>
      <c r="D18" s="891">
        <f>SUM(D5:D17)</f>
        <v>971.47238308999897</v>
      </c>
      <c r="E18" s="891">
        <f>SUM(E5:E17)</f>
        <v>5400.9831438700003</v>
      </c>
      <c r="F18" s="891">
        <f t="shared" ref="F18:G18" si="12">SUM(F5:F17)</f>
        <v>97.810872630000176</v>
      </c>
      <c r="G18" s="891">
        <f t="shared" si="12"/>
        <v>4566.5265443499993</v>
      </c>
      <c r="H18" s="891">
        <f>SUM(H5:H17)</f>
        <v>1708.1181099799987</v>
      </c>
      <c r="I18" s="892">
        <f>+G18/(D18+E18-F18)*100</f>
        <v>72.77745268329636</v>
      </c>
      <c r="J18" s="893">
        <f>+H18/((E18-F18)/'calcul-DCC-TX-Encais'!$A$98)</f>
        <v>78.268756792259808</v>
      </c>
      <c r="K18" s="893">
        <f>SUM(K5:K15)</f>
        <v>307987</v>
      </c>
      <c r="L18" s="881">
        <f t="shared" si="7"/>
        <v>5546.072106874637</v>
      </c>
      <c r="M18" s="894">
        <v>13</v>
      </c>
      <c r="N18" s="895">
        <v>1757.3251124100002</v>
      </c>
      <c r="O18" s="896">
        <v>77.575153331884522</v>
      </c>
      <c r="P18" s="897">
        <v>65.916006684554887</v>
      </c>
      <c r="Q18" s="898">
        <v>971.47238308999897</v>
      </c>
      <c r="R18" s="899">
        <v>90.899245019422509</v>
      </c>
      <c r="S18" s="900">
        <v>38.060062512583357</v>
      </c>
      <c r="T18" s="891"/>
      <c r="U18" s="853">
        <v>279</v>
      </c>
      <c r="V18" s="2233">
        <f>H18-'Solde créances_DCM'!E45</f>
        <v>35.537890719998586</v>
      </c>
      <c r="W18" s="80"/>
      <c r="X18" s="80"/>
      <c r="Y18" s="80"/>
      <c r="Z18" s="80" t="e">
        <f t="shared" ref="Z18:Z25" si="13">W18/$DO$61*$DR$61</f>
        <v>#DIV/0!</v>
      </c>
      <c r="AA18" s="80" t="e">
        <f t="shared" ref="AA18:AA25" si="14">X18/$DP$61*$DS$61</f>
        <v>#DIV/0!</v>
      </c>
      <c r="AB18" s="80" t="e">
        <f t="shared" ref="AB18:AB25" si="15">Y18/$DQ$61*$DT$61</f>
        <v>#DIV/0!</v>
      </c>
      <c r="AC18" s="1249" t="e">
        <f t="shared" si="9"/>
        <v>#DIV/0!</v>
      </c>
      <c r="AD18" s="80" t="e">
        <f t="shared" si="8"/>
        <v>#DIV/0!</v>
      </c>
      <c r="AE18" s="80" t="e">
        <f t="shared" si="8"/>
        <v>#DIV/0!</v>
      </c>
      <c r="AF18" s="83" t="e">
        <f t="shared" ref="AF18:AF25" si="16">AC18+W43</f>
        <v>#DIV/0!</v>
      </c>
      <c r="AG18" s="83" t="e">
        <f t="shared" ref="AG18:AG25" si="17">AD18+X43</f>
        <v>#DIV/0!</v>
      </c>
      <c r="AH18" s="83" t="e">
        <f>AE18+#REF!</f>
        <v>#DIV/0!</v>
      </c>
    </row>
    <row r="19" spans="2:34" ht="13.8">
      <c r="B19" s="3069" t="s">
        <v>114</v>
      </c>
      <c r="C19" s="876" t="s">
        <v>7</v>
      </c>
      <c r="D19" s="877">
        <v>33.351364769999975</v>
      </c>
      <c r="E19" s="878">
        <f>'Feuil-saisie'!B286/1000</f>
        <v>476.23599999999999</v>
      </c>
      <c r="F19" s="878">
        <f>'Feuil-saisie'!C286/1000</f>
        <v>4.2229999999999999</v>
      </c>
      <c r="G19" s="878">
        <f>'Feuil-saisie'!D286/1000</f>
        <v>373.43200000000002</v>
      </c>
      <c r="H19" s="877">
        <f>+D19+E19-F19-G19</f>
        <v>131.93236476999994</v>
      </c>
      <c r="I19" s="879">
        <f t="shared" si="6"/>
        <v>73.893615385793055</v>
      </c>
      <c r="J19" s="880">
        <f>+H19/((E19-F19)/'calcul-DCC-TX-Encais'!$A$98)</f>
        <v>67.920935735053874</v>
      </c>
      <c r="K19" s="1055">
        <v>32530</v>
      </c>
      <c r="L19" s="881">
        <f t="shared" si="7"/>
        <v>4055.713641869042</v>
      </c>
      <c r="M19" s="863">
        <f>M17+1</f>
        <v>14</v>
      </c>
      <c r="N19" s="882">
        <v>124.79680457444493</v>
      </c>
      <c r="O19" s="883">
        <v>75.208719885843976</v>
      </c>
      <c r="P19" s="884">
        <v>66.458462479674992</v>
      </c>
      <c r="Q19" s="901">
        <v>34.804379314444986</v>
      </c>
      <c r="R19" s="902">
        <v>94.917971253076871</v>
      </c>
      <c r="S19" s="903">
        <v>19.918727322418217</v>
      </c>
      <c r="T19" s="877"/>
      <c r="W19" s="80"/>
      <c r="X19" s="80"/>
      <c r="Y19" s="80"/>
      <c r="Z19" s="80" t="e">
        <f t="shared" si="13"/>
        <v>#DIV/0!</v>
      </c>
      <c r="AA19" s="80" t="e">
        <f t="shared" si="14"/>
        <v>#DIV/0!</v>
      </c>
      <c r="AB19" s="80" t="e">
        <f t="shared" si="15"/>
        <v>#DIV/0!</v>
      </c>
      <c r="AC19" s="1249" t="e">
        <f t="shared" si="9"/>
        <v>#DIV/0!</v>
      </c>
      <c r="AD19" s="80" t="e">
        <f t="shared" si="8"/>
        <v>#DIV/0!</v>
      </c>
      <c r="AE19" s="80" t="e">
        <f t="shared" si="8"/>
        <v>#DIV/0!</v>
      </c>
      <c r="AF19" s="83" t="e">
        <f t="shared" si="16"/>
        <v>#DIV/0!</v>
      </c>
      <c r="AG19" s="83" t="e">
        <f t="shared" si="17"/>
        <v>#DIV/0!</v>
      </c>
      <c r="AH19" s="83" t="e">
        <f>AE19+#REF!</f>
        <v>#DIV/0!</v>
      </c>
    </row>
    <row r="20" spans="2:34" ht="13.8">
      <c r="B20" s="3070"/>
      <c r="C20" s="876" t="s">
        <v>115</v>
      </c>
      <c r="D20" s="877">
        <v>22.682112610000015</v>
      </c>
      <c r="E20" s="878">
        <f>'Feuil-saisie'!B287/1000</f>
        <v>386.96300000000002</v>
      </c>
      <c r="F20" s="878">
        <f>'Feuil-saisie'!C287/1000</f>
        <v>1.1020000000000001</v>
      </c>
      <c r="G20" s="878">
        <f>'Feuil-saisie'!D287/1000</f>
        <v>321.899</v>
      </c>
      <c r="H20" s="877">
        <f t="shared" ref="H20:H51" si="18">+D20+E20-F20-G20</f>
        <v>86.644112610000036</v>
      </c>
      <c r="I20" s="879">
        <f t="shared" si="6"/>
        <v>78.791929190417775</v>
      </c>
      <c r="J20" s="880">
        <f>+H20/((E20-F20)/'calcul-DCC-TX-Encais'!$A$98)</f>
        <v>54.56503602133931</v>
      </c>
      <c r="K20" s="1055">
        <v>26001</v>
      </c>
      <c r="L20" s="881">
        <f t="shared" si="7"/>
        <v>3332.3377027806637</v>
      </c>
      <c r="M20" s="863">
        <f>M19+1</f>
        <v>15</v>
      </c>
      <c r="N20" s="882">
        <v>76.845742954444461</v>
      </c>
      <c r="O20" s="883">
        <v>81.037667816389529</v>
      </c>
      <c r="P20" s="884">
        <v>50.361774137764179</v>
      </c>
      <c r="Q20" s="901">
        <v>23.542615264444521</v>
      </c>
      <c r="R20" s="902">
        <v>95.636268487490128</v>
      </c>
      <c r="S20" s="903">
        <v>17.014626078142246</v>
      </c>
      <c r="T20" s="877"/>
      <c r="W20" s="80"/>
      <c r="X20" s="80"/>
      <c r="Y20" s="80"/>
      <c r="Z20" s="80" t="e">
        <f t="shared" si="13"/>
        <v>#DIV/0!</v>
      </c>
      <c r="AA20" s="80" t="e">
        <f t="shared" si="14"/>
        <v>#DIV/0!</v>
      </c>
      <c r="AB20" s="80" t="e">
        <f t="shared" si="15"/>
        <v>#DIV/0!</v>
      </c>
      <c r="AC20" s="1249" t="e">
        <f t="shared" si="9"/>
        <v>#DIV/0!</v>
      </c>
      <c r="AD20" s="80" t="e">
        <f t="shared" si="8"/>
        <v>#DIV/0!</v>
      </c>
      <c r="AE20" s="80" t="e">
        <f t="shared" si="8"/>
        <v>#DIV/0!</v>
      </c>
      <c r="AF20" s="83" t="e">
        <f t="shared" si="16"/>
        <v>#DIV/0!</v>
      </c>
      <c r="AG20" s="83" t="e">
        <f t="shared" si="17"/>
        <v>#DIV/0!</v>
      </c>
      <c r="AH20" s="83" t="e">
        <f>AE20+#REF!</f>
        <v>#DIV/0!</v>
      </c>
    </row>
    <row r="21" spans="2:34" ht="13.8">
      <c r="B21" s="3070"/>
      <c r="C21" s="876" t="s">
        <v>116</v>
      </c>
      <c r="D21" s="877">
        <v>47.565217419999719</v>
      </c>
      <c r="E21" s="878">
        <f>'Feuil-saisie'!B288/1000</f>
        <v>475.346</v>
      </c>
      <c r="F21" s="878">
        <f>'Feuil-saisie'!C288/1000</f>
        <v>2.5750000000000002</v>
      </c>
      <c r="G21" s="878">
        <f>'Feuil-saisie'!D288/1000</f>
        <v>353.21100000000001</v>
      </c>
      <c r="H21" s="877">
        <f t="shared" si="18"/>
        <v>167.12521741999967</v>
      </c>
      <c r="I21" s="879">
        <f t="shared" si="6"/>
        <v>67.881302161002338</v>
      </c>
      <c r="J21" s="880">
        <f>+H21/((E21-F21)/'calcul-DCC-TX-Encais'!$A$98)</f>
        <v>85.90084381880429</v>
      </c>
      <c r="K21" s="1055">
        <v>31728</v>
      </c>
      <c r="L21" s="881">
        <f t="shared" si="7"/>
        <v>5267.4362525214219</v>
      </c>
      <c r="M21" s="863">
        <f t="shared" ref="M21:M28" si="19">M20+1</f>
        <v>16</v>
      </c>
      <c r="N21" s="882">
        <v>208.16418962444391</v>
      </c>
      <c r="O21" s="883">
        <v>72.768678553536589</v>
      </c>
      <c r="P21" s="884">
        <v>74.811627220464828</v>
      </c>
      <c r="Q21" s="901">
        <v>60.478703824443642</v>
      </c>
      <c r="R21" s="902">
        <v>94.282951771366186</v>
      </c>
      <c r="S21" s="903">
        <v>22.767147374207809</v>
      </c>
      <c r="T21" s="877"/>
      <c r="W21" s="80"/>
      <c r="X21" s="80"/>
      <c r="Y21" s="80"/>
      <c r="Z21" s="80" t="e">
        <f t="shared" si="13"/>
        <v>#DIV/0!</v>
      </c>
      <c r="AA21" s="80" t="e">
        <f t="shared" si="14"/>
        <v>#DIV/0!</v>
      </c>
      <c r="AB21" s="80" t="e">
        <f t="shared" si="15"/>
        <v>#DIV/0!</v>
      </c>
      <c r="AC21" s="1249" t="e">
        <f t="shared" si="9"/>
        <v>#DIV/0!</v>
      </c>
      <c r="AD21" s="80" t="e">
        <f t="shared" si="8"/>
        <v>#DIV/0!</v>
      </c>
      <c r="AE21" s="80" t="e">
        <f t="shared" si="8"/>
        <v>#DIV/0!</v>
      </c>
      <c r="AF21" s="83" t="e">
        <f t="shared" si="16"/>
        <v>#DIV/0!</v>
      </c>
      <c r="AG21" s="83" t="e">
        <f t="shared" si="17"/>
        <v>#DIV/0!</v>
      </c>
      <c r="AH21" s="83" t="e">
        <f>AE21+#REF!</f>
        <v>#DIV/0!</v>
      </c>
    </row>
    <row r="22" spans="2:34" ht="13.8">
      <c r="B22" s="3070"/>
      <c r="C22" s="876" t="s">
        <v>117</v>
      </c>
      <c r="D22" s="877">
        <v>24.958259420000076</v>
      </c>
      <c r="E22" s="878">
        <f>'Feuil-saisie'!B289/1000</f>
        <v>390.48099999999999</v>
      </c>
      <c r="F22" s="878">
        <f>'Feuil-saisie'!C289/1000</f>
        <v>0.72299999999999998</v>
      </c>
      <c r="G22" s="878">
        <f>'Feuil-saisie'!D289/1000</f>
        <v>299.62599999999998</v>
      </c>
      <c r="H22" s="877">
        <f t="shared" si="18"/>
        <v>115.09025942000011</v>
      </c>
      <c r="I22" s="879">
        <f t="shared" si="6"/>
        <v>72.2484332828042</v>
      </c>
      <c r="J22" s="880">
        <f>+H22/((E22-F22)/'calcul-DCC-TX-Encais'!$A$98)</f>
        <v>71.754609370583864</v>
      </c>
      <c r="K22" s="1055">
        <v>26954</v>
      </c>
      <c r="L22" s="881">
        <f t="shared" si="7"/>
        <v>4269.8768056689214</v>
      </c>
      <c r="M22" s="863">
        <f t="shared" si="19"/>
        <v>17</v>
      </c>
      <c r="N22" s="882">
        <v>90.819555434444283</v>
      </c>
      <c r="O22" s="883">
        <v>78.265846155088454</v>
      </c>
      <c r="P22" s="884">
        <v>58.447178326882778</v>
      </c>
      <c r="Q22" s="901">
        <v>25.775975764444297</v>
      </c>
      <c r="R22" s="902">
        <v>95.490193067230308</v>
      </c>
      <c r="S22" s="903">
        <v>17.708623206196286</v>
      </c>
      <c r="T22" s="877"/>
      <c r="W22" s="80"/>
      <c r="X22" s="80"/>
      <c r="Y22" s="80"/>
      <c r="Z22" s="80" t="e">
        <f t="shared" si="13"/>
        <v>#DIV/0!</v>
      </c>
      <c r="AA22" s="80" t="e">
        <f t="shared" si="14"/>
        <v>#DIV/0!</v>
      </c>
      <c r="AB22" s="80" t="e">
        <f t="shared" si="15"/>
        <v>#DIV/0!</v>
      </c>
      <c r="AC22" s="1249" t="e">
        <f t="shared" si="9"/>
        <v>#DIV/0!</v>
      </c>
      <c r="AD22" s="80" t="e">
        <f t="shared" si="8"/>
        <v>#DIV/0!</v>
      </c>
      <c r="AE22" s="80" t="e">
        <f t="shared" si="8"/>
        <v>#DIV/0!</v>
      </c>
      <c r="AF22" s="83" t="e">
        <f t="shared" si="16"/>
        <v>#DIV/0!</v>
      </c>
      <c r="AG22" s="83" t="e">
        <f t="shared" si="17"/>
        <v>#DIV/0!</v>
      </c>
      <c r="AH22" s="83" t="e">
        <f>AE22+#REF!</f>
        <v>#DIV/0!</v>
      </c>
    </row>
    <row r="23" spans="2:34" ht="13.8">
      <c r="B23" s="3070"/>
      <c r="C23" s="876" t="s">
        <v>118</v>
      </c>
      <c r="D23" s="877">
        <v>98.183832069999937</v>
      </c>
      <c r="E23" s="878">
        <f>'Feuil-saisie'!B290/1000</f>
        <v>411.3</v>
      </c>
      <c r="F23" s="878">
        <f>'Feuil-saisie'!C290/1000</f>
        <v>2.4540000000000002</v>
      </c>
      <c r="G23" s="878">
        <f>'Feuil-saisie'!D290/1000</f>
        <v>340.63499999999999</v>
      </c>
      <c r="H23" s="877">
        <f t="shared" si="18"/>
        <v>166.39483206999995</v>
      </c>
      <c r="I23" s="879">
        <f t="shared" si="6"/>
        <v>67.182437492745464</v>
      </c>
      <c r="J23" s="880">
        <f>+H23/((E23-F23)/'calcul-DCC-TX-Encais'!$A$98)</f>
        <v>98.897737028147489</v>
      </c>
      <c r="K23" s="1055">
        <v>30929</v>
      </c>
      <c r="L23" s="881">
        <f t="shared" si="7"/>
        <v>5379.8969274790634</v>
      </c>
      <c r="M23" s="863">
        <f t="shared" si="19"/>
        <v>18</v>
      </c>
      <c r="N23" s="882">
        <v>175.07486729444412</v>
      </c>
      <c r="O23" s="883">
        <v>69.740590502023309</v>
      </c>
      <c r="P23" s="884">
        <v>105.89037279590845</v>
      </c>
      <c r="Q23" s="901">
        <v>91.018077984444176</v>
      </c>
      <c r="R23" s="902">
        <v>88.559346342919895</v>
      </c>
      <c r="S23" s="903">
        <v>53.69116143214373</v>
      </c>
      <c r="T23" s="877"/>
      <c r="W23" s="80"/>
      <c r="X23" s="80"/>
      <c r="Y23" s="80"/>
      <c r="Z23" s="80" t="e">
        <f t="shared" si="13"/>
        <v>#DIV/0!</v>
      </c>
      <c r="AA23" s="80" t="e">
        <f t="shared" si="14"/>
        <v>#DIV/0!</v>
      </c>
      <c r="AB23" s="80" t="e">
        <f t="shared" si="15"/>
        <v>#DIV/0!</v>
      </c>
      <c r="AC23" s="1249" t="e">
        <f t="shared" si="9"/>
        <v>#DIV/0!</v>
      </c>
      <c r="AD23" s="80" t="e">
        <f t="shared" si="8"/>
        <v>#DIV/0!</v>
      </c>
      <c r="AE23" s="80" t="e">
        <f t="shared" si="8"/>
        <v>#DIV/0!</v>
      </c>
      <c r="AF23" s="83" t="e">
        <f t="shared" si="16"/>
        <v>#DIV/0!</v>
      </c>
      <c r="AG23" s="83" t="e">
        <f t="shared" si="17"/>
        <v>#DIV/0!</v>
      </c>
      <c r="AH23" s="83" t="e">
        <f>AE23+#REF!</f>
        <v>#DIV/0!</v>
      </c>
    </row>
    <row r="24" spans="2:34" ht="13.8">
      <c r="B24" s="3070"/>
      <c r="C24" s="876" t="s">
        <v>310</v>
      </c>
      <c r="D24" s="877">
        <v>21.505910659999966</v>
      </c>
      <c r="E24" s="878">
        <f>'Feuil-saisie'!B291/1000</f>
        <v>278.30700000000002</v>
      </c>
      <c r="F24" s="878">
        <f>'Feuil-saisie'!C291/1000</f>
        <v>0.97799999999999998</v>
      </c>
      <c r="G24" s="878">
        <f>'Feuil-saisie'!D291/1000</f>
        <v>234.16</v>
      </c>
      <c r="H24" s="877">
        <f t="shared" si="18"/>
        <v>64.674910659999995</v>
      </c>
      <c r="I24" s="879">
        <f t="shared" si="6"/>
        <v>78.357645525029028</v>
      </c>
      <c r="J24" s="880">
        <f>+H24/((E24-F24)/'calcul-DCC-TX-Encais'!$A$98)</f>
        <v>56.669166550847542</v>
      </c>
      <c r="K24" s="1055">
        <v>19683</v>
      </c>
      <c r="L24" s="881">
        <f t="shared" si="7"/>
        <v>3285.8258730884518</v>
      </c>
      <c r="M24" s="863">
        <f t="shared" si="19"/>
        <v>19</v>
      </c>
      <c r="N24" s="882">
        <v>52.26094390444436</v>
      </c>
      <c r="O24" s="883">
        <v>82.330579012396328</v>
      </c>
      <c r="P24" s="884">
        <v>48.020583227084693</v>
      </c>
      <c r="Q24" s="882">
        <v>22.298397534444291</v>
      </c>
      <c r="R24" s="883">
        <v>94.503925324725543</v>
      </c>
      <c r="S24" s="884">
        <v>21.738436862945523</v>
      </c>
      <c r="T24" s="877"/>
      <c r="W24" s="80"/>
      <c r="X24" s="80"/>
      <c r="Y24" s="80"/>
      <c r="Z24" s="80" t="e">
        <f t="shared" si="13"/>
        <v>#DIV/0!</v>
      </c>
      <c r="AA24" s="80" t="e">
        <f t="shared" si="14"/>
        <v>#DIV/0!</v>
      </c>
      <c r="AB24" s="80" t="e">
        <f t="shared" si="15"/>
        <v>#DIV/0!</v>
      </c>
      <c r="AC24" s="1249" t="e">
        <f t="shared" si="9"/>
        <v>#DIV/0!</v>
      </c>
      <c r="AD24" s="80" t="e">
        <f>AA24-X24</f>
        <v>#DIV/0!</v>
      </c>
      <c r="AE24" s="80" t="e">
        <f>AB24-Y24</f>
        <v>#DIV/0!</v>
      </c>
      <c r="AF24" s="83" t="e">
        <f t="shared" si="16"/>
        <v>#DIV/0!</v>
      </c>
      <c r="AG24" s="83" t="e">
        <f t="shared" si="17"/>
        <v>#DIV/0!</v>
      </c>
      <c r="AH24" s="83" t="e">
        <f>AE24+#REF!</f>
        <v>#DIV/0!</v>
      </c>
    </row>
    <row r="25" spans="2:34" ht="13.8">
      <c r="B25" s="3070"/>
      <c r="C25" s="876" t="s">
        <v>464</v>
      </c>
      <c r="D25" s="877">
        <v>9.8724037999999528</v>
      </c>
      <c r="E25" s="878">
        <f>'Feuil-saisie'!B292/1000</f>
        <v>197.28</v>
      </c>
      <c r="F25" s="878">
        <f>'Feuil-saisie'!C292/1000</f>
        <v>1.1419999999999999</v>
      </c>
      <c r="G25" s="878">
        <f>'Feuil-saisie'!D292/1000</f>
        <v>148.315</v>
      </c>
      <c r="H25" s="877">
        <f>+D25+E25-F25-G25</f>
        <v>57.695403799999951</v>
      </c>
      <c r="I25" s="879">
        <f t="shared" ref="I25:I30" si="20">+G25/(D25+E25-F25)*100</f>
        <v>71.993936842135369</v>
      </c>
      <c r="J25" s="880">
        <f>+H25/((E25-F25)/'calcul-DCC-TX-Encais'!$A$98)</f>
        <v>71.480198245113073</v>
      </c>
      <c r="K25" s="1055">
        <v>13103</v>
      </c>
      <c r="L25" s="881">
        <f>+H25/K25*1000000</f>
        <v>4403.2209265053771</v>
      </c>
      <c r="M25" s="863">
        <f t="shared" si="19"/>
        <v>20</v>
      </c>
      <c r="N25" s="882">
        <v>47.043418184444391</v>
      </c>
      <c r="O25" s="883">
        <v>77.55869183431335</v>
      </c>
      <c r="P25" s="884">
        <v>60.854118626693136</v>
      </c>
      <c r="Q25" s="882">
        <v>10.664797754444351</v>
      </c>
      <c r="R25" s="883">
        <v>96.224428250763935</v>
      </c>
      <c r="S25" s="884">
        <v>14.932024581007319</v>
      </c>
      <c r="T25" s="877"/>
      <c r="W25" s="80"/>
      <c r="X25" s="80"/>
      <c r="Y25" s="80"/>
      <c r="Z25" s="80" t="e">
        <f t="shared" si="13"/>
        <v>#DIV/0!</v>
      </c>
      <c r="AA25" s="80" t="e">
        <f t="shared" si="14"/>
        <v>#DIV/0!</v>
      </c>
      <c r="AB25" s="80" t="e">
        <f t="shared" si="15"/>
        <v>#DIV/0!</v>
      </c>
      <c r="AC25" s="1249" t="e">
        <f t="shared" si="9"/>
        <v>#DIV/0!</v>
      </c>
      <c r="AD25" s="80" t="e">
        <f>AA25-X25</f>
        <v>#DIV/0!</v>
      </c>
      <c r="AE25" s="80" t="e">
        <f>AB25-Y25</f>
        <v>#DIV/0!</v>
      </c>
      <c r="AF25" s="83" t="e">
        <f t="shared" si="16"/>
        <v>#DIV/0!</v>
      </c>
      <c r="AG25" s="83" t="e">
        <f t="shared" si="17"/>
        <v>#DIV/0!</v>
      </c>
      <c r="AH25" s="83" t="e">
        <f>AE25+#REF!</f>
        <v>#DIV/0!</v>
      </c>
    </row>
    <row r="26" spans="2:34" ht="13.8">
      <c r="B26" s="3070"/>
      <c r="C26" s="876" t="s">
        <v>465</v>
      </c>
      <c r="D26" s="877">
        <v>2.7120612100000083</v>
      </c>
      <c r="E26" s="878">
        <f>'Feuil-saisie'!B293/1000</f>
        <v>117.53700000000001</v>
      </c>
      <c r="F26" s="878">
        <f>'Feuil-saisie'!C293/1000</f>
        <v>0.01</v>
      </c>
      <c r="G26" s="878">
        <f>'Feuil-saisie'!D293/1000</f>
        <v>96.641000000000005</v>
      </c>
      <c r="H26" s="877">
        <f>+D26+E26-F26-G26</f>
        <v>23.598061209999997</v>
      </c>
      <c r="I26" s="879">
        <f t="shared" si="20"/>
        <v>80.374047358216231</v>
      </c>
      <c r="J26" s="880">
        <f>+H26/((E26-F26)/'calcul-DCC-TX-Encais'!$A$98)</f>
        <v>48.79158724403753</v>
      </c>
      <c r="K26" s="1055">
        <v>9991</v>
      </c>
      <c r="L26" s="881">
        <f>+H26/K26*1000000</f>
        <v>2361.9318596737062</v>
      </c>
      <c r="M26" s="863">
        <f t="shared" si="19"/>
        <v>21</v>
      </c>
      <c r="N26" s="882">
        <v>18.934841324444434</v>
      </c>
      <c r="O26" s="883">
        <v>84.356871961015301</v>
      </c>
      <c r="P26" s="884">
        <v>40.908336889808595</v>
      </c>
      <c r="Q26" s="882">
        <v>3.5049521544444531</v>
      </c>
      <c r="R26" s="883">
        <v>97.791439097359088</v>
      </c>
      <c r="S26" s="884">
        <v>8.5212784233251568</v>
      </c>
      <c r="T26" s="877"/>
      <c r="W26" s="80">
        <f>SUM(W5:W21)</f>
        <v>0</v>
      </c>
      <c r="X26" s="80">
        <f>SUM(X5:X21)</f>
        <v>0</v>
      </c>
      <c r="Y26" s="80">
        <f>SUM(Y5:Y19)</f>
        <v>0</v>
      </c>
      <c r="Z26" s="80">
        <v>279</v>
      </c>
      <c r="AA26" s="80">
        <v>880.59999999999991</v>
      </c>
      <c r="AB26" s="80">
        <v>481</v>
      </c>
      <c r="AC26" s="1249" t="e">
        <f>SUM(AC5:AC19)</f>
        <v>#DIV/0!</v>
      </c>
      <c r="AD26" s="80" t="e">
        <f>SUM(AD5:AD19)</f>
        <v>#DIV/0!</v>
      </c>
      <c r="AE26" s="80" t="e">
        <f>SUM(AE5:AE19)</f>
        <v>#DIV/0!</v>
      </c>
      <c r="AF26" s="80"/>
      <c r="AG26" s="80"/>
      <c r="AH26" s="80"/>
    </row>
    <row r="27" spans="2:34">
      <c r="B27" s="3070"/>
      <c r="C27" s="876" t="s">
        <v>587</v>
      </c>
      <c r="D27" s="877">
        <v>58.515901889999988</v>
      </c>
      <c r="E27" s="878">
        <f>'Feuil-saisie'!B294/1000</f>
        <v>382.58300000000003</v>
      </c>
      <c r="F27" s="878">
        <f>'Feuil-saisie'!C294/1000</f>
        <v>1.1719999999999999</v>
      </c>
      <c r="G27" s="878">
        <f>'Feuil-saisie'!D294/1000</f>
        <v>304.21899999999999</v>
      </c>
      <c r="H27" s="877">
        <f>+D27+E27-F27-G27</f>
        <v>135.70790189000002</v>
      </c>
      <c r="I27" s="879">
        <f t="shared" si="20"/>
        <v>69.152170211238271</v>
      </c>
      <c r="J27" s="880">
        <f>+H27/((E27-F27)/'calcul-DCC-TX-Encais'!$A$98)</f>
        <v>86.460590175086722</v>
      </c>
      <c r="K27" s="1101">
        <v>27223</v>
      </c>
      <c r="L27" s="881">
        <f>+H27/K27*1000000</f>
        <v>4985.0458028137973</v>
      </c>
      <c r="M27" s="863">
        <f t="shared" si="19"/>
        <v>22</v>
      </c>
      <c r="N27" s="882">
        <v>130.8501685444445</v>
      </c>
      <c r="O27" s="883">
        <v>71.381571815149343</v>
      </c>
      <c r="P27" s="884">
        <v>86.17663719772284</v>
      </c>
      <c r="Q27" s="882">
        <v>59.78006616444452</v>
      </c>
      <c r="R27" s="883">
        <v>90.45282067298362</v>
      </c>
      <c r="S27" s="884">
        <v>40.564593509944999</v>
      </c>
      <c r="T27" s="877"/>
    </row>
    <row r="28" spans="2:34">
      <c r="B28" s="3070"/>
      <c r="C28" s="876" t="s">
        <v>1200</v>
      </c>
      <c r="D28" s="877">
        <v>12.520901910000086</v>
      </c>
      <c r="E28" s="878">
        <f>'Feuil-saisie'!B295/1000</f>
        <v>233.60499999999999</v>
      </c>
      <c r="F28" s="878">
        <f>'Feuil-saisie'!C295/1000</f>
        <v>0.91300000000000003</v>
      </c>
      <c r="G28" s="878">
        <f>'Feuil-saisie'!D295/1000</f>
        <v>186.654</v>
      </c>
      <c r="H28" s="877">
        <f>+D28+E28-F28-G28</f>
        <v>58.55890191000006</v>
      </c>
      <c r="I28" s="879">
        <f t="shared" si="20"/>
        <v>76.1191595328484</v>
      </c>
      <c r="J28" s="880">
        <f>+H28/((E28-F28)/'calcul-DCC-TX-Encais'!$A$98)</f>
        <v>61.152996940719994</v>
      </c>
      <c r="K28" s="1101">
        <v>18341</v>
      </c>
      <c r="L28" s="881">
        <f>+H28/K28*1000000</f>
        <v>3192.7867569925338</v>
      </c>
      <c r="M28" s="863">
        <f t="shared" si="19"/>
        <v>23</v>
      </c>
      <c r="N28" s="2732"/>
      <c r="O28" s="2733"/>
      <c r="P28" s="2734"/>
      <c r="Q28" s="2732"/>
      <c r="R28" s="2733"/>
      <c r="S28" s="2734"/>
      <c r="T28" s="2735"/>
    </row>
    <row r="29" spans="2:34" ht="15.6">
      <c r="B29" s="3071"/>
      <c r="C29" s="890" t="s">
        <v>311</v>
      </c>
      <c r="D29" s="904">
        <f>SUM(D19:D28)</f>
        <v>331.86796575999972</v>
      </c>
      <c r="E29" s="891">
        <f>SUM(E19:E28)</f>
        <v>3349.6379999999999</v>
      </c>
      <c r="F29" s="891">
        <f>SUM(F19:F28)</f>
        <v>15.292000000000002</v>
      </c>
      <c r="G29" s="891">
        <f>SUM(G19:G28)</f>
        <v>2658.7919999999999</v>
      </c>
      <c r="H29" s="891">
        <f>SUM(H19:H28)</f>
        <v>1007.4219657599996</v>
      </c>
      <c r="I29" s="892">
        <f t="shared" si="20"/>
        <v>72.521462872362306</v>
      </c>
      <c r="J29" s="893">
        <f>+H29/((E29-F29)/'calcul-DCC-TX-Encais'!$A$98)</f>
        <v>73.418756685622881</v>
      </c>
      <c r="K29" s="893">
        <f>SUM(K19:K28)</f>
        <v>236483</v>
      </c>
      <c r="L29" s="905">
        <f t="shared" si="7"/>
        <v>4260.0185457728448</v>
      </c>
      <c r="M29" s="894">
        <v>10</v>
      </c>
      <c r="N29" s="906">
        <v>924.79053183999929</v>
      </c>
      <c r="O29" s="896">
        <v>75.359844649110514</v>
      </c>
      <c r="P29" s="907">
        <v>69.869091285481602</v>
      </c>
      <c r="Q29" s="898">
        <v>331.86796575999927</v>
      </c>
      <c r="R29" s="899">
        <v>93.521217337982122</v>
      </c>
      <c r="S29" s="900">
        <v>26.415947001993384</v>
      </c>
      <c r="T29" s="904"/>
      <c r="U29" s="853">
        <v>139.5</v>
      </c>
    </row>
    <row r="30" spans="2:34">
      <c r="B30" s="3069" t="s">
        <v>119</v>
      </c>
      <c r="C30" s="876" t="s">
        <v>8</v>
      </c>
      <c r="D30" s="1513">
        <v>53.046454880000056</v>
      </c>
      <c r="E30" s="878">
        <f>'Feuil-saisie'!B300/1000</f>
        <v>668.31004125999993</v>
      </c>
      <c r="F30" s="878">
        <f>'Feuil-saisie'!C300/1000</f>
        <v>1.5502768500000002</v>
      </c>
      <c r="G30" s="878">
        <f>'Feuil-saisie'!D300/1000</f>
        <v>611.85120224000002</v>
      </c>
      <c r="H30" s="877">
        <f>+D30+E30-F30-G30</f>
        <v>107.95501704999992</v>
      </c>
      <c r="I30" s="879">
        <f t="shared" si="20"/>
        <v>85.002211128922411</v>
      </c>
      <c r="J30" s="880">
        <f>+H30/((E30-F30)/'calcul-DCC-TX-Encais'!$A$98)</f>
        <v>39.344109443021068</v>
      </c>
      <c r="K30" s="1055">
        <v>43745</v>
      </c>
      <c r="L30" s="881">
        <f t="shared" si="7"/>
        <v>2467.8252840324594</v>
      </c>
      <c r="M30" s="863">
        <f>M28+1</f>
        <v>24</v>
      </c>
      <c r="N30" s="882">
        <v>124.32531443999994</v>
      </c>
      <c r="O30" s="883">
        <v>83.678028061907668</v>
      </c>
      <c r="P30" s="884">
        <v>44.574097385969488</v>
      </c>
      <c r="Q30" s="885">
        <v>53.046454880000056</v>
      </c>
      <c r="R30" s="886">
        <v>94.939984732325556</v>
      </c>
      <c r="S30" s="887">
        <v>20.076436621885335</v>
      </c>
      <c r="T30" s="877"/>
    </row>
    <row r="31" spans="2:34">
      <c r="B31" s="3070"/>
      <c r="C31" s="876" t="s">
        <v>120</v>
      </c>
      <c r="D31" s="1513">
        <v>19.650003699999957</v>
      </c>
      <c r="E31" s="878">
        <f>'Feuil-saisie'!B301/1000</f>
        <v>361.05713464999997</v>
      </c>
      <c r="F31" s="878">
        <f>'Feuil-saisie'!C301/1000</f>
        <v>0.37337289000000007</v>
      </c>
      <c r="G31" s="878">
        <f>'Feuil-saisie'!D301/1000</f>
        <v>334.85765433</v>
      </c>
      <c r="H31" s="877">
        <f t="shared" si="18"/>
        <v>45.476111129999936</v>
      </c>
      <c r="I31" s="879">
        <f t="shared" si="6"/>
        <v>88.04310443617905</v>
      </c>
      <c r="J31" s="880">
        <f>+H31/((E31-F31)/'calcul-DCC-TX-Encais'!$A$98)</f>
        <v>30.638182741210148</v>
      </c>
      <c r="K31" s="1055">
        <v>33302</v>
      </c>
      <c r="L31" s="881">
        <f t="shared" si="7"/>
        <v>1365.566966848836</v>
      </c>
      <c r="M31" s="863">
        <f>M30+1</f>
        <v>25</v>
      </c>
      <c r="N31" s="882">
        <v>35.296780809999916</v>
      </c>
      <c r="O31" s="883">
        <v>91.430088317318919</v>
      </c>
      <c r="P31" s="884">
        <v>23.29887097266829</v>
      </c>
      <c r="Q31" s="885">
        <v>19.650003699999957</v>
      </c>
      <c r="R31" s="886">
        <v>96.546549042378572</v>
      </c>
      <c r="S31" s="887">
        <v>13.65461722192336</v>
      </c>
      <c r="T31" s="877"/>
    </row>
    <row r="32" spans="2:34">
      <c r="B32" s="3070"/>
      <c r="C32" s="876" t="s">
        <v>66</v>
      </c>
      <c r="D32" s="1513">
        <v>12.322159170000191</v>
      </c>
      <c r="E32" s="878">
        <f>'Feuil-saisie'!B302/1000</f>
        <v>484.71598997999996</v>
      </c>
      <c r="F32" s="878">
        <f>'Feuil-saisie'!C302/1000</f>
        <v>2.0165134199999999</v>
      </c>
      <c r="G32" s="878">
        <f>'Feuil-saisie'!D302/1000</f>
        <v>452.90504486999998</v>
      </c>
      <c r="H32" s="877">
        <f t="shared" si="18"/>
        <v>42.116590860000144</v>
      </c>
      <c r="I32" s="879">
        <f t="shared" si="6"/>
        <v>91.49196967969057</v>
      </c>
      <c r="J32" s="880">
        <f>+H32/((E32-F32)/'calcul-DCC-TX-Encais'!$A$98)</f>
        <v>21.202284394248561</v>
      </c>
      <c r="K32" s="1055">
        <v>43077</v>
      </c>
      <c r="L32" s="881">
        <f t="shared" si="7"/>
        <v>977.70482763423979</v>
      </c>
      <c r="M32" s="863">
        <f t="shared" ref="M32:M37" si="21">M31+1</f>
        <v>26</v>
      </c>
      <c r="N32" s="882">
        <v>56.632311210000182</v>
      </c>
      <c r="O32" s="883">
        <v>89.163048432864699</v>
      </c>
      <c r="P32" s="884">
        <v>27.764315062622355</v>
      </c>
      <c r="Q32" s="885">
        <v>12.322159170000191</v>
      </c>
      <c r="R32" s="886">
        <v>98.308332049622777</v>
      </c>
      <c r="S32" s="887">
        <v>6.4115939855204855</v>
      </c>
      <c r="T32" s="877"/>
    </row>
    <row r="33" spans="2:22">
      <c r="B33" s="3070"/>
      <c r="C33" s="876" t="s">
        <v>121</v>
      </c>
      <c r="D33" s="1513">
        <v>23.8163744000002</v>
      </c>
      <c r="E33" s="878">
        <f>'Feuil-saisie'!B303/1000</f>
        <v>360.21774900000003</v>
      </c>
      <c r="F33" s="878">
        <f>'Feuil-saisie'!C303/1000</f>
        <v>2.0219555700000003</v>
      </c>
      <c r="G33" s="878">
        <f>'Feuil-saisie'!D303/1000</f>
        <v>315.88007182999996</v>
      </c>
      <c r="H33" s="877">
        <f t="shared" si="18"/>
        <v>66.132096000000274</v>
      </c>
      <c r="I33" s="879">
        <f t="shared" si="6"/>
        <v>82.688484407274217</v>
      </c>
      <c r="J33" s="880">
        <f>+H33/((E33-F33)/'calcul-DCC-TX-Encais'!$A$98)</f>
        <v>44.864009077595561</v>
      </c>
      <c r="K33" s="1055">
        <v>35329</v>
      </c>
      <c r="L33" s="881">
        <f t="shared" si="7"/>
        <v>1871.8926660816969</v>
      </c>
      <c r="M33" s="863">
        <f t="shared" si="21"/>
        <v>27</v>
      </c>
      <c r="N33" s="882">
        <v>81.180611850000105</v>
      </c>
      <c r="O33" s="883">
        <v>80.114889778280073</v>
      </c>
      <c r="P33" s="884">
        <v>53.498133853134092</v>
      </c>
      <c r="Q33" s="885">
        <v>23.8163744000002</v>
      </c>
      <c r="R33" s="886">
        <v>95.912072600770799</v>
      </c>
      <c r="S33" s="887">
        <v>16.006388546903786</v>
      </c>
      <c r="T33" s="877"/>
    </row>
    <row r="34" spans="2:22">
      <c r="B34" s="3070"/>
      <c r="C34" s="876" t="s">
        <v>122</v>
      </c>
      <c r="D34" s="1513">
        <v>11.858607399999983</v>
      </c>
      <c r="E34" s="878">
        <f>'Feuil-saisie'!B304/1000</f>
        <v>174.17437421</v>
      </c>
      <c r="F34" s="878">
        <f>'Feuil-saisie'!C304/1000</f>
        <v>0.12645801000000001</v>
      </c>
      <c r="G34" s="878">
        <f>'Feuil-saisie'!D304/1000</f>
        <v>165.35418149000003</v>
      </c>
      <c r="H34" s="877">
        <f t="shared" si="18"/>
        <v>20.552342109999955</v>
      </c>
      <c r="I34" s="879">
        <f t="shared" si="6"/>
        <v>88.944797787612458</v>
      </c>
      <c r="J34" s="880">
        <f>+H34/((E34-F34)/'calcul-DCC-TX-Encais'!$A$98)</f>
        <v>28.694506902289412</v>
      </c>
      <c r="K34" s="1055">
        <v>21859</v>
      </c>
      <c r="L34" s="881">
        <f t="shared" si="7"/>
        <v>940.22334553273049</v>
      </c>
      <c r="M34" s="863">
        <f t="shared" si="21"/>
        <v>28</v>
      </c>
      <c r="N34" s="882">
        <v>34.15685763999997</v>
      </c>
      <c r="O34" s="883">
        <v>82.725663041151492</v>
      </c>
      <c r="P34" s="884">
        <v>46.288913842423874</v>
      </c>
      <c r="Q34" s="885">
        <v>11.858607399999983</v>
      </c>
      <c r="R34" s="886">
        <v>95.986090621705415</v>
      </c>
      <c r="S34" s="887">
        <v>15.624995312450558</v>
      </c>
      <c r="T34" s="877"/>
    </row>
    <row r="35" spans="2:22">
      <c r="B35" s="3070"/>
      <c r="C35" s="876" t="s">
        <v>123</v>
      </c>
      <c r="D35" s="1513">
        <v>15.276618859999871</v>
      </c>
      <c r="E35" s="878">
        <f>'Feuil-saisie'!B305/1000</f>
        <v>311.57066694000002</v>
      </c>
      <c r="F35" s="878">
        <f>'Feuil-saisie'!C305/1000</f>
        <v>0.74883893000000001</v>
      </c>
      <c r="G35" s="878">
        <f>'Feuil-saisie'!D305/1000</f>
        <v>280.02734655999996</v>
      </c>
      <c r="H35" s="877">
        <f t="shared" si="18"/>
        <v>46.071100309999963</v>
      </c>
      <c r="I35" s="879">
        <f t="shared" si="6"/>
        <v>85.872027066609633</v>
      </c>
      <c r="J35" s="880">
        <f>+H35/((E35-F35)/'calcul-DCC-TX-Encais'!$A$98)</f>
        <v>36.018311349001543</v>
      </c>
      <c r="K35" s="1055">
        <v>27209</v>
      </c>
      <c r="L35" s="881">
        <f>+H35/K35*1000000</f>
        <v>1693.2301925833351</v>
      </c>
      <c r="M35" s="863">
        <f t="shared" si="21"/>
        <v>29</v>
      </c>
      <c r="N35" s="882">
        <v>55.661921089999908</v>
      </c>
      <c r="O35" s="883">
        <v>85.211903875219264</v>
      </c>
      <c r="P35" s="884">
        <v>41.383356420689339</v>
      </c>
      <c r="Q35" s="885">
        <v>15.276618859999871</v>
      </c>
      <c r="R35" s="886">
        <v>96.924384785886147</v>
      </c>
      <c r="S35" s="887">
        <v>12.47009269184348</v>
      </c>
      <c r="T35" s="877"/>
    </row>
    <row r="36" spans="2:22">
      <c r="B36" s="3070"/>
      <c r="C36" s="876" t="s">
        <v>428</v>
      </c>
      <c r="D36" s="1513">
        <v>7.4057111899999768</v>
      </c>
      <c r="E36" s="878">
        <f>'Feuil-saisie'!B306/1000</f>
        <v>124.79345737999999</v>
      </c>
      <c r="F36" s="878">
        <f>'Feuil-saisie'!C306/1000</f>
        <v>0.36933668999999997</v>
      </c>
      <c r="G36" s="878">
        <f>'Feuil-saisie'!D306/1000</f>
        <v>95.924343919999998</v>
      </c>
      <c r="H36" s="877">
        <f t="shared" si="18"/>
        <v>35.905487959999974</v>
      </c>
      <c r="I36" s="879">
        <f>+G36/(D36+E36-F36)*100</f>
        <v>72.763761094163073</v>
      </c>
      <c r="J36" s="880">
        <f>+H36/((E36-F36)/'calcul-DCC-TX-Encais'!$A$98)</f>
        <v>70.123329189669136</v>
      </c>
      <c r="K36" s="1055">
        <v>11828</v>
      </c>
      <c r="L36" s="881">
        <f>+H36/K36*1000000</f>
        <v>3035.634761582683</v>
      </c>
      <c r="M36" s="863">
        <f t="shared" si="21"/>
        <v>30</v>
      </c>
      <c r="N36" s="882">
        <v>19.961109419999957</v>
      </c>
      <c r="O36" s="883">
        <v>85.622677239772997</v>
      </c>
      <c r="P36" s="884">
        <v>41.423911840344559</v>
      </c>
      <c r="Q36" s="885">
        <v>7.4057111899999768</v>
      </c>
      <c r="R36" s="886">
        <v>96.347220066133431</v>
      </c>
      <c r="S36" s="887">
        <v>14.934191471307006</v>
      </c>
      <c r="T36" s="877"/>
    </row>
    <row r="37" spans="2:22">
      <c r="B37" s="3070"/>
      <c r="C37" s="876" t="s">
        <v>559</v>
      </c>
      <c r="D37" s="1513">
        <v>47.184783539999785</v>
      </c>
      <c r="E37" s="878">
        <f>'Feuil-saisie'!B307/1000</f>
        <v>541.35850968</v>
      </c>
      <c r="F37" s="878">
        <f>'Feuil-saisie'!C307/1000</f>
        <v>3.1243773200000002</v>
      </c>
      <c r="G37" s="878">
        <f>'Feuil-saisie'!D307/1000</f>
        <v>465.18894497000002</v>
      </c>
      <c r="H37" s="877">
        <f>+D37+E37-F37-G37</f>
        <v>120.22997092999975</v>
      </c>
      <c r="I37" s="879">
        <f>+G37/(D37+E37-F37)*100</f>
        <v>79.462574975876379</v>
      </c>
      <c r="J37" s="880">
        <f>+H37/((E37-F37)/'calcul-DCC-TX-Encais'!$A$98)</f>
        <v>54.280992563379066</v>
      </c>
      <c r="K37" s="1101">
        <v>32557</v>
      </c>
      <c r="L37" s="881">
        <f>+H37/K37*1000000</f>
        <v>3692.9069303068386</v>
      </c>
      <c r="M37" s="863">
        <f t="shared" si="21"/>
        <v>31</v>
      </c>
      <c r="N37" s="882">
        <v>131.20109487000002</v>
      </c>
      <c r="O37" s="883">
        <v>79.036636256804655</v>
      </c>
      <c r="P37" s="884">
        <v>57.559692473692266</v>
      </c>
      <c r="Q37" s="885">
        <v>47.184783539999785</v>
      </c>
      <c r="R37" s="886">
        <v>94.215396972528026</v>
      </c>
      <c r="S37" s="887">
        <v>23.156871896028939</v>
      </c>
      <c r="T37" s="877"/>
    </row>
    <row r="38" spans="2:22" ht="15.6">
      <c r="B38" s="3071"/>
      <c r="C38" s="890" t="s">
        <v>311</v>
      </c>
      <c r="D38" s="904">
        <v>190.56071314000002</v>
      </c>
      <c r="E38" s="891">
        <f>SUM(E30:E37)</f>
        <v>3026.1979230999996</v>
      </c>
      <c r="F38" s="891">
        <f>SUM(F30:F37)</f>
        <v>10.33112968</v>
      </c>
      <c r="G38" s="891">
        <f>SUM(G30:G37)</f>
        <v>2721.9887902099999</v>
      </c>
      <c r="H38" s="904">
        <f>SUM(H30:H37)</f>
        <v>484.43871634999994</v>
      </c>
      <c r="I38" s="892">
        <f>+G38/(D38+E38-F38)*100</f>
        <v>84.891636709113456</v>
      </c>
      <c r="J38" s="893">
        <f>+H38/((E38-F38)/'calcul-DCC-TX-Encais'!$A$98)</f>
        <v>39.033092684958021</v>
      </c>
      <c r="K38" s="893">
        <f>SUM(K30:K37)</f>
        <v>248906</v>
      </c>
      <c r="L38" s="905">
        <f>+H38/K38*1000000</f>
        <v>1946.2717505805404</v>
      </c>
      <c r="M38" s="894">
        <v>8</v>
      </c>
      <c r="N38" s="906">
        <v>538.41600132999997</v>
      </c>
      <c r="O38" s="896">
        <v>84.363065482295781</v>
      </c>
      <c r="P38" s="907">
        <v>42.37646742867684</v>
      </c>
      <c r="Q38" s="898">
        <v>190.56071314000002</v>
      </c>
      <c r="R38" s="899">
        <v>95.978819427876331</v>
      </c>
      <c r="S38" s="900">
        <v>15.868687235684222</v>
      </c>
      <c r="T38" s="891"/>
      <c r="U38" s="853">
        <v>56.7</v>
      </c>
    </row>
    <row r="39" spans="2:22">
      <c r="B39" s="3069" t="s">
        <v>124</v>
      </c>
      <c r="C39" s="876" t="s">
        <v>327</v>
      </c>
      <c r="D39" s="877">
        <v>67.536006260000136</v>
      </c>
      <c r="E39" s="878">
        <f>'Feuil-saisie'!B312/1000</f>
        <v>514.06773253999995</v>
      </c>
      <c r="F39" s="878">
        <f>'Feuil-saisie'!C312/1000</f>
        <v>5.0163683700000004</v>
      </c>
      <c r="G39" s="878">
        <f>'Feuil-saisie'!D312/1000</f>
        <v>465.5187401</v>
      </c>
      <c r="H39" s="877">
        <f t="shared" si="18"/>
        <v>111.06863033000008</v>
      </c>
      <c r="I39" s="879">
        <f t="shared" si="6"/>
        <v>80.736895043821605</v>
      </c>
      <c r="J39" s="880">
        <f>+H39/((E39-F39)/'calcul-DCC-TX-Encais'!$A$98)</f>
        <v>53.019555726358284</v>
      </c>
      <c r="K39" s="2142">
        <f>V39</f>
        <v>40539</v>
      </c>
      <c r="L39" s="905">
        <f t="shared" ref="L39:L106" si="22">+H39/K39*1000000</f>
        <v>2739.7969937590983</v>
      </c>
      <c r="M39" s="863">
        <f>M37+1</f>
        <v>32</v>
      </c>
      <c r="N39" s="882">
        <v>109.45943661000013</v>
      </c>
      <c r="O39" s="883">
        <v>81.135830118804904</v>
      </c>
      <c r="P39" s="884">
        <v>52.881750925293389</v>
      </c>
      <c r="Q39" s="885">
        <v>67.536006260000136</v>
      </c>
      <c r="R39" s="886">
        <v>92.210277275028957</v>
      </c>
      <c r="S39" s="887">
        <v>31.214348706589295</v>
      </c>
      <c r="T39" s="877"/>
      <c r="U39" s="888" t="s">
        <v>327</v>
      </c>
      <c r="V39" s="853">
        <v>40539</v>
      </c>
    </row>
    <row r="40" spans="2:22">
      <c r="B40" s="3070"/>
      <c r="C40" s="876" t="s">
        <v>424</v>
      </c>
      <c r="D40" s="877">
        <v>80.614089620000186</v>
      </c>
      <c r="E40" s="878">
        <f>'Feuil-saisie'!B313/1000</f>
        <v>504.21762121999996</v>
      </c>
      <c r="F40" s="878">
        <f>'Feuil-saisie'!C313/1000</f>
        <v>2.3854417899999998</v>
      </c>
      <c r="G40" s="878">
        <f>'Feuil-saisie'!D313/1000</f>
        <v>428.59303012000004</v>
      </c>
      <c r="H40" s="877">
        <f t="shared" si="18"/>
        <v>153.85323893000015</v>
      </c>
      <c r="I40" s="879">
        <f t="shared" si="6"/>
        <v>73.58499022048116</v>
      </c>
      <c r="J40" s="880">
        <f>+H40/((E40-F40)/'calcul-DCC-TX-Encais'!$A$98)</f>
        <v>74.499680555469467</v>
      </c>
      <c r="K40" s="2142">
        <f>V51</f>
        <v>38853</v>
      </c>
      <c r="L40" s="905">
        <f t="shared" si="22"/>
        <v>3959.8805479628381</v>
      </c>
      <c r="M40" s="863">
        <f>M39+1</f>
        <v>33</v>
      </c>
      <c r="N40" s="882">
        <v>156.47483809000016</v>
      </c>
      <c r="O40" s="883">
        <v>73.716967034200636</v>
      </c>
      <c r="P40" s="884">
        <v>75.1853859846467</v>
      </c>
      <c r="Q40" s="885">
        <v>80.614089620000186</v>
      </c>
      <c r="R40" s="886">
        <v>90.47166077544226</v>
      </c>
      <c r="S40" s="887">
        <v>38.89877508695745</v>
      </c>
      <c r="T40" s="877"/>
      <c r="U40" s="853" t="s">
        <v>1022</v>
      </c>
      <c r="V40" s="853">
        <v>38863</v>
      </c>
    </row>
    <row r="41" spans="2:22">
      <c r="B41" s="3070"/>
      <c r="C41" s="876" t="s">
        <v>447</v>
      </c>
      <c r="D41" s="877">
        <v>15.294772490000014</v>
      </c>
      <c r="E41" s="878">
        <f>'Feuil-saisie'!B314/1000</f>
        <v>203.82896070000004</v>
      </c>
      <c r="F41" s="878">
        <f>'Feuil-saisie'!C314/1000</f>
        <v>0.25210889000000003</v>
      </c>
      <c r="G41" s="878">
        <f>'Feuil-saisie'!D314/1000</f>
        <v>175.72395266000001</v>
      </c>
      <c r="H41" s="877">
        <f t="shared" si="18"/>
        <v>43.147671640000056</v>
      </c>
      <c r="I41" s="879">
        <f t="shared" si="6"/>
        <v>80.286310855509086</v>
      </c>
      <c r="J41" s="880">
        <f>+H41/((E41-F41)/'calcul-DCC-TX-Encais'!$A$98)</f>
        <v>51.503322284920891</v>
      </c>
      <c r="K41" s="2142">
        <f>V50</f>
        <v>19359</v>
      </c>
      <c r="L41" s="905">
        <f t="shared" si="22"/>
        <v>2228.8171723746091</v>
      </c>
      <c r="M41" s="863">
        <f t="shared" ref="M41:M55" si="23">M40+1</f>
        <v>34</v>
      </c>
      <c r="N41" s="882">
        <v>51.365036459999999</v>
      </c>
      <c r="O41" s="883">
        <v>77.714484232283368</v>
      </c>
      <c r="P41" s="884">
        <v>60.050536416551111</v>
      </c>
      <c r="Q41" s="908">
        <v>15.294772490000014</v>
      </c>
      <c r="R41" s="886">
        <v>95.308979112030826</v>
      </c>
      <c r="S41" s="887">
        <v>18.39945533763947</v>
      </c>
      <c r="T41" s="877"/>
      <c r="U41" s="853" t="s">
        <v>321</v>
      </c>
      <c r="V41" s="853">
        <v>44575</v>
      </c>
    </row>
    <row r="42" spans="2:22">
      <c r="B42" s="3070"/>
      <c r="C42" s="876" t="s">
        <v>741</v>
      </c>
      <c r="D42" s="877">
        <v>79.67251694000015</v>
      </c>
      <c r="E42" s="878">
        <f>'Feuil-saisie'!B315/1000</f>
        <v>436.05188668</v>
      </c>
      <c r="F42" s="878">
        <f>'Feuil-saisie'!C315/1000</f>
        <v>2.17957585</v>
      </c>
      <c r="G42" s="878">
        <f>'Feuil-saisie'!D315/1000</f>
        <v>384.74871983999998</v>
      </c>
      <c r="H42" s="877">
        <f t="shared" si="18"/>
        <v>128.79610793000023</v>
      </c>
      <c r="I42" s="879">
        <f>+G42/(D42+E42-F42)*100</f>
        <v>74.920182043448847</v>
      </c>
      <c r="J42" s="880">
        <f>+H42/((E42-F42)/'calcul-DCC-TX-Encais'!$A$98)</f>
        <v>72.135173058446298</v>
      </c>
      <c r="K42" s="2142">
        <f>V40</f>
        <v>38863</v>
      </c>
      <c r="L42" s="905">
        <f t="shared" si="22"/>
        <v>3314.106166019099</v>
      </c>
      <c r="M42" s="863">
        <f t="shared" si="23"/>
        <v>35</v>
      </c>
      <c r="N42" s="882">
        <v>115.82710314999997</v>
      </c>
      <c r="O42" s="883">
        <v>76.984874851651327</v>
      </c>
      <c r="P42" s="884">
        <v>66.337845063292548</v>
      </c>
      <c r="Q42" s="885">
        <v>79.67251694000015</v>
      </c>
      <c r="R42" s="886">
        <v>89.548579626679413</v>
      </c>
      <c r="S42" s="887">
        <v>42.55698109094876</v>
      </c>
      <c r="T42" s="877"/>
      <c r="U42" s="853" t="s">
        <v>322</v>
      </c>
      <c r="V42" s="853">
        <v>45511</v>
      </c>
    </row>
    <row r="43" spans="2:22">
      <c r="B43" s="3070"/>
      <c r="C43" s="876" t="s">
        <v>321</v>
      </c>
      <c r="D43" s="877">
        <v>23.204319780000219</v>
      </c>
      <c r="E43" s="878">
        <f>'Feuil-saisie'!B316/1000</f>
        <v>514.0229268999999</v>
      </c>
      <c r="F43" s="878">
        <f>'Feuil-saisie'!C316/1000</f>
        <v>0.68362100999999997</v>
      </c>
      <c r="G43" s="878">
        <f>'Feuil-saisie'!D316/1000</f>
        <v>458.95713404000003</v>
      </c>
      <c r="H43" s="877">
        <f t="shared" si="18"/>
        <v>77.586491630000069</v>
      </c>
      <c r="I43" s="879">
        <f t="shared" ref="I43:I51" si="24">+G43/(D43+E43-F43)*100</f>
        <v>85.539574431973691</v>
      </c>
      <c r="J43" s="880">
        <f>+H43/((E43-F43)/'calcul-DCC-TX-Encais'!$A$98)</f>
        <v>36.727204111913487</v>
      </c>
      <c r="K43" s="2142">
        <f>V41</f>
        <v>44575</v>
      </c>
      <c r="L43" s="905">
        <f t="shared" si="22"/>
        <v>1740.5830988222112</v>
      </c>
      <c r="M43" s="863">
        <f t="shared" si="23"/>
        <v>36</v>
      </c>
      <c r="N43" s="882">
        <v>81.629724910000164</v>
      </c>
      <c r="O43" s="883">
        <v>84.977203302710507</v>
      </c>
      <c r="P43" s="884">
        <v>39.162629096201293</v>
      </c>
      <c r="Q43" s="885">
        <v>23.204319780000219</v>
      </c>
      <c r="R43" s="886">
        <v>97.045916719955954</v>
      </c>
      <c r="S43" s="887">
        <v>11.313414270179857</v>
      </c>
      <c r="T43" s="877"/>
      <c r="U43" s="853" t="s">
        <v>323</v>
      </c>
      <c r="V43" s="853">
        <v>31930</v>
      </c>
    </row>
    <row r="44" spans="2:22">
      <c r="B44" s="3070"/>
      <c r="C44" s="876" t="s">
        <v>325</v>
      </c>
      <c r="D44" s="877">
        <v>24.155537269999854</v>
      </c>
      <c r="E44" s="878">
        <f>'Feuil-saisie'!B317/1000</f>
        <v>359.20973709999998</v>
      </c>
      <c r="F44" s="878">
        <f>'Feuil-saisie'!C317/1000</f>
        <v>1.76882976</v>
      </c>
      <c r="G44" s="878">
        <f>'Feuil-saisie'!D317/1000</f>
        <v>320.07893325999999</v>
      </c>
      <c r="H44" s="877">
        <f t="shared" si="18"/>
        <v>61.517511349999836</v>
      </c>
      <c r="I44" s="879">
        <f t="shared" si="24"/>
        <v>83.87890866937397</v>
      </c>
      <c r="J44" s="880">
        <f>+H44/((E44-F44)/'calcul-DCC-TX-Encais'!$A$98)</f>
        <v>41.821612890632615</v>
      </c>
      <c r="K44" s="2142">
        <f>V48</f>
        <v>25172</v>
      </c>
      <c r="L44" s="905">
        <f t="shared" si="22"/>
        <v>2443.8865147783185</v>
      </c>
      <c r="M44" s="863">
        <f t="shared" si="23"/>
        <v>37</v>
      </c>
      <c r="N44" s="882">
        <v>68.097670569999934</v>
      </c>
      <c r="O44" s="883">
        <v>82.402059246139814</v>
      </c>
      <c r="P44" s="884">
        <v>46.771410370205238</v>
      </c>
      <c r="Q44" s="885">
        <v>24.155537269999854</v>
      </c>
      <c r="R44" s="886">
        <v>95.664885641264746</v>
      </c>
      <c r="S44" s="887">
        <v>16.824525049804194</v>
      </c>
      <c r="T44" s="877"/>
      <c r="U44" s="853" t="s">
        <v>816</v>
      </c>
      <c r="V44" s="853">
        <v>28568</v>
      </c>
    </row>
    <row r="45" spans="2:22">
      <c r="B45" s="3070"/>
      <c r="C45" s="876" t="s">
        <v>326</v>
      </c>
      <c r="D45" s="877">
        <v>11.290896390000171</v>
      </c>
      <c r="E45" s="878">
        <f>'Feuil-saisie'!B318/1000</f>
        <v>267.54539655999997</v>
      </c>
      <c r="F45" s="878">
        <f>'Feuil-saisie'!C318/1000</f>
        <v>1.1617783400000001</v>
      </c>
      <c r="G45" s="878">
        <f>'Feuil-saisie'!D318/1000</f>
        <v>249.24461908999999</v>
      </c>
      <c r="H45" s="877">
        <f t="shared" si="18"/>
        <v>28.429895520000144</v>
      </c>
      <c r="I45" s="879">
        <f t="shared" si="24"/>
        <v>89.761431451521375</v>
      </c>
      <c r="J45" s="880">
        <f>+H45/((E45-F45)/'calcul-DCC-TX-Encais'!$A$98)</f>
        <v>25.934269747978632</v>
      </c>
      <c r="K45" s="2142">
        <f>V49</f>
        <v>19888</v>
      </c>
      <c r="L45" s="905">
        <f t="shared" si="22"/>
        <v>1429.4999758648503</v>
      </c>
      <c r="M45" s="863">
        <f t="shared" si="23"/>
        <v>38</v>
      </c>
      <c r="N45" s="882">
        <v>31.821382970000144</v>
      </c>
      <c r="O45" s="883">
        <v>88.773718949465845</v>
      </c>
      <c r="P45" s="884">
        <v>28.58499539011979</v>
      </c>
      <c r="Q45" s="885">
        <v>11.290896390000171</v>
      </c>
      <c r="R45" s="886">
        <v>97.117573148855186</v>
      </c>
      <c r="S45" s="887">
        <v>10.880335544557759</v>
      </c>
      <c r="T45" s="877"/>
      <c r="U45" s="853" t="s">
        <v>324</v>
      </c>
      <c r="V45" s="853">
        <v>29550</v>
      </c>
    </row>
    <row r="46" spans="2:22">
      <c r="B46" s="3070"/>
      <c r="C46" s="876" t="s">
        <v>322</v>
      </c>
      <c r="D46" s="877">
        <v>112.54184828000007</v>
      </c>
      <c r="E46" s="878">
        <f>'Feuil-saisie'!B319/1000</f>
        <v>593.94893413</v>
      </c>
      <c r="F46" s="878">
        <f>'Feuil-saisie'!C319/1000</f>
        <v>2.4709525299999995</v>
      </c>
      <c r="G46" s="878">
        <f>'Feuil-saisie'!D319/1000</f>
        <v>499.03886907000003</v>
      </c>
      <c r="H46" s="877">
        <f t="shared" si="18"/>
        <v>204.98096081000006</v>
      </c>
      <c r="I46" s="879">
        <f t="shared" si="24"/>
        <v>70.88420636604242</v>
      </c>
      <c r="J46" s="880">
        <f>+H46/((E46-F46)/'calcul-DCC-TX-Encais'!$A$98)</f>
        <v>84.21340274085702</v>
      </c>
      <c r="K46" s="2142">
        <f>V42</f>
        <v>45511</v>
      </c>
      <c r="L46" s="905">
        <f t="shared" si="22"/>
        <v>4503.9871857353182</v>
      </c>
      <c r="M46" s="863">
        <f t="shared" si="23"/>
        <v>39</v>
      </c>
      <c r="N46" s="882">
        <v>200.53558088000011</v>
      </c>
      <c r="O46" s="883">
        <v>72.173531364332248</v>
      </c>
      <c r="P46" s="884">
        <v>83.217357313081422</v>
      </c>
      <c r="Q46" s="885">
        <v>112.54184828000007</v>
      </c>
      <c r="R46" s="886">
        <v>88.806801836928614</v>
      </c>
      <c r="S46" s="887">
        <v>47.196281905484433</v>
      </c>
      <c r="T46" s="877"/>
      <c r="U46" s="853" t="s">
        <v>328</v>
      </c>
      <c r="V46" s="853">
        <v>23581</v>
      </c>
    </row>
    <row r="47" spans="2:22">
      <c r="B47" s="3070"/>
      <c r="C47" s="876" t="s">
        <v>425</v>
      </c>
      <c r="D47" s="877">
        <v>14.53771764999999</v>
      </c>
      <c r="E47" s="878">
        <f>'Feuil-saisie'!B320/1000</f>
        <v>198.80916206999999</v>
      </c>
      <c r="F47" s="878">
        <f>'Feuil-saisie'!C320/1000</f>
        <v>1.03835075</v>
      </c>
      <c r="G47" s="878">
        <f>'Feuil-saisie'!D320/1000</f>
        <v>186.21612863999999</v>
      </c>
      <c r="H47" s="877">
        <f t="shared" si="18"/>
        <v>26.092400329999975</v>
      </c>
      <c r="I47" s="879">
        <f t="shared" si="24"/>
        <v>87.710149725691451</v>
      </c>
      <c r="J47" s="880">
        <f>+H47/((E47-F47)/'calcul-DCC-TX-Encais'!$A$98)</f>
        <v>32.059600897985511</v>
      </c>
      <c r="K47" s="2142">
        <f>V52</f>
        <v>18820</v>
      </c>
      <c r="L47" s="905">
        <f t="shared" si="22"/>
        <v>1386.4187210414439</v>
      </c>
      <c r="M47" s="863">
        <f t="shared" si="23"/>
        <v>40</v>
      </c>
      <c r="N47" s="882">
        <v>29.02085876999999</v>
      </c>
      <c r="O47" s="883">
        <v>87.446756941624329</v>
      </c>
      <c r="P47" s="884">
        <v>34.025013481226054</v>
      </c>
      <c r="Q47" s="885">
        <v>14.53771764999999</v>
      </c>
      <c r="R47" s="886">
        <v>95.664433945131222</v>
      </c>
      <c r="S47" s="887">
        <v>17.040463826395523</v>
      </c>
      <c r="T47" s="877"/>
      <c r="U47" s="853" t="s">
        <v>817</v>
      </c>
      <c r="V47" s="853">
        <v>27506</v>
      </c>
    </row>
    <row r="48" spans="2:22">
      <c r="B48" s="3070"/>
      <c r="C48" s="876" t="s">
        <v>328</v>
      </c>
      <c r="D48" s="877">
        <v>22.689454189999879</v>
      </c>
      <c r="E48" s="878">
        <f>'Feuil-saisie'!B321/1000</f>
        <v>243.64744825000002</v>
      </c>
      <c r="F48" s="878">
        <f>'Feuil-saisie'!C321/1000</f>
        <v>0.69333881000000008</v>
      </c>
      <c r="G48" s="878">
        <f>'Feuil-saisie'!D321/1000</f>
        <v>227.61055124000001</v>
      </c>
      <c r="H48" s="877">
        <f t="shared" si="18"/>
        <v>38.033012389999897</v>
      </c>
      <c r="I48" s="879">
        <f t="shared" si="24"/>
        <v>85.682690041391723</v>
      </c>
      <c r="J48" s="880">
        <f>+H48/((E48-F48)/'calcul-DCC-TX-Encais'!$A$98)</f>
        <v>38.04019628263331</v>
      </c>
      <c r="K48" s="2142">
        <f>V46</f>
        <v>23581</v>
      </c>
      <c r="L48" s="905">
        <f t="shared" si="22"/>
        <v>1612.8668160807385</v>
      </c>
      <c r="M48" s="863">
        <f t="shared" si="23"/>
        <v>41</v>
      </c>
      <c r="N48" s="882">
        <v>36.817974289999853</v>
      </c>
      <c r="O48" s="883">
        <v>86.764256764788712</v>
      </c>
      <c r="P48" s="884">
        <v>35.017826200938948</v>
      </c>
      <c r="Q48" s="885">
        <v>22.689454189999879</v>
      </c>
      <c r="R48" s="886">
        <v>93.919283033774676</v>
      </c>
      <c r="S48" s="887">
        <v>23.630882057459527</v>
      </c>
      <c r="T48" s="877"/>
      <c r="U48" s="853" t="s">
        <v>325</v>
      </c>
      <c r="V48" s="853">
        <v>25172</v>
      </c>
    </row>
    <row r="49" spans="2:22">
      <c r="B49" s="3070"/>
      <c r="C49" s="876" t="s">
        <v>323</v>
      </c>
      <c r="D49" s="877">
        <v>31.101611749999847</v>
      </c>
      <c r="E49" s="878">
        <f>'Feuil-saisie'!B322/1000</f>
        <v>371.15377560000013</v>
      </c>
      <c r="F49" s="878">
        <f>'Feuil-saisie'!C322/1000</f>
        <v>0.90791763000000003</v>
      </c>
      <c r="G49" s="878">
        <f>'Feuil-saisie'!D322/1000</f>
        <v>324.09723717999998</v>
      </c>
      <c r="H49" s="877">
        <f t="shared" si="18"/>
        <v>77.250232540000013</v>
      </c>
      <c r="I49" s="879">
        <f t="shared" si="24"/>
        <v>80.752281160787277</v>
      </c>
      <c r="J49" s="880">
        <f>+H49/((E49-F49)/'calcul-DCC-TX-Encais'!$A$98)</f>
        <v>50.70092238207031</v>
      </c>
      <c r="K49" s="2142">
        <f>V43</f>
        <v>31930</v>
      </c>
      <c r="L49" s="905">
        <f t="shared" si="22"/>
        <v>2419.3621215158159</v>
      </c>
      <c r="M49" s="863">
        <f t="shared" si="23"/>
        <v>42</v>
      </c>
      <c r="N49" s="882">
        <v>78.547359809999932</v>
      </c>
      <c r="O49" s="883">
        <v>81.067072925573655</v>
      </c>
      <c r="P49" s="884">
        <v>50.289007026255632</v>
      </c>
      <c r="Q49" s="885">
        <v>31.101611749999847</v>
      </c>
      <c r="R49" s="886">
        <v>94.518495494497046</v>
      </c>
      <c r="S49" s="887">
        <v>21.335844649878695</v>
      </c>
      <c r="T49" s="877"/>
      <c r="U49" s="853" t="s">
        <v>326</v>
      </c>
      <c r="V49" s="853">
        <v>19888</v>
      </c>
    </row>
    <row r="50" spans="2:22">
      <c r="B50" s="3070"/>
      <c r="C50" s="876" t="s">
        <v>742</v>
      </c>
      <c r="D50" s="877">
        <v>24.739071929999966</v>
      </c>
      <c r="E50" s="878">
        <f>'Feuil-saisie'!B323/1000</f>
        <v>310.49585382000004</v>
      </c>
      <c r="F50" s="878">
        <f>'Feuil-saisie'!C323/1000</f>
        <v>1.2054937100000001</v>
      </c>
      <c r="G50" s="878">
        <f>'Feuil-saisie'!D323/1000</f>
        <v>278.89630819999996</v>
      </c>
      <c r="H50" s="877">
        <f t="shared" si="18"/>
        <v>55.133123840000053</v>
      </c>
      <c r="I50" s="879">
        <f t="shared" si="24"/>
        <v>83.494531154548724</v>
      </c>
      <c r="J50" s="880">
        <f>+H50/((E50-F50)/'calcul-DCC-TX-Encais'!$A$98)</f>
        <v>43.316413380472653</v>
      </c>
      <c r="K50" s="2142">
        <f>V44</f>
        <v>28568</v>
      </c>
      <c r="L50" s="905">
        <f t="shared" si="22"/>
        <v>1929.8909213105592</v>
      </c>
      <c r="M50" s="863">
        <f t="shared" si="23"/>
        <v>43</v>
      </c>
      <c r="N50" s="882">
        <v>64.232903210000075</v>
      </c>
      <c r="O50" s="883">
        <v>81.844097100278248</v>
      </c>
      <c r="P50" s="884">
        <v>49.015119290990341</v>
      </c>
      <c r="Q50" s="885">
        <v>24.739071929999966</v>
      </c>
      <c r="R50" s="886">
        <v>94.769002523469112</v>
      </c>
      <c r="S50" s="887">
        <v>20.635139369385147</v>
      </c>
      <c r="T50" s="877"/>
      <c r="U50" s="853" t="s">
        <v>1023</v>
      </c>
      <c r="V50" s="853">
        <v>19359</v>
      </c>
    </row>
    <row r="51" spans="2:22">
      <c r="B51" s="3070"/>
      <c r="C51" s="876" t="s">
        <v>324</v>
      </c>
      <c r="D51" s="877">
        <v>63.798597429999973</v>
      </c>
      <c r="E51" s="878">
        <f>'Feuil-saisie'!B324/1000</f>
        <v>316.41806050000008</v>
      </c>
      <c r="F51" s="878">
        <f>'Feuil-saisie'!C324/1000</f>
        <v>3.44641259</v>
      </c>
      <c r="G51" s="878">
        <f>'Feuil-saisie'!D324/1000</f>
        <v>269.98290463000001</v>
      </c>
      <c r="H51" s="877">
        <f t="shared" si="18"/>
        <v>106.78734071000002</v>
      </c>
      <c r="I51" s="879">
        <f t="shared" si="24"/>
        <v>71.657172499480581</v>
      </c>
      <c r="J51" s="880">
        <f>+H51/((E51-F51)/'calcul-DCC-TX-Encais'!$A$98)</f>
        <v>82.912698213456522</v>
      </c>
      <c r="K51" s="2142">
        <f>V45</f>
        <v>29550</v>
      </c>
      <c r="L51" s="905">
        <f t="shared" si="22"/>
        <v>3613.7847956006776</v>
      </c>
      <c r="M51" s="863">
        <f t="shared" si="23"/>
        <v>44</v>
      </c>
      <c r="N51" s="882">
        <v>102.55451931000016</v>
      </c>
      <c r="O51" s="883">
        <v>73.922617957558202</v>
      </c>
      <c r="P51" s="884">
        <v>78.680050242125688</v>
      </c>
      <c r="Q51" s="885">
        <v>63.798597429999973</v>
      </c>
      <c r="R51" s="886">
        <v>88.63147655610635</v>
      </c>
      <c r="S51" s="887">
        <v>48.047892517167725</v>
      </c>
      <c r="T51" s="877"/>
      <c r="U51" s="853" t="s">
        <v>424</v>
      </c>
      <c r="V51" s="853">
        <v>38853</v>
      </c>
    </row>
    <row r="52" spans="2:22">
      <c r="B52" s="3070"/>
      <c r="C52" s="876" t="s">
        <v>743</v>
      </c>
      <c r="D52" s="877">
        <v>58.598334119999947</v>
      </c>
      <c r="E52" s="878">
        <f>'Feuil-saisie'!B325/1000</f>
        <v>204.95710008</v>
      </c>
      <c r="F52" s="878">
        <f>'Feuil-saisie'!C325/1000</f>
        <v>0.31390962</v>
      </c>
      <c r="G52" s="878">
        <f>'Feuil-saisie'!D325/1000</f>
        <v>164.80791746</v>
      </c>
      <c r="H52" s="877">
        <f>+D52+E52-F52-G52</f>
        <v>98.43360711999992</v>
      </c>
      <c r="I52" s="879">
        <f t="shared" ref="I52:I57" si="25">+G52/(D52+E52-F52)*100</f>
        <v>62.607112507401688</v>
      </c>
      <c r="J52" s="880">
        <f>+H52/((E52-F52)/'calcul-DCC-TX-Encais'!$A$98)</f>
        <v>116.88327608846244</v>
      </c>
      <c r="K52" s="2142">
        <f>V53</f>
        <v>23709</v>
      </c>
      <c r="L52" s="905">
        <f>+H52/K52*1000000</f>
        <v>4151.740145936139</v>
      </c>
      <c r="M52" s="863">
        <f t="shared" si="23"/>
        <v>45</v>
      </c>
      <c r="N52" s="882">
        <v>95.700894679999919</v>
      </c>
      <c r="O52" s="883">
        <v>65.337773818594798</v>
      </c>
      <c r="P52" s="884">
        <v>116.70438675307204</v>
      </c>
      <c r="Q52" s="885">
        <v>58.598334119999947</v>
      </c>
      <c r="R52" s="886">
        <v>84.448240548888123</v>
      </c>
      <c r="S52" s="887">
        <v>71.302541232353093</v>
      </c>
      <c r="T52" s="877"/>
      <c r="U52" s="853" t="s">
        <v>425</v>
      </c>
      <c r="V52" s="853">
        <v>18820</v>
      </c>
    </row>
    <row r="53" spans="2:22">
      <c r="B53" s="3070"/>
      <c r="C53" s="876" t="s">
        <v>329</v>
      </c>
      <c r="D53" s="877">
        <v>33.552883629999883</v>
      </c>
      <c r="E53" s="878">
        <f>'Feuil-saisie'!B326/1000</f>
        <v>375.38833848999991</v>
      </c>
      <c r="F53" s="878">
        <f>'Feuil-saisie'!C326/1000</f>
        <v>1.6577444499999998</v>
      </c>
      <c r="G53" s="878">
        <f>'Feuil-saisie'!D326/1000</f>
        <v>321.36358278</v>
      </c>
      <c r="H53" s="877">
        <f>+D53+E53-F53-G53</f>
        <v>85.919894889999796</v>
      </c>
      <c r="I53" s="879">
        <f t="shared" si="25"/>
        <v>78.904154084144778</v>
      </c>
      <c r="J53" s="880">
        <f>+H53/((E53-F53)/'calcul-DCC-TX-Encais'!$A$98)</f>
        <v>55.865200203640136</v>
      </c>
      <c r="K53" s="2142">
        <f>V47</f>
        <v>27506</v>
      </c>
      <c r="L53" s="905">
        <f>+H53/K53*1000000</f>
        <v>3123.6782843743108</v>
      </c>
      <c r="M53" s="863">
        <f t="shared" si="23"/>
        <v>46</v>
      </c>
      <c r="N53" s="882">
        <v>100.26803837999989</v>
      </c>
      <c r="O53" s="883">
        <v>76.754450229587363</v>
      </c>
      <c r="P53" s="884">
        <v>64.937939585538331</v>
      </c>
      <c r="Q53" s="885">
        <v>33.552883629999883</v>
      </c>
      <c r="R53" s="886">
        <v>94.504001762980323</v>
      </c>
      <c r="S53" s="887">
        <v>22.091781152912823</v>
      </c>
      <c r="T53" s="877"/>
      <c r="U53" s="853" t="s">
        <v>818</v>
      </c>
      <c r="V53" s="853">
        <v>23709</v>
      </c>
    </row>
    <row r="54" spans="2:22">
      <c r="B54" s="3070"/>
      <c r="C54" s="876" t="s">
        <v>737</v>
      </c>
      <c r="D54" s="877">
        <v>21.856263330000019</v>
      </c>
      <c r="E54" s="878">
        <f>'Feuil-saisie'!B327/1000</f>
        <v>157.93832693000002</v>
      </c>
      <c r="F54" s="878">
        <f>'Feuil-saisie'!C327/1000</f>
        <v>1.3500943999999999</v>
      </c>
      <c r="G54" s="878">
        <f>'Feuil-saisie'!D327/1000</f>
        <v>143.80883850000001</v>
      </c>
      <c r="H54" s="877">
        <f>+D54+E54-F54-G54</f>
        <v>34.635657360000039</v>
      </c>
      <c r="I54" s="879">
        <f t="shared" si="25"/>
        <v>80.590234967418823</v>
      </c>
      <c r="J54" s="880">
        <f>+H54/((E54-F54)/'calcul-DCC-TX-Encais'!$A$98)</f>
        <v>53.749024447718561</v>
      </c>
      <c r="K54" s="2143">
        <f>V54</f>
        <v>13712</v>
      </c>
      <c r="L54" s="905">
        <f>+H54/K54*1000000</f>
        <v>2525.9376721120216</v>
      </c>
      <c r="M54" s="863">
        <f t="shared" si="23"/>
        <v>47</v>
      </c>
      <c r="N54" s="882">
        <v>35.395344449999982</v>
      </c>
      <c r="O54" s="883">
        <v>80.37630733184163</v>
      </c>
      <c r="P54" s="884">
        <v>56.381492576854292</v>
      </c>
      <c r="Q54" s="889">
        <v>21.856263330000019</v>
      </c>
      <c r="R54" s="886">
        <v>91.618713132181497</v>
      </c>
      <c r="S54" s="887">
        <v>34.244911694270506</v>
      </c>
      <c r="T54" s="877"/>
      <c r="U54" s="853" t="s">
        <v>819</v>
      </c>
      <c r="V54" s="853">
        <v>13712</v>
      </c>
    </row>
    <row r="55" spans="2:22">
      <c r="B55" s="3070"/>
      <c r="C55" s="876" t="s">
        <v>744</v>
      </c>
      <c r="D55" s="877">
        <v>170.38038383000003</v>
      </c>
      <c r="E55" s="878">
        <f>'Feuil-saisie'!B328/1000</f>
        <v>162.92920703999997</v>
      </c>
      <c r="F55" s="878">
        <f>'Feuil-saisie'!C328/1000</f>
        <v>0.63727349</v>
      </c>
      <c r="G55" s="878">
        <f>'Feuil-saisie'!D328/1000</f>
        <v>154.5217529</v>
      </c>
      <c r="H55" s="877">
        <f>+D55+E55-F55-G55</f>
        <v>178.15056447999999</v>
      </c>
      <c r="I55" s="879">
        <f t="shared" si="25"/>
        <v>46.448635737699568</v>
      </c>
      <c r="J55" s="880">
        <f>+H55/((E55-F55)/'calcul-DCC-TX-Encais'!$A$98)</f>
        <v>266.74515622369336</v>
      </c>
      <c r="K55" s="2143">
        <f>V55</f>
        <v>12950</v>
      </c>
      <c r="L55" s="905">
        <f>+H55/K55*1000000</f>
        <v>13756.800345945945</v>
      </c>
      <c r="M55" s="863">
        <f t="shared" si="23"/>
        <v>48</v>
      </c>
      <c r="N55" s="882">
        <v>183.09645654999991</v>
      </c>
      <c r="O55" s="883">
        <v>47.252397453373348</v>
      </c>
      <c r="P55" s="884">
        <v>228.01897024646547</v>
      </c>
      <c r="Q55" s="889">
        <v>170.38038383000003</v>
      </c>
      <c r="R55" s="886">
        <v>58.126418801066023</v>
      </c>
      <c r="S55" s="887">
        <v>243.97320047729158</v>
      </c>
      <c r="T55" s="877"/>
      <c r="U55" s="853" t="s">
        <v>820</v>
      </c>
      <c r="V55" s="853">
        <v>12950</v>
      </c>
    </row>
    <row r="56" spans="2:22" ht="15.6">
      <c r="B56" s="3071"/>
      <c r="C56" s="890" t="s">
        <v>311</v>
      </c>
      <c r="D56" s="1884">
        <v>855.56430489000024</v>
      </c>
      <c r="E56" s="891">
        <f>SUM(E39:E55)</f>
        <v>5734.6304686099993</v>
      </c>
      <c r="F56" s="891">
        <f>SUM(F39:F55)</f>
        <v>27.169211989999997</v>
      </c>
      <c r="G56" s="891">
        <f>SUM(G39:G55)</f>
        <v>5053.2092197100001</v>
      </c>
      <c r="H56" s="891">
        <f>SUM(H39:H55)</f>
        <v>1509.8163418000004</v>
      </c>
      <c r="I56" s="892">
        <f t="shared" si="25"/>
        <v>76.995117150623656</v>
      </c>
      <c r="J56" s="893">
        <f>+H56/((E56-F56)/'calcul-DCC-TX-Encais'!$A$98)</f>
        <v>64.281710301906159</v>
      </c>
      <c r="K56" s="893">
        <f>SUM(K39:K55)</f>
        <v>483086</v>
      </c>
      <c r="L56" s="905">
        <f t="shared" si="22"/>
        <v>3125.3572693060869</v>
      </c>
      <c r="M56" s="894">
        <v>17</v>
      </c>
      <c r="N56" s="906">
        <v>1540.8451230900007</v>
      </c>
      <c r="O56" s="896">
        <v>77.172697702420933</v>
      </c>
      <c r="P56" s="907">
        <v>65.039738696017082</v>
      </c>
      <c r="Q56" s="898">
        <v>855.56430489000024</v>
      </c>
      <c r="R56" s="899">
        <v>90.999915281782819</v>
      </c>
      <c r="S56" s="900">
        <v>36.682655652990164</v>
      </c>
      <c r="T56" s="891"/>
      <c r="U56" s="853">
        <v>279</v>
      </c>
      <c r="V56" s="853">
        <f>SUM(V39:V55)</f>
        <v>483086</v>
      </c>
    </row>
    <row r="57" spans="2:22">
      <c r="B57" s="3069" t="s">
        <v>126</v>
      </c>
      <c r="C57" s="876" t="s">
        <v>126</v>
      </c>
      <c r="D57" s="877">
        <v>152.68677059000015</v>
      </c>
      <c r="E57" s="909">
        <f>'Feuil-saisie'!B333/1000</f>
        <v>576.85267775</v>
      </c>
      <c r="F57" s="909">
        <f>'Feuil-saisie'!C333/1000</f>
        <v>6.6031423499999997</v>
      </c>
      <c r="G57" s="909">
        <f>'Feuil-saisie'!D333/1000</f>
        <v>454.36497818999999</v>
      </c>
      <c r="H57" s="877">
        <f>+D57+E57-F57-G57</f>
        <v>268.57132780000018</v>
      </c>
      <c r="I57" s="879">
        <f t="shared" si="25"/>
        <v>62.849932203610322</v>
      </c>
      <c r="J57" s="880">
        <f>+H57/((E57-F57)/'calcul-DCC-TX-Encais'!$A$98)</f>
        <v>114.44609526883983</v>
      </c>
      <c r="K57" s="1055">
        <v>32980</v>
      </c>
      <c r="L57" s="905">
        <f t="shared" ref="L57:L68" si="26">+H57/K57*1000000</f>
        <v>8143.460515463923</v>
      </c>
      <c r="M57" s="863">
        <f>M55+1</f>
        <v>49</v>
      </c>
      <c r="N57" s="882">
        <v>244.73680594999996</v>
      </c>
      <c r="O57" s="883">
        <v>69.709737029113725</v>
      </c>
      <c r="P57" s="884">
        <v>97.443277683480943</v>
      </c>
      <c r="Q57" s="889">
        <v>152.68677059000015</v>
      </c>
      <c r="R57" s="886">
        <v>84.624772314243273</v>
      </c>
      <c r="S57" s="887">
        <v>70.0651108429999</v>
      </c>
      <c r="T57" s="877"/>
      <c r="U57" s="910"/>
    </row>
    <row r="58" spans="2:22">
      <c r="B58" s="3070"/>
      <c r="C58" s="876" t="s">
        <v>745</v>
      </c>
      <c r="D58" s="877">
        <v>476.93650308999997</v>
      </c>
      <c r="E58" s="909">
        <f>'Feuil-saisie'!B334/1000</f>
        <v>613.79675281999994</v>
      </c>
      <c r="F58" s="909">
        <f>'Feuil-saisie'!C334/1000</f>
        <v>4.5211056200000002</v>
      </c>
      <c r="G58" s="909">
        <f>'Feuil-saisie'!D334/1000</f>
        <v>460.28370234999971</v>
      </c>
      <c r="H58" s="877">
        <f t="shared" ref="H58:H67" si="27">+D58+E58-F58-G58</f>
        <v>625.9284479400003</v>
      </c>
      <c r="I58" s="879">
        <f t="shared" ref="I58:I67" si="28">+G58/(D58+E58-F58)*100</f>
        <v>42.37512001933618</v>
      </c>
      <c r="J58" s="880">
        <f>+H58/((E58-F58)/'calcul-DCC-TX-Encais'!$A$98)</f>
        <v>249.64170740848883</v>
      </c>
      <c r="K58" s="1055">
        <v>39495</v>
      </c>
      <c r="L58" s="905">
        <f t="shared" si="26"/>
        <v>15848.295934675283</v>
      </c>
      <c r="M58" s="863">
        <f>M57+1</f>
        <v>50</v>
      </c>
      <c r="N58" s="882">
        <v>522.27346825000006</v>
      </c>
      <c r="O58" s="883">
        <v>48.405908155946356</v>
      </c>
      <c r="P58" s="884">
        <v>217.64475952687431</v>
      </c>
      <c r="Q58" s="889">
        <v>476.93650308999997</v>
      </c>
      <c r="R58" s="886">
        <v>64.919600384554258</v>
      </c>
      <c r="S58" s="887">
        <v>187.10502721382028</v>
      </c>
      <c r="T58" s="877"/>
      <c r="U58" s="910"/>
    </row>
    <row r="59" spans="2:22">
      <c r="B59" s="3070"/>
      <c r="C59" s="876" t="s">
        <v>746</v>
      </c>
      <c r="D59" s="877">
        <v>69.689672849999852</v>
      </c>
      <c r="E59" s="909">
        <f>'Feuil-saisie'!B335/1000</f>
        <v>443.85217561000002</v>
      </c>
      <c r="F59" s="909">
        <f>'Feuil-saisie'!C335/1000</f>
        <v>1.4140264999999999</v>
      </c>
      <c r="G59" s="909">
        <f>'Feuil-saisie'!D335/1000</f>
        <v>379.37179136999998</v>
      </c>
      <c r="H59" s="877">
        <f t="shared" si="27"/>
        <v>132.75603058999991</v>
      </c>
      <c r="I59" s="879">
        <f t="shared" si="28"/>
        <v>74.077559371424101</v>
      </c>
      <c r="J59" s="880">
        <f>+H59/((E59-F59)/'calcul-DCC-TX-Encais'!$A$98)</f>
        <v>72.913503273311747</v>
      </c>
      <c r="K59" s="1055">
        <v>28355</v>
      </c>
      <c r="L59" s="905">
        <f t="shared" si="26"/>
        <v>4681.9266651384205</v>
      </c>
      <c r="M59" s="863">
        <f t="shared" ref="M59:M67" si="29">M58+1</f>
        <v>51</v>
      </c>
      <c r="N59" s="882">
        <v>128.98253344999983</v>
      </c>
      <c r="O59" s="883">
        <v>73.258079157901562</v>
      </c>
      <c r="P59" s="884">
        <v>78.790341324330953</v>
      </c>
      <c r="Q59" s="889">
        <v>69.689672849999852</v>
      </c>
      <c r="R59" s="886">
        <v>89.304159408272341</v>
      </c>
      <c r="S59" s="887">
        <v>44.85921096128699</v>
      </c>
      <c r="T59" s="877"/>
      <c r="U59" s="910"/>
    </row>
    <row r="60" spans="2:22">
      <c r="B60" s="3070"/>
      <c r="C60" s="876" t="s">
        <v>747</v>
      </c>
      <c r="D60" s="877">
        <v>131.27944103999971</v>
      </c>
      <c r="E60" s="909">
        <f>'Feuil-saisie'!B336/1000</f>
        <v>411.92020480000008</v>
      </c>
      <c r="F60" s="909">
        <f>'Feuil-saisie'!C336/1000</f>
        <v>2.6320733000000001</v>
      </c>
      <c r="G60" s="909">
        <f>'Feuil-saisie'!D336/1000</f>
        <v>309.01125541999994</v>
      </c>
      <c r="H60" s="877">
        <f t="shared" si="27"/>
        <v>231.55631711999985</v>
      </c>
      <c r="I60" s="879">
        <f t="shared" si="28"/>
        <v>57.164223515670528</v>
      </c>
      <c r="J60" s="880">
        <f>+H60/((E60-F60)/'calcul-DCC-TX-Encais'!$A$98)</f>
        <v>137.47817424840221</v>
      </c>
      <c r="K60" s="1055">
        <v>27175</v>
      </c>
      <c r="L60" s="905">
        <f t="shared" si="26"/>
        <v>8520.931632750684</v>
      </c>
      <c r="M60" s="863">
        <f t="shared" si="29"/>
        <v>52</v>
      </c>
      <c r="N60" s="882">
        <v>184.15774753999989</v>
      </c>
      <c r="O60" s="883">
        <v>63.323383436060723</v>
      </c>
      <c r="P60" s="884">
        <v>116.87257390078982</v>
      </c>
      <c r="Q60" s="889">
        <v>131.27944103999971</v>
      </c>
      <c r="R60" s="886">
        <v>79.785039227119128</v>
      </c>
      <c r="S60" s="887">
        <v>90.374710594082501</v>
      </c>
      <c r="T60" s="877"/>
      <c r="U60" s="910"/>
    </row>
    <row r="61" spans="2:22">
      <c r="B61" s="3070"/>
      <c r="C61" s="876" t="s">
        <v>748</v>
      </c>
      <c r="D61" s="877">
        <v>338.92440886999941</v>
      </c>
      <c r="E61" s="909">
        <f>'Feuil-saisie'!B337/1000</f>
        <v>614.65079307999997</v>
      </c>
      <c r="F61" s="909">
        <f>'Feuil-saisie'!C337/1000</f>
        <v>12.972980400000001</v>
      </c>
      <c r="G61" s="909">
        <f>'Feuil-saisie'!D337/1000</f>
        <v>464.98024936999991</v>
      </c>
      <c r="H61" s="877">
        <f t="shared" si="27"/>
        <v>475.62197217999949</v>
      </c>
      <c r="I61" s="879">
        <f t="shared" si="28"/>
        <v>49.434313327877149</v>
      </c>
      <c r="J61" s="880">
        <f>+H61/((E61-F61)/'calcul-DCC-TX-Encais'!$A$98)</f>
        <v>192.08974770889316</v>
      </c>
      <c r="K61" s="1055">
        <v>37991</v>
      </c>
      <c r="L61" s="905">
        <f t="shared" si="26"/>
        <v>12519.332794082795</v>
      </c>
      <c r="M61" s="863">
        <f t="shared" si="29"/>
        <v>53</v>
      </c>
      <c r="N61" s="882">
        <v>436.47455848999971</v>
      </c>
      <c r="O61" s="883">
        <v>52.462702593096701</v>
      </c>
      <c r="P61" s="884">
        <v>181.68978064366667</v>
      </c>
      <c r="Q61" s="889">
        <v>338.92440886999941</v>
      </c>
      <c r="R61" s="886">
        <v>69.670883201029923</v>
      </c>
      <c r="S61" s="887">
        <v>157.976207322682</v>
      </c>
      <c r="T61" s="877"/>
      <c r="U61" s="910"/>
    </row>
    <row r="62" spans="2:22">
      <c r="B62" s="3070"/>
      <c r="C62" s="876" t="s">
        <v>749</v>
      </c>
      <c r="D62" s="877">
        <v>38.54284464999995</v>
      </c>
      <c r="E62" s="909">
        <f>'Feuil-saisie'!B338/1000</f>
        <v>235.23487535000001</v>
      </c>
      <c r="F62" s="909">
        <f>'Feuil-saisie'!C338/1000</f>
        <v>1.0596131599999998</v>
      </c>
      <c r="G62" s="909">
        <f>'Feuil-saisie'!D338/1000</f>
        <v>169.77055746000005</v>
      </c>
      <c r="H62" s="877">
        <f t="shared" si="27"/>
        <v>102.94754937999986</v>
      </c>
      <c r="I62" s="879">
        <f t="shared" si="28"/>
        <v>62.251296559345136</v>
      </c>
      <c r="J62" s="880">
        <f>+H62/((E62-F62)/'calcul-DCC-TX-Encais'!$A$98)</f>
        <v>106.82705878233553</v>
      </c>
      <c r="K62" s="1101">
        <v>16453</v>
      </c>
      <c r="L62" s="905">
        <f t="shared" si="26"/>
        <v>6257.0685820215067</v>
      </c>
      <c r="M62" s="863">
        <f t="shared" si="29"/>
        <v>54</v>
      </c>
      <c r="N62" s="882">
        <v>84.657289110000022</v>
      </c>
      <c r="O62" s="883">
        <v>68.812976529058162</v>
      </c>
      <c r="P62" s="884">
        <v>96.367602473142895</v>
      </c>
      <c r="Q62" s="885">
        <v>38.54284464999995</v>
      </c>
      <c r="R62" s="886">
        <v>88.456513750581749</v>
      </c>
      <c r="S62" s="887">
        <v>50.987484236481457</v>
      </c>
      <c r="T62" s="877"/>
      <c r="U62" s="910"/>
    </row>
    <row r="63" spans="2:22">
      <c r="B63" s="3070"/>
      <c r="C63" s="876" t="s">
        <v>750</v>
      </c>
      <c r="D63" s="877">
        <v>68.567885889999957</v>
      </c>
      <c r="E63" s="909">
        <f>'Feuil-saisie'!B339/1000</f>
        <v>223.15490551000002</v>
      </c>
      <c r="F63" s="909">
        <f>'Feuil-saisie'!C339/1000</f>
        <v>1.1258342300000002</v>
      </c>
      <c r="G63" s="909">
        <f>'Feuil-saisie'!D339/1000</f>
        <v>137.64661186999999</v>
      </c>
      <c r="H63" s="877">
        <f t="shared" si="27"/>
        <v>152.95034530000001</v>
      </c>
      <c r="I63" s="879">
        <f t="shared" si="28"/>
        <v>47.366845548033851</v>
      </c>
      <c r="J63" s="880">
        <f>+H63/((E63-F63)/'calcul-DCC-TX-Encais'!$A$98)</f>
        <v>167.39670032231467</v>
      </c>
      <c r="K63" s="1101">
        <v>12045</v>
      </c>
      <c r="L63" s="905">
        <f t="shared" si="26"/>
        <v>12698.243694479039</v>
      </c>
      <c r="M63" s="863">
        <f t="shared" si="29"/>
        <v>55</v>
      </c>
      <c r="N63" s="882">
        <v>130.31055039999995</v>
      </c>
      <c r="O63" s="883">
        <v>51.656271453771019</v>
      </c>
      <c r="P63" s="884">
        <v>159.75121101748672</v>
      </c>
      <c r="Q63" s="885">
        <v>68.567885889999957</v>
      </c>
      <c r="R63" s="886">
        <v>80.231079193194702</v>
      </c>
      <c r="S63" s="887">
        <v>90.838438545613798</v>
      </c>
      <c r="T63" s="877"/>
      <c r="U63" s="910"/>
    </row>
    <row r="64" spans="2:22">
      <c r="B64" s="3070"/>
      <c r="C64" s="876" t="s">
        <v>751</v>
      </c>
      <c r="D64" s="877">
        <v>30.353635639999993</v>
      </c>
      <c r="E64" s="909">
        <f>'Feuil-saisie'!B340/1000</f>
        <v>248.79642543</v>
      </c>
      <c r="F64" s="909">
        <f>'Feuil-saisie'!C340/1000</f>
        <v>0</v>
      </c>
      <c r="G64" s="909">
        <f>'Feuil-saisie'!D340/1000</f>
        <v>174.12721766999999</v>
      </c>
      <c r="H64" s="877">
        <f t="shared" si="27"/>
        <v>105.0228434</v>
      </c>
      <c r="I64" s="879">
        <f t="shared" si="28"/>
        <v>62.377639110147157</v>
      </c>
      <c r="J64" s="880">
        <f>+H64/((E64-F64)/'calcul-DCC-TX-Encais'!$A$98)</f>
        <v>102.57603541567089</v>
      </c>
      <c r="K64" s="1101">
        <v>10173</v>
      </c>
      <c r="L64" s="905">
        <f t="shared" si="26"/>
        <v>10323.68459648088</v>
      </c>
      <c r="M64" s="863">
        <f t="shared" si="29"/>
        <v>56</v>
      </c>
      <c r="N64" s="882">
        <v>80.458830039999953</v>
      </c>
      <c r="O64" s="883">
        <v>68.394189848189015</v>
      </c>
      <c r="P64" s="884">
        <v>90.986377044284268</v>
      </c>
      <c r="Q64" s="885">
        <v>30.353635639999993</v>
      </c>
      <c r="R64" s="886">
        <v>90.997604432389878</v>
      </c>
      <c r="S64" s="887">
        <v>37.242235252604218</v>
      </c>
      <c r="T64" s="877"/>
      <c r="U64" s="910"/>
    </row>
    <row r="65" spans="2:21">
      <c r="B65" s="3070"/>
      <c r="C65" s="876" t="s">
        <v>752</v>
      </c>
      <c r="D65" s="877">
        <v>220.73399701999995</v>
      </c>
      <c r="E65" s="909">
        <f>'Feuil-saisie'!B341/1000</f>
        <v>478.88033874000007</v>
      </c>
      <c r="F65" s="909">
        <f>'Feuil-saisie'!C341/1000</f>
        <v>6.7054229699999999</v>
      </c>
      <c r="G65" s="909">
        <f>'Feuil-saisie'!D341/1000</f>
        <v>352.61091242000009</v>
      </c>
      <c r="H65" s="877">
        <f t="shared" si="27"/>
        <v>340.29800036999995</v>
      </c>
      <c r="I65" s="879">
        <f t="shared" si="28"/>
        <v>50.888494275562287</v>
      </c>
      <c r="J65" s="880">
        <f>+H65/((E65-F65)/'calcul-DCC-TX-Encais'!$A$98)</f>
        <v>175.13089181169056</v>
      </c>
      <c r="K65" s="1101">
        <v>27419</v>
      </c>
      <c r="L65" s="905">
        <f t="shared" si="26"/>
        <v>12411.028862102919</v>
      </c>
      <c r="M65" s="863">
        <f t="shared" si="29"/>
        <v>57</v>
      </c>
      <c r="N65" s="882">
        <v>304.32080612999999</v>
      </c>
      <c r="O65" s="883">
        <v>57.795742089096123</v>
      </c>
      <c r="P65" s="884">
        <v>160.73821729646008</v>
      </c>
      <c r="Q65" s="885">
        <v>220.73399701999995</v>
      </c>
      <c r="R65" s="886">
        <v>75.107465810998278</v>
      </c>
      <c r="S65" s="887">
        <v>128.75502457396993</v>
      </c>
      <c r="T65" s="877"/>
      <c r="U65" s="910"/>
    </row>
    <row r="66" spans="2:21">
      <c r="B66" s="3070"/>
      <c r="C66" s="876" t="s">
        <v>753</v>
      </c>
      <c r="D66" s="877">
        <v>71.964959529999902</v>
      </c>
      <c r="E66" s="909">
        <f>'Feuil-saisie'!B342/1000</f>
        <v>170.26158617000002</v>
      </c>
      <c r="F66" s="909">
        <f>'Feuil-saisie'!C342/1000</f>
        <v>1.0403120000000002E-2</v>
      </c>
      <c r="G66" s="909">
        <f>'Feuil-saisie'!D342/1000</f>
        <v>93.478642850000028</v>
      </c>
      <c r="H66" s="877">
        <f t="shared" si="27"/>
        <v>148.73749972999988</v>
      </c>
      <c r="I66" s="879">
        <f t="shared" si="28"/>
        <v>38.593068923606367</v>
      </c>
      <c r="J66" s="880">
        <f>+H66/((E66-F66)/'calcul-DCC-TX-Encais'!$A$98)</f>
        <v>212.2934583295982</v>
      </c>
      <c r="K66" s="1101">
        <v>8043</v>
      </c>
      <c r="L66" s="905">
        <f t="shared" si="26"/>
        <v>18492.788726843202</v>
      </c>
      <c r="M66" s="863">
        <f t="shared" si="29"/>
        <v>58</v>
      </c>
      <c r="N66" s="882">
        <v>118.47823167999992</v>
      </c>
      <c r="O66" s="883">
        <v>50.401601858462783</v>
      </c>
      <c r="P66" s="884">
        <v>192.55747416492872</v>
      </c>
      <c r="Q66" s="885">
        <v>71.964959529999902</v>
      </c>
      <c r="R66" s="886">
        <v>77.330146095848718</v>
      </c>
      <c r="S66" s="887">
        <v>115.16281175169678</v>
      </c>
      <c r="T66" s="877"/>
      <c r="U66" s="910"/>
    </row>
    <row r="67" spans="2:21">
      <c r="B67" s="3070"/>
      <c r="C67" s="876" t="s">
        <v>754</v>
      </c>
      <c r="D67" s="877">
        <v>15.891564380000005</v>
      </c>
      <c r="E67" s="909">
        <f>'Feuil-saisie'!B343/1000</f>
        <v>52.285328799999995</v>
      </c>
      <c r="F67" s="909">
        <f>'Feuil-saisie'!C343/1000</f>
        <v>0.26947188</v>
      </c>
      <c r="G67" s="909">
        <f>'Feuil-saisie'!D343/1000</f>
        <v>36.744457049999994</v>
      </c>
      <c r="H67" s="877">
        <f t="shared" si="27"/>
        <v>31.162964250000016</v>
      </c>
      <c r="I67" s="879">
        <f t="shared" si="28"/>
        <v>54.109633890633383</v>
      </c>
      <c r="J67" s="880">
        <f>+H67/((E67-F67)/'calcul-DCC-TX-Encais'!$A$98)</f>
        <v>145.58253504112423</v>
      </c>
      <c r="K67" s="1101">
        <v>4591</v>
      </c>
      <c r="L67" s="905">
        <f t="shared" si="26"/>
        <v>6787.8379982574634</v>
      </c>
      <c r="M67" s="863">
        <f t="shared" si="29"/>
        <v>59</v>
      </c>
      <c r="N67" s="882">
        <v>27.957790709999998</v>
      </c>
      <c r="O67" s="883">
        <v>61.895922049843975</v>
      </c>
      <c r="P67" s="884">
        <v>139.95683860295992</v>
      </c>
      <c r="Q67" s="885">
        <v>15.891564380000005</v>
      </c>
      <c r="R67" s="886">
        <v>83.30568212817991</v>
      </c>
      <c r="S67" s="887">
        <v>82.438031474074421</v>
      </c>
      <c r="T67" s="877"/>
      <c r="U67" s="910"/>
    </row>
    <row r="68" spans="2:21" ht="17.25" customHeight="1">
      <c r="B68" s="3071"/>
      <c r="C68" s="890" t="s">
        <v>311</v>
      </c>
      <c r="D68" s="891">
        <v>1615.5716835499991</v>
      </c>
      <c r="E68" s="891">
        <f>SUM(E57:E67)</f>
        <v>4069.6860640599998</v>
      </c>
      <c r="F68" s="891">
        <f>SUM(F57:F67)</f>
        <v>37.314073529999995</v>
      </c>
      <c r="G68" s="891">
        <f>SUM(G57:G67)</f>
        <v>3032.3903760200001</v>
      </c>
      <c r="H68" s="891">
        <f>SUM(H57:H67)</f>
        <v>2615.5532980599996</v>
      </c>
      <c r="I68" s="892">
        <f t="shared" ref="I68:I75" si="30">+G68/(D68+E68-F68)*100</f>
        <v>53.690166740445591</v>
      </c>
      <c r="J68" s="893">
        <f>+H68/((E68-F68)/'calcul-DCC-TX-Encais'!$A$98)</f>
        <v>157.61925063492012</v>
      </c>
      <c r="K68" s="893">
        <f>SUM(K57:K67)</f>
        <v>244720</v>
      </c>
      <c r="L68" s="905">
        <f t="shared" si="26"/>
        <v>10687.942538656422</v>
      </c>
      <c r="M68" s="894">
        <v>11</v>
      </c>
      <c r="N68" s="906">
        <v>2262.8086117499997</v>
      </c>
      <c r="O68" s="896">
        <v>59.241438013822389</v>
      </c>
      <c r="P68" s="907">
        <v>143.09706513526322</v>
      </c>
      <c r="Q68" s="898">
        <v>1615.5716835499991</v>
      </c>
      <c r="R68" s="899">
        <v>77.208188530773029</v>
      </c>
      <c r="S68" s="900">
        <v>109.62226984086729</v>
      </c>
      <c r="T68" s="891"/>
    </row>
    <row r="69" spans="2:21">
      <c r="B69" s="3069" t="s">
        <v>397</v>
      </c>
      <c r="C69" s="876" t="s">
        <v>397</v>
      </c>
      <c r="D69" s="877">
        <v>227.51117338666654</v>
      </c>
      <c r="E69" s="878">
        <f>'Feuil-saisie'!B348/1000</f>
        <v>388.62091054000001</v>
      </c>
      <c r="F69" s="878">
        <f>'Feuil-saisie'!C348/1000</f>
        <v>2.5164715899999996</v>
      </c>
      <c r="G69" s="878">
        <f>'Feuil-saisie'!D348/1000</f>
        <v>305.22786136999997</v>
      </c>
      <c r="H69" s="877">
        <f t="shared" ref="H69:H75" si="31">+D69+E69-F69-G69</f>
        <v>308.3877509666666</v>
      </c>
      <c r="I69" s="879">
        <f t="shared" si="30"/>
        <v>49.742518807121478</v>
      </c>
      <c r="J69" s="880">
        <f>+H69/((E69-F69)/'calcul-DCC-TX-Encais'!$A$98)</f>
        <v>194.08796150775251</v>
      </c>
      <c r="K69" s="1055">
        <v>32607</v>
      </c>
      <c r="L69" s="905">
        <f t="shared" si="22"/>
        <v>9457.7161642183164</v>
      </c>
      <c r="M69" s="863">
        <f>M67+1</f>
        <v>60</v>
      </c>
      <c r="N69" s="882">
        <v>251.12219214666658</v>
      </c>
      <c r="O69" s="883">
        <v>56.874365519387368</v>
      </c>
      <c r="P69" s="884">
        <v>178.12791241587547</v>
      </c>
      <c r="Q69" s="885">
        <v>227.51117338666654</v>
      </c>
      <c r="R69" s="886">
        <v>71.380060848057809</v>
      </c>
      <c r="S69" s="887">
        <v>149.5669085171794</v>
      </c>
      <c r="T69" s="877"/>
    </row>
    <row r="70" spans="2:21">
      <c r="B70" s="3070"/>
      <c r="C70" s="876" t="s">
        <v>400</v>
      </c>
      <c r="D70" s="877">
        <v>435.62648935666664</v>
      </c>
      <c r="E70" s="878">
        <f>'Feuil-saisie'!B349/1000</f>
        <v>575.54999412999996</v>
      </c>
      <c r="F70" s="878">
        <f>'Feuil-saisie'!C349/1000</f>
        <v>2.9746568799999999</v>
      </c>
      <c r="G70" s="878">
        <f>'Feuil-saisie'!D349/1000</f>
        <v>453.96779311</v>
      </c>
      <c r="H70" s="877">
        <f t="shared" si="31"/>
        <v>554.2340334966666</v>
      </c>
      <c r="I70" s="879">
        <f t="shared" si="30"/>
        <v>45.027471794802459</v>
      </c>
      <c r="J70" s="880">
        <f>+H70/((E70-F70)/'calcul-DCC-TX-Encais'!$A$98)</f>
        <v>235.21598185931992</v>
      </c>
      <c r="K70" s="1055">
        <v>44682</v>
      </c>
      <c r="L70" s="905">
        <f t="shared" si="22"/>
        <v>12403.966552452142</v>
      </c>
      <c r="M70" s="863">
        <f>M69+1</f>
        <v>61</v>
      </c>
      <c r="N70" s="882">
        <v>472.98976792666645</v>
      </c>
      <c r="O70" s="883">
        <v>53.340471854565926</v>
      </c>
      <c r="P70" s="884">
        <v>217.09047429751288</v>
      </c>
      <c r="Q70" s="885">
        <v>435.62648935666664</v>
      </c>
      <c r="R70" s="886">
        <v>68.560007606234691</v>
      </c>
      <c r="S70" s="887">
        <v>176.4126283204065</v>
      </c>
      <c r="T70" s="877"/>
    </row>
    <row r="71" spans="2:21">
      <c r="B71" s="3070"/>
      <c r="C71" s="876" t="s">
        <v>401</v>
      </c>
      <c r="D71" s="877">
        <v>89.317248406666465</v>
      </c>
      <c r="E71" s="878">
        <f>'Feuil-saisie'!B350/1000</f>
        <v>281.94534937000003</v>
      </c>
      <c r="F71" s="878">
        <f>'Feuil-saisie'!C350/1000</f>
        <v>1.8226108599999999</v>
      </c>
      <c r="G71" s="878">
        <f>'Feuil-saisie'!D350/1000</f>
        <v>229.36686784999998</v>
      </c>
      <c r="H71" s="877">
        <f t="shared" si="31"/>
        <v>140.07311906666652</v>
      </c>
      <c r="I71" s="879">
        <f t="shared" si="30"/>
        <v>62.085014067991942</v>
      </c>
      <c r="J71" s="880">
        <f>+H71/((E71-F71)/'calcul-DCC-TX-Encais'!$A$98)</f>
        <v>121.51019268999778</v>
      </c>
      <c r="K71" s="1055">
        <v>29445</v>
      </c>
      <c r="L71" s="905">
        <f t="shared" si="22"/>
        <v>4757.1105133865349</v>
      </c>
      <c r="M71" s="863">
        <f>M70+1</f>
        <v>62</v>
      </c>
      <c r="N71" s="882">
        <v>99.54766703666661</v>
      </c>
      <c r="O71" s="883">
        <v>73.029123280607877</v>
      </c>
      <c r="P71" s="884">
        <v>90.621221152792415</v>
      </c>
      <c r="Q71" s="885">
        <v>89.317248406666465</v>
      </c>
      <c r="R71" s="886">
        <v>83.551181051926861</v>
      </c>
      <c r="S71" s="887">
        <v>73.950868643519712</v>
      </c>
      <c r="T71" s="877"/>
    </row>
    <row r="72" spans="2:21">
      <c r="B72" s="3070"/>
      <c r="C72" s="876" t="s">
        <v>402</v>
      </c>
      <c r="D72" s="877">
        <v>642.02906567666628</v>
      </c>
      <c r="E72" s="878">
        <f>'Feuil-saisie'!B351/1000</f>
        <v>925.13552251999999</v>
      </c>
      <c r="F72" s="878">
        <f>'Feuil-saisie'!C351/1000</f>
        <v>5.8189013499999991</v>
      </c>
      <c r="G72" s="878">
        <f>'Feuil-saisie'!D351/1000</f>
        <v>750.25517924999997</v>
      </c>
      <c r="H72" s="877">
        <f t="shared" si="31"/>
        <v>811.09050759666627</v>
      </c>
      <c r="I72" s="879">
        <f t="shared" si="30"/>
        <v>48.051830262216598</v>
      </c>
      <c r="J72" s="880">
        <f>+H72/((E72-F72)/'calcul-DCC-TX-Encais'!$A$98)</f>
        <v>214.39294015499271</v>
      </c>
      <c r="K72" s="1055">
        <v>71318</v>
      </c>
      <c r="L72" s="905">
        <f t="shared" si="22"/>
        <v>11372.872312693376</v>
      </c>
      <c r="M72" s="863">
        <f>M71+1</f>
        <v>63</v>
      </c>
      <c r="N72" s="882">
        <v>725.12403221666625</v>
      </c>
      <c r="O72" s="883">
        <v>53.17249739053549</v>
      </c>
      <c r="P72" s="884">
        <v>205.11278532898572</v>
      </c>
      <c r="Q72" s="885">
        <v>642.02906567666628</v>
      </c>
      <c r="R72" s="886">
        <v>69.359367441883592</v>
      </c>
      <c r="S72" s="887">
        <v>166.68177955825809</v>
      </c>
      <c r="T72" s="877"/>
    </row>
    <row r="73" spans="2:21">
      <c r="B73" s="3070"/>
      <c r="C73" s="876" t="s">
        <v>403</v>
      </c>
      <c r="D73" s="877">
        <v>55.26017511666663</v>
      </c>
      <c r="E73" s="878">
        <f>'Feuil-saisie'!B352/1000</f>
        <v>193.06607009000001</v>
      </c>
      <c r="F73" s="878">
        <f>'Feuil-saisie'!C352/1000</f>
        <v>0.71498799000000002</v>
      </c>
      <c r="G73" s="878">
        <f>'Feuil-saisie'!D352/1000</f>
        <v>162.50576575999997</v>
      </c>
      <c r="H73" s="877">
        <f t="shared" si="31"/>
        <v>85.10549145666667</v>
      </c>
      <c r="I73" s="879">
        <f t="shared" si="30"/>
        <v>65.629393262117702</v>
      </c>
      <c r="J73" s="880">
        <f>+H73/((E73-F73)/'calcul-DCC-TX-Encais'!$A$98)</f>
        <v>107.51504071715331</v>
      </c>
      <c r="K73" s="1055">
        <v>23885</v>
      </c>
      <c r="L73" s="905">
        <f t="shared" si="22"/>
        <v>3563.135501639802</v>
      </c>
      <c r="M73" s="863">
        <f>M72+1</f>
        <v>64</v>
      </c>
      <c r="N73" s="882">
        <v>64.337600676666568</v>
      </c>
      <c r="O73" s="883">
        <v>74.936872075800053</v>
      </c>
      <c r="P73" s="884">
        <v>89.326635988684274</v>
      </c>
      <c r="Q73" s="885">
        <v>55.26017511666663</v>
      </c>
      <c r="R73" s="886">
        <v>85.394234584691617</v>
      </c>
      <c r="S73" s="887">
        <v>67.989312425228903</v>
      </c>
      <c r="T73" s="877"/>
    </row>
    <row r="74" spans="2:21">
      <c r="B74" s="3070"/>
      <c r="C74" s="876" t="s">
        <v>404</v>
      </c>
      <c r="D74" s="877">
        <v>360.04023858666687</v>
      </c>
      <c r="E74" s="878">
        <f>'Feuil-saisie'!B353/1000</f>
        <v>438.74335668999998</v>
      </c>
      <c r="F74" s="878">
        <f>'Feuil-saisie'!C353/1000</f>
        <v>3.7563723799999997</v>
      </c>
      <c r="G74" s="878">
        <f>'Feuil-saisie'!D353/1000</f>
        <v>325.90233833000008</v>
      </c>
      <c r="H74" s="877">
        <f t="shared" si="31"/>
        <v>469.12488456666671</v>
      </c>
      <c r="I74" s="879">
        <f t="shared" si="30"/>
        <v>40.992601126610609</v>
      </c>
      <c r="J74" s="880">
        <f>+H74/((E74-F74)/'calcul-DCC-TX-Encais'!$A$98)</f>
        <v>262.07070800182402</v>
      </c>
      <c r="K74" s="1055">
        <v>36358</v>
      </c>
      <c r="L74" s="905">
        <f t="shared" si="22"/>
        <v>12902.934280396796</v>
      </c>
      <c r="M74" s="863">
        <f>M73+1</f>
        <v>65</v>
      </c>
      <c r="N74" s="882">
        <v>375.88806117666672</v>
      </c>
      <c r="O74" s="883">
        <v>51.893274473695897</v>
      </c>
      <c r="P74" s="884">
        <v>229.60571166517138</v>
      </c>
      <c r="Q74" s="885">
        <v>360.04023858666687</v>
      </c>
      <c r="R74" s="886">
        <v>64.953857169856192</v>
      </c>
      <c r="S74" s="887">
        <v>204.12819899343722</v>
      </c>
      <c r="T74" s="877"/>
    </row>
    <row r="75" spans="2:21" ht="15.6">
      <c r="B75" s="3071"/>
      <c r="C75" s="890" t="s">
        <v>311</v>
      </c>
      <c r="D75" s="891">
        <v>1809.7843905299997</v>
      </c>
      <c r="E75" s="891">
        <f>SUM(E69:E74)</f>
        <v>2803.0612033399998</v>
      </c>
      <c r="F75" s="891">
        <f>SUM(F69:F74)</f>
        <v>17.604001049999997</v>
      </c>
      <c r="G75" s="891">
        <f>SUM(G69:G74)</f>
        <v>2227.2258056700002</v>
      </c>
      <c r="H75" s="891">
        <f t="shared" si="31"/>
        <v>2368.0157871499987</v>
      </c>
      <c r="I75" s="892">
        <f t="shared" si="30"/>
        <v>48.468089450400385</v>
      </c>
      <c r="J75" s="893">
        <f>+H75/((E75-F75)/'calcul-DCC-TX-Encais'!$A$98)</f>
        <v>206.58290344736758</v>
      </c>
      <c r="K75" s="893">
        <f>SUM(K69:K74)</f>
        <v>238295</v>
      </c>
      <c r="L75" s="905">
        <f t="shared" si="22"/>
        <v>9937.3288870937231</v>
      </c>
      <c r="M75" s="894">
        <v>6</v>
      </c>
      <c r="N75" s="906">
        <v>1989.009321179999</v>
      </c>
      <c r="O75" s="896">
        <v>56.301517938442871</v>
      </c>
      <c r="P75" s="907">
        <v>188.00322472641722</v>
      </c>
      <c r="Q75" s="898">
        <v>1809.7843905299997</v>
      </c>
      <c r="R75" s="899">
        <v>70.925056406058019</v>
      </c>
      <c r="S75" s="900">
        <v>155.65783995746162</v>
      </c>
      <c r="T75" s="891"/>
    </row>
    <row r="76" spans="2:21">
      <c r="B76" s="3069" t="s">
        <v>399</v>
      </c>
      <c r="C76" s="911" t="s">
        <v>399</v>
      </c>
      <c r="D76" s="912">
        <v>60.422049742000013</v>
      </c>
      <c r="E76" s="913">
        <f>'Feuil-saisie'!B358/1000</f>
        <v>537.16860999000005</v>
      </c>
      <c r="F76" s="913">
        <f>'Feuil-saisie'!C358/1000</f>
        <v>6.4006260599999996</v>
      </c>
      <c r="G76" s="913">
        <f>'Feuil-saisie'!D358/1000</f>
        <v>467.99773289000001</v>
      </c>
      <c r="H76" s="912">
        <f t="shared" ref="H76:H81" si="32">+D76+E76-F76-G76</f>
        <v>123.19230078200002</v>
      </c>
      <c r="I76" s="914">
        <f t="shared" ref="I76:I85" si="33">+G76/(D76+E76-F76)*100</f>
        <v>79.161979437165414</v>
      </c>
      <c r="J76" s="915">
        <f>+H76/((E76-F76)/'calcul-DCC-TX-Encais'!$A$98)</f>
        <v>56.400781502250631</v>
      </c>
      <c r="K76" s="1055">
        <v>48795</v>
      </c>
      <c r="L76" s="905">
        <f t="shared" ref="L76:L85" si="34">+H76/K76*1000000</f>
        <v>2524.691070437545</v>
      </c>
      <c r="M76" s="863">
        <f>M74+1</f>
        <v>66</v>
      </c>
      <c r="N76" s="882">
        <v>109.06341129200007</v>
      </c>
      <c r="O76" s="883">
        <v>82.35863701013912</v>
      </c>
      <c r="P76" s="884">
        <v>48.152416011795246</v>
      </c>
      <c r="Q76" s="885">
        <v>60.422049742000013</v>
      </c>
      <c r="R76" s="886">
        <v>93.502932427849387</v>
      </c>
      <c r="S76" s="887">
        <v>25.580294968173444</v>
      </c>
      <c r="T76" s="912"/>
    </row>
    <row r="77" spans="2:21">
      <c r="B77" s="3070"/>
      <c r="C77" s="911" t="s">
        <v>405</v>
      </c>
      <c r="D77" s="912">
        <v>75.076478020000081</v>
      </c>
      <c r="E77" s="913">
        <f>'Feuil-saisie'!B359/1000</f>
        <v>485.83951801999996</v>
      </c>
      <c r="F77" s="913">
        <f>'Feuil-saisie'!C359/1000</f>
        <v>5.0642964199999998</v>
      </c>
      <c r="G77" s="913">
        <f>'Feuil-saisie'!D359/1000</f>
        <v>402.4024326</v>
      </c>
      <c r="H77" s="912">
        <f t="shared" si="32"/>
        <v>153.44926701999998</v>
      </c>
      <c r="I77" s="914">
        <f t="shared" si="33"/>
        <v>72.393847653087434</v>
      </c>
      <c r="J77" s="915">
        <f>+H77/((E77-F77)/'calcul-DCC-TX-Encais'!$A$98)</f>
        <v>77.558431072563408</v>
      </c>
      <c r="K77" s="1055">
        <v>40742</v>
      </c>
      <c r="L77" s="905">
        <f t="shared" si="34"/>
        <v>3766.3655937361932</v>
      </c>
      <c r="M77" s="863">
        <f>M76+1</f>
        <v>67</v>
      </c>
      <c r="N77" s="882">
        <v>136.29644093000002</v>
      </c>
      <c r="O77" s="883">
        <v>76.104968468488494</v>
      </c>
      <c r="P77" s="884">
        <v>71.969028588337949</v>
      </c>
      <c r="Q77" s="889">
        <v>75.076478020000081</v>
      </c>
      <c r="R77" s="886">
        <v>90.850560988619051</v>
      </c>
      <c r="S77" s="887">
        <v>38.576086950857324</v>
      </c>
      <c r="T77" s="912"/>
    </row>
    <row r="78" spans="2:21">
      <c r="B78" s="3070"/>
      <c r="C78" s="911" t="s">
        <v>406</v>
      </c>
      <c r="D78" s="912">
        <v>244.88484547999985</v>
      </c>
      <c r="E78" s="913">
        <f>'Feuil-saisie'!B360/1000</f>
        <v>428.17798264999999</v>
      </c>
      <c r="F78" s="913">
        <f>'Feuil-saisie'!C360/1000</f>
        <v>4.1413791799999995</v>
      </c>
      <c r="G78" s="913">
        <f>'Feuil-saisie'!D360/1000</f>
        <v>388.73532616000006</v>
      </c>
      <c r="H78" s="912">
        <f t="shared" si="32"/>
        <v>280.18612278999984</v>
      </c>
      <c r="I78" s="914">
        <f t="shared" si="33"/>
        <v>58.11374814938204</v>
      </c>
      <c r="J78" s="915">
        <f>+H78/((E78-F78)/'calcul-DCC-TX-Encais'!$A$98)</f>
        <v>160.564506178974</v>
      </c>
      <c r="K78" s="1101">
        <v>39837</v>
      </c>
      <c r="L78" s="905">
        <f t="shared" si="34"/>
        <v>7033.3138235810893</v>
      </c>
      <c r="M78" s="863">
        <f t="shared" ref="M78:M84" si="35">M77+1</f>
        <v>68</v>
      </c>
      <c r="N78" s="882">
        <v>274.64653120999975</v>
      </c>
      <c r="O78" s="883">
        <v>59.041498017910989</v>
      </c>
      <c r="P78" s="884">
        <v>159.52372147330075</v>
      </c>
      <c r="Q78" s="885">
        <v>244.88484547999985</v>
      </c>
      <c r="R78" s="886">
        <v>73.448338767583934</v>
      </c>
      <c r="S78" s="887">
        <v>133.38506682476182</v>
      </c>
      <c r="T78" s="912"/>
    </row>
    <row r="79" spans="2:21">
      <c r="B79" s="3070"/>
      <c r="C79" s="911" t="s">
        <v>407</v>
      </c>
      <c r="D79" s="912">
        <v>38.102890149999951</v>
      </c>
      <c r="E79" s="913">
        <f>'Feuil-saisie'!B361/1000</f>
        <v>302.61752697000003</v>
      </c>
      <c r="F79" s="913">
        <f>'Feuil-saisie'!C361/1000</f>
        <v>1.1440426699999997</v>
      </c>
      <c r="G79" s="913">
        <f>'Feuil-saisie'!D361/1000</f>
        <v>248.10836212999999</v>
      </c>
      <c r="H79" s="912">
        <f t="shared" si="32"/>
        <v>91.468012320000014</v>
      </c>
      <c r="I79" s="914">
        <f t="shared" si="33"/>
        <v>73.064082426774362</v>
      </c>
      <c r="J79" s="915">
        <f>+H79/((E79-F79)/'calcul-DCC-TX-Encais'!$A$98)</f>
        <v>73.726971529084494</v>
      </c>
      <c r="K79" s="1101">
        <v>30402</v>
      </c>
      <c r="L79" s="905">
        <f t="shared" si="34"/>
        <v>3008.6182593250446</v>
      </c>
      <c r="M79" s="863">
        <f t="shared" si="35"/>
        <v>69</v>
      </c>
      <c r="N79" s="882">
        <v>79.122588669999971</v>
      </c>
      <c r="O79" s="883">
        <v>76.409446295383717</v>
      </c>
      <c r="P79" s="884">
        <v>65.445123273582979</v>
      </c>
      <c r="Q79" s="889">
        <v>38.102890149999951</v>
      </c>
      <c r="R79" s="886">
        <v>92.631495838655923</v>
      </c>
      <c r="S79" s="887">
        <v>29.248874124183903</v>
      </c>
      <c r="T79" s="912"/>
    </row>
    <row r="80" spans="2:21">
      <c r="B80" s="3070"/>
      <c r="C80" s="911" t="s">
        <v>617</v>
      </c>
      <c r="D80" s="912">
        <v>18.012730089999764</v>
      </c>
      <c r="E80" s="913">
        <f>'Feuil-saisie'!B362/1000</f>
        <v>657.1542876499999</v>
      </c>
      <c r="F80" s="913">
        <f>'Feuil-saisie'!C362/1000</f>
        <v>6.6350184700000003</v>
      </c>
      <c r="G80" s="913">
        <f>'Feuil-saisie'!D362/1000</f>
        <v>574.60743265999997</v>
      </c>
      <c r="H80" s="912">
        <f t="shared" si="32"/>
        <v>93.924566609999715</v>
      </c>
      <c r="I80" s="914">
        <f>+G80/(D80+E80-F80)*100</f>
        <v>85.950625143963165</v>
      </c>
      <c r="J80" s="915">
        <f>+H80/((E80-F80)/'calcul-DCC-TX-Encais'!$A$98)</f>
        <v>35.085309179234436</v>
      </c>
      <c r="K80" s="1101">
        <v>41377</v>
      </c>
      <c r="L80" s="905">
        <f t="shared" si="34"/>
        <v>2269.9704330908407</v>
      </c>
      <c r="M80" s="863">
        <f t="shared" si="35"/>
        <v>70</v>
      </c>
      <c r="N80" s="882">
        <v>84.180073789999938</v>
      </c>
      <c r="O80" s="883">
        <v>87.51272503269827</v>
      </c>
      <c r="P80" s="884">
        <v>31.718540019633277</v>
      </c>
      <c r="Q80" s="885">
        <v>18.012730089999764</v>
      </c>
      <c r="R80" s="886">
        <v>98.260958540617821</v>
      </c>
      <c r="S80" s="887">
        <v>6.5317136411058145</v>
      </c>
      <c r="T80" s="912"/>
    </row>
    <row r="81" spans="2:23">
      <c r="B81" s="3070"/>
      <c r="C81" s="911" t="s">
        <v>408</v>
      </c>
      <c r="D81" s="912">
        <v>146.06843556999996</v>
      </c>
      <c r="E81" s="913">
        <f>'Feuil-saisie'!B363/1000</f>
        <v>267.13160435999998</v>
      </c>
      <c r="F81" s="913">
        <f>'Feuil-saisie'!C363/1000</f>
        <v>5.1248106100000008</v>
      </c>
      <c r="G81" s="913">
        <f>'Feuil-saisie'!D363/1000</f>
        <v>227.375201</v>
      </c>
      <c r="H81" s="912">
        <f t="shared" si="32"/>
        <v>180.70002831999994</v>
      </c>
      <c r="I81" s="914">
        <f t="shared" si="33"/>
        <v>55.718942161446272</v>
      </c>
      <c r="J81" s="915">
        <f>+H81/((E81-F81)/'calcul-DCC-TX-Encais'!$A$98)</f>
        <v>167.59148208827693</v>
      </c>
      <c r="K81" s="1101">
        <v>24499</v>
      </c>
      <c r="L81" s="905">
        <f t="shared" si="34"/>
        <v>7375.8124135678981</v>
      </c>
      <c r="M81" s="863">
        <f t="shared" si="35"/>
        <v>71</v>
      </c>
      <c r="N81" s="882">
        <v>202.01420154000002</v>
      </c>
      <c r="O81" s="883">
        <v>54.78072725040569</v>
      </c>
      <c r="P81" s="884">
        <v>187.73007389260269</v>
      </c>
      <c r="Q81" s="889">
        <v>146.06843556999996</v>
      </c>
      <c r="R81" s="886">
        <v>75.829715835863382</v>
      </c>
      <c r="S81" s="887">
        <v>127.22012736054899</v>
      </c>
      <c r="T81" s="912"/>
    </row>
    <row r="82" spans="2:23">
      <c r="B82" s="3070"/>
      <c r="C82" s="911" t="s">
        <v>653</v>
      </c>
      <c r="D82" s="912">
        <v>67.630931120000128</v>
      </c>
      <c r="E82" s="913">
        <f>'Feuil-saisie'!B364/1000</f>
        <v>247.89693258000003</v>
      </c>
      <c r="F82" s="913">
        <f>'Feuil-saisie'!C364/1000</f>
        <v>8.3037436299999996</v>
      </c>
      <c r="G82" s="913">
        <f>'Feuil-saisie'!D364/1000</f>
        <v>203.62166405000002</v>
      </c>
      <c r="H82" s="912">
        <f>+D82+E82-F82-G82</f>
        <v>103.60245602000012</v>
      </c>
      <c r="I82" s="914">
        <f t="shared" si="33"/>
        <v>66.27788990122437</v>
      </c>
      <c r="J82" s="915">
        <f>+H82/((E82-F82)/'calcul-DCC-TX-Encais'!$A$98)</f>
        <v>105.07559469110704</v>
      </c>
      <c r="K82" s="1101">
        <v>23631</v>
      </c>
      <c r="L82" s="905">
        <f t="shared" si="34"/>
        <v>4384.1757022555166</v>
      </c>
      <c r="M82" s="863">
        <f t="shared" si="35"/>
        <v>72</v>
      </c>
      <c r="N82" s="882">
        <v>117.13313982000014</v>
      </c>
      <c r="O82" s="883">
        <v>63.084816327376977</v>
      </c>
      <c r="P82" s="884">
        <v>129.98963422342905</v>
      </c>
      <c r="Q82" s="889">
        <v>67.630931120000128</v>
      </c>
      <c r="R82" s="886">
        <v>85.057963254439642</v>
      </c>
      <c r="S82" s="887">
        <v>69.676398558231568</v>
      </c>
      <c r="T82" s="912"/>
    </row>
    <row r="83" spans="2:23">
      <c r="B83" s="3070"/>
      <c r="C83" s="911" t="s">
        <v>409</v>
      </c>
      <c r="D83" s="912">
        <v>502.78404904000035</v>
      </c>
      <c r="E83" s="913">
        <f>'Feuil-saisie'!B365/1000</f>
        <v>796.34026127999994</v>
      </c>
      <c r="F83" s="913">
        <f>'Feuil-saisie'!C365/1000</f>
        <v>6.7552286199999996</v>
      </c>
      <c r="G83" s="913">
        <f>'Feuil-saisie'!D365/1000</f>
        <v>702.16804196999999</v>
      </c>
      <c r="H83" s="912">
        <f>+D83+E83-F83-G83</f>
        <v>590.20103973000039</v>
      </c>
      <c r="I83" s="914">
        <f t="shared" si="33"/>
        <v>54.331850855357686</v>
      </c>
      <c r="J83" s="915">
        <f>+H83/((E83-F83)/'calcul-DCC-TX-Encais'!$A$98)</f>
        <v>181.63826151976608</v>
      </c>
      <c r="K83" s="1101">
        <v>49233</v>
      </c>
      <c r="L83" s="905">
        <f t="shared" si="34"/>
        <v>11987.915417098295</v>
      </c>
      <c r="M83" s="863">
        <f t="shared" si="35"/>
        <v>73</v>
      </c>
      <c r="N83" s="882">
        <v>643.0838538500002</v>
      </c>
      <c r="O83" s="883">
        <v>51.691803425485652</v>
      </c>
      <c r="P83" s="884">
        <v>201.94805303558485</v>
      </c>
      <c r="Q83" s="889">
        <v>502.78404904000035</v>
      </c>
      <c r="R83" s="886">
        <v>72.371741450587038</v>
      </c>
      <c r="S83" s="887">
        <v>145.36887983229829</v>
      </c>
      <c r="T83" s="912"/>
    </row>
    <row r="84" spans="2:23">
      <c r="B84" s="3070"/>
      <c r="C84" s="911" t="s">
        <v>410</v>
      </c>
      <c r="D84" s="912">
        <v>47.983792050000034</v>
      </c>
      <c r="E84" s="913">
        <f>'Feuil-saisie'!B366/1000</f>
        <v>496.74535350000002</v>
      </c>
      <c r="F84" s="913">
        <f>'Feuil-saisie'!C366/1000</f>
        <v>3.2170462099999999</v>
      </c>
      <c r="G84" s="913">
        <f>'Feuil-saisie'!D366/1000</f>
        <v>463.44082331999999</v>
      </c>
      <c r="H84" s="912">
        <f>+D84+E84-F84-G84</f>
        <v>78.071276020000084</v>
      </c>
      <c r="I84" s="914">
        <f t="shared" si="33"/>
        <v>85.582727308373336</v>
      </c>
      <c r="J84" s="915">
        <f>+H84/((E84-F84)/'calcul-DCC-TX-Encais'!$A$98)</f>
        <v>38.440186292520735</v>
      </c>
      <c r="K84" s="1101">
        <v>38983</v>
      </c>
      <c r="L84" s="905">
        <f t="shared" si="34"/>
        <v>2002.7005622963879</v>
      </c>
      <c r="M84" s="863">
        <f t="shared" si="35"/>
        <v>74</v>
      </c>
      <c r="N84" s="882">
        <v>62.712476980000076</v>
      </c>
      <c r="O84" s="883">
        <v>88.316735286855746</v>
      </c>
      <c r="P84" s="884">
        <v>32.351152958205795</v>
      </c>
      <c r="Q84" s="889">
        <v>47.983792050000034</v>
      </c>
      <c r="R84" s="886">
        <v>94.571437654945697</v>
      </c>
      <c r="S84" s="887">
        <v>21.405749274582426</v>
      </c>
      <c r="T84" s="912"/>
    </row>
    <row r="85" spans="2:23" ht="15.6">
      <c r="B85" s="3071"/>
      <c r="C85" s="890" t="s">
        <v>311</v>
      </c>
      <c r="D85" s="892">
        <v>1200.9662012620001</v>
      </c>
      <c r="E85" s="892">
        <f>SUM(E76:E84)</f>
        <v>4219.0720769999998</v>
      </c>
      <c r="F85" s="892">
        <f>SUM(F76:F84)</f>
        <v>46.786191869999989</v>
      </c>
      <c r="G85" s="892">
        <f>SUM(G76:G84)</f>
        <v>3678.4570167800002</v>
      </c>
      <c r="H85" s="892">
        <f>SUM(H76:H84)</f>
        <v>1694.7950696119999</v>
      </c>
      <c r="I85" s="892">
        <f t="shared" si="33"/>
        <v>68.458671911110528</v>
      </c>
      <c r="J85" s="893">
        <f>+H85/((E85-F85)/'calcul-DCC-TX-Encais'!$A$98)</f>
        <v>98.707330526772878</v>
      </c>
      <c r="K85" s="893">
        <f>SUM(K76:K84)</f>
        <v>337499</v>
      </c>
      <c r="L85" s="905">
        <f t="shared" si="34"/>
        <v>5021.6298999759993</v>
      </c>
      <c r="M85" s="894">
        <v>9</v>
      </c>
      <c r="N85" s="906">
        <v>1708.252718082</v>
      </c>
      <c r="O85" s="896">
        <v>68.944960107570779</v>
      </c>
      <c r="P85" s="907">
        <v>101.41916223676577</v>
      </c>
      <c r="Q85" s="916">
        <v>1200.9662012620001</v>
      </c>
      <c r="R85" s="917">
        <v>84.962391366802322</v>
      </c>
      <c r="S85" s="918">
        <v>66.632520453016383</v>
      </c>
      <c r="T85" s="1202"/>
    </row>
    <row r="86" spans="2:23">
      <c r="B86" s="3069" t="s">
        <v>883</v>
      </c>
      <c r="C86" s="876" t="s">
        <v>970</v>
      </c>
      <c r="D86" s="877">
        <v>136.71162740000045</v>
      </c>
      <c r="E86" s="878">
        <f>'Feuil-saisie'!B371/1000</f>
        <v>784.67633517000002</v>
      </c>
      <c r="F86" s="878">
        <f>'Feuil-saisie'!C371/1000</f>
        <v>2.7180443699999999</v>
      </c>
      <c r="G86" s="878">
        <f>'Feuil-saisie'!D371/1000</f>
        <v>604.20549631000006</v>
      </c>
      <c r="H86" s="877">
        <f t="shared" ref="H86:H91" si="36">+D86+E86-F86-G86</f>
        <v>314.46442189000038</v>
      </c>
      <c r="I86" s="879">
        <f t="shared" ref="I86:I107" si="37">+G86/(D86+E86-F86)*100</f>
        <v>65.769596276087114</v>
      </c>
      <c r="J86" s="880">
        <f>+H86/((E86-F86)/'calcul-DCC-TX-Encais'!$A$98)</f>
        <v>97.722417446449938</v>
      </c>
      <c r="K86" s="1055">
        <v>55596</v>
      </c>
      <c r="L86" s="905">
        <f t="shared" si="22"/>
        <v>5656.2418499532405</v>
      </c>
      <c r="M86" s="863">
        <f>M84+1</f>
        <v>75</v>
      </c>
      <c r="N86" s="882">
        <v>290.84612983004627</v>
      </c>
      <c r="O86" s="883">
        <v>68.816156867565411</v>
      </c>
      <c r="P86" s="884">
        <v>97.561200767714169</v>
      </c>
      <c r="Q86" s="885">
        <v>136.71162740000045</v>
      </c>
      <c r="R86" s="886">
        <v>89.959069282294109</v>
      </c>
      <c r="S86" s="887">
        <v>43.267502855756625</v>
      </c>
      <c r="T86" s="877"/>
    </row>
    <row r="87" spans="2:23">
      <c r="B87" s="3070"/>
      <c r="C87" s="876" t="s">
        <v>971</v>
      </c>
      <c r="D87" s="877">
        <v>238.85819979999974</v>
      </c>
      <c r="E87" s="878">
        <f>'Feuil-saisie'!B372/1000</f>
        <v>891.74761267000008</v>
      </c>
      <c r="F87" s="878">
        <f>'Feuil-saisie'!C372/1000</f>
        <v>2.0447619399999999</v>
      </c>
      <c r="G87" s="878">
        <f>'Feuil-saisie'!D372/1000</f>
        <v>717.72779302000004</v>
      </c>
      <c r="H87" s="877">
        <f t="shared" si="36"/>
        <v>410.83325750999984</v>
      </c>
      <c r="I87" s="879">
        <f t="shared" si="37"/>
        <v>63.596718377170426</v>
      </c>
      <c r="J87" s="880">
        <f>+H87/((E87-F87)/'calcul-DCC-TX-Encais'!$A$98)</f>
        <v>112.20879138806573</v>
      </c>
      <c r="K87" s="1055">
        <v>65073</v>
      </c>
      <c r="L87" s="905">
        <f t="shared" si="22"/>
        <v>6313.4211963487141</v>
      </c>
      <c r="M87" s="863">
        <f>M86+1</f>
        <v>76</v>
      </c>
      <c r="N87" s="882">
        <v>362.96451566000985</v>
      </c>
      <c r="O87" s="883">
        <v>67.278662726825189</v>
      </c>
      <c r="P87" s="884">
        <v>104.52955535545928</v>
      </c>
      <c r="Q87" s="885">
        <v>238.85819979999974</v>
      </c>
      <c r="R87" s="886">
        <v>84.959577779270518</v>
      </c>
      <c r="S87" s="887">
        <v>65.916426659536739</v>
      </c>
      <c r="T87" s="877"/>
    </row>
    <row r="88" spans="2:23">
      <c r="B88" s="3070"/>
      <c r="C88" s="876" t="s">
        <v>972</v>
      </c>
      <c r="D88" s="877">
        <v>192.40335490000007</v>
      </c>
      <c r="E88" s="878">
        <f>'Feuil-saisie'!B373/1000</f>
        <v>777.77867751999997</v>
      </c>
      <c r="F88" s="878">
        <f>'Feuil-saisie'!C373/1000</f>
        <v>3.9999728000000001</v>
      </c>
      <c r="G88" s="878">
        <f>'Feuil-saisie'!D373/1000</f>
        <v>489.36790000000002</v>
      </c>
      <c r="H88" s="877">
        <f t="shared" si="36"/>
        <v>476.81415962</v>
      </c>
      <c r="I88" s="879">
        <f t="shared" si="37"/>
        <v>50.649657083517852</v>
      </c>
      <c r="J88" s="880">
        <f>+H88/((E88-F88)/'calcul-DCC-TX-Encais'!$A$98)</f>
        <v>149.74028114354385</v>
      </c>
      <c r="K88" s="1055">
        <v>59589</v>
      </c>
      <c r="L88" s="905">
        <f t="shared" si="22"/>
        <v>8001.7144040007388</v>
      </c>
      <c r="M88" s="863">
        <f>M87+1</f>
        <v>77</v>
      </c>
      <c r="N88" s="882">
        <v>422.28205236708948</v>
      </c>
      <c r="O88" s="883">
        <v>57.500046789845229</v>
      </c>
      <c r="P88" s="884">
        <v>142.38544270592396</v>
      </c>
      <c r="Q88" s="885">
        <v>192.40335490000007</v>
      </c>
      <c r="R88" s="886">
        <v>86.108741226625853</v>
      </c>
      <c r="S88" s="887">
        <v>63.145842312728448</v>
      </c>
      <c r="T88" s="877"/>
    </row>
    <row r="89" spans="2:23">
      <c r="B89" s="3070"/>
      <c r="C89" s="876" t="s">
        <v>973</v>
      </c>
      <c r="D89" s="877">
        <v>18.773961959999895</v>
      </c>
      <c r="E89" s="878">
        <f>'Feuil-saisie'!B374/1000</f>
        <v>195.84298765999998</v>
      </c>
      <c r="F89" s="878">
        <f>'Feuil-saisie'!C374/1000</f>
        <v>0.34218758999999999</v>
      </c>
      <c r="G89" s="878">
        <f>'Feuil-saisie'!D374/1000</f>
        <v>149.56746952</v>
      </c>
      <c r="H89" s="877">
        <f t="shared" si="36"/>
        <v>64.70729250999986</v>
      </c>
      <c r="I89" s="879">
        <f t="shared" si="37"/>
        <v>69.80172004534046</v>
      </c>
      <c r="J89" s="880">
        <f>+H89/((E89-F89)/'calcul-DCC-TX-Encais'!$A$98)</f>
        <v>80.428684047840008</v>
      </c>
      <c r="K89" s="1055">
        <v>19863</v>
      </c>
      <c r="L89" s="905">
        <f t="shared" si="22"/>
        <v>3257.6797316618768</v>
      </c>
      <c r="M89" s="863">
        <f>M88+1</f>
        <v>78</v>
      </c>
      <c r="N89" s="882">
        <v>51.976133560001102</v>
      </c>
      <c r="O89" s="883">
        <v>74.990112642686185</v>
      </c>
      <c r="P89" s="884">
        <v>70.503033373086623</v>
      </c>
      <c r="Q89" s="885">
        <v>18.773961959999895</v>
      </c>
      <c r="R89" s="886">
        <v>94.273200654632433</v>
      </c>
      <c r="S89" s="887">
        <v>22.906696379080884</v>
      </c>
      <c r="T89" s="877"/>
    </row>
    <row r="90" spans="2:23">
      <c r="B90" s="3070"/>
      <c r="C90" s="876" t="s">
        <v>974</v>
      </c>
      <c r="D90" s="877">
        <v>20.122000149999963</v>
      </c>
      <c r="E90" s="878">
        <f>'Feuil-saisie'!B375/1000</f>
        <v>241.87469646</v>
      </c>
      <c r="F90" s="878">
        <f>'Feuil-saisie'!C375/1000</f>
        <v>0.13315873000000003</v>
      </c>
      <c r="G90" s="878">
        <f>'Feuil-saisie'!D375/1000</f>
        <v>202.31251304000003</v>
      </c>
      <c r="H90" s="877">
        <f t="shared" si="36"/>
        <v>59.55102483999994</v>
      </c>
      <c r="I90" s="879">
        <f t="shared" si="37"/>
        <v>77.258756479762582</v>
      </c>
      <c r="J90" s="880">
        <f>+H90/((E90-F90)/'calcul-DCC-TX-Encais'!$A$98)</f>
        <v>59.861036593067702</v>
      </c>
      <c r="K90" s="1055">
        <v>20291</v>
      </c>
      <c r="L90" s="905">
        <f t="shared" si="22"/>
        <v>2934.849186338768</v>
      </c>
      <c r="M90" s="863">
        <f>M89+1</f>
        <v>79</v>
      </c>
      <c r="N90" s="882">
        <v>54.121068830003225</v>
      </c>
      <c r="O90" s="883">
        <v>80.061251943282855</v>
      </c>
      <c r="P90" s="884">
        <v>55.113524462795361</v>
      </c>
      <c r="Q90" s="885">
        <v>20.122000149999963</v>
      </c>
      <c r="R90" s="886">
        <v>94.747185573703533</v>
      </c>
      <c r="S90" s="887">
        <v>20.968892131949897</v>
      </c>
      <c r="T90" s="877"/>
    </row>
    <row r="91" spans="2:23">
      <c r="B91" s="3070"/>
      <c r="C91" s="876" t="s">
        <v>975</v>
      </c>
      <c r="D91" s="877">
        <v>21.838416959999961</v>
      </c>
      <c r="E91" s="878">
        <f>'Feuil-saisie'!B376/1000</f>
        <v>225.15374219999998</v>
      </c>
      <c r="F91" s="878">
        <f>'Feuil-saisie'!C376/1000</f>
        <v>3.5980839999999993E-2</v>
      </c>
      <c r="G91" s="878">
        <f>'Feuil-saisie'!D376/1000</f>
        <v>175.16307614000002</v>
      </c>
      <c r="H91" s="877">
        <f t="shared" si="36"/>
        <v>71.79310217999992</v>
      </c>
      <c r="I91" s="879">
        <f t="shared" si="37"/>
        <v>70.928809042804303</v>
      </c>
      <c r="J91" s="880">
        <f>+H91/((E91-F91)/'calcul-DCC-TX-Encais'!$A$98)</f>
        <v>77.49599020683857</v>
      </c>
      <c r="K91" s="1055">
        <v>18808</v>
      </c>
      <c r="L91" s="905">
        <f t="shared" si="22"/>
        <v>3817.1577084219439</v>
      </c>
      <c r="M91" s="863">
        <f>M90+1</f>
        <v>80</v>
      </c>
      <c r="N91" s="882">
        <v>45.543394980001835</v>
      </c>
      <c r="O91" s="883">
        <v>81.037338630063005</v>
      </c>
      <c r="P91" s="884">
        <v>54.853810020022117</v>
      </c>
      <c r="Q91" s="885">
        <v>21.838416959999961</v>
      </c>
      <c r="R91" s="886">
        <v>93.753029136431493</v>
      </c>
      <c r="S91" s="887">
        <v>25.616680901028026</v>
      </c>
      <c r="T91" s="877"/>
    </row>
    <row r="92" spans="2:23" ht="15.6">
      <c r="B92" s="3071"/>
      <c r="C92" s="890" t="s">
        <v>311</v>
      </c>
      <c r="D92" s="891">
        <v>628.70756117000019</v>
      </c>
      <c r="E92" s="891">
        <f>SUM(E86:E91)</f>
        <v>3117.0740516799997</v>
      </c>
      <c r="F92" s="891">
        <f>SUM(F86:F91)</f>
        <v>9.2741062700000008</v>
      </c>
      <c r="G92" s="891">
        <f>SUM(G86:G91)</f>
        <v>2338.3442480300005</v>
      </c>
      <c r="H92" s="891">
        <f>SUM(H86:H91)</f>
        <v>1398.1632585499999</v>
      </c>
      <c r="I92" s="892">
        <f t="shared" si="37"/>
        <v>62.581012989059168</v>
      </c>
      <c r="J92" s="893">
        <f>+H92/((E92-F92)/'calcul-DCC-TX-Encais'!$A$98)</f>
        <v>109.32289008159682</v>
      </c>
      <c r="K92" s="893">
        <f>SUM(K86:K91)</f>
        <v>239220</v>
      </c>
      <c r="L92" s="905">
        <f>+H92/K92*1000000</f>
        <v>5844.6754391355234</v>
      </c>
      <c r="M92" s="894">
        <v>6</v>
      </c>
      <c r="N92" s="906">
        <v>1227.7332952271518</v>
      </c>
      <c r="O92" s="896">
        <v>67.30387043228032</v>
      </c>
      <c r="P92" s="907">
        <v>102.57802397871386</v>
      </c>
      <c r="Q92" s="898">
        <v>628.70756117000019</v>
      </c>
      <c r="R92" s="899">
        <v>88.346911045311145</v>
      </c>
      <c r="S92" s="900">
        <v>50.44994251977333</v>
      </c>
      <c r="T92" s="891"/>
    </row>
    <row r="93" spans="2:23">
      <c r="B93" s="3069" t="s">
        <v>884</v>
      </c>
      <c r="C93" s="876" t="s">
        <v>962</v>
      </c>
      <c r="D93" s="878">
        <v>14.360890073000064</v>
      </c>
      <c r="E93" s="878">
        <f>'Feuil-saisie'!B381/1000</f>
        <v>293.40160968999999</v>
      </c>
      <c r="F93" s="878">
        <f>'Feuil-saisie'!C381/1000</f>
        <v>2.5899641600000001</v>
      </c>
      <c r="G93" s="878">
        <f>'Feuil-saisie'!D381/1000</f>
        <v>258.16749066000006</v>
      </c>
      <c r="H93" s="919">
        <f t="shared" ref="H93:H102" si="38">+D93+E93-F93-G93</f>
        <v>47.005044942999973</v>
      </c>
      <c r="I93" s="879">
        <f t="shared" si="37"/>
        <v>84.597223059368304</v>
      </c>
      <c r="J93" s="880">
        <f>+H93/((E93-F93)/'calcul-DCC-TX-Encais'!$A$98)</f>
        <v>39.277058180844698</v>
      </c>
      <c r="K93" s="1055">
        <v>31787</v>
      </c>
      <c r="L93" s="905">
        <f t="shared" si="22"/>
        <v>1478.7505880705939</v>
      </c>
      <c r="M93" s="863">
        <f>M91+1</f>
        <v>81</v>
      </c>
      <c r="N93" s="882">
        <v>43.097828083000024</v>
      </c>
      <c r="O93" s="883">
        <v>85.30478223738676</v>
      </c>
      <c r="P93" s="884">
        <v>38.610497404915762</v>
      </c>
      <c r="Q93" s="885">
        <v>14.360890073000064</v>
      </c>
      <c r="R93" s="886">
        <v>96.762177730335992</v>
      </c>
      <c r="S93" s="887">
        <v>12.435909150543161</v>
      </c>
      <c r="T93" s="919"/>
      <c r="U93" s="853">
        <f>V102</f>
        <v>31787</v>
      </c>
      <c r="V93" s="853">
        <v>50303</v>
      </c>
      <c r="W93" s="2105">
        <v>611</v>
      </c>
    </row>
    <row r="94" spans="2:23">
      <c r="B94" s="3070"/>
      <c r="C94" s="876" t="s">
        <v>957</v>
      </c>
      <c r="D94" s="878">
        <v>1.4796491129999367</v>
      </c>
      <c r="E94" s="878">
        <f>'Feuil-saisie'!B382/1000</f>
        <v>316.27346487000017</v>
      </c>
      <c r="F94" s="878">
        <f>'Feuil-saisie'!C382/1000</f>
        <v>0.90222674999999986</v>
      </c>
      <c r="G94" s="878">
        <f>'Feuil-saisie'!D382/1000</f>
        <v>281.40905775000016</v>
      </c>
      <c r="H94" s="919">
        <f t="shared" si="38"/>
        <v>35.441829482999935</v>
      </c>
      <c r="I94" s="920">
        <f t="shared" si="37"/>
        <v>88.814350563286453</v>
      </c>
      <c r="J94" s="921">
        <f>+H94/((E94-F94)/'calcul-DCC-TX-Encais'!$A$98)</f>
        <v>27.308655715433193</v>
      </c>
      <c r="K94" s="1055">
        <v>24963</v>
      </c>
      <c r="L94" s="905">
        <f t="shared" si="22"/>
        <v>1419.7744454993365</v>
      </c>
      <c r="M94" s="863">
        <f>M93+1</f>
        <v>82</v>
      </c>
      <c r="N94" s="882">
        <v>37.057623512999896</v>
      </c>
      <c r="O94" s="883">
        <v>88.131963829615955</v>
      </c>
      <c r="P94" s="884">
        <v>30.440207023142413</v>
      </c>
      <c r="Q94" s="885">
        <v>1.4796491129999367</v>
      </c>
      <c r="R94" s="886">
        <v>99.697605997059014</v>
      </c>
      <c r="S94" s="887">
        <v>1.142066034681017</v>
      </c>
      <c r="T94" s="919"/>
      <c r="U94" s="853">
        <f>V97</f>
        <v>24963</v>
      </c>
      <c r="V94" s="853">
        <v>33054</v>
      </c>
      <c r="W94" s="2105">
        <v>612</v>
      </c>
    </row>
    <row r="95" spans="2:23">
      <c r="B95" s="3070"/>
      <c r="C95" s="876" t="s">
        <v>961</v>
      </c>
      <c r="D95" s="878">
        <v>15.55831703299998</v>
      </c>
      <c r="E95" s="878">
        <f>'Feuil-saisie'!B383/1000</f>
        <v>374.47575101000001</v>
      </c>
      <c r="F95" s="878">
        <f>'Feuil-saisie'!C383/1000</f>
        <v>3.5731988199999996</v>
      </c>
      <c r="G95" s="878">
        <f>'Feuil-saisie'!D383/1000</f>
        <v>287.85564850000003</v>
      </c>
      <c r="H95" s="919">
        <f>+D95+E95-F95-G95</f>
        <v>98.605220722999945</v>
      </c>
      <c r="I95" s="920">
        <f>+G95/(D95+E95-F95)*100</f>
        <v>74.485069880101719</v>
      </c>
      <c r="J95" s="921">
        <f>+H95/((E95-F95)/'calcul-DCC-TX-Encais'!$A$98)</f>
        <v>64.602059204528189</v>
      </c>
      <c r="K95" s="1055">
        <v>23928</v>
      </c>
      <c r="L95" s="905">
        <f t="shared" ref="L95:L100" si="39">+H95/K95*1000000</f>
        <v>4120.9136042711443</v>
      </c>
      <c r="M95" s="863">
        <f t="shared" ref="M95:M102" si="40">M94+1</f>
        <v>83</v>
      </c>
      <c r="N95" s="882">
        <v>108.88190188300001</v>
      </c>
      <c r="O95" s="883">
        <v>72.162143449273302</v>
      </c>
      <c r="P95" s="884">
        <v>76.612701361477718</v>
      </c>
      <c r="Q95" s="885">
        <v>15.55831703299998</v>
      </c>
      <c r="R95" s="886">
        <v>97.205869548064214</v>
      </c>
      <c r="S95" s="887">
        <v>11.112128794357858</v>
      </c>
      <c r="T95" s="919"/>
      <c r="U95" s="853">
        <f>V101</f>
        <v>23928</v>
      </c>
      <c r="V95" s="853">
        <v>34207</v>
      </c>
      <c r="W95" s="2105">
        <v>613</v>
      </c>
    </row>
    <row r="96" spans="2:23">
      <c r="B96" s="3070"/>
      <c r="C96" s="876" t="s">
        <v>953</v>
      </c>
      <c r="D96" s="878">
        <v>63.549900882999736</v>
      </c>
      <c r="E96" s="878">
        <f>'Feuil-saisie'!B384/1000</f>
        <v>744.36424530000022</v>
      </c>
      <c r="F96" s="878">
        <f>'Feuil-saisie'!C384/1000</f>
        <v>1.07698574</v>
      </c>
      <c r="G96" s="878">
        <f>'Feuil-saisie'!D384/1000</f>
        <v>582.92102093000017</v>
      </c>
      <c r="H96" s="919">
        <f>+D96+E96-F96-G96</f>
        <v>223.91613951299973</v>
      </c>
      <c r="I96" s="920">
        <f>+G96/(D96+E96-F96)*100</f>
        <v>72.247666506825624</v>
      </c>
      <c r="J96" s="921">
        <f>+H96/((E96-F96)/'calcul-DCC-TX-Encais'!$A$98)</f>
        <v>73.204028727559106</v>
      </c>
      <c r="K96" s="1055">
        <v>50303</v>
      </c>
      <c r="L96" s="905">
        <f t="shared" si="39"/>
        <v>4451.3476236606111</v>
      </c>
      <c r="M96" s="863">
        <f t="shared" si="40"/>
        <v>84</v>
      </c>
      <c r="N96" s="882">
        <v>201.14247425299982</v>
      </c>
      <c r="O96" s="883">
        <v>74.575190798240783</v>
      </c>
      <c r="P96" s="884">
        <v>70.4097162890249</v>
      </c>
      <c r="Q96" s="885">
        <v>63.549900882999736</v>
      </c>
      <c r="R96" s="886">
        <v>94.792930200890609</v>
      </c>
      <c r="S96" s="887">
        <v>20.645646523862393</v>
      </c>
      <c r="T96" s="919"/>
      <c r="U96" s="853">
        <f>V93</f>
        <v>50303</v>
      </c>
      <c r="V96" s="853">
        <v>24054</v>
      </c>
      <c r="W96" s="2105">
        <v>614</v>
      </c>
    </row>
    <row r="97" spans="2:23">
      <c r="B97" s="3070"/>
      <c r="C97" s="876" t="s">
        <v>955</v>
      </c>
      <c r="D97" s="878">
        <v>76.489823662999811</v>
      </c>
      <c r="E97" s="878">
        <f>'Feuil-saisie'!B385/1000</f>
        <v>428.95232552000022</v>
      </c>
      <c r="F97" s="878">
        <f>'Feuil-saisie'!C385/1000</f>
        <v>2.1008474700000002</v>
      </c>
      <c r="G97" s="878">
        <f>'Feuil-saisie'!D385/1000</f>
        <v>346.88646862000019</v>
      </c>
      <c r="H97" s="919">
        <f>+D97+E97-F97-G97</f>
        <v>156.45483309299982</v>
      </c>
      <c r="I97" s="920">
        <f>+G97/(D97+E97-F97)*100</f>
        <v>68.916750411590755</v>
      </c>
      <c r="J97" s="921">
        <f>+H97/((E97-F97)/'calcul-DCC-TX-Encais'!$A$98)</f>
        <v>89.067336993373544</v>
      </c>
      <c r="K97" s="1055">
        <v>34207</v>
      </c>
      <c r="L97" s="905">
        <f t="shared" si="39"/>
        <v>4573.7665709650018</v>
      </c>
      <c r="M97" s="863">
        <f t="shared" si="40"/>
        <v>85</v>
      </c>
      <c r="N97" s="882">
        <v>155.39562330299987</v>
      </c>
      <c r="O97" s="883">
        <v>67.556994446618873</v>
      </c>
      <c r="P97" s="884">
        <v>97.322104552330089</v>
      </c>
      <c r="Q97" s="885">
        <v>76.489823662999811</v>
      </c>
      <c r="R97" s="886">
        <v>89.279632479263597</v>
      </c>
      <c r="S97" s="887">
        <v>44.847920237094321</v>
      </c>
      <c r="T97" s="919"/>
      <c r="U97" s="853">
        <f>V95</f>
        <v>34207</v>
      </c>
      <c r="V97" s="853">
        <v>24963</v>
      </c>
      <c r="W97" s="2105">
        <v>616</v>
      </c>
    </row>
    <row r="98" spans="2:23">
      <c r="B98" s="3070"/>
      <c r="C98" s="876" t="s">
        <v>956</v>
      </c>
      <c r="D98" s="878">
        <v>8.0338063030000058</v>
      </c>
      <c r="E98" s="878">
        <f>'Feuil-saisie'!B386/1000</f>
        <v>288.60698899999994</v>
      </c>
      <c r="F98" s="878">
        <f>'Feuil-saisie'!C386/1000</f>
        <v>2.6790199999999998E-3</v>
      </c>
      <c r="G98" s="878">
        <f>'Feuil-saisie'!D386/1000</f>
        <v>241.16938562999997</v>
      </c>
      <c r="H98" s="919">
        <f>+D98+E98-F98-G98</f>
        <v>55.468730652999966</v>
      </c>
      <c r="I98" s="920">
        <f>+G98/(D98+E98-F98)*100</f>
        <v>81.300875508499573</v>
      </c>
      <c r="J98" s="921">
        <f>+H98/((E98-F98)/'calcul-DCC-TX-Encais'!$A$98)</f>
        <v>46.703743092447475</v>
      </c>
      <c r="K98" s="1055">
        <v>24054</v>
      </c>
      <c r="L98" s="905">
        <f t="shared" si="39"/>
        <v>2306.0085912114396</v>
      </c>
      <c r="M98" s="863">
        <f t="shared" si="40"/>
        <v>86</v>
      </c>
      <c r="N98" s="882">
        <v>48.921372063000007</v>
      </c>
      <c r="O98" s="883">
        <v>82.702963499656093</v>
      </c>
      <c r="P98" s="884">
        <v>45.214684039838737</v>
      </c>
      <c r="Q98" s="885">
        <v>8.0338063030000058</v>
      </c>
      <c r="R98" s="886">
        <v>98.210927973863974</v>
      </c>
      <c r="S98" s="887">
        <v>6.8330770207045211</v>
      </c>
      <c r="T98" s="919"/>
      <c r="U98" s="853">
        <f>V96</f>
        <v>24054</v>
      </c>
      <c r="V98" s="853">
        <v>28846</v>
      </c>
      <c r="W98" s="2105">
        <v>617</v>
      </c>
    </row>
    <row r="99" spans="2:23">
      <c r="B99" s="3070"/>
      <c r="C99" s="876" t="s">
        <v>960</v>
      </c>
      <c r="D99" s="878">
        <v>22.81492066300018</v>
      </c>
      <c r="E99" s="878">
        <f>'Feuil-saisie'!B387/1000</f>
        <v>361.75946623000027</v>
      </c>
      <c r="F99" s="878">
        <f>'Feuil-saisie'!C387/1000</f>
        <v>1.8990805500000003</v>
      </c>
      <c r="G99" s="878">
        <f>'Feuil-saisie'!D387/1000</f>
        <v>292.03755538000019</v>
      </c>
      <c r="H99" s="919">
        <f>+D99+E99-F99-G99</f>
        <v>90.637750963000258</v>
      </c>
      <c r="I99" s="920">
        <f>+G99/(D99+E99-F99)*100</f>
        <v>76.314711333435355</v>
      </c>
      <c r="J99" s="921">
        <f>+H99/((E99-F99)/'calcul-DCC-TX-Encais'!$A$98)</f>
        <v>61.204217970228029</v>
      </c>
      <c r="K99" s="1055">
        <v>37327</v>
      </c>
      <c r="L99" s="905">
        <f t="shared" si="39"/>
        <v>2428.2088290781539</v>
      </c>
      <c r="M99" s="863">
        <f t="shared" si="40"/>
        <v>87</v>
      </c>
      <c r="N99" s="882">
        <v>79.817532593000124</v>
      </c>
      <c r="O99" s="883">
        <v>79.012982941405213</v>
      </c>
      <c r="P99" s="884">
        <v>56.867110715398567</v>
      </c>
      <c r="Q99" s="885">
        <v>22.81492066300018</v>
      </c>
      <c r="R99" s="886">
        <v>96.013071625681675</v>
      </c>
      <c r="S99" s="887">
        <v>15.623891779342911</v>
      </c>
      <c r="T99" s="919"/>
      <c r="U99" s="853">
        <f>V100</f>
        <v>37327</v>
      </c>
      <c r="V99" s="853">
        <v>28099</v>
      </c>
      <c r="W99" s="2105">
        <v>618</v>
      </c>
    </row>
    <row r="100" spans="2:23">
      <c r="B100" s="3070"/>
      <c r="C100" s="876" t="s">
        <v>954</v>
      </c>
      <c r="D100" s="878">
        <v>44.55371012299986</v>
      </c>
      <c r="E100" s="878">
        <f>'Feuil-saisie'!B388/1000</f>
        <v>594.63101711000013</v>
      </c>
      <c r="F100" s="878">
        <f>'Feuil-saisie'!C388/1000</f>
        <v>2.67838413</v>
      </c>
      <c r="G100" s="878">
        <f>'Feuil-saisie'!D388/1000</f>
        <v>486.16486486000008</v>
      </c>
      <c r="H100" s="919">
        <f t="shared" si="38"/>
        <v>150.34147824299987</v>
      </c>
      <c r="I100" s="920">
        <f t="shared" si="37"/>
        <v>76.380207381739879</v>
      </c>
      <c r="J100" s="921">
        <f>+H100/((E100-F100)/'calcul-DCC-TX-Encais'!$A$98)</f>
        <v>61.716051551515413</v>
      </c>
      <c r="K100" s="1055">
        <v>33054</v>
      </c>
      <c r="L100" s="905">
        <f t="shared" si="39"/>
        <v>4548.3596007442329</v>
      </c>
      <c r="M100" s="863">
        <f t="shared" si="40"/>
        <v>88</v>
      </c>
      <c r="N100" s="882">
        <v>159.2541786229998</v>
      </c>
      <c r="O100" s="883">
        <v>74.701768293574546</v>
      </c>
      <c r="P100" s="884">
        <v>71.156011310933451</v>
      </c>
      <c r="Q100" s="885">
        <v>44.55371012299986</v>
      </c>
      <c r="R100" s="886">
        <v>95.200082147654584</v>
      </c>
      <c r="S100" s="887">
        <v>19.30061973819187</v>
      </c>
      <c r="T100" s="919"/>
      <c r="U100" s="853">
        <f>V94</f>
        <v>33054</v>
      </c>
      <c r="V100" s="853">
        <v>37327</v>
      </c>
      <c r="W100" s="2105">
        <v>619</v>
      </c>
    </row>
    <row r="101" spans="2:23">
      <c r="B101" s="3070"/>
      <c r="C101" s="876" t="s">
        <v>958</v>
      </c>
      <c r="D101" s="878">
        <v>20.179170312999986</v>
      </c>
      <c r="E101" s="878">
        <f>'Feuil-saisie'!B389/1000</f>
        <v>230.1348419700002</v>
      </c>
      <c r="F101" s="878">
        <f>'Feuil-saisie'!C389/1000</f>
        <v>2.48109818</v>
      </c>
      <c r="G101" s="878">
        <f>'Feuil-saisie'!D389/1000</f>
        <v>181.85609028000019</v>
      </c>
      <c r="H101" s="877">
        <f t="shared" si="38"/>
        <v>65.976823822999989</v>
      </c>
      <c r="I101" s="879">
        <f t="shared" si="37"/>
        <v>73.378506215853236</v>
      </c>
      <c r="J101" s="880">
        <f>+H101/((E101-F101)/'calcul-DCC-TX-Encais'!$A$98)</f>
        <v>70.424355523790979</v>
      </c>
      <c r="K101" s="1055">
        <v>28846</v>
      </c>
      <c r="L101" s="905">
        <f t="shared" si="22"/>
        <v>2287.2087576440408</v>
      </c>
      <c r="M101" s="863">
        <f t="shared" si="40"/>
        <v>89</v>
      </c>
      <c r="N101" s="882">
        <v>80.721849112999905</v>
      </c>
      <c r="O101" s="883">
        <v>68.698565271274759</v>
      </c>
      <c r="P101" s="884">
        <v>89.201121757414612</v>
      </c>
      <c r="Q101" s="885">
        <v>20.179170312999986</v>
      </c>
      <c r="R101" s="886">
        <v>94.507485960587388</v>
      </c>
      <c r="S101" s="887">
        <v>22.359393355637565</v>
      </c>
      <c r="T101" s="877"/>
      <c r="U101" s="853">
        <f>V98</f>
        <v>28846</v>
      </c>
      <c r="V101" s="853">
        <v>23928</v>
      </c>
      <c r="W101" s="2105" t="s">
        <v>1004</v>
      </c>
    </row>
    <row r="102" spans="2:23">
      <c r="B102" s="3070"/>
      <c r="C102" s="876" t="s">
        <v>959</v>
      </c>
      <c r="D102" s="878">
        <v>3.9938031929997919</v>
      </c>
      <c r="E102" s="878">
        <f>'Feuil-saisie'!B390/1000</f>
        <v>218.09634392999999</v>
      </c>
      <c r="F102" s="878">
        <f>'Feuil-saisie'!C390/1000</f>
        <v>0.72213596999999996</v>
      </c>
      <c r="G102" s="878">
        <f>'Feuil-saisie'!D390/1000</f>
        <v>188.97109859</v>
      </c>
      <c r="H102" s="877">
        <f t="shared" si="38"/>
        <v>32.396912562999773</v>
      </c>
      <c r="I102" s="879">
        <f t="shared" si="37"/>
        <v>85.365133654921593</v>
      </c>
      <c r="J102" s="880">
        <f>+H102/((E102-F102)/'calcul-DCC-TX-Encais'!$A$98)</f>
        <v>36.216117020919015</v>
      </c>
      <c r="K102" s="1055">
        <v>28099</v>
      </c>
      <c r="L102" s="905">
        <f t="shared" si="22"/>
        <v>1152.9560682942374</v>
      </c>
      <c r="M102" s="863">
        <f t="shared" si="40"/>
        <v>90</v>
      </c>
      <c r="N102" s="882">
        <v>28.251643872999836</v>
      </c>
      <c r="O102" s="883">
        <v>87.057456756172115</v>
      </c>
      <c r="P102" s="884">
        <v>33.864724651326945</v>
      </c>
      <c r="Q102" s="889">
        <v>3.9938031929997919</v>
      </c>
      <c r="R102" s="886">
        <v>98.77898851086735</v>
      </c>
      <c r="S102" s="887">
        <v>4.6793263117047363</v>
      </c>
      <c r="T102" s="877"/>
      <c r="U102" s="853">
        <f>V99</f>
        <v>28099</v>
      </c>
      <c r="V102" s="853">
        <v>31787</v>
      </c>
      <c r="W102" s="2105" t="s">
        <v>1005</v>
      </c>
    </row>
    <row r="103" spans="2:23" ht="15.6">
      <c r="B103" s="3071"/>
      <c r="C103" s="890"/>
      <c r="D103" s="891">
        <v>271.01399135999935</v>
      </c>
      <c r="E103" s="891">
        <f>SUM(E93:E102)</f>
        <v>3850.6960546300015</v>
      </c>
      <c r="F103" s="891">
        <f>SUM(F93:F102)</f>
        <v>18.02660079</v>
      </c>
      <c r="G103" s="891">
        <f>SUM(G93:G102)</f>
        <v>3147.4386812000012</v>
      </c>
      <c r="H103" s="1884">
        <f>SUM(H93:H102)</f>
        <v>956.24476399999935</v>
      </c>
      <c r="I103" s="892">
        <f>+G103/(D103+E103-F103)*100</f>
        <v>76.69789161933285</v>
      </c>
      <c r="J103" s="893">
        <f>+H103/((E103-F103)/'calcul-DCC-TX-Encais'!$A$98)</f>
        <v>60.628102801609423</v>
      </c>
      <c r="K103" s="893">
        <f>SUM(K93:K102)</f>
        <v>316568</v>
      </c>
      <c r="L103" s="905">
        <f t="shared" si="22"/>
        <v>3020.6614818933035</v>
      </c>
      <c r="M103" s="894">
        <v>10</v>
      </c>
      <c r="N103" s="906">
        <v>942.54202729999918</v>
      </c>
      <c r="O103" s="896">
        <v>76.644248570442159</v>
      </c>
      <c r="P103" s="907">
        <v>64.244729475378421</v>
      </c>
      <c r="Q103" s="898">
        <v>271.01399135999935</v>
      </c>
      <c r="R103" s="899">
        <v>95.533435759186133</v>
      </c>
      <c r="S103" s="900">
        <v>17.673426269394874</v>
      </c>
      <c r="T103" s="891"/>
    </row>
    <row r="104" spans="2:23">
      <c r="B104" s="3069" t="s">
        <v>886</v>
      </c>
      <c r="C104" s="876" t="s">
        <v>894</v>
      </c>
      <c r="D104" s="878">
        <v>78.18724297000017</v>
      </c>
      <c r="E104" s="878">
        <f>'Feuil-saisie'!B395/1000</f>
        <v>551.74037239999996</v>
      </c>
      <c r="F104" s="878">
        <f>'Feuil-saisie'!C395/1000</f>
        <v>2.5494599099999999</v>
      </c>
      <c r="G104" s="878">
        <f>'Feuil-saisie'!D395/1000</f>
        <v>457.54804525999998</v>
      </c>
      <c r="H104" s="877">
        <f>+D104+E104-F104-G104</f>
        <v>169.83011020000015</v>
      </c>
      <c r="I104" s="879">
        <f t="shared" si="37"/>
        <v>72.930184335876518</v>
      </c>
      <c r="J104" s="880">
        <f>+H104/((E104-F104)/'calcul-DCC-TX-Encais'!$A$98)</f>
        <v>75.144573298727849</v>
      </c>
      <c r="K104" s="1055"/>
      <c r="L104" s="905" t="e">
        <f t="shared" si="22"/>
        <v>#DIV/0!</v>
      </c>
      <c r="M104" s="863">
        <f>M102+1</f>
        <v>91</v>
      </c>
      <c r="N104" s="882">
        <v>172.80036089000004</v>
      </c>
      <c r="O104" s="883">
        <v>72.881584620919426</v>
      </c>
      <c r="P104" s="884">
        <v>80.254269575734114</v>
      </c>
      <c r="Q104" s="885">
        <v>78.18724297000017</v>
      </c>
      <c r="R104" s="886">
        <v>90.552887461151727</v>
      </c>
      <c r="S104" s="887">
        <v>39.989690323566123</v>
      </c>
      <c r="T104" s="877"/>
    </row>
    <row r="105" spans="2:23">
      <c r="B105" s="3070"/>
      <c r="C105" s="876" t="s">
        <v>895</v>
      </c>
      <c r="D105" s="878">
        <v>14.738800630000128</v>
      </c>
      <c r="E105" s="878">
        <f>'Feuil-saisie'!B396/1000</f>
        <v>217.25831775</v>
      </c>
      <c r="F105" s="878">
        <f>'Feuil-saisie'!C396/1000</f>
        <v>0.35899966999999999</v>
      </c>
      <c r="G105" s="878">
        <f>'Feuil-saisie'!D396/1000</f>
        <v>185.56866318000002</v>
      </c>
      <c r="H105" s="877">
        <f>+D105+E105-F105-G105</f>
        <v>46.069455530000113</v>
      </c>
      <c r="I105" s="879">
        <f>+G105/(D105+E105-F105)*100</f>
        <v>80.111453250198053</v>
      </c>
      <c r="J105" s="880">
        <f>+H105/((E105-F105)/'calcul-DCC-TX-Encais'!$A$98)</f>
        <v>51.613245227728044</v>
      </c>
      <c r="K105" s="1055"/>
      <c r="L105" s="905" t="e">
        <f t="shared" si="22"/>
        <v>#DIV/0!</v>
      </c>
      <c r="M105" s="863">
        <f>M104+1</f>
        <v>92</v>
      </c>
      <c r="N105" s="882">
        <v>56.149154690000103</v>
      </c>
      <c r="O105" s="883">
        <v>76.650959873839767</v>
      </c>
      <c r="P105" s="884">
        <v>68.631206725304096</v>
      </c>
      <c r="Q105" s="885">
        <v>14.738800630000128</v>
      </c>
      <c r="R105" s="886">
        <v>95.391677999869955</v>
      </c>
      <c r="S105" s="887">
        <v>19.340311494733271</v>
      </c>
      <c r="T105" s="877"/>
    </row>
    <row r="106" spans="2:23">
      <c r="B106" s="3070"/>
      <c r="C106" s="876" t="s">
        <v>896</v>
      </c>
      <c r="D106" s="878">
        <v>5.1710900699999911</v>
      </c>
      <c r="E106" s="878">
        <f>'Feuil-saisie'!B397/1000</f>
        <v>279.93332666000003</v>
      </c>
      <c r="F106" s="878">
        <f>'Feuil-saisie'!C397/1000</f>
        <v>0.55570986</v>
      </c>
      <c r="G106" s="878">
        <f>'Feuil-saisie'!D397/1000</f>
        <v>242.62465291000001</v>
      </c>
      <c r="H106" s="877">
        <f>+D106+E106-F106-G106</f>
        <v>41.924053960000037</v>
      </c>
      <c r="I106" s="879">
        <f t="shared" si="37"/>
        <v>85.266475317649707</v>
      </c>
      <c r="J106" s="880">
        <f>+H106/((E106-F106)/'calcul-DCC-TX-Encais'!$A$98)</f>
        <v>36.465144305289989</v>
      </c>
      <c r="K106" s="1055"/>
      <c r="L106" s="905" t="e">
        <f t="shared" si="22"/>
        <v>#DIV/0!</v>
      </c>
      <c r="M106" s="863">
        <f>M105+1</f>
        <v>93</v>
      </c>
      <c r="N106" s="882">
        <v>36.444960480000049</v>
      </c>
      <c r="O106" s="883">
        <v>86.79030077634151</v>
      </c>
      <c r="P106" s="884">
        <v>33.991263787263591</v>
      </c>
      <c r="Q106" s="885">
        <v>5.1710900699999911</v>
      </c>
      <c r="R106" s="886">
        <v>98.64112853950229</v>
      </c>
      <c r="S106" s="887">
        <v>5.1684173572009664</v>
      </c>
      <c r="T106" s="877"/>
    </row>
    <row r="107" spans="2:23" ht="15.6">
      <c r="B107" s="3071"/>
      <c r="C107" s="890"/>
      <c r="D107" s="891">
        <v>98.097133669999948</v>
      </c>
      <c r="E107" s="891">
        <f>SUM(E104:E106)</f>
        <v>1048.9320168099998</v>
      </c>
      <c r="F107" s="891">
        <f>SUM(F104:F106)</f>
        <v>3.4641694399999996</v>
      </c>
      <c r="G107" s="891">
        <f>SUM(G104:G106)</f>
        <v>885.74136135000003</v>
      </c>
      <c r="H107" s="891">
        <f>+D107+E107-F107-G107</f>
        <v>257.82361968999976</v>
      </c>
      <c r="I107" s="892">
        <f t="shared" si="37"/>
        <v>77.454397085898393</v>
      </c>
      <c r="J107" s="893">
        <f>+H107/((E107-F107)/'calcul-DCC-TX-Encais'!$A$98)</f>
        <v>59.926414516024018</v>
      </c>
      <c r="K107" s="893">
        <f>SUM(K104:K106)</f>
        <v>0</v>
      </c>
      <c r="L107" s="905" t="e">
        <f>+H107/K107*1000000</f>
        <v>#DIV/0!</v>
      </c>
      <c r="M107" s="894">
        <v>3</v>
      </c>
      <c r="N107" s="906">
        <v>265.39447605999965</v>
      </c>
      <c r="O107" s="896">
        <v>76.993829122090176</v>
      </c>
      <c r="P107" s="907">
        <v>65.635234720695664</v>
      </c>
      <c r="Q107" s="898">
        <v>98.097133669999948</v>
      </c>
      <c r="R107" s="899">
        <v>93.580048166157795</v>
      </c>
      <c r="S107" s="900">
        <v>26.385952015249089</v>
      </c>
      <c r="T107" s="891"/>
      <c r="U107" s="853">
        <v>137.69999999999999</v>
      </c>
    </row>
    <row r="108" spans="2:23" ht="10.8" thickBot="1">
      <c r="C108" s="922"/>
      <c r="D108" s="923">
        <f>SUM(D5:D15)</f>
        <v>971.47238308999897</v>
      </c>
      <c r="H108" s="923"/>
      <c r="I108" s="924"/>
      <c r="J108" s="925"/>
      <c r="L108" s="926"/>
      <c r="N108" s="927"/>
      <c r="O108" s="924"/>
      <c r="P108" s="928"/>
      <c r="Q108" s="929"/>
      <c r="R108" s="930"/>
      <c r="S108" s="931"/>
      <c r="T108" s="1203"/>
    </row>
    <row r="109" spans="2:23" ht="16.2" thickBot="1">
      <c r="C109" s="932" t="s">
        <v>49</v>
      </c>
      <c r="D109" s="933">
        <f>D107+D103+D92+D85+D75+D68+D56+D38+D29+D18</f>
        <v>7973.6063284219972</v>
      </c>
      <c r="E109" s="933">
        <f>E107+E103+E92+E85+E75+E68+E56+E38+E29+E18</f>
        <v>36619.9710031</v>
      </c>
      <c r="F109" s="933">
        <f>F107+F103+F92+F85+F75+F68+F56+F38+F29+F18</f>
        <v>283.07235725000021</v>
      </c>
      <c r="G109" s="933">
        <f>G107+G103+G92+G85+G75+G68+G56+G38+G29+G18</f>
        <v>30310.114043320002</v>
      </c>
      <c r="H109" s="933">
        <f>H107+H103+H92+H85+H75+H68+H56+H38+H29+H18</f>
        <v>14000.390930951995</v>
      </c>
      <c r="I109" s="1780">
        <f>+G109/(D109+E109-F109)*100</f>
        <v>68.403901198866862</v>
      </c>
      <c r="J109" s="934">
        <f>+H109/((E109-F109)/'calcul-DCC-TX-Encais'!$A$98)</f>
        <v>93.626454733496757</v>
      </c>
      <c r="K109" s="633">
        <f>K107+K103+K92+K85+K75+K68+K56+K38+K29+K18</f>
        <v>2652764</v>
      </c>
      <c r="L109" s="1926">
        <f>+H109/K109*1000000</f>
        <v>5277.66168831905</v>
      </c>
      <c r="M109" s="894">
        <f>M107+M103+M92+M85+M75+M68+M56+M38+M29+M18</f>
        <v>93</v>
      </c>
      <c r="N109" s="933">
        <f>N107+N103+N92+N85+N75+N68+N56+N38+N29+N18</f>
        <v>13157.117218269152</v>
      </c>
      <c r="O109" s="935">
        <v>67.940166892668003</v>
      </c>
      <c r="P109" s="935">
        <v>80.617468575617522</v>
      </c>
      <c r="Q109" s="936">
        <f>Q107+Q103+Q92+Q85+Q75+Q68+Q56+Q38+Q29+Q18</f>
        <v>7973.6063284219972</v>
      </c>
      <c r="R109" s="937">
        <v>87.605593666476807</v>
      </c>
      <c r="S109" s="938">
        <v>53.398647832800727</v>
      </c>
      <c r="T109" s="1204" t="e">
        <f>T18+T29+T38+T56+T68+T75+T85+T92+T103+T107+#REF!+#REF!+#REF!+#REF!</f>
        <v>#REF!</v>
      </c>
    </row>
    <row r="110" spans="2:23">
      <c r="E110" s="888">
        <f>E109-F109</f>
        <v>36336.89864585</v>
      </c>
      <c r="H110" s="923"/>
      <c r="I110" s="924"/>
      <c r="J110" s="924"/>
      <c r="Q110" s="939"/>
      <c r="R110" s="930"/>
      <c r="S110" s="930"/>
    </row>
    <row r="111" spans="2:23">
      <c r="D111" s="888"/>
      <c r="H111" s="923">
        <v>5043.3381762969902</v>
      </c>
      <c r="I111" s="924"/>
      <c r="J111" s="924"/>
      <c r="K111" s="854">
        <f>K109-Clientele!E15</f>
        <v>-186334</v>
      </c>
      <c r="Q111" s="939"/>
      <c r="R111" s="930"/>
      <c r="S111" s="930"/>
      <c r="T111" s="1205"/>
    </row>
    <row r="112" spans="2:23">
      <c r="D112" s="1281"/>
      <c r="K112" s="926">
        <f>K111-K109</f>
        <v>-2839098</v>
      </c>
    </row>
    <row r="113" spans="5:12">
      <c r="E113" s="853">
        <v>12400.471709770001</v>
      </c>
      <c r="H113" s="940">
        <v>16254.507438724017</v>
      </c>
      <c r="J113" s="910">
        <f>+H113/((E113-F113)/'calcul-DCC-TX-Encais'!$A$98)</f>
        <v>318.5237949051533</v>
      </c>
    </row>
    <row r="115" spans="5:12">
      <c r="K115" s="3072" t="s">
        <v>29</v>
      </c>
      <c r="L115" s="3072"/>
    </row>
    <row r="116" spans="5:12">
      <c r="J116" s="1282"/>
    </row>
    <row r="122" spans="5:12" ht="18">
      <c r="F122" s="1283"/>
      <c r="G122" s="1284"/>
      <c r="H122" s="910"/>
    </row>
    <row r="123" spans="5:12" ht="18">
      <c r="F123" s="1283"/>
      <c r="G123" s="1284"/>
      <c r="H123" s="910"/>
    </row>
    <row r="124" spans="5:12" ht="18">
      <c r="F124" s="1283"/>
      <c r="G124" s="1284"/>
      <c r="H124" s="910"/>
    </row>
    <row r="125" spans="5:12" ht="18">
      <c r="F125" s="1283"/>
      <c r="G125" s="1284"/>
      <c r="H125" s="910"/>
    </row>
    <row r="126" spans="5:12" ht="18">
      <c r="F126" s="1283"/>
      <c r="G126" s="1284"/>
      <c r="H126" s="910"/>
    </row>
    <row r="127" spans="5:12" ht="18">
      <c r="F127" s="1283"/>
      <c r="G127" s="1284"/>
      <c r="H127" s="910"/>
    </row>
    <row r="128" spans="5:12" ht="18">
      <c r="F128" s="1283"/>
      <c r="G128" s="1284"/>
      <c r="H128" s="910"/>
    </row>
    <row r="129" spans="6:8" ht="18">
      <c r="F129" s="1283"/>
      <c r="G129" s="1284"/>
      <c r="H129" s="910"/>
    </row>
    <row r="130" spans="6:8" ht="18">
      <c r="F130" s="1283"/>
      <c r="G130" s="1284"/>
      <c r="H130" s="910"/>
    </row>
  </sheetData>
  <mergeCells count="15">
    <mergeCell ref="K115:L115"/>
    <mergeCell ref="B1:L1"/>
    <mergeCell ref="B2:L2"/>
    <mergeCell ref="B5:B18"/>
    <mergeCell ref="B19:B29"/>
    <mergeCell ref="B86:B92"/>
    <mergeCell ref="B30:B38"/>
    <mergeCell ref="B57:B68"/>
    <mergeCell ref="Q3:S3"/>
    <mergeCell ref="N3:P3"/>
    <mergeCell ref="B93:B103"/>
    <mergeCell ref="B104:B107"/>
    <mergeCell ref="B76:B85"/>
    <mergeCell ref="B69:B75"/>
    <mergeCell ref="B39:B56"/>
  </mergeCells>
  <phoneticPr fontId="28" type="noConversion"/>
  <hyperlinks>
    <hyperlink ref="K115" location="'tableau de bord'!F4" display="Retour" xr:uid="{00000000-0004-0000-1200-000000000000}"/>
    <hyperlink ref="K115:L115" location="'tableau de bord'!C35" display="Retour" xr:uid="{00000000-0004-0000-1200-000001000000}"/>
  </hyperlinks>
  <pageMargins left="0.48" right="0.15748031496062992" top="0.23622047244094491" bottom="0.31496062992125984" header="0.31496062992125984" footer="0.27559055118110237"/>
  <pageSetup paperSize="9" scale="70" orientation="portrait" horizontalDpi="4294967295" verticalDpi="4294967295" r:id="rId1"/>
  <headerFooter alignWithMargins="0"/>
</worksheet>
</file>

<file path=xl/worksheets/sheet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300-000000000000}">
  <sheetPr>
    <tabColor rgb="FFFF0000"/>
  </sheetPr>
  <dimension ref="A1:DU127"/>
  <sheetViews>
    <sheetView topLeftCell="C1" zoomScale="85" zoomScaleNormal="85" zoomScaleSheetLayoutView="70" workbookViewId="0">
      <selection activeCell="AN29" sqref="AN29"/>
    </sheetView>
  </sheetViews>
  <sheetFormatPr baseColWidth="10" defaultColWidth="11.44140625" defaultRowHeight="13.8"/>
  <cols>
    <col min="1" max="1" width="12.5546875" style="80" hidden="1" customWidth="1"/>
    <col min="2" max="2" width="19.109375" style="80" customWidth="1"/>
    <col min="3" max="3" width="14.5546875" style="80" customWidth="1"/>
    <col min="4" max="4" width="10" style="80" hidden="1" customWidth="1"/>
    <col min="5" max="5" width="13" style="80" hidden="1" customWidth="1"/>
    <col min="6" max="6" width="13.44140625" style="80" hidden="1" customWidth="1"/>
    <col min="7" max="7" width="10" style="80" hidden="1" customWidth="1"/>
    <col min="8" max="8" width="13" style="80" hidden="1" customWidth="1"/>
    <col min="9" max="9" width="13.44140625" style="80" hidden="1" customWidth="1"/>
    <col min="10" max="10" width="10" style="80" hidden="1" customWidth="1"/>
    <col min="11" max="11" width="13" style="80" hidden="1" customWidth="1"/>
    <col min="12" max="12" width="13.44140625" style="80" hidden="1" customWidth="1"/>
    <col min="13" max="13" width="10" style="80" hidden="1" customWidth="1"/>
    <col min="14" max="14" width="13" style="80" hidden="1" customWidth="1"/>
    <col min="15" max="15" width="13.44140625" style="80" hidden="1" customWidth="1"/>
    <col min="16" max="16" width="10" style="80" hidden="1" customWidth="1"/>
    <col min="17" max="17" width="13" style="80" hidden="1" customWidth="1"/>
    <col min="18" max="18" width="13.44140625" style="80" hidden="1" customWidth="1"/>
    <col min="19" max="19" width="10" style="80" hidden="1" customWidth="1"/>
    <col min="20" max="20" width="13" style="80" hidden="1" customWidth="1"/>
    <col min="21" max="21" width="13.44140625" style="80" hidden="1" customWidth="1"/>
    <col min="22" max="22" width="10" style="80" hidden="1" customWidth="1"/>
    <col min="23" max="23" width="13" style="80" hidden="1" customWidth="1"/>
    <col min="24" max="24" width="13.44140625" style="80" hidden="1" customWidth="1"/>
    <col min="25" max="25" width="10" style="80" customWidth="1"/>
    <col min="26" max="26" width="13" style="80" customWidth="1"/>
    <col min="27" max="27" width="13.44140625" style="80" customWidth="1"/>
    <col min="28" max="28" width="10" style="80" hidden="1" customWidth="1"/>
    <col min="29" max="29" width="13" style="80" hidden="1" customWidth="1"/>
    <col min="30" max="30" width="13.44140625" style="80" hidden="1" customWidth="1"/>
    <col min="31" max="31" width="10" style="80" hidden="1" customWidth="1"/>
    <col min="32" max="32" width="13" style="80" hidden="1" customWidth="1"/>
    <col min="33" max="33" width="13.44140625" style="80" hidden="1" customWidth="1"/>
    <col min="34" max="34" width="10" style="80" hidden="1" customWidth="1"/>
    <col min="35" max="35" width="13" style="80" hidden="1" customWidth="1"/>
    <col min="36" max="39" width="13.44140625" style="80" hidden="1" customWidth="1"/>
    <col min="40" max="40" width="12.88671875" style="80" customWidth="1"/>
    <col min="41" max="41" width="13" style="80" customWidth="1"/>
    <col min="42" max="42" width="13.44140625" style="80" customWidth="1"/>
    <col min="43" max="43" width="13.109375" style="80" customWidth="1"/>
    <col min="44" max="44" width="10" style="80" hidden="1" customWidth="1"/>
    <col min="45" max="45" width="13" style="80" hidden="1" customWidth="1"/>
    <col min="46" max="46" width="13.44140625" style="80" hidden="1" customWidth="1"/>
    <col min="47" max="47" width="10" style="80" hidden="1" customWidth="1"/>
    <col min="48" max="48" width="13" style="80" hidden="1" customWidth="1"/>
    <col min="49" max="49" width="13.44140625" style="80" hidden="1" customWidth="1"/>
    <col min="50" max="50" width="10" style="80" hidden="1" customWidth="1"/>
    <col min="51" max="51" width="13" style="80" hidden="1" customWidth="1"/>
    <col min="52" max="52" width="13.44140625" style="80" hidden="1" customWidth="1"/>
    <col min="53" max="53" width="10" style="80" hidden="1" customWidth="1"/>
    <col min="54" max="54" width="13" style="80" hidden="1" customWidth="1"/>
    <col min="55" max="55" width="13.44140625" style="80" hidden="1" customWidth="1"/>
    <col min="56" max="56" width="10" style="80" hidden="1" customWidth="1"/>
    <col min="57" max="57" width="13" style="80" hidden="1" customWidth="1"/>
    <col min="58" max="61" width="13.44140625" style="80" hidden="1" customWidth="1"/>
    <col min="62" max="62" width="10" style="80" hidden="1" customWidth="1"/>
    <col min="63" max="63" width="13" style="80" hidden="1" customWidth="1"/>
    <col min="64" max="64" width="13.44140625" style="80" hidden="1" customWidth="1"/>
    <col min="65" max="65" width="10" style="80" customWidth="1"/>
    <col min="66" max="66" width="13" style="80" customWidth="1"/>
    <col min="67" max="67" width="13.44140625" style="80" customWidth="1"/>
    <col min="68" max="68" width="10" style="80" hidden="1" customWidth="1"/>
    <col min="69" max="69" width="13" style="80" hidden="1" customWidth="1"/>
    <col min="70" max="70" width="13.44140625" style="80" hidden="1" customWidth="1"/>
    <col min="71" max="71" width="10" style="80" hidden="1" customWidth="1"/>
    <col min="72" max="72" width="13" style="80" hidden="1" customWidth="1"/>
    <col min="73" max="73" width="13.44140625" style="80" hidden="1" customWidth="1"/>
    <col min="74" max="74" width="10" style="80" hidden="1" customWidth="1"/>
    <col min="75" max="75" width="13" style="80" hidden="1" customWidth="1"/>
    <col min="76" max="76" width="13.44140625" style="80" hidden="1" customWidth="1"/>
    <col min="77" max="77" width="10" style="80" hidden="1" customWidth="1"/>
    <col min="78" max="78" width="13" style="80" hidden="1" customWidth="1"/>
    <col min="79" max="79" width="13.44140625" style="80" hidden="1" customWidth="1"/>
    <col min="80" max="80" width="11" style="80" bestFit="1" customWidth="1"/>
    <col min="81" max="81" width="13" style="80" bestFit="1" customWidth="1"/>
    <col min="82" max="82" width="13.44140625" style="80" customWidth="1"/>
    <col min="83" max="83" width="13.109375" style="80" bestFit="1" customWidth="1"/>
    <col min="84" max="84" width="8" style="80" bestFit="1" customWidth="1"/>
    <col min="85" max="85" width="7.88671875" style="80" customWidth="1"/>
    <col min="86" max="86" width="8.33203125" style="80" customWidth="1"/>
    <col min="87" max="87" width="6.6640625" style="80" customWidth="1"/>
    <col min="88" max="88" width="6.33203125" style="80" customWidth="1"/>
    <col min="89" max="89" width="6.6640625" style="80" customWidth="1"/>
    <col min="90" max="91" width="8" style="80" customWidth="1"/>
    <col min="92" max="94" width="6.6640625" style="80" customWidth="1"/>
    <col min="95" max="95" width="12.109375" style="80" customWidth="1"/>
    <col min="96" max="96" width="12.5546875" style="80" customWidth="1"/>
    <col min="97" max="97" width="10.44140625" style="80" customWidth="1"/>
    <col min="98" max="98" width="8" style="80" customWidth="1"/>
    <col min="99" max="99" width="7.109375" style="80" customWidth="1"/>
    <col min="100" max="100" width="16.33203125" style="80" customWidth="1"/>
    <col min="101" max="101" width="10.109375" style="80" customWidth="1"/>
    <col min="102" max="102" width="10" style="80" hidden="1" customWidth="1"/>
    <col min="103" max="103" width="13" style="80" hidden="1" customWidth="1"/>
    <col min="104" max="104" width="13.44140625" style="80" hidden="1" customWidth="1"/>
    <col min="105" max="105" width="13.109375" style="80" hidden="1" customWidth="1"/>
    <col min="106" max="106" width="20.109375" style="80" hidden="1" customWidth="1"/>
    <col min="107" max="107" width="18.44140625" style="80" hidden="1" customWidth="1"/>
    <col min="108" max="108" width="16.6640625" style="80" hidden="1" customWidth="1"/>
    <col min="109" max="109" width="21.44140625" style="80" hidden="1" customWidth="1"/>
    <col min="110" max="110" width="19" style="80" hidden="1" customWidth="1"/>
    <col min="111" max="111" width="32.109375" style="80" hidden="1" customWidth="1"/>
    <col min="112" max="112" width="11.44140625" style="80" customWidth="1"/>
    <col min="113" max="113" width="11.6640625" style="1431" customWidth="1"/>
    <col min="114" max="114" width="14.5546875" style="1431" customWidth="1"/>
    <col min="115" max="115" width="15" style="1825" customWidth="1"/>
    <col min="116" max="116" width="11.6640625" style="1431" customWidth="1"/>
    <col min="117" max="117" width="14.5546875" style="1431" customWidth="1"/>
    <col min="118" max="118" width="15" style="1431" customWidth="1"/>
    <col min="119" max="119" width="19.109375" style="80" customWidth="1"/>
    <col min="120" max="16384" width="11.44140625" style="80"/>
  </cols>
  <sheetData>
    <row r="1" spans="1:118" ht="21">
      <c r="A1" s="1129"/>
      <c r="B1" s="79" t="s">
        <v>443</v>
      </c>
      <c r="CD1" s="83"/>
    </row>
    <row r="2" spans="1:118">
      <c r="A2" s="1129"/>
      <c r="B2" s="85"/>
      <c r="S2" s="83"/>
      <c r="T2" s="83"/>
      <c r="U2" s="83"/>
      <c r="Y2" s="83"/>
      <c r="Z2" s="83"/>
      <c r="AA2" s="83"/>
      <c r="AB2" s="83"/>
      <c r="AC2" s="83"/>
      <c r="AD2" s="83"/>
      <c r="AE2" s="83"/>
      <c r="AF2" s="83"/>
      <c r="AG2" s="83"/>
      <c r="AH2" s="83"/>
      <c r="AI2" s="83"/>
      <c r="AJ2" s="83"/>
      <c r="AK2" s="83"/>
      <c r="AL2" s="83"/>
      <c r="AM2" s="83"/>
      <c r="AN2" s="83"/>
      <c r="AO2" s="83"/>
      <c r="AP2" s="83"/>
      <c r="AQ2" s="83"/>
      <c r="AR2" s="83"/>
      <c r="AS2" s="83"/>
      <c r="AT2" s="83"/>
      <c r="CD2" s="83"/>
      <c r="CZ2" s="80" t="e">
        <f>#REF!/#REF!*100</f>
        <v>#REF!</v>
      </c>
      <c r="DA2" s="83" t="e">
        <f>#REF!</f>
        <v>#REF!</v>
      </c>
      <c r="DB2" s="83" t="e">
        <f>DA2-#REF!</f>
        <v>#REF!</v>
      </c>
    </row>
    <row r="3" spans="1:118" ht="24" thickBot="1">
      <c r="A3" s="1130"/>
      <c r="B3" s="81"/>
      <c r="CD3" s="83"/>
    </row>
    <row r="4" spans="1:118" ht="25.5" customHeight="1">
      <c r="B4" s="1131"/>
      <c r="C4" s="1132"/>
      <c r="D4" s="3081" t="s">
        <v>71</v>
      </c>
      <c r="E4" s="3084"/>
      <c r="F4" s="3082"/>
      <c r="G4" s="3081" t="s">
        <v>72</v>
      </c>
      <c r="H4" s="3084"/>
      <c r="I4" s="3082"/>
      <c r="J4" s="3081" t="s">
        <v>73</v>
      </c>
      <c r="K4" s="3084"/>
      <c r="L4" s="3082"/>
      <c r="M4" s="3081" t="s">
        <v>74</v>
      </c>
      <c r="N4" s="3084"/>
      <c r="O4" s="3082"/>
      <c r="P4" s="3081" t="s">
        <v>75</v>
      </c>
      <c r="Q4" s="3084"/>
      <c r="R4" s="3082"/>
      <c r="S4" s="3081" t="s">
        <v>76</v>
      </c>
      <c r="T4" s="3084"/>
      <c r="U4" s="3082"/>
      <c r="V4" s="3081" t="s">
        <v>77</v>
      </c>
      <c r="W4" s="3084"/>
      <c r="X4" s="3082"/>
      <c r="Y4" s="3081" t="s">
        <v>78</v>
      </c>
      <c r="Z4" s="3084"/>
      <c r="AA4" s="3082"/>
      <c r="AB4" s="3081" t="s">
        <v>877</v>
      </c>
      <c r="AC4" s="3084"/>
      <c r="AD4" s="3082"/>
      <c r="AE4" s="3081" t="s">
        <v>878</v>
      </c>
      <c r="AF4" s="3084"/>
      <c r="AG4" s="3082"/>
      <c r="AH4" s="3081" t="s">
        <v>880</v>
      </c>
      <c r="AI4" s="3084"/>
      <c r="AJ4" s="3082"/>
      <c r="AK4" s="3081" t="s">
        <v>82</v>
      </c>
      <c r="AL4" s="3084"/>
      <c r="AM4" s="3082"/>
      <c r="AN4" s="3081" t="s">
        <v>1162</v>
      </c>
      <c r="AO4" s="3084"/>
      <c r="AP4" s="3084"/>
      <c r="AQ4" s="3082"/>
      <c r="AR4" s="3081" t="s">
        <v>71</v>
      </c>
      <c r="AS4" s="3084"/>
      <c r="AT4" s="3082"/>
      <c r="AU4" s="3081" t="s">
        <v>72</v>
      </c>
      <c r="AV4" s="3084"/>
      <c r="AW4" s="3082"/>
      <c r="AX4" s="3081" t="s">
        <v>73</v>
      </c>
      <c r="AY4" s="3084"/>
      <c r="AZ4" s="3082"/>
      <c r="BA4" s="3081" t="s">
        <v>74</v>
      </c>
      <c r="BB4" s="3084"/>
      <c r="BC4" s="3082"/>
      <c r="BD4" s="3081" t="s">
        <v>75</v>
      </c>
      <c r="BE4" s="3084"/>
      <c r="BF4" s="3082"/>
      <c r="BG4" s="3081" t="s">
        <v>76</v>
      </c>
      <c r="BH4" s="3084"/>
      <c r="BI4" s="3082"/>
      <c r="BJ4" s="3081" t="s">
        <v>557</v>
      </c>
      <c r="BK4" s="3084"/>
      <c r="BL4" s="3082"/>
      <c r="BM4" s="3081" t="s">
        <v>860</v>
      </c>
      <c r="BN4" s="3084"/>
      <c r="BO4" s="3082"/>
      <c r="BP4" s="3081" t="s">
        <v>877</v>
      </c>
      <c r="BQ4" s="3084"/>
      <c r="BR4" s="3082"/>
      <c r="BS4" s="3081" t="s">
        <v>878</v>
      </c>
      <c r="BT4" s="3084"/>
      <c r="BU4" s="3082"/>
      <c r="BV4" s="3081" t="s">
        <v>81</v>
      </c>
      <c r="BW4" s="3084"/>
      <c r="BX4" s="3082"/>
      <c r="BY4" s="3081" t="s">
        <v>82</v>
      </c>
      <c r="BZ4" s="3084"/>
      <c r="CA4" s="3082"/>
      <c r="CB4" s="3081" t="s">
        <v>1163</v>
      </c>
      <c r="CC4" s="3084"/>
      <c r="CD4" s="3084"/>
      <c r="CE4" s="3082"/>
      <c r="CF4" s="3081" t="s">
        <v>574</v>
      </c>
      <c r="CG4" s="3083"/>
      <c r="CH4" s="1133" t="s">
        <v>575</v>
      </c>
      <c r="CI4" s="3081" t="s">
        <v>576</v>
      </c>
      <c r="CJ4" s="3083"/>
      <c r="CK4" s="1133" t="s">
        <v>575</v>
      </c>
      <c r="CL4" s="3081" t="s">
        <v>441</v>
      </c>
      <c r="CM4" s="3083"/>
      <c r="CN4" s="1133" t="s">
        <v>575</v>
      </c>
      <c r="CO4" s="3081" t="s">
        <v>577</v>
      </c>
      <c r="CP4" s="3083"/>
      <c r="CQ4" s="1133" t="s">
        <v>578</v>
      </c>
      <c r="CR4" s="3081" t="s">
        <v>579</v>
      </c>
      <c r="CS4" s="3082"/>
      <c r="CT4" s="3079" t="s">
        <v>580</v>
      </c>
      <c r="CU4" s="3080"/>
      <c r="CV4" s="1133" t="s">
        <v>581</v>
      </c>
      <c r="CX4" s="3081" t="s">
        <v>733</v>
      </c>
      <c r="CY4" s="3084"/>
      <c r="CZ4" s="3084"/>
      <c r="DA4" s="3082"/>
      <c r="DB4" s="2168" t="s">
        <v>574</v>
      </c>
      <c r="DC4" s="2169" t="s">
        <v>576</v>
      </c>
      <c r="DD4" s="2168" t="s">
        <v>441</v>
      </c>
      <c r="DE4" s="2168" t="s">
        <v>577</v>
      </c>
      <c r="DF4" s="1134" t="s">
        <v>579</v>
      </c>
      <c r="DG4" s="2170" t="s">
        <v>580</v>
      </c>
      <c r="DI4" s="3076" t="s">
        <v>731</v>
      </c>
      <c r="DJ4" s="3077"/>
      <c r="DK4" s="3078"/>
      <c r="DL4" s="3076" t="s">
        <v>732</v>
      </c>
      <c r="DM4" s="3077"/>
      <c r="DN4" s="3077"/>
    </row>
    <row r="5" spans="1:118" ht="17.25" customHeight="1">
      <c r="A5" s="1135" t="s">
        <v>294</v>
      </c>
      <c r="B5" s="1136" t="s">
        <v>308</v>
      </c>
      <c r="C5" s="1137" t="s">
        <v>100</v>
      </c>
      <c r="D5" s="1138" t="s">
        <v>442</v>
      </c>
      <c r="E5" s="1139" t="s">
        <v>439</v>
      </c>
      <c r="F5" s="1139" t="s">
        <v>436</v>
      </c>
      <c r="G5" s="1138" t="s">
        <v>442</v>
      </c>
      <c r="H5" s="1139" t="s">
        <v>439</v>
      </c>
      <c r="I5" s="1139" t="s">
        <v>436</v>
      </c>
      <c r="J5" s="1138" t="s">
        <v>442</v>
      </c>
      <c r="K5" s="1139" t="s">
        <v>439</v>
      </c>
      <c r="L5" s="1139" t="s">
        <v>436</v>
      </c>
      <c r="M5" s="1138" t="s">
        <v>442</v>
      </c>
      <c r="N5" s="1139" t="s">
        <v>439</v>
      </c>
      <c r="O5" s="1139" t="s">
        <v>436</v>
      </c>
      <c r="P5" s="1138" t="s">
        <v>442</v>
      </c>
      <c r="Q5" s="1139" t="s">
        <v>439</v>
      </c>
      <c r="R5" s="1139" t="s">
        <v>436</v>
      </c>
      <c r="S5" s="1138" t="s">
        <v>442</v>
      </c>
      <c r="T5" s="1139" t="s">
        <v>439</v>
      </c>
      <c r="U5" s="1139" t="s">
        <v>436</v>
      </c>
      <c r="V5" s="1138" t="s">
        <v>442</v>
      </c>
      <c r="W5" s="1139" t="s">
        <v>439</v>
      </c>
      <c r="X5" s="1139" t="s">
        <v>436</v>
      </c>
      <c r="Y5" s="1138" t="s">
        <v>442</v>
      </c>
      <c r="Z5" s="1139" t="s">
        <v>439</v>
      </c>
      <c r="AA5" s="1139" t="s">
        <v>436</v>
      </c>
      <c r="AB5" s="1138" t="s">
        <v>442</v>
      </c>
      <c r="AC5" s="1139" t="s">
        <v>439</v>
      </c>
      <c r="AD5" s="1139" t="s">
        <v>436</v>
      </c>
      <c r="AE5" s="1138" t="s">
        <v>442</v>
      </c>
      <c r="AF5" s="1139" t="s">
        <v>439</v>
      </c>
      <c r="AG5" s="1139" t="s">
        <v>436</v>
      </c>
      <c r="AH5" s="1138" t="s">
        <v>442</v>
      </c>
      <c r="AI5" s="1139" t="s">
        <v>439</v>
      </c>
      <c r="AJ5" s="1139" t="s">
        <v>436</v>
      </c>
      <c r="AK5" s="1138" t="s">
        <v>442</v>
      </c>
      <c r="AL5" s="1139" t="s">
        <v>439</v>
      </c>
      <c r="AM5" s="1139" t="s">
        <v>436</v>
      </c>
      <c r="AN5" s="1138" t="s">
        <v>442</v>
      </c>
      <c r="AO5" s="1139" t="s">
        <v>439</v>
      </c>
      <c r="AP5" s="1139" t="s">
        <v>436</v>
      </c>
      <c r="AQ5" s="1139" t="s">
        <v>437</v>
      </c>
      <c r="AR5" s="1138" t="s">
        <v>442</v>
      </c>
      <c r="AS5" s="1139" t="s">
        <v>439</v>
      </c>
      <c r="AT5" s="1139" t="s">
        <v>436</v>
      </c>
      <c r="AU5" s="1138" t="s">
        <v>442</v>
      </c>
      <c r="AV5" s="1139" t="s">
        <v>439</v>
      </c>
      <c r="AW5" s="1139" t="s">
        <v>436</v>
      </c>
      <c r="AX5" s="1138" t="s">
        <v>442</v>
      </c>
      <c r="AY5" s="1139" t="s">
        <v>439</v>
      </c>
      <c r="AZ5" s="1139" t="s">
        <v>436</v>
      </c>
      <c r="BA5" s="1138" t="s">
        <v>442</v>
      </c>
      <c r="BB5" s="1139" t="s">
        <v>439</v>
      </c>
      <c r="BC5" s="1139" t="s">
        <v>436</v>
      </c>
      <c r="BD5" s="1138" t="s">
        <v>442</v>
      </c>
      <c r="BE5" s="1139" t="s">
        <v>439</v>
      </c>
      <c r="BF5" s="1838" t="s">
        <v>436</v>
      </c>
      <c r="BG5" s="1138" t="s">
        <v>442</v>
      </c>
      <c r="BH5" s="1831" t="s">
        <v>439</v>
      </c>
      <c r="BI5" s="1143" t="s">
        <v>436</v>
      </c>
      <c r="BJ5" s="1138" t="s">
        <v>442</v>
      </c>
      <c r="BK5" s="1139" t="s">
        <v>439</v>
      </c>
      <c r="BL5" s="1139" t="s">
        <v>436</v>
      </c>
      <c r="BM5" s="1138" t="s">
        <v>442</v>
      </c>
      <c r="BN5" s="1139" t="s">
        <v>439</v>
      </c>
      <c r="BO5" s="1139" t="s">
        <v>436</v>
      </c>
      <c r="BP5" s="1138" t="s">
        <v>442</v>
      </c>
      <c r="BQ5" s="1139" t="s">
        <v>439</v>
      </c>
      <c r="BR5" s="1139" t="s">
        <v>436</v>
      </c>
      <c r="BS5" s="1138" t="s">
        <v>442</v>
      </c>
      <c r="BT5" s="1139" t="s">
        <v>439</v>
      </c>
      <c r="BU5" s="1139" t="s">
        <v>436</v>
      </c>
      <c r="BV5" s="1138" t="s">
        <v>442</v>
      </c>
      <c r="BW5" s="1139" t="s">
        <v>439</v>
      </c>
      <c r="BX5" s="1139" t="s">
        <v>436</v>
      </c>
      <c r="BY5" s="1138" t="s">
        <v>442</v>
      </c>
      <c r="BZ5" s="1139" t="s">
        <v>439</v>
      </c>
      <c r="CA5" s="1139" t="s">
        <v>436</v>
      </c>
      <c r="CB5" s="1138" t="s">
        <v>442</v>
      </c>
      <c r="CC5" s="1139" t="s">
        <v>439</v>
      </c>
      <c r="CD5" s="1139" t="s">
        <v>436</v>
      </c>
      <c r="CE5" s="1139" t="s">
        <v>437</v>
      </c>
      <c r="CF5" s="1141">
        <v>2022</v>
      </c>
      <c r="CG5" s="1142">
        <v>2023</v>
      </c>
      <c r="CH5" s="1143" t="s">
        <v>582</v>
      </c>
      <c r="CI5" s="1144">
        <f>CF5</f>
        <v>2022</v>
      </c>
      <c r="CJ5" s="1145">
        <f>CG5</f>
        <v>2023</v>
      </c>
      <c r="CK5" s="1146" t="s">
        <v>583</v>
      </c>
      <c r="CL5" s="1147">
        <f>CI5</f>
        <v>2022</v>
      </c>
      <c r="CM5" s="1145">
        <f>CJ5</f>
        <v>2023</v>
      </c>
      <c r="CN5" s="1146" t="s">
        <v>438</v>
      </c>
      <c r="CO5" s="1147">
        <f>CL5</f>
        <v>2022</v>
      </c>
      <c r="CP5" s="1145">
        <f>CM5</f>
        <v>2023</v>
      </c>
      <c r="CQ5" s="1146" t="s">
        <v>583</v>
      </c>
      <c r="CR5" s="1148">
        <f>CL5</f>
        <v>2022</v>
      </c>
      <c r="CS5" s="1817">
        <f>CM5</f>
        <v>2023</v>
      </c>
      <c r="CT5" s="1147">
        <f>CO5</f>
        <v>2022</v>
      </c>
      <c r="CU5" s="1145">
        <f>CP5</f>
        <v>2023</v>
      </c>
      <c r="CV5" s="1146" t="s">
        <v>440</v>
      </c>
      <c r="CX5" s="1138" t="s">
        <v>442</v>
      </c>
      <c r="CY5" s="1139" t="s">
        <v>439</v>
      </c>
      <c r="CZ5" s="1139" t="s">
        <v>436</v>
      </c>
      <c r="DA5" s="1140" t="s">
        <v>437</v>
      </c>
      <c r="DB5" s="1141">
        <v>2020</v>
      </c>
      <c r="DC5" s="1144">
        <v>2020</v>
      </c>
      <c r="DD5" s="1147">
        <v>2020</v>
      </c>
      <c r="DE5" s="1147">
        <v>2020</v>
      </c>
      <c r="DF5" s="1148" t="s">
        <v>584</v>
      </c>
      <c r="DG5" s="1147">
        <v>2020</v>
      </c>
      <c r="DI5" s="1429" t="s">
        <v>442</v>
      </c>
      <c r="DJ5" s="1430" t="s">
        <v>439</v>
      </c>
      <c r="DK5" s="1826" t="s">
        <v>436</v>
      </c>
      <c r="DL5" s="1429" t="s">
        <v>442</v>
      </c>
      <c r="DM5" s="1430" t="s">
        <v>439</v>
      </c>
      <c r="DN5" s="1430" t="s">
        <v>436</v>
      </c>
    </row>
    <row r="6" spans="1:118" ht="12.75" customHeight="1">
      <c r="A6" s="1130">
        <v>1</v>
      </c>
      <c r="B6" s="3085" t="s">
        <v>107</v>
      </c>
      <c r="C6" s="1149" t="s">
        <v>108</v>
      </c>
      <c r="D6" s="1150">
        <v>16.600000000000001</v>
      </c>
      <c r="E6" s="1151">
        <v>7.531987</v>
      </c>
      <c r="F6" s="1151">
        <v>6.6684554439326096</v>
      </c>
      <c r="G6" s="1150">
        <v>15.352828898639757</v>
      </c>
      <c r="H6" s="1151">
        <v>7.6461680000000003</v>
      </c>
      <c r="I6" s="1151">
        <v>6.2065223471144293</v>
      </c>
      <c r="J6" s="1150">
        <v>14.714666456314148</v>
      </c>
      <c r="K6" s="1151">
        <v>7.5765571896154444</v>
      </c>
      <c r="L6" s="1151">
        <v>6.1413641524566946</v>
      </c>
      <c r="M6" s="1150">
        <v>19.127607599647792</v>
      </c>
      <c r="N6" s="1151">
        <v>7.0121117014717633</v>
      </c>
      <c r="O6" s="1151">
        <v>11.35756509230283</v>
      </c>
      <c r="P6" s="1150">
        <v>20.36032500331396</v>
      </c>
      <c r="Q6" s="1151">
        <v>6.9896538882903307</v>
      </c>
      <c r="R6" s="1151">
        <v>12.680664968583299</v>
      </c>
      <c r="S6" s="1150">
        <v>13.847171101360239</v>
      </c>
      <c r="T6" s="1195">
        <v>26.891589999999997</v>
      </c>
      <c r="U6" s="1155">
        <v>23.52883430666833</v>
      </c>
      <c r="V6" s="1150"/>
      <c r="W6" s="1151"/>
      <c r="X6" s="1151"/>
      <c r="Y6" s="1150">
        <v>26.735499680432007</v>
      </c>
      <c r="Z6" s="1151">
        <v>14.054195029817288</v>
      </c>
      <c r="AA6" s="1151">
        <v>7.8037645269661526</v>
      </c>
      <c r="AB6" s="1150"/>
      <c r="AC6" s="1151"/>
      <c r="AD6" s="1151"/>
      <c r="AE6" s="1150"/>
      <c r="AF6" s="1151"/>
      <c r="AG6" s="1151"/>
      <c r="AH6" s="1150"/>
      <c r="AI6" s="1151"/>
      <c r="AJ6" s="1151"/>
      <c r="AK6" s="1150"/>
      <c r="AL6" s="1151"/>
      <c r="AM6" s="1151"/>
      <c r="AN6" s="1150">
        <v>148.43403067085367</v>
      </c>
      <c r="AO6" s="1151">
        <v>67.021668773683018</v>
      </c>
      <c r="AP6" s="1151">
        <v>52.844423805751298</v>
      </c>
      <c r="AQ6" s="1151">
        <f>AN6-(AN6*0.06)-AP6</f>
        <v>86.683565024851163</v>
      </c>
      <c r="AR6" s="1150">
        <v>17.468380404818554</v>
      </c>
      <c r="AS6" s="1151">
        <v>7.4480158268780796</v>
      </c>
      <c r="AT6" s="1151">
        <v>7.707973169697719</v>
      </c>
      <c r="AU6" s="1150">
        <v>15.291193533311944</v>
      </c>
      <c r="AV6" s="1151">
        <v>8.2967763311930813</v>
      </c>
      <c r="AW6" s="1151">
        <v>6.0657222534611277</v>
      </c>
      <c r="AX6" s="1150"/>
      <c r="AY6" s="1151"/>
      <c r="AZ6" s="1151"/>
      <c r="BA6" s="1150">
        <v>13.757137751047475</v>
      </c>
      <c r="BB6" s="1151">
        <v>7.6826273495676869</v>
      </c>
      <c r="BC6" s="1151">
        <v>6.0420395517361811</v>
      </c>
      <c r="BD6" s="1150">
        <v>15.792060216480932</v>
      </c>
      <c r="BE6" s="1151">
        <v>7.8700444634747866</v>
      </c>
      <c r="BF6" s="1839">
        <v>7.2065815035264889</v>
      </c>
      <c r="BG6" s="1150">
        <v>20.109943989181726</v>
      </c>
      <c r="BH6" s="1195">
        <v>8.9175069597942453</v>
      </c>
      <c r="BI6" s="1155">
        <v>7.1079624918258801</v>
      </c>
      <c r="BJ6" s="1150"/>
      <c r="BK6" s="1151"/>
      <c r="BL6" s="1151"/>
      <c r="BM6" s="1150"/>
      <c r="BN6" s="1151"/>
      <c r="BO6" s="1151"/>
      <c r="BP6" s="1150"/>
      <c r="BQ6" s="1151"/>
      <c r="BR6" s="1151"/>
      <c r="BS6" s="1150"/>
      <c r="BT6" s="1151"/>
      <c r="BU6" s="1151"/>
      <c r="BV6" s="1150"/>
      <c r="BW6" s="1151"/>
      <c r="BX6" s="1151"/>
      <c r="BY6" s="1150"/>
      <c r="BZ6" s="1151"/>
      <c r="CA6" s="1151"/>
      <c r="CB6" s="1150">
        <v>97.38613368717948</v>
      </c>
      <c r="CC6" s="1151">
        <v>47.953441259934685</v>
      </c>
      <c r="CD6" s="1151">
        <v>40.352420941976696</v>
      </c>
      <c r="CE6" s="1151">
        <f t="shared" ref="CE6:CE18" si="0">CB6-(CB6*0.06)-CD6</f>
        <v>51.190544723972017</v>
      </c>
      <c r="CF6" s="1153">
        <f t="shared" ref="CF6:CF39" si="1">AN6-AO6-AP6</f>
        <v>28.567938091419357</v>
      </c>
      <c r="CG6" s="1154">
        <f>CB6-CC6-CD6</f>
        <v>9.0802714852680992</v>
      </c>
      <c r="CH6" s="1155">
        <f t="shared" ref="CH6:CH85" si="2">CG6-CF6</f>
        <v>-19.487666606151258</v>
      </c>
      <c r="CI6" s="1154">
        <f t="shared" ref="CI6:CI39" si="3">(AN6-AO6-AP6)/AN6*100</f>
        <v>19.24621864831494</v>
      </c>
      <c r="CJ6" s="1154">
        <f>(CB6-CC6-CD6)/CB6*100</f>
        <v>9.3239880683993963</v>
      </c>
      <c r="CK6" s="1154">
        <f>CJ6-CI6</f>
        <v>-9.9222305799155439</v>
      </c>
      <c r="CL6" s="1156">
        <f t="shared" ref="CL6:CL16" si="4">AQ6-AO6</f>
        <v>19.661896251168145</v>
      </c>
      <c r="CM6" s="1157">
        <f>CE6-CC6</f>
        <v>3.2371034640373324</v>
      </c>
      <c r="CN6" s="1158">
        <f>CM6-CL6</f>
        <v>-16.424792787130812</v>
      </c>
      <c r="CO6" s="1156">
        <f t="shared" ref="CO6:CO39" si="5">(CL6/AQ6)*100</f>
        <v>22.682380732185287</v>
      </c>
      <c r="CP6" s="1157">
        <f>(CM6/CE6)*100</f>
        <v>6.3236355102145048</v>
      </c>
      <c r="CQ6" s="1158">
        <f t="shared" ref="CQ6:CQ85" si="6">CP6-CO6</f>
        <v>-16.358745221970782</v>
      </c>
      <c r="CR6" s="1159">
        <f>élec!AZ290/100</f>
        <v>4.6564655547066005</v>
      </c>
      <c r="CS6" s="1818">
        <f>élec!AZ305/100</f>
        <v>4.40941285784002</v>
      </c>
      <c r="CT6" s="1156">
        <f>CL6*CR6</f>
        <v>91.554942633779305</v>
      </c>
      <c r="CU6" s="1157">
        <f>CS6*CM6</f>
        <v>14.273725636484683</v>
      </c>
      <c r="CV6" s="1158">
        <f t="shared" ref="CV6:CV85" si="7">CU6-CT6</f>
        <v>-77.281216997294621</v>
      </c>
      <c r="CW6" s="83"/>
      <c r="CX6" s="1150"/>
      <c r="CY6" s="1151"/>
      <c r="CZ6" s="1151"/>
      <c r="DA6" s="1152">
        <f>CX6-(CX6*0.06)-CZ6</f>
        <v>0</v>
      </c>
      <c r="DB6" s="1153">
        <f>CX6-CY6-CZ6</f>
        <v>0</v>
      </c>
      <c r="DC6" s="1154" t="e">
        <f>(CX6-CY6-CZ6)/CX6*100</f>
        <v>#DIV/0!</v>
      </c>
      <c r="DD6" s="1156">
        <f>DA6-CY6</f>
        <v>0</v>
      </c>
      <c r="DE6" s="1156" t="e">
        <f>(DD6/DA6)*100</f>
        <v>#DIV/0!</v>
      </c>
      <c r="DF6" s="1159">
        <v>4.6494238721706687</v>
      </c>
      <c r="DG6" s="1156">
        <f>DD6*DF6</f>
        <v>0</v>
      </c>
      <c r="DI6" s="1434"/>
      <c r="DJ6" s="1435"/>
      <c r="DK6" s="1828"/>
      <c r="DL6" s="1434"/>
      <c r="DM6" s="1435"/>
      <c r="DN6" s="1435"/>
    </row>
    <row r="7" spans="1:118" ht="12.75" customHeight="1">
      <c r="A7" s="1130">
        <v>1</v>
      </c>
      <c r="B7" s="3086"/>
      <c r="C7" s="1149" t="s">
        <v>109</v>
      </c>
      <c r="D7" s="1150">
        <v>22.71</v>
      </c>
      <c r="E7" s="1151">
        <v>8.9695440000000008</v>
      </c>
      <c r="F7" s="1151">
        <v>9.8391773672494711</v>
      </c>
      <c r="G7" s="1150">
        <v>20.503779776392101</v>
      </c>
      <c r="H7" s="1151">
        <v>9.1747099999999993</v>
      </c>
      <c r="I7" s="1151">
        <v>9.8879863998072963</v>
      </c>
      <c r="J7" s="1150">
        <v>17.958839324843048</v>
      </c>
      <c r="K7" s="1151">
        <v>8.2088651535454051</v>
      </c>
      <c r="L7" s="1151">
        <v>8.9401349440476228</v>
      </c>
      <c r="M7" s="1150">
        <v>22.590792037659046</v>
      </c>
      <c r="N7" s="1151">
        <v>8.7910167984122491</v>
      </c>
      <c r="O7" s="1151">
        <v>12.914113200091188</v>
      </c>
      <c r="P7" s="1150">
        <v>24.046701375110018</v>
      </c>
      <c r="Q7" s="1151">
        <v>8.7628616546640217</v>
      </c>
      <c r="R7" s="1151">
        <v>14.418543193531638</v>
      </c>
      <c r="S7" s="1150">
        <v>22.954220223607905</v>
      </c>
      <c r="T7" s="1195">
        <v>37.537130000000005</v>
      </c>
      <c r="U7" s="1155">
        <v>46.846798099017533</v>
      </c>
      <c r="V7" s="1150"/>
      <c r="W7" s="1151"/>
      <c r="X7" s="1151"/>
      <c r="Y7" s="1150">
        <v>38.625208359275653</v>
      </c>
      <c r="Z7" s="1151">
        <v>18.602451763155088</v>
      </c>
      <c r="AA7" s="1151">
        <v>14.270810381097096</v>
      </c>
      <c r="AB7" s="1150"/>
      <c r="AC7" s="1151"/>
      <c r="AD7" s="1151"/>
      <c r="AE7" s="1150"/>
      <c r="AF7" s="1151"/>
      <c r="AG7" s="1151"/>
      <c r="AH7" s="1150"/>
      <c r="AI7" s="1151"/>
      <c r="AJ7" s="1151"/>
      <c r="AK7" s="1150"/>
      <c r="AL7" s="1151"/>
      <c r="AM7" s="1151"/>
      <c r="AN7" s="1150">
        <v>214.44504238928047</v>
      </c>
      <c r="AO7" s="1151">
        <v>88.711403093771111</v>
      </c>
      <c r="AP7" s="1151">
        <v>96.63704603390849</v>
      </c>
      <c r="AQ7" s="1151">
        <f t="shared" ref="AQ7:AQ18" si="8">AN7-(AN7*0.06)-AP7</f>
        <v>104.94129381201515</v>
      </c>
      <c r="AR7" s="1150">
        <v>23.89800716827888</v>
      </c>
      <c r="AS7" s="1151">
        <v>8.8695460669116031</v>
      </c>
      <c r="AT7" s="1151">
        <v>11.372965718419875</v>
      </c>
      <c r="AU7" s="1150">
        <v>22.929695715897402</v>
      </c>
      <c r="AV7" s="1151">
        <v>9.660623310624274</v>
      </c>
      <c r="AW7" s="1151">
        <v>11.444869208265811</v>
      </c>
      <c r="AX7" s="1150"/>
      <c r="AY7" s="1151"/>
      <c r="AZ7" s="1151"/>
      <c r="BA7" s="1150">
        <v>20.629323791239763</v>
      </c>
      <c r="BB7" s="1151">
        <v>8.9455188253098843</v>
      </c>
      <c r="BC7" s="1151">
        <v>11.40018443497509</v>
      </c>
      <c r="BD7" s="1150">
        <v>23.680763355861291</v>
      </c>
      <c r="BE7" s="1151">
        <v>9.1637440813787663</v>
      </c>
      <c r="BF7" s="1839">
        <v>13.597454565201319</v>
      </c>
      <c r="BG7" s="1150">
        <v>30.155585666425303</v>
      </c>
      <c r="BH7" s="1195">
        <v>10.383391352199352</v>
      </c>
      <c r="BI7" s="1155">
        <v>13.411379165900291</v>
      </c>
      <c r="BJ7" s="1150"/>
      <c r="BK7" s="1151"/>
      <c r="BL7" s="1151"/>
      <c r="BM7" s="1150"/>
      <c r="BN7" s="1151"/>
      <c r="BO7" s="1151"/>
      <c r="BP7" s="1150"/>
      <c r="BQ7" s="1151"/>
      <c r="BR7" s="1151"/>
      <c r="BS7" s="1150"/>
      <c r="BT7" s="1151"/>
      <c r="BU7" s="1151"/>
      <c r="BV7" s="1150"/>
      <c r="BW7" s="1151"/>
      <c r="BX7" s="1151"/>
      <c r="BY7" s="1150"/>
      <c r="BZ7" s="1151"/>
      <c r="CA7" s="1151"/>
      <c r="CB7" s="1150">
        <v>146.03401673846153</v>
      </c>
      <c r="CC7" s="1151">
        <v>55.836160210644103</v>
      </c>
      <c r="CD7" s="1151">
        <v>76.13737665853202</v>
      </c>
      <c r="CE7" s="1151">
        <f t="shared" si="0"/>
        <v>61.134599075621821</v>
      </c>
      <c r="CF7" s="1153">
        <f t="shared" si="1"/>
        <v>29.096593261600873</v>
      </c>
      <c r="CG7" s="1154">
        <f t="shared" ref="CG7:CG16" si="9">CB7-CC7-CD7</f>
        <v>14.060479869285416</v>
      </c>
      <c r="CH7" s="1155">
        <f t="shared" si="2"/>
        <v>-15.036113392315457</v>
      </c>
      <c r="CI7" s="1154">
        <f t="shared" si="3"/>
        <v>13.568321718896184</v>
      </c>
      <c r="CJ7" s="1154">
        <f t="shared" ref="CJ7:CJ16" si="10">(CB7-CC7-CD7)/CB7*100</f>
        <v>9.6282223712759478</v>
      </c>
      <c r="CK7" s="1154">
        <f t="shared" ref="CK7:CK85" si="11">CJ7-CI7</f>
        <v>-3.9400993476202366</v>
      </c>
      <c r="CL7" s="1156">
        <f t="shared" si="4"/>
        <v>16.229890718244036</v>
      </c>
      <c r="CM7" s="1157">
        <f t="shared" ref="CM7:CM16" si="12">CE7-CC7</f>
        <v>5.2984388649777188</v>
      </c>
      <c r="CN7" s="1158">
        <f t="shared" ref="CN7:CN85" si="13">CM7-CL7</f>
        <v>-10.931451853266317</v>
      </c>
      <c r="CO7" s="1156">
        <f t="shared" si="5"/>
        <v>15.465685745515184</v>
      </c>
      <c r="CP7" s="1157">
        <f t="shared" ref="CP7:CP85" si="14">(CM7/CE7)*100</f>
        <v>8.6668416004882864</v>
      </c>
      <c r="CQ7" s="1158">
        <f t="shared" si="6"/>
        <v>-6.7988441450268979</v>
      </c>
      <c r="CR7" s="1159">
        <f>CR6</f>
        <v>4.6564655547066005</v>
      </c>
      <c r="CS7" s="1818">
        <f>CS6</f>
        <v>4.40941285784002</v>
      </c>
      <c r="CT7" s="1156">
        <f t="shared" ref="CT7:CT16" si="15">CL7*CR7</f>
        <v>75.57392708615572</v>
      </c>
      <c r="CU7" s="1157">
        <f t="shared" ref="CU7:CU16" si="16">CS7*CM7</f>
        <v>23.363004457712034</v>
      </c>
      <c r="CV7" s="1158">
        <f t="shared" si="7"/>
        <v>-52.210922628443683</v>
      </c>
      <c r="CW7" s="83"/>
      <c r="CX7" s="1150"/>
      <c r="CY7" s="1151"/>
      <c r="CZ7" s="1151"/>
      <c r="DA7" s="1152">
        <f t="shared" ref="DA7:DA84" si="17">CX7-(CX7*0.06)-CZ7</f>
        <v>0</v>
      </c>
      <c r="DB7" s="1153">
        <f t="shared" ref="DB7:DB85" si="18">CX7-CY7-CZ7</f>
        <v>0</v>
      </c>
      <c r="DC7" s="1154" t="e">
        <f t="shared" ref="DC7:DC85" si="19">(CX7-CY7-CZ7)/CX7*100</f>
        <v>#DIV/0!</v>
      </c>
      <c r="DD7" s="1156">
        <f t="shared" ref="DD7:DD85" si="20">DA7-CY7</f>
        <v>0</v>
      </c>
      <c r="DE7" s="1156" t="e">
        <f t="shared" ref="DE7:DE85" si="21">(DD7/DA7)*100</f>
        <v>#DIV/0!</v>
      </c>
      <c r="DF7" s="1159">
        <v>4.6494238721706687</v>
      </c>
      <c r="DG7" s="1156">
        <f t="shared" ref="DG7:DG85" si="22">DD7*DF7</f>
        <v>0</v>
      </c>
      <c r="DI7" s="1434"/>
      <c r="DJ7" s="1435"/>
      <c r="DK7" s="1828"/>
      <c r="DL7" s="1434"/>
      <c r="DM7" s="1435"/>
      <c r="DN7" s="1435"/>
    </row>
    <row r="8" spans="1:118" ht="12.75" customHeight="1">
      <c r="A8" s="1130">
        <v>1</v>
      </c>
      <c r="B8" s="3086"/>
      <c r="C8" s="1149" t="s">
        <v>110</v>
      </c>
      <c r="D8" s="1150">
        <v>23.25</v>
      </c>
      <c r="E8" s="1151">
        <v>10.53753</v>
      </c>
      <c r="F8" s="1151">
        <v>9.3294172300221927</v>
      </c>
      <c r="G8" s="1150">
        <v>16.503209150203297</v>
      </c>
      <c r="H8" s="1151">
        <v>8.3821510000000004</v>
      </c>
      <c r="I8" s="1151">
        <v>6.7248763170632824</v>
      </c>
      <c r="J8" s="1150">
        <v>17.125327774213499</v>
      </c>
      <c r="K8" s="1151">
        <v>8.7689772715449639</v>
      </c>
      <c r="L8" s="1151">
        <v>7.1079094793854711</v>
      </c>
      <c r="M8" s="1150">
        <v>18.987726534399133</v>
      </c>
      <c r="N8" s="1151">
        <v>8.5936281408356336</v>
      </c>
      <c r="O8" s="1151">
        <v>9.7058152653836842</v>
      </c>
      <c r="P8" s="1150">
        <v>20.211429019567152</v>
      </c>
      <c r="Q8" s="1151">
        <v>8.5661051772044239</v>
      </c>
      <c r="R8" s="1151">
        <v>10.83649449746075</v>
      </c>
      <c r="S8" s="1150">
        <v>14.693790849796706</v>
      </c>
      <c r="T8" s="1195">
        <v>30.685116999999998</v>
      </c>
      <c r="U8" s="1155">
        <v>26.875157752253756</v>
      </c>
      <c r="V8" s="1150"/>
      <c r="W8" s="1151"/>
      <c r="X8" s="1151"/>
      <c r="Y8" s="1150">
        <v>31.783138670316191</v>
      </c>
      <c r="Z8" s="1151">
        <v>16.573030095124494</v>
      </c>
      <c r="AA8" s="1151">
        <v>9.2023786553612652</v>
      </c>
      <c r="AB8" s="1150"/>
      <c r="AC8" s="1151"/>
      <c r="AD8" s="1151"/>
      <c r="AE8" s="1150"/>
      <c r="AF8" s="1151"/>
      <c r="AG8" s="1151"/>
      <c r="AH8" s="1150"/>
      <c r="AI8" s="1151"/>
      <c r="AJ8" s="1151"/>
      <c r="AK8" s="1150"/>
      <c r="AL8" s="1151"/>
      <c r="AM8" s="1151"/>
      <c r="AN8" s="1150">
        <v>176.45824602480286</v>
      </c>
      <c r="AO8" s="1151">
        <v>79.033493647636874</v>
      </c>
      <c r="AP8" s="1151">
        <v>62.315360234730939</v>
      </c>
      <c r="AQ8" s="1151">
        <f t="shared" si="8"/>
        <v>103.55539102858376</v>
      </c>
      <c r="AR8" s="1150">
        <v>24.466255687471769</v>
      </c>
      <c r="AS8" s="1151">
        <v>10.420051205107308</v>
      </c>
      <c r="AT8" s="1151">
        <v>10.783741198024476</v>
      </c>
      <c r="AU8" s="1150">
        <v>18.389161910769207</v>
      </c>
      <c r="AV8" s="1151">
        <v>9.9628816490844212</v>
      </c>
      <c r="AW8" s="1151">
        <v>7.2838016254875591</v>
      </c>
      <c r="AX8" s="1150"/>
      <c r="AY8" s="1151"/>
      <c r="AZ8" s="1151"/>
      <c r="BA8" s="1150">
        <v>16.544309179113082</v>
      </c>
      <c r="BB8" s="1151">
        <v>9.2254032147393481</v>
      </c>
      <c r="BC8" s="1151">
        <v>7.2553631157582883</v>
      </c>
      <c r="BD8" s="1150">
        <v>18.991503285393712</v>
      </c>
      <c r="BE8" s="1151">
        <v>9.4504562293480845</v>
      </c>
      <c r="BF8" s="1839">
        <v>8.6537609003846256</v>
      </c>
      <c r="BG8" s="1150">
        <v>24.184182564162871</v>
      </c>
      <c r="BH8" s="1195">
        <v>10.708263414465323</v>
      </c>
      <c r="BI8" s="1155">
        <v>8.5353378523594703</v>
      </c>
      <c r="BJ8" s="1150"/>
      <c r="BK8" s="1151"/>
      <c r="BL8" s="1151"/>
      <c r="BM8" s="1150"/>
      <c r="BN8" s="1151"/>
      <c r="BO8" s="1151"/>
      <c r="BP8" s="1150"/>
      <c r="BQ8" s="1151"/>
      <c r="BR8" s="1151"/>
      <c r="BS8" s="1150"/>
      <c r="BT8" s="1151"/>
      <c r="BU8" s="1151"/>
      <c r="BV8" s="1150"/>
      <c r="BW8" s="1151"/>
      <c r="BX8" s="1151"/>
      <c r="BY8" s="1150"/>
      <c r="BZ8" s="1151"/>
      <c r="CA8" s="1151"/>
      <c r="CB8" s="1150">
        <v>117.11638966153846</v>
      </c>
      <c r="CC8" s="1151">
        <v>57.58314324358188</v>
      </c>
      <c r="CD8" s="1151">
        <v>48.455734860233107</v>
      </c>
      <c r="CE8" s="1151">
        <f t="shared" si="0"/>
        <v>61.633671421613045</v>
      </c>
      <c r="CF8" s="1153">
        <f t="shared" si="1"/>
        <v>35.109392142435048</v>
      </c>
      <c r="CG8" s="1154">
        <f t="shared" si="9"/>
        <v>11.077511557723476</v>
      </c>
      <c r="CH8" s="1155">
        <f t="shared" si="2"/>
        <v>-24.031880584711573</v>
      </c>
      <c r="CI8" s="1154">
        <f t="shared" si="3"/>
        <v>19.896713774146939</v>
      </c>
      <c r="CJ8" s="1154">
        <f t="shared" si="10"/>
        <v>9.4585493881232399</v>
      </c>
      <c r="CK8" s="1154">
        <f t="shared" si="11"/>
        <v>-10.438164386023699</v>
      </c>
      <c r="CL8" s="1156">
        <f t="shared" si="4"/>
        <v>24.521897380946882</v>
      </c>
      <c r="CM8" s="1157">
        <f t="shared" si="12"/>
        <v>4.0505281780311648</v>
      </c>
      <c r="CN8" s="1158">
        <f t="shared" si="13"/>
        <v>-20.471369202915717</v>
      </c>
      <c r="CO8" s="1156">
        <f t="shared" si="5"/>
        <v>23.679981445078273</v>
      </c>
      <c r="CP8" s="1157">
        <f t="shared" si="14"/>
        <v>6.5719404419753076</v>
      </c>
      <c r="CQ8" s="1158">
        <f t="shared" si="6"/>
        <v>-17.108041003102965</v>
      </c>
      <c r="CR8" s="1159">
        <f t="shared" ref="CR8:CR18" si="23">CR7</f>
        <v>4.6564655547066005</v>
      </c>
      <c r="CS8" s="1818">
        <f t="shared" ref="CS8:CS18" si="24">CS7</f>
        <v>4.40941285784002</v>
      </c>
      <c r="CT8" s="1156">
        <f t="shared" si="15"/>
        <v>114.18537049042915</v>
      </c>
      <c r="CU8" s="1157">
        <f t="shared" si="16"/>
        <v>17.860451029253927</v>
      </c>
      <c r="CV8" s="1158">
        <f t="shared" si="7"/>
        <v>-96.324919461175227</v>
      </c>
      <c r="CW8" s="83"/>
      <c r="CX8" s="1150"/>
      <c r="CY8" s="1151"/>
      <c r="CZ8" s="1151"/>
      <c r="DA8" s="1152">
        <f t="shared" si="17"/>
        <v>0</v>
      </c>
      <c r="DB8" s="1153">
        <f t="shared" si="18"/>
        <v>0</v>
      </c>
      <c r="DC8" s="1154" t="e">
        <f t="shared" si="19"/>
        <v>#DIV/0!</v>
      </c>
      <c r="DD8" s="1156">
        <f t="shared" si="20"/>
        <v>0</v>
      </c>
      <c r="DE8" s="1156" t="e">
        <f t="shared" si="21"/>
        <v>#DIV/0!</v>
      </c>
      <c r="DF8" s="1159">
        <v>4.6494238721706687</v>
      </c>
      <c r="DG8" s="1156">
        <f t="shared" si="22"/>
        <v>0</v>
      </c>
      <c r="DI8" s="1434"/>
      <c r="DJ8" s="1435"/>
      <c r="DK8" s="1828"/>
      <c r="DL8" s="1434"/>
      <c r="DM8" s="1435"/>
      <c r="DN8" s="1435"/>
    </row>
    <row r="9" spans="1:118" ht="12.75" customHeight="1">
      <c r="A9" s="1130">
        <v>1</v>
      </c>
      <c r="B9" s="3086"/>
      <c r="C9" s="1149" t="s">
        <v>111</v>
      </c>
      <c r="D9" s="1150">
        <v>19.190000000000001</v>
      </c>
      <c r="E9" s="1151">
        <v>8.2251530000000006</v>
      </c>
      <c r="F9" s="1151">
        <v>7.0268166300000008</v>
      </c>
      <c r="G9" s="1150">
        <v>15.748240154511901</v>
      </c>
      <c r="H9" s="1151">
        <v>8.2981589999999983</v>
      </c>
      <c r="I9" s="1151">
        <v>6.5707517199999996</v>
      </c>
      <c r="J9" s="1150">
        <v>16.153947274453824</v>
      </c>
      <c r="K9" s="1151">
        <v>7.9006466870007133</v>
      </c>
      <c r="L9" s="1151">
        <v>6.8295375393319251</v>
      </c>
      <c r="M9" s="1150">
        <v>15.089105877146077</v>
      </c>
      <c r="N9" s="1151">
        <v>7.9701688443436352</v>
      </c>
      <c r="O9" s="1151">
        <v>6.5808188349156165</v>
      </c>
      <c r="P9" s="1150">
        <v>16.061553859656023</v>
      </c>
      <c r="Q9" s="1151">
        <v>7.944642644740572</v>
      </c>
      <c r="R9" s="1151">
        <v>7.3474515167922929</v>
      </c>
      <c r="S9" s="1150">
        <v>17.141759845488096</v>
      </c>
      <c r="T9" s="1195">
        <v>32.671285999999995</v>
      </c>
      <c r="U9" s="1155">
        <v>29.006153609999998</v>
      </c>
      <c r="V9" s="1150"/>
      <c r="W9" s="1151"/>
      <c r="X9" s="1151"/>
      <c r="Y9" s="1150">
        <v>30.401415357137527</v>
      </c>
      <c r="Z9" s="1151">
        <v>16.436782663548865</v>
      </c>
      <c r="AA9" s="1151">
        <v>9.1331135574388256</v>
      </c>
      <c r="AB9" s="1150"/>
      <c r="AC9" s="1151"/>
      <c r="AD9" s="1151"/>
      <c r="AE9" s="1150"/>
      <c r="AF9" s="1151"/>
      <c r="AG9" s="1151"/>
      <c r="AH9" s="1150"/>
      <c r="AI9" s="1151"/>
      <c r="AJ9" s="1151"/>
      <c r="AK9" s="1150"/>
      <c r="AL9" s="1151"/>
      <c r="AM9" s="1151"/>
      <c r="AN9" s="1150">
        <v>168.78699382834191</v>
      </c>
      <c r="AO9" s="1151">
        <v>78.383756667969692</v>
      </c>
      <c r="AP9" s="1151">
        <v>61.846320686329385</v>
      </c>
      <c r="AQ9" s="1151">
        <f t="shared" si="8"/>
        <v>96.813453512312009</v>
      </c>
      <c r="AR9" s="1150">
        <v>20.19386867279928</v>
      </c>
      <c r="AS9" s="1151">
        <v>8.1334539906260748</v>
      </c>
      <c r="AT9" s="1151">
        <v>8.1221977874511104</v>
      </c>
      <c r="AU9" s="1150">
        <v>16.549299775149553</v>
      </c>
      <c r="AV9" s="1151">
        <v>9.0231809918639136</v>
      </c>
      <c r="AW9" s="1151">
        <v>6.244425231824362</v>
      </c>
      <c r="AX9" s="1150"/>
      <c r="AY9" s="1151"/>
      <c r="AZ9" s="1151"/>
      <c r="BA9" s="1150">
        <v>14.889027216490915</v>
      </c>
      <c r="BB9" s="1151">
        <v>8.3552616463296285</v>
      </c>
      <c r="BC9" s="1151">
        <v>6.2200448111539881</v>
      </c>
      <c r="BD9" s="1150">
        <v>17.091376027672997</v>
      </c>
      <c r="BE9" s="1151">
        <v>8.5590876231006998</v>
      </c>
      <c r="BF9" s="1839">
        <v>7.4188954745070648</v>
      </c>
      <c r="BG9" s="1150">
        <v>21.764520265433614</v>
      </c>
      <c r="BH9" s="1195">
        <v>9.6982582249338254</v>
      </c>
      <c r="BI9" s="1155">
        <v>7.3173710361519344</v>
      </c>
      <c r="BJ9" s="1150"/>
      <c r="BK9" s="1151"/>
      <c r="BL9" s="1151"/>
      <c r="BM9" s="1150"/>
      <c r="BN9" s="1151"/>
      <c r="BO9" s="1151"/>
      <c r="BP9" s="1150"/>
      <c r="BQ9" s="1151"/>
      <c r="BR9" s="1151"/>
      <c r="BS9" s="1150"/>
      <c r="BT9" s="1151"/>
      <c r="BU9" s="1151"/>
      <c r="BV9" s="1150"/>
      <c r="BW9" s="1151"/>
      <c r="BX9" s="1151"/>
      <c r="BY9" s="1150"/>
      <c r="BZ9" s="1151"/>
      <c r="CA9" s="1151"/>
      <c r="CB9" s="1150">
        <v>105.39872618974361</v>
      </c>
      <c r="CC9" s="1151">
        <v>52.151891577976748</v>
      </c>
      <c r="CD9" s="1151">
        <v>41.5412485053198</v>
      </c>
      <c r="CE9" s="1151">
        <f t="shared" si="0"/>
        <v>57.533554113039202</v>
      </c>
      <c r="CF9" s="1153">
        <f t="shared" si="1"/>
        <v>28.556916474042829</v>
      </c>
      <c r="CG9" s="1154">
        <f t="shared" si="9"/>
        <v>11.705586106447065</v>
      </c>
      <c r="CH9" s="1155">
        <f t="shared" si="2"/>
        <v>-16.851330367595764</v>
      </c>
      <c r="CI9" s="1154">
        <f t="shared" si="3"/>
        <v>16.918908161303889</v>
      </c>
      <c r="CJ9" s="1154">
        <f t="shared" si="10"/>
        <v>11.106003392654037</v>
      </c>
      <c r="CK9" s="1154">
        <f t="shared" si="11"/>
        <v>-5.8129047686498527</v>
      </c>
      <c r="CL9" s="1156">
        <f t="shared" si="4"/>
        <v>18.429696844342317</v>
      </c>
      <c r="CM9" s="1157">
        <f t="shared" si="12"/>
        <v>5.3816625350624534</v>
      </c>
      <c r="CN9" s="1158">
        <f t="shared" si="13"/>
        <v>-13.048034309279863</v>
      </c>
      <c r="CO9" s="1156">
        <f t="shared" si="5"/>
        <v>19.036297307582945</v>
      </c>
      <c r="CP9" s="1157">
        <f t="shared" si="14"/>
        <v>9.3539546061917491</v>
      </c>
      <c r="CQ9" s="1158">
        <f t="shared" si="6"/>
        <v>-9.682342701391196</v>
      </c>
      <c r="CR9" s="1159">
        <f t="shared" si="23"/>
        <v>4.6564655547066005</v>
      </c>
      <c r="CS9" s="1818">
        <f t="shared" si="24"/>
        <v>4.40941285784002</v>
      </c>
      <c r="CT9" s="1156">
        <f t="shared" si="15"/>
        <v>85.817248539364925</v>
      </c>
      <c r="CU9" s="1157">
        <f t="shared" si="16"/>
        <v>23.729971978660299</v>
      </c>
      <c r="CV9" s="1158">
        <f t="shared" si="7"/>
        <v>-62.087276560704623</v>
      </c>
      <c r="CW9" s="83"/>
      <c r="CX9" s="1150"/>
      <c r="CY9" s="1151"/>
      <c r="CZ9" s="1151"/>
      <c r="DA9" s="1152">
        <f t="shared" si="17"/>
        <v>0</v>
      </c>
      <c r="DB9" s="1153">
        <f t="shared" si="18"/>
        <v>0</v>
      </c>
      <c r="DC9" s="1154" t="e">
        <f t="shared" si="19"/>
        <v>#DIV/0!</v>
      </c>
      <c r="DD9" s="1156">
        <f t="shared" si="20"/>
        <v>0</v>
      </c>
      <c r="DE9" s="1156" t="e">
        <f t="shared" si="21"/>
        <v>#DIV/0!</v>
      </c>
      <c r="DF9" s="1159">
        <v>4.6494238721706687</v>
      </c>
      <c r="DG9" s="1156">
        <f t="shared" si="22"/>
        <v>0</v>
      </c>
      <c r="DI9" s="1434"/>
      <c r="DJ9" s="1435"/>
      <c r="DK9" s="1828"/>
      <c r="DL9" s="1434"/>
      <c r="DM9" s="1435"/>
      <c r="DN9" s="1435"/>
    </row>
    <row r="10" spans="1:118" ht="12.75" customHeight="1">
      <c r="A10" s="1130">
        <v>1</v>
      </c>
      <c r="B10" s="3086"/>
      <c r="C10" s="1149" t="s">
        <v>112</v>
      </c>
      <c r="D10" s="1150">
        <v>13.5</v>
      </c>
      <c r="E10" s="1151">
        <v>7.0653560000000004</v>
      </c>
      <c r="F10" s="1151">
        <v>3.2319920799999999</v>
      </c>
      <c r="G10" s="1150">
        <v>12.485734345279319</v>
      </c>
      <c r="H10" s="1151">
        <v>8.5310699999999997</v>
      </c>
      <c r="I10" s="1151">
        <v>2.9771513200000004</v>
      </c>
      <c r="J10" s="1150">
        <v>11.822376500053773</v>
      </c>
      <c r="K10" s="1151">
        <v>7.2170721262184845</v>
      </c>
      <c r="L10" s="1151">
        <v>3.1091366104863831</v>
      </c>
      <c r="M10" s="1150">
        <v>10.283514441990402</v>
      </c>
      <c r="N10" s="1151">
        <v>6.9928542714642896</v>
      </c>
      <c r="O10" s="1151">
        <v>2.8774719607280219</v>
      </c>
      <c r="P10" s="1150">
        <v>10.946256353515572</v>
      </c>
      <c r="Q10" s="1151">
        <v>6.9704581343918344</v>
      </c>
      <c r="R10" s="1151">
        <v>3.2126831406155087</v>
      </c>
      <c r="S10" s="1150">
        <v>10.754265654720683</v>
      </c>
      <c r="T10" s="1195">
        <v>28.577264999999997</v>
      </c>
      <c r="U10" s="1155">
        <v>11.529666299999999</v>
      </c>
      <c r="V10" s="1150"/>
      <c r="W10" s="1151"/>
      <c r="X10" s="1151"/>
      <c r="Y10" s="1150">
        <v>21.446774197796334</v>
      </c>
      <c r="Z10" s="1151">
        <v>14.759306549747745</v>
      </c>
      <c r="AA10" s="1151">
        <v>3.8020214849300782</v>
      </c>
      <c r="AB10" s="1150"/>
      <c r="AC10" s="1151"/>
      <c r="AD10" s="1151"/>
      <c r="AE10" s="1150"/>
      <c r="AF10" s="1151"/>
      <c r="AG10" s="1151"/>
      <c r="AH10" s="1150"/>
      <c r="AI10" s="1151"/>
      <c r="AJ10" s="1151"/>
      <c r="AK10" s="1150"/>
      <c r="AL10" s="1151"/>
      <c r="AM10" s="1151"/>
      <c r="AN10" s="1150">
        <v>119.07131630670665</v>
      </c>
      <c r="AO10" s="1151">
        <v>70.384205769720538</v>
      </c>
      <c r="AP10" s="1151">
        <v>25.74598887164607</v>
      </c>
      <c r="AQ10" s="1151">
        <f t="shared" si="8"/>
        <v>86.181048456658175</v>
      </c>
      <c r="AR10" s="1150">
        <v>14.206212979822318</v>
      </c>
      <c r="AS10" s="1151">
        <v>6.9865871131386719</v>
      </c>
      <c r="AT10" s="1151">
        <v>3.7358138547633488</v>
      </c>
      <c r="AU10" s="1150">
        <v>12.335116837264939</v>
      </c>
      <c r="AV10" s="1151">
        <v>8.7549238587672686</v>
      </c>
      <c r="AW10" s="1151">
        <v>2.6103355786259659</v>
      </c>
      <c r="AX10" s="1150"/>
      <c r="AY10" s="1151"/>
      <c r="AZ10" s="1151"/>
      <c r="BA10" s="1150">
        <v>11.09762302961083</v>
      </c>
      <c r="BB10" s="1151">
        <v>8.106861604533087</v>
      </c>
      <c r="BC10" s="1151">
        <v>2.6001439153206869</v>
      </c>
      <c r="BD10" s="1150">
        <v>12.739156524770264</v>
      </c>
      <c r="BE10" s="1151">
        <v>8.3046278810467289</v>
      </c>
      <c r="BF10" s="1839">
        <v>3.1012953301956787</v>
      </c>
      <c r="BG10" s="1150">
        <v>16.222311761146283</v>
      </c>
      <c r="BH10" s="1195">
        <v>9.4099311981571763</v>
      </c>
      <c r="BI10" s="1155">
        <v>3.0588554188027457</v>
      </c>
      <c r="BJ10" s="1150"/>
      <c r="BK10" s="1151"/>
      <c r="BL10" s="1151"/>
      <c r="BM10" s="1150"/>
      <c r="BN10" s="1151"/>
      <c r="BO10" s="1151"/>
      <c r="BP10" s="1150"/>
      <c r="BQ10" s="1151"/>
      <c r="BR10" s="1151"/>
      <c r="BS10" s="1150"/>
      <c r="BT10" s="1151"/>
      <c r="BU10" s="1151"/>
      <c r="BV10" s="1150"/>
      <c r="BW10" s="1151"/>
      <c r="BX10" s="1151"/>
      <c r="BY10" s="1150"/>
      <c r="BZ10" s="1151"/>
      <c r="CA10" s="1151"/>
      <c r="CB10" s="1150">
        <v>78.559553558974343</v>
      </c>
      <c r="CC10" s="1151">
        <v>50.601427619325165</v>
      </c>
      <c r="CD10" s="1151">
        <v>17.365345076331121</v>
      </c>
      <c r="CE10" s="1151">
        <f t="shared" si="0"/>
        <v>56.480635269104766</v>
      </c>
      <c r="CF10" s="1153">
        <f t="shared" si="1"/>
        <v>22.941121665340042</v>
      </c>
      <c r="CG10" s="1154">
        <f t="shared" si="9"/>
        <v>10.592780863318058</v>
      </c>
      <c r="CH10" s="1155">
        <f t="shared" si="2"/>
        <v>-12.348340802021983</v>
      </c>
      <c r="CI10" s="1154">
        <f t="shared" si="3"/>
        <v>19.266707026441001</v>
      </c>
      <c r="CJ10" s="1154">
        <f t="shared" si="10"/>
        <v>13.483758987207201</v>
      </c>
      <c r="CK10" s="1154">
        <f t="shared" si="11"/>
        <v>-5.7829480392337995</v>
      </c>
      <c r="CL10" s="1156">
        <f t="shared" si="4"/>
        <v>15.796842686937637</v>
      </c>
      <c r="CM10" s="1157">
        <f t="shared" si="12"/>
        <v>5.8792076497796018</v>
      </c>
      <c r="CN10" s="1158">
        <f t="shared" si="13"/>
        <v>-9.9176350371580355</v>
      </c>
      <c r="CO10" s="1156">
        <f t="shared" si="5"/>
        <v>18.32983349568104</v>
      </c>
      <c r="CP10" s="1157">
        <f t="shared" si="14"/>
        <v>10.409244906272438</v>
      </c>
      <c r="CQ10" s="1158">
        <f t="shared" si="6"/>
        <v>-7.9205885894086023</v>
      </c>
      <c r="CR10" s="1159">
        <f t="shared" si="23"/>
        <v>4.6564655547066005</v>
      </c>
      <c r="CS10" s="1818">
        <f t="shared" si="24"/>
        <v>4.40941285784002</v>
      </c>
      <c r="CT10" s="1156">
        <f t="shared" si="15"/>
        <v>73.557453844843977</v>
      </c>
      <c r="CU10" s="1157">
        <f t="shared" si="16"/>
        <v>25.923853804849582</v>
      </c>
      <c r="CV10" s="1158">
        <f t="shared" si="7"/>
        <v>-47.633600039994391</v>
      </c>
      <c r="CW10" s="83"/>
      <c r="CX10" s="1150"/>
      <c r="CY10" s="1151"/>
      <c r="CZ10" s="1151"/>
      <c r="DA10" s="1152">
        <f t="shared" si="17"/>
        <v>0</v>
      </c>
      <c r="DB10" s="1153">
        <f t="shared" si="18"/>
        <v>0</v>
      </c>
      <c r="DC10" s="1154" t="e">
        <f t="shared" si="19"/>
        <v>#DIV/0!</v>
      </c>
      <c r="DD10" s="1156">
        <f t="shared" si="20"/>
        <v>0</v>
      </c>
      <c r="DE10" s="1156" t="e">
        <f t="shared" si="21"/>
        <v>#DIV/0!</v>
      </c>
      <c r="DF10" s="1159">
        <v>4.6494238721706687</v>
      </c>
      <c r="DG10" s="1156">
        <f t="shared" si="22"/>
        <v>0</v>
      </c>
      <c r="DI10" s="1434"/>
      <c r="DJ10" s="1435"/>
      <c r="DK10" s="1828"/>
      <c r="DL10" s="1434"/>
      <c r="DM10" s="1435"/>
      <c r="DN10" s="1435"/>
    </row>
    <row r="11" spans="1:118" ht="12.75" customHeight="1">
      <c r="A11" s="1130">
        <v>1</v>
      </c>
      <c r="B11" s="3086"/>
      <c r="C11" s="1149" t="s">
        <v>113</v>
      </c>
      <c r="D11" s="1150">
        <v>27</v>
      </c>
      <c r="E11" s="1151">
        <v>16.479828000000001</v>
      </c>
      <c r="F11" s="1151">
        <v>4.0589294800000006</v>
      </c>
      <c r="G11" s="1150">
        <v>19.971468690558602</v>
      </c>
      <c r="H11" s="1151">
        <v>14.064615</v>
      </c>
      <c r="I11" s="1151">
        <v>3.9532938199999998</v>
      </c>
      <c r="J11" s="1150">
        <v>20.79890128771471</v>
      </c>
      <c r="K11" s="1151">
        <v>14.037358079986738</v>
      </c>
      <c r="L11" s="1151">
        <v>4.0452353912465568</v>
      </c>
      <c r="M11" s="1150">
        <v>20.67081160981046</v>
      </c>
      <c r="N11" s="1151">
        <v>15.882565398664847</v>
      </c>
      <c r="O11" s="1151">
        <v>3.8009286362966512</v>
      </c>
      <c r="P11" s="1150">
        <v>22.002983920778782</v>
      </c>
      <c r="Q11" s="1151">
        <v>15.831698027785654</v>
      </c>
      <c r="R11" s="1151">
        <v>4.2437179285053501</v>
      </c>
      <c r="S11" s="1150">
        <v>23.708531309441391</v>
      </c>
      <c r="T11" s="1195">
        <v>66.299648999999988</v>
      </c>
      <c r="U11" s="1155">
        <v>16.208115850000006</v>
      </c>
      <c r="V11" s="1150"/>
      <c r="W11" s="1151"/>
      <c r="X11" s="1151"/>
      <c r="Y11" s="1150">
        <v>41.259063698972355</v>
      </c>
      <c r="Z11" s="1151">
        <v>32.354188539715224</v>
      </c>
      <c r="AA11" s="1151">
        <v>5.1920430109622542</v>
      </c>
      <c r="AB11" s="1150"/>
      <c r="AC11" s="1151"/>
      <c r="AD11" s="1151"/>
      <c r="AE11" s="1150"/>
      <c r="AF11" s="1151"/>
      <c r="AG11" s="1151"/>
      <c r="AH11" s="1150"/>
      <c r="AI11" s="1151"/>
      <c r="AJ11" s="1151"/>
      <c r="AK11" s="1150"/>
      <c r="AL11" s="1151"/>
      <c r="AM11" s="1151"/>
      <c r="AN11" s="1150">
        <v>229.06806305274969</v>
      </c>
      <c r="AO11" s="1151">
        <v>154.29070844324804</v>
      </c>
      <c r="AP11" s="1151">
        <v>35.158739136846386</v>
      </c>
      <c r="AQ11" s="1151">
        <f t="shared" si="8"/>
        <v>180.16524013273832</v>
      </c>
      <c r="AR11" s="1150">
        <v>28.412425959644636</v>
      </c>
      <c r="AS11" s="1151">
        <v>16.296100852036595</v>
      </c>
      <c r="AT11" s="1151">
        <v>4.6916590794651327</v>
      </c>
      <c r="AU11" s="1150">
        <v>23.038479338311934</v>
      </c>
      <c r="AV11" s="1151">
        <v>16.836329626495978</v>
      </c>
      <c r="AW11" s="1151">
        <v>4.0557249666859256</v>
      </c>
      <c r="AX11" s="1150"/>
      <c r="AY11" s="1151"/>
      <c r="AZ11" s="1151"/>
      <c r="BA11" s="1150">
        <v>20.727193932988634</v>
      </c>
      <c r="BB11" s="1151">
        <v>15.590060680381692</v>
      </c>
      <c r="BC11" s="1151">
        <v>4.0398899975510245</v>
      </c>
      <c r="BD11" s="1150">
        <v>23.79311021171625</v>
      </c>
      <c r="BE11" s="1151">
        <v>15.97037903312831</v>
      </c>
      <c r="BF11" s="1839">
        <v>4.8185378932627199</v>
      </c>
      <c r="BG11" s="1150">
        <v>30.298650532417014</v>
      </c>
      <c r="BH11" s="1195">
        <v>18.095954456093914</v>
      </c>
      <c r="BI11" s="1155">
        <v>4.7525982456443625</v>
      </c>
      <c r="BJ11" s="1150"/>
      <c r="BK11" s="1151"/>
      <c r="BL11" s="1151"/>
      <c r="BM11" s="1150"/>
      <c r="BN11" s="1151"/>
      <c r="BO11" s="1151"/>
      <c r="BP11" s="1150"/>
      <c r="BQ11" s="1151"/>
      <c r="BR11" s="1151"/>
      <c r="BS11" s="1150"/>
      <c r="BT11" s="1151"/>
      <c r="BU11" s="1151"/>
      <c r="BV11" s="1150"/>
      <c r="BW11" s="1151"/>
      <c r="BX11" s="1151"/>
      <c r="BY11" s="1150"/>
      <c r="BZ11" s="1151"/>
      <c r="CA11" s="1151"/>
      <c r="CB11" s="1150">
        <v>146.72683488717951</v>
      </c>
      <c r="CC11" s="1151">
        <v>97.310077016499989</v>
      </c>
      <c r="CD11" s="1151">
        <v>26.980846507967083</v>
      </c>
      <c r="CE11" s="1151">
        <f t="shared" si="0"/>
        <v>110.94237828598166</v>
      </c>
      <c r="CF11" s="1153">
        <f t="shared" si="1"/>
        <v>39.618615472655272</v>
      </c>
      <c r="CG11" s="1154">
        <f t="shared" si="9"/>
        <v>22.435911362712435</v>
      </c>
      <c r="CH11" s="1155">
        <f t="shared" si="2"/>
        <v>-17.182704109942836</v>
      </c>
      <c r="CI11" s="1154">
        <f t="shared" si="3"/>
        <v>17.295564883495746</v>
      </c>
      <c r="CJ11" s="1154">
        <f t="shared" si="10"/>
        <v>15.290939370404704</v>
      </c>
      <c r="CK11" s="1154">
        <f t="shared" si="11"/>
        <v>-2.0046255130910424</v>
      </c>
      <c r="CL11" s="1156">
        <f t="shared" si="4"/>
        <v>25.874531689490283</v>
      </c>
      <c r="CM11" s="1157">
        <f t="shared" si="12"/>
        <v>13.632301269481673</v>
      </c>
      <c r="CN11" s="1158">
        <f t="shared" si="13"/>
        <v>-12.24223042000861</v>
      </c>
      <c r="CO11" s="1156">
        <f t="shared" si="5"/>
        <v>14.36155590857981</v>
      </c>
      <c r="CP11" s="1157">
        <f t="shared" si="14"/>
        <v>12.287731234984898</v>
      </c>
      <c r="CQ11" s="1158">
        <f t="shared" si="6"/>
        <v>-2.0738246735949115</v>
      </c>
      <c r="CR11" s="1159">
        <f t="shared" si="23"/>
        <v>4.6564655547066005</v>
      </c>
      <c r="CS11" s="1818">
        <f t="shared" si="24"/>
        <v>4.40941285784002</v>
      </c>
      <c r="CT11" s="1156">
        <f t="shared" si="15"/>
        <v>120.48386555627589</v>
      </c>
      <c r="CU11" s="1157">
        <f t="shared" si="16"/>
        <v>60.110444499601314</v>
      </c>
      <c r="CV11" s="1158">
        <f t="shared" si="7"/>
        <v>-60.373421056674573</v>
      </c>
      <c r="CW11" s="83"/>
      <c r="CX11" s="1150"/>
      <c r="CY11" s="1151"/>
      <c r="CZ11" s="1151"/>
      <c r="DA11" s="1152">
        <f t="shared" si="17"/>
        <v>0</v>
      </c>
      <c r="DB11" s="1153">
        <f t="shared" si="18"/>
        <v>0</v>
      </c>
      <c r="DC11" s="1154" t="e">
        <f t="shared" si="19"/>
        <v>#DIV/0!</v>
      </c>
      <c r="DD11" s="1156">
        <f t="shared" si="20"/>
        <v>0</v>
      </c>
      <c r="DE11" s="1156" t="e">
        <f t="shared" si="21"/>
        <v>#DIV/0!</v>
      </c>
      <c r="DF11" s="1159">
        <v>4.6494238721706687</v>
      </c>
      <c r="DG11" s="1156">
        <f t="shared" si="22"/>
        <v>0</v>
      </c>
      <c r="DI11" s="1434"/>
      <c r="DJ11" s="1435"/>
      <c r="DK11" s="1828"/>
      <c r="DL11" s="1434"/>
      <c r="DM11" s="1435"/>
      <c r="DN11" s="1435"/>
    </row>
    <row r="12" spans="1:118" ht="12.75" customHeight="1">
      <c r="A12" s="1130">
        <v>1</v>
      </c>
      <c r="B12" s="3086"/>
      <c r="C12" s="1149" t="s">
        <v>65</v>
      </c>
      <c r="D12" s="1150">
        <v>23.45</v>
      </c>
      <c r="E12" s="1151">
        <v>11.249451000000001</v>
      </c>
      <c r="F12" s="1151">
        <v>7.4083702999999996</v>
      </c>
      <c r="G12" s="1150">
        <v>23.188182992355603</v>
      </c>
      <c r="H12" s="1151">
        <v>13.238305</v>
      </c>
      <c r="I12" s="1151">
        <v>7.3594782599999977</v>
      </c>
      <c r="J12" s="1150">
        <v>21.29421622768675</v>
      </c>
      <c r="K12" s="1151">
        <v>12.328979975098614</v>
      </c>
      <c r="L12" s="1151">
        <v>6.5988280942743192</v>
      </c>
      <c r="M12" s="1150">
        <v>19.371271390726108</v>
      </c>
      <c r="N12" s="1151">
        <v>11.645930797020389</v>
      </c>
      <c r="O12" s="1151">
        <v>6.9616257114387627</v>
      </c>
      <c r="P12" s="1150">
        <v>20.619692200808405</v>
      </c>
      <c r="Q12" s="1151">
        <v>11.608632170116246</v>
      </c>
      <c r="R12" s="1151">
        <v>7.7726205014891345</v>
      </c>
      <c r="S12" s="1150">
        <v>21.861817007644397</v>
      </c>
      <c r="T12" s="1195">
        <v>49.880766000000008</v>
      </c>
      <c r="U12" s="1155">
        <v>30.022020090000005</v>
      </c>
      <c r="V12" s="1150"/>
      <c r="W12" s="1151"/>
      <c r="X12" s="1151"/>
      <c r="Y12" s="1150">
        <v>39.986500613746557</v>
      </c>
      <c r="Z12" s="1151">
        <v>24.845570044886372</v>
      </c>
      <c r="AA12" s="1151">
        <v>9.6013976530311833</v>
      </c>
      <c r="AB12" s="1150"/>
      <c r="AC12" s="1151"/>
      <c r="AD12" s="1151"/>
      <c r="AE12" s="1150"/>
      <c r="AF12" s="1151"/>
      <c r="AG12" s="1151"/>
      <c r="AH12" s="1150"/>
      <c r="AI12" s="1151"/>
      <c r="AJ12" s="1151"/>
      <c r="AK12" s="1150"/>
      <c r="AL12" s="1151"/>
      <c r="AM12" s="1151"/>
      <c r="AN12" s="1150">
        <v>222.00286246623313</v>
      </c>
      <c r="AO12" s="1151">
        <v>118.48359600168176</v>
      </c>
      <c r="AP12" s="1151">
        <v>65.017380387511324</v>
      </c>
      <c r="AQ12" s="1151">
        <f t="shared" si="8"/>
        <v>143.66531033074784</v>
      </c>
      <c r="AR12" s="1150">
        <v>24.676718101987657</v>
      </c>
      <c r="AS12" s="1151">
        <v>11.124035276705795</v>
      </c>
      <c r="AT12" s="1151">
        <v>8.5632302687936388</v>
      </c>
      <c r="AU12" s="1150">
        <v>22.617534016794842</v>
      </c>
      <c r="AV12" s="1151">
        <v>12.726759840412239</v>
      </c>
      <c r="AW12" s="1151">
        <v>7.7273431795480283</v>
      </c>
      <c r="AX12" s="1150"/>
      <c r="AY12" s="1151"/>
      <c r="AZ12" s="1151"/>
      <c r="BA12" s="1150">
        <v>20.348479036656059</v>
      </c>
      <c r="BB12" s="1151">
        <v>11.784691947609808</v>
      </c>
      <c r="BC12" s="1151">
        <v>7.6971729284220203</v>
      </c>
      <c r="BD12" s="1150">
        <v>23.358376726016651</v>
      </c>
      <c r="BE12" s="1151">
        <v>12.072178617548257</v>
      </c>
      <c r="BF12" s="1839">
        <v>9.1807250813959929</v>
      </c>
      <c r="BG12" s="1150">
        <v>29.745051703144771</v>
      </c>
      <c r="BH12" s="1195">
        <v>13.678923586962114</v>
      </c>
      <c r="BI12" s="1155">
        <v>9.0550907520292583</v>
      </c>
      <c r="BJ12" s="1150"/>
      <c r="BK12" s="1151"/>
      <c r="BL12" s="1151"/>
      <c r="BM12" s="1150"/>
      <c r="BN12" s="1151"/>
      <c r="BO12" s="1151"/>
      <c r="BP12" s="1150"/>
      <c r="BQ12" s="1151"/>
      <c r="BR12" s="1151"/>
      <c r="BS12" s="1150"/>
      <c r="BT12" s="1151"/>
      <c r="BU12" s="1151"/>
      <c r="BV12" s="1150"/>
      <c r="BW12" s="1151"/>
      <c r="BX12" s="1151"/>
      <c r="BY12" s="1150"/>
      <c r="BZ12" s="1151"/>
      <c r="CA12" s="1151"/>
      <c r="CB12" s="1150">
        <v>144.04592987692311</v>
      </c>
      <c r="CC12" s="1151">
        <v>73.557717609189012</v>
      </c>
      <c r="CD12" s="1151">
        <v>51.406409940104091</v>
      </c>
      <c r="CE12" s="1151">
        <f t="shared" si="0"/>
        <v>83.996764144203638</v>
      </c>
      <c r="CF12" s="1153">
        <f t="shared" si="1"/>
        <v>38.501886077040041</v>
      </c>
      <c r="CG12" s="1154">
        <f t="shared" si="9"/>
        <v>19.081802327630008</v>
      </c>
      <c r="CH12" s="1155">
        <f t="shared" si="2"/>
        <v>-19.420083749410033</v>
      </c>
      <c r="CI12" s="1154">
        <f t="shared" si="3"/>
        <v>17.342968306499301</v>
      </c>
      <c r="CJ12" s="1154">
        <f t="shared" si="10"/>
        <v>13.247026378276733</v>
      </c>
      <c r="CK12" s="1154">
        <f t="shared" si="11"/>
        <v>-4.0959419282225689</v>
      </c>
      <c r="CL12" s="1156">
        <f t="shared" si="4"/>
        <v>25.181714329066082</v>
      </c>
      <c r="CM12" s="1157">
        <f t="shared" si="12"/>
        <v>10.439046535014626</v>
      </c>
      <c r="CN12" s="1158">
        <f t="shared" si="13"/>
        <v>-14.742667794051457</v>
      </c>
      <c r="CO12" s="1156">
        <f t="shared" si="5"/>
        <v>17.528040882724206</v>
      </c>
      <c r="CP12" s="1157">
        <f t="shared" si="14"/>
        <v>12.427915100506871</v>
      </c>
      <c r="CQ12" s="1158">
        <f t="shared" si="6"/>
        <v>-5.1001257822173347</v>
      </c>
      <c r="CR12" s="1159">
        <f t="shared" si="23"/>
        <v>4.6564655547066005</v>
      </c>
      <c r="CS12" s="1818">
        <f t="shared" si="24"/>
        <v>4.40941285784002</v>
      </c>
      <c r="CT12" s="1156">
        <f t="shared" si="15"/>
        <v>117.25778538175784</v>
      </c>
      <c r="CU12" s="1157">
        <f t="shared" si="16"/>
        <v>46.030066015083797</v>
      </c>
      <c r="CV12" s="1158">
        <f t="shared" si="7"/>
        <v>-71.227719366674052</v>
      </c>
      <c r="CW12" s="83"/>
      <c r="CX12" s="1150"/>
      <c r="CY12" s="1151"/>
      <c r="CZ12" s="1151"/>
      <c r="DA12" s="1152">
        <f t="shared" si="17"/>
        <v>0</v>
      </c>
      <c r="DB12" s="1153">
        <f t="shared" si="18"/>
        <v>0</v>
      </c>
      <c r="DC12" s="1154" t="e">
        <f t="shared" si="19"/>
        <v>#DIV/0!</v>
      </c>
      <c r="DD12" s="1156">
        <f t="shared" si="20"/>
        <v>0</v>
      </c>
      <c r="DE12" s="1156" t="e">
        <f t="shared" si="21"/>
        <v>#DIV/0!</v>
      </c>
      <c r="DF12" s="1159">
        <v>4.6494238721706687</v>
      </c>
      <c r="DG12" s="1156">
        <f t="shared" si="22"/>
        <v>0</v>
      </c>
      <c r="DI12" s="1434"/>
      <c r="DJ12" s="1435"/>
      <c r="DK12" s="1828"/>
      <c r="DL12" s="1434"/>
      <c r="DM12" s="1435"/>
      <c r="DN12" s="1435"/>
    </row>
    <row r="13" spans="1:118" ht="12.75" customHeight="1">
      <c r="A13" s="1130">
        <v>1</v>
      </c>
      <c r="B13" s="3086"/>
      <c r="C13" s="1149" t="s">
        <v>273</v>
      </c>
      <c r="D13" s="1150">
        <v>10.5</v>
      </c>
      <c r="E13" s="1151">
        <v>4.8546769999999997</v>
      </c>
      <c r="F13" s="1151">
        <v>4.298095213014097</v>
      </c>
      <c r="G13" s="1150">
        <v>16.711126712995</v>
      </c>
      <c r="H13" s="1151">
        <v>8.0712360000000007</v>
      </c>
      <c r="I13" s="1151">
        <v>6.663280329154202</v>
      </c>
      <c r="J13" s="1150">
        <v>12.974502638088095</v>
      </c>
      <c r="K13" s="1151">
        <v>6.6785471481124477</v>
      </c>
      <c r="L13" s="1151">
        <v>5.4134601006016361</v>
      </c>
      <c r="M13" s="1150">
        <v>7.8243150690703649</v>
      </c>
      <c r="N13" s="1151">
        <v>5.9192525485475684</v>
      </c>
      <c r="O13" s="1151">
        <v>1.6541298698974156</v>
      </c>
      <c r="P13" s="1150">
        <v>8.3285688973216363</v>
      </c>
      <c r="Q13" s="1151">
        <v>5.9002948545506095</v>
      </c>
      <c r="R13" s="1151">
        <v>1.8468277772769055</v>
      </c>
      <c r="S13" s="1150">
        <v>14.588873287004997</v>
      </c>
      <c r="T13" s="1195">
        <v>27.115315000000002</v>
      </c>
      <c r="U13" s="1155">
        <v>23.684273703612718</v>
      </c>
      <c r="V13" s="1150"/>
      <c r="W13" s="1151"/>
      <c r="X13" s="1151"/>
      <c r="Y13" s="1150">
        <v>24.400521542403009</v>
      </c>
      <c r="Z13" s="1151">
        <v>13.375599813881843</v>
      </c>
      <c r="AA13" s="1151">
        <v>7.426966192870827</v>
      </c>
      <c r="AB13" s="1150"/>
      <c r="AC13" s="1151"/>
      <c r="AD13" s="1151"/>
      <c r="AE13" s="1150"/>
      <c r="AF13" s="1151"/>
      <c r="AG13" s="1151"/>
      <c r="AH13" s="1150"/>
      <c r="AI13" s="1151"/>
      <c r="AJ13" s="1151"/>
      <c r="AK13" s="1150"/>
      <c r="AL13" s="1151"/>
      <c r="AM13" s="1151"/>
      <c r="AN13" s="1150">
        <v>135.47035986990574</v>
      </c>
      <c r="AO13" s="1151">
        <v>63.785582772504014</v>
      </c>
      <c r="AP13" s="1151">
        <v>50.292874385285188</v>
      </c>
      <c r="AQ13" s="1151">
        <f t="shared" si="8"/>
        <v>77.049263892426211</v>
      </c>
      <c r="AR13" s="1150">
        <v>11.049276762084025</v>
      </c>
      <c r="AS13" s="1151">
        <v>4.8005541074859792</v>
      </c>
      <c r="AT13" s="1151">
        <v>4.9681073617823017</v>
      </c>
      <c r="AU13" s="1150">
        <v>13.470250288546991</v>
      </c>
      <c r="AV13" s="1151">
        <v>7.3129839495229785</v>
      </c>
      <c r="AW13" s="1151">
        <v>5.3464776813438331</v>
      </c>
      <c r="AX13" s="1150"/>
      <c r="AY13" s="1151"/>
      <c r="AZ13" s="1151"/>
      <c r="BA13" s="1150">
        <v>12.118876682642503</v>
      </c>
      <c r="BB13" s="1151">
        <v>6.7716578409286363</v>
      </c>
      <c r="BC13" s="1151">
        <v>5.3256031620507507</v>
      </c>
      <c r="BD13" s="1150">
        <v>13.911471542387163</v>
      </c>
      <c r="BE13" s="1151">
        <v>6.9368519224800016</v>
      </c>
      <c r="BF13" s="1839">
        <v>6.3520592531918805</v>
      </c>
      <c r="BG13" s="1150">
        <v>17.715162536711901</v>
      </c>
      <c r="BH13" s="1195">
        <v>7.8601112846146846</v>
      </c>
      <c r="BI13" s="1155">
        <v>6.2651340161003475</v>
      </c>
      <c r="BJ13" s="1150"/>
      <c r="BK13" s="1151"/>
      <c r="BL13" s="1151"/>
      <c r="BM13" s="1150"/>
      <c r="BN13" s="1151"/>
      <c r="BO13" s="1151"/>
      <c r="BP13" s="1150"/>
      <c r="BQ13" s="1151"/>
      <c r="BR13" s="1151"/>
      <c r="BS13" s="1150"/>
      <c r="BT13" s="1151"/>
      <c r="BU13" s="1151"/>
      <c r="BV13" s="1150"/>
      <c r="BW13" s="1151"/>
      <c r="BX13" s="1151"/>
      <c r="BY13" s="1150"/>
      <c r="BZ13" s="1151"/>
      <c r="CA13" s="1151"/>
      <c r="CB13" s="1150">
        <v>85.78896032820515</v>
      </c>
      <c r="CC13" s="1151">
        <v>42.267349662042399</v>
      </c>
      <c r="CD13" s="1151">
        <v>35.567622278017403</v>
      </c>
      <c r="CE13" s="1151">
        <f t="shared" si="0"/>
        <v>45.074000430495438</v>
      </c>
      <c r="CF13" s="1153">
        <f t="shared" si="1"/>
        <v>21.391902712116533</v>
      </c>
      <c r="CG13" s="1154">
        <f t="shared" si="9"/>
        <v>7.9539883881453477</v>
      </c>
      <c r="CH13" s="1155">
        <f t="shared" si="2"/>
        <v>-13.437914323971185</v>
      </c>
      <c r="CI13" s="1154">
        <f t="shared" si="3"/>
        <v>15.790836263120218</v>
      </c>
      <c r="CJ13" s="1154">
        <f t="shared" si="10"/>
        <v>9.2715756872627431</v>
      </c>
      <c r="CK13" s="1154">
        <f t="shared" si="11"/>
        <v>-6.5192605758574746</v>
      </c>
      <c r="CL13" s="1156">
        <f t="shared" si="4"/>
        <v>13.263681119922197</v>
      </c>
      <c r="CM13" s="1157">
        <f t="shared" si="12"/>
        <v>2.8066507684530393</v>
      </c>
      <c r="CN13" s="1158">
        <f t="shared" si="13"/>
        <v>-10.457030351469157</v>
      </c>
      <c r="CO13" s="1156">
        <f t="shared" si="5"/>
        <v>17.214546187541178</v>
      </c>
      <c r="CP13" s="1157">
        <f t="shared" si="14"/>
        <v>6.2267620837891302</v>
      </c>
      <c r="CQ13" s="1158">
        <f t="shared" si="6"/>
        <v>-10.987784103752048</v>
      </c>
      <c r="CR13" s="1159">
        <f t="shared" si="23"/>
        <v>4.6564655547066005</v>
      </c>
      <c r="CS13" s="1818">
        <f t="shared" si="24"/>
        <v>4.40941285784002</v>
      </c>
      <c r="CT13" s="1156">
        <f t="shared" si="15"/>
        <v>61.761874263529975</v>
      </c>
      <c r="CU13" s="1157">
        <f t="shared" si="16"/>
        <v>12.375681985883404</v>
      </c>
      <c r="CV13" s="1158">
        <f t="shared" si="7"/>
        <v>-49.386192277646572</v>
      </c>
      <c r="CW13" s="83"/>
      <c r="CX13" s="1150"/>
      <c r="CY13" s="1151"/>
      <c r="CZ13" s="1151"/>
      <c r="DA13" s="1152">
        <f t="shared" si="17"/>
        <v>0</v>
      </c>
      <c r="DB13" s="1153">
        <f t="shared" si="18"/>
        <v>0</v>
      </c>
      <c r="DC13" s="1154" t="e">
        <f t="shared" si="19"/>
        <v>#DIV/0!</v>
      </c>
      <c r="DD13" s="1156">
        <f t="shared" si="20"/>
        <v>0</v>
      </c>
      <c r="DE13" s="1156" t="e">
        <f t="shared" si="21"/>
        <v>#DIV/0!</v>
      </c>
      <c r="DF13" s="1159">
        <v>4.6494238721706687</v>
      </c>
      <c r="DG13" s="1156">
        <f t="shared" si="22"/>
        <v>0</v>
      </c>
      <c r="DI13" s="1434"/>
      <c r="DJ13" s="1435"/>
      <c r="DK13" s="1828"/>
      <c r="DL13" s="1434"/>
      <c r="DM13" s="1435"/>
      <c r="DN13" s="1435"/>
    </row>
    <row r="14" spans="1:118" ht="12.75" customHeight="1">
      <c r="A14" s="1130">
        <v>1</v>
      </c>
      <c r="B14" s="3086"/>
      <c r="C14" s="1149" t="s">
        <v>411</v>
      </c>
      <c r="D14" s="1150">
        <v>22.4</v>
      </c>
      <c r="E14" s="1151">
        <v>11.130324</v>
      </c>
      <c r="F14" s="1151">
        <v>7.9823521600000005</v>
      </c>
      <c r="G14" s="1150">
        <v>22.217070321056099</v>
      </c>
      <c r="H14" s="1151">
        <v>12.770752</v>
      </c>
      <c r="I14" s="1151">
        <v>7.4968654899999994</v>
      </c>
      <c r="J14" s="1150">
        <v>19.170899700867896</v>
      </c>
      <c r="K14" s="1151">
        <v>9.9926557483901739</v>
      </c>
      <c r="L14" s="1151">
        <v>8.1902965607827536</v>
      </c>
      <c r="M14" s="1150">
        <v>19.912746482011254</v>
      </c>
      <c r="N14" s="1151">
        <v>11.749439483310566</v>
      </c>
      <c r="O14" s="1151">
        <v>7.4328742211361556</v>
      </c>
      <c r="P14" s="1150">
        <v>21.196063750796061</v>
      </c>
      <c r="Q14" s="1151">
        <v>11.711809347320669</v>
      </c>
      <c r="R14" s="1151">
        <v>8.2987671200514761</v>
      </c>
      <c r="S14" s="1150">
        <v>22.082929678943906</v>
      </c>
      <c r="T14" s="1195">
        <v>49.982467999999997</v>
      </c>
      <c r="U14" s="1155">
        <v>30.952292509999999</v>
      </c>
      <c r="V14" s="1150"/>
      <c r="W14" s="1151"/>
      <c r="X14" s="1151"/>
      <c r="Y14" s="1150">
        <v>38.935760451633513</v>
      </c>
      <c r="Z14" s="1151">
        <v>24.683254651006052</v>
      </c>
      <c r="AA14" s="1151">
        <v>9.952442429365929</v>
      </c>
      <c r="AB14" s="1150"/>
      <c r="AC14" s="1151"/>
      <c r="AD14" s="1151"/>
      <c r="AE14" s="1150"/>
      <c r="AF14" s="1151"/>
      <c r="AG14" s="1151"/>
      <c r="AH14" s="1150"/>
      <c r="AI14" s="1151"/>
      <c r="AJ14" s="1151"/>
      <c r="AK14" s="1150"/>
      <c r="AL14" s="1151"/>
      <c r="AM14" s="1151"/>
      <c r="AN14" s="1150">
        <v>216.1692106058066</v>
      </c>
      <c r="AO14" s="1151">
        <v>117.70954607975905</v>
      </c>
      <c r="AP14" s="1151">
        <v>67.394535524794833</v>
      </c>
      <c r="AQ14" s="1151">
        <f t="shared" si="8"/>
        <v>135.80452244466338</v>
      </c>
      <c r="AR14" s="1150">
        <v>23.571790425779252</v>
      </c>
      <c r="AS14" s="1151">
        <v>11.006236376972097</v>
      </c>
      <c r="AT14" s="1151">
        <v>9.2266877686557169</v>
      </c>
      <c r="AU14" s="1150">
        <v>22.357399267542707</v>
      </c>
      <c r="AV14" s="1151">
        <v>13.567805855656969</v>
      </c>
      <c r="AW14" s="1151">
        <v>7.7496750883526451</v>
      </c>
      <c r="AX14" s="1150"/>
      <c r="AY14" s="1151"/>
      <c r="AZ14" s="1151"/>
      <c r="BA14" s="1150">
        <v>20.114441741169635</v>
      </c>
      <c r="BB14" s="1151">
        <v>12.563481547453696</v>
      </c>
      <c r="BC14" s="1151">
        <v>7.7194176456420127</v>
      </c>
      <c r="BD14" s="1150">
        <v>23.089721201146116</v>
      </c>
      <c r="BE14" s="1151">
        <v>12.869966730856659</v>
      </c>
      <c r="BF14" s="1839">
        <v>9.2072572426465271</v>
      </c>
      <c r="BG14" s="1150">
        <v>29.402940067077651</v>
      </c>
      <c r="BH14" s="1195">
        <v>14.582893200588376</v>
      </c>
      <c r="BI14" s="1155">
        <v>9.0812598319048679</v>
      </c>
      <c r="BJ14" s="1150"/>
      <c r="BK14" s="1151"/>
      <c r="BL14" s="1151"/>
      <c r="BM14" s="1150"/>
      <c r="BN14" s="1151"/>
      <c r="BO14" s="1151"/>
      <c r="BP14" s="1150"/>
      <c r="BQ14" s="1151"/>
      <c r="BR14" s="1151"/>
      <c r="BS14" s="1150"/>
      <c r="BT14" s="1151"/>
      <c r="BU14" s="1151"/>
      <c r="BV14" s="1150"/>
      <c r="BW14" s="1151"/>
      <c r="BX14" s="1151"/>
      <c r="BY14" s="1150"/>
      <c r="BZ14" s="1151"/>
      <c r="CA14" s="1151"/>
      <c r="CB14" s="1150">
        <v>142.38919082564107</v>
      </c>
      <c r="CC14" s="1151">
        <v>78.418768344919869</v>
      </c>
      <c r="CD14" s="1151">
        <v>51.554973713199288</v>
      </c>
      <c r="CE14" s="1151">
        <f t="shared" si="0"/>
        <v>82.290865662903329</v>
      </c>
      <c r="CF14" s="1153">
        <f t="shared" si="1"/>
        <v>31.065129001252714</v>
      </c>
      <c r="CG14" s="1154">
        <f t="shared" si="9"/>
        <v>12.415448767521909</v>
      </c>
      <c r="CH14" s="1155">
        <f t="shared" si="2"/>
        <v>-18.649680233730805</v>
      </c>
      <c r="CI14" s="1154">
        <f t="shared" si="3"/>
        <v>14.370746376967277</v>
      </c>
      <c r="CJ14" s="1154">
        <f t="shared" si="10"/>
        <v>8.7193758848766265</v>
      </c>
      <c r="CK14" s="1154">
        <f t="shared" si="11"/>
        <v>-5.6513704920906509</v>
      </c>
      <c r="CL14" s="1156">
        <f t="shared" si="4"/>
        <v>18.094976364904326</v>
      </c>
      <c r="CM14" s="1157">
        <f t="shared" si="12"/>
        <v>3.8720973179834601</v>
      </c>
      <c r="CN14" s="1158">
        <f t="shared" si="13"/>
        <v>-14.222879046920866</v>
      </c>
      <c r="CO14" s="1156">
        <f t="shared" si="5"/>
        <v>13.324281135245355</v>
      </c>
      <c r="CP14" s="1157">
        <f t="shared" si="14"/>
        <v>4.7053792505296244</v>
      </c>
      <c r="CQ14" s="1158">
        <f t="shared" si="6"/>
        <v>-8.618901884715731</v>
      </c>
      <c r="CR14" s="1159">
        <f>CR13</f>
        <v>4.6564655547066005</v>
      </c>
      <c r="CS14" s="1818">
        <f t="shared" si="24"/>
        <v>4.40941285784002</v>
      </c>
      <c r="CT14" s="1156">
        <f t="shared" si="15"/>
        <v>84.258634156407055</v>
      </c>
      <c r="CU14" s="1157">
        <f t="shared" si="16"/>
        <v>17.073675700724127</v>
      </c>
      <c r="CV14" s="1158">
        <f t="shared" si="7"/>
        <v>-67.184958455682931</v>
      </c>
      <c r="CW14" s="83"/>
      <c r="CX14" s="1150"/>
      <c r="CY14" s="1151"/>
      <c r="CZ14" s="1151"/>
      <c r="DA14" s="1152">
        <f t="shared" si="17"/>
        <v>0</v>
      </c>
      <c r="DB14" s="1153">
        <f t="shared" si="18"/>
        <v>0</v>
      </c>
      <c r="DC14" s="1154" t="e">
        <f t="shared" si="19"/>
        <v>#DIV/0!</v>
      </c>
      <c r="DD14" s="1156">
        <f t="shared" si="20"/>
        <v>0</v>
      </c>
      <c r="DE14" s="1156" t="e">
        <f t="shared" si="21"/>
        <v>#DIV/0!</v>
      </c>
      <c r="DF14" s="1159">
        <v>4.6494238721706687</v>
      </c>
      <c r="DG14" s="1156">
        <f t="shared" si="22"/>
        <v>0</v>
      </c>
      <c r="DI14" s="1434"/>
      <c r="DJ14" s="1435"/>
      <c r="DK14" s="1828"/>
      <c r="DL14" s="1434"/>
      <c r="DM14" s="1435"/>
      <c r="DN14" s="1435"/>
    </row>
    <row r="15" spans="1:118" ht="12.75" customHeight="1">
      <c r="A15" s="1130">
        <v>1</v>
      </c>
      <c r="B15" s="3086"/>
      <c r="C15" s="1149" t="s">
        <v>412</v>
      </c>
      <c r="D15" s="1150">
        <v>12.4</v>
      </c>
      <c r="E15" s="1151">
        <v>5.6859859999999998</v>
      </c>
      <c r="F15" s="1151">
        <v>5.0340958230311053</v>
      </c>
      <c r="G15" s="1150">
        <v>13.718378213441701</v>
      </c>
      <c r="H15" s="1151">
        <v>6.6898080000000002</v>
      </c>
      <c r="I15" s="1151">
        <v>5.4738949466680902</v>
      </c>
      <c r="J15" s="1150">
        <v>10.269920022132194</v>
      </c>
      <c r="K15" s="1151">
        <v>5.3042990466032407</v>
      </c>
      <c r="L15" s="1151">
        <v>4.2995296152938787</v>
      </c>
      <c r="M15" s="1150">
        <v>6.2427565732749999</v>
      </c>
      <c r="N15" s="1151">
        <v>5.575025987163956</v>
      </c>
      <c r="O15" s="1151">
        <v>0.46648842374085386</v>
      </c>
      <c r="P15" s="1150">
        <v>6.6450836617326896</v>
      </c>
      <c r="Q15" s="1151">
        <v>5.5571707536149697</v>
      </c>
      <c r="R15" s="1151">
        <v>0.52083200625363091</v>
      </c>
      <c r="S15" s="1150">
        <v>11.571621786558296</v>
      </c>
      <c r="T15" s="1195">
        <v>23.74887</v>
      </c>
      <c r="U15" s="1155">
        <v>20.761793327465149</v>
      </c>
      <c r="V15" s="1150"/>
      <c r="W15" s="1151"/>
      <c r="X15" s="1151"/>
      <c r="Y15" s="1150">
        <v>22.001331505578214</v>
      </c>
      <c r="Z15" s="1151">
        <v>12.070039168273937</v>
      </c>
      <c r="AA15" s="1151">
        <v>6.7020375980717208</v>
      </c>
      <c r="AB15" s="1150"/>
      <c r="AC15" s="1151"/>
      <c r="AD15" s="1151"/>
      <c r="AE15" s="1150"/>
      <c r="AF15" s="1151"/>
      <c r="AG15" s="1151"/>
      <c r="AH15" s="1150"/>
      <c r="AI15" s="1151"/>
      <c r="AJ15" s="1151"/>
      <c r="AK15" s="1150"/>
      <c r="AL15" s="1151"/>
      <c r="AM15" s="1151"/>
      <c r="AN15" s="1150">
        <v>122.15018812193176</v>
      </c>
      <c r="AO15" s="1151">
        <v>57.559622981263914</v>
      </c>
      <c r="AP15" s="1151">
        <v>45.383905930368883</v>
      </c>
      <c r="AQ15" s="1151">
        <f t="shared" si="8"/>
        <v>69.437270904246972</v>
      </c>
      <c r="AR15" s="1150">
        <v>13.048669699984945</v>
      </c>
      <c r="AS15" s="1151">
        <v>5.622595169031384</v>
      </c>
      <c r="AT15" s="1151">
        <v>5.8188400393251918</v>
      </c>
      <c r="AU15" s="1150">
        <v>13.068223857884597</v>
      </c>
      <c r="AV15" s="1151">
        <v>7.1393487597737311</v>
      </c>
      <c r="AW15" s="1151">
        <v>5.2195340598210738</v>
      </c>
      <c r="AX15" s="1150"/>
      <c r="AY15" s="1151"/>
      <c r="AZ15" s="1151"/>
      <c r="BA15" s="1150">
        <v>11.757182680527118</v>
      </c>
      <c r="BB15" s="1151">
        <v>6.6108755799196652</v>
      </c>
      <c r="BC15" s="1151">
        <v>5.1991551728366909</v>
      </c>
      <c r="BD15" s="1150">
        <v>13.496276640314509</v>
      </c>
      <c r="BE15" s="1151">
        <v>6.7721473903579517</v>
      </c>
      <c r="BF15" s="1839">
        <v>6.2012396942622612</v>
      </c>
      <c r="BG15" s="1150">
        <v>17.186444553699072</v>
      </c>
      <c r="BH15" s="1195">
        <v>7.6734854252152136</v>
      </c>
      <c r="BI15" s="1155">
        <v>6.116378358874953</v>
      </c>
      <c r="BJ15" s="1150"/>
      <c r="BK15" s="1151"/>
      <c r="BL15" s="1151"/>
      <c r="BM15" s="1150"/>
      <c r="BN15" s="1151"/>
      <c r="BO15" s="1151"/>
      <c r="BP15" s="1150"/>
      <c r="BQ15" s="1151"/>
      <c r="BR15" s="1151"/>
      <c r="BS15" s="1150"/>
      <c r="BT15" s="1151"/>
      <c r="BU15" s="1151"/>
      <c r="BV15" s="1150"/>
      <c r="BW15" s="1151"/>
      <c r="BX15" s="1151"/>
      <c r="BY15" s="1150"/>
      <c r="BZ15" s="1151"/>
      <c r="CA15" s="1151"/>
      <c r="CB15" s="1150">
        <v>83.228545430769216</v>
      </c>
      <c r="CC15" s="1151">
        <v>41.263778571305181</v>
      </c>
      <c r="CD15" s="1151">
        <v>34.723125573826501</v>
      </c>
      <c r="CE15" s="1151">
        <f t="shared" si="0"/>
        <v>43.511707131096564</v>
      </c>
      <c r="CF15" s="1153">
        <f t="shared" si="1"/>
        <v>19.206659210298966</v>
      </c>
      <c r="CG15" s="1154">
        <f t="shared" si="9"/>
        <v>7.2416412856375345</v>
      </c>
      <c r="CH15" s="1155">
        <f t="shared" si="2"/>
        <v>-11.965017924661431</v>
      </c>
      <c r="CI15" s="1154">
        <f t="shared" si="3"/>
        <v>15.723806492321282</v>
      </c>
      <c r="CJ15" s="1154">
        <f t="shared" si="10"/>
        <v>8.7009105447616442</v>
      </c>
      <c r="CK15" s="1154">
        <f t="shared" si="11"/>
        <v>-7.022895947559638</v>
      </c>
      <c r="CL15" s="1156">
        <f t="shared" si="4"/>
        <v>11.877647922983058</v>
      </c>
      <c r="CM15" s="1157">
        <f t="shared" si="12"/>
        <v>2.247928559791383</v>
      </c>
      <c r="CN15" s="1158">
        <f t="shared" si="13"/>
        <v>-9.6297193631916755</v>
      </c>
      <c r="CO15" s="1156">
        <f t="shared" si="5"/>
        <v>17.105579998041929</v>
      </c>
      <c r="CP15" s="1157">
        <f t="shared" si="14"/>
        <v>5.1662614684792576</v>
      </c>
      <c r="CQ15" s="1158">
        <f t="shared" si="6"/>
        <v>-11.939318529562671</v>
      </c>
      <c r="CR15" s="1159">
        <f t="shared" si="23"/>
        <v>4.6564655547066005</v>
      </c>
      <c r="CS15" s="1818">
        <f t="shared" si="24"/>
        <v>4.40941285784002</v>
      </c>
      <c r="CT15" s="1156">
        <f t="shared" si="15"/>
        <v>55.307858424303006</v>
      </c>
      <c r="CU15" s="1157">
        <f t="shared" si="16"/>
        <v>9.9120450950499226</v>
      </c>
      <c r="CV15" s="1158">
        <f t="shared" si="7"/>
        <v>-45.395813329253087</v>
      </c>
      <c r="CW15" s="83"/>
      <c r="CX15" s="1150"/>
      <c r="CY15" s="1151"/>
      <c r="CZ15" s="1151"/>
      <c r="DA15" s="1152">
        <f t="shared" si="17"/>
        <v>0</v>
      </c>
      <c r="DB15" s="1153">
        <f t="shared" si="18"/>
        <v>0</v>
      </c>
      <c r="DC15" s="1154" t="e">
        <f t="shared" si="19"/>
        <v>#DIV/0!</v>
      </c>
      <c r="DD15" s="1156">
        <f t="shared" si="20"/>
        <v>0</v>
      </c>
      <c r="DE15" s="1156" t="e">
        <f t="shared" si="21"/>
        <v>#DIV/0!</v>
      </c>
      <c r="DF15" s="1159">
        <v>4.6494238721706687</v>
      </c>
      <c r="DG15" s="1156">
        <f t="shared" si="22"/>
        <v>0</v>
      </c>
      <c r="DI15" s="1434"/>
      <c r="DJ15" s="1435"/>
      <c r="DK15" s="1828"/>
      <c r="DL15" s="1434"/>
      <c r="DM15" s="1435"/>
      <c r="DN15" s="1435"/>
    </row>
    <row r="16" spans="1:118" ht="12.75" customHeight="1">
      <c r="A16" s="1130">
        <v>1</v>
      </c>
      <c r="B16" s="3086"/>
      <c r="C16" s="1149" t="s">
        <v>417</v>
      </c>
      <c r="D16" s="1150">
        <v>8.23</v>
      </c>
      <c r="E16" s="1151">
        <v>3.3924400000000001</v>
      </c>
      <c r="F16" s="1151">
        <v>3.721350702750529</v>
      </c>
      <c r="G16" s="1150">
        <v>7.8616736045666009</v>
      </c>
      <c r="H16" s="1151">
        <v>3.4879929999999999</v>
      </c>
      <c r="I16" s="1151">
        <v>3.7581549201927058</v>
      </c>
      <c r="J16" s="1150">
        <v>7.3597791636319361</v>
      </c>
      <c r="K16" s="1151">
        <v>3.3831725738837841</v>
      </c>
      <c r="L16" s="1151">
        <v>3.6845555120927664</v>
      </c>
      <c r="M16" s="1150">
        <v>4.3949728242644381</v>
      </c>
      <c r="N16" s="1151">
        <v>3.259320028765111</v>
      </c>
      <c r="O16" s="1151">
        <v>0.97819766406883135</v>
      </c>
      <c r="P16" s="1150">
        <v>4.6782157473998112</v>
      </c>
      <c r="Q16" s="1151">
        <v>3.248881347320669</v>
      </c>
      <c r="R16" s="1151">
        <v>1.0921528294400118</v>
      </c>
      <c r="S16" s="1150">
        <v>7.9093263954333999</v>
      </c>
      <c r="T16" s="1195">
        <v>12.893991</v>
      </c>
      <c r="U16" s="1155">
        <v>16.161788980982479</v>
      </c>
      <c r="V16" s="1150"/>
      <c r="W16" s="1151"/>
      <c r="X16" s="1151"/>
      <c r="Y16" s="1150">
        <v>14.010452572708484</v>
      </c>
      <c r="Z16" s="1151">
        <v>6.6055176808430565</v>
      </c>
      <c r="AA16" s="1151">
        <v>5.0674014099046607</v>
      </c>
      <c r="AB16" s="1150"/>
      <c r="AC16" s="1151"/>
      <c r="AD16" s="1151"/>
      <c r="AE16" s="1150"/>
      <c r="AF16" s="1151"/>
      <c r="AG16" s="1151"/>
      <c r="AH16" s="1150"/>
      <c r="AI16" s="1151"/>
      <c r="AJ16" s="1151"/>
      <c r="AK16" s="1150"/>
      <c r="AL16" s="1151"/>
      <c r="AM16" s="1151"/>
      <c r="AN16" s="1150">
        <v>77.785265723387752</v>
      </c>
      <c r="AO16" s="1151">
        <v>31.500403768761824</v>
      </c>
      <c r="AP16" s="1151">
        <v>34.314708852827103</v>
      </c>
      <c r="AQ16" s="1151">
        <f t="shared" si="8"/>
        <v>38.803440927157389</v>
      </c>
      <c r="AR16" s="1150">
        <v>8.6605283573287171</v>
      </c>
      <c r="AS16" s="1151">
        <v>3.354619015106409</v>
      </c>
      <c r="AT16" s="1151">
        <v>4.3014565536214908</v>
      </c>
      <c r="AU16" s="1150">
        <v>8.1020150085256297</v>
      </c>
      <c r="AV16" s="1151">
        <v>3.5006748266051488</v>
      </c>
      <c r="AW16" s="1151">
        <v>4.1472236565836571</v>
      </c>
      <c r="AX16" s="1150"/>
      <c r="AY16" s="1151"/>
      <c r="AZ16" s="1151"/>
      <c r="BA16" s="1150">
        <v>7.2891979485135563</v>
      </c>
      <c r="BB16" s="1151">
        <v>3.2415457632268616</v>
      </c>
      <c r="BC16" s="1151">
        <v>4.1310314445532645</v>
      </c>
      <c r="BD16" s="1150">
        <v>8.3673984382405937</v>
      </c>
      <c r="BE16" s="1151">
        <v>3.3206230272797579</v>
      </c>
      <c r="BF16" s="1839">
        <v>4.9272459314254702</v>
      </c>
      <c r="BG16" s="1150">
        <v>10.655222410599537</v>
      </c>
      <c r="BH16" s="1195">
        <v>3.7625808969757859</v>
      </c>
      <c r="BI16" s="1155">
        <v>4.8598186604058835</v>
      </c>
      <c r="BJ16" s="1150"/>
      <c r="BK16" s="1151"/>
      <c r="BL16" s="1151"/>
      <c r="BM16" s="1150"/>
      <c r="BN16" s="1151"/>
      <c r="BO16" s="1151"/>
      <c r="BP16" s="1150"/>
      <c r="BQ16" s="1151"/>
      <c r="BR16" s="1151"/>
      <c r="BS16" s="1150"/>
      <c r="BT16" s="1151"/>
      <c r="BU16" s="1151"/>
      <c r="BV16" s="1150"/>
      <c r="BW16" s="1151"/>
      <c r="BX16" s="1151"/>
      <c r="BY16" s="1150"/>
      <c r="BZ16" s="1151"/>
      <c r="CA16" s="1151"/>
      <c r="CB16" s="1150">
        <v>51.599890815384619</v>
      </c>
      <c r="CC16" s="1151">
        <v>20.23308788458111</v>
      </c>
      <c r="CD16" s="1151">
        <v>27.589544614492798</v>
      </c>
      <c r="CE16" s="1151">
        <f t="shared" si="0"/>
        <v>20.914352751968746</v>
      </c>
      <c r="CF16" s="1153">
        <f t="shared" si="1"/>
        <v>11.970153101798822</v>
      </c>
      <c r="CG16" s="1154">
        <f t="shared" si="9"/>
        <v>3.7772583163107107</v>
      </c>
      <c r="CH16" s="1155">
        <f t="shared" si="2"/>
        <v>-8.1928947854881109</v>
      </c>
      <c r="CI16" s="1154">
        <f t="shared" si="3"/>
        <v>15.388715318355912</v>
      </c>
      <c r="CJ16" s="1154">
        <f t="shared" si="10"/>
        <v>7.3202835444460144</v>
      </c>
      <c r="CK16" s="1154">
        <f t="shared" si="11"/>
        <v>-8.0684317739098965</v>
      </c>
      <c r="CL16" s="1156">
        <f t="shared" si="4"/>
        <v>7.3030371583955649</v>
      </c>
      <c r="CM16" s="1157">
        <f t="shared" si="12"/>
        <v>0.68126486738763603</v>
      </c>
      <c r="CN16" s="1158">
        <f t="shared" si="13"/>
        <v>-6.6217722910079289</v>
      </c>
      <c r="CO16" s="1156">
        <f t="shared" si="5"/>
        <v>18.820591638006988</v>
      </c>
      <c r="CP16" s="1157">
        <f t="shared" si="14"/>
        <v>3.257403542280342</v>
      </c>
      <c r="CQ16" s="1158">
        <f t="shared" si="6"/>
        <v>-15.563188095726646</v>
      </c>
      <c r="CR16" s="1159">
        <f t="shared" si="23"/>
        <v>4.6564655547066005</v>
      </c>
      <c r="CS16" s="1818">
        <f t="shared" si="24"/>
        <v>4.40941285784002</v>
      </c>
      <c r="CT16" s="1156">
        <f t="shared" si="15"/>
        <v>34.006340972811323</v>
      </c>
      <c r="CU16" s="1157">
        <f t="shared" si="16"/>
        <v>3.0039780658537185</v>
      </c>
      <c r="CV16" s="1158">
        <f t="shared" si="7"/>
        <v>-31.002362906957604</v>
      </c>
      <c r="CW16" s="83"/>
      <c r="CX16" s="1150"/>
      <c r="CY16" s="1151"/>
      <c r="CZ16" s="1151"/>
      <c r="DA16" s="1152">
        <f t="shared" si="17"/>
        <v>0</v>
      </c>
      <c r="DB16" s="1153">
        <f t="shared" si="18"/>
        <v>0</v>
      </c>
      <c r="DC16" s="1154" t="e">
        <f t="shared" si="19"/>
        <v>#DIV/0!</v>
      </c>
      <c r="DD16" s="1156">
        <f t="shared" si="20"/>
        <v>0</v>
      </c>
      <c r="DE16" s="1156" t="e">
        <f t="shared" si="21"/>
        <v>#DIV/0!</v>
      </c>
      <c r="DF16" s="1159">
        <v>4.6494238721706687</v>
      </c>
      <c r="DG16" s="1156">
        <f t="shared" si="22"/>
        <v>0</v>
      </c>
      <c r="DI16" s="1434"/>
      <c r="DJ16" s="1435"/>
      <c r="DK16" s="1828"/>
      <c r="DL16" s="1434"/>
      <c r="DM16" s="1435"/>
      <c r="DN16" s="1435"/>
    </row>
    <row r="17" spans="1:118" ht="12.75" customHeight="1">
      <c r="A17" s="1130"/>
      <c r="B17" s="3086"/>
      <c r="C17" s="1149" t="s">
        <v>1210</v>
      </c>
      <c r="D17" s="1154"/>
      <c r="E17" s="1154"/>
      <c r="F17" s="1154"/>
      <c r="G17" s="1154"/>
      <c r="H17" s="1154"/>
      <c r="I17" s="1154"/>
      <c r="J17" s="1154"/>
      <c r="K17" s="1154"/>
      <c r="L17" s="1154"/>
      <c r="M17" s="1154"/>
      <c r="N17" s="1154"/>
      <c r="O17" s="1154"/>
      <c r="P17" s="1150"/>
      <c r="Q17" s="1151"/>
      <c r="R17" s="1151"/>
      <c r="S17" s="1153"/>
      <c r="T17" s="1154"/>
      <c r="U17" s="1155"/>
      <c r="V17" s="1153"/>
      <c r="W17" s="1154"/>
      <c r="X17" s="1154"/>
      <c r="Y17" s="1154"/>
      <c r="Z17" s="1154"/>
      <c r="AA17" s="1154"/>
      <c r="AB17" s="1154"/>
      <c r="AC17" s="1154"/>
      <c r="AD17" s="1154"/>
      <c r="AE17" s="1154"/>
      <c r="AF17" s="1154"/>
      <c r="AG17" s="1154"/>
      <c r="AH17" s="1154"/>
      <c r="AI17" s="1154"/>
      <c r="AJ17" s="1154"/>
      <c r="AK17" s="1154"/>
      <c r="AL17" s="1154"/>
      <c r="AM17" s="1154"/>
      <c r="AN17" s="1150"/>
      <c r="AO17" s="1151"/>
      <c r="AP17" s="1151"/>
      <c r="AQ17" s="1151">
        <f t="shared" si="8"/>
        <v>0</v>
      </c>
      <c r="AR17" s="1154"/>
      <c r="AS17" s="1154"/>
      <c r="AT17" s="1154"/>
      <c r="AU17" s="1154"/>
      <c r="AV17" s="1154"/>
      <c r="AW17" s="1154"/>
      <c r="AX17" s="1154"/>
      <c r="AY17" s="1154"/>
      <c r="AZ17" s="1154"/>
      <c r="BA17" s="1154"/>
      <c r="BB17" s="1154"/>
      <c r="BC17" s="1154"/>
      <c r="BD17" s="1154"/>
      <c r="BE17" s="1154"/>
      <c r="BF17" s="1154"/>
      <c r="BG17" s="1153"/>
      <c r="BH17" s="1154"/>
      <c r="BI17" s="1155"/>
      <c r="BJ17" s="1150"/>
      <c r="BK17" s="1151"/>
      <c r="BL17" s="1151"/>
      <c r="BM17" s="1150"/>
      <c r="BN17" s="1151"/>
      <c r="BO17" s="1151"/>
      <c r="BP17" s="1150"/>
      <c r="BQ17" s="1151"/>
      <c r="BR17" s="1151"/>
      <c r="BS17" s="1150"/>
      <c r="BT17" s="1151"/>
      <c r="BU17" s="1151"/>
      <c r="BV17" s="1150"/>
      <c r="BW17" s="1151"/>
      <c r="BX17" s="1151"/>
      <c r="BY17" s="1150"/>
      <c r="BZ17" s="1151"/>
      <c r="CA17" s="1151"/>
      <c r="CB17" s="1150"/>
      <c r="CC17" s="1151"/>
      <c r="CD17" s="1151"/>
      <c r="CE17" s="1151">
        <f t="shared" si="0"/>
        <v>0</v>
      </c>
      <c r="CF17" s="1153">
        <f t="shared" ref="CF17:CF18" si="25">AN17-AO17-AP17</f>
        <v>0</v>
      </c>
      <c r="CG17" s="1154">
        <f t="shared" ref="CG17:CG18" si="26">CB17-CC17-CD17</f>
        <v>0</v>
      </c>
      <c r="CH17" s="1155">
        <f t="shared" ref="CH17:CH18" si="27">CG17-CF17</f>
        <v>0</v>
      </c>
      <c r="CI17" s="1154" t="e">
        <f t="shared" ref="CI17:CI18" si="28">(AN17-AO17-AP17)/AN17*100</f>
        <v>#DIV/0!</v>
      </c>
      <c r="CJ17" s="1154" t="e">
        <f t="shared" ref="CJ17:CJ18" si="29">(CB17-CC17-CD17)/CB17*100</f>
        <v>#DIV/0!</v>
      </c>
      <c r="CK17" s="1154" t="e">
        <f t="shared" ref="CK17:CK18" si="30">CJ17-CI17</f>
        <v>#DIV/0!</v>
      </c>
      <c r="CL17" s="1156">
        <f t="shared" ref="CL17:CL18" si="31">AQ17-AO17</f>
        <v>0</v>
      </c>
      <c r="CM17" s="1157">
        <f t="shared" ref="CM17:CM18" si="32">CE17-CC17</f>
        <v>0</v>
      </c>
      <c r="CN17" s="1158">
        <f t="shared" ref="CN17:CN18" si="33">CM17-CL17</f>
        <v>0</v>
      </c>
      <c r="CO17" s="1156" t="e">
        <f t="shared" ref="CO17:CO18" si="34">(CL17/AQ17)*100</f>
        <v>#DIV/0!</v>
      </c>
      <c r="CP17" s="1157" t="e">
        <f t="shared" ref="CP17:CP18" si="35">(CM17/CE17)*100</f>
        <v>#DIV/0!</v>
      </c>
      <c r="CQ17" s="1158" t="e">
        <f t="shared" ref="CQ17:CQ18" si="36">CP17-CO17</f>
        <v>#DIV/0!</v>
      </c>
      <c r="CR17" s="1159">
        <f t="shared" si="23"/>
        <v>4.6564655547066005</v>
      </c>
      <c r="CS17" s="1818">
        <f t="shared" si="24"/>
        <v>4.40941285784002</v>
      </c>
      <c r="CT17" s="1156">
        <f t="shared" ref="CT17:CT18" si="37">CL17*CR17</f>
        <v>0</v>
      </c>
      <c r="CU17" s="1157">
        <f t="shared" ref="CU17:CU18" si="38">CS17*CM17</f>
        <v>0</v>
      </c>
      <c r="CV17" s="1158">
        <f t="shared" ref="CV17:CV18" si="39">CU17-CT17</f>
        <v>0</v>
      </c>
      <c r="CW17" s="83"/>
      <c r="CX17" s="1150"/>
      <c r="CY17" s="1195"/>
      <c r="CZ17" s="1195"/>
      <c r="DA17" s="1154"/>
      <c r="DB17" s="1153"/>
      <c r="DC17" s="1154"/>
      <c r="DD17" s="1156"/>
      <c r="DE17" s="1156"/>
      <c r="DF17" s="1159"/>
      <c r="DG17" s="1156"/>
      <c r="DI17" s="1434"/>
      <c r="DJ17" s="1435"/>
      <c r="DK17" s="1828"/>
      <c r="DL17" s="1434"/>
      <c r="DM17" s="1435"/>
      <c r="DN17" s="1435"/>
    </row>
    <row r="18" spans="1:118" ht="12.75" customHeight="1">
      <c r="A18" s="1130"/>
      <c r="B18" s="3086"/>
      <c r="C18" s="1149" t="s">
        <v>1211</v>
      </c>
      <c r="D18" s="1154"/>
      <c r="E18" s="1154"/>
      <c r="F18" s="1154"/>
      <c r="G18" s="1154"/>
      <c r="H18" s="1154"/>
      <c r="I18" s="1154"/>
      <c r="J18" s="1154"/>
      <c r="K18" s="1154"/>
      <c r="L18" s="1154"/>
      <c r="M18" s="1154"/>
      <c r="N18" s="1154"/>
      <c r="O18" s="1154"/>
      <c r="P18" s="1150"/>
      <c r="Q18" s="1151"/>
      <c r="R18" s="1151"/>
      <c r="S18" s="1153"/>
      <c r="T18" s="1154"/>
      <c r="U18" s="1155"/>
      <c r="V18" s="1153"/>
      <c r="W18" s="1154"/>
      <c r="X18" s="1154"/>
      <c r="Y18" s="1154"/>
      <c r="Z18" s="1154"/>
      <c r="AA18" s="1154"/>
      <c r="AB18" s="1154"/>
      <c r="AC18" s="1154"/>
      <c r="AD18" s="1154"/>
      <c r="AE18" s="1154"/>
      <c r="AF18" s="1154"/>
      <c r="AG18" s="1154"/>
      <c r="AH18" s="1154"/>
      <c r="AI18" s="1154"/>
      <c r="AJ18" s="1154"/>
      <c r="AK18" s="1154"/>
      <c r="AL18" s="1154"/>
      <c r="AM18" s="1154"/>
      <c r="AN18" s="1150"/>
      <c r="AO18" s="1151"/>
      <c r="AP18" s="1151"/>
      <c r="AQ18" s="1151">
        <f t="shared" si="8"/>
        <v>0</v>
      </c>
      <c r="AR18" s="1154"/>
      <c r="AS18" s="1154"/>
      <c r="AT18" s="1154"/>
      <c r="AU18" s="1154"/>
      <c r="AV18" s="1154"/>
      <c r="AW18" s="1154"/>
      <c r="AX18" s="1154"/>
      <c r="AY18" s="1154"/>
      <c r="AZ18" s="1154"/>
      <c r="BA18" s="1154"/>
      <c r="BB18" s="1154"/>
      <c r="BC18" s="1154"/>
      <c r="BD18" s="1154"/>
      <c r="BE18" s="1154"/>
      <c r="BF18" s="1154"/>
      <c r="BG18" s="1153"/>
      <c r="BH18" s="1154"/>
      <c r="BI18" s="1155"/>
      <c r="BJ18" s="1150"/>
      <c r="BK18" s="1151"/>
      <c r="BL18" s="1151"/>
      <c r="BM18" s="1150"/>
      <c r="BN18" s="1151"/>
      <c r="BO18" s="1151"/>
      <c r="BP18" s="1150"/>
      <c r="BQ18" s="1151"/>
      <c r="BR18" s="1151"/>
      <c r="BS18" s="1150"/>
      <c r="BT18" s="1151"/>
      <c r="BU18" s="1151"/>
      <c r="BV18" s="1150"/>
      <c r="BW18" s="1151"/>
      <c r="BX18" s="1151"/>
      <c r="BY18" s="1150"/>
      <c r="BZ18" s="1151"/>
      <c r="CA18" s="1151"/>
      <c r="CB18" s="1150"/>
      <c r="CC18" s="1151"/>
      <c r="CD18" s="1151"/>
      <c r="CE18" s="1151">
        <f t="shared" si="0"/>
        <v>0</v>
      </c>
      <c r="CF18" s="1153">
        <f t="shared" si="25"/>
        <v>0</v>
      </c>
      <c r="CG18" s="1154">
        <f t="shared" si="26"/>
        <v>0</v>
      </c>
      <c r="CH18" s="1155">
        <f t="shared" si="27"/>
        <v>0</v>
      </c>
      <c r="CI18" s="1154" t="e">
        <f t="shared" si="28"/>
        <v>#DIV/0!</v>
      </c>
      <c r="CJ18" s="1154" t="e">
        <f t="shared" si="29"/>
        <v>#DIV/0!</v>
      </c>
      <c r="CK18" s="1154" t="e">
        <f t="shared" si="30"/>
        <v>#DIV/0!</v>
      </c>
      <c r="CL18" s="1156">
        <f t="shared" si="31"/>
        <v>0</v>
      </c>
      <c r="CM18" s="1157">
        <f t="shared" si="32"/>
        <v>0</v>
      </c>
      <c r="CN18" s="1158">
        <f t="shared" si="33"/>
        <v>0</v>
      </c>
      <c r="CO18" s="1156" t="e">
        <f t="shared" si="34"/>
        <v>#DIV/0!</v>
      </c>
      <c r="CP18" s="1157" t="e">
        <f t="shared" si="35"/>
        <v>#DIV/0!</v>
      </c>
      <c r="CQ18" s="1158" t="e">
        <f t="shared" si="36"/>
        <v>#DIV/0!</v>
      </c>
      <c r="CR18" s="1159">
        <f t="shared" si="23"/>
        <v>4.6564655547066005</v>
      </c>
      <c r="CS18" s="1818">
        <f t="shared" si="24"/>
        <v>4.40941285784002</v>
      </c>
      <c r="CT18" s="1156">
        <f t="shared" si="37"/>
        <v>0</v>
      </c>
      <c r="CU18" s="1157">
        <f t="shared" si="38"/>
        <v>0</v>
      </c>
      <c r="CV18" s="1158">
        <f t="shared" si="39"/>
        <v>0</v>
      </c>
      <c r="CW18" s="83"/>
      <c r="CX18" s="1150"/>
      <c r="CY18" s="1195"/>
      <c r="CZ18" s="1195"/>
      <c r="DA18" s="1154"/>
      <c r="DB18" s="1153"/>
      <c r="DC18" s="1154"/>
      <c r="DD18" s="1156"/>
      <c r="DE18" s="1156"/>
      <c r="DF18" s="1159"/>
      <c r="DG18" s="1156"/>
      <c r="DI18" s="1434"/>
      <c r="DJ18" s="1435"/>
      <c r="DK18" s="1828"/>
      <c r="DL18" s="1434"/>
      <c r="DM18" s="1435"/>
      <c r="DN18" s="1435"/>
    </row>
    <row r="19" spans="1:118" ht="15.6">
      <c r="A19" s="1160">
        <f>SUM(A6:A16)</f>
        <v>11</v>
      </c>
      <c r="B19" s="3087"/>
      <c r="C19" s="1161" t="s">
        <v>311</v>
      </c>
      <c r="D19" s="1166">
        <f>SUM(D6:D16)</f>
        <v>199.23</v>
      </c>
      <c r="E19" s="1166">
        <f>SUM(E6:E16)</f>
        <v>95.122275999999999</v>
      </c>
      <c r="F19" s="1166">
        <f>SUM(F6:F16)</f>
        <v>68.59905243</v>
      </c>
      <c r="G19" s="1166">
        <v>184.26169285999998</v>
      </c>
      <c r="H19" s="1166">
        <v>100.354967</v>
      </c>
      <c r="I19" s="1166">
        <v>67.072255870000006</v>
      </c>
      <c r="J19" s="1166">
        <f t="shared" ref="J19:O19" si="40">SUM(J6:J16)</f>
        <v>169.64337636999988</v>
      </c>
      <c r="K19" s="1166">
        <f t="shared" si="40"/>
        <v>91.397131000000016</v>
      </c>
      <c r="L19" s="1166">
        <f t="shared" si="40"/>
        <v>64.359988000000001</v>
      </c>
      <c r="M19" s="1166">
        <f t="shared" si="40"/>
        <v>164.49562044000007</v>
      </c>
      <c r="N19" s="1166">
        <f t="shared" si="40"/>
        <v>93.391313999999994</v>
      </c>
      <c r="O19" s="1166">
        <f t="shared" si="40"/>
        <v>64.73002888000002</v>
      </c>
      <c r="P19" s="1162">
        <f t="shared" ref="P19:AM19" si="41">SUM(P6:P16)</f>
        <v>175.0968737900001</v>
      </c>
      <c r="Q19" s="1163">
        <f t="shared" si="41"/>
        <v>93.092207999999999</v>
      </c>
      <c r="R19" s="1163">
        <f t="shared" si="41"/>
        <v>72.270755479999991</v>
      </c>
      <c r="S19" s="1165">
        <f>SUM(S6:S16)</f>
        <v>181.11430713999999</v>
      </c>
      <c r="T19" s="1166">
        <f>SUM(T6:T16)</f>
        <v>386.28344700000002</v>
      </c>
      <c r="U19" s="1167">
        <f>SUM(U6:U16)</f>
        <v>275.57689453</v>
      </c>
      <c r="V19" s="1166">
        <f>SUM(V6:V18)</f>
        <v>0</v>
      </c>
      <c r="W19" s="1166">
        <f t="shared" ref="W19:X19" si="42">SUM(W6:W18)</f>
        <v>0</v>
      </c>
      <c r="X19" s="1166">
        <f t="shared" si="42"/>
        <v>0</v>
      </c>
      <c r="Y19" s="1166">
        <f>SUM(Y6:Y18)</f>
        <v>329.58566664999984</v>
      </c>
      <c r="Z19" s="1166">
        <f t="shared" ref="Z19:AA19" si="43">SUM(Z6:Z18)</f>
        <v>194.35993599999998</v>
      </c>
      <c r="AA19" s="1166">
        <f t="shared" si="43"/>
        <v>88.154376900000003</v>
      </c>
      <c r="AB19" s="1166">
        <f t="shared" si="41"/>
        <v>0</v>
      </c>
      <c r="AC19" s="1166">
        <f t="shared" si="41"/>
        <v>0</v>
      </c>
      <c r="AD19" s="1166">
        <f t="shared" si="41"/>
        <v>0</v>
      </c>
      <c r="AE19" s="1166">
        <f t="shared" si="41"/>
        <v>0</v>
      </c>
      <c r="AF19" s="1166">
        <f t="shared" si="41"/>
        <v>0</v>
      </c>
      <c r="AG19" s="1166">
        <f t="shared" si="41"/>
        <v>0</v>
      </c>
      <c r="AH19" s="1166">
        <f>SUM(AH6:AH16)</f>
        <v>0</v>
      </c>
      <c r="AI19" s="1166">
        <f>SUM(AI6:AI16)</f>
        <v>0</v>
      </c>
      <c r="AJ19" s="1166">
        <f>SUM(AJ6:AJ16)</f>
        <v>0</v>
      </c>
      <c r="AK19" s="1166">
        <f t="shared" si="41"/>
        <v>0</v>
      </c>
      <c r="AL19" s="1166">
        <f t="shared" si="41"/>
        <v>0</v>
      </c>
      <c r="AM19" s="1166">
        <f t="shared" si="41"/>
        <v>0</v>
      </c>
      <c r="AN19" s="1162">
        <f t="shared" ref="AN19:CE19" si="44">SUM(AN6:AN18)</f>
        <v>1829.8415790600002</v>
      </c>
      <c r="AO19" s="1163">
        <f t="shared" si="44"/>
        <v>926.86398799999984</v>
      </c>
      <c r="AP19" s="1163">
        <f t="shared" si="44"/>
        <v>596.95128384999998</v>
      </c>
      <c r="AQ19" s="1166">
        <f t="shared" si="44"/>
        <v>1123.0998004664004</v>
      </c>
      <c r="AR19" s="1166">
        <f t="shared" si="44"/>
        <v>209.65213422000002</v>
      </c>
      <c r="AS19" s="1166">
        <f t="shared" si="44"/>
        <v>94.061794999999989</v>
      </c>
      <c r="AT19" s="1166">
        <f t="shared" si="44"/>
        <v>79.292672800000005</v>
      </c>
      <c r="AU19" s="1166">
        <f t="shared" si="44"/>
        <v>188.14836954999973</v>
      </c>
      <c r="AV19" s="1166">
        <f t="shared" si="44"/>
        <v>106.78228900000001</v>
      </c>
      <c r="AW19" s="1166">
        <f t="shared" si="44"/>
        <v>67.895132529999984</v>
      </c>
      <c r="AX19" s="1166">
        <f t="shared" si="44"/>
        <v>0</v>
      </c>
      <c r="AY19" s="1166">
        <f t="shared" si="44"/>
        <v>0</v>
      </c>
      <c r="AZ19" s="1166">
        <f t="shared" si="44"/>
        <v>0</v>
      </c>
      <c r="BA19" s="1166">
        <f t="shared" si="44"/>
        <v>169.27279298999954</v>
      </c>
      <c r="BB19" s="1166">
        <f t="shared" si="44"/>
        <v>98.877985999999993</v>
      </c>
      <c r="BC19" s="1166">
        <f t="shared" si="44"/>
        <v>67.630046179999994</v>
      </c>
      <c r="BD19" s="1166">
        <f t="shared" si="44"/>
        <v>194.31121417000051</v>
      </c>
      <c r="BE19" s="1166">
        <f t="shared" si="44"/>
        <v>101.29010700000001</v>
      </c>
      <c r="BF19" s="1166">
        <f t="shared" si="44"/>
        <v>80.665052870000025</v>
      </c>
      <c r="BG19" s="1165">
        <f t="shared" si="44"/>
        <v>247.44001604999974</v>
      </c>
      <c r="BH19" s="1166">
        <f t="shared" si="44"/>
        <v>114.77130000000001</v>
      </c>
      <c r="BI19" s="1167">
        <f t="shared" si="44"/>
        <v>79.561185829999985</v>
      </c>
      <c r="BJ19" s="1166">
        <f t="shared" si="44"/>
        <v>0</v>
      </c>
      <c r="BK19" s="1166">
        <f t="shared" si="44"/>
        <v>0</v>
      </c>
      <c r="BL19" s="1166">
        <f t="shared" si="44"/>
        <v>0</v>
      </c>
      <c r="BM19" s="1166">
        <f t="shared" si="44"/>
        <v>0</v>
      </c>
      <c r="BN19" s="1166">
        <f t="shared" si="44"/>
        <v>0</v>
      </c>
      <c r="BO19" s="1166">
        <f t="shared" si="44"/>
        <v>0</v>
      </c>
      <c r="BP19" s="1166">
        <f t="shared" si="44"/>
        <v>0</v>
      </c>
      <c r="BQ19" s="1166">
        <f t="shared" si="44"/>
        <v>0</v>
      </c>
      <c r="BR19" s="1166">
        <f t="shared" si="44"/>
        <v>0</v>
      </c>
      <c r="BS19" s="1166">
        <f t="shared" si="44"/>
        <v>0</v>
      </c>
      <c r="BT19" s="1166">
        <f t="shared" si="44"/>
        <v>0</v>
      </c>
      <c r="BU19" s="1166">
        <f t="shared" si="44"/>
        <v>0</v>
      </c>
      <c r="BV19" s="1166">
        <f t="shared" si="44"/>
        <v>0</v>
      </c>
      <c r="BW19" s="1166">
        <f t="shared" si="44"/>
        <v>0</v>
      </c>
      <c r="BX19" s="1166">
        <f t="shared" si="44"/>
        <v>0</v>
      </c>
      <c r="BY19" s="1166">
        <f t="shared" si="44"/>
        <v>0</v>
      </c>
      <c r="BZ19" s="1166">
        <f t="shared" si="44"/>
        <v>0</v>
      </c>
      <c r="CA19" s="1166">
        <f t="shared" si="44"/>
        <v>0</v>
      </c>
      <c r="CB19" s="1162">
        <f t="shared" si="44"/>
        <v>1198.2741719999999</v>
      </c>
      <c r="CC19" s="1163">
        <f t="shared" si="44"/>
        <v>617.17684300000008</v>
      </c>
      <c r="CD19" s="1163">
        <f t="shared" si="44"/>
        <v>451.6746486699999</v>
      </c>
      <c r="CE19" s="1163">
        <f t="shared" si="44"/>
        <v>674.70307301000025</v>
      </c>
      <c r="CF19" s="1165">
        <f t="shared" si="1"/>
        <v>306.02630721000037</v>
      </c>
      <c r="CG19" s="1166">
        <f>CB19-CC19-CD19</f>
        <v>129.42268032999993</v>
      </c>
      <c r="CH19" s="1167">
        <f t="shared" si="2"/>
        <v>-176.60362688000043</v>
      </c>
      <c r="CI19" s="1166">
        <f t="shared" si="3"/>
        <v>16.724196821847702</v>
      </c>
      <c r="CJ19" s="1166">
        <f>(CB19-CC19-CD19)/CB19*100</f>
        <v>10.800756901401355</v>
      </c>
      <c r="CK19" s="1166">
        <f t="shared" si="11"/>
        <v>-5.9234399204463468</v>
      </c>
      <c r="CL19" s="1162">
        <f>SUM(CL6:CL16)</f>
        <v>196.23581246640049</v>
      </c>
      <c r="CM19" s="1163">
        <f>SUM(CM6:CM16)</f>
        <v>57.526230010000091</v>
      </c>
      <c r="CN19" s="1164">
        <f t="shared" si="13"/>
        <v>-138.7095824564004</v>
      </c>
      <c r="CO19" s="1162">
        <f t="shared" si="5"/>
        <v>17.472695871275889</v>
      </c>
      <c r="CP19" s="1163">
        <f t="shared" si="14"/>
        <v>8.5261550319257928</v>
      </c>
      <c r="CQ19" s="1164">
        <f>CP19-CO19</f>
        <v>-8.9465408393500958</v>
      </c>
      <c r="CR19" s="1168">
        <f>CR16</f>
        <v>4.6564655547066005</v>
      </c>
      <c r="CS19" s="1168">
        <f>CS16</f>
        <v>4.40941285784002</v>
      </c>
      <c r="CT19" s="1169">
        <f>SUM(CT6:CT16)</f>
        <v>913.76530134965822</v>
      </c>
      <c r="CU19" s="1170">
        <f>SUM(CU6:CU16)</f>
        <v>253.65689826915681</v>
      </c>
      <c r="CV19" s="1171">
        <f>CU19-CT19</f>
        <v>-660.10840308050138</v>
      </c>
      <c r="CW19" s="83"/>
      <c r="CX19" s="1162">
        <f>SUM(CX6:CX16)</f>
        <v>0</v>
      </c>
      <c r="CY19" s="1162">
        <f>SUM(CY6:CY16)</f>
        <v>0</v>
      </c>
      <c r="CZ19" s="1162">
        <f>SUM(CZ6:CZ16)</f>
        <v>0</v>
      </c>
      <c r="DA19" s="1162">
        <f>SUM(DA6:DA16)</f>
        <v>0</v>
      </c>
      <c r="DB19" s="1165">
        <f t="shared" si="18"/>
        <v>0</v>
      </c>
      <c r="DC19" s="1166" t="e">
        <f t="shared" si="19"/>
        <v>#DIV/0!</v>
      </c>
      <c r="DD19" s="1162">
        <f t="shared" si="20"/>
        <v>0</v>
      </c>
      <c r="DE19" s="1162" t="e">
        <f t="shared" si="21"/>
        <v>#DIV/0!</v>
      </c>
      <c r="DF19" s="1168">
        <v>4.6494238721706687</v>
      </c>
      <c r="DG19" s="1169">
        <f t="shared" si="22"/>
        <v>0</v>
      </c>
      <c r="DI19" s="1432">
        <f>AN19-ventes_achats_élec!G19</f>
        <v>0</v>
      </c>
      <c r="DJ19" s="1433">
        <f>AO19-ventes_achats_élec!D19</f>
        <v>0</v>
      </c>
      <c r="DK19" s="1827">
        <f>AP19-ventes_achats_élec!E19</f>
        <v>0</v>
      </c>
      <c r="DL19" s="1432">
        <f>CB19-ventes_achats_élec!M19</f>
        <v>-757.63870943000029</v>
      </c>
      <c r="DM19" s="1433">
        <f>CC19-ventes_achats_élec!J19</f>
        <v>-363.34756700000003</v>
      </c>
      <c r="DN19" s="1433">
        <f>CD19-ventes_achats_élec!K19</f>
        <v>-189.67087044000004</v>
      </c>
    </row>
    <row r="20" spans="1:118" ht="12.75" customHeight="1">
      <c r="A20" s="1130">
        <v>1</v>
      </c>
      <c r="B20" s="3085" t="s">
        <v>114</v>
      </c>
      <c r="C20" s="1172" t="s">
        <v>7</v>
      </c>
      <c r="D20" s="1150">
        <v>9.6199877489651229</v>
      </c>
      <c r="E20" s="1151">
        <v>6.0395050000000001</v>
      </c>
      <c r="F20" s="1151">
        <v>3.0261215099999994</v>
      </c>
      <c r="G20" s="1150">
        <v>8.5025768083096924</v>
      </c>
      <c r="H20" s="1151">
        <v>4.5622590000000001</v>
      </c>
      <c r="I20" s="1151">
        <v>2.9322290300000011</v>
      </c>
      <c r="J20" s="1150">
        <v>8.4189944584932999</v>
      </c>
      <c r="K20" s="1151">
        <v>4.815372</v>
      </c>
      <c r="L20" s="1151">
        <v>2.7232861699999988</v>
      </c>
      <c r="M20" s="1150">
        <v>7.9333296013834307</v>
      </c>
      <c r="N20" s="1151">
        <v>6.021109</v>
      </c>
      <c r="O20" s="1151">
        <v>2.3712629999999999</v>
      </c>
      <c r="P20" s="1150">
        <v>8.3181435210077215</v>
      </c>
      <c r="Q20" s="1151">
        <v>4.5728059999999999</v>
      </c>
      <c r="R20" s="1151">
        <v>2.3082029799999995</v>
      </c>
      <c r="S20" s="1150">
        <v>11.103044760036036</v>
      </c>
      <c r="T20" s="1195">
        <v>4.7725759999999999</v>
      </c>
      <c r="U20" s="1155">
        <v>2.6621860600000002</v>
      </c>
      <c r="V20" s="1150">
        <v>20.022825780436605</v>
      </c>
      <c r="W20" s="1151">
        <v>11.740413</v>
      </c>
      <c r="X20" s="1151">
        <v>3.6662953000000016</v>
      </c>
      <c r="Y20" s="1150">
        <v>15.62442489607538</v>
      </c>
      <c r="Z20" s="1151">
        <v>12.121536000000001</v>
      </c>
      <c r="AA20" s="1151">
        <v>3.2132543800000004</v>
      </c>
      <c r="AB20" s="1150"/>
      <c r="AC20" s="1151"/>
      <c r="AD20" s="1151"/>
      <c r="AE20" s="1150"/>
      <c r="AF20" s="1151"/>
      <c r="AG20" s="1151"/>
      <c r="AH20" s="1150"/>
      <c r="AI20" s="1151"/>
      <c r="AJ20" s="1151"/>
      <c r="AK20" s="1150"/>
      <c r="AL20" s="1151"/>
      <c r="AM20" s="1151"/>
      <c r="AN20" s="1150">
        <v>89.301383492755917</v>
      </c>
      <c r="AO20" s="1151">
        <v>54.762757000000001</v>
      </c>
      <c r="AP20" s="1151">
        <v>23.118471900000003</v>
      </c>
      <c r="AQ20" s="1151">
        <f t="shared" ref="AQ20:AQ28" si="45">AN20-(AN20*0.06)-AP20</f>
        <v>60.824828583190566</v>
      </c>
      <c r="AR20" s="1150">
        <v>10.049016876230658</v>
      </c>
      <c r="AS20" s="1151">
        <v>6.1986230000000004</v>
      </c>
      <c r="AT20" s="1151">
        <v>3.1333952300000001</v>
      </c>
      <c r="AU20" s="1150">
        <v>9.1381273914303698</v>
      </c>
      <c r="AV20" s="1151">
        <v>5.3298420000000002</v>
      </c>
      <c r="AW20" s="1151">
        <v>2.9566205799999983</v>
      </c>
      <c r="AX20" s="1150"/>
      <c r="AY20" s="1151"/>
      <c r="AZ20" s="1151"/>
      <c r="BA20" s="1150">
        <v>8.6498210691230248</v>
      </c>
      <c r="BB20" s="1151">
        <v>6.1063417846208576</v>
      </c>
      <c r="BC20" s="1151">
        <v>2.7713367243973823</v>
      </c>
      <c r="BD20" s="1150">
        <v>9.1491058006668347</v>
      </c>
      <c r="BE20" s="1151">
        <v>5.5408369999999998</v>
      </c>
      <c r="BF20" s="1839">
        <v>2.5251759299999978</v>
      </c>
      <c r="BG20" s="1150">
        <v>12.245100302555096</v>
      </c>
      <c r="BH20" s="1195">
        <v>5.658423</v>
      </c>
      <c r="BI20" s="1155">
        <v>2.8672010200000004</v>
      </c>
      <c r="BJ20" s="1150">
        <v>19.013237800792947</v>
      </c>
      <c r="BK20" s="1151">
        <v>11.385916</v>
      </c>
      <c r="BL20" s="1151">
        <v>3.2743895299999992</v>
      </c>
      <c r="BM20" s="1150"/>
      <c r="BN20" s="1151"/>
      <c r="BO20" s="1151"/>
      <c r="BP20" s="1150"/>
      <c r="BQ20" s="1151"/>
      <c r="BR20" s="1151"/>
      <c r="BS20" s="1150"/>
      <c r="BT20" s="1151"/>
      <c r="BU20" s="1151"/>
      <c r="BV20" s="1150"/>
      <c r="BW20" s="1151"/>
      <c r="BX20" s="1151"/>
      <c r="BY20" s="1150"/>
      <c r="BZ20" s="1151"/>
      <c r="CA20" s="1151"/>
      <c r="CB20" s="1150">
        <v>76.551018801370574</v>
      </c>
      <c r="CC20" s="1151">
        <v>45.926366999999999</v>
      </c>
      <c r="CD20" s="1151">
        <v>19.886206769999998</v>
      </c>
      <c r="CE20" s="1151">
        <f t="shared" ref="CE20:CE37" si="46">CB20-(CB20*0.06)-CD20</f>
        <v>52.071750903288333</v>
      </c>
      <c r="CF20" s="1153">
        <f t="shared" si="1"/>
        <v>11.420154592755914</v>
      </c>
      <c r="CG20" s="1154">
        <f t="shared" ref="CG20:CG85" si="47">CB20-CC20-CD20</f>
        <v>10.738445031370578</v>
      </c>
      <c r="CH20" s="1155">
        <f t="shared" si="2"/>
        <v>-0.68170956138533612</v>
      </c>
      <c r="CI20" s="1154">
        <f t="shared" si="3"/>
        <v>12.788328854594186</v>
      </c>
      <c r="CJ20" s="1154">
        <f t="shared" ref="CJ20:CJ28" si="48">(CB20-CC20-CD20)/CB20*100</f>
        <v>14.027827714787142</v>
      </c>
      <c r="CK20" s="1154">
        <f t="shared" si="11"/>
        <v>1.2394988601929562</v>
      </c>
      <c r="CL20" s="1150">
        <f t="shared" ref="CL20:CL28" si="49">AQ20-AO20</f>
        <v>6.0620715831905656</v>
      </c>
      <c r="CM20" s="1157">
        <f t="shared" ref="CM20:CM28" si="50">CE20-CC20</f>
        <v>6.1453839032883337</v>
      </c>
      <c r="CN20" s="1152">
        <f t="shared" si="13"/>
        <v>8.3312320097768122E-2</v>
      </c>
      <c r="CO20" s="1150">
        <f t="shared" si="5"/>
        <v>9.9664425274942214</v>
      </c>
      <c r="CP20" s="1151">
        <f t="shared" si="14"/>
        <v>11.801761601414199</v>
      </c>
      <c r="CQ20" s="1152">
        <f t="shared" si="6"/>
        <v>1.8353190739199778</v>
      </c>
      <c r="CR20" s="1173">
        <f>élec!AZ291/100</f>
        <v>4.5798830812367415</v>
      </c>
      <c r="CS20" s="1153">
        <f>élec!AZ306/100</f>
        <v>4.5084442930307222</v>
      </c>
      <c r="CT20" s="1150">
        <f t="shared" ref="CT20:CT28" si="51">CL20*CR20</f>
        <v>27.763579081100499</v>
      </c>
      <c r="CU20" s="1151">
        <f t="shared" ref="CU20:CU28" si="52">CS20*CM20</f>
        <v>27.706120987263152</v>
      </c>
      <c r="CV20" s="1152">
        <f t="shared" si="7"/>
        <v>-5.7458093837347235E-2</v>
      </c>
      <c r="CX20" s="1150"/>
      <c r="CY20" s="1151"/>
      <c r="CZ20" s="1151"/>
      <c r="DA20" s="1152">
        <f>CX20-(CX20*0.06)-CZ20</f>
        <v>0</v>
      </c>
      <c r="DB20" s="1153">
        <f>CX20-CY20-CZ20</f>
        <v>0</v>
      </c>
      <c r="DC20" s="1154" t="e">
        <f>(CX20-CY20-CZ20)/CX20*100</f>
        <v>#DIV/0!</v>
      </c>
      <c r="DD20" s="1150">
        <f>DA20-CY20</f>
        <v>0</v>
      </c>
      <c r="DE20" s="1150" t="e">
        <f>(DD20/DA20)*100</f>
        <v>#DIV/0!</v>
      </c>
      <c r="DF20" s="1173">
        <v>4.6439701014573371</v>
      </c>
      <c r="DG20" s="1150">
        <f t="shared" si="22"/>
        <v>0</v>
      </c>
      <c r="DI20" s="1434"/>
      <c r="DJ20" s="1435"/>
      <c r="DK20" s="1828"/>
      <c r="DL20" s="1434"/>
      <c r="DM20" s="1435">
        <f t="shared" ref="DM20:DM28" si="53">CC20/CC$29*DM$29</f>
        <v>-11.211282502860403</v>
      </c>
      <c r="DN20" s="1435"/>
    </row>
    <row r="21" spans="1:118" ht="12.75" customHeight="1">
      <c r="A21" s="1130">
        <v>1</v>
      </c>
      <c r="B21" s="3086"/>
      <c r="C21" s="1172" t="s">
        <v>115</v>
      </c>
      <c r="D21" s="1150">
        <v>7.697692</v>
      </c>
      <c r="E21" s="1151">
        <v>3.9557259999999999</v>
      </c>
      <c r="F21" s="1151">
        <v>2.3231316899999994</v>
      </c>
      <c r="G21" s="1150">
        <v>6.851305</v>
      </c>
      <c r="H21" s="1151">
        <v>4.9171209999999999</v>
      </c>
      <c r="I21" s="1151">
        <v>2.2124073499999994</v>
      </c>
      <c r="J21" s="1150">
        <v>7.0557208100000004</v>
      </c>
      <c r="K21" s="1151">
        <v>4.0475630000000002</v>
      </c>
      <c r="L21" s="1151">
        <v>2.2223768600000002</v>
      </c>
      <c r="M21" s="1150">
        <v>6.9498919999999886</v>
      </c>
      <c r="N21" s="1151">
        <v>4.4636401398971763</v>
      </c>
      <c r="O21" s="1151">
        <v>2.0051209999999999</v>
      </c>
      <c r="P21" s="1150">
        <v>7.0375670000000463</v>
      </c>
      <c r="Q21" s="1151">
        <v>5.1938050000000002</v>
      </c>
      <c r="R21" s="1151">
        <v>1.9058324099999995</v>
      </c>
      <c r="S21" s="1150">
        <v>7.779635235999975</v>
      </c>
      <c r="T21" s="1195">
        <v>4.4071930000000004</v>
      </c>
      <c r="U21" s="1155">
        <v>1.8422559199999997</v>
      </c>
      <c r="V21" s="1150">
        <v>14.655278000000033</v>
      </c>
      <c r="W21" s="1151">
        <v>6.1073389999999996</v>
      </c>
      <c r="X21" s="1151">
        <v>2.4469307000000011</v>
      </c>
      <c r="Y21" s="1150">
        <v>11.124504999999965</v>
      </c>
      <c r="Z21" s="1151">
        <v>9.6672770000000003</v>
      </c>
      <c r="AA21" s="1151">
        <v>2.1574309500000028</v>
      </c>
      <c r="AB21" s="1150"/>
      <c r="AC21" s="1151"/>
      <c r="AD21" s="1151"/>
      <c r="AE21" s="1150"/>
      <c r="AF21" s="1151"/>
      <c r="AG21" s="1151"/>
      <c r="AH21" s="1150"/>
      <c r="AI21" s="1151"/>
      <c r="AJ21" s="1151"/>
      <c r="AK21" s="1150"/>
      <c r="AL21" s="1151"/>
      <c r="AM21" s="1151"/>
      <c r="AN21" s="1150">
        <v>69.245516961135081</v>
      </c>
      <c r="AO21" s="1151">
        <v>43.062835139897174</v>
      </c>
      <c r="AP21" s="1151">
        <v>17.354948510000007</v>
      </c>
      <c r="AQ21" s="1151">
        <f t="shared" si="45"/>
        <v>47.735837433466976</v>
      </c>
      <c r="AR21" s="1150">
        <v>7.5788639999999665</v>
      </c>
      <c r="AS21" s="1151">
        <v>4.1911828760989689</v>
      </c>
      <c r="AT21" s="1151">
        <v>1.9527938519999988</v>
      </c>
      <c r="AU21" s="1150">
        <v>7.0814089999999998</v>
      </c>
      <c r="AV21" s="1151">
        <v>5.1401070000000004</v>
      </c>
      <c r="AW21" s="1151">
        <v>1.926555130000001</v>
      </c>
      <c r="AX21" s="1150"/>
      <c r="AY21" s="1151"/>
      <c r="AZ21" s="1151"/>
      <c r="BA21" s="1150">
        <v>6.6090470007162505</v>
      </c>
      <c r="BB21" s="1151">
        <v>4.9425526533526103</v>
      </c>
      <c r="BC21" s="1151">
        <v>1.7653455485151199</v>
      </c>
      <c r="BD21" s="1150">
        <v>7.5299649999999776</v>
      </c>
      <c r="BE21" s="1151">
        <v>5.7629770000000002</v>
      </c>
      <c r="BF21" s="1839">
        <v>2.0268937299999994</v>
      </c>
      <c r="BG21" s="1150">
        <v>9.0189552900000471</v>
      </c>
      <c r="BH21" s="1195">
        <v>5.4493080000000003</v>
      </c>
      <c r="BI21" s="1155">
        <v>2.1076509299999984</v>
      </c>
      <c r="BJ21" s="1150">
        <v>13.349637999999977</v>
      </c>
      <c r="BK21" s="1151">
        <v>6.2640669999999998</v>
      </c>
      <c r="BL21" s="1151">
        <v>2.3766252000000021</v>
      </c>
      <c r="BM21" s="1150"/>
      <c r="BN21" s="1151"/>
      <c r="BO21" s="1151"/>
      <c r="BP21" s="1150"/>
      <c r="BQ21" s="1151"/>
      <c r="BR21" s="1151"/>
      <c r="BS21" s="1150"/>
      <c r="BT21" s="1151"/>
      <c r="BU21" s="1151"/>
      <c r="BV21" s="1150"/>
      <c r="BW21" s="1151"/>
      <c r="BX21" s="1151"/>
      <c r="BY21" s="1150"/>
      <c r="BZ21" s="1151"/>
      <c r="CA21" s="1151"/>
      <c r="CB21" s="1150">
        <v>58.907372697999975</v>
      </c>
      <c r="CC21" s="1151">
        <v>36.258759876098971</v>
      </c>
      <c r="CD21" s="1151">
        <v>14.224873411999997</v>
      </c>
      <c r="CE21" s="1151">
        <f t="shared" si="46"/>
        <v>41.148056924119985</v>
      </c>
      <c r="CF21" s="1153">
        <f t="shared" si="1"/>
        <v>8.8277333112378997</v>
      </c>
      <c r="CG21" s="1154">
        <f t="shared" si="47"/>
        <v>8.4237394099010068</v>
      </c>
      <c r="CH21" s="1155">
        <f t="shared" si="2"/>
        <v>-0.40399390133689295</v>
      </c>
      <c r="CI21" s="1154">
        <f t="shared" si="3"/>
        <v>12.74845462731194</v>
      </c>
      <c r="CJ21" s="1154">
        <f t="shared" si="48"/>
        <v>14.299974729966202</v>
      </c>
      <c r="CK21" s="1154">
        <f t="shared" si="11"/>
        <v>1.551520102654262</v>
      </c>
      <c r="CL21" s="1150">
        <f t="shared" si="49"/>
        <v>4.6730022935698017</v>
      </c>
      <c r="CM21" s="1157">
        <f t="shared" si="50"/>
        <v>4.8892970480210138</v>
      </c>
      <c r="CN21" s="1152">
        <f t="shared" si="13"/>
        <v>0.21629475445121216</v>
      </c>
      <c r="CO21" s="1150">
        <f t="shared" si="5"/>
        <v>9.7892957258431181</v>
      </c>
      <c r="CP21" s="1151">
        <f t="shared" si="14"/>
        <v>11.882206387138119</v>
      </c>
      <c r="CQ21" s="1152">
        <f t="shared" si="6"/>
        <v>2.0929106612950008</v>
      </c>
      <c r="CR21" s="1173">
        <f>CR20</f>
        <v>4.5798830812367415</v>
      </c>
      <c r="CS21" s="1153">
        <f>CS20</f>
        <v>4.5084442930307222</v>
      </c>
      <c r="CT21" s="1150">
        <f t="shared" si="51"/>
        <v>21.401804142900822</v>
      </c>
      <c r="CU21" s="1151">
        <f t="shared" si="52"/>
        <v>22.043123373082295</v>
      </c>
      <c r="CV21" s="1152">
        <f t="shared" si="7"/>
        <v>0.64131923018147319</v>
      </c>
      <c r="CX21" s="1150"/>
      <c r="CY21" s="1151"/>
      <c r="CZ21" s="1151"/>
      <c r="DA21" s="1152">
        <f>CX21-(CX21*0.06)-CZ21</f>
        <v>0</v>
      </c>
      <c r="DB21" s="1153">
        <f t="shared" si="18"/>
        <v>0</v>
      </c>
      <c r="DC21" s="1154" t="e">
        <f t="shared" si="19"/>
        <v>#DIV/0!</v>
      </c>
      <c r="DD21" s="1150">
        <f t="shared" si="20"/>
        <v>0</v>
      </c>
      <c r="DE21" s="1150" t="e">
        <f t="shared" si="21"/>
        <v>#DIV/0!</v>
      </c>
      <c r="DF21" s="1173">
        <v>4.6439701014573371</v>
      </c>
      <c r="DG21" s="1150">
        <f t="shared" si="22"/>
        <v>0</v>
      </c>
      <c r="DI21" s="1434"/>
      <c r="DJ21" s="1435"/>
      <c r="DK21" s="1828"/>
      <c r="DL21" s="1434"/>
      <c r="DM21" s="1435">
        <f t="shared" si="53"/>
        <v>-8.8512814474161488</v>
      </c>
      <c r="DN21" s="1435"/>
    </row>
    <row r="22" spans="1:118" ht="12.75" customHeight="1">
      <c r="A22" s="1130">
        <v>1</v>
      </c>
      <c r="B22" s="3086"/>
      <c r="C22" s="1172" t="s">
        <v>116</v>
      </c>
      <c r="D22" s="1150">
        <v>18.753008999999977</v>
      </c>
      <c r="E22" s="1151">
        <v>10.736265</v>
      </c>
      <c r="F22" s="1151">
        <v>5.8549293799999989</v>
      </c>
      <c r="G22" s="1150">
        <v>17.014602999999937</v>
      </c>
      <c r="H22" s="1151">
        <v>10.469787</v>
      </c>
      <c r="I22" s="1151">
        <v>5.6942162900000017</v>
      </c>
      <c r="J22" s="1150">
        <v>17.239378429999977</v>
      </c>
      <c r="K22" s="1151">
        <v>9.1045259999999999</v>
      </c>
      <c r="L22" s="1151">
        <v>5.93833725</v>
      </c>
      <c r="M22" s="1150">
        <v>15.422393000000081</v>
      </c>
      <c r="N22" s="1151">
        <v>10.891241000000001</v>
      </c>
      <c r="O22" s="1151">
        <v>5.0483479999999998</v>
      </c>
      <c r="P22" s="1150">
        <v>16.022060999999965</v>
      </c>
      <c r="Q22" s="1151">
        <v>9.8627520000000004</v>
      </c>
      <c r="R22" s="1151">
        <v>5.1422350400000028</v>
      </c>
      <c r="S22" s="1150">
        <v>20.941226806999978</v>
      </c>
      <c r="T22" s="1195">
        <v>8.9119709999999994</v>
      </c>
      <c r="U22" s="1155">
        <v>5.7205257699999983</v>
      </c>
      <c r="V22" s="1150">
        <v>36.66730900000006</v>
      </c>
      <c r="W22" s="1151">
        <v>18.653516</v>
      </c>
      <c r="X22" s="1151">
        <v>6.3889176400000025</v>
      </c>
      <c r="Y22" s="1150">
        <v>29.226495999999969</v>
      </c>
      <c r="Z22" s="1151">
        <v>20.749458000000001</v>
      </c>
      <c r="AA22" s="1151">
        <v>6.1589532299999981</v>
      </c>
      <c r="AB22" s="1150"/>
      <c r="AC22" s="1151"/>
      <c r="AD22" s="1151"/>
      <c r="AE22" s="1150"/>
      <c r="AF22" s="1151"/>
      <c r="AG22" s="1151"/>
      <c r="AH22" s="1150"/>
      <c r="AI22" s="1151"/>
      <c r="AJ22" s="1151"/>
      <c r="AK22" s="1150"/>
      <c r="AL22" s="1151"/>
      <c r="AM22" s="1151"/>
      <c r="AN22" s="1150">
        <v>170.94946021544254</v>
      </c>
      <c r="AO22" s="1151">
        <v>100.35194</v>
      </c>
      <c r="AP22" s="1151">
        <v>46.506256610000001</v>
      </c>
      <c r="AQ22" s="1151">
        <f t="shared" si="45"/>
        <v>114.18623599251598</v>
      </c>
      <c r="AR22" s="1150">
        <v>19.004397999999998</v>
      </c>
      <c r="AS22" s="1151">
        <v>10.826065228604664</v>
      </c>
      <c r="AT22" s="1151">
        <v>5.8420846090000005</v>
      </c>
      <c r="AU22" s="1150">
        <v>17.698587999999955</v>
      </c>
      <c r="AV22" s="1151">
        <v>11.100923</v>
      </c>
      <c r="AW22" s="1151">
        <v>6.0207290300000009</v>
      </c>
      <c r="AX22" s="1150"/>
      <c r="AY22" s="1151"/>
      <c r="AZ22" s="1151"/>
      <c r="BA22" s="1150">
        <v>16.546196618618954</v>
      </c>
      <c r="BB22" s="1151">
        <v>11.614181457047259</v>
      </c>
      <c r="BC22" s="1151">
        <v>5.3983194983598679</v>
      </c>
      <c r="BD22" s="1150">
        <v>17.818964999999988</v>
      </c>
      <c r="BE22" s="1151">
        <v>10.895637000000001</v>
      </c>
      <c r="BF22" s="1839">
        <v>5.9097747500000013</v>
      </c>
      <c r="BG22" s="1150">
        <v>23.291706327000032</v>
      </c>
      <c r="BH22" s="1195">
        <v>10.509747000000001</v>
      </c>
      <c r="BI22" s="1155">
        <v>6.3392953999999966</v>
      </c>
      <c r="BJ22" s="1150">
        <v>33.476852000000001</v>
      </c>
      <c r="BK22" s="1151">
        <v>18.119600999999999</v>
      </c>
      <c r="BL22" s="1151">
        <v>6.099668440000003</v>
      </c>
      <c r="BM22" s="1150"/>
      <c r="BN22" s="1151"/>
      <c r="BO22" s="1151"/>
      <c r="BP22" s="1150"/>
      <c r="BQ22" s="1151"/>
      <c r="BR22" s="1151"/>
      <c r="BS22" s="1150"/>
      <c r="BT22" s="1151"/>
      <c r="BU22" s="1151"/>
      <c r="BV22" s="1150"/>
      <c r="BW22" s="1151"/>
      <c r="BX22" s="1151"/>
      <c r="BY22" s="1150"/>
      <c r="BZ22" s="1151"/>
      <c r="CA22" s="1151"/>
      <c r="CB22" s="1150">
        <v>144.23760348799996</v>
      </c>
      <c r="CC22" s="1151">
        <v>82.439250228604664</v>
      </c>
      <c r="CD22" s="1151">
        <v>41.204270689000012</v>
      </c>
      <c r="CE22" s="1151">
        <f t="shared" si="46"/>
        <v>94.379076589719958</v>
      </c>
      <c r="CF22" s="1153">
        <f t="shared" si="1"/>
        <v>24.091263605442542</v>
      </c>
      <c r="CG22" s="1154">
        <f t="shared" si="47"/>
        <v>20.594082570395287</v>
      </c>
      <c r="CH22" s="1155">
        <f t="shared" si="2"/>
        <v>-3.4971810350472552</v>
      </c>
      <c r="CI22" s="1154">
        <f t="shared" si="3"/>
        <v>14.092623384175088</v>
      </c>
      <c r="CJ22" s="1154">
        <f t="shared" si="48"/>
        <v>14.277887369439441</v>
      </c>
      <c r="CK22" s="1154">
        <f t="shared" si="11"/>
        <v>0.18526398526435273</v>
      </c>
      <c r="CL22" s="1150">
        <f t="shared" si="49"/>
        <v>13.834295992515976</v>
      </c>
      <c r="CM22" s="1157">
        <f t="shared" si="50"/>
        <v>11.939826361115294</v>
      </c>
      <c r="CN22" s="1152">
        <f t="shared" si="13"/>
        <v>-1.8944696314006819</v>
      </c>
      <c r="CO22" s="1150">
        <f t="shared" si="5"/>
        <v>12.115554797184757</v>
      </c>
      <c r="CP22" s="1151">
        <f t="shared" si="14"/>
        <v>12.650925175947117</v>
      </c>
      <c r="CQ22" s="1152">
        <f t="shared" si="6"/>
        <v>0.53537037876236049</v>
      </c>
      <c r="CR22" s="1173">
        <f t="shared" ref="CR22:CR28" si="54">CR21</f>
        <v>4.5798830812367415</v>
      </c>
      <c r="CS22" s="1153">
        <f t="shared" ref="CS22:CS28" si="55">CS21</f>
        <v>4.5084442930307222</v>
      </c>
      <c r="CT22" s="1150">
        <f t="shared" si="51"/>
        <v>63.359458156945173</v>
      </c>
      <c r="CU22" s="1151">
        <f t="shared" si="52"/>
        <v>53.830042017548024</v>
      </c>
      <c r="CV22" s="1152">
        <f t="shared" si="7"/>
        <v>-9.5294161393971493</v>
      </c>
      <c r="CX22" s="1150"/>
      <c r="CY22" s="1151"/>
      <c r="CZ22" s="1151"/>
      <c r="DA22" s="1152">
        <f t="shared" si="17"/>
        <v>0</v>
      </c>
      <c r="DB22" s="1153">
        <f t="shared" si="18"/>
        <v>0</v>
      </c>
      <c r="DC22" s="1154" t="e">
        <f t="shared" si="19"/>
        <v>#DIV/0!</v>
      </c>
      <c r="DD22" s="1150">
        <f t="shared" si="20"/>
        <v>0</v>
      </c>
      <c r="DE22" s="1150" t="e">
        <f t="shared" si="21"/>
        <v>#DIV/0!</v>
      </c>
      <c r="DF22" s="1173">
        <v>4.6439701014573371</v>
      </c>
      <c r="DG22" s="1150">
        <f t="shared" si="22"/>
        <v>0</v>
      </c>
      <c r="DI22" s="1434"/>
      <c r="DJ22" s="1435"/>
      <c r="DK22" s="1828"/>
      <c r="DL22" s="1434"/>
      <c r="DM22" s="1435">
        <f t="shared" si="53"/>
        <v>-20.124599092213977</v>
      </c>
      <c r="DN22" s="1435"/>
    </row>
    <row r="23" spans="1:118" ht="12.75" customHeight="1">
      <c r="A23" s="1130">
        <v>1</v>
      </c>
      <c r="B23" s="3086"/>
      <c r="C23" s="1172" t="s">
        <v>117</v>
      </c>
      <c r="D23" s="1150">
        <v>7.7740410000000093</v>
      </c>
      <c r="E23" s="1151">
        <v>4.5374850000000002</v>
      </c>
      <c r="F23" s="1151">
        <v>1.6991021299999993</v>
      </c>
      <c r="G23" s="1150">
        <v>7.216138999999993</v>
      </c>
      <c r="H23" s="1151">
        <v>4.6048249999999999</v>
      </c>
      <c r="I23" s="1151">
        <v>1.5600133899999999</v>
      </c>
      <c r="J23" s="1150">
        <v>7.5238941000000015</v>
      </c>
      <c r="K23" s="1151">
        <v>4.8824069999999997</v>
      </c>
      <c r="L23" s="1151">
        <v>1.5449483400000004</v>
      </c>
      <c r="M23" s="1150">
        <v>7.1985580000000056</v>
      </c>
      <c r="N23" s="1151">
        <v>4.9053250000000004</v>
      </c>
      <c r="O23" s="1151">
        <v>1.83572</v>
      </c>
      <c r="P23" s="1150">
        <v>7.1112510000000091</v>
      </c>
      <c r="Q23" s="1151">
        <v>4.7809549999999996</v>
      </c>
      <c r="R23" s="1151">
        <v>1.7047424599999981</v>
      </c>
      <c r="S23" s="1150">
        <v>9.5444855359999909</v>
      </c>
      <c r="T23" s="1195">
        <v>4.892811</v>
      </c>
      <c r="U23" s="1155">
        <v>1.9512199600000006</v>
      </c>
      <c r="V23" s="1150">
        <v>18.226314999999992</v>
      </c>
      <c r="W23" s="1151">
        <v>8.6494979999999995</v>
      </c>
      <c r="X23" s="1151">
        <v>2.5769844500000034</v>
      </c>
      <c r="Y23" s="1150">
        <v>13.605960000000016</v>
      </c>
      <c r="Z23" s="1151">
        <v>9.9635459999999991</v>
      </c>
      <c r="AA23" s="1151">
        <v>2.452658030000002</v>
      </c>
      <c r="AB23" s="1150"/>
      <c r="AC23" s="1151"/>
      <c r="AD23" s="1151"/>
      <c r="AE23" s="1150"/>
      <c r="AF23" s="1151"/>
      <c r="AG23" s="1151"/>
      <c r="AH23" s="1150"/>
      <c r="AI23" s="1151"/>
      <c r="AJ23" s="1151"/>
      <c r="AK23" s="1150"/>
      <c r="AL23" s="1151"/>
      <c r="AM23" s="1151"/>
      <c r="AN23" s="1150">
        <v>77.931319970935732</v>
      </c>
      <c r="AO23" s="1151">
        <v>47.070627000000002</v>
      </c>
      <c r="AP23" s="1151">
        <v>15.442867110000003</v>
      </c>
      <c r="AQ23" s="1151">
        <f t="shared" si="45"/>
        <v>57.81257366267959</v>
      </c>
      <c r="AR23" s="1150">
        <v>8.1249009999999995</v>
      </c>
      <c r="AS23" s="1151">
        <v>4.8531620812742169</v>
      </c>
      <c r="AT23" s="1151">
        <v>2.0354510980000011</v>
      </c>
      <c r="AU23" s="1150">
        <v>7.9140289999999966</v>
      </c>
      <c r="AV23" s="1151">
        <v>4.8951089999999997</v>
      </c>
      <c r="AW23" s="1151">
        <v>1.9903829400000017</v>
      </c>
      <c r="AX23" s="1150"/>
      <c r="AY23" s="1151"/>
      <c r="AZ23" s="1151"/>
      <c r="BA23" s="1150">
        <v>7.2305640018571351</v>
      </c>
      <c r="BB23" s="1151">
        <v>5.1634172486446275</v>
      </c>
      <c r="BC23" s="1151">
        <v>1.8320053779693584</v>
      </c>
      <c r="BD23" s="1150">
        <v>7.946329000000004</v>
      </c>
      <c r="BE23" s="1151">
        <v>5.2512720000000002</v>
      </c>
      <c r="BF23" s="1839">
        <v>2.1234425000000003</v>
      </c>
      <c r="BG23" s="1150">
        <v>11.046640369999997</v>
      </c>
      <c r="BH23" s="1195">
        <v>5.7076019999999996</v>
      </c>
      <c r="BI23" s="1155">
        <v>2.5471036699999945</v>
      </c>
      <c r="BJ23" s="1150">
        <v>15.684102999999993</v>
      </c>
      <c r="BK23" s="1151">
        <v>8.6487309999999997</v>
      </c>
      <c r="BL23" s="1151">
        <v>2.1347717099999999</v>
      </c>
      <c r="BM23" s="1150"/>
      <c r="BN23" s="1151"/>
      <c r="BO23" s="1151"/>
      <c r="BP23" s="1150"/>
      <c r="BQ23" s="1151"/>
      <c r="BR23" s="1151"/>
      <c r="BS23" s="1150"/>
      <c r="BT23" s="1151"/>
      <c r="BU23" s="1151"/>
      <c r="BV23" s="1150"/>
      <c r="BW23" s="1151"/>
      <c r="BX23" s="1151"/>
      <c r="BY23" s="1150"/>
      <c r="BZ23" s="1151"/>
      <c r="CA23" s="1151"/>
      <c r="CB23" s="1150">
        <v>66.753943796999977</v>
      </c>
      <c r="CC23" s="1151">
        <v>39.81964408127422</v>
      </c>
      <c r="CD23" s="1151">
        <v>15.121889697999995</v>
      </c>
      <c r="CE23" s="1151">
        <f t="shared" si="46"/>
        <v>47.626817471179983</v>
      </c>
      <c r="CF23" s="1153">
        <f t="shared" si="1"/>
        <v>15.417825860935727</v>
      </c>
      <c r="CG23" s="1154">
        <f t="shared" si="47"/>
        <v>11.812410017725762</v>
      </c>
      <c r="CH23" s="1155">
        <f t="shared" si="2"/>
        <v>-3.6054158432099648</v>
      </c>
      <c r="CI23" s="1154">
        <f t="shared" si="3"/>
        <v>19.783863364159316</v>
      </c>
      <c r="CJ23" s="1154">
        <f t="shared" si="48"/>
        <v>17.695448906580751</v>
      </c>
      <c r="CK23" s="1154">
        <f t="shared" si="11"/>
        <v>-2.0884144575785655</v>
      </c>
      <c r="CL23" s="1150">
        <f t="shared" si="49"/>
        <v>10.741946662679588</v>
      </c>
      <c r="CM23" s="1157">
        <f t="shared" si="50"/>
        <v>7.8071733899057634</v>
      </c>
      <c r="CN23" s="1152">
        <f t="shared" si="13"/>
        <v>-2.9347732727738247</v>
      </c>
      <c r="CO23" s="1150">
        <f t="shared" si="5"/>
        <v>18.580640822800731</v>
      </c>
      <c r="CP23" s="1151">
        <f t="shared" si="14"/>
        <v>16.392389423521848</v>
      </c>
      <c r="CQ23" s="1152">
        <f t="shared" si="6"/>
        <v>-2.188251399278883</v>
      </c>
      <c r="CR23" s="1173">
        <f t="shared" si="54"/>
        <v>4.5798830812367415</v>
      </c>
      <c r="CS23" s="1153">
        <f t="shared" si="55"/>
        <v>4.5084442930307222</v>
      </c>
      <c r="CT23" s="1150">
        <f t="shared" si="51"/>
        <v>49.196859779953726</v>
      </c>
      <c r="CU23" s="1151">
        <f t="shared" si="52"/>
        <v>35.198206314421959</v>
      </c>
      <c r="CV23" s="1152">
        <f t="shared" si="7"/>
        <v>-13.998653465531767</v>
      </c>
      <c r="CX23" s="1150"/>
      <c r="CY23" s="1151"/>
      <c r="CZ23" s="1151"/>
      <c r="DA23" s="1152">
        <f t="shared" si="17"/>
        <v>0</v>
      </c>
      <c r="DB23" s="1153">
        <f t="shared" si="18"/>
        <v>0</v>
      </c>
      <c r="DC23" s="1154" t="e">
        <f t="shared" si="19"/>
        <v>#DIV/0!</v>
      </c>
      <c r="DD23" s="1150">
        <f t="shared" si="20"/>
        <v>0</v>
      </c>
      <c r="DE23" s="1150" t="e">
        <f t="shared" si="21"/>
        <v>#DIV/0!</v>
      </c>
      <c r="DF23" s="1173">
        <v>4.6439701014573371</v>
      </c>
      <c r="DG23" s="1150">
        <f t="shared" si="22"/>
        <v>0</v>
      </c>
      <c r="DI23" s="1434"/>
      <c r="DJ23" s="1435"/>
      <c r="DK23" s="1828"/>
      <c r="DL23" s="1434"/>
      <c r="DM23" s="1435">
        <f t="shared" si="53"/>
        <v>-9.7205441692899086</v>
      </c>
      <c r="DN23" s="1435"/>
    </row>
    <row r="24" spans="1:118" ht="12.75" customHeight="1">
      <c r="A24" s="1130">
        <v>1</v>
      </c>
      <c r="B24" s="3086"/>
      <c r="C24" s="1172" t="s">
        <v>118</v>
      </c>
      <c r="D24" s="1150">
        <v>12.213976373363737</v>
      </c>
      <c r="E24" s="1151">
        <v>5.6977229999999999</v>
      </c>
      <c r="F24" s="1151">
        <v>3.5396942000000009</v>
      </c>
      <c r="G24" s="1150">
        <v>10.475117130646559</v>
      </c>
      <c r="H24" s="1151">
        <v>5.962491</v>
      </c>
      <c r="I24" s="1151">
        <v>3.3903960100000003</v>
      </c>
      <c r="J24" s="1150">
        <v>10.522490514430791</v>
      </c>
      <c r="K24" s="1151">
        <v>6.5242149999999999</v>
      </c>
      <c r="L24" s="1151">
        <v>3.5540081540000004</v>
      </c>
      <c r="M24" s="1150">
        <v>9.7052165807155806</v>
      </c>
      <c r="N24" s="1151">
        <v>5.6731565000000002</v>
      </c>
      <c r="O24" s="1151">
        <v>2.877472</v>
      </c>
      <c r="P24" s="1150">
        <v>9.4910967874503864</v>
      </c>
      <c r="Q24" s="1151">
        <v>5.5614030000000003</v>
      </c>
      <c r="R24" s="1151">
        <v>3.154198650000001</v>
      </c>
      <c r="S24" s="1150">
        <v>12.177942925622361</v>
      </c>
      <c r="T24" s="1195">
        <v>5.5896840000000001</v>
      </c>
      <c r="U24" s="1155">
        <v>3.3512092299999989</v>
      </c>
      <c r="V24" s="1150">
        <v>23.127232843361476</v>
      </c>
      <c r="W24" s="1151">
        <v>10.24933</v>
      </c>
      <c r="X24" s="1151">
        <v>4.0125180540000001</v>
      </c>
      <c r="Y24" s="1150">
        <v>18.661729396746097</v>
      </c>
      <c r="Z24" s="1151">
        <v>12.010807</v>
      </c>
      <c r="AA24" s="1151">
        <v>4.0228511850000013</v>
      </c>
      <c r="AB24" s="1150"/>
      <c r="AC24" s="1151"/>
      <c r="AD24" s="1151"/>
      <c r="AE24" s="1150"/>
      <c r="AF24" s="1151"/>
      <c r="AG24" s="1151"/>
      <c r="AH24" s="1150"/>
      <c r="AI24" s="1151"/>
      <c r="AJ24" s="1151"/>
      <c r="AK24" s="1150"/>
      <c r="AL24" s="1151"/>
      <c r="AM24" s="1151"/>
      <c r="AN24" s="1150">
        <v>105.98706357841013</v>
      </c>
      <c r="AO24" s="1151">
        <v>57.432865499999998</v>
      </c>
      <c r="AP24" s="1151">
        <v>27.832094889000007</v>
      </c>
      <c r="AQ24" s="1151">
        <f t="shared" si="45"/>
        <v>71.79574487470552</v>
      </c>
      <c r="AR24" s="1150">
        <v>11.838453676401926</v>
      </c>
      <c r="AS24" s="1151">
        <v>5.9430289064866644</v>
      </c>
      <c r="AT24" s="1151">
        <v>3.3694600999999991</v>
      </c>
      <c r="AU24" s="1150">
        <v>11.009210314673167</v>
      </c>
      <c r="AV24" s="1151">
        <v>6.388223</v>
      </c>
      <c r="AW24" s="1151">
        <v>3.3667495000000005</v>
      </c>
      <c r="AX24" s="1150"/>
      <c r="AY24" s="1151"/>
      <c r="AZ24" s="1151"/>
      <c r="BA24" s="1150">
        <v>10.300032282726784</v>
      </c>
      <c r="BB24" s="1151">
        <v>6.5315580845554999</v>
      </c>
      <c r="BC24" s="1151">
        <v>3.0653951697570725</v>
      </c>
      <c r="BD24" s="1150">
        <v>10.625336318787719</v>
      </c>
      <c r="BE24" s="1151">
        <v>6.3864999999999998</v>
      </c>
      <c r="BF24" s="1839">
        <v>3.5364732800000058</v>
      </c>
      <c r="BG24" s="1150">
        <v>14.399271717730519</v>
      </c>
      <c r="BH24" s="1195">
        <v>6.8052320000000002</v>
      </c>
      <c r="BI24" s="1155">
        <v>3.8359886729999992</v>
      </c>
      <c r="BJ24" s="1150">
        <v>21.000169110011655</v>
      </c>
      <c r="BK24" s="1151">
        <v>10.457464999999999</v>
      </c>
      <c r="BL24" s="1151">
        <v>3.7937173300000029</v>
      </c>
      <c r="BM24" s="1150"/>
      <c r="BN24" s="1151"/>
      <c r="BO24" s="1151"/>
      <c r="BP24" s="1150"/>
      <c r="BQ24" s="1151"/>
      <c r="BR24" s="1151"/>
      <c r="BS24" s="1150"/>
      <c r="BT24" s="1151"/>
      <c r="BU24" s="1151"/>
      <c r="BV24" s="1150"/>
      <c r="BW24" s="1151"/>
      <c r="BX24" s="1151"/>
      <c r="BY24" s="1150"/>
      <c r="BZ24" s="1151"/>
      <c r="CA24" s="1151"/>
      <c r="CB24" s="1150">
        <v>89.242632108008294</v>
      </c>
      <c r="CC24" s="1151">
        <v>48.749274906486662</v>
      </c>
      <c r="CD24" s="1151">
        <v>24.85932784800001</v>
      </c>
      <c r="CE24" s="1151">
        <f t="shared" si="46"/>
        <v>59.028746333527792</v>
      </c>
      <c r="CF24" s="1153">
        <f t="shared" si="1"/>
        <v>20.722103189410124</v>
      </c>
      <c r="CG24" s="1154">
        <f t="shared" si="47"/>
        <v>15.634029353521623</v>
      </c>
      <c r="CH24" s="1155">
        <f t="shared" si="2"/>
        <v>-5.0880738358885012</v>
      </c>
      <c r="CI24" s="1154">
        <f t="shared" si="3"/>
        <v>19.551540055716078</v>
      </c>
      <c r="CJ24" s="1154">
        <f t="shared" si="48"/>
        <v>17.518565941219798</v>
      </c>
      <c r="CK24" s="1154">
        <f t="shared" si="11"/>
        <v>-2.0329741144962803</v>
      </c>
      <c r="CL24" s="1150">
        <f t="shared" si="49"/>
        <v>14.362879374705521</v>
      </c>
      <c r="CM24" s="1157">
        <f t="shared" si="50"/>
        <v>10.27947142704113</v>
      </c>
      <c r="CN24" s="1152">
        <f t="shared" si="13"/>
        <v>-4.0834079476643907</v>
      </c>
      <c r="CO24" s="1150">
        <f t="shared" si="5"/>
        <v>20.005195850772115</v>
      </c>
      <c r="CP24" s="1151">
        <f t="shared" si="14"/>
        <v>17.414348204109636</v>
      </c>
      <c r="CQ24" s="1152">
        <f t="shared" si="6"/>
        <v>-2.5908476466624784</v>
      </c>
      <c r="CR24" s="1173">
        <f t="shared" si="54"/>
        <v>4.5798830812367415</v>
      </c>
      <c r="CS24" s="1153">
        <f t="shared" si="55"/>
        <v>4.5084442930307222</v>
      </c>
      <c r="CT24" s="1150">
        <f t="shared" si="51"/>
        <v>65.78030824605797</v>
      </c>
      <c r="CU24" s="1151">
        <f t="shared" si="52"/>
        <v>46.344424290615962</v>
      </c>
      <c r="CV24" s="1152">
        <f t="shared" si="7"/>
        <v>-19.435883955442009</v>
      </c>
      <c r="CX24" s="1150"/>
      <c r="CY24" s="1151"/>
      <c r="CZ24" s="1151"/>
      <c r="DA24" s="1152">
        <f t="shared" si="17"/>
        <v>0</v>
      </c>
      <c r="DB24" s="1153">
        <f t="shared" si="18"/>
        <v>0</v>
      </c>
      <c r="DC24" s="1154" t="e">
        <f t="shared" si="19"/>
        <v>#DIV/0!</v>
      </c>
      <c r="DD24" s="1150">
        <f t="shared" si="20"/>
        <v>0</v>
      </c>
      <c r="DE24" s="1150" t="e">
        <f t="shared" si="21"/>
        <v>#DIV/0!</v>
      </c>
      <c r="DF24" s="1173">
        <v>4.6439701014573371</v>
      </c>
      <c r="DG24" s="1150">
        <f t="shared" si="22"/>
        <v>0</v>
      </c>
      <c r="DI24" s="1434"/>
      <c r="DJ24" s="1435"/>
      <c r="DK24" s="1828"/>
      <c r="DL24" s="1434"/>
      <c r="DM24" s="1435">
        <f t="shared" si="53"/>
        <v>-11.90039466405487</v>
      </c>
      <c r="DN24" s="1435"/>
    </row>
    <row r="25" spans="1:118" ht="12.75" customHeight="1">
      <c r="A25" s="1130">
        <v>1</v>
      </c>
      <c r="B25" s="3086"/>
      <c r="C25" s="1172" t="s">
        <v>310</v>
      </c>
      <c r="D25" s="1150">
        <v>8.6763478979476272</v>
      </c>
      <c r="E25" s="1151">
        <v>3.7195170000000002</v>
      </c>
      <c r="F25" s="1151">
        <v>4.3468970900000006</v>
      </c>
      <c r="G25" s="1150">
        <v>7.538083545165021</v>
      </c>
      <c r="H25" s="1151">
        <v>2.2683979999999999</v>
      </c>
      <c r="I25" s="1151">
        <v>4.4807495900000021</v>
      </c>
      <c r="J25" s="1150">
        <v>8.4784154897653448</v>
      </c>
      <c r="K25" s="1151">
        <v>4.1543099999999997</v>
      </c>
      <c r="L25" s="1151">
        <v>4.2961119450000025</v>
      </c>
      <c r="M25" s="1150">
        <v>8.7615827889809328</v>
      </c>
      <c r="N25" s="1151">
        <v>3.916553</v>
      </c>
      <c r="O25" s="1151">
        <v>4.7878970000000001</v>
      </c>
      <c r="P25" s="1150">
        <v>9.0639304938978782</v>
      </c>
      <c r="Q25" s="1151">
        <v>2.2207309999999998</v>
      </c>
      <c r="R25" s="1151">
        <v>5.2330107900000007</v>
      </c>
      <c r="S25" s="1150">
        <v>10.215496849800584</v>
      </c>
      <c r="T25" s="1195">
        <v>3.609362</v>
      </c>
      <c r="U25" s="1155">
        <v>5.4759381500000002</v>
      </c>
      <c r="V25" s="1150">
        <v>16.811332212091418</v>
      </c>
      <c r="W25" s="1151">
        <v>6.9190319999999996</v>
      </c>
      <c r="X25" s="1151">
        <v>5.7843290300000012</v>
      </c>
      <c r="Y25" s="1150">
        <v>12.622777410626785</v>
      </c>
      <c r="Z25" s="1151">
        <v>5.3677219999999997</v>
      </c>
      <c r="AA25" s="1151">
        <v>5.3465145200000022</v>
      </c>
      <c r="AB25" s="1150"/>
      <c r="AC25" s="1151"/>
      <c r="AD25" s="1151"/>
      <c r="AE25" s="1150"/>
      <c r="AF25" s="1151"/>
      <c r="AG25" s="1151"/>
      <c r="AH25" s="1150"/>
      <c r="AI25" s="1151"/>
      <c r="AJ25" s="1151"/>
      <c r="AK25" s="1150"/>
      <c r="AL25" s="1151"/>
      <c r="AM25" s="1151"/>
      <c r="AN25" s="1150">
        <v>82.138479408491861</v>
      </c>
      <c r="AO25" s="1151">
        <v>32.363306999999999</v>
      </c>
      <c r="AP25" s="1151">
        <v>39.835215220000009</v>
      </c>
      <c r="AQ25" s="1151">
        <f t="shared" si="45"/>
        <v>37.374955423982342</v>
      </c>
      <c r="AR25" s="1150">
        <v>9.0949699427348811</v>
      </c>
      <c r="AS25" s="1151">
        <v>4.0384051608504921</v>
      </c>
      <c r="AT25" s="1151">
        <v>4.4019923030000028</v>
      </c>
      <c r="AU25" s="1150">
        <v>8.2456777475010714</v>
      </c>
      <c r="AV25" s="1151">
        <v>2.372411</v>
      </c>
      <c r="AW25" s="1151">
        <v>4.7154132299999993</v>
      </c>
      <c r="AX25" s="1150"/>
      <c r="AY25" s="1151"/>
      <c r="AZ25" s="1151"/>
      <c r="BA25" s="1150">
        <v>7.817395733874215</v>
      </c>
      <c r="BB25" s="1151">
        <v>3.3956502098522243</v>
      </c>
      <c r="BC25" s="1151">
        <v>4.1489877158179009</v>
      </c>
      <c r="BD25" s="1150">
        <v>9.5436317516846607</v>
      </c>
      <c r="BE25" s="1151">
        <v>2.4637289999999998</v>
      </c>
      <c r="BF25" s="1839">
        <v>5.3252294700000009</v>
      </c>
      <c r="BG25" s="1150">
        <v>12.769524002045495</v>
      </c>
      <c r="BH25" s="1195">
        <v>3.9452120000000002</v>
      </c>
      <c r="BI25" s="1155">
        <v>6.6266119950000011</v>
      </c>
      <c r="BJ25" s="1150">
        <v>15.419990807584812</v>
      </c>
      <c r="BK25" s="1151">
        <v>7.262041</v>
      </c>
      <c r="BL25" s="1151">
        <v>5.0113902499999998</v>
      </c>
      <c r="BM25" s="1150"/>
      <c r="BN25" s="1151"/>
      <c r="BO25" s="1151"/>
      <c r="BP25" s="1150"/>
      <c r="BQ25" s="1151"/>
      <c r="BR25" s="1151"/>
      <c r="BS25" s="1150"/>
      <c r="BT25" s="1151"/>
      <c r="BU25" s="1151"/>
      <c r="BV25" s="1150"/>
      <c r="BW25" s="1151"/>
      <c r="BX25" s="1151"/>
      <c r="BY25" s="1150"/>
      <c r="BZ25" s="1151"/>
      <c r="CA25" s="1151"/>
      <c r="CB25" s="1150">
        <v>72.789964791580928</v>
      </c>
      <c r="CC25" s="1151">
        <v>29.147030160850491</v>
      </c>
      <c r="CD25" s="1151">
        <v>36.330776893000007</v>
      </c>
      <c r="CE25" s="1151">
        <f t="shared" si="46"/>
        <v>32.091790011086061</v>
      </c>
      <c r="CF25" s="1153">
        <f t="shared" si="1"/>
        <v>9.9399571884918529</v>
      </c>
      <c r="CG25" s="1154">
        <f t="shared" si="47"/>
        <v>7.3121577377304305</v>
      </c>
      <c r="CH25" s="1155">
        <f t="shared" si="2"/>
        <v>-2.6277994507614224</v>
      </c>
      <c r="CI25" s="1154">
        <f t="shared" si="3"/>
        <v>12.10146238410181</v>
      </c>
      <c r="CJ25" s="1154">
        <f t="shared" si="48"/>
        <v>10.045557459283415</v>
      </c>
      <c r="CK25" s="1154">
        <f t="shared" si="11"/>
        <v>-2.0559049248183943</v>
      </c>
      <c r="CL25" s="1150">
        <f t="shared" si="49"/>
        <v>5.0116484239823436</v>
      </c>
      <c r="CM25" s="1157">
        <f t="shared" si="50"/>
        <v>2.9447598502355703</v>
      </c>
      <c r="CN25" s="1152">
        <f t="shared" si="13"/>
        <v>-2.0668885737467733</v>
      </c>
      <c r="CO25" s="1150">
        <f t="shared" si="5"/>
        <v>13.409108765830194</v>
      </c>
      <c r="CP25" s="1151">
        <f t="shared" si="14"/>
        <v>9.176053592580244</v>
      </c>
      <c r="CQ25" s="1152">
        <f t="shared" si="6"/>
        <v>-4.2330551732499497</v>
      </c>
      <c r="CR25" s="1173">
        <f t="shared" si="54"/>
        <v>4.5798830812367415</v>
      </c>
      <c r="CS25" s="1153">
        <f t="shared" si="55"/>
        <v>4.5084442930307222</v>
      </c>
      <c r="CT25" s="1150">
        <f t="shared" si="51"/>
        <v>22.952763826103514</v>
      </c>
      <c r="CU25" s="1151">
        <f t="shared" si="52"/>
        <v>13.276285741140562</v>
      </c>
      <c r="CV25" s="1152">
        <f t="shared" si="7"/>
        <v>-9.6764780849629517</v>
      </c>
      <c r="CX25" s="1150"/>
      <c r="CY25" s="1151"/>
      <c r="CZ25" s="1151"/>
      <c r="DA25" s="1152">
        <f t="shared" si="17"/>
        <v>0</v>
      </c>
      <c r="DB25" s="1153">
        <f t="shared" si="18"/>
        <v>0</v>
      </c>
      <c r="DC25" s="1154" t="e">
        <f t="shared" si="19"/>
        <v>#DIV/0!</v>
      </c>
      <c r="DD25" s="1150">
        <f t="shared" si="20"/>
        <v>0</v>
      </c>
      <c r="DE25" s="1150" t="e">
        <f t="shared" si="21"/>
        <v>#DIV/0!</v>
      </c>
      <c r="DF25" s="1173">
        <v>4.6439701014573371</v>
      </c>
      <c r="DG25" s="1150">
        <f t="shared" si="22"/>
        <v>0</v>
      </c>
      <c r="DI25" s="1434"/>
      <c r="DJ25" s="1435"/>
      <c r="DK25" s="1828"/>
      <c r="DL25" s="1434"/>
      <c r="DM25" s="1435">
        <f t="shared" si="53"/>
        <v>-7.1152065926026236</v>
      </c>
      <c r="DN25" s="1435"/>
    </row>
    <row r="26" spans="1:118" ht="12.75" customHeight="1">
      <c r="A26" s="1130">
        <v>1</v>
      </c>
      <c r="B26" s="3086"/>
      <c r="C26" s="1172" t="s">
        <v>464</v>
      </c>
      <c r="D26" s="1150">
        <v>7.683822677875586</v>
      </c>
      <c r="E26" s="1151">
        <v>2.363912</v>
      </c>
      <c r="F26" s="1151">
        <v>4.5163618300000001</v>
      </c>
      <c r="G26" s="1150">
        <v>6.8676497498682547</v>
      </c>
      <c r="H26" s="1151">
        <v>2.3236919999999999</v>
      </c>
      <c r="I26" s="1151">
        <v>4.1134848400000017</v>
      </c>
      <c r="J26" s="1150">
        <v>6.3692492220779116</v>
      </c>
      <c r="K26" s="1151">
        <v>2.6208849999999999</v>
      </c>
      <c r="L26" s="1151">
        <v>4.0131536700000003</v>
      </c>
      <c r="M26" s="1150">
        <v>6.8394970033821219</v>
      </c>
      <c r="N26" s="1151">
        <v>2.4744630000000001</v>
      </c>
      <c r="O26" s="1151">
        <v>4.2512930000000004</v>
      </c>
      <c r="P26" s="1150">
        <v>7.6710524582755051</v>
      </c>
      <c r="Q26" s="1151">
        <v>2.445681</v>
      </c>
      <c r="R26" s="1151">
        <v>4.7192685600000006</v>
      </c>
      <c r="S26" s="1150">
        <v>8.0473689215822031</v>
      </c>
      <c r="T26" s="1195">
        <v>1.993714</v>
      </c>
      <c r="U26" s="1155">
        <v>4.8669532800000006</v>
      </c>
      <c r="V26" s="1150">
        <v>12.614673471768704</v>
      </c>
      <c r="W26" s="1151">
        <v>4.3898859999999997</v>
      </c>
      <c r="X26" s="1151">
        <v>5.4039803100000068</v>
      </c>
      <c r="Y26" s="1150">
        <v>11.260519578487086</v>
      </c>
      <c r="Z26" s="1151">
        <v>5.2215160000000003</v>
      </c>
      <c r="AA26" s="1151">
        <v>5.7238052300000035</v>
      </c>
      <c r="AB26" s="1150"/>
      <c r="AC26" s="1151"/>
      <c r="AD26" s="1151"/>
      <c r="AE26" s="1150"/>
      <c r="AF26" s="1151"/>
      <c r="AG26" s="1151"/>
      <c r="AH26" s="1150"/>
      <c r="AI26" s="1151"/>
      <c r="AJ26" s="1151"/>
      <c r="AK26" s="1150"/>
      <c r="AL26" s="1151"/>
      <c r="AM26" s="1151"/>
      <c r="AN26" s="1150">
        <v>68.65452005635062</v>
      </c>
      <c r="AO26" s="1151">
        <v>23.719753999999998</v>
      </c>
      <c r="AP26" s="1151">
        <v>38.906300230000014</v>
      </c>
      <c r="AQ26" s="1151">
        <f t="shared" si="45"/>
        <v>25.628948622969574</v>
      </c>
      <c r="AR26" s="1150">
        <v>9.1640515999999987</v>
      </c>
      <c r="AS26" s="1151">
        <v>2.4286340973652938</v>
      </c>
      <c r="AT26" s="1151">
        <v>5.4570481000000033</v>
      </c>
      <c r="AU26" s="1150">
        <v>8.3097270000000005</v>
      </c>
      <c r="AV26" s="1151">
        <v>2.4496690000000001</v>
      </c>
      <c r="AW26" s="1151">
        <v>5.5200872500000031</v>
      </c>
      <c r="AX26" s="1150"/>
      <c r="AY26" s="1151"/>
      <c r="AZ26" s="1151"/>
      <c r="BA26" s="1150">
        <v>7.8774129272701865</v>
      </c>
      <c r="BB26" s="1151">
        <v>2.5839160756863153</v>
      </c>
      <c r="BC26" s="1151">
        <v>4.9952806812394357</v>
      </c>
      <c r="BD26" s="1150">
        <v>9.0911059999999999</v>
      </c>
      <c r="BE26" s="1151">
        <v>2.7178049999999998</v>
      </c>
      <c r="BF26" s="1839">
        <v>5.6456541200000041</v>
      </c>
      <c r="BG26" s="1150">
        <v>9.8738506760000018</v>
      </c>
      <c r="BH26" s="1195">
        <v>2.6153240000000002</v>
      </c>
      <c r="BI26" s="1155">
        <v>6.2372060899999973</v>
      </c>
      <c r="BJ26" s="1150">
        <v>13.527379</v>
      </c>
      <c r="BK26" s="1151">
        <v>4.3106710000000001</v>
      </c>
      <c r="BL26" s="1151">
        <v>6.2846526800000033</v>
      </c>
      <c r="BM26" s="1150"/>
      <c r="BN26" s="1151"/>
      <c r="BO26" s="1151"/>
      <c r="BP26" s="1150"/>
      <c r="BQ26" s="1151"/>
      <c r="BR26" s="1151"/>
      <c r="BS26" s="1150"/>
      <c r="BT26" s="1151"/>
      <c r="BU26" s="1151"/>
      <c r="BV26" s="1150"/>
      <c r="BW26" s="1151"/>
      <c r="BX26" s="1151"/>
      <c r="BY26" s="1150"/>
      <c r="BZ26" s="1151"/>
      <c r="CA26" s="1151"/>
      <c r="CB26" s="1150">
        <v>66.406892388999992</v>
      </c>
      <c r="CC26" s="1151">
        <v>19.883889097365294</v>
      </c>
      <c r="CD26" s="1151">
        <v>40.387081290000019</v>
      </c>
      <c r="CE26" s="1151">
        <f t="shared" si="46"/>
        <v>22.035397555659976</v>
      </c>
      <c r="CF26" s="1153">
        <f t="shared" si="1"/>
        <v>6.0284658263506117</v>
      </c>
      <c r="CG26" s="1154">
        <f t="shared" si="47"/>
        <v>6.1359220016346754</v>
      </c>
      <c r="CH26" s="1155">
        <f t="shared" si="2"/>
        <v>0.1074561752840637</v>
      </c>
      <c r="CI26" s="1154">
        <f t="shared" si="3"/>
        <v>8.7808724340400843</v>
      </c>
      <c r="CJ26" s="1154">
        <f t="shared" si="48"/>
        <v>9.2398872781028736</v>
      </c>
      <c r="CK26" s="1154">
        <f t="shared" si="11"/>
        <v>0.45901484406278925</v>
      </c>
      <c r="CL26" s="1150">
        <f t="shared" si="49"/>
        <v>1.9091946229695758</v>
      </c>
      <c r="CM26" s="1157">
        <f t="shared" si="50"/>
        <v>2.151508458294682</v>
      </c>
      <c r="CN26" s="1152">
        <f t="shared" si="13"/>
        <v>0.2423138353251062</v>
      </c>
      <c r="CO26" s="1150">
        <f t="shared" si="5"/>
        <v>7.4493677093663058</v>
      </c>
      <c r="CP26" s="1151">
        <f t="shared" si="14"/>
        <v>9.7638740252364951</v>
      </c>
      <c r="CQ26" s="1152">
        <f t="shared" si="6"/>
        <v>2.3145063158701893</v>
      </c>
      <c r="CR26" s="1173">
        <f t="shared" si="54"/>
        <v>4.5798830812367415</v>
      </c>
      <c r="CS26" s="1153">
        <f t="shared" si="55"/>
        <v>4.5084442930307222</v>
      </c>
      <c r="CT26" s="1150">
        <f t="shared" si="51"/>
        <v>8.7438881525265195</v>
      </c>
      <c r="CU26" s="1151">
        <f t="shared" si="52"/>
        <v>9.6999560302059873</v>
      </c>
      <c r="CV26" s="1152">
        <f t="shared" si="7"/>
        <v>0.95606787767946777</v>
      </c>
      <c r="CX26" s="1150"/>
      <c r="CY26" s="1151"/>
      <c r="CZ26" s="1151"/>
      <c r="DA26" s="1152">
        <f t="shared" si="17"/>
        <v>0</v>
      </c>
      <c r="DB26" s="1153">
        <f t="shared" si="18"/>
        <v>0</v>
      </c>
      <c r="DC26" s="1154" t="e">
        <f t="shared" si="19"/>
        <v>#DIV/0!</v>
      </c>
      <c r="DD26" s="1150">
        <f t="shared" si="20"/>
        <v>0</v>
      </c>
      <c r="DE26" s="1150" t="e">
        <f t="shared" si="21"/>
        <v>#DIV/0!</v>
      </c>
      <c r="DF26" s="1173">
        <v>4.6439701014573371</v>
      </c>
      <c r="DG26" s="1150">
        <f t="shared" si="22"/>
        <v>0</v>
      </c>
      <c r="DI26" s="1434"/>
      <c r="DJ26" s="1435"/>
      <c r="DK26" s="1828"/>
      <c r="DL26" s="1434"/>
      <c r="DM26" s="1435">
        <f t="shared" si="53"/>
        <v>-4.8539414825933926</v>
      </c>
      <c r="DN26" s="1435"/>
    </row>
    <row r="27" spans="1:118" ht="12.75" customHeight="1">
      <c r="A27" s="1130">
        <v>1</v>
      </c>
      <c r="B27" s="3086"/>
      <c r="C27" s="1172" t="s">
        <v>465</v>
      </c>
      <c r="D27" s="1150">
        <v>1.8656280000000001</v>
      </c>
      <c r="E27" s="1151">
        <v>1.203093</v>
      </c>
      <c r="F27" s="1151">
        <v>0.19780842999999998</v>
      </c>
      <c r="G27" s="1150">
        <v>1.6607700000000001</v>
      </c>
      <c r="H27" s="1151">
        <v>1.1697200000000001</v>
      </c>
      <c r="I27" s="1151">
        <v>0.17735664000000004</v>
      </c>
      <c r="J27" s="1150">
        <v>1.83894519</v>
      </c>
      <c r="K27" s="1151">
        <v>1.7555890000000001</v>
      </c>
      <c r="L27" s="1151">
        <v>0.20327622000000004</v>
      </c>
      <c r="M27" s="1150">
        <v>1.7417549999999999</v>
      </c>
      <c r="N27" s="1151">
        <v>1.3801620783257587</v>
      </c>
      <c r="O27" s="1151">
        <v>0.14668100000000001</v>
      </c>
      <c r="P27" s="1150">
        <v>1.739886</v>
      </c>
      <c r="Q27" s="1151">
        <v>1.3830150000000001</v>
      </c>
      <c r="R27" s="1151">
        <v>0.14334727000000005</v>
      </c>
      <c r="S27" s="1150">
        <v>1.9857657639999999</v>
      </c>
      <c r="T27" s="1195">
        <v>1.5932109999999999</v>
      </c>
      <c r="U27" s="1155">
        <v>0.13606756</v>
      </c>
      <c r="V27" s="1150">
        <v>3.5555430000000001</v>
      </c>
      <c r="W27" s="1151">
        <v>2.1737730000000002</v>
      </c>
      <c r="X27" s="1151">
        <v>0.16713279000000009</v>
      </c>
      <c r="Y27" s="1150">
        <v>2.811159</v>
      </c>
      <c r="Z27" s="1151">
        <v>2.4692769999999999</v>
      </c>
      <c r="AA27" s="1151">
        <v>0.15363546</v>
      </c>
      <c r="AB27" s="1150"/>
      <c r="AC27" s="1151"/>
      <c r="AD27" s="1151"/>
      <c r="AE27" s="1150"/>
      <c r="AF27" s="1151"/>
      <c r="AG27" s="1151"/>
      <c r="AH27" s="1150"/>
      <c r="AI27" s="1151"/>
      <c r="AJ27" s="1151"/>
      <c r="AK27" s="1150"/>
      <c r="AL27" s="1151"/>
      <c r="AM27" s="1151"/>
      <c r="AN27" s="1150">
        <v>17.148553853261468</v>
      </c>
      <c r="AO27" s="1151">
        <v>13.175017078325759</v>
      </c>
      <c r="AP27" s="1151">
        <v>1.29101661</v>
      </c>
      <c r="AQ27" s="1151">
        <f t="shared" si="45"/>
        <v>14.828624012065781</v>
      </c>
      <c r="AR27" s="1150">
        <v>1.935141</v>
      </c>
      <c r="AS27" s="1151">
        <v>1.2689146952856041</v>
      </c>
      <c r="AT27" s="1151">
        <v>0.17058027700000006</v>
      </c>
      <c r="AU27" s="1150">
        <v>1.7704530000000001</v>
      </c>
      <c r="AV27" s="1151">
        <v>1.2661680028354461</v>
      </c>
      <c r="AW27" s="1151">
        <v>0.16132848999999999</v>
      </c>
      <c r="AX27" s="1150"/>
      <c r="AY27" s="1151"/>
      <c r="AZ27" s="1151"/>
      <c r="BA27" s="1150">
        <v>1.6705312998995439</v>
      </c>
      <c r="BB27" s="1151">
        <v>1.3427703867779406</v>
      </c>
      <c r="BC27" s="1151">
        <v>0.15103917359724464</v>
      </c>
      <c r="BD27" s="1150">
        <v>1.870098</v>
      </c>
      <c r="BE27" s="1151">
        <v>1.4650700593305206</v>
      </c>
      <c r="BF27" s="1839">
        <v>0.15255066000000003</v>
      </c>
      <c r="BG27" s="1150">
        <v>2.3496137099999999</v>
      </c>
      <c r="BH27" s="1195">
        <v>1.9452370000000001</v>
      </c>
      <c r="BI27" s="1155">
        <v>0.14474284000000007</v>
      </c>
      <c r="BJ27" s="1150">
        <v>3.3088649999999999</v>
      </c>
      <c r="BK27" s="1151">
        <v>2.2028840000000001</v>
      </c>
      <c r="BL27" s="1151">
        <v>0.16042887000000008</v>
      </c>
      <c r="BM27" s="1150"/>
      <c r="BN27" s="1151"/>
      <c r="BO27" s="1151"/>
      <c r="BP27" s="1150"/>
      <c r="BQ27" s="1151"/>
      <c r="BR27" s="1151"/>
      <c r="BS27" s="1150"/>
      <c r="BT27" s="1151"/>
      <c r="BU27" s="1151"/>
      <c r="BV27" s="1150"/>
      <c r="BW27" s="1151"/>
      <c r="BX27" s="1151"/>
      <c r="BY27" s="1150"/>
      <c r="BZ27" s="1151"/>
      <c r="CA27" s="1151"/>
      <c r="CB27" s="1150">
        <v>14.937713302000001</v>
      </c>
      <c r="CC27" s="1151">
        <v>11.509936445414716</v>
      </c>
      <c r="CD27" s="1151">
        <v>1.1035594370000004</v>
      </c>
      <c r="CE27" s="1151">
        <f t="shared" si="46"/>
        <v>12.937891066879999</v>
      </c>
      <c r="CF27" s="1153">
        <f t="shared" si="1"/>
        <v>2.6825201649357098</v>
      </c>
      <c r="CG27" s="1154">
        <f t="shared" si="47"/>
        <v>2.3242174195852838</v>
      </c>
      <c r="CH27" s="1155">
        <f t="shared" si="2"/>
        <v>-0.35830274535042594</v>
      </c>
      <c r="CI27" s="1154">
        <f t="shared" si="3"/>
        <v>15.642836054222284</v>
      </c>
      <c r="CJ27" s="1154">
        <f t="shared" si="48"/>
        <v>15.559392342026646</v>
      </c>
      <c r="CK27" s="1154">
        <f t="shared" si="11"/>
        <v>-8.3443712195638398E-2</v>
      </c>
      <c r="CL27" s="1150">
        <f t="shared" si="49"/>
        <v>1.6536069337400221</v>
      </c>
      <c r="CM27" s="1157">
        <f t="shared" si="50"/>
        <v>1.4279546214652825</v>
      </c>
      <c r="CN27" s="1152">
        <f t="shared" si="13"/>
        <v>-0.22565231227473959</v>
      </c>
      <c r="CO27" s="1150">
        <f t="shared" si="5"/>
        <v>11.151452301943271</v>
      </c>
      <c r="CP27" s="1151">
        <f t="shared" si="14"/>
        <v>11.036996787836125</v>
      </c>
      <c r="CQ27" s="1152">
        <f t="shared" si="6"/>
        <v>-0.11445551410714572</v>
      </c>
      <c r="CR27" s="1173">
        <f t="shared" si="54"/>
        <v>4.5798830812367415</v>
      </c>
      <c r="CS27" s="1153">
        <f t="shared" si="55"/>
        <v>4.5084442930307222</v>
      </c>
      <c r="CT27" s="1150">
        <f t="shared" si="51"/>
        <v>7.5733264188516927</v>
      </c>
      <c r="CU27" s="1151">
        <f t="shared" si="52"/>
        <v>6.4378538638519984</v>
      </c>
      <c r="CV27" s="1152">
        <f t="shared" si="7"/>
        <v>-1.1354725549996942</v>
      </c>
      <c r="CX27" s="1150"/>
      <c r="CY27" s="1151"/>
      <c r="CZ27" s="1151"/>
      <c r="DA27" s="1152">
        <f t="shared" si="17"/>
        <v>0</v>
      </c>
      <c r="DB27" s="1153">
        <f>CX27-CY27-CZ27</f>
        <v>0</v>
      </c>
      <c r="DC27" s="1154" t="e">
        <f t="shared" si="19"/>
        <v>#DIV/0!</v>
      </c>
      <c r="DD27" s="1150">
        <f t="shared" si="20"/>
        <v>0</v>
      </c>
      <c r="DE27" s="1150" t="e">
        <f t="shared" si="21"/>
        <v>#DIV/0!</v>
      </c>
      <c r="DF27" s="1173">
        <v>4.6439701014573371</v>
      </c>
      <c r="DG27" s="1150">
        <f t="shared" si="22"/>
        <v>0</v>
      </c>
      <c r="DI27" s="1434"/>
      <c r="DJ27" s="1435"/>
      <c r="DK27" s="1828"/>
      <c r="DL27" s="1434"/>
      <c r="DM27" s="1435">
        <f t="shared" si="53"/>
        <v>-2.8097399709302784</v>
      </c>
      <c r="DN27" s="1435"/>
    </row>
    <row r="28" spans="1:118" ht="12.75" customHeight="1">
      <c r="A28" s="1130">
        <v>1</v>
      </c>
      <c r="B28" s="3086"/>
      <c r="C28" s="1172" t="s">
        <v>588</v>
      </c>
      <c r="D28" s="1150">
        <v>7.7068417018479236</v>
      </c>
      <c r="E28" s="1151">
        <v>4.5903099999999997</v>
      </c>
      <c r="F28" s="1151">
        <v>1.88348274</v>
      </c>
      <c r="G28" s="1150">
        <v>6.9628216660104094</v>
      </c>
      <c r="H28" s="1151">
        <v>3.6613850000000001</v>
      </c>
      <c r="I28" s="1151">
        <v>1.6548588000000002</v>
      </c>
      <c r="J28" s="1150">
        <v>7.4675211852326173</v>
      </c>
      <c r="K28" s="1151">
        <v>5.2780100000000001</v>
      </c>
      <c r="L28" s="1151">
        <v>1.8559822399999988</v>
      </c>
      <c r="M28" s="1150">
        <v>6.3992986255379227</v>
      </c>
      <c r="N28" s="1151">
        <v>4.7708409999999999</v>
      </c>
      <c r="O28" s="1151">
        <v>1.589191</v>
      </c>
      <c r="P28" s="1150">
        <v>6.303486139368534</v>
      </c>
      <c r="Q28" s="1151">
        <v>3.5348160000000002</v>
      </c>
      <c r="R28" s="1151">
        <v>1.46109427</v>
      </c>
      <c r="S28" s="1150">
        <v>8.3331769999588285</v>
      </c>
      <c r="T28" s="1195">
        <v>4.9792719999999999</v>
      </c>
      <c r="U28" s="1155">
        <v>1.59382742</v>
      </c>
      <c r="V28" s="1150">
        <v>20.048146292341791</v>
      </c>
      <c r="W28" s="1151">
        <v>8.8565579999999997</v>
      </c>
      <c r="X28" s="1151">
        <v>2.1752234700000024</v>
      </c>
      <c r="Y28" s="1150">
        <v>13.631816118064664</v>
      </c>
      <c r="Z28" s="1151">
        <v>8.1907490000000003</v>
      </c>
      <c r="AA28" s="1151">
        <v>1.9197607400000003</v>
      </c>
      <c r="AB28" s="1150"/>
      <c r="AC28" s="1151"/>
      <c r="AD28" s="1151"/>
      <c r="AE28" s="1150"/>
      <c r="AF28" s="1151"/>
      <c r="AG28" s="1151"/>
      <c r="AH28" s="1150"/>
      <c r="AI28" s="1151"/>
      <c r="AJ28" s="1151"/>
      <c r="AK28" s="1150"/>
      <c r="AL28" s="1151"/>
      <c r="AM28" s="1151"/>
      <c r="AN28" s="1150">
        <v>76.630529463216547</v>
      </c>
      <c r="AO28" s="1151">
        <v>43.718910999999999</v>
      </c>
      <c r="AP28" s="1151">
        <v>14.024838070000003</v>
      </c>
      <c r="AQ28" s="1151">
        <f t="shared" si="45"/>
        <v>58.007859625423549</v>
      </c>
      <c r="AR28" s="1150">
        <v>7.9217765046326392</v>
      </c>
      <c r="AS28" s="1151">
        <v>5.1064259389342785</v>
      </c>
      <c r="AT28" s="1151">
        <v>1.9230320000000001</v>
      </c>
      <c r="AU28" s="1150">
        <v>7.4178680248718916</v>
      </c>
      <c r="AV28" s="1151">
        <v>3.7452770000000002</v>
      </c>
      <c r="AW28" s="1151">
        <v>1.7719696400000002</v>
      </c>
      <c r="AX28" s="1150"/>
      <c r="AY28" s="1151"/>
      <c r="AZ28" s="1151"/>
      <c r="BA28" s="1150">
        <v>6.9153167659139489</v>
      </c>
      <c r="BB28" s="1151">
        <v>4.6885273556423703</v>
      </c>
      <c r="BC28" s="1151">
        <v>1.6814560193466161</v>
      </c>
      <c r="BD28" s="1150">
        <v>6.8221321288607344</v>
      </c>
      <c r="BE28" s="1151">
        <v>3.885993</v>
      </c>
      <c r="BF28" s="1839">
        <v>1.5719741499999993</v>
      </c>
      <c r="BG28" s="1150">
        <v>9.7330792499756704</v>
      </c>
      <c r="BH28" s="1195">
        <v>5.6849530000000001</v>
      </c>
      <c r="BI28" s="1155">
        <v>1.6842308499999985</v>
      </c>
      <c r="BJ28" s="1150">
        <v>15.162654281610489</v>
      </c>
      <c r="BK28" s="1151">
        <v>8.9003610000000002</v>
      </c>
      <c r="BL28" s="1151">
        <v>2.0354977600000002</v>
      </c>
      <c r="BM28" s="1150"/>
      <c r="BN28" s="1151"/>
      <c r="BO28" s="1151"/>
      <c r="BP28" s="1150"/>
      <c r="BQ28" s="1151"/>
      <c r="BR28" s="1151"/>
      <c r="BS28" s="1150"/>
      <c r="BT28" s="1151"/>
      <c r="BU28" s="1151"/>
      <c r="BV28" s="1150"/>
      <c r="BW28" s="1151"/>
      <c r="BX28" s="1151"/>
      <c r="BY28" s="1150"/>
      <c r="BZ28" s="1151"/>
      <c r="CA28" s="1151"/>
      <c r="CB28" s="1150">
        <v>61.548717059994104</v>
      </c>
      <c r="CC28" s="1151">
        <v>38.178089938934285</v>
      </c>
      <c r="CD28" s="1151">
        <v>12.230360489999995</v>
      </c>
      <c r="CE28" s="1151">
        <f t="shared" si="46"/>
        <v>45.625433546394461</v>
      </c>
      <c r="CF28" s="1153">
        <f t="shared" si="1"/>
        <v>18.886780393216547</v>
      </c>
      <c r="CG28" s="1154">
        <f t="shared" si="47"/>
        <v>11.140266631059824</v>
      </c>
      <c r="CH28" s="1155">
        <f t="shared" si="2"/>
        <v>-7.7465137621567237</v>
      </c>
      <c r="CI28" s="1154">
        <f t="shared" si="3"/>
        <v>24.646548217159843</v>
      </c>
      <c r="CJ28" s="1154">
        <f t="shared" si="48"/>
        <v>18.099916884052906</v>
      </c>
      <c r="CK28" s="1154">
        <f t="shared" si="11"/>
        <v>-6.5466313331069372</v>
      </c>
      <c r="CL28" s="1150">
        <f t="shared" si="49"/>
        <v>14.288948625423551</v>
      </c>
      <c r="CM28" s="1157">
        <f t="shared" si="50"/>
        <v>7.4473436074601764</v>
      </c>
      <c r="CN28" s="1152">
        <f t="shared" si="13"/>
        <v>-6.8416050179633743</v>
      </c>
      <c r="CO28" s="1150">
        <f t="shared" si="5"/>
        <v>24.632780312344131</v>
      </c>
      <c r="CP28" s="1151">
        <f>(CM28/CE28)*100</f>
        <v>16.32278978760236</v>
      </c>
      <c r="CQ28" s="1152">
        <f t="shared" si="6"/>
        <v>-8.3099905247417709</v>
      </c>
      <c r="CR28" s="1173">
        <f t="shared" si="54"/>
        <v>4.5798830812367415</v>
      </c>
      <c r="CS28" s="1153">
        <f t="shared" si="55"/>
        <v>4.5084442930307222</v>
      </c>
      <c r="CT28" s="1150">
        <f t="shared" si="51"/>
        <v>65.441714058238318</v>
      </c>
      <c r="CU28" s="1151">
        <f t="shared" si="52"/>
        <v>33.575933785292662</v>
      </c>
      <c r="CV28" s="1152">
        <f t="shared" si="7"/>
        <v>-31.865780272945656</v>
      </c>
      <c r="CX28" s="1150"/>
      <c r="CY28" s="1195"/>
      <c r="CZ28" s="1195"/>
      <c r="DA28" s="1152">
        <f t="shared" si="17"/>
        <v>0</v>
      </c>
      <c r="DB28" s="1153">
        <f>CX28-CY28-CZ28</f>
        <v>0</v>
      </c>
      <c r="DC28" s="1154" t="e">
        <f>(CX28-CY28-CZ28)/CX28*100</f>
        <v>#DIV/0!</v>
      </c>
      <c r="DD28" s="1150">
        <f>DA28-CY28</f>
        <v>0</v>
      </c>
      <c r="DE28" s="1150" t="e">
        <f>(DD28/DA28)*100</f>
        <v>#DIV/0!</v>
      </c>
      <c r="DF28" s="1173">
        <v>4.6439701014573371</v>
      </c>
      <c r="DG28" s="1150">
        <f>DD28*DF28</f>
        <v>0</v>
      </c>
      <c r="DI28" s="1434"/>
      <c r="DJ28" s="1435"/>
      <c r="DK28" s="1828"/>
      <c r="DL28" s="1434"/>
      <c r="DM28" s="1435">
        <f t="shared" si="53"/>
        <v>-9.3198173442503034</v>
      </c>
      <c r="DN28" s="1435"/>
    </row>
    <row r="29" spans="1:118" ht="15.6">
      <c r="A29" s="1160">
        <f>SUM(A20:A28)</f>
        <v>9</v>
      </c>
      <c r="B29" s="3087"/>
      <c r="C29" s="1161" t="s">
        <v>311</v>
      </c>
      <c r="D29" s="1166">
        <f>SUM(D20:D28)</f>
        <v>81.991346399999969</v>
      </c>
      <c r="E29" s="1166">
        <f>SUM(E20:E28)</f>
        <v>42.843536000000007</v>
      </c>
      <c r="F29" s="1166">
        <f>SUM(F20:F28)</f>
        <v>27.387529000000001</v>
      </c>
      <c r="G29" s="1166">
        <v>73.089065899999866</v>
      </c>
      <c r="H29" s="1166">
        <v>39.939678000000001</v>
      </c>
      <c r="I29" s="1166">
        <v>26.215711940000002</v>
      </c>
      <c r="J29" s="1166">
        <f t="shared" ref="J29:AM29" si="56">SUM(J20:J28)</f>
        <v>74.914609399999947</v>
      </c>
      <c r="K29" s="1166">
        <f t="shared" si="56"/>
        <v>43.182877000000005</v>
      </c>
      <c r="L29" s="1166">
        <f t="shared" si="56"/>
        <v>26.351480849000001</v>
      </c>
      <c r="M29" s="1166">
        <f t="shared" si="56"/>
        <v>70.951522600000061</v>
      </c>
      <c r="N29" s="1166">
        <f t="shared" si="56"/>
        <v>44.496490718222937</v>
      </c>
      <c r="O29" s="1166">
        <f t="shared" si="56"/>
        <v>24.912986</v>
      </c>
      <c r="P29" s="1162">
        <f t="shared" si="56"/>
        <v>72.75847440000004</v>
      </c>
      <c r="Q29" s="1163">
        <f t="shared" si="56"/>
        <v>39.555964000000003</v>
      </c>
      <c r="R29" s="1163">
        <f t="shared" si="56"/>
        <v>25.771932430000003</v>
      </c>
      <c r="S29" s="1165">
        <f>SUM(S20:S28)</f>
        <v>90.128143799999947</v>
      </c>
      <c r="T29" s="1166">
        <f>SUM(T20:T28)</f>
        <v>40.749793999999994</v>
      </c>
      <c r="U29" s="1167">
        <f>SUM(U20:U28)</f>
        <v>27.600183349999998</v>
      </c>
      <c r="V29" s="1166">
        <f t="shared" si="56"/>
        <v>165.72865560000008</v>
      </c>
      <c r="W29" s="1166">
        <f t="shared" si="56"/>
        <v>77.739344999999986</v>
      </c>
      <c r="X29" s="1166">
        <f t="shared" si="56"/>
        <v>32.622311744000022</v>
      </c>
      <c r="Y29" s="1166">
        <f t="shared" si="56"/>
        <v>128.56938739999998</v>
      </c>
      <c r="Z29" s="1166">
        <f t="shared" si="56"/>
        <v>85.761887999999999</v>
      </c>
      <c r="AA29" s="1166">
        <f t="shared" si="56"/>
        <v>31.148863725000012</v>
      </c>
      <c r="AB29" s="1166">
        <f t="shared" si="56"/>
        <v>0</v>
      </c>
      <c r="AC29" s="1166">
        <f t="shared" si="56"/>
        <v>0</v>
      </c>
      <c r="AD29" s="1166">
        <f t="shared" si="56"/>
        <v>0</v>
      </c>
      <c r="AE29" s="1166">
        <f t="shared" si="56"/>
        <v>0</v>
      </c>
      <c r="AF29" s="1166">
        <f t="shared" si="56"/>
        <v>0</v>
      </c>
      <c r="AG29" s="1166">
        <f t="shared" si="56"/>
        <v>0</v>
      </c>
      <c r="AH29" s="1166">
        <f t="shared" si="56"/>
        <v>0</v>
      </c>
      <c r="AI29" s="1166">
        <f t="shared" si="56"/>
        <v>0</v>
      </c>
      <c r="AJ29" s="1166">
        <f t="shared" si="56"/>
        <v>0</v>
      </c>
      <c r="AK29" s="1166">
        <f t="shared" si="56"/>
        <v>0</v>
      </c>
      <c r="AL29" s="1166">
        <f t="shared" si="56"/>
        <v>0</v>
      </c>
      <c r="AM29" s="1166">
        <f t="shared" si="56"/>
        <v>0</v>
      </c>
      <c r="AN29" s="1162">
        <f>SUM(AN20:AN28)</f>
        <v>757.98682699999995</v>
      </c>
      <c r="AO29" s="1163">
        <f>SUM(AO20:AO28)</f>
        <v>415.65801371822295</v>
      </c>
      <c r="AP29" s="1163">
        <f>SUM(AP20:AP28)</f>
        <v>224.31200914900006</v>
      </c>
      <c r="AQ29" s="1166">
        <f t="shared" ref="AQ29:BU29" si="57">SUM(AQ20:AQ28)</f>
        <v>488.19560823099982</v>
      </c>
      <c r="AR29" s="1166">
        <f t="shared" si="57"/>
        <v>84.711572600000068</v>
      </c>
      <c r="AS29" s="1166">
        <f t="shared" si="57"/>
        <v>44.854441984900184</v>
      </c>
      <c r="AT29" s="1166">
        <f t="shared" si="57"/>
        <v>28.285837569000002</v>
      </c>
      <c r="AU29" s="1166">
        <f t="shared" si="57"/>
        <v>78.585089478476462</v>
      </c>
      <c r="AV29" s="1166">
        <f t="shared" si="57"/>
        <v>42.687729002835439</v>
      </c>
      <c r="AW29" s="1166">
        <f t="shared" si="57"/>
        <v>28.429835790000006</v>
      </c>
      <c r="AX29" s="1166">
        <f t="shared" si="57"/>
        <v>0</v>
      </c>
      <c r="AY29" s="1166">
        <f t="shared" si="57"/>
        <v>0</v>
      </c>
      <c r="AZ29" s="1166">
        <f t="shared" si="57"/>
        <v>0</v>
      </c>
      <c r="BA29" s="1166">
        <f t="shared" si="57"/>
        <v>73.616317700000039</v>
      </c>
      <c r="BB29" s="1166">
        <f t="shared" si="57"/>
        <v>46.368915256179712</v>
      </c>
      <c r="BC29" s="1166">
        <f t="shared" si="57"/>
        <v>25.809165908999997</v>
      </c>
      <c r="BD29" s="1166">
        <f t="shared" si="57"/>
        <v>80.396668999999903</v>
      </c>
      <c r="BE29" s="1166">
        <f t="shared" si="57"/>
        <v>44.369820059330522</v>
      </c>
      <c r="BF29" s="1166">
        <f t="shared" si="57"/>
        <v>28.817168590000005</v>
      </c>
      <c r="BG29" s="1165">
        <f t="shared" si="57"/>
        <v>104.72774164530688</v>
      </c>
      <c r="BH29" s="1166">
        <f t="shared" si="57"/>
        <v>48.321038000000001</v>
      </c>
      <c r="BI29" s="1167">
        <f t="shared" si="57"/>
        <v>32.390031467999982</v>
      </c>
      <c r="BJ29" s="1166">
        <f t="shared" si="57"/>
        <v>149.94288899999987</v>
      </c>
      <c r="BK29" s="1166">
        <f t="shared" si="57"/>
        <v>77.551736999999989</v>
      </c>
      <c r="BL29" s="1166">
        <f t="shared" si="57"/>
        <v>31.171141770000013</v>
      </c>
      <c r="BM29" s="1166">
        <f t="shared" si="57"/>
        <v>0</v>
      </c>
      <c r="BN29" s="1166">
        <f t="shared" si="57"/>
        <v>0</v>
      </c>
      <c r="BO29" s="1166">
        <f t="shared" si="57"/>
        <v>0</v>
      </c>
      <c r="BP29" s="1166">
        <f t="shared" si="57"/>
        <v>0</v>
      </c>
      <c r="BQ29" s="1166">
        <f t="shared" si="57"/>
        <v>0</v>
      </c>
      <c r="BR29" s="1166">
        <f t="shared" si="57"/>
        <v>0</v>
      </c>
      <c r="BS29" s="1166">
        <f t="shared" si="57"/>
        <v>0</v>
      </c>
      <c r="BT29" s="1166">
        <f t="shared" si="57"/>
        <v>0</v>
      </c>
      <c r="BU29" s="1166">
        <f t="shared" si="57"/>
        <v>0</v>
      </c>
      <c r="BV29" s="1166">
        <f t="shared" ref="BV29:CE29" si="58">SUM(BV20:BV28)</f>
        <v>0</v>
      </c>
      <c r="BW29" s="1166">
        <f t="shared" si="58"/>
        <v>0</v>
      </c>
      <c r="BX29" s="1166">
        <f t="shared" si="58"/>
        <v>0</v>
      </c>
      <c r="BY29" s="1166">
        <f t="shared" si="58"/>
        <v>0</v>
      </c>
      <c r="BZ29" s="1166">
        <f t="shared" si="58"/>
        <v>0</v>
      </c>
      <c r="CA29" s="1166">
        <f t="shared" si="58"/>
        <v>0</v>
      </c>
      <c r="CB29" s="1162">
        <f t="shared" si="58"/>
        <v>651.3758584349539</v>
      </c>
      <c r="CC29" s="1163">
        <f t="shared" si="58"/>
        <v>351.91224173502928</v>
      </c>
      <c r="CD29" s="1163">
        <f t="shared" si="58"/>
        <v>205.34834652700005</v>
      </c>
      <c r="CE29" s="1163">
        <f t="shared" si="58"/>
        <v>406.94496040185652</v>
      </c>
      <c r="CF29" s="1165">
        <f t="shared" si="1"/>
        <v>118.01680413277694</v>
      </c>
      <c r="CG29" s="1166">
        <f t="shared" si="47"/>
        <v>94.115270172924568</v>
      </c>
      <c r="CH29" s="1167">
        <f t="shared" si="2"/>
        <v>-23.901533959852372</v>
      </c>
      <c r="CI29" s="1166">
        <f t="shared" si="3"/>
        <v>15.569769807197051</v>
      </c>
      <c r="CJ29" s="1166">
        <f>(CB29-CC29-CD29)/CB29*100</f>
        <v>14.448688718530835</v>
      </c>
      <c r="CK29" s="1166">
        <f t="shared" si="11"/>
        <v>-1.1210810886662159</v>
      </c>
      <c r="CL29" s="1162">
        <f>SUM(CL20:CL28)</f>
        <v>72.537594512776934</v>
      </c>
      <c r="CM29" s="1163">
        <f>SUM(CM20:CM28)</f>
        <v>55.03271866682725</v>
      </c>
      <c r="CN29" s="1164">
        <f t="shared" si="13"/>
        <v>-17.504875845949684</v>
      </c>
      <c r="CO29" s="1162">
        <f t="shared" si="5"/>
        <v>14.85830541893246</v>
      </c>
      <c r="CP29" s="1163">
        <f t="shared" si="14"/>
        <v>13.523381297677863</v>
      </c>
      <c r="CQ29" s="1164">
        <f t="shared" si="6"/>
        <v>-1.3349241212545966</v>
      </c>
      <c r="CR29" s="1168">
        <f>CR28</f>
        <v>4.5798830812367415</v>
      </c>
      <c r="CS29" s="1165">
        <f>CS28</f>
        <v>4.5084442930307222</v>
      </c>
      <c r="CT29" s="1162">
        <f>SUM(CT20:CT28)</f>
        <v>332.21370186267825</v>
      </c>
      <c r="CU29" s="1163">
        <f>SUM(CU20:CU28)</f>
        <v>248.11194640342256</v>
      </c>
      <c r="CV29" s="1164">
        <f t="shared" si="7"/>
        <v>-84.101755459255685</v>
      </c>
      <c r="CX29" s="1162">
        <f>SUM(CX20:CX28)</f>
        <v>0</v>
      </c>
      <c r="CY29" s="1162">
        <f>SUM(CY20:CY28)</f>
        <v>0</v>
      </c>
      <c r="CZ29" s="1162">
        <f>SUM(CZ20:CZ28)</f>
        <v>0</v>
      </c>
      <c r="DA29" s="1162">
        <f>SUM(DA20:DA28)</f>
        <v>0</v>
      </c>
      <c r="DB29" s="1165">
        <f t="shared" si="18"/>
        <v>0</v>
      </c>
      <c r="DC29" s="1166" t="e">
        <f t="shared" si="19"/>
        <v>#DIV/0!</v>
      </c>
      <c r="DD29" s="1162">
        <f t="shared" si="20"/>
        <v>0</v>
      </c>
      <c r="DE29" s="1162" t="e">
        <f t="shared" si="21"/>
        <v>#DIV/0!</v>
      </c>
      <c r="DF29" s="1168">
        <v>4.6439701014573371</v>
      </c>
      <c r="DG29" s="1162">
        <f t="shared" si="22"/>
        <v>0</v>
      </c>
      <c r="DI29" s="1432">
        <f>AN29-ventes_achats_élec!G20</f>
        <v>0</v>
      </c>
      <c r="DJ29" s="1433">
        <f>AO29-ventes_achats_élec!D20</f>
        <v>7.7182229460959206E-6</v>
      </c>
      <c r="DK29" s="1827">
        <f>AP29-ventes_achats_élec!E20</f>
        <v>2.6991850000968043E-3</v>
      </c>
      <c r="DL29" s="1432">
        <f>CB29-ventes_achats_élec!M20</f>
        <v>-148.67987856504612</v>
      </c>
      <c r="DM29" s="1433">
        <f>CC29-ventes_achats_élec!J20</f>
        <v>-85.906807266211899</v>
      </c>
      <c r="DN29" s="1433">
        <f>CD29-ventes_achats_élec!K20</f>
        <v>-34.069421819999945</v>
      </c>
    </row>
    <row r="30" spans="1:118" ht="12.75" customHeight="1">
      <c r="A30" s="1130">
        <v>1</v>
      </c>
      <c r="B30" s="3085" t="s">
        <v>119</v>
      </c>
      <c r="C30" s="1172" t="s">
        <v>8</v>
      </c>
      <c r="D30" s="1150">
        <v>14.689456592614755</v>
      </c>
      <c r="E30" s="1151">
        <v>6.6186100000000003</v>
      </c>
      <c r="F30" s="1151">
        <v>4.9300077600000005</v>
      </c>
      <c r="G30" s="1150">
        <v>18.04</v>
      </c>
      <c r="H30" s="1151">
        <v>8.5242900000000077</v>
      </c>
      <c r="I30" s="1151">
        <v>6.4119966499999999</v>
      </c>
      <c r="J30" s="1150">
        <v>15.93</v>
      </c>
      <c r="K30" s="1151">
        <v>8.2784939999999967</v>
      </c>
      <c r="L30" s="1151">
        <v>5.8296864099999999</v>
      </c>
      <c r="M30" s="1150">
        <v>16.111911392833306</v>
      </c>
      <c r="N30" s="1151">
        <v>7.0340769999999999</v>
      </c>
      <c r="O30" s="1151">
        <v>5.7312744100000002</v>
      </c>
      <c r="P30" s="1150">
        <v>17.061341045774224</v>
      </c>
      <c r="Q30" s="1151">
        <v>9.3213869999999943</v>
      </c>
      <c r="R30" s="1151">
        <v>5.5359999999999996</v>
      </c>
      <c r="S30" s="1150">
        <v>17.18645435891564</v>
      </c>
      <c r="T30" s="1195">
        <v>11.318494000000003</v>
      </c>
      <c r="U30" s="1155">
        <v>4.9811899999999998</v>
      </c>
      <c r="V30" s="1150"/>
      <c r="W30" s="1151"/>
      <c r="X30" s="1151"/>
      <c r="Y30" s="1150">
        <v>25.12</v>
      </c>
      <c r="Z30" s="1151">
        <v>16.768816000000012</v>
      </c>
      <c r="AA30" s="1151">
        <v>7.0873368300000008</v>
      </c>
      <c r="AB30" s="1150"/>
      <c r="AC30" s="1151"/>
      <c r="AD30" s="1151"/>
      <c r="AE30" s="1150"/>
      <c r="AF30" s="1151"/>
      <c r="AG30" s="1151"/>
      <c r="AH30" s="1150"/>
      <c r="AI30" s="1151"/>
      <c r="AJ30" s="1151"/>
      <c r="AK30" s="1150"/>
      <c r="AL30" s="1151"/>
      <c r="AM30" s="1151"/>
      <c r="AN30" s="1150">
        <v>146.06522150167748</v>
      </c>
      <c r="AO30" s="1151">
        <v>79.825355000000016</v>
      </c>
      <c r="AP30" s="1151">
        <v>49.930102990000002</v>
      </c>
      <c r="AQ30" s="1151">
        <f t="shared" ref="AQ30:AQ37" si="59">AN30-(AN30*0.06)-AP30</f>
        <v>87.371205221576844</v>
      </c>
      <c r="AR30" s="1150">
        <v>15.66</v>
      </c>
      <c r="AS30" s="1151">
        <v>7.1370819999999995</v>
      </c>
      <c r="AT30" s="1151">
        <v>7.65</v>
      </c>
      <c r="AU30" s="1150">
        <v>16.93</v>
      </c>
      <c r="AV30" s="1151">
        <v>9.2224679999999992</v>
      </c>
      <c r="AW30" s="1151">
        <v>5.4645176199999996</v>
      </c>
      <c r="AX30" s="1150"/>
      <c r="AY30" s="1151"/>
      <c r="AZ30" s="1151"/>
      <c r="BA30" s="1150">
        <v>12.07</v>
      </c>
      <c r="BB30" s="1151">
        <v>7.8352629999999985</v>
      </c>
      <c r="BC30" s="1151">
        <v>4.5606099999999996</v>
      </c>
      <c r="BD30" s="1150">
        <v>16.107179986414703</v>
      </c>
      <c r="BE30" s="1151">
        <v>9.7728030000000068</v>
      </c>
      <c r="BF30" s="1839">
        <v>4.7426006699999999</v>
      </c>
      <c r="BG30" s="1150">
        <v>16.899999999999999</v>
      </c>
      <c r="BH30" s="1195">
        <v>11.826398000000005</v>
      </c>
      <c r="BI30" s="1155">
        <v>5.6851373499999998</v>
      </c>
      <c r="BJ30" s="1150">
        <v>20.46</v>
      </c>
      <c r="BK30" s="1151">
        <v>11.307409999999999</v>
      </c>
      <c r="BL30" s="1151">
        <v>3.9483999999999999</v>
      </c>
      <c r="BM30" s="1150"/>
      <c r="BN30" s="1151"/>
      <c r="BO30" s="1151"/>
      <c r="BP30" s="1150"/>
      <c r="BQ30" s="1151"/>
      <c r="BR30" s="1151"/>
      <c r="BS30" s="1150"/>
      <c r="BT30" s="1151"/>
      <c r="BU30" s="1151"/>
      <c r="BV30" s="1150"/>
      <c r="BW30" s="1151"/>
      <c r="BX30" s="1151"/>
      <c r="BY30" s="1150"/>
      <c r="BZ30" s="1151"/>
      <c r="CA30" s="1151"/>
      <c r="CB30" s="1150">
        <v>114.51</v>
      </c>
      <c r="CC30" s="1151">
        <v>68.795013000000012</v>
      </c>
      <c r="CD30" s="1151">
        <v>36.974038969999995</v>
      </c>
      <c r="CE30" s="1151">
        <f t="shared" si="46"/>
        <v>70.665361030000014</v>
      </c>
      <c r="CF30" s="1153">
        <f t="shared" si="1"/>
        <v>16.309763511677467</v>
      </c>
      <c r="CG30" s="1154">
        <f t="shared" si="47"/>
        <v>8.7409480299999984</v>
      </c>
      <c r="CH30" s="1155">
        <f t="shared" si="2"/>
        <v>-7.5688154816774684</v>
      </c>
      <c r="CI30" s="1154">
        <f t="shared" si="3"/>
        <v>11.166082756729438</v>
      </c>
      <c r="CJ30" s="1154">
        <f t="shared" ref="CJ30:CJ37" si="60">(CB30-CC30-CD30)/CB30*100</f>
        <v>7.6333490786830822</v>
      </c>
      <c r="CK30" s="1154">
        <f t="shared" si="11"/>
        <v>-3.5327336780463554</v>
      </c>
      <c r="CL30" s="1150">
        <f t="shared" ref="CL30:CL37" si="61">AQ30-AO30</f>
        <v>7.5458502215768277</v>
      </c>
      <c r="CM30" s="1157">
        <f t="shared" ref="CM30:CM37" si="62">CE30-CC30</f>
        <v>1.8703480300000024</v>
      </c>
      <c r="CN30" s="1152">
        <f t="shared" si="13"/>
        <v>-5.6755021915768253</v>
      </c>
      <c r="CO30" s="1150">
        <f t="shared" si="5"/>
        <v>8.6365412980629621</v>
      </c>
      <c r="CP30" s="1151">
        <f t="shared" si="14"/>
        <v>2.6467678120344873</v>
      </c>
      <c r="CQ30" s="1152">
        <f t="shared" si="6"/>
        <v>-5.9897734860284748</v>
      </c>
      <c r="CR30" s="1173">
        <f>élec!AZ292/100</f>
        <v>4.457471475092043</v>
      </c>
      <c r="CS30" s="1153">
        <f>élec!AZ307/100</f>
        <v>4.4026437976186328</v>
      </c>
      <c r="CT30" s="1150">
        <f t="shared" ref="CT30:CT37" si="63">CL30*CR30</f>
        <v>33.635412117995685</v>
      </c>
      <c r="CU30" s="1151">
        <f t="shared" ref="CU30:CU37" si="64">CS30*CM30</f>
        <v>8.2344761536677389</v>
      </c>
      <c r="CV30" s="1152">
        <f t="shared" si="7"/>
        <v>-25.400935964327946</v>
      </c>
      <c r="CX30" s="1150"/>
      <c r="CY30" s="1151"/>
      <c r="CZ30" s="1151"/>
      <c r="DA30" s="1152">
        <f t="shared" si="17"/>
        <v>0</v>
      </c>
      <c r="DB30" s="1153">
        <f t="shared" si="18"/>
        <v>0</v>
      </c>
      <c r="DC30" s="1154" t="e">
        <f t="shared" si="19"/>
        <v>#DIV/0!</v>
      </c>
      <c r="DD30" s="1150">
        <f t="shared" si="20"/>
        <v>0</v>
      </c>
      <c r="DE30" s="1150" t="e">
        <f t="shared" si="21"/>
        <v>#DIV/0!</v>
      </c>
      <c r="DF30" s="1173">
        <v>4.6174980418038505</v>
      </c>
      <c r="DG30" s="1150">
        <f t="shared" si="22"/>
        <v>0</v>
      </c>
      <c r="DI30" s="1434">
        <f>AN30/AN$38*DI$38</f>
        <v>6.673385129848477E-3</v>
      </c>
      <c r="DJ30" s="1435">
        <f t="shared" ref="DJ30:DK37" si="65">AO30/AO$38*DJ$38</f>
        <v>0</v>
      </c>
      <c r="DK30" s="1435">
        <f t="shared" si="65"/>
        <v>1.9932245685352515E-3</v>
      </c>
      <c r="DL30" s="1434"/>
      <c r="DM30" s="1435">
        <f>CC30/CC$38*DM$38</f>
        <v>-14.934888837944055</v>
      </c>
      <c r="DN30" s="1435"/>
    </row>
    <row r="31" spans="1:118" ht="12.75" customHeight="1">
      <c r="A31" s="1130">
        <v>1</v>
      </c>
      <c r="B31" s="3086"/>
      <c r="C31" s="1172" t="s">
        <v>120</v>
      </c>
      <c r="D31" s="1150">
        <v>8.7446139999999701</v>
      </c>
      <c r="E31" s="1151">
        <v>6.7080159999999998</v>
      </c>
      <c r="F31" s="1151">
        <v>2.0147465499999999</v>
      </c>
      <c r="G31" s="1150">
        <v>7.7935885000000003</v>
      </c>
      <c r="H31" s="1151">
        <v>3.2762390000000021</v>
      </c>
      <c r="I31" s="1151">
        <v>2.0239793000000001</v>
      </c>
      <c r="J31" s="1150">
        <v>8.0777439999999991</v>
      </c>
      <c r="K31" s="1151">
        <v>4.0030180000000009</v>
      </c>
      <c r="L31" s="1151">
        <v>2.2481611099999999</v>
      </c>
      <c r="M31" s="1150">
        <v>7.0756313076551436</v>
      </c>
      <c r="N31" s="1151">
        <v>6.7495289999999999</v>
      </c>
      <c r="O31" s="1151">
        <v>1.3741744199999999</v>
      </c>
      <c r="P31" s="1150">
        <v>7.079756000000013</v>
      </c>
      <c r="Q31" s="1151">
        <v>3.7250820000000018</v>
      </c>
      <c r="R31" s="1151">
        <v>1.48</v>
      </c>
      <c r="S31" s="1150">
        <v>8.5126575000000138</v>
      </c>
      <c r="T31" s="1195">
        <v>6.0645199999999999</v>
      </c>
      <c r="U31" s="1155">
        <v>1.3058000000000001</v>
      </c>
      <c r="V31" s="1150"/>
      <c r="W31" s="1151"/>
      <c r="X31" s="1151"/>
      <c r="Y31" s="1150">
        <v>12.147525500000004</v>
      </c>
      <c r="Z31" s="1151">
        <v>7.181716999999999</v>
      </c>
      <c r="AA31" s="1151">
        <v>1.8269070800000002</v>
      </c>
      <c r="AB31" s="1150"/>
      <c r="AC31" s="1151"/>
      <c r="AD31" s="1151"/>
      <c r="AE31" s="1150"/>
      <c r="AF31" s="1151"/>
      <c r="AG31" s="1151"/>
      <c r="AH31" s="1150"/>
      <c r="AI31" s="1151"/>
      <c r="AJ31" s="1151"/>
      <c r="AK31" s="1150"/>
      <c r="AL31" s="1151"/>
      <c r="AM31" s="1151"/>
      <c r="AN31" s="1150">
        <v>75.599939499999977</v>
      </c>
      <c r="AO31" s="1151">
        <v>50.845203999999995</v>
      </c>
      <c r="AP31" s="1151">
        <v>13.98109665</v>
      </c>
      <c r="AQ31" s="1151">
        <f t="shared" si="59"/>
        <v>57.082846479999986</v>
      </c>
      <c r="AR31" s="1150">
        <v>8.6524959999999993</v>
      </c>
      <c r="AS31" s="1151">
        <v>6.6994769999999999</v>
      </c>
      <c r="AT31" s="1151">
        <v>2.4300000000000002</v>
      </c>
      <c r="AU31" s="1150">
        <v>8.0709300000000006</v>
      </c>
      <c r="AV31" s="1151">
        <v>3.5399069999999999</v>
      </c>
      <c r="AW31" s="1151">
        <v>2.1239372599999999</v>
      </c>
      <c r="AX31" s="1150"/>
      <c r="AY31" s="1151"/>
      <c r="AZ31" s="1151"/>
      <c r="BA31" s="1150">
        <v>7.2267929999999962</v>
      </c>
      <c r="BB31" s="1151">
        <v>7.2722989999999967</v>
      </c>
      <c r="BC31" s="1151">
        <v>1.595</v>
      </c>
      <c r="BD31" s="1150">
        <v>7.6567235000000036</v>
      </c>
      <c r="BE31" s="1151">
        <v>4.0751610000000005</v>
      </c>
      <c r="BF31" s="1839">
        <v>1.6129247900000001</v>
      </c>
      <c r="BG31" s="1150">
        <v>9.9520319999999955</v>
      </c>
      <c r="BH31" s="1195">
        <v>5.9885210000000013</v>
      </c>
      <c r="BI31" s="1155">
        <v>1.72208045</v>
      </c>
      <c r="BJ31" s="1150">
        <v>15.418168000000007</v>
      </c>
      <c r="BK31" s="1151">
        <v>12.13359900000002</v>
      </c>
      <c r="BL31" s="1151">
        <v>1.4886999999999999</v>
      </c>
      <c r="BM31" s="1150"/>
      <c r="BN31" s="1151"/>
      <c r="BO31" s="1151"/>
      <c r="BP31" s="1150"/>
      <c r="BQ31" s="1151"/>
      <c r="BR31" s="1151"/>
      <c r="BS31" s="1150"/>
      <c r="BT31" s="1151"/>
      <c r="BU31" s="1151"/>
      <c r="BV31" s="1150"/>
      <c r="BW31" s="1151"/>
      <c r="BX31" s="1151"/>
      <c r="BY31" s="1150"/>
      <c r="BZ31" s="1151"/>
      <c r="CA31" s="1151"/>
      <c r="CB31" s="1150">
        <v>65.052856418168005</v>
      </c>
      <c r="CC31" s="1151">
        <v>45.753089000000017</v>
      </c>
      <c r="CD31" s="1151">
        <v>12.674587059999999</v>
      </c>
      <c r="CE31" s="1151">
        <f t="shared" si="46"/>
        <v>48.475097973077922</v>
      </c>
      <c r="CF31" s="1153">
        <f t="shared" si="1"/>
        <v>10.773638849999982</v>
      </c>
      <c r="CG31" s="1154">
        <f t="shared" si="47"/>
        <v>6.6251803581679898</v>
      </c>
      <c r="CH31" s="1155">
        <f t="shared" si="2"/>
        <v>-4.1484584918319918</v>
      </c>
      <c r="CI31" s="1154">
        <f t="shared" si="3"/>
        <v>14.250856444137744</v>
      </c>
      <c r="CJ31" s="1154">
        <f t="shared" si="60"/>
        <v>10.184303538618645</v>
      </c>
      <c r="CK31" s="1154">
        <f t="shared" si="11"/>
        <v>-4.0665529055190994</v>
      </c>
      <c r="CL31" s="1150">
        <f t="shared" si="61"/>
        <v>6.237642479999991</v>
      </c>
      <c r="CM31" s="1157">
        <f t="shared" si="62"/>
        <v>2.7220089730779051</v>
      </c>
      <c r="CN31" s="1152">
        <f t="shared" si="13"/>
        <v>-3.5156335069220859</v>
      </c>
      <c r="CO31" s="1150">
        <f t="shared" si="5"/>
        <v>10.927350096644991</v>
      </c>
      <c r="CP31" s="1151">
        <f t="shared" si="14"/>
        <v>5.6152727625009717</v>
      </c>
      <c r="CQ31" s="1152">
        <f t="shared" si="6"/>
        <v>-5.3120773341440195</v>
      </c>
      <c r="CR31" s="1173">
        <f>CR30</f>
        <v>4.457471475092043</v>
      </c>
      <c r="CS31" s="1153">
        <f>CS30</f>
        <v>4.4026437976186328</v>
      </c>
      <c r="CT31" s="1150">
        <f t="shared" si="63"/>
        <v>27.804113426422351</v>
      </c>
      <c r="CU31" s="1151">
        <f t="shared" si="64"/>
        <v>11.984035922383702</v>
      </c>
      <c r="CV31" s="1152">
        <f t="shared" si="7"/>
        <v>-15.820077504038649</v>
      </c>
      <c r="CX31" s="1150"/>
      <c r="CY31" s="1151"/>
      <c r="CZ31" s="1151"/>
      <c r="DA31" s="1152">
        <f t="shared" si="17"/>
        <v>0</v>
      </c>
      <c r="DB31" s="1153">
        <f t="shared" si="18"/>
        <v>0</v>
      </c>
      <c r="DC31" s="1154" t="e">
        <f t="shared" si="19"/>
        <v>#DIV/0!</v>
      </c>
      <c r="DD31" s="1150">
        <f t="shared" si="20"/>
        <v>0</v>
      </c>
      <c r="DE31" s="1150" t="e">
        <f t="shared" si="21"/>
        <v>#DIV/0!</v>
      </c>
      <c r="DF31" s="1173">
        <v>4.6174980418038505</v>
      </c>
      <c r="DG31" s="1150">
        <f t="shared" si="22"/>
        <v>0</v>
      </c>
      <c r="DI31" s="1434">
        <f t="shared" ref="DI31:DI37" si="66">AN31/AN$38*DI$38</f>
        <v>3.4539879301175771E-3</v>
      </c>
      <c r="DJ31" s="1435">
        <f t="shared" si="65"/>
        <v>0</v>
      </c>
      <c r="DK31" s="1435">
        <f t="shared" si="65"/>
        <v>5.5812953847556046E-4</v>
      </c>
      <c r="DL31" s="1434"/>
      <c r="DM31" s="1435">
        <f t="shared" ref="DM31:DM37" si="67">CC31/CC$38*DM$38</f>
        <v>-9.932657447242013</v>
      </c>
      <c r="DN31" s="1435"/>
    </row>
    <row r="32" spans="1:118" ht="12.75" customHeight="1">
      <c r="A32" s="1130">
        <v>1</v>
      </c>
      <c r="B32" s="3086"/>
      <c r="C32" s="1172" t="s">
        <v>66</v>
      </c>
      <c r="D32" s="1150">
        <v>9.2123370000000815</v>
      </c>
      <c r="E32" s="1151">
        <v>5.6898479999999996</v>
      </c>
      <c r="F32" s="1151">
        <v>2.8446023</v>
      </c>
      <c r="G32" s="1150">
        <v>8.1835769999999339</v>
      </c>
      <c r="H32" s="1151">
        <v>6.4503869999999903</v>
      </c>
      <c r="I32" s="1151">
        <v>2.5857779599999997</v>
      </c>
      <c r="J32" s="1150">
        <v>10.114552</v>
      </c>
      <c r="K32" s="1151">
        <v>7.5823680000000016</v>
      </c>
      <c r="L32" s="1151">
        <v>2.88452171</v>
      </c>
      <c r="M32" s="1150">
        <v>10.006410940797151</v>
      </c>
      <c r="N32" s="1151">
        <v>6.1020380000000003</v>
      </c>
      <c r="O32" s="1151">
        <v>2.1834809900000001</v>
      </c>
      <c r="P32" s="1150">
        <v>10.282554000000033</v>
      </c>
      <c r="Q32" s="1151">
        <v>7.3145299999999898</v>
      </c>
      <c r="R32" s="1151">
        <v>2.25</v>
      </c>
      <c r="S32" s="1150">
        <v>11.417467090000013</v>
      </c>
      <c r="T32" s="1195">
        <v>8.8637569999999961</v>
      </c>
      <c r="U32" s="1155">
        <v>2.2159</v>
      </c>
      <c r="V32" s="1150"/>
      <c r="W32" s="1151"/>
      <c r="X32" s="1151"/>
      <c r="Y32" s="1150">
        <v>15.646922999999987</v>
      </c>
      <c r="Z32" s="1151">
        <v>13.23808299999998</v>
      </c>
      <c r="AA32" s="1151">
        <v>2.9730721099999999</v>
      </c>
      <c r="AB32" s="1150"/>
      <c r="AC32" s="1151"/>
      <c r="AD32" s="1151"/>
      <c r="AE32" s="1150"/>
      <c r="AF32" s="1151"/>
      <c r="AG32" s="1151"/>
      <c r="AH32" s="1150"/>
      <c r="AI32" s="1151"/>
      <c r="AJ32" s="1151"/>
      <c r="AK32" s="1150"/>
      <c r="AL32" s="1151"/>
      <c r="AM32" s="1151"/>
      <c r="AN32" s="1150">
        <v>98.578594400000028</v>
      </c>
      <c r="AO32" s="1151">
        <v>65.178302999999957</v>
      </c>
      <c r="AP32" s="1151">
        <v>21.24815448</v>
      </c>
      <c r="AQ32" s="1151">
        <f t="shared" si="59"/>
        <v>71.415724256000033</v>
      </c>
      <c r="AR32" s="1150">
        <v>10.905889</v>
      </c>
      <c r="AS32" s="1151">
        <v>6.4511329999999996</v>
      </c>
      <c r="AT32" s="1151">
        <v>2.5790000000000002</v>
      </c>
      <c r="AU32" s="1150">
        <v>10.144663</v>
      </c>
      <c r="AV32" s="1151">
        <v>7.0116890000000076</v>
      </c>
      <c r="AW32" s="1151">
        <v>2.4295980899999998</v>
      </c>
      <c r="AX32" s="1150"/>
      <c r="AY32" s="1151"/>
      <c r="AZ32" s="1151"/>
      <c r="BA32" s="1150">
        <v>10.807189999999919</v>
      </c>
      <c r="BB32" s="1151">
        <v>6.9272739999999837</v>
      </c>
      <c r="BC32" s="1151">
        <v>2.56</v>
      </c>
      <c r="BD32" s="1150">
        <v>11.175263999999926</v>
      </c>
      <c r="BE32" s="1151">
        <v>7.4599609999999981</v>
      </c>
      <c r="BF32" s="1839">
        <v>2.6073856100000001</v>
      </c>
      <c r="BG32" s="1150">
        <v>12.9545510000001</v>
      </c>
      <c r="BH32" s="1195">
        <v>9.0662279999999988</v>
      </c>
      <c r="BI32" s="1155">
        <v>2.9584133600000002</v>
      </c>
      <c r="BJ32" s="1150">
        <v>18.205234000000008</v>
      </c>
      <c r="BK32" s="1151">
        <v>10.179782000000001</v>
      </c>
      <c r="BL32" s="1151">
        <v>2.6229</v>
      </c>
      <c r="BM32" s="1150"/>
      <c r="BN32" s="1151"/>
      <c r="BO32" s="1151"/>
      <c r="BP32" s="1150"/>
      <c r="BQ32" s="1151"/>
      <c r="BR32" s="1151"/>
      <c r="BS32" s="1150"/>
      <c r="BT32" s="1151"/>
      <c r="BU32" s="1151"/>
      <c r="BV32" s="1150"/>
      <c r="BW32" s="1151"/>
      <c r="BX32" s="1151"/>
      <c r="BY32" s="1150"/>
      <c r="BZ32" s="1151"/>
      <c r="CA32" s="1151"/>
      <c r="CB32" s="1150">
        <v>85.319148205233972</v>
      </c>
      <c r="CC32" s="1151">
        <v>55.843429999999984</v>
      </c>
      <c r="CD32" s="1151">
        <v>18.588975560000002</v>
      </c>
      <c r="CE32" s="1151">
        <f t="shared" si="46"/>
        <v>61.611023752919927</v>
      </c>
      <c r="CF32" s="1153">
        <f t="shared" si="1"/>
        <v>12.152136920000071</v>
      </c>
      <c r="CG32" s="1154">
        <f t="shared" si="47"/>
        <v>10.886742645233987</v>
      </c>
      <c r="CH32" s="1155">
        <f t="shared" si="2"/>
        <v>-1.2653942747660842</v>
      </c>
      <c r="CI32" s="1154">
        <f t="shared" si="3"/>
        <v>12.327358686704978</v>
      </c>
      <c r="CJ32" s="1154">
        <f t="shared" si="60"/>
        <v>12.760022661086683</v>
      </c>
      <c r="CK32" s="1154">
        <f t="shared" si="11"/>
        <v>0.43266397438170578</v>
      </c>
      <c r="CL32" s="1150">
        <f t="shared" si="61"/>
        <v>6.2374212560000757</v>
      </c>
      <c r="CM32" s="1157">
        <f t="shared" si="62"/>
        <v>5.767593752919943</v>
      </c>
      <c r="CN32" s="1152">
        <f t="shared" si="13"/>
        <v>-0.46982750308013266</v>
      </c>
      <c r="CO32" s="1150">
        <f t="shared" si="5"/>
        <v>8.733960652196334</v>
      </c>
      <c r="CP32" s="1151">
        <f t="shared" si="14"/>
        <v>9.3613016009113128</v>
      </c>
      <c r="CQ32" s="1152">
        <f t="shared" si="6"/>
        <v>0.62734094871497881</v>
      </c>
      <c r="CR32" s="1173">
        <f t="shared" ref="CR32:CR38" si="68">CR31</f>
        <v>4.457471475092043</v>
      </c>
      <c r="CS32" s="1153">
        <f t="shared" ref="CS32:CS38" si="69">CS31</f>
        <v>4.4026437976186328</v>
      </c>
      <c r="CT32" s="1150">
        <f t="shared" si="63"/>
        <v>27.80312732675312</v>
      </c>
      <c r="CU32" s="1151">
        <f t="shared" si="64"/>
        <v>25.392660863476959</v>
      </c>
      <c r="CV32" s="1152">
        <f t="shared" si="7"/>
        <v>-2.4104664632761619</v>
      </c>
      <c r="CX32" s="1150"/>
      <c r="CY32" s="1151"/>
      <c r="CZ32" s="1151"/>
      <c r="DA32" s="1152">
        <f t="shared" si="17"/>
        <v>0</v>
      </c>
      <c r="DB32" s="1153">
        <f t="shared" si="18"/>
        <v>0</v>
      </c>
      <c r="DC32" s="1154" t="e">
        <f t="shared" si="19"/>
        <v>#DIV/0!</v>
      </c>
      <c r="DD32" s="1150">
        <f t="shared" si="20"/>
        <v>0</v>
      </c>
      <c r="DE32" s="1150" t="e">
        <f t="shared" si="21"/>
        <v>#DIV/0!</v>
      </c>
      <c r="DF32" s="1173">
        <v>4.6174980418038505</v>
      </c>
      <c r="DG32" s="1150">
        <f t="shared" si="22"/>
        <v>0</v>
      </c>
      <c r="DI32" s="1434">
        <f t="shared" si="66"/>
        <v>4.5038299961279249E-3</v>
      </c>
      <c r="DJ32" s="1435">
        <f t="shared" si="65"/>
        <v>0</v>
      </c>
      <c r="DK32" s="1435">
        <f t="shared" si="65"/>
        <v>8.4823264943095951E-4</v>
      </c>
      <c r="DL32" s="1434"/>
      <c r="DM32" s="1435">
        <f t="shared" si="67"/>
        <v>-12.123195897637373</v>
      </c>
      <c r="DN32" s="1435"/>
    </row>
    <row r="33" spans="1:125" ht="12.75" customHeight="1">
      <c r="A33" s="1130">
        <v>1</v>
      </c>
      <c r="B33" s="3086"/>
      <c r="C33" s="1172" t="s">
        <v>121</v>
      </c>
      <c r="D33" s="1150">
        <v>9.2283409999999595</v>
      </c>
      <c r="E33" s="1151">
        <v>5.9444699999999999</v>
      </c>
      <c r="F33" s="1151">
        <v>1.5231773</v>
      </c>
      <c r="G33" s="1150">
        <v>7.9687919999999952</v>
      </c>
      <c r="H33" s="1151">
        <v>6.3496010000000078</v>
      </c>
      <c r="I33" s="1151">
        <v>1.4177580000000001</v>
      </c>
      <c r="J33" s="1150">
        <v>8.3073300000000003</v>
      </c>
      <c r="K33" s="1151">
        <v>5.4058120000000009</v>
      </c>
      <c r="L33" s="1151">
        <v>1.47033503</v>
      </c>
      <c r="M33" s="1150">
        <v>8.7305431706024219</v>
      </c>
      <c r="N33" s="1151">
        <v>6.9048280000000002</v>
      </c>
      <c r="O33" s="1151">
        <v>1.3854246600000002</v>
      </c>
      <c r="P33" s="1150">
        <v>8.8945249999999625</v>
      </c>
      <c r="Q33" s="1151">
        <v>7.166260000000003</v>
      </c>
      <c r="R33" s="1151">
        <v>1.41</v>
      </c>
      <c r="S33" s="1150">
        <v>10.815548000000003</v>
      </c>
      <c r="T33" s="1195">
        <v>6.5129189999999966</v>
      </c>
      <c r="U33" s="1155">
        <v>1.5035000000000001</v>
      </c>
      <c r="V33" s="1150"/>
      <c r="W33" s="1151"/>
      <c r="X33" s="1151"/>
      <c r="Y33" s="1150">
        <v>14.939855000000057</v>
      </c>
      <c r="Z33" s="1151">
        <v>13.16274300000001</v>
      </c>
      <c r="AA33" s="1151">
        <v>2.3196499799999999</v>
      </c>
      <c r="AB33" s="1150"/>
      <c r="AC33" s="1151"/>
      <c r="AD33" s="1151"/>
      <c r="AE33" s="1150"/>
      <c r="AF33" s="1151"/>
      <c r="AG33" s="1151"/>
      <c r="AH33" s="1150"/>
      <c r="AI33" s="1151"/>
      <c r="AJ33" s="1151"/>
      <c r="AK33" s="1150"/>
      <c r="AL33" s="1151"/>
      <c r="AM33" s="1151"/>
      <c r="AN33" s="1150">
        <v>89.752317999999988</v>
      </c>
      <c r="AO33" s="1151">
        <v>61.617488000000009</v>
      </c>
      <c r="AP33" s="1151">
        <v>13.65005201</v>
      </c>
      <c r="AQ33" s="1151">
        <f t="shared" si="59"/>
        <v>70.71712690999999</v>
      </c>
      <c r="AR33" s="1150">
        <v>9.3142490000000002</v>
      </c>
      <c r="AS33" s="1151">
        <v>6.0471180000000002</v>
      </c>
      <c r="AT33" s="1151">
        <v>1.5569999999999999</v>
      </c>
      <c r="AU33" s="1150">
        <v>8.5098509999999994</v>
      </c>
      <c r="AV33" s="1151">
        <v>7.1405880000000019</v>
      </c>
      <c r="AW33" s="1151">
        <v>1.47489424</v>
      </c>
      <c r="AX33" s="1150"/>
      <c r="AY33" s="1151"/>
      <c r="AZ33" s="1151"/>
      <c r="BA33" s="1150">
        <v>9.4812110000000516</v>
      </c>
      <c r="BB33" s="1151">
        <v>6.7603710000000046</v>
      </c>
      <c r="BC33" s="1151">
        <v>1.667</v>
      </c>
      <c r="BD33" s="1150">
        <v>9.818568000000047</v>
      </c>
      <c r="BE33" s="1151">
        <v>7.5631909999999944</v>
      </c>
      <c r="BF33" s="1839">
        <v>1.72790844</v>
      </c>
      <c r="BG33" s="1150">
        <v>12.623434000000003</v>
      </c>
      <c r="BH33" s="1195">
        <v>7.6139199999999967</v>
      </c>
      <c r="BI33" s="1155">
        <v>1.9766648099999999</v>
      </c>
      <c r="BJ33" s="1150">
        <v>17.618672999999955</v>
      </c>
      <c r="BK33" s="1151">
        <v>10.647686000000011</v>
      </c>
      <c r="BL33" s="1151">
        <v>2.0343</v>
      </c>
      <c r="BM33" s="1150"/>
      <c r="BN33" s="1151"/>
      <c r="BO33" s="1151"/>
      <c r="BP33" s="1150"/>
      <c r="BQ33" s="1151"/>
      <c r="BR33" s="1151"/>
      <c r="BS33" s="1150"/>
      <c r="BT33" s="1151"/>
      <c r="BU33" s="1151"/>
      <c r="BV33" s="1150"/>
      <c r="BW33" s="1151"/>
      <c r="BX33" s="1151"/>
      <c r="BY33" s="1150"/>
      <c r="BZ33" s="1151"/>
      <c r="CA33" s="1151"/>
      <c r="CB33" s="1150">
        <v>76.791515618672989</v>
      </c>
      <c r="CC33" s="1151">
        <v>52.514219000000011</v>
      </c>
      <c r="CD33" s="1151">
        <v>12.115782619999999</v>
      </c>
      <c r="CE33" s="1151">
        <f t="shared" si="46"/>
        <v>60.068242061552617</v>
      </c>
      <c r="CF33" s="1153">
        <f t="shared" si="1"/>
        <v>14.48477798999998</v>
      </c>
      <c r="CG33" s="1154">
        <f t="shared" si="47"/>
        <v>12.161513998672978</v>
      </c>
      <c r="CH33" s="1155">
        <f t="shared" si="2"/>
        <v>-2.3232639913270017</v>
      </c>
      <c r="CI33" s="1154">
        <f t="shared" si="3"/>
        <v>16.13861158438268</v>
      </c>
      <c r="CJ33" s="1154">
        <f t="shared" si="60"/>
        <v>15.837054263994402</v>
      </c>
      <c r="CK33" s="1154">
        <f t="shared" si="11"/>
        <v>-0.30155732038827843</v>
      </c>
      <c r="CL33" s="1150">
        <f t="shared" si="61"/>
        <v>9.0996389099999817</v>
      </c>
      <c r="CM33" s="1157">
        <f t="shared" si="62"/>
        <v>7.5540230615526056</v>
      </c>
      <c r="CN33" s="1152">
        <f t="shared" si="13"/>
        <v>-1.5456158484473761</v>
      </c>
      <c r="CO33" s="1150">
        <f t="shared" si="5"/>
        <v>12.867659232792187</v>
      </c>
      <c r="CP33" s="1151">
        <f t="shared" si="14"/>
        <v>12.575735200993416</v>
      </c>
      <c r="CQ33" s="1152">
        <f t="shared" si="6"/>
        <v>-0.29192403179877147</v>
      </c>
      <c r="CR33" s="1173">
        <f t="shared" si="68"/>
        <v>4.457471475092043</v>
      </c>
      <c r="CS33" s="1153">
        <f t="shared" si="69"/>
        <v>4.4026437976186328</v>
      </c>
      <c r="CT33" s="1150">
        <f t="shared" si="63"/>
        <v>40.561380874962566</v>
      </c>
      <c r="CU33" s="1151">
        <f t="shared" si="64"/>
        <v>33.257672779012694</v>
      </c>
      <c r="CV33" s="1152">
        <f t="shared" si="7"/>
        <v>-7.3037080959498724</v>
      </c>
      <c r="CX33" s="1150"/>
      <c r="CY33" s="1151"/>
      <c r="CZ33" s="1151"/>
      <c r="DA33" s="1152">
        <f t="shared" si="17"/>
        <v>0</v>
      </c>
      <c r="DB33" s="1153">
        <f t="shared" si="18"/>
        <v>0</v>
      </c>
      <c r="DC33" s="1154" t="e">
        <f t="shared" si="19"/>
        <v>#DIV/0!</v>
      </c>
      <c r="DD33" s="1150">
        <f t="shared" si="20"/>
        <v>0</v>
      </c>
      <c r="DE33" s="1150" t="e">
        <f t="shared" si="21"/>
        <v>#DIV/0!</v>
      </c>
      <c r="DF33" s="1173">
        <v>4.6174980418038505</v>
      </c>
      <c r="DG33" s="1150">
        <f t="shared" si="22"/>
        <v>0</v>
      </c>
      <c r="DI33" s="1434">
        <f t="shared" si="66"/>
        <v>4.1005776608071835E-3</v>
      </c>
      <c r="DJ33" s="1435">
        <f t="shared" si="65"/>
        <v>0</v>
      </c>
      <c r="DK33" s="1435">
        <f t="shared" si="65"/>
        <v>5.4491413794129626E-4</v>
      </c>
      <c r="DL33" s="1434"/>
      <c r="DM33" s="1435">
        <f t="shared" si="67"/>
        <v>-11.400448796723822</v>
      </c>
      <c r="DN33" s="1435"/>
    </row>
    <row r="34" spans="1:125" ht="12.75" customHeight="1">
      <c r="A34" s="1130">
        <v>1</v>
      </c>
      <c r="B34" s="3086"/>
      <c r="C34" s="1172" t="s">
        <v>122</v>
      </c>
      <c r="D34" s="1150">
        <v>5.3431100000000002</v>
      </c>
      <c r="E34" s="1151">
        <v>2.6842519999999999</v>
      </c>
      <c r="F34" s="1151">
        <v>0.50681651000000005</v>
      </c>
      <c r="G34" s="1150">
        <v>4.7100999999999997</v>
      </c>
      <c r="H34" s="1151">
        <v>4.5823530000000012</v>
      </c>
      <c r="I34" s="1151">
        <v>0.44095906000000001</v>
      </c>
      <c r="J34" s="1150">
        <v>4.8340019999999999</v>
      </c>
      <c r="K34" s="1151">
        <v>3.7580060000000008</v>
      </c>
      <c r="L34" s="1151">
        <v>0.67843695000000004</v>
      </c>
      <c r="M34" s="1150">
        <v>4.2558363667218595</v>
      </c>
      <c r="N34" s="1151">
        <v>2.9041679999999999</v>
      </c>
      <c r="O34" s="1151">
        <v>0.36117547999999999</v>
      </c>
      <c r="P34" s="1150">
        <v>4.3117929999999998</v>
      </c>
      <c r="Q34" s="1151">
        <v>4.3803959999999931</v>
      </c>
      <c r="R34" s="1151">
        <v>0.39</v>
      </c>
      <c r="S34" s="1150">
        <v>5.4362589999999997</v>
      </c>
      <c r="T34" s="1195">
        <v>4.0151880000000002</v>
      </c>
      <c r="U34" s="1155">
        <v>0.39900000000000002</v>
      </c>
      <c r="V34" s="1150"/>
      <c r="W34" s="1151"/>
      <c r="X34" s="1151"/>
      <c r="Y34" s="1150">
        <v>7.3892410000000002</v>
      </c>
      <c r="Z34" s="1151">
        <v>8.084687999999991</v>
      </c>
      <c r="AA34" s="1151">
        <v>0.57181751000000003</v>
      </c>
      <c r="AB34" s="1150"/>
      <c r="AC34" s="1151"/>
      <c r="AD34" s="1151"/>
      <c r="AE34" s="1150"/>
      <c r="AF34" s="1151"/>
      <c r="AG34" s="1151"/>
      <c r="AH34" s="1150"/>
      <c r="AI34" s="1151"/>
      <c r="AJ34" s="1151"/>
      <c r="AK34" s="1150"/>
      <c r="AL34" s="1151"/>
      <c r="AM34" s="1151"/>
      <c r="AN34" s="1150">
        <v>45.937450999999996</v>
      </c>
      <c r="AO34" s="1151">
        <v>34.336193999999985</v>
      </c>
      <c r="AP34" s="1151">
        <v>3.62483836</v>
      </c>
      <c r="AQ34" s="1151">
        <f t="shared" si="59"/>
        <v>39.556365579999998</v>
      </c>
      <c r="AR34" s="1150">
        <v>5.5748369999999996</v>
      </c>
      <c r="AS34" s="1151">
        <v>2.9641519999999999</v>
      </c>
      <c r="AT34" s="1151">
        <v>0.56100000000000005</v>
      </c>
      <c r="AU34" s="1150">
        <v>5.0299189999999996</v>
      </c>
      <c r="AV34" s="1151">
        <v>4.9033569999999989</v>
      </c>
      <c r="AW34" s="1151">
        <v>0.48098186999999998</v>
      </c>
      <c r="AX34" s="1150"/>
      <c r="AY34" s="1151"/>
      <c r="AZ34" s="1151"/>
      <c r="BA34" s="1150">
        <v>4.2924160000000002</v>
      </c>
      <c r="BB34" s="1151">
        <v>3.2213529999999992</v>
      </c>
      <c r="BC34" s="1151">
        <v>0.48499999999999999</v>
      </c>
      <c r="BD34" s="1150">
        <v>4.9426740000000002</v>
      </c>
      <c r="BE34" s="1151">
        <v>4.6946209999999917</v>
      </c>
      <c r="BF34" s="1839">
        <v>0.51527944000000003</v>
      </c>
      <c r="BG34" s="1150">
        <v>6.326867</v>
      </c>
      <c r="BH34" s="1195">
        <v>4.4636620000000002</v>
      </c>
      <c r="BI34" s="1155">
        <v>0.52500071000000004</v>
      </c>
      <c r="BJ34" s="1150">
        <v>9.3570130000000002</v>
      </c>
      <c r="BK34" s="1151">
        <v>4.7035729999999978</v>
      </c>
      <c r="BL34" s="1151">
        <v>0.64300000000000002</v>
      </c>
      <c r="BM34" s="1150"/>
      <c r="BN34" s="1151"/>
      <c r="BO34" s="1151"/>
      <c r="BP34" s="1150"/>
      <c r="BQ34" s="1151"/>
      <c r="BR34" s="1151"/>
      <c r="BS34" s="1150"/>
      <c r="BT34" s="1151"/>
      <c r="BU34" s="1151"/>
      <c r="BV34" s="1150"/>
      <c r="BW34" s="1151"/>
      <c r="BX34" s="1151"/>
      <c r="BY34" s="1150"/>
      <c r="BZ34" s="1151"/>
      <c r="CA34" s="1151"/>
      <c r="CB34" s="1150">
        <v>40.559529357013005</v>
      </c>
      <c r="CC34" s="1151">
        <v>29.018367999999988</v>
      </c>
      <c r="CD34" s="1151">
        <v>3.7009290899999998</v>
      </c>
      <c r="CE34" s="1151">
        <f t="shared" si="46"/>
        <v>34.425028505592223</v>
      </c>
      <c r="CF34" s="1153">
        <f t="shared" si="1"/>
        <v>7.976418640000011</v>
      </c>
      <c r="CG34" s="1154">
        <f t="shared" si="47"/>
        <v>7.8402322670130173</v>
      </c>
      <c r="CH34" s="1155">
        <f t="shared" si="2"/>
        <v>-0.13618637298699365</v>
      </c>
      <c r="CI34" s="1154">
        <f t="shared" si="3"/>
        <v>17.363650934833132</v>
      </c>
      <c r="CJ34" s="1154">
        <f t="shared" si="60"/>
        <v>19.330185510787715</v>
      </c>
      <c r="CK34" s="1154">
        <f t="shared" si="11"/>
        <v>1.9665345759545829</v>
      </c>
      <c r="CL34" s="1150">
        <f t="shared" si="61"/>
        <v>5.220171580000013</v>
      </c>
      <c r="CM34" s="1157">
        <f t="shared" si="62"/>
        <v>5.4066605055922352</v>
      </c>
      <c r="CN34" s="1152">
        <f t="shared" si="13"/>
        <v>0.18648892559222219</v>
      </c>
      <c r="CO34" s="1150">
        <f t="shared" si="5"/>
        <v>13.196792737296805</v>
      </c>
      <c r="CP34" s="1151">
        <f t="shared" si="14"/>
        <v>15.705609378693595</v>
      </c>
      <c r="CQ34" s="1152">
        <f t="shared" si="6"/>
        <v>2.5088166413967894</v>
      </c>
      <c r="CR34" s="1173">
        <f t="shared" si="68"/>
        <v>4.457471475092043</v>
      </c>
      <c r="CS34" s="1153">
        <f t="shared" si="69"/>
        <v>4.4026437976186328</v>
      </c>
      <c r="CT34" s="1150">
        <f t="shared" si="63"/>
        <v>23.268765912936217</v>
      </c>
      <c r="CU34" s="1151">
        <f t="shared" si="64"/>
        <v>23.803600340775276</v>
      </c>
      <c r="CV34" s="1152">
        <f t="shared" si="7"/>
        <v>0.53483442783905843</v>
      </c>
      <c r="CX34" s="1150"/>
      <c r="CY34" s="1151"/>
      <c r="CZ34" s="1151"/>
      <c r="DA34" s="1152">
        <f t="shared" si="17"/>
        <v>0</v>
      </c>
      <c r="DB34" s="1153">
        <f t="shared" si="18"/>
        <v>0</v>
      </c>
      <c r="DC34" s="1154" t="e">
        <f t="shared" si="19"/>
        <v>#DIV/0!</v>
      </c>
      <c r="DD34" s="1150">
        <f t="shared" si="20"/>
        <v>0</v>
      </c>
      <c r="DE34" s="1150" t="e">
        <f t="shared" si="21"/>
        <v>#DIV/0!</v>
      </c>
      <c r="DF34" s="1173">
        <v>4.6174980418038505</v>
      </c>
      <c r="DG34" s="1150">
        <f t="shared" si="22"/>
        <v>0</v>
      </c>
      <c r="DI34" s="1434">
        <f t="shared" si="66"/>
        <v>2.0987768289730925E-3</v>
      </c>
      <c r="DJ34" s="1435">
        <f t="shared" si="65"/>
        <v>0</v>
      </c>
      <c r="DK34" s="1435">
        <f t="shared" si="65"/>
        <v>1.4470462593614266E-4</v>
      </c>
      <c r="DL34" s="1434"/>
      <c r="DM34" s="1435">
        <f t="shared" si="67"/>
        <v>-6.2996732094309325</v>
      </c>
      <c r="DN34" s="1435"/>
    </row>
    <row r="35" spans="1:125" ht="12.75" customHeight="1">
      <c r="A35" s="1130">
        <v>1</v>
      </c>
      <c r="B35" s="3086"/>
      <c r="C35" s="1172" t="s">
        <v>123</v>
      </c>
      <c r="D35" s="1150">
        <v>6.6640510099999961</v>
      </c>
      <c r="E35" s="1151">
        <v>5.0191129999999999</v>
      </c>
      <c r="F35" s="1151">
        <v>0.83396674999999998</v>
      </c>
      <c r="G35" s="1150">
        <v>6.1641250599999911</v>
      </c>
      <c r="H35" s="1151">
        <v>5.318106999999995</v>
      </c>
      <c r="I35" s="1151">
        <v>0.86644215999999996</v>
      </c>
      <c r="J35" s="1150">
        <v>6.1972019999999999</v>
      </c>
      <c r="K35" s="1151">
        <v>4.1321990000000008</v>
      </c>
      <c r="L35" s="1151">
        <v>0.92788455000000003</v>
      </c>
      <c r="M35" s="1150">
        <v>6.1514931167330795</v>
      </c>
      <c r="N35" s="1151">
        <v>4.9751209999999997</v>
      </c>
      <c r="O35" s="1151">
        <v>1.0025224899999998</v>
      </c>
      <c r="P35" s="1150">
        <v>6.3726978100000018</v>
      </c>
      <c r="Q35" s="1151">
        <v>5.3072079999999993</v>
      </c>
      <c r="R35" s="1151">
        <v>0.96199999999999997</v>
      </c>
      <c r="S35" s="1150">
        <v>7.0104599099999989</v>
      </c>
      <c r="T35" s="1195">
        <v>4.8778600000000001</v>
      </c>
      <c r="U35" s="1155">
        <v>0.90969999999999995</v>
      </c>
      <c r="V35" s="1150"/>
      <c r="W35" s="1151"/>
      <c r="X35" s="1151"/>
      <c r="Y35" s="1150">
        <v>9.4440189499999967</v>
      </c>
      <c r="Z35" s="1151">
        <v>8.4649240000000017</v>
      </c>
      <c r="AA35" s="1151">
        <v>1.31907968</v>
      </c>
      <c r="AB35" s="1150"/>
      <c r="AC35" s="1151"/>
      <c r="AD35" s="1151"/>
      <c r="AE35" s="1150"/>
      <c r="AF35" s="1151"/>
      <c r="AG35" s="1151"/>
      <c r="AH35" s="1150"/>
      <c r="AI35" s="1151"/>
      <c r="AJ35" s="1151"/>
      <c r="AK35" s="1150"/>
      <c r="AL35" s="1151"/>
      <c r="AM35" s="1151"/>
      <c r="AN35" s="1150">
        <v>60.505564449999994</v>
      </c>
      <c r="AO35" s="1151">
        <v>45.696972000000002</v>
      </c>
      <c r="AP35" s="1151">
        <v>8.0455865600000003</v>
      </c>
      <c r="AQ35" s="1151">
        <f t="shared" si="59"/>
        <v>48.829644023</v>
      </c>
      <c r="AR35" s="1150">
        <v>6.8304539999999996</v>
      </c>
      <c r="AS35" s="1151">
        <v>5.0234509999999997</v>
      </c>
      <c r="AT35" s="1151">
        <v>1.21</v>
      </c>
      <c r="AU35" s="1150">
        <v>6.5797109999999996</v>
      </c>
      <c r="AV35" s="1151">
        <v>5.5058819999999997</v>
      </c>
      <c r="AW35" s="1151">
        <v>0.8492672</v>
      </c>
      <c r="AX35" s="1150"/>
      <c r="AY35" s="1151"/>
      <c r="AZ35" s="1151"/>
      <c r="BA35" s="1150">
        <v>6.577670000000003</v>
      </c>
      <c r="BB35" s="1151">
        <v>5.5447219999999975</v>
      </c>
      <c r="BC35" s="1151">
        <v>0.97699999999999998</v>
      </c>
      <c r="BD35" s="1150">
        <v>6.7997090000000053</v>
      </c>
      <c r="BE35" s="1151">
        <v>5.6616329999999984</v>
      </c>
      <c r="BF35" s="1839">
        <v>0.97105271000000004</v>
      </c>
      <c r="BG35" s="1150">
        <v>8.0687959999999919</v>
      </c>
      <c r="BH35" s="1195">
        <v>5.4015459999999988</v>
      </c>
      <c r="BI35" s="1155">
        <v>0.86429551000000004</v>
      </c>
      <c r="BJ35" s="1150">
        <v>11.585607999999995</v>
      </c>
      <c r="BK35" s="1151">
        <v>7.0403799999999883</v>
      </c>
      <c r="BL35" s="1151">
        <v>1.1349</v>
      </c>
      <c r="BM35" s="1150"/>
      <c r="BN35" s="1151"/>
      <c r="BO35" s="1151"/>
      <c r="BP35" s="1150"/>
      <c r="BQ35" s="1151"/>
      <c r="BR35" s="1151"/>
      <c r="BS35" s="1150"/>
      <c r="BT35" s="1151"/>
      <c r="BU35" s="1151"/>
      <c r="BV35" s="1150"/>
      <c r="BW35" s="1151"/>
      <c r="BX35" s="1151"/>
      <c r="BY35" s="1150"/>
      <c r="BZ35" s="1151"/>
      <c r="CA35" s="1151"/>
      <c r="CB35" s="1150">
        <v>53.427545585607987</v>
      </c>
      <c r="CC35" s="1151">
        <v>39.494343999999984</v>
      </c>
      <c r="CD35" s="1151">
        <v>6.9604195099999995</v>
      </c>
      <c r="CE35" s="1151">
        <f t="shared" si="46"/>
        <v>43.261473340471504</v>
      </c>
      <c r="CF35" s="1153">
        <f t="shared" si="1"/>
        <v>6.7630058899999916</v>
      </c>
      <c r="CG35" s="1154">
        <f t="shared" si="47"/>
        <v>6.9727820756080039</v>
      </c>
      <c r="CH35" s="1155">
        <f t="shared" si="2"/>
        <v>0.20977618560801226</v>
      </c>
      <c r="CI35" s="1154">
        <f t="shared" si="3"/>
        <v>11.177494089140742</v>
      </c>
      <c r="CJ35" s="1154">
        <f t="shared" si="60"/>
        <v>13.050912219868646</v>
      </c>
      <c r="CK35" s="1154">
        <f t="shared" si="11"/>
        <v>1.8734181307279041</v>
      </c>
      <c r="CL35" s="1150">
        <f t="shared" si="61"/>
        <v>3.1326720229999978</v>
      </c>
      <c r="CM35" s="1157">
        <f t="shared" si="62"/>
        <v>3.76712934047152</v>
      </c>
      <c r="CN35" s="1152">
        <f t="shared" si="13"/>
        <v>0.63445731747152223</v>
      </c>
      <c r="CO35" s="1150">
        <f t="shared" si="5"/>
        <v>6.4155127191269905</v>
      </c>
      <c r="CP35" s="1151">
        <f t="shared" si="14"/>
        <v>8.707815637308256</v>
      </c>
      <c r="CQ35" s="1152">
        <f t="shared" si="6"/>
        <v>2.2923029181812655</v>
      </c>
      <c r="CR35" s="1173">
        <f t="shared" si="68"/>
        <v>4.457471475092043</v>
      </c>
      <c r="CS35" s="1153">
        <f t="shared" si="69"/>
        <v>4.4026437976186328</v>
      </c>
      <c r="CT35" s="1150">
        <f t="shared" si="63"/>
        <v>13.963796183341374</v>
      </c>
      <c r="CU35" s="1151">
        <f t="shared" si="64"/>
        <v>16.585328625654107</v>
      </c>
      <c r="CV35" s="1152">
        <f t="shared" si="7"/>
        <v>2.6215324423127324</v>
      </c>
      <c r="CX35" s="1150"/>
      <c r="CY35" s="1151"/>
      <c r="CZ35" s="1151"/>
      <c r="DA35" s="1152">
        <f t="shared" si="17"/>
        <v>0</v>
      </c>
      <c r="DB35" s="1153">
        <f t="shared" si="18"/>
        <v>0</v>
      </c>
      <c r="DC35" s="1154" t="e">
        <f t="shared" si="19"/>
        <v>#DIV/0!</v>
      </c>
      <c r="DD35" s="1150">
        <f t="shared" si="20"/>
        <v>0</v>
      </c>
      <c r="DE35" s="1150" t="e">
        <f t="shared" si="21"/>
        <v>#DIV/0!</v>
      </c>
      <c r="DF35" s="1173">
        <v>4.6174980418038505</v>
      </c>
      <c r="DG35" s="1150">
        <f t="shared" si="22"/>
        <v>0</v>
      </c>
      <c r="DI35" s="1434">
        <f t="shared" si="66"/>
        <v>2.7643605364955507E-3</v>
      </c>
      <c r="DJ35" s="1435">
        <f t="shared" si="65"/>
        <v>0</v>
      </c>
      <c r="DK35" s="1435">
        <f t="shared" si="65"/>
        <v>3.2118220951558705E-4</v>
      </c>
      <c r="DL35" s="1434"/>
      <c r="DM35" s="1435">
        <f t="shared" si="67"/>
        <v>-8.5739301679835762</v>
      </c>
      <c r="DN35" s="1435"/>
    </row>
    <row r="36" spans="1:125" ht="12.75" customHeight="1">
      <c r="A36" s="1130">
        <v>1</v>
      </c>
      <c r="B36" s="3086"/>
      <c r="C36" s="1172" t="s">
        <v>428</v>
      </c>
      <c r="D36" s="1150">
        <v>4.7363799999999969</v>
      </c>
      <c r="E36" s="1151">
        <v>2.0674269999999999</v>
      </c>
      <c r="F36" s="1151">
        <v>1.69290268</v>
      </c>
      <c r="G36" s="1150">
        <v>4.3684165000000057</v>
      </c>
      <c r="H36" s="1151">
        <v>2.8508419999999992</v>
      </c>
      <c r="I36" s="1151">
        <v>1.4939714399999999</v>
      </c>
      <c r="J36" s="1150">
        <v>3.758464</v>
      </c>
      <c r="K36" s="1151">
        <v>1.6267120000000002</v>
      </c>
      <c r="L36" s="1151">
        <v>1.55833029</v>
      </c>
      <c r="M36" s="1150">
        <v>4.3221301494791424</v>
      </c>
      <c r="N36" s="1151">
        <v>2.445541</v>
      </c>
      <c r="O36" s="1151">
        <v>1.2429925800000001</v>
      </c>
      <c r="P36" s="1150">
        <v>4.0754330000000074</v>
      </c>
      <c r="Q36" s="1151">
        <v>3.4081659999999991</v>
      </c>
      <c r="R36" s="1151">
        <v>1.31</v>
      </c>
      <c r="S36" s="1150">
        <v>4.4814864999999982</v>
      </c>
      <c r="T36" s="1195">
        <v>1.7389599999999998</v>
      </c>
      <c r="U36" s="1155">
        <v>1.26</v>
      </c>
      <c r="V36" s="1150"/>
      <c r="W36" s="1151"/>
      <c r="X36" s="1151"/>
      <c r="Y36" s="1150">
        <v>5.9698484999999932</v>
      </c>
      <c r="Z36" s="1151">
        <v>4.9455719999999994</v>
      </c>
      <c r="AA36" s="1151">
        <v>1.6379246699999999</v>
      </c>
      <c r="AB36" s="1150"/>
      <c r="AC36" s="1151"/>
      <c r="AD36" s="1151"/>
      <c r="AE36" s="1150"/>
      <c r="AF36" s="1151"/>
      <c r="AG36" s="1151"/>
      <c r="AH36" s="1150"/>
      <c r="AI36" s="1151"/>
      <c r="AJ36" s="1151"/>
      <c r="AK36" s="1150"/>
      <c r="AL36" s="1151"/>
      <c r="AM36" s="1151"/>
      <c r="AN36" s="1150">
        <v>39.690722499999993</v>
      </c>
      <c r="AO36" s="1151">
        <v>23.501185999999993</v>
      </c>
      <c r="AP36" s="1151">
        <v>11.77887222</v>
      </c>
      <c r="AQ36" s="1151">
        <f t="shared" si="59"/>
        <v>25.530406929999995</v>
      </c>
      <c r="AR36" s="1150">
        <v>5.097963</v>
      </c>
      <c r="AS36" s="1151">
        <v>2.3331750000000002</v>
      </c>
      <c r="AT36" s="1151">
        <v>1.7050000000000001</v>
      </c>
      <c r="AU36" s="1150">
        <v>4.8481420000000002</v>
      </c>
      <c r="AV36" s="1151">
        <v>3.3628939999999998</v>
      </c>
      <c r="AW36" s="1151">
        <v>1.5265362899999999</v>
      </c>
      <c r="AX36" s="1150"/>
      <c r="AY36" s="1151"/>
      <c r="AZ36" s="1151"/>
      <c r="BA36" s="1150">
        <v>4.802417000000001</v>
      </c>
      <c r="BB36" s="1151">
        <v>3.2323159999999995</v>
      </c>
      <c r="BC36" s="1151">
        <v>1.3120000000000001</v>
      </c>
      <c r="BD36" s="1150">
        <v>4.4806144999999908</v>
      </c>
      <c r="BE36" s="1151">
        <v>4.0552870000000008</v>
      </c>
      <c r="BF36" s="1839">
        <v>1.30637655</v>
      </c>
      <c r="BG36" s="1150">
        <v>5.2654380000000112</v>
      </c>
      <c r="BH36" s="1195">
        <v>2.9381439999999994</v>
      </c>
      <c r="BI36" s="1155">
        <v>1.38674093</v>
      </c>
      <c r="BJ36" s="1150">
        <v>7.051605999999996</v>
      </c>
      <c r="BK36" s="1151">
        <v>4.4795099999999923</v>
      </c>
      <c r="BL36" s="1151">
        <v>1.5712999999999999</v>
      </c>
      <c r="BM36" s="1150"/>
      <c r="BN36" s="1151"/>
      <c r="BO36" s="1151"/>
      <c r="BP36" s="1150"/>
      <c r="BQ36" s="1151"/>
      <c r="BR36" s="1151"/>
      <c r="BS36" s="1150"/>
      <c r="BT36" s="1151"/>
      <c r="BU36" s="1151"/>
      <c r="BV36" s="1150"/>
      <c r="BW36" s="1151"/>
      <c r="BX36" s="1151"/>
      <c r="BY36" s="1150"/>
      <c r="BZ36" s="1151"/>
      <c r="CA36" s="1151"/>
      <c r="CB36" s="1150">
        <v>36.710150051605993</v>
      </c>
      <c r="CC36" s="1151">
        <v>22.305103999999993</v>
      </c>
      <c r="CD36" s="1151">
        <v>10.166666299999999</v>
      </c>
      <c r="CE36" s="1151">
        <f t="shared" si="46"/>
        <v>24.340874748509638</v>
      </c>
      <c r="CF36" s="1153">
        <f t="shared" si="1"/>
        <v>4.4106642799999989</v>
      </c>
      <c r="CG36" s="1154">
        <f t="shared" si="47"/>
        <v>4.2383797516060007</v>
      </c>
      <c r="CH36" s="1155">
        <f t="shared" si="2"/>
        <v>-0.17228452839399822</v>
      </c>
      <c r="CI36" s="1154">
        <f t="shared" si="3"/>
        <v>11.112582493301804</v>
      </c>
      <c r="CJ36" s="1154">
        <f t="shared" si="60"/>
        <v>11.545525544427951</v>
      </c>
      <c r="CK36" s="1154">
        <f t="shared" si="11"/>
        <v>0.43294305112614673</v>
      </c>
      <c r="CL36" s="1150">
        <f t="shared" si="61"/>
        <v>2.029220930000001</v>
      </c>
      <c r="CM36" s="1157">
        <f t="shared" si="62"/>
        <v>2.0357707485096448</v>
      </c>
      <c r="CN36" s="1152">
        <f t="shared" si="13"/>
        <v>6.5498185096437567E-3</v>
      </c>
      <c r="CO36" s="1150">
        <f t="shared" si="5"/>
        <v>7.9482514147298069</v>
      </c>
      <c r="CP36" s="1151">
        <f t="shared" si="14"/>
        <v>8.3635891049243938</v>
      </c>
      <c r="CQ36" s="1152">
        <f t="shared" si="6"/>
        <v>0.41533769019458688</v>
      </c>
      <c r="CR36" s="1173">
        <f t="shared" si="68"/>
        <v>4.457471475092043</v>
      </c>
      <c r="CS36" s="1153">
        <f t="shared" si="69"/>
        <v>4.4026437976186328</v>
      </c>
      <c r="CT36" s="1150">
        <f t="shared" si="63"/>
        <v>9.0451944121347516</v>
      </c>
      <c r="CU36" s="1151">
        <f t="shared" si="64"/>
        <v>8.962773459299429</v>
      </c>
      <c r="CV36" s="1152">
        <f t="shared" si="7"/>
        <v>-8.2420952835322581E-2</v>
      </c>
      <c r="CX36" s="1150"/>
      <c r="CY36" s="1151"/>
      <c r="CZ36" s="1151"/>
      <c r="DA36" s="1152">
        <f t="shared" si="17"/>
        <v>0</v>
      </c>
      <c r="DB36" s="1153">
        <f t="shared" si="18"/>
        <v>0</v>
      </c>
      <c r="DC36" s="1154" t="e">
        <f t="shared" si="19"/>
        <v>#DIV/0!</v>
      </c>
      <c r="DD36" s="1150">
        <f t="shared" si="20"/>
        <v>0</v>
      </c>
      <c r="DE36" s="1150" t="e">
        <f t="shared" si="21"/>
        <v>#DIV/0!</v>
      </c>
      <c r="DF36" s="1173">
        <v>4.6174980418038505</v>
      </c>
      <c r="DG36" s="1150">
        <f t="shared" si="22"/>
        <v>0</v>
      </c>
      <c r="DI36" s="1434">
        <f t="shared" si="66"/>
        <v>1.8133781238362783E-3</v>
      </c>
      <c r="DJ36" s="1435">
        <f t="shared" si="65"/>
        <v>0</v>
      </c>
      <c r="DK36" s="1435">
        <f t="shared" si="65"/>
        <v>4.7021608393724965E-4</v>
      </c>
      <c r="DL36" s="1434"/>
      <c r="DM36" s="1435">
        <f t="shared" si="67"/>
        <v>-4.8422732147573129</v>
      </c>
      <c r="DN36" s="1435"/>
    </row>
    <row r="37" spans="1:125" ht="12.75" customHeight="1">
      <c r="A37" s="1130">
        <v>1</v>
      </c>
      <c r="B37" s="3086"/>
      <c r="C37" s="1174" t="s">
        <v>559</v>
      </c>
      <c r="D37" s="1150">
        <v>15.281816407385078</v>
      </c>
      <c r="E37" s="1151">
        <v>8.5328929999999996</v>
      </c>
      <c r="F37" s="1151">
        <v>3.4814286500000002</v>
      </c>
      <c r="G37" s="1150">
        <v>10.237026925960858</v>
      </c>
      <c r="H37" s="1151">
        <v>5.174885999999999</v>
      </c>
      <c r="I37" s="1151">
        <v>3.2993769099999999</v>
      </c>
      <c r="J37" s="1150">
        <v>10.98</v>
      </c>
      <c r="K37" s="1151">
        <v>6.0819919999999987</v>
      </c>
      <c r="L37" s="1151">
        <v>3.6438661300000001</v>
      </c>
      <c r="M37" s="1150">
        <v>10.189305555177853</v>
      </c>
      <c r="N37" s="1151">
        <v>8.9144009999999998</v>
      </c>
      <c r="O37" s="1151">
        <v>2.7512648499999997</v>
      </c>
      <c r="P37" s="1150">
        <v>9.5058419542257511</v>
      </c>
      <c r="Q37" s="1151">
        <v>5.4178940000000013</v>
      </c>
      <c r="R37" s="1151">
        <v>2.86</v>
      </c>
      <c r="S37" s="1150">
        <v>11.150339641084337</v>
      </c>
      <c r="T37" s="1195">
        <v>8.0450149999999905</v>
      </c>
      <c r="U37" s="1155">
        <v>2.5299999999999998</v>
      </c>
      <c r="V37" s="1150"/>
      <c r="W37" s="1151"/>
      <c r="X37" s="1151"/>
      <c r="Y37" s="1150">
        <v>12.904220655537607</v>
      </c>
      <c r="Z37" s="1151">
        <v>9.0192399999999946</v>
      </c>
      <c r="AA37" s="1151">
        <v>3.2334264999999998</v>
      </c>
      <c r="AB37" s="1150"/>
      <c r="AC37" s="1151"/>
      <c r="AD37" s="1151"/>
      <c r="AE37" s="1150"/>
      <c r="AF37" s="1151"/>
      <c r="AG37" s="1151"/>
      <c r="AH37" s="1150"/>
      <c r="AI37" s="1151"/>
      <c r="AJ37" s="1151"/>
      <c r="AK37" s="1150"/>
      <c r="AL37" s="1151"/>
      <c r="AM37" s="1151"/>
      <c r="AN37" s="1150">
        <v>102.61962640001326</v>
      </c>
      <c r="AO37" s="1151">
        <v>64.688313999999977</v>
      </c>
      <c r="AP37" s="1151">
        <v>25.344154430000003</v>
      </c>
      <c r="AQ37" s="1151">
        <f t="shared" si="59"/>
        <v>71.118294386012465</v>
      </c>
      <c r="AR37" s="1150">
        <v>13.01</v>
      </c>
      <c r="AS37" s="1151">
        <v>8.9357260000000007</v>
      </c>
      <c r="AT37" s="1151">
        <v>3.3170000000000002</v>
      </c>
      <c r="AU37" s="1150">
        <v>9.81</v>
      </c>
      <c r="AV37" s="1151">
        <v>5.3875409999999997</v>
      </c>
      <c r="AW37" s="1151">
        <v>3.1241680399999998</v>
      </c>
      <c r="AX37" s="1150"/>
      <c r="AY37" s="1151"/>
      <c r="AZ37" s="1151"/>
      <c r="BA37" s="1150">
        <v>12.504389274389853</v>
      </c>
      <c r="BB37" s="1151">
        <v>9.8160159999999923</v>
      </c>
      <c r="BC37" s="1151">
        <v>3.0259999999999998</v>
      </c>
      <c r="BD37" s="1150">
        <v>9.9240480135853453</v>
      </c>
      <c r="BE37" s="1151">
        <v>5.6778409999999946</v>
      </c>
      <c r="BF37" s="1839">
        <v>3.2654726699999999</v>
      </c>
      <c r="BG37" s="1150">
        <v>11.358940634562288</v>
      </c>
      <c r="BH37" s="1195">
        <v>8.8623830000000066</v>
      </c>
      <c r="BI37" s="1155">
        <v>2.9090137899999999</v>
      </c>
      <c r="BJ37" s="1150">
        <v>22.08</v>
      </c>
      <c r="BK37" s="1151">
        <v>13.86054399999999</v>
      </c>
      <c r="BL37" s="1151">
        <v>2.6</v>
      </c>
      <c r="BM37" s="1150"/>
      <c r="BN37" s="1151"/>
      <c r="BO37" s="1151"/>
      <c r="BP37" s="1150"/>
      <c r="BQ37" s="1151"/>
      <c r="BR37" s="1151"/>
      <c r="BS37" s="1150"/>
      <c r="BT37" s="1151"/>
      <c r="BU37" s="1151"/>
      <c r="BV37" s="1150"/>
      <c r="BW37" s="1151"/>
      <c r="BX37" s="1151"/>
      <c r="BY37" s="1150"/>
      <c r="BZ37" s="1151"/>
      <c r="CA37" s="1151"/>
      <c r="CB37" s="1150">
        <v>89.379284931553414</v>
      </c>
      <c r="CC37" s="1151">
        <v>61.057082999999984</v>
      </c>
      <c r="CD37" s="1151">
        <v>21.496338189999999</v>
      </c>
      <c r="CE37" s="1151">
        <f t="shared" si="46"/>
        <v>62.52018964566021</v>
      </c>
      <c r="CF37" s="1153">
        <f t="shared" si="1"/>
        <v>12.58715797001328</v>
      </c>
      <c r="CG37" s="1154">
        <f t="shared" si="47"/>
        <v>6.8258637415534302</v>
      </c>
      <c r="CH37" s="1155">
        <f t="shared" si="2"/>
        <v>-5.7612942284598496</v>
      </c>
      <c r="CI37" s="1154">
        <f t="shared" si="3"/>
        <v>12.265838818149948</v>
      </c>
      <c r="CJ37" s="1154">
        <f t="shared" si="60"/>
        <v>7.6369639193026337</v>
      </c>
      <c r="CK37" s="1154">
        <f t="shared" si="11"/>
        <v>-4.6288748988473145</v>
      </c>
      <c r="CL37" s="1150">
        <f t="shared" si="61"/>
        <v>6.4299803860124882</v>
      </c>
      <c r="CM37" s="1157">
        <f t="shared" si="62"/>
        <v>1.4631066456602255</v>
      </c>
      <c r="CN37" s="1152">
        <f t="shared" si="13"/>
        <v>-4.9668737403522627</v>
      </c>
      <c r="CO37" s="1150">
        <f t="shared" si="5"/>
        <v>9.0412466180813471</v>
      </c>
      <c r="CP37" s="1151">
        <f t="shared" si="14"/>
        <v>2.3402146633792018</v>
      </c>
      <c r="CQ37" s="1152">
        <f t="shared" si="6"/>
        <v>-6.7010319547021453</v>
      </c>
      <c r="CR37" s="1173">
        <f t="shared" si="68"/>
        <v>4.457471475092043</v>
      </c>
      <c r="CS37" s="1153">
        <f t="shared" si="69"/>
        <v>4.4026437976186328</v>
      </c>
      <c r="CT37" s="1150">
        <f t="shared" si="63"/>
        <v>28.661454156051988</v>
      </c>
      <c r="CU37" s="1151">
        <f t="shared" si="64"/>
        <v>6.4415373987705946</v>
      </c>
      <c r="CV37" s="1152">
        <f t="shared" si="7"/>
        <v>-22.219916757281393</v>
      </c>
      <c r="CX37" s="1150"/>
      <c r="CY37" s="1151"/>
      <c r="CZ37" s="1151"/>
      <c r="DA37" s="1152">
        <f t="shared" si="17"/>
        <v>0</v>
      </c>
      <c r="DB37" s="1153">
        <f t="shared" si="18"/>
        <v>0</v>
      </c>
      <c r="DC37" s="1154" t="e">
        <f t="shared" si="19"/>
        <v>#DIV/0!</v>
      </c>
      <c r="DD37" s="1150">
        <f t="shared" si="20"/>
        <v>0</v>
      </c>
      <c r="DE37" s="1150" t="e">
        <f t="shared" si="21"/>
        <v>#DIV/0!</v>
      </c>
      <c r="DF37" s="1173">
        <v>4.6174980418038505</v>
      </c>
      <c r="DG37" s="1150">
        <f t="shared" si="22"/>
        <v>0</v>
      </c>
      <c r="DI37" s="1434">
        <f t="shared" si="66"/>
        <v>4.6884554845288071E-3</v>
      </c>
      <c r="DJ37" s="1435">
        <f t="shared" si="65"/>
        <v>0</v>
      </c>
      <c r="DK37" s="1435">
        <f t="shared" si="65"/>
        <v>1.0117461862384903E-3</v>
      </c>
      <c r="DL37" s="1434"/>
      <c r="DM37" s="1435">
        <f t="shared" si="67"/>
        <v>-13.255041428280903</v>
      </c>
      <c r="DN37" s="1435"/>
    </row>
    <row r="38" spans="1:125" ht="15.6">
      <c r="A38" s="1160">
        <f>SUM(A30:A37)</f>
        <v>8</v>
      </c>
      <c r="B38" s="3087"/>
      <c r="C38" s="1161" t="s">
        <v>311</v>
      </c>
      <c r="D38" s="1166">
        <f>SUM(D30:D37)</f>
        <v>73.900106009999831</v>
      </c>
      <c r="E38" s="1166">
        <f>SUM(E30:E37)</f>
        <v>43.264629000000006</v>
      </c>
      <c r="F38" s="1166">
        <f>SUM(F30:F37)</f>
        <v>17.827648500000002</v>
      </c>
      <c r="G38" s="1166">
        <v>67.465625985960784</v>
      </c>
      <c r="H38" s="1166">
        <v>42.526705000000007</v>
      </c>
      <c r="I38" s="1166">
        <v>18.540261480000002</v>
      </c>
      <c r="J38" s="1166">
        <f t="shared" ref="J38:O38" si="70">SUM(J30:J37)</f>
        <v>68.199293999999995</v>
      </c>
      <c r="K38" s="1166">
        <f t="shared" si="70"/>
        <v>40.868600999999998</v>
      </c>
      <c r="L38" s="1166">
        <f t="shared" si="70"/>
        <v>19.241222179999998</v>
      </c>
      <c r="M38" s="1166">
        <f t="shared" si="70"/>
        <v>66.843261999999953</v>
      </c>
      <c r="N38" s="1166">
        <f t="shared" si="70"/>
        <v>46.029702999999998</v>
      </c>
      <c r="O38" s="1166">
        <f t="shared" si="70"/>
        <v>16.03230988</v>
      </c>
      <c r="P38" s="1162">
        <f t="shared" ref="P38:BR38" si="71">SUM(P30:P37)</f>
        <v>67.583941809999999</v>
      </c>
      <c r="Q38" s="1163">
        <f t="shared" si="71"/>
        <v>46.040922999999985</v>
      </c>
      <c r="R38" s="1163">
        <f t="shared" si="71"/>
        <v>16.198</v>
      </c>
      <c r="S38" s="1165">
        <f>SUM(S30:S37)</f>
        <v>76.010672</v>
      </c>
      <c r="T38" s="1166">
        <f>SUM(T30:T37)</f>
        <v>51.436712999999983</v>
      </c>
      <c r="U38" s="1167">
        <f>SUM(U30:U37)</f>
        <v>15.105090000000001</v>
      </c>
      <c r="V38" s="1166">
        <f t="shared" si="71"/>
        <v>0</v>
      </c>
      <c r="W38" s="1166">
        <f t="shared" si="71"/>
        <v>0</v>
      </c>
      <c r="X38" s="1166">
        <f t="shared" si="71"/>
        <v>0</v>
      </c>
      <c r="Y38" s="1166">
        <f t="shared" si="71"/>
        <v>103.56163260553765</v>
      </c>
      <c r="Z38" s="1166">
        <f t="shared" si="71"/>
        <v>80.865782999999993</v>
      </c>
      <c r="AA38" s="1166">
        <f t="shared" si="71"/>
        <v>20.969214360000002</v>
      </c>
      <c r="AB38" s="1166">
        <f t="shared" si="71"/>
        <v>0</v>
      </c>
      <c r="AC38" s="1166">
        <f t="shared" si="71"/>
        <v>0</v>
      </c>
      <c r="AD38" s="1166">
        <f t="shared" si="71"/>
        <v>0</v>
      </c>
      <c r="AE38" s="1166">
        <f t="shared" si="71"/>
        <v>0</v>
      </c>
      <c r="AF38" s="1166">
        <f t="shared" si="71"/>
        <v>0</v>
      </c>
      <c r="AG38" s="1166">
        <f t="shared" si="71"/>
        <v>0</v>
      </c>
      <c r="AH38" s="1166">
        <f>SUM(AH30:AH37)</f>
        <v>0</v>
      </c>
      <c r="AI38" s="1166">
        <f>SUM(AI30:AI37)</f>
        <v>0</v>
      </c>
      <c r="AJ38" s="1166">
        <f>SUM(AJ30:AJ37)</f>
        <v>0</v>
      </c>
      <c r="AK38" s="1166">
        <f t="shared" si="71"/>
        <v>0</v>
      </c>
      <c r="AL38" s="1166">
        <f t="shared" si="71"/>
        <v>0</v>
      </c>
      <c r="AM38" s="1166">
        <f t="shared" si="71"/>
        <v>0</v>
      </c>
      <c r="AN38" s="1162">
        <f>SUM(AN30:AN37)</f>
        <v>658.74943775169072</v>
      </c>
      <c r="AO38" s="1163">
        <f>SUM(AO30:AO37)</f>
        <v>425.68901600000004</v>
      </c>
      <c r="AP38" s="1163">
        <f>SUM(AP30:AP37)</f>
        <v>147.60285770000002</v>
      </c>
      <c r="AQ38" s="1166">
        <f>SUM(AQ30:AQ37)</f>
        <v>471.62161378658925</v>
      </c>
      <c r="AR38" s="1166">
        <f t="shared" si="71"/>
        <v>75.045888000000005</v>
      </c>
      <c r="AS38" s="1166">
        <f t="shared" si="71"/>
        <v>45.591313999999997</v>
      </c>
      <c r="AT38" s="1166">
        <f t="shared" si="71"/>
        <v>21.009</v>
      </c>
      <c r="AU38" s="1166">
        <f t="shared" si="71"/>
        <v>69.923215999999996</v>
      </c>
      <c r="AV38" s="1166">
        <f t="shared" si="71"/>
        <v>46.074325999999999</v>
      </c>
      <c r="AW38" s="1166">
        <f t="shared" si="71"/>
        <v>17.473900609999998</v>
      </c>
      <c r="AX38" s="1166">
        <f>SUM(AX30:AX37)</f>
        <v>0</v>
      </c>
      <c r="AY38" s="1166">
        <f t="shared" si="71"/>
        <v>0</v>
      </c>
      <c r="AZ38" s="1166">
        <f t="shared" si="71"/>
        <v>0</v>
      </c>
      <c r="BA38" s="1166">
        <f t="shared" si="71"/>
        <v>67.76208627438983</v>
      </c>
      <c r="BB38" s="1166">
        <f t="shared" si="71"/>
        <v>50.609613999999972</v>
      </c>
      <c r="BC38" s="1166">
        <f t="shared" si="71"/>
        <v>16.182609999999997</v>
      </c>
      <c r="BD38" s="1166">
        <f t="shared" si="71"/>
        <v>70.904781000000028</v>
      </c>
      <c r="BE38" s="1166">
        <f t="shared" si="71"/>
        <v>48.960497999999987</v>
      </c>
      <c r="BF38" s="1166">
        <f t="shared" si="71"/>
        <v>16.749000880000001</v>
      </c>
      <c r="BG38" s="1165">
        <f t="shared" si="71"/>
        <v>83.450058634562396</v>
      </c>
      <c r="BH38" s="1166">
        <f t="shared" si="71"/>
        <v>56.160802000000011</v>
      </c>
      <c r="BI38" s="1167">
        <f t="shared" si="71"/>
        <v>18.027346909999999</v>
      </c>
      <c r="BJ38" s="1166">
        <f>SUM(BJ30:BJ37)</f>
        <v>121.77630199999996</v>
      </c>
      <c r="BK38" s="1166">
        <f>SUM(BK30:BK37)</f>
        <v>74.352484000000004</v>
      </c>
      <c r="BL38" s="1166">
        <f>SUM(BL30:BL37)</f>
        <v>16.043500000000002</v>
      </c>
      <c r="BM38" s="1166">
        <f t="shared" si="71"/>
        <v>0</v>
      </c>
      <c r="BN38" s="1166">
        <f t="shared" si="71"/>
        <v>0</v>
      </c>
      <c r="BO38" s="1166">
        <f t="shared" si="71"/>
        <v>0</v>
      </c>
      <c r="BP38" s="1166">
        <f t="shared" si="71"/>
        <v>0</v>
      </c>
      <c r="BQ38" s="1166">
        <f t="shared" si="71"/>
        <v>0</v>
      </c>
      <c r="BR38" s="1166">
        <f t="shared" si="71"/>
        <v>0</v>
      </c>
      <c r="BS38" s="1166">
        <f t="shared" ref="BS38:CA38" si="72">SUM(BS30:BS37)</f>
        <v>0</v>
      </c>
      <c r="BT38" s="1166">
        <f t="shared" si="72"/>
        <v>0</v>
      </c>
      <c r="BU38" s="1166">
        <f t="shared" si="72"/>
        <v>0</v>
      </c>
      <c r="BV38" s="1166">
        <f t="shared" si="72"/>
        <v>0</v>
      </c>
      <c r="BW38" s="1166">
        <f t="shared" si="72"/>
        <v>0</v>
      </c>
      <c r="BX38" s="1166">
        <f t="shared" si="72"/>
        <v>0</v>
      </c>
      <c r="BY38" s="1166">
        <f t="shared" si="72"/>
        <v>0</v>
      </c>
      <c r="BZ38" s="1166">
        <f t="shared" si="72"/>
        <v>0</v>
      </c>
      <c r="CA38" s="1166">
        <f t="shared" si="72"/>
        <v>0</v>
      </c>
      <c r="CB38" s="1162">
        <f>SUM(CB30:CB37)</f>
        <v>561.75003016785536</v>
      </c>
      <c r="CC38" s="1163">
        <f>SUM(CC30:CC37)</f>
        <v>374.78064999999992</v>
      </c>
      <c r="CD38" s="1163">
        <f>SUM(CD30:CD37)</f>
        <v>122.6777373</v>
      </c>
      <c r="CE38" s="1163">
        <f>SUM(CE30:CE37)</f>
        <v>405.36729105778409</v>
      </c>
      <c r="CF38" s="1165">
        <f t="shared" si="1"/>
        <v>85.457564051690667</v>
      </c>
      <c r="CG38" s="1166">
        <f t="shared" si="47"/>
        <v>64.29164286785543</v>
      </c>
      <c r="CH38" s="1167">
        <f t="shared" si="2"/>
        <v>-21.165921183835238</v>
      </c>
      <c r="CI38" s="1166">
        <f t="shared" si="3"/>
        <v>12.972696317336831</v>
      </c>
      <c r="CJ38" s="1166">
        <f>(CB38-CC38-CD38)/CB38*100</f>
        <v>11.444884631095539</v>
      </c>
      <c r="CK38" s="1166">
        <f t="shared" si="11"/>
        <v>-1.5278116862412929</v>
      </c>
      <c r="CL38" s="1162">
        <f>SUM(CL30:CL37)</f>
        <v>45.932597786589376</v>
      </c>
      <c r="CM38" s="1163">
        <f>SUM(CM30:CM37)</f>
        <v>30.586641057784082</v>
      </c>
      <c r="CN38" s="1164">
        <f t="shared" si="13"/>
        <v>-15.345956728805294</v>
      </c>
      <c r="CO38" s="1162">
        <f t="shared" si="5"/>
        <v>9.7392902368919128</v>
      </c>
      <c r="CP38" s="1163">
        <f t="shared" si="14"/>
        <v>7.5454141793162179</v>
      </c>
      <c r="CQ38" s="1164">
        <f t="shared" si="6"/>
        <v>-2.1938760575756948</v>
      </c>
      <c r="CR38" s="1168">
        <f t="shared" si="68"/>
        <v>4.457471475092043</v>
      </c>
      <c r="CS38" s="1165">
        <f t="shared" si="69"/>
        <v>4.4026437976186328</v>
      </c>
      <c r="CT38" s="1162">
        <f>SUM(CT30:CT37)</f>
        <v>204.74324441059804</v>
      </c>
      <c r="CU38" s="1163">
        <f>SUM(CU30:CU37)</f>
        <v>134.66208554304052</v>
      </c>
      <c r="CV38" s="1164">
        <f t="shared" si="7"/>
        <v>-70.081158867557519</v>
      </c>
      <c r="CX38" s="1162">
        <f>SUM(CX30:CX37)</f>
        <v>0</v>
      </c>
      <c r="CY38" s="1162">
        <f>SUM(CY30:CY37)</f>
        <v>0</v>
      </c>
      <c r="CZ38" s="1162">
        <f>SUM(CZ30:CZ37)</f>
        <v>0</v>
      </c>
      <c r="DA38" s="1162">
        <f>SUM(DA30:DA37)</f>
        <v>0</v>
      </c>
      <c r="DB38" s="1165">
        <f t="shared" si="18"/>
        <v>0</v>
      </c>
      <c r="DC38" s="1166" t="e">
        <f t="shared" si="19"/>
        <v>#DIV/0!</v>
      </c>
      <c r="DD38" s="1162">
        <f t="shared" si="20"/>
        <v>0</v>
      </c>
      <c r="DE38" s="1162" t="e">
        <f t="shared" si="21"/>
        <v>#DIV/0!</v>
      </c>
      <c r="DF38" s="1168">
        <v>4.6174980418038505</v>
      </c>
      <c r="DG38" s="1162">
        <f t="shared" si="22"/>
        <v>0</v>
      </c>
      <c r="DI38" s="1432">
        <f>AN38-ventes_achats_élec!G21</f>
        <v>3.0096751690734891E-2</v>
      </c>
      <c r="DJ38" s="1827">
        <f>AO38-ventes_achats_élec!D21</f>
        <v>0</v>
      </c>
      <c r="DK38" s="1827">
        <f>AP38-ventes_achats_élec!E21</f>
        <v>5.8923500000105378E-3</v>
      </c>
      <c r="DL38" s="1432">
        <f>CB38-ventes_achats_élec!M21</f>
        <v>-115.55708683214459</v>
      </c>
      <c r="DM38" s="1433">
        <f>CC38-ventes_achats_élec!J21</f>
        <v>-81.362108999999975</v>
      </c>
      <c r="DN38" s="1433">
        <f>CD38-ventes_achats_élec!K21</f>
        <v>-17.521974189999995</v>
      </c>
      <c r="DP38" s="3075"/>
      <c r="DQ38" s="3075"/>
      <c r="DR38" s="3075"/>
      <c r="DS38" s="3075"/>
      <c r="DT38" s="3075"/>
      <c r="DU38" s="3075"/>
    </row>
    <row r="39" spans="1:125" ht="12.75" customHeight="1">
      <c r="A39" s="1130">
        <v>1</v>
      </c>
      <c r="B39" s="3085" t="s">
        <v>124</v>
      </c>
      <c r="C39" s="1172" t="s">
        <v>444</v>
      </c>
      <c r="D39" s="1150">
        <v>9.8404520000000009</v>
      </c>
      <c r="E39" s="1151">
        <v>7.3795970000000004</v>
      </c>
      <c r="F39" s="1151">
        <v>1.1961929199999999</v>
      </c>
      <c r="G39" s="1150">
        <v>8.8113510000000002</v>
      </c>
      <c r="H39" s="1151">
        <v>7.3528149999999997</v>
      </c>
      <c r="I39" s="1151">
        <v>1.2587766499999999</v>
      </c>
      <c r="J39" s="1150">
        <v>9.3126569999999997</v>
      </c>
      <c r="K39" s="1151">
        <v>6.2642829999999998</v>
      </c>
      <c r="L39" s="1151">
        <v>1.2367245600000001</v>
      </c>
      <c r="M39" s="1150">
        <v>9.1127730000000007</v>
      </c>
      <c r="N39" s="1151">
        <v>7.7956989999999999</v>
      </c>
      <c r="O39" s="1151">
        <v>0.98455961000000003</v>
      </c>
      <c r="P39" s="1150">
        <v>8.1288630000000008</v>
      </c>
      <c r="Q39" s="1151">
        <v>6.6044239999999999</v>
      </c>
      <c r="R39" s="1151">
        <v>0.93737490000000001</v>
      </c>
      <c r="S39" s="1150">
        <v>11.567399529999999</v>
      </c>
      <c r="T39" s="1195">
        <v>5.8267329999999999</v>
      </c>
      <c r="U39" s="1155">
        <v>1.07379337</v>
      </c>
      <c r="V39" s="1150">
        <v>20.340668999999998</v>
      </c>
      <c r="W39" s="1151">
        <v>11.250895999999999</v>
      </c>
      <c r="X39" s="1151">
        <v>1.1674261799999999</v>
      </c>
      <c r="Y39" s="1150">
        <v>16.196874999999999</v>
      </c>
      <c r="Z39" s="1151">
        <v>13.055966</v>
      </c>
      <c r="AA39" s="1151">
        <v>1.0731505299999999</v>
      </c>
      <c r="AB39" s="1150"/>
      <c r="AC39" s="1151"/>
      <c r="AD39" s="1151"/>
      <c r="AE39" s="1150"/>
      <c r="AF39" s="1151"/>
      <c r="AG39" s="1151"/>
      <c r="AH39" s="1150"/>
      <c r="AI39" s="1151"/>
      <c r="AJ39" s="1151"/>
      <c r="AK39" s="1150"/>
      <c r="AL39" s="1151"/>
      <c r="AM39" s="1151"/>
      <c r="AN39" s="1150">
        <v>92.155110530000002</v>
      </c>
      <c r="AO39" s="1151">
        <v>65.876790999999997</v>
      </c>
      <c r="AP39" s="1151">
        <v>8.9379914899999999</v>
      </c>
      <c r="AQ39" s="1151">
        <f t="shared" ref="AQ39:AQ55" si="73">AN39-(AN39*0.06)-AP39</f>
        <v>77.687812408200003</v>
      </c>
      <c r="AR39" s="1150">
        <v>10.411517999999999</v>
      </c>
      <c r="AS39" s="1151">
        <v>7.7341410000000002</v>
      </c>
      <c r="AT39" s="1151">
        <v>1.2139586900000003</v>
      </c>
      <c r="AU39" s="1150">
        <v>9.4734414229911454</v>
      </c>
      <c r="AV39" s="1151">
        <v>7.8409337037877771</v>
      </c>
      <c r="AW39" s="1151">
        <v>1.3913856582975825</v>
      </c>
      <c r="AX39" s="1150"/>
      <c r="AY39" s="1151"/>
      <c r="AZ39" s="1151"/>
      <c r="BA39" s="1150">
        <v>7.7394092099999998</v>
      </c>
      <c r="BB39" s="1151">
        <v>7.945506</v>
      </c>
      <c r="BC39" s="1151">
        <v>1.0959111200000002</v>
      </c>
      <c r="BD39" s="1150">
        <v>8.4229965799999995</v>
      </c>
      <c r="BE39" s="1151">
        <v>7.187811</v>
      </c>
      <c r="BF39" s="1839">
        <v>1.0348605500000001</v>
      </c>
      <c r="BG39" s="1150">
        <v>11.334751169999999</v>
      </c>
      <c r="BH39" s="1195">
        <v>6.4391819999999997</v>
      </c>
      <c r="BI39" s="1155">
        <v>1.0541876099999998</v>
      </c>
      <c r="BJ39" s="1150">
        <v>17.618585419999995</v>
      </c>
      <c r="BK39" s="1151">
        <v>11.520712</v>
      </c>
      <c r="BL39" s="1151">
        <v>1.1463316199999998</v>
      </c>
      <c r="BM39" s="1150"/>
      <c r="BN39" s="1151"/>
      <c r="BO39" s="1151"/>
      <c r="BP39" s="1150"/>
      <c r="BQ39" s="1151"/>
      <c r="BR39" s="1151"/>
      <c r="BS39" s="1150"/>
      <c r="BT39" s="1151"/>
      <c r="BU39" s="1151"/>
      <c r="BV39" s="1150"/>
      <c r="BW39" s="1151"/>
      <c r="BX39" s="1151"/>
      <c r="BY39" s="1150"/>
      <c r="BZ39" s="1151"/>
      <c r="CA39" s="1151"/>
      <c r="CB39" s="1150">
        <v>74.634588329999985</v>
      </c>
      <c r="CC39" s="1151">
        <v>54.731665</v>
      </c>
      <c r="CD39" s="1151">
        <v>8.0629370199999997</v>
      </c>
      <c r="CE39" s="1151">
        <f t="shared" ref="CE39:CE55" si="74">CB39-(CB39*0.06)-CD39</f>
        <v>62.093576010199989</v>
      </c>
      <c r="CF39" s="1153">
        <f t="shared" si="1"/>
        <v>17.340328040000003</v>
      </c>
      <c r="CG39" s="1154">
        <f t="shared" si="47"/>
        <v>11.839986309999986</v>
      </c>
      <c r="CH39" s="1155">
        <f t="shared" si="2"/>
        <v>-5.5003417300000166</v>
      </c>
      <c r="CI39" s="1154">
        <f t="shared" si="3"/>
        <v>18.816458403959121</v>
      </c>
      <c r="CJ39" s="1154">
        <f t="shared" ref="CJ39:CJ84" si="75">(CB39-CC39-CD39)/CB39*100</f>
        <v>15.86393999742986</v>
      </c>
      <c r="CK39" s="1154">
        <f t="shared" si="11"/>
        <v>-2.9525184065292613</v>
      </c>
      <c r="CL39" s="1150">
        <f t="shared" ref="CL39:CL55" si="76">AQ39-AO39</f>
        <v>11.811021408200006</v>
      </c>
      <c r="CM39" s="1157">
        <f t="shared" ref="CM39:CM55" si="77">CE39-CC39</f>
        <v>7.3619110101999894</v>
      </c>
      <c r="CN39" s="1152">
        <f t="shared" si="13"/>
        <v>-4.4491103980000162</v>
      </c>
      <c r="CO39" s="1150">
        <f t="shared" si="5"/>
        <v>15.203184440489334</v>
      </c>
      <c r="CP39" s="1151">
        <f t="shared" si="14"/>
        <v>11.856155633540357</v>
      </c>
      <c r="CQ39" s="1152">
        <f t="shared" si="6"/>
        <v>-3.3470288069489769</v>
      </c>
      <c r="CR39" s="1173">
        <f>élec!AZ293/100</f>
        <v>4.6503759295842846</v>
      </c>
      <c r="CS39" s="1153">
        <f>élec!AZ308/100</f>
        <v>4.6458296676535706</v>
      </c>
      <c r="CT39" s="1150">
        <f t="shared" ref="CT39:CT55" si="78">CL39*CR39</f>
        <v>54.925689660497987</v>
      </c>
      <c r="CU39" s="1151">
        <f t="shared" ref="CU39:CU55" si="79">CS39*CM39</f>
        <v>34.202184581812581</v>
      </c>
      <c r="CV39" s="1152">
        <f t="shared" si="7"/>
        <v>-20.723505078685406</v>
      </c>
      <c r="CX39" s="1175"/>
      <c r="CY39" s="1176"/>
      <c r="CZ39" s="1176"/>
      <c r="DA39" s="1152">
        <f t="shared" si="17"/>
        <v>0</v>
      </c>
      <c r="DB39" s="1153">
        <f t="shared" si="18"/>
        <v>0</v>
      </c>
      <c r="DC39" s="1154" t="e">
        <f t="shared" si="19"/>
        <v>#DIV/0!</v>
      </c>
      <c r="DD39" s="1150">
        <f t="shared" si="20"/>
        <v>0</v>
      </c>
      <c r="DE39" s="1150" t="e">
        <f t="shared" si="21"/>
        <v>#DIV/0!</v>
      </c>
      <c r="DF39" s="1173">
        <v>4.6716614165453159</v>
      </c>
      <c r="DG39" s="1150">
        <f t="shared" si="22"/>
        <v>0</v>
      </c>
      <c r="DI39" s="1434"/>
      <c r="DJ39" s="1435"/>
      <c r="DK39" s="1828"/>
      <c r="DL39" s="1434"/>
      <c r="DM39" s="1435"/>
      <c r="DN39" s="1435"/>
    </row>
    <row r="40" spans="1:125" ht="12.75" customHeight="1">
      <c r="A40" s="1130">
        <v>1</v>
      </c>
      <c r="B40" s="3086"/>
      <c r="C40" s="1172" t="s">
        <v>445</v>
      </c>
      <c r="D40" s="1150">
        <v>8.4449539999999992</v>
      </c>
      <c r="E40" s="1151">
        <v>5.1837369999999998</v>
      </c>
      <c r="F40" s="1151">
        <v>1.26102381</v>
      </c>
      <c r="G40" s="1150">
        <v>7.444394</v>
      </c>
      <c r="H40" s="1151">
        <v>4.9727940000000004</v>
      </c>
      <c r="I40" s="1151">
        <v>1.5083984799999999</v>
      </c>
      <c r="J40" s="1150">
        <v>6.726159</v>
      </c>
      <c r="K40" s="1151">
        <v>3.722966</v>
      </c>
      <c r="L40" s="1151">
        <v>1.3476778899999999</v>
      </c>
      <c r="M40" s="1150">
        <v>4.7431020000000004</v>
      </c>
      <c r="N40" s="1151">
        <v>5.3464499999999999</v>
      </c>
      <c r="O40" s="1151">
        <v>1.3251322700000001</v>
      </c>
      <c r="P40" s="1150">
        <v>6.3432300000000001</v>
      </c>
      <c r="Q40" s="1151">
        <v>4.3954789999999999</v>
      </c>
      <c r="R40" s="1151">
        <v>1.35465093</v>
      </c>
      <c r="S40" s="1150">
        <v>7.3487874699999995</v>
      </c>
      <c r="T40" s="1195">
        <v>3.4999950000000002</v>
      </c>
      <c r="U40" s="1155">
        <v>1.3423539399999997</v>
      </c>
      <c r="V40" s="1150">
        <v>15.132821</v>
      </c>
      <c r="W40" s="1151">
        <v>8.1477950000000003</v>
      </c>
      <c r="X40" s="1151">
        <v>1.5444716000000001</v>
      </c>
      <c r="Y40" s="1150">
        <v>11.898986000000001</v>
      </c>
      <c r="Z40" s="1151">
        <v>9.2810710000000007</v>
      </c>
      <c r="AA40" s="1151">
        <v>1.52116725</v>
      </c>
      <c r="AB40" s="1150"/>
      <c r="AC40" s="1151"/>
      <c r="AD40" s="1151"/>
      <c r="AE40" s="1150"/>
      <c r="AF40" s="1151"/>
      <c r="AG40" s="1151"/>
      <c r="AH40" s="1150"/>
      <c r="AI40" s="1151"/>
      <c r="AJ40" s="1151"/>
      <c r="AK40" s="1150"/>
      <c r="AL40" s="1151"/>
      <c r="AM40" s="1151"/>
      <c r="AN40" s="1150">
        <v>68.680434469999994</v>
      </c>
      <c r="AO40" s="1151">
        <v>44.756338999999997</v>
      </c>
      <c r="AP40" s="1151">
        <v>11.338864769999999</v>
      </c>
      <c r="AQ40" s="1151">
        <f t="shared" si="73"/>
        <v>53.220743631799991</v>
      </c>
      <c r="AR40" s="1150">
        <v>7.4024660000000004</v>
      </c>
      <c r="AS40" s="1151">
        <v>5.3544489999999998</v>
      </c>
      <c r="AT40" s="1151">
        <v>1.4086724400000001</v>
      </c>
      <c r="AU40" s="1150">
        <v>6.7355046628823558</v>
      </c>
      <c r="AV40" s="1151">
        <v>5.4283830136162186</v>
      </c>
      <c r="AW40" s="1151">
        <v>1.6145579305133204</v>
      </c>
      <c r="AX40" s="1150"/>
      <c r="AY40" s="1151"/>
      <c r="AZ40" s="1151"/>
      <c r="BA40" s="1150">
        <v>6.1374583400000002</v>
      </c>
      <c r="BB40" s="1151">
        <v>5.7819570000000002</v>
      </c>
      <c r="BC40" s="1151">
        <v>1.5689286100000002</v>
      </c>
      <c r="BD40" s="1150">
        <v>6.6334310900000002</v>
      </c>
      <c r="BE40" s="1151">
        <v>4.6151</v>
      </c>
      <c r="BF40" s="1839">
        <v>1.6441413499999999</v>
      </c>
      <c r="BG40" s="1150">
        <v>9.0970151599999998</v>
      </c>
      <c r="BH40" s="1195">
        <v>4.0628169999999999</v>
      </c>
      <c r="BI40" s="1155">
        <v>1.6570281400000004</v>
      </c>
      <c r="BJ40" s="1150">
        <v>13.463317940000003</v>
      </c>
      <c r="BK40" s="1151">
        <v>8.2293939999999992</v>
      </c>
      <c r="BL40" s="1151">
        <v>1.4730067100000002</v>
      </c>
      <c r="BM40" s="1150"/>
      <c r="BN40" s="1151"/>
      <c r="BO40" s="1151"/>
      <c r="BP40" s="1150"/>
      <c r="BQ40" s="1151"/>
      <c r="BR40" s="1151"/>
      <c r="BS40" s="1150"/>
      <c r="BT40" s="1151"/>
      <c r="BU40" s="1151"/>
      <c r="BV40" s="1150"/>
      <c r="BW40" s="1151"/>
      <c r="BX40" s="1151"/>
      <c r="BY40" s="1150"/>
      <c r="BZ40" s="1151"/>
      <c r="CA40" s="1151"/>
      <c r="CB40" s="1150">
        <v>56.322257330000006</v>
      </c>
      <c r="CC40" s="1151">
        <v>37.249063999999997</v>
      </c>
      <c r="CD40" s="1151">
        <v>10.97601955</v>
      </c>
      <c r="CE40" s="1151">
        <f t="shared" si="74"/>
        <v>41.966902340200008</v>
      </c>
      <c r="CF40" s="1153">
        <f t="shared" ref="CF40:CF74" si="80">AN40-AO40-AP40</f>
        <v>12.585230699999999</v>
      </c>
      <c r="CG40" s="1154">
        <f t="shared" si="47"/>
        <v>8.0971737800000092</v>
      </c>
      <c r="CH40" s="1155">
        <f t="shared" si="2"/>
        <v>-4.4880569199999893</v>
      </c>
      <c r="CI40" s="1154">
        <f t="shared" ref="CI40:CI74" si="81">(AN40-AO40-AP40)/AN40*100</f>
        <v>18.324331808787989</v>
      </c>
      <c r="CJ40" s="1154">
        <f t="shared" si="75"/>
        <v>14.376507909754988</v>
      </c>
      <c r="CK40" s="1154">
        <f t="shared" si="11"/>
        <v>-3.9478238990330006</v>
      </c>
      <c r="CL40" s="1150">
        <f t="shared" si="76"/>
        <v>8.4644046317999937</v>
      </c>
      <c r="CM40" s="1157">
        <f t="shared" si="77"/>
        <v>4.7178383402000108</v>
      </c>
      <c r="CN40" s="1152">
        <f t="shared" si="13"/>
        <v>-3.7465662915999829</v>
      </c>
      <c r="CO40" s="1150">
        <f t="shared" ref="CO40:CO74" si="82">(CL40/AQ40)*100</f>
        <v>15.904333637950929</v>
      </c>
      <c r="CP40" s="1151">
        <f t="shared" si="14"/>
        <v>11.241807417558201</v>
      </c>
      <c r="CQ40" s="1152">
        <f t="shared" si="6"/>
        <v>-4.6625262203927278</v>
      </c>
      <c r="CR40" s="1173">
        <f>CR39</f>
        <v>4.6503759295842846</v>
      </c>
      <c r="CS40" s="1153">
        <f>CS39</f>
        <v>4.6458296676535706</v>
      </c>
      <c r="CT40" s="1150">
        <f t="shared" si="78"/>
        <v>39.362663557984419</v>
      </c>
      <c r="CU40" s="1151">
        <f t="shared" si="79"/>
        <v>21.918273328094688</v>
      </c>
      <c r="CV40" s="1152">
        <f t="shared" si="7"/>
        <v>-17.444390229889731</v>
      </c>
      <c r="CX40" s="1175"/>
      <c r="CY40" s="1176"/>
      <c r="CZ40" s="1176"/>
      <c r="DA40" s="1152">
        <f t="shared" si="17"/>
        <v>0</v>
      </c>
      <c r="DB40" s="1153">
        <f t="shared" si="18"/>
        <v>0</v>
      </c>
      <c r="DC40" s="1154" t="e">
        <f t="shared" si="19"/>
        <v>#DIV/0!</v>
      </c>
      <c r="DD40" s="1150">
        <f t="shared" si="20"/>
        <v>0</v>
      </c>
      <c r="DE40" s="1150" t="e">
        <f t="shared" si="21"/>
        <v>#DIV/0!</v>
      </c>
      <c r="DF40" s="1173">
        <v>4.6716614165453159</v>
      </c>
      <c r="DG40" s="1150">
        <f t="shared" si="22"/>
        <v>0</v>
      </c>
      <c r="DI40" s="1434"/>
      <c r="DJ40" s="1435"/>
      <c r="DK40" s="1828"/>
      <c r="DL40" s="1434"/>
      <c r="DM40" s="1435"/>
      <c r="DN40" s="1435"/>
    </row>
    <row r="41" spans="1:125" ht="12.75" customHeight="1">
      <c r="A41" s="1130">
        <v>1</v>
      </c>
      <c r="B41" s="3086"/>
      <c r="C41" s="1172" t="s">
        <v>446</v>
      </c>
      <c r="D41" s="1150">
        <v>4.8082609999999999</v>
      </c>
      <c r="E41" s="1151">
        <v>3.3086739999999999</v>
      </c>
      <c r="F41" s="1151">
        <v>0.83782274000000001</v>
      </c>
      <c r="G41" s="1150">
        <v>4.2903039999999999</v>
      </c>
      <c r="H41" s="1151">
        <v>3.2936260000000002</v>
      </c>
      <c r="I41" s="1151">
        <v>0.98795575000000002</v>
      </c>
      <c r="J41" s="1150">
        <v>4.294492</v>
      </c>
      <c r="K41" s="1151">
        <v>2.832233</v>
      </c>
      <c r="L41" s="1151">
        <v>0.96471764000000004</v>
      </c>
      <c r="M41" s="1150">
        <v>3.8712469999999999</v>
      </c>
      <c r="N41" s="1151">
        <v>3.4600409999999999</v>
      </c>
      <c r="O41" s="1151">
        <v>0.92855076999999997</v>
      </c>
      <c r="P41" s="1150">
        <v>3.9445899999999998</v>
      </c>
      <c r="Q41" s="1151">
        <v>2.9692829999999999</v>
      </c>
      <c r="R41" s="1151">
        <v>0.90432212000000001</v>
      </c>
      <c r="S41" s="1150">
        <v>4.9970720000000002</v>
      </c>
      <c r="T41" s="1195">
        <v>2.8610419999999999</v>
      </c>
      <c r="U41" s="1155">
        <v>0.77964183999999981</v>
      </c>
      <c r="V41" s="1150">
        <v>9.3982530000000004</v>
      </c>
      <c r="W41" s="1151">
        <v>4.8066519999999997</v>
      </c>
      <c r="X41" s="1151">
        <v>0.83711018000000004</v>
      </c>
      <c r="Y41" s="1150">
        <v>7.1874669999999998</v>
      </c>
      <c r="Z41" s="1151">
        <v>6.1660399999999997</v>
      </c>
      <c r="AA41" s="1151">
        <v>0.72790856000000004</v>
      </c>
      <c r="AB41" s="1150"/>
      <c r="AC41" s="1151"/>
      <c r="AD41" s="1151"/>
      <c r="AE41" s="1150"/>
      <c r="AF41" s="1151"/>
      <c r="AG41" s="1151"/>
      <c r="AH41" s="1150"/>
      <c r="AI41" s="1151"/>
      <c r="AJ41" s="1151"/>
      <c r="AK41" s="1150"/>
      <c r="AL41" s="1151"/>
      <c r="AM41" s="1151"/>
      <c r="AN41" s="1150">
        <v>42.972315000000002</v>
      </c>
      <c r="AO41" s="1151">
        <v>29.890729</v>
      </c>
      <c r="AP41" s="1151">
        <v>7.1375091699999995</v>
      </c>
      <c r="AQ41" s="1151">
        <f t="shared" si="73"/>
        <v>33.256466930000002</v>
      </c>
      <c r="AR41" s="1150">
        <v>4.5940310000000002</v>
      </c>
      <c r="AS41" s="1151">
        <v>3.442418</v>
      </c>
      <c r="AT41" s="1151">
        <v>0.57336694999999993</v>
      </c>
      <c r="AU41" s="1150">
        <v>4.1801093340957038</v>
      </c>
      <c r="AV41" s="1151">
        <v>3.4899507674770489</v>
      </c>
      <c r="AW41" s="1151">
        <v>0.65716779141127668</v>
      </c>
      <c r="AX41" s="1150"/>
      <c r="AY41" s="1151"/>
      <c r="AZ41" s="1151"/>
      <c r="BA41" s="1150">
        <v>3.8289906299999998</v>
      </c>
      <c r="BB41" s="1151">
        <v>3.4771700000000001</v>
      </c>
      <c r="BC41" s="1151">
        <v>0.71251376</v>
      </c>
      <c r="BD41" s="1150">
        <v>3.7952536400000008</v>
      </c>
      <c r="BE41" s="1151">
        <v>3.0943459999999998</v>
      </c>
      <c r="BF41" s="1839">
        <v>0.70160004999999992</v>
      </c>
      <c r="BG41" s="1150">
        <v>5.0927918300000004</v>
      </c>
      <c r="BH41" s="1195">
        <v>3.1075550000000001</v>
      </c>
      <c r="BI41" s="1155">
        <v>0.61476656000000007</v>
      </c>
      <c r="BJ41" s="1150">
        <v>7.8395625599999992</v>
      </c>
      <c r="BK41" s="1151">
        <v>4.7037589999999998</v>
      </c>
      <c r="BL41" s="1151">
        <v>0.58932881000000004</v>
      </c>
      <c r="BM41" s="1150"/>
      <c r="BN41" s="1151"/>
      <c r="BO41" s="1151"/>
      <c r="BP41" s="1150"/>
      <c r="BQ41" s="1151"/>
      <c r="BR41" s="1151"/>
      <c r="BS41" s="1150"/>
      <c r="BT41" s="1151"/>
      <c r="BU41" s="1151"/>
      <c r="BV41" s="1150"/>
      <c r="BW41" s="1151"/>
      <c r="BX41" s="1151"/>
      <c r="BY41" s="1150"/>
      <c r="BZ41" s="1151"/>
      <c r="CA41" s="1151"/>
      <c r="CB41" s="1150">
        <v>33.473879660000001</v>
      </c>
      <c r="CC41" s="1151">
        <v>24.097525000000001</v>
      </c>
      <c r="CD41" s="1151">
        <v>4.46723538</v>
      </c>
      <c r="CE41" s="1151">
        <f t="shared" si="74"/>
        <v>26.998211500400004</v>
      </c>
      <c r="CF41" s="1153">
        <f t="shared" si="80"/>
        <v>5.944076830000002</v>
      </c>
      <c r="CG41" s="1154">
        <f t="shared" si="47"/>
        <v>4.9091192800000005</v>
      </c>
      <c r="CH41" s="1155">
        <f t="shared" si="2"/>
        <v>-1.0349575500000014</v>
      </c>
      <c r="CI41" s="1154">
        <f t="shared" si="81"/>
        <v>13.832340263725614</v>
      </c>
      <c r="CJ41" s="1154">
        <f t="shared" si="75"/>
        <v>14.665522281440859</v>
      </c>
      <c r="CK41" s="1154">
        <f t="shared" si="11"/>
        <v>0.83318201771524514</v>
      </c>
      <c r="CL41" s="1150">
        <f t="shared" si="76"/>
        <v>3.3657379300000017</v>
      </c>
      <c r="CM41" s="1157">
        <f t="shared" si="77"/>
        <v>2.9006865004000026</v>
      </c>
      <c r="CN41" s="1152">
        <f t="shared" si="13"/>
        <v>-0.46505142959999901</v>
      </c>
      <c r="CO41" s="1150">
        <f t="shared" si="82"/>
        <v>10.120551702273088</v>
      </c>
      <c r="CP41" s="1151">
        <f t="shared" si="14"/>
        <v>10.743995024844613</v>
      </c>
      <c r="CQ41" s="1152">
        <f t="shared" si="6"/>
        <v>0.62344332257152502</v>
      </c>
      <c r="CR41" s="1173">
        <f t="shared" ref="CR41:CR56" si="83">CR40</f>
        <v>4.6503759295842846</v>
      </c>
      <c r="CS41" s="1153">
        <f t="shared" ref="CS41:CS56" si="84">CS40</f>
        <v>4.6458296676535706</v>
      </c>
      <c r="CT41" s="1150">
        <f t="shared" si="78"/>
        <v>15.651946654960843</v>
      </c>
      <c r="CU41" s="1151">
        <f t="shared" si="79"/>
        <v>13.476095400120544</v>
      </c>
      <c r="CV41" s="1152">
        <f t="shared" si="7"/>
        <v>-2.1758512548402997</v>
      </c>
      <c r="CX41" s="1175"/>
      <c r="CY41" s="1176"/>
      <c r="CZ41" s="1176"/>
      <c r="DA41" s="1152">
        <f t="shared" si="17"/>
        <v>0</v>
      </c>
      <c r="DB41" s="1153">
        <f t="shared" si="18"/>
        <v>0</v>
      </c>
      <c r="DC41" s="1154" t="e">
        <f t="shared" si="19"/>
        <v>#DIV/0!</v>
      </c>
      <c r="DD41" s="1150">
        <f t="shared" si="20"/>
        <v>0</v>
      </c>
      <c r="DE41" s="1150" t="e">
        <f t="shared" si="21"/>
        <v>#DIV/0!</v>
      </c>
      <c r="DF41" s="1173">
        <v>4.6716614165453159</v>
      </c>
      <c r="DG41" s="1150">
        <f t="shared" si="22"/>
        <v>0</v>
      </c>
      <c r="DI41" s="1434"/>
      <c r="DJ41" s="1435"/>
      <c r="DK41" s="1828"/>
      <c r="DL41" s="1434"/>
      <c r="DM41" s="1435"/>
      <c r="DN41" s="1435"/>
    </row>
    <row r="42" spans="1:125" ht="12.75" customHeight="1">
      <c r="A42" s="1130">
        <v>1</v>
      </c>
      <c r="B42" s="3086"/>
      <c r="C42" s="1172" t="s">
        <v>965</v>
      </c>
      <c r="D42" s="1150">
        <v>4.31534</v>
      </c>
      <c r="E42" s="1151">
        <v>3.1541049999999999</v>
      </c>
      <c r="F42" s="1151">
        <v>0.69077137</v>
      </c>
      <c r="G42" s="1150">
        <v>4.3560429999999997</v>
      </c>
      <c r="H42" s="1151">
        <v>3.3921399999999999</v>
      </c>
      <c r="I42" s="1151">
        <v>0.75696865000000002</v>
      </c>
      <c r="J42" s="1150">
        <v>4.0766739999999997</v>
      </c>
      <c r="K42" s="1151">
        <v>2.495873</v>
      </c>
      <c r="L42" s="1151">
        <v>0.7389</v>
      </c>
      <c r="M42" s="1150">
        <v>3.6203820000000002</v>
      </c>
      <c r="N42" s="1151">
        <v>3.2623690000000001</v>
      </c>
      <c r="O42" s="1151">
        <v>0.68635162999999999</v>
      </c>
      <c r="P42" s="1150">
        <v>3.38828</v>
      </c>
      <c r="Q42" s="1151">
        <v>2.967943</v>
      </c>
      <c r="R42" s="1151">
        <v>0.68875081000000005</v>
      </c>
      <c r="S42" s="1150">
        <v>4.198556</v>
      </c>
      <c r="T42" s="1195">
        <v>2.268141</v>
      </c>
      <c r="U42" s="1155">
        <v>0.73676302000000016</v>
      </c>
      <c r="V42" s="1150">
        <v>8.0960339999999995</v>
      </c>
      <c r="W42" s="1151">
        <v>4.2679049999999998</v>
      </c>
      <c r="X42" s="1151">
        <v>0.94388523999999996</v>
      </c>
      <c r="Y42" s="1150">
        <v>6.3340690000000004</v>
      </c>
      <c r="Z42" s="1151">
        <v>5.5025589999999998</v>
      </c>
      <c r="AA42" s="1151">
        <v>0.88853793999999997</v>
      </c>
      <c r="AB42" s="1150"/>
      <c r="AC42" s="1151"/>
      <c r="AD42" s="1151"/>
      <c r="AE42" s="1150"/>
      <c r="AF42" s="1151"/>
      <c r="AG42" s="1151"/>
      <c r="AH42" s="1150"/>
      <c r="AI42" s="1151"/>
      <c r="AJ42" s="1151"/>
      <c r="AK42" s="1150"/>
      <c r="AL42" s="1151"/>
      <c r="AM42" s="1151"/>
      <c r="AN42" s="1150">
        <v>37.846916</v>
      </c>
      <c r="AO42" s="1151">
        <v>27.504897</v>
      </c>
      <c r="AP42" s="1151">
        <v>6.1859447599999999</v>
      </c>
      <c r="AQ42" s="1151">
        <f t="shared" si="73"/>
        <v>29.390156279999999</v>
      </c>
      <c r="AR42" s="1150">
        <v>4.2234299999999996</v>
      </c>
      <c r="AS42" s="1151">
        <v>3.2837999999999998</v>
      </c>
      <c r="AT42" s="1151">
        <v>0.74438305000000005</v>
      </c>
      <c r="AU42" s="1150">
        <v>3.8428994416667668</v>
      </c>
      <c r="AV42" s="1151">
        <v>3.3291425765961984</v>
      </c>
      <c r="AW42" s="1151">
        <v>0.85317886727250325</v>
      </c>
      <c r="AX42" s="1150"/>
      <c r="AY42" s="1151"/>
      <c r="AZ42" s="1151"/>
      <c r="BA42" s="1150">
        <v>3.3428300000000002</v>
      </c>
      <c r="BB42" s="1151">
        <v>3.311242</v>
      </c>
      <c r="BC42" s="1151">
        <v>0.70804540999999999</v>
      </c>
      <c r="BD42" s="1150">
        <v>3.4047670000000001</v>
      </c>
      <c r="BE42" s="1151">
        <v>3.0628000000000002</v>
      </c>
      <c r="BF42" s="1839">
        <v>0.69988497999999999</v>
      </c>
      <c r="BG42" s="1150">
        <v>4.6193679999999997</v>
      </c>
      <c r="BH42" s="1195">
        <v>2.4589629999999998</v>
      </c>
      <c r="BI42" s="1155">
        <v>0.92796659000000004</v>
      </c>
      <c r="BJ42" s="1150">
        <v>8.0190070000000002</v>
      </c>
      <c r="BK42" s="1151">
        <v>4.2480390000000003</v>
      </c>
      <c r="BL42" s="1151">
        <v>0.92801955999999997</v>
      </c>
      <c r="BM42" s="1150"/>
      <c r="BN42" s="1151"/>
      <c r="BO42" s="1151"/>
      <c r="BP42" s="1150"/>
      <c r="BQ42" s="1151"/>
      <c r="BR42" s="1151"/>
      <c r="BS42" s="1150"/>
      <c r="BT42" s="1151"/>
      <c r="BU42" s="1151"/>
      <c r="BV42" s="1150"/>
      <c r="BW42" s="1151"/>
      <c r="BX42" s="1151"/>
      <c r="BY42" s="1150"/>
      <c r="BZ42" s="1151"/>
      <c r="CA42" s="1151"/>
      <c r="CB42" s="1150">
        <v>32.004607999999998</v>
      </c>
      <c r="CC42" s="1151">
        <v>22.385729000000001</v>
      </c>
      <c r="CD42" s="1151">
        <v>5.4800365099999997</v>
      </c>
      <c r="CE42" s="1151">
        <f t="shared" si="74"/>
        <v>24.604295010000001</v>
      </c>
      <c r="CF42" s="1153">
        <f t="shared" si="80"/>
        <v>4.1560742400000006</v>
      </c>
      <c r="CG42" s="1154">
        <f t="shared" si="47"/>
        <v>4.1388424899999965</v>
      </c>
      <c r="CH42" s="1155">
        <f t="shared" si="2"/>
        <v>-1.7231750000004098E-2</v>
      </c>
      <c r="CI42" s="1154">
        <f t="shared" si="81"/>
        <v>10.9812758323558</v>
      </c>
      <c r="CJ42" s="1154">
        <f t="shared" si="75"/>
        <v>12.93202057028787</v>
      </c>
      <c r="CK42" s="1154">
        <f t="shared" si="11"/>
        <v>1.9507447379320695</v>
      </c>
      <c r="CL42" s="1150">
        <f t="shared" si="76"/>
        <v>1.8852592799999996</v>
      </c>
      <c r="CM42" s="1157">
        <f t="shared" si="77"/>
        <v>2.21856601</v>
      </c>
      <c r="CN42" s="1152">
        <f t="shared" si="13"/>
        <v>0.33330673000000033</v>
      </c>
      <c r="CO42" s="1150">
        <f t="shared" si="82"/>
        <v>6.4145942676831522</v>
      </c>
      <c r="CP42" s="1151">
        <f t="shared" si="14"/>
        <v>9.016986705363033</v>
      </c>
      <c r="CQ42" s="1152">
        <f t="shared" si="6"/>
        <v>2.6023924376798808</v>
      </c>
      <c r="CR42" s="1173">
        <f t="shared" si="83"/>
        <v>4.6503759295842846</v>
      </c>
      <c r="CS42" s="1153">
        <f t="shared" si="84"/>
        <v>4.6458296676535706</v>
      </c>
      <c r="CT42" s="1150">
        <f t="shared" si="78"/>
        <v>8.7671643767373979</v>
      </c>
      <c r="CU42" s="1151">
        <f t="shared" si="79"/>
        <v>10.307079788905808</v>
      </c>
      <c r="CV42" s="1152">
        <f t="shared" si="7"/>
        <v>1.5399154121684102</v>
      </c>
      <c r="CX42" s="1175"/>
      <c r="CY42" s="1176"/>
      <c r="CZ42" s="1176"/>
      <c r="DA42" s="1152">
        <f t="shared" si="17"/>
        <v>0</v>
      </c>
      <c r="DB42" s="1153">
        <f t="shared" si="18"/>
        <v>0</v>
      </c>
      <c r="DC42" s="1154" t="e">
        <f t="shared" si="19"/>
        <v>#DIV/0!</v>
      </c>
      <c r="DD42" s="1150">
        <f t="shared" si="20"/>
        <v>0</v>
      </c>
      <c r="DE42" s="1150" t="e">
        <f t="shared" si="21"/>
        <v>#DIV/0!</v>
      </c>
      <c r="DF42" s="1173">
        <v>4.6716614165453159</v>
      </c>
      <c r="DG42" s="1150">
        <f t="shared" si="22"/>
        <v>0</v>
      </c>
      <c r="DI42" s="1434"/>
      <c r="DJ42" s="1435"/>
      <c r="DK42" s="1828"/>
      <c r="DL42" s="1434"/>
      <c r="DM42" s="1435"/>
      <c r="DN42" s="1435"/>
    </row>
    <row r="43" spans="1:125" ht="12.75" customHeight="1">
      <c r="A43" s="1130">
        <v>1</v>
      </c>
      <c r="B43" s="3086"/>
      <c r="C43" s="1172" t="s">
        <v>966</v>
      </c>
      <c r="D43" s="1150">
        <v>14.494433000000001</v>
      </c>
      <c r="E43" s="1151">
        <v>5.9488729999999999</v>
      </c>
      <c r="F43" s="1151">
        <v>4.3496004699999995</v>
      </c>
      <c r="G43" s="1150">
        <v>11.325576</v>
      </c>
      <c r="H43" s="1151">
        <v>5.0299550000000002</v>
      </c>
      <c r="I43" s="1151">
        <v>4.9489370700000013</v>
      </c>
      <c r="J43" s="1150">
        <v>12.768435</v>
      </c>
      <c r="K43" s="1151">
        <v>8.3304360000000006</v>
      </c>
      <c r="L43" s="1151">
        <v>5.178155760000001</v>
      </c>
      <c r="M43" s="1150">
        <v>12.012022999999999</v>
      </c>
      <c r="N43" s="1151">
        <v>5.9177289999999996</v>
      </c>
      <c r="O43" s="1151">
        <v>5.15084564</v>
      </c>
      <c r="P43" s="1150">
        <v>11.743031</v>
      </c>
      <c r="Q43" s="1151">
        <v>4.4241250000000001</v>
      </c>
      <c r="R43" s="1151">
        <v>5.0882189800000006</v>
      </c>
      <c r="S43" s="1150">
        <v>14.408351</v>
      </c>
      <c r="T43" s="1195">
        <v>7.7686909999999996</v>
      </c>
      <c r="U43" s="1155">
        <v>5.7446842799999969</v>
      </c>
      <c r="V43" s="1150">
        <v>27.813829999999999</v>
      </c>
      <c r="W43" s="1151">
        <v>9.3996259999999996</v>
      </c>
      <c r="X43" s="1151">
        <v>5.66611259</v>
      </c>
      <c r="Y43" s="1150">
        <v>22.645340999999998</v>
      </c>
      <c r="Z43" s="1151">
        <v>10.400971</v>
      </c>
      <c r="AA43" s="1151">
        <v>5.6883828199999984</v>
      </c>
      <c r="AB43" s="1150"/>
      <c r="AC43" s="1151"/>
      <c r="AD43" s="1151"/>
      <c r="AE43" s="1150"/>
      <c r="AF43" s="1151"/>
      <c r="AG43" s="1151"/>
      <c r="AH43" s="1150"/>
      <c r="AI43" s="1151"/>
      <c r="AJ43" s="1151"/>
      <c r="AK43" s="1150"/>
      <c r="AL43" s="1151"/>
      <c r="AM43" s="1151"/>
      <c r="AN43" s="1150">
        <v>127.406459</v>
      </c>
      <c r="AO43" s="1151">
        <v>57.750413999999999</v>
      </c>
      <c r="AP43" s="1151">
        <v>42.50578299</v>
      </c>
      <c r="AQ43" s="1151">
        <f t="shared" si="73"/>
        <v>77.256288470000001</v>
      </c>
      <c r="AR43" s="1150">
        <v>16.561073</v>
      </c>
      <c r="AS43" s="1151">
        <v>6.1782009999999996</v>
      </c>
      <c r="AT43" s="1151">
        <v>4.7449529400000046</v>
      </c>
      <c r="AU43" s="1150">
        <v>15.068922223193606</v>
      </c>
      <c r="AV43" s="1151">
        <v>6.263509347667096</v>
      </c>
      <c r="AW43" s="1151">
        <v>5.4384548044323928</v>
      </c>
      <c r="AX43" s="1150"/>
      <c r="AY43" s="1151"/>
      <c r="AZ43" s="1151"/>
      <c r="BA43" s="1150">
        <v>12.587078450000002</v>
      </c>
      <c r="BB43" s="1151">
        <v>6.248729</v>
      </c>
      <c r="BC43" s="1151">
        <v>5.4848564699999978</v>
      </c>
      <c r="BD43" s="1150">
        <v>13.984316380000001</v>
      </c>
      <c r="BE43" s="1151">
        <v>4.6766920000000001</v>
      </c>
      <c r="BF43" s="1839">
        <v>5.5404211700000001</v>
      </c>
      <c r="BG43" s="1150">
        <v>16.567434570000003</v>
      </c>
      <c r="BH43" s="1195">
        <v>8.3902730000000005</v>
      </c>
      <c r="BI43" s="1155">
        <v>5.9436762599999993</v>
      </c>
      <c r="BJ43" s="1150">
        <v>20.694855820000001</v>
      </c>
      <c r="BK43" s="1151">
        <v>9.9700869999999995</v>
      </c>
      <c r="BL43" s="1151">
        <v>5.4415635300000007</v>
      </c>
      <c r="BM43" s="1150"/>
      <c r="BN43" s="1151"/>
      <c r="BO43" s="1151"/>
      <c r="BP43" s="1150"/>
      <c r="BQ43" s="1151"/>
      <c r="BR43" s="1151"/>
      <c r="BS43" s="1150"/>
      <c r="BT43" s="1151"/>
      <c r="BU43" s="1151"/>
      <c r="BV43" s="1150"/>
      <c r="BW43" s="1151"/>
      <c r="BX43" s="1151"/>
      <c r="BY43" s="1150"/>
      <c r="BZ43" s="1151"/>
      <c r="CA43" s="1151"/>
      <c r="CB43" s="1150">
        <v>104.51055194</v>
      </c>
      <c r="CC43" s="1151">
        <v>49.439425</v>
      </c>
      <c r="CD43" s="1151">
        <v>38.33574732000001</v>
      </c>
      <c r="CE43" s="1151">
        <f t="shared" si="74"/>
        <v>59.904171503599983</v>
      </c>
      <c r="CF43" s="1153">
        <f t="shared" si="80"/>
        <v>27.150262010000006</v>
      </c>
      <c r="CG43" s="1154">
        <f t="shared" si="47"/>
        <v>16.735379619999989</v>
      </c>
      <c r="CH43" s="1155">
        <f t="shared" si="2"/>
        <v>-10.414882390000017</v>
      </c>
      <c r="CI43" s="1154">
        <f t="shared" si="81"/>
        <v>21.309957299731565</v>
      </c>
      <c r="CJ43" s="1154">
        <f t="shared" si="75"/>
        <v>16.013100408854264</v>
      </c>
      <c r="CK43" s="1154">
        <f t="shared" si="11"/>
        <v>-5.2968568908773008</v>
      </c>
      <c r="CL43" s="1150">
        <f t="shared" si="76"/>
        <v>19.505874470000002</v>
      </c>
      <c r="CM43" s="1157">
        <f t="shared" si="77"/>
        <v>10.464746503599983</v>
      </c>
      <c r="CN43" s="1152">
        <f t="shared" si="13"/>
        <v>-9.041127966400019</v>
      </c>
      <c r="CO43" s="1150">
        <f t="shared" si="82"/>
        <v>25.248267624938364</v>
      </c>
      <c r="CP43" s="1151">
        <f t="shared" si="14"/>
        <v>17.469144870772642</v>
      </c>
      <c r="CQ43" s="1152">
        <f t="shared" si="6"/>
        <v>-7.7791227541657229</v>
      </c>
      <c r="CR43" s="1173">
        <f t="shared" si="83"/>
        <v>4.6503759295842846</v>
      </c>
      <c r="CS43" s="1153">
        <f t="shared" si="84"/>
        <v>4.6458296676535706</v>
      </c>
      <c r="CT43" s="1150">
        <f t="shared" si="78"/>
        <v>90.709649120780625</v>
      </c>
      <c r="CU43" s="1151">
        <f t="shared" si="79"/>
        <v>48.617429770898774</v>
      </c>
      <c r="CV43" s="1152">
        <f t="shared" si="7"/>
        <v>-42.092219349881852</v>
      </c>
      <c r="CX43" s="1175"/>
      <c r="CY43" s="1176"/>
      <c r="CZ43" s="1176"/>
      <c r="DA43" s="1152">
        <f t="shared" si="17"/>
        <v>0</v>
      </c>
      <c r="DB43" s="1153">
        <f t="shared" si="18"/>
        <v>0</v>
      </c>
      <c r="DC43" s="1154" t="e">
        <f t="shared" si="19"/>
        <v>#DIV/0!</v>
      </c>
      <c r="DD43" s="1150">
        <f t="shared" si="20"/>
        <v>0</v>
      </c>
      <c r="DE43" s="1150" t="e">
        <f t="shared" si="21"/>
        <v>#DIV/0!</v>
      </c>
      <c r="DF43" s="1173">
        <v>4.6716614165453159</v>
      </c>
      <c r="DG43" s="1150">
        <f t="shared" si="22"/>
        <v>0</v>
      </c>
      <c r="DI43" s="1434"/>
      <c r="DJ43" s="1435"/>
      <c r="DK43" s="1828"/>
      <c r="DL43" s="1434"/>
      <c r="DM43" s="1435"/>
      <c r="DN43" s="1435"/>
    </row>
    <row r="44" spans="1:125" ht="12.75" customHeight="1">
      <c r="A44" s="1130"/>
      <c r="B44" s="3086"/>
      <c r="C44" s="1172" t="s">
        <v>449</v>
      </c>
      <c r="D44" s="1150">
        <v>4.066954</v>
      </c>
      <c r="E44" s="1151">
        <v>2.8170419999999998</v>
      </c>
      <c r="F44" s="1151">
        <v>0.15836928999999997</v>
      </c>
      <c r="G44" s="1150">
        <v>3.3316750000000002</v>
      </c>
      <c r="H44" s="1151">
        <v>3.1504880000000002</v>
      </c>
      <c r="I44" s="1151">
        <v>0.22624562000000001</v>
      </c>
      <c r="J44" s="1150">
        <v>2.9503759999999999</v>
      </c>
      <c r="K44" s="1151">
        <v>2.4298980000000001</v>
      </c>
      <c r="L44" s="1151">
        <v>0.21576685000000001</v>
      </c>
      <c r="M44" s="1150">
        <v>3.0738910000000002</v>
      </c>
      <c r="N44" s="1151">
        <v>3.1269740000000001</v>
      </c>
      <c r="O44" s="1151">
        <v>0.20703264000000002</v>
      </c>
      <c r="P44" s="1150">
        <v>3.1615030000000002</v>
      </c>
      <c r="Q44" s="1151">
        <v>2.8442569999999998</v>
      </c>
      <c r="R44" s="1151">
        <v>0.20193116999999999</v>
      </c>
      <c r="S44" s="1150">
        <v>3.525658</v>
      </c>
      <c r="T44" s="1195">
        <v>2.820684</v>
      </c>
      <c r="U44" s="1155">
        <v>0.19735131000000003</v>
      </c>
      <c r="V44" s="1150">
        <v>5.7216547999999996</v>
      </c>
      <c r="W44" s="1151">
        <v>3.7437320000000001</v>
      </c>
      <c r="X44" s="1151">
        <v>0.15558094</v>
      </c>
      <c r="Y44" s="1150">
        <v>5.0679600000000002</v>
      </c>
      <c r="Z44" s="1151">
        <v>4.8116450000000004</v>
      </c>
      <c r="AA44" s="1151">
        <v>0.10176307000000001</v>
      </c>
      <c r="AB44" s="1150"/>
      <c r="AC44" s="1151"/>
      <c r="AD44" s="1151"/>
      <c r="AE44" s="1150"/>
      <c r="AF44" s="1151"/>
      <c r="AG44" s="1151"/>
      <c r="AH44" s="1150"/>
      <c r="AI44" s="1151"/>
      <c r="AJ44" s="1151"/>
      <c r="AK44" s="1150"/>
      <c r="AL44" s="1151"/>
      <c r="AM44" s="1151"/>
      <c r="AN44" s="1150">
        <v>31.386924799999999</v>
      </c>
      <c r="AO44" s="1151">
        <v>26.311136000000001</v>
      </c>
      <c r="AP44" s="1151">
        <v>1.4776391600000001</v>
      </c>
      <c r="AQ44" s="1151">
        <f t="shared" si="73"/>
        <v>28.026070151999999</v>
      </c>
      <c r="AR44" s="1150">
        <v>3.246521</v>
      </c>
      <c r="AS44" s="1151">
        <v>2.8806850000000002</v>
      </c>
      <c r="AT44" s="1151">
        <v>0.19520696000000001</v>
      </c>
      <c r="AU44" s="1150">
        <v>2.9540098304599423</v>
      </c>
      <c r="AV44" s="1151">
        <v>2.9204613811017786</v>
      </c>
      <c r="AW44" s="1151">
        <v>0.22373756766292416</v>
      </c>
      <c r="AX44" s="1150"/>
      <c r="AY44" s="1151"/>
      <c r="AZ44" s="1151"/>
      <c r="BA44" s="1150">
        <v>3.2014095799999995</v>
      </c>
      <c r="BB44" s="1151">
        <v>2.857996</v>
      </c>
      <c r="BC44" s="1151">
        <v>0.24093917000000004</v>
      </c>
      <c r="BD44" s="1150">
        <v>3.1807563800000005</v>
      </c>
      <c r="BE44" s="1151">
        <v>2.9898419999999999</v>
      </c>
      <c r="BF44" s="1839">
        <v>0.21173960999999999</v>
      </c>
      <c r="BG44" s="1150">
        <v>3.7958543299999996</v>
      </c>
      <c r="BH44" s="1195">
        <v>2.9483060000000001</v>
      </c>
      <c r="BI44" s="1155">
        <v>0.20352356000000005</v>
      </c>
      <c r="BJ44" s="1150">
        <v>5.9759143699999999</v>
      </c>
      <c r="BK44" s="1151">
        <v>3.7835190000000001</v>
      </c>
      <c r="BL44" s="1151">
        <v>0.12981788</v>
      </c>
      <c r="BM44" s="1150"/>
      <c r="BN44" s="1151"/>
      <c r="BO44" s="1151"/>
      <c r="BP44" s="1150"/>
      <c r="BQ44" s="1151"/>
      <c r="BR44" s="1151"/>
      <c r="BS44" s="1150"/>
      <c r="BT44" s="1151"/>
      <c r="BU44" s="1151"/>
      <c r="BV44" s="1150"/>
      <c r="BW44" s="1151"/>
      <c r="BX44" s="1151"/>
      <c r="BY44" s="1150"/>
      <c r="BZ44" s="1151"/>
      <c r="CA44" s="1151"/>
      <c r="CB44" s="1150">
        <v>26.397458660000002</v>
      </c>
      <c r="CC44" s="1151">
        <v>21.476229</v>
      </c>
      <c r="CD44" s="1151">
        <v>1.4021519900000001</v>
      </c>
      <c r="CE44" s="1151">
        <f t="shared" si="74"/>
        <v>23.411459150400002</v>
      </c>
      <c r="CF44" s="1153">
        <f t="shared" si="80"/>
        <v>3.5981496399999982</v>
      </c>
      <c r="CG44" s="1154">
        <f t="shared" si="47"/>
        <v>3.5190776700000015</v>
      </c>
      <c r="CH44" s="1155">
        <f t="shared" si="2"/>
        <v>-7.9071969999996661E-2</v>
      </c>
      <c r="CI44" s="1154">
        <f t="shared" si="81"/>
        <v>11.463848920936652</v>
      </c>
      <c r="CJ44" s="1154">
        <f t="shared" si="75"/>
        <v>13.331122951363689</v>
      </c>
      <c r="CK44" s="1154">
        <f t="shared" si="11"/>
        <v>1.867274030427037</v>
      </c>
      <c r="CL44" s="1150">
        <f t="shared" si="76"/>
        <v>1.7149341519999979</v>
      </c>
      <c r="CM44" s="1157">
        <f t="shared" si="77"/>
        <v>1.9352301504000025</v>
      </c>
      <c r="CN44" s="1152">
        <f t="shared" si="13"/>
        <v>0.22029599840000458</v>
      </c>
      <c r="CO44" s="1150">
        <f t="shared" si="82"/>
        <v>6.1190675064288911</v>
      </c>
      <c r="CP44" s="1151">
        <f t="shared" si="14"/>
        <v>8.2661663161090821</v>
      </c>
      <c r="CQ44" s="1152">
        <f t="shared" si="6"/>
        <v>2.1470988096801911</v>
      </c>
      <c r="CR44" s="1173">
        <f t="shared" si="83"/>
        <v>4.6503759295842846</v>
      </c>
      <c r="CS44" s="1153">
        <f t="shared" si="84"/>
        <v>4.6458296676535706</v>
      </c>
      <c r="CT44" s="1150">
        <f t="shared" si="78"/>
        <v>7.9750885012828272</v>
      </c>
      <c r="CU44" s="1151">
        <f t="shared" si="79"/>
        <v>8.9907496464660124</v>
      </c>
      <c r="CV44" s="1152">
        <f t="shared" si="7"/>
        <v>1.0156611451831852</v>
      </c>
      <c r="CX44" s="1175"/>
      <c r="CY44" s="1176"/>
      <c r="CZ44" s="1176"/>
      <c r="DA44" s="1152"/>
      <c r="DB44" s="1153"/>
      <c r="DC44" s="1154"/>
      <c r="DD44" s="1150"/>
      <c r="DE44" s="1150"/>
      <c r="DF44" s="1173"/>
      <c r="DG44" s="1150"/>
      <c r="DI44" s="1434"/>
      <c r="DJ44" s="1435"/>
      <c r="DK44" s="1828"/>
      <c r="DL44" s="1434"/>
      <c r="DM44" s="1435"/>
      <c r="DN44" s="1435"/>
    </row>
    <row r="45" spans="1:125" ht="12.75" customHeight="1">
      <c r="A45" s="1130">
        <v>1</v>
      </c>
      <c r="B45" s="3086"/>
      <c r="C45" s="1172" t="s">
        <v>967</v>
      </c>
      <c r="D45" s="1150">
        <v>16.450918999999999</v>
      </c>
      <c r="E45" s="1151">
        <v>8.0512460000000008</v>
      </c>
      <c r="F45" s="1151">
        <v>4.2399103799999995</v>
      </c>
      <c r="G45" s="1150">
        <v>15.938972</v>
      </c>
      <c r="H45" s="1151">
        <v>9.2794570000000007</v>
      </c>
      <c r="I45" s="1151">
        <v>5.07255023</v>
      </c>
      <c r="J45" s="1150">
        <v>3.4513959999999999</v>
      </c>
      <c r="K45" s="1151">
        <v>2.7288389999999998</v>
      </c>
      <c r="L45" s="1151">
        <v>0.19990064999999999</v>
      </c>
      <c r="M45" s="1150">
        <v>12.100384</v>
      </c>
      <c r="N45" s="1151">
        <v>8.1102659999999993</v>
      </c>
      <c r="O45" s="1151">
        <v>4.7443508699999999</v>
      </c>
      <c r="P45" s="1150">
        <v>13.275727</v>
      </c>
      <c r="Q45" s="1151">
        <v>8.6106130000000007</v>
      </c>
      <c r="R45" s="1151">
        <v>4.9378347099999997</v>
      </c>
      <c r="S45" s="1150">
        <v>16.281410999999999</v>
      </c>
      <c r="T45" s="1195">
        <v>5.7923020000000003</v>
      </c>
      <c r="U45" s="1155">
        <v>5.570702729999998</v>
      </c>
      <c r="V45" s="1150">
        <v>30.377233199999999</v>
      </c>
      <c r="W45" s="1151">
        <v>12.342606999999999</v>
      </c>
      <c r="X45" s="1151">
        <v>5.7890780099999999</v>
      </c>
      <c r="Y45" s="1150">
        <v>23.744309999999999</v>
      </c>
      <c r="Z45" s="1151">
        <v>17.564678000000001</v>
      </c>
      <c r="AA45" s="1151">
        <v>5.1205114899999975</v>
      </c>
      <c r="AB45" s="1150"/>
      <c r="AC45" s="1151"/>
      <c r="AD45" s="1151"/>
      <c r="AE45" s="1150"/>
      <c r="AF45" s="1151"/>
      <c r="AG45" s="1151"/>
      <c r="AH45" s="1150"/>
      <c r="AI45" s="1151"/>
      <c r="AJ45" s="1151"/>
      <c r="AK45" s="1150"/>
      <c r="AL45" s="1151"/>
      <c r="AM45" s="1151"/>
      <c r="AN45" s="1150">
        <v>142.6398772</v>
      </c>
      <c r="AO45" s="1151">
        <v>76.546260000000004</v>
      </c>
      <c r="AP45" s="1151">
        <v>40.926050819999993</v>
      </c>
      <c r="AQ45" s="1151">
        <f t="shared" si="73"/>
        <v>93.155433748000007</v>
      </c>
      <c r="AR45" s="1150">
        <v>16.265543999999998</v>
      </c>
      <c r="AS45" s="1151">
        <v>8.5177329999999998</v>
      </c>
      <c r="AT45" s="1151">
        <v>4.6779410699999984</v>
      </c>
      <c r="AU45" s="1150">
        <v>14.800020352179681</v>
      </c>
      <c r="AV45" s="1151">
        <v>8.6353455101950392</v>
      </c>
      <c r="AW45" s="1151">
        <v>5.361648768426579</v>
      </c>
      <c r="AX45" s="1150"/>
      <c r="AY45" s="1151"/>
      <c r="AZ45" s="1151"/>
      <c r="BA45" s="1150">
        <v>11.795917699999999</v>
      </c>
      <c r="BB45" s="1151">
        <v>8.3479299999999999</v>
      </c>
      <c r="BC45" s="1151">
        <v>6.0623058099999989</v>
      </c>
      <c r="BD45" s="1150">
        <v>14.467941070000002</v>
      </c>
      <c r="BE45" s="1151">
        <v>8.7750310000000002</v>
      </c>
      <c r="BF45" s="1839">
        <v>6.1103495900000002</v>
      </c>
      <c r="BG45" s="1150">
        <v>17.51293463</v>
      </c>
      <c r="BH45" s="1195">
        <v>6.203398</v>
      </c>
      <c r="BI45" s="1155">
        <v>6.4135375899999962</v>
      </c>
      <c r="BJ45" s="1150">
        <v>24.055041039999946</v>
      </c>
      <c r="BK45" s="1151">
        <v>12.783875999999999</v>
      </c>
      <c r="BL45" s="1151">
        <v>5.8619617599999998</v>
      </c>
      <c r="BM45" s="1150"/>
      <c r="BN45" s="1151"/>
      <c r="BO45" s="1151"/>
      <c r="BP45" s="1150"/>
      <c r="BQ45" s="1151"/>
      <c r="BR45" s="1151"/>
      <c r="BS45" s="1150"/>
      <c r="BT45" s="1151"/>
      <c r="BU45" s="1151"/>
      <c r="BV45" s="1150"/>
      <c r="BW45" s="1151"/>
      <c r="BX45" s="1151"/>
      <c r="BY45" s="1150"/>
      <c r="BZ45" s="1151"/>
      <c r="CA45" s="1151"/>
      <c r="CB45" s="1150">
        <v>115.53953543999995</v>
      </c>
      <c r="CC45" s="1151">
        <v>60.375521999999997</v>
      </c>
      <c r="CD45" s="1151">
        <v>39.852338839999994</v>
      </c>
      <c r="CE45" s="1151">
        <f t="shared" si="74"/>
        <v>68.754824473599967</v>
      </c>
      <c r="CF45" s="1153">
        <f t="shared" si="80"/>
        <v>25.167566380000004</v>
      </c>
      <c r="CG45" s="1154">
        <f t="shared" si="47"/>
        <v>15.311674599999961</v>
      </c>
      <c r="CH45" s="1155">
        <f t="shared" si="2"/>
        <v>-9.855891780000043</v>
      </c>
      <c r="CI45" s="1154">
        <f t="shared" si="81"/>
        <v>17.644130711576359</v>
      </c>
      <c r="CJ45" s="1154">
        <f t="shared" si="75"/>
        <v>13.25232487883021</v>
      </c>
      <c r="CK45" s="1154">
        <f t="shared" si="11"/>
        <v>-4.3918058327461491</v>
      </c>
      <c r="CL45" s="1150">
        <f t="shared" si="76"/>
        <v>16.609173748000003</v>
      </c>
      <c r="CM45" s="1157">
        <f t="shared" si="77"/>
        <v>8.3793024735999708</v>
      </c>
      <c r="CN45" s="1152">
        <f t="shared" si="13"/>
        <v>-8.2298712744000326</v>
      </c>
      <c r="CO45" s="1150">
        <f t="shared" si="82"/>
        <v>17.829527575310756</v>
      </c>
      <c r="CP45" s="1151">
        <f t="shared" si="14"/>
        <v>12.187221097215369</v>
      </c>
      <c r="CQ45" s="1152">
        <f t="shared" si="6"/>
        <v>-5.6423064780953869</v>
      </c>
      <c r="CR45" s="1173">
        <f t="shared" si="83"/>
        <v>4.6503759295842846</v>
      </c>
      <c r="CS45" s="1153">
        <f t="shared" si="84"/>
        <v>4.6458296676535706</v>
      </c>
      <c r="CT45" s="1150">
        <f t="shared" si="78"/>
        <v>77.238901807982415</v>
      </c>
      <c r="CU45" s="1151">
        <f t="shared" si="79"/>
        <v>38.928812026093695</v>
      </c>
      <c r="CV45" s="1152">
        <f t="shared" si="7"/>
        <v>-38.31008978188872</v>
      </c>
      <c r="CX45" s="1175"/>
      <c r="CY45" s="1176"/>
      <c r="CZ45" s="1176"/>
      <c r="DA45" s="1152">
        <f t="shared" si="17"/>
        <v>0</v>
      </c>
      <c r="DB45" s="1153">
        <f t="shared" si="18"/>
        <v>0</v>
      </c>
      <c r="DC45" s="1154" t="e">
        <f t="shared" si="19"/>
        <v>#DIV/0!</v>
      </c>
      <c r="DD45" s="1150">
        <f t="shared" si="20"/>
        <v>0</v>
      </c>
      <c r="DE45" s="1150" t="e">
        <f t="shared" si="21"/>
        <v>#DIV/0!</v>
      </c>
      <c r="DF45" s="1173">
        <v>4.6716614165453159</v>
      </c>
      <c r="DG45" s="1150">
        <f t="shared" si="22"/>
        <v>0</v>
      </c>
      <c r="DI45" s="1434"/>
      <c r="DJ45" s="1435"/>
      <c r="DK45" s="1828"/>
      <c r="DL45" s="1434"/>
      <c r="DM45" s="1435"/>
      <c r="DN45" s="1435"/>
    </row>
    <row r="46" spans="1:125" ht="12.75" customHeight="1">
      <c r="A46" s="1130">
        <v>1</v>
      </c>
      <c r="B46" s="3086"/>
      <c r="C46" s="1172" t="s">
        <v>594</v>
      </c>
      <c r="D46" s="1150">
        <v>7.5731619999999999</v>
      </c>
      <c r="E46" s="1151">
        <v>4.7323019999999998</v>
      </c>
      <c r="F46" s="1151">
        <v>1.2457515700000001</v>
      </c>
      <c r="G46" s="1150">
        <v>6.8677590000000004</v>
      </c>
      <c r="H46" s="1151">
        <v>5.5034970000000003</v>
      </c>
      <c r="I46" s="1151">
        <v>1.4131910600000002</v>
      </c>
      <c r="J46" s="1150">
        <v>13.276907</v>
      </c>
      <c r="K46" s="1151">
        <v>6.0631649999999997</v>
      </c>
      <c r="L46" s="1151">
        <v>5.5748042199999999</v>
      </c>
      <c r="M46" s="1150">
        <v>5.9248700000000003</v>
      </c>
      <c r="N46" s="1151">
        <v>5.0399919999999998</v>
      </c>
      <c r="O46" s="1151">
        <v>1.3325917300000001</v>
      </c>
      <c r="P46" s="1150">
        <v>6.0350599999999996</v>
      </c>
      <c r="Q46" s="1151">
        <v>4.6026369999999996</v>
      </c>
      <c r="R46" s="1151">
        <v>1.1785974099999998</v>
      </c>
      <c r="S46" s="1150">
        <v>6.8282949999999998</v>
      </c>
      <c r="T46" s="1195">
        <v>4.7415200000000004</v>
      </c>
      <c r="U46" s="1155">
        <v>1.3035574399999998</v>
      </c>
      <c r="V46" s="1150">
        <v>13.239589</v>
      </c>
      <c r="W46" s="1151">
        <v>6.1986939999999997</v>
      </c>
      <c r="X46" s="1151">
        <v>1.7055145999999999</v>
      </c>
      <c r="Y46" s="1150">
        <v>11.145835999999999</v>
      </c>
      <c r="Z46" s="1151">
        <v>8.3650680000000008</v>
      </c>
      <c r="AA46" s="1151">
        <v>1.7667925899999997</v>
      </c>
      <c r="AB46" s="1150"/>
      <c r="AC46" s="1151"/>
      <c r="AD46" s="1151"/>
      <c r="AE46" s="1150"/>
      <c r="AF46" s="1151"/>
      <c r="AG46" s="1151"/>
      <c r="AH46" s="1150"/>
      <c r="AI46" s="1151"/>
      <c r="AJ46" s="1151"/>
      <c r="AK46" s="1150"/>
      <c r="AL46" s="1151"/>
      <c r="AM46" s="1151"/>
      <c r="AN46" s="1150">
        <v>64.738681</v>
      </c>
      <c r="AO46" s="1151">
        <v>44.975828</v>
      </c>
      <c r="AP46" s="1151">
        <v>11.47787469</v>
      </c>
      <c r="AQ46" s="1151">
        <f t="shared" si="73"/>
        <v>49.376485449999997</v>
      </c>
      <c r="AR46" s="1150">
        <v>7.0770229999999996</v>
      </c>
      <c r="AS46" s="1151">
        <v>4.7529500000000002</v>
      </c>
      <c r="AT46" s="1151">
        <v>1.3355023499999996</v>
      </c>
      <c r="AU46" s="1150">
        <v>6.4393840398356001</v>
      </c>
      <c r="AV46" s="1151">
        <v>4.8185785399332799</v>
      </c>
      <c r="AW46" s="1151">
        <v>1.5306936156227171</v>
      </c>
      <c r="AX46" s="1150"/>
      <c r="AY46" s="1151"/>
      <c r="AZ46" s="1151"/>
      <c r="BA46" s="1150">
        <v>6.3787944300000001</v>
      </c>
      <c r="BB46" s="1151">
        <v>4.8140090000000004</v>
      </c>
      <c r="BC46" s="1151">
        <v>1.5396082200000001</v>
      </c>
      <c r="BD46" s="1150">
        <v>6.2103731199999999</v>
      </c>
      <c r="BE46" s="1151">
        <v>4.8579160000000003</v>
      </c>
      <c r="BF46" s="1839">
        <v>1.5229261000000001</v>
      </c>
      <c r="BG46" s="1150">
        <v>7.5144620499999997</v>
      </c>
      <c r="BH46" s="1195">
        <v>5.1387729999999996</v>
      </c>
      <c r="BI46" s="1155">
        <v>1.5807205500000003</v>
      </c>
      <c r="BJ46" s="1150">
        <v>11.27663315</v>
      </c>
      <c r="BK46" s="1151">
        <v>5.9050469999999997</v>
      </c>
      <c r="BL46" s="1151">
        <v>1.5609841200000001</v>
      </c>
      <c r="BM46" s="1150"/>
      <c r="BN46" s="1151"/>
      <c r="BO46" s="1151"/>
      <c r="BP46" s="1150"/>
      <c r="BQ46" s="1151"/>
      <c r="BR46" s="1151"/>
      <c r="BS46" s="1150"/>
      <c r="BT46" s="1151"/>
      <c r="BU46" s="1151"/>
      <c r="BV46" s="1150"/>
      <c r="BW46" s="1151"/>
      <c r="BX46" s="1151"/>
      <c r="BY46" s="1150"/>
      <c r="BZ46" s="1151"/>
      <c r="CA46" s="1151"/>
      <c r="CB46" s="1150">
        <v>52.819594749999993</v>
      </c>
      <c r="CC46" s="1151">
        <v>36.447496999999998</v>
      </c>
      <c r="CD46" s="1151">
        <v>10.601245870000001</v>
      </c>
      <c r="CE46" s="1151">
        <f t="shared" si="74"/>
        <v>39.049173194999995</v>
      </c>
      <c r="CF46" s="1153">
        <f t="shared" si="80"/>
        <v>8.2849783099999996</v>
      </c>
      <c r="CG46" s="1154">
        <f t="shared" si="47"/>
        <v>5.7708518799999933</v>
      </c>
      <c r="CH46" s="1155">
        <f t="shared" si="2"/>
        <v>-2.5141264300000064</v>
      </c>
      <c r="CI46" s="1154">
        <f t="shared" si="81"/>
        <v>12.797570450964239</v>
      </c>
      <c r="CJ46" s="1154">
        <f t="shared" si="75"/>
        <v>10.925589087371772</v>
      </c>
      <c r="CK46" s="1154">
        <f t="shared" si="11"/>
        <v>-1.8719813635924663</v>
      </c>
      <c r="CL46" s="1150">
        <f t="shared" si="76"/>
        <v>4.4006574499999971</v>
      </c>
      <c r="CM46" s="1157">
        <f t="shared" si="77"/>
        <v>2.601676194999996</v>
      </c>
      <c r="CN46" s="1152">
        <f t="shared" si="13"/>
        <v>-1.7989812550000011</v>
      </c>
      <c r="CO46" s="1150">
        <f t="shared" si="82"/>
        <v>8.9124558175697324</v>
      </c>
      <c r="CP46" s="1151">
        <f t="shared" si="14"/>
        <v>6.6625641009298615</v>
      </c>
      <c r="CQ46" s="1152">
        <f t="shared" si="6"/>
        <v>-2.2498917166398709</v>
      </c>
      <c r="CR46" s="1173">
        <f t="shared" si="83"/>
        <v>4.6503759295842846</v>
      </c>
      <c r="CS46" s="1153">
        <f t="shared" si="84"/>
        <v>4.6458296676535706</v>
      </c>
      <c r="CT46" s="1150">
        <f t="shared" si="78"/>
        <v>20.464711479825745</v>
      </c>
      <c r="CU46" s="1151">
        <f t="shared" si="79"/>
        <v>12.086944452359038</v>
      </c>
      <c r="CV46" s="1152">
        <f t="shared" si="7"/>
        <v>-8.3777670274667067</v>
      </c>
      <c r="CX46" s="1175"/>
      <c r="CY46" s="1176"/>
      <c r="CZ46" s="1176"/>
      <c r="DA46" s="1152">
        <f t="shared" si="17"/>
        <v>0</v>
      </c>
      <c r="DB46" s="1153">
        <f t="shared" si="18"/>
        <v>0</v>
      </c>
      <c r="DC46" s="1154" t="e">
        <f t="shared" si="19"/>
        <v>#DIV/0!</v>
      </c>
      <c r="DD46" s="1150">
        <f t="shared" si="20"/>
        <v>0</v>
      </c>
      <c r="DE46" s="1150" t="e">
        <f t="shared" si="21"/>
        <v>#DIV/0!</v>
      </c>
      <c r="DF46" s="1173">
        <v>4.6716614165453159</v>
      </c>
      <c r="DG46" s="1150">
        <f t="shared" si="22"/>
        <v>0</v>
      </c>
      <c r="DI46" s="1434"/>
      <c r="DJ46" s="1435"/>
      <c r="DK46" s="1828"/>
      <c r="DL46" s="1434"/>
      <c r="DM46" s="1435"/>
      <c r="DN46" s="1435"/>
    </row>
    <row r="47" spans="1:125" ht="13.5" customHeight="1">
      <c r="A47" s="1130">
        <v>2</v>
      </c>
      <c r="B47" s="3086"/>
      <c r="C47" s="1172" t="s">
        <v>968</v>
      </c>
      <c r="D47" s="1150">
        <v>13.268674000000001</v>
      </c>
      <c r="E47" s="1151">
        <v>7.1319359999999996</v>
      </c>
      <c r="F47" s="1151">
        <v>3.6706287699999995</v>
      </c>
      <c r="G47" s="1150">
        <v>10.823247</v>
      </c>
      <c r="H47" s="1151">
        <v>6.1943820000000001</v>
      </c>
      <c r="I47" s="1151">
        <v>4.1105902500000004</v>
      </c>
      <c r="J47" s="1150">
        <v>7.065207</v>
      </c>
      <c r="K47" s="1151">
        <v>5.5390490000000003</v>
      </c>
      <c r="L47" s="1151">
        <v>1.5789673799999999</v>
      </c>
      <c r="M47" s="1150">
        <v>9.7410610000000002</v>
      </c>
      <c r="N47" s="1151">
        <v>7.3449030000000004</v>
      </c>
      <c r="O47" s="1151">
        <v>3.4888223300000001</v>
      </c>
      <c r="P47" s="1150">
        <v>10.870247000000001</v>
      </c>
      <c r="Q47" s="1151">
        <v>5.8282030000000002</v>
      </c>
      <c r="R47" s="1151">
        <v>3.7201767100000001</v>
      </c>
      <c r="S47" s="1150">
        <v>15.269648</v>
      </c>
      <c r="T47" s="1195">
        <v>7.994923</v>
      </c>
      <c r="U47" s="1155">
        <v>4.4316990799999996</v>
      </c>
      <c r="V47" s="1150">
        <v>25.997339</v>
      </c>
      <c r="W47" s="1151">
        <v>10.661640999999999</v>
      </c>
      <c r="X47" s="1151">
        <v>4.8818618100000002</v>
      </c>
      <c r="Y47" s="1150">
        <v>19.303826999999998</v>
      </c>
      <c r="Z47" s="1151">
        <v>12.622994</v>
      </c>
      <c r="AA47" s="1151">
        <v>4.8830796499999982</v>
      </c>
      <c r="AB47" s="1150"/>
      <c r="AC47" s="1151"/>
      <c r="AD47" s="1151"/>
      <c r="AE47" s="1150"/>
      <c r="AF47" s="1151"/>
      <c r="AG47" s="1151"/>
      <c r="AH47" s="1150"/>
      <c r="AI47" s="1151"/>
      <c r="AJ47" s="1151"/>
      <c r="AK47" s="1150"/>
      <c r="AL47" s="1151"/>
      <c r="AM47" s="1151"/>
      <c r="AN47" s="1150">
        <v>117.888092</v>
      </c>
      <c r="AO47" s="1151">
        <v>66.480569000000003</v>
      </c>
      <c r="AP47" s="1151">
        <v>33.470019430000001</v>
      </c>
      <c r="AQ47" s="1151">
        <f t="shared" si="73"/>
        <v>77.344787050000008</v>
      </c>
      <c r="AR47" s="1150">
        <v>13.030939999999999</v>
      </c>
      <c r="AS47" s="1151">
        <v>7.5522429999999998</v>
      </c>
      <c r="AT47" s="1151">
        <v>3.7614272000000035</v>
      </c>
      <c r="AU47" s="1150">
        <v>11.856853801387295</v>
      </c>
      <c r="AV47" s="1151">
        <v>7.6565240636155076</v>
      </c>
      <c r="AW47" s="1151">
        <v>4.311181182623633</v>
      </c>
      <c r="AX47" s="1150"/>
      <c r="AY47" s="1151"/>
      <c r="AZ47" s="1151"/>
      <c r="BA47" s="1150">
        <v>10.235381179999999</v>
      </c>
      <c r="BB47" s="1151">
        <v>7.5807000000000002</v>
      </c>
      <c r="BC47" s="1151">
        <v>3.6293999699999975</v>
      </c>
      <c r="BD47" s="1150">
        <v>10.9794836</v>
      </c>
      <c r="BE47" s="1151">
        <v>6.0603290000000003</v>
      </c>
      <c r="BF47" s="1839">
        <v>3.9768316500000003</v>
      </c>
      <c r="BG47" s="1150">
        <v>15.028553179999999</v>
      </c>
      <c r="BH47" s="1195">
        <v>8.7466919999999995</v>
      </c>
      <c r="BI47" s="1155">
        <v>4.5397865499999996</v>
      </c>
      <c r="BJ47" s="1150">
        <v>24.855057510000002</v>
      </c>
      <c r="BK47" s="1151">
        <v>10.867642</v>
      </c>
      <c r="BL47" s="1151">
        <v>4.44672147</v>
      </c>
      <c r="BM47" s="1150"/>
      <c r="BN47" s="1151"/>
      <c r="BO47" s="1151"/>
      <c r="BP47" s="1150"/>
      <c r="BQ47" s="1151"/>
      <c r="BR47" s="1151"/>
      <c r="BS47" s="1150"/>
      <c r="BT47" s="1151"/>
      <c r="BU47" s="1151"/>
      <c r="BV47" s="1150"/>
      <c r="BW47" s="1151"/>
      <c r="BX47" s="1151"/>
      <c r="BY47" s="1150"/>
      <c r="BZ47" s="1151"/>
      <c r="CA47" s="1151"/>
      <c r="CB47" s="1150">
        <v>97.96432547000002</v>
      </c>
      <c r="CC47" s="1151">
        <v>56.106394000000002</v>
      </c>
      <c r="CD47" s="1151">
        <v>28.629825529999998</v>
      </c>
      <c r="CE47" s="1151">
        <f t="shared" si="74"/>
        <v>63.456640411800016</v>
      </c>
      <c r="CF47" s="1153">
        <f t="shared" si="80"/>
        <v>17.937503569999997</v>
      </c>
      <c r="CG47" s="1154">
        <f t="shared" si="47"/>
        <v>13.22810594000002</v>
      </c>
      <c r="CH47" s="1155">
        <f t="shared" si="2"/>
        <v>-4.7093976299999767</v>
      </c>
      <c r="CI47" s="1154">
        <f t="shared" si="81"/>
        <v>15.215704373262737</v>
      </c>
      <c r="CJ47" s="1154">
        <f t="shared" si="75"/>
        <v>13.502982720021803</v>
      </c>
      <c r="CK47" s="1154">
        <f t="shared" si="11"/>
        <v>-1.7127216532409335</v>
      </c>
      <c r="CL47" s="1150">
        <f t="shared" si="76"/>
        <v>10.864218050000005</v>
      </c>
      <c r="CM47" s="1157">
        <f t="shared" si="77"/>
        <v>7.3502464118000148</v>
      </c>
      <c r="CN47" s="1152">
        <f t="shared" si="13"/>
        <v>-3.5139716381999904</v>
      </c>
      <c r="CO47" s="1150">
        <f t="shared" si="82"/>
        <v>14.046477421906619</v>
      </c>
      <c r="CP47" s="1151">
        <f t="shared" si="14"/>
        <v>11.583100466871246</v>
      </c>
      <c r="CQ47" s="1152">
        <f t="shared" si="6"/>
        <v>-2.4633769550353737</v>
      </c>
      <c r="CR47" s="1173">
        <f t="shared" si="83"/>
        <v>4.6503759295842846</v>
      </c>
      <c r="CS47" s="1153">
        <f t="shared" si="84"/>
        <v>4.6458296676535706</v>
      </c>
      <c r="CT47" s="1150">
        <f t="shared" si="78"/>
        <v>50.522698113475137</v>
      </c>
      <c r="CU47" s="1151">
        <f t="shared" si="79"/>
        <v>34.147992844504714</v>
      </c>
      <c r="CV47" s="1152">
        <f t="shared" si="7"/>
        <v>-16.374705268970423</v>
      </c>
      <c r="CX47" s="1175"/>
      <c r="CY47" s="1176"/>
      <c r="CZ47" s="1176"/>
      <c r="DA47" s="1152">
        <f t="shared" si="17"/>
        <v>0</v>
      </c>
      <c r="DB47" s="1153">
        <f t="shared" si="18"/>
        <v>0</v>
      </c>
      <c r="DC47" s="1154" t="e">
        <f t="shared" si="19"/>
        <v>#DIV/0!</v>
      </c>
      <c r="DD47" s="1150">
        <f t="shared" si="20"/>
        <v>0</v>
      </c>
      <c r="DE47" s="1150" t="e">
        <f t="shared" si="21"/>
        <v>#DIV/0!</v>
      </c>
      <c r="DF47" s="1173">
        <v>4.6716614165453159</v>
      </c>
      <c r="DG47" s="1150">
        <f t="shared" si="22"/>
        <v>0</v>
      </c>
      <c r="DI47" s="1434"/>
      <c r="DJ47" s="1435"/>
      <c r="DK47" s="1828"/>
      <c r="DL47" s="1434"/>
      <c r="DM47" s="1435"/>
      <c r="DN47" s="1435"/>
    </row>
    <row r="48" spans="1:125" ht="14.25" customHeight="1">
      <c r="A48" s="1130"/>
      <c r="B48" s="3086"/>
      <c r="C48" s="1172" t="s">
        <v>450</v>
      </c>
      <c r="D48" s="1150">
        <v>8.8155520000000003</v>
      </c>
      <c r="E48" s="1151">
        <v>4.7402049999999996</v>
      </c>
      <c r="F48" s="1151">
        <v>1.91781103</v>
      </c>
      <c r="G48" s="1150">
        <v>7.8544070000000001</v>
      </c>
      <c r="H48" s="1151">
        <v>4.7282700000000002</v>
      </c>
      <c r="I48" s="1151">
        <v>2.0158998299999999</v>
      </c>
      <c r="J48" s="1150">
        <v>13.142098000000001</v>
      </c>
      <c r="K48" s="1151">
        <v>8.2715289999999992</v>
      </c>
      <c r="L48" s="1151">
        <v>3.7527424500000004</v>
      </c>
      <c r="M48" s="1150">
        <v>6.6655939999999996</v>
      </c>
      <c r="N48" s="1151">
        <v>4.8628739999999997</v>
      </c>
      <c r="O48" s="1151">
        <v>2.2359908600000002</v>
      </c>
      <c r="P48" s="1150">
        <v>6.8842080000000001</v>
      </c>
      <c r="Q48" s="1151">
        <v>4.1152670000000002</v>
      </c>
      <c r="R48" s="1151">
        <v>2.1377959600000001</v>
      </c>
      <c r="S48" s="1150">
        <v>7.1691729999999998</v>
      </c>
      <c r="T48" s="1195">
        <v>2.6939090000000001</v>
      </c>
      <c r="U48" s="1155">
        <v>2.3405387700000011</v>
      </c>
      <c r="V48" s="1150">
        <v>12.388857</v>
      </c>
      <c r="W48" s="1151">
        <v>5.87934</v>
      </c>
      <c r="X48" s="1151">
        <v>2.4267167399999998</v>
      </c>
      <c r="Y48" s="1150">
        <v>10.288951000000001</v>
      </c>
      <c r="Z48" s="1151">
        <v>7.0350489999999999</v>
      </c>
      <c r="AA48" s="1151">
        <v>2.2420519300000006</v>
      </c>
      <c r="AB48" s="1150"/>
      <c r="AC48" s="1151"/>
      <c r="AD48" s="1151"/>
      <c r="AE48" s="1150"/>
      <c r="AF48" s="1151"/>
      <c r="AG48" s="1151"/>
      <c r="AH48" s="1150"/>
      <c r="AI48" s="1151"/>
      <c r="AJ48" s="1151"/>
      <c r="AK48" s="1150"/>
      <c r="AL48" s="1151"/>
      <c r="AM48" s="1151"/>
      <c r="AN48" s="1150">
        <v>67.275254000000004</v>
      </c>
      <c r="AO48" s="1151">
        <v>37.412377999999997</v>
      </c>
      <c r="AP48" s="1151">
        <v>17.896593770000003</v>
      </c>
      <c r="AQ48" s="1151">
        <f t="shared" si="73"/>
        <v>45.342144990000001</v>
      </c>
      <c r="AR48" s="1150">
        <v>8.4457709999999881</v>
      </c>
      <c r="AS48" s="1151">
        <v>4.9020809999999999</v>
      </c>
      <c r="AT48" s="1151">
        <v>1.6851480399999996</v>
      </c>
      <c r="AU48" s="1150">
        <v>7.6848080021085536</v>
      </c>
      <c r="AV48" s="1151">
        <v>4.9697687347046928</v>
      </c>
      <c r="AW48" s="1151">
        <v>1.9314420122189493</v>
      </c>
      <c r="AX48" s="1150"/>
      <c r="AY48" s="1151"/>
      <c r="AZ48" s="1151"/>
      <c r="BA48" s="1150">
        <v>6.8003459999999967</v>
      </c>
      <c r="BB48" s="1151">
        <v>4.917586</v>
      </c>
      <c r="BC48" s="1151">
        <v>2.4022426199999996</v>
      </c>
      <c r="BD48" s="1150">
        <v>6.699525999999981</v>
      </c>
      <c r="BE48" s="1151">
        <v>4.4644459999999997</v>
      </c>
      <c r="BF48" s="1839">
        <v>1.56925219</v>
      </c>
      <c r="BG48" s="1150">
        <v>7.4757910000000667</v>
      </c>
      <c r="BH48" s="1195">
        <v>2.970456</v>
      </c>
      <c r="BI48" s="1155">
        <v>2.5190327199999993</v>
      </c>
      <c r="BJ48" s="1150">
        <v>10.81667400000002</v>
      </c>
      <c r="BK48" s="1151">
        <v>5.985805</v>
      </c>
      <c r="BL48" s="1151">
        <v>1.7447951000000002</v>
      </c>
      <c r="BM48" s="1150"/>
      <c r="BN48" s="1151"/>
      <c r="BO48" s="1151"/>
      <c r="BP48" s="1150"/>
      <c r="BQ48" s="1151"/>
      <c r="BR48" s="1151"/>
      <c r="BS48" s="1150"/>
      <c r="BT48" s="1151"/>
      <c r="BU48" s="1151"/>
      <c r="BV48" s="1150"/>
      <c r="BW48" s="1151"/>
      <c r="BX48" s="1151"/>
      <c r="BY48" s="1150"/>
      <c r="BZ48" s="1151"/>
      <c r="CA48" s="1151"/>
      <c r="CB48" s="1150">
        <v>55.775960000000048</v>
      </c>
      <c r="CC48" s="1151">
        <v>31.617704</v>
      </c>
      <c r="CD48" s="1151">
        <v>14.515717739999996</v>
      </c>
      <c r="CE48" s="1151">
        <f t="shared" si="74"/>
        <v>37.913684660000044</v>
      </c>
      <c r="CF48" s="1153">
        <f t="shared" si="80"/>
        <v>11.966282230000004</v>
      </c>
      <c r="CG48" s="1154">
        <f t="shared" si="47"/>
        <v>9.6425382600000518</v>
      </c>
      <c r="CH48" s="1155">
        <f t="shared" si="2"/>
        <v>-2.3237439699999527</v>
      </c>
      <c r="CI48" s="1154">
        <f t="shared" si="81"/>
        <v>17.787048756441713</v>
      </c>
      <c r="CJ48" s="1154">
        <f t="shared" si="75"/>
        <v>17.287982600389206</v>
      </c>
      <c r="CK48" s="1154">
        <f t="shared" si="11"/>
        <v>-0.49906615605250693</v>
      </c>
      <c r="CL48" s="1150">
        <f t="shared" si="76"/>
        <v>7.9297669900000045</v>
      </c>
      <c r="CM48" s="1157">
        <f t="shared" si="77"/>
        <v>6.2959806600000441</v>
      </c>
      <c r="CN48" s="1152">
        <f t="shared" si="13"/>
        <v>-1.6337863299999604</v>
      </c>
      <c r="CO48" s="1150">
        <f t="shared" si="82"/>
        <v>17.48873369742185</v>
      </c>
      <c r="CP48" s="1151">
        <f t="shared" si="14"/>
        <v>16.606090166283607</v>
      </c>
      <c r="CQ48" s="1152">
        <f t="shared" si="6"/>
        <v>-0.88264353113824257</v>
      </c>
      <c r="CR48" s="1173">
        <f t="shared" si="83"/>
        <v>4.6503759295842846</v>
      </c>
      <c r="CS48" s="1153">
        <f t="shared" si="84"/>
        <v>4.6458296676535706</v>
      </c>
      <c r="CT48" s="1150">
        <f t="shared" si="78"/>
        <v>36.876397537508048</v>
      </c>
      <c r="CU48" s="1151">
        <f t="shared" si="79"/>
        <v>29.250053737201313</v>
      </c>
      <c r="CV48" s="1152">
        <f t="shared" si="7"/>
        <v>-7.626343800306735</v>
      </c>
      <c r="CX48" s="1175"/>
      <c r="CY48" s="1176"/>
      <c r="CZ48" s="1176"/>
      <c r="DA48" s="1152"/>
      <c r="DB48" s="1153"/>
      <c r="DC48" s="1154"/>
      <c r="DD48" s="1150"/>
      <c r="DE48" s="1150"/>
      <c r="DF48" s="1173"/>
      <c r="DG48" s="1150"/>
      <c r="DI48" s="1434"/>
      <c r="DJ48" s="1435"/>
      <c r="DK48" s="1828"/>
      <c r="DL48" s="1434"/>
      <c r="DM48" s="1435"/>
      <c r="DN48" s="1435"/>
    </row>
    <row r="49" spans="1:118" ht="12.75" customHeight="1">
      <c r="A49" s="1130">
        <v>2</v>
      </c>
      <c r="B49" s="3086"/>
      <c r="C49" s="1172" t="s">
        <v>451</v>
      </c>
      <c r="D49" s="1150">
        <v>8.1220979999999994</v>
      </c>
      <c r="E49" s="1151">
        <v>5.2683559999999998</v>
      </c>
      <c r="F49" s="1151">
        <v>1.47803515</v>
      </c>
      <c r="G49" s="1150">
        <v>8.3117009999999993</v>
      </c>
      <c r="H49" s="1151">
        <v>5.7466340000000002</v>
      </c>
      <c r="I49" s="1151">
        <v>1.81669024</v>
      </c>
      <c r="J49" s="1150">
        <v>14.839729999999999</v>
      </c>
      <c r="K49" s="1151">
        <v>4.9268890000000001</v>
      </c>
      <c r="L49" s="1151">
        <v>8.1780950899999993</v>
      </c>
      <c r="M49" s="1150">
        <v>6.7853599999999998</v>
      </c>
      <c r="N49" s="1151">
        <v>5.7155480000000001</v>
      </c>
      <c r="O49" s="1151">
        <v>1.67765776</v>
      </c>
      <c r="P49" s="1150">
        <v>6.6982730000000004</v>
      </c>
      <c r="Q49" s="1151">
        <v>4.65726</v>
      </c>
      <c r="R49" s="1151">
        <v>1.70415261</v>
      </c>
      <c r="S49" s="1150">
        <v>8.1754440000000006</v>
      </c>
      <c r="T49" s="1195">
        <v>5.2244710000000003</v>
      </c>
      <c r="U49" s="1155">
        <v>2.1444852999999999</v>
      </c>
      <c r="V49" s="1150">
        <v>14.913076999999999</v>
      </c>
      <c r="W49" s="1151">
        <v>6.9689670000000001</v>
      </c>
      <c r="X49" s="1151">
        <v>2.2890750400000002</v>
      </c>
      <c r="Y49" s="1150">
        <v>12.734068000000001</v>
      </c>
      <c r="Z49" s="1151">
        <v>9.6452559999999998</v>
      </c>
      <c r="AA49" s="1151">
        <v>2.8230660900000002</v>
      </c>
      <c r="AB49" s="1150"/>
      <c r="AC49" s="1151"/>
      <c r="AD49" s="1151"/>
      <c r="AE49" s="1150"/>
      <c r="AF49" s="1151"/>
      <c r="AG49" s="1151"/>
      <c r="AH49" s="1150"/>
      <c r="AI49" s="1151"/>
      <c r="AJ49" s="1151"/>
      <c r="AK49" s="1150"/>
      <c r="AL49" s="1151"/>
      <c r="AM49" s="1151"/>
      <c r="AN49" s="1150">
        <v>72.909017000000006</v>
      </c>
      <c r="AO49" s="1151">
        <v>49.241801000000002</v>
      </c>
      <c r="AP49" s="1151">
        <v>16.152884569999998</v>
      </c>
      <c r="AQ49" s="1151">
        <f t="shared" si="73"/>
        <v>52.381591410000013</v>
      </c>
      <c r="AR49" s="1150">
        <v>9.7880520000000004</v>
      </c>
      <c r="AS49" s="1151">
        <v>5.5372620000000001</v>
      </c>
      <c r="AT49" s="1151">
        <v>1.8890579900000002</v>
      </c>
      <c r="AU49" s="1150">
        <v>8.9061496380442637</v>
      </c>
      <c r="AV49" s="1151">
        <v>5.6137202880712049</v>
      </c>
      <c r="AW49" s="1151">
        <v>2.1651545613784084</v>
      </c>
      <c r="AX49" s="1150"/>
      <c r="AY49" s="1151"/>
      <c r="AZ49" s="1151"/>
      <c r="BA49" s="1150">
        <v>9.9256143599999991</v>
      </c>
      <c r="BB49" s="1151">
        <v>5.728656</v>
      </c>
      <c r="BC49" s="1151">
        <v>3.1431954800000002</v>
      </c>
      <c r="BD49" s="1150">
        <v>6.79938691</v>
      </c>
      <c r="BE49" s="1151">
        <v>4.9177280000000003</v>
      </c>
      <c r="BF49" s="1839">
        <v>2.26511744</v>
      </c>
      <c r="BG49" s="1150">
        <v>9.3749831700000001</v>
      </c>
      <c r="BH49" s="1195">
        <v>5.6214599999999999</v>
      </c>
      <c r="BI49" s="1155">
        <v>3.2517065299999999</v>
      </c>
      <c r="BJ49" s="1150">
        <v>14.471345440000002</v>
      </c>
      <c r="BK49" s="1151">
        <v>7.1114689999999996</v>
      </c>
      <c r="BL49" s="1151">
        <v>2.2453353199999997</v>
      </c>
      <c r="BM49" s="1150"/>
      <c r="BN49" s="1151"/>
      <c r="BO49" s="1151"/>
      <c r="BP49" s="1150"/>
      <c r="BQ49" s="1151"/>
      <c r="BR49" s="1151"/>
      <c r="BS49" s="1150"/>
      <c r="BT49" s="1151"/>
      <c r="BU49" s="1151"/>
      <c r="BV49" s="1150"/>
      <c r="BW49" s="1151"/>
      <c r="BX49" s="1151"/>
      <c r="BY49" s="1150"/>
      <c r="BZ49" s="1151"/>
      <c r="CA49" s="1151"/>
      <c r="CB49" s="1150">
        <v>63.963882879999993</v>
      </c>
      <c r="CC49" s="1151">
        <v>40.352677999999997</v>
      </c>
      <c r="CD49" s="1151">
        <v>17.968347439999999</v>
      </c>
      <c r="CE49" s="1151">
        <f t="shared" si="74"/>
        <v>42.157702467199996</v>
      </c>
      <c r="CF49" s="1153">
        <f t="shared" si="80"/>
        <v>7.5143314300000057</v>
      </c>
      <c r="CG49" s="1154">
        <f t="shared" si="47"/>
        <v>5.6428574399999967</v>
      </c>
      <c r="CH49" s="1155">
        <f t="shared" si="2"/>
        <v>-1.871473990000009</v>
      </c>
      <c r="CI49" s="1154">
        <f t="shared" si="81"/>
        <v>10.306450065017343</v>
      </c>
      <c r="CJ49" s="1154">
        <f t="shared" si="75"/>
        <v>8.8219432372270603</v>
      </c>
      <c r="CK49" s="1154">
        <f t="shared" si="11"/>
        <v>-1.4845068277902822</v>
      </c>
      <c r="CL49" s="1150">
        <f t="shared" si="76"/>
        <v>3.1397904100000105</v>
      </c>
      <c r="CM49" s="1157">
        <f t="shared" si="77"/>
        <v>1.8050244671999991</v>
      </c>
      <c r="CN49" s="1152">
        <f t="shared" si="13"/>
        <v>-1.3347659428000114</v>
      </c>
      <c r="CO49" s="1150">
        <f t="shared" si="82"/>
        <v>5.9940722026261355</v>
      </c>
      <c r="CP49" s="1151">
        <f t="shared" si="14"/>
        <v>4.2816006602930132</v>
      </c>
      <c r="CQ49" s="1152">
        <f t="shared" si="6"/>
        <v>-1.7124715423331223</v>
      </c>
      <c r="CR49" s="1173">
        <f t="shared" si="83"/>
        <v>4.6503759295842846</v>
      </c>
      <c r="CS49" s="1153">
        <f t="shared" si="84"/>
        <v>4.6458296676535706</v>
      </c>
      <c r="CT49" s="1150">
        <f t="shared" si="78"/>
        <v>14.60120574660362</v>
      </c>
      <c r="CU49" s="1151">
        <f t="shared" si="79"/>
        <v>8.3858362205583354</v>
      </c>
      <c r="CV49" s="1152">
        <f t="shared" si="7"/>
        <v>-6.2153695260452846</v>
      </c>
      <c r="CX49" s="1175"/>
      <c r="CY49" s="1176"/>
      <c r="CZ49" s="1176"/>
      <c r="DA49" s="1152">
        <f t="shared" si="17"/>
        <v>0</v>
      </c>
      <c r="DB49" s="1153">
        <f t="shared" si="18"/>
        <v>0</v>
      </c>
      <c r="DC49" s="1154" t="e">
        <f t="shared" si="19"/>
        <v>#DIV/0!</v>
      </c>
      <c r="DD49" s="1150">
        <f t="shared" si="20"/>
        <v>0</v>
      </c>
      <c r="DE49" s="1150" t="e">
        <f t="shared" si="21"/>
        <v>#DIV/0!</v>
      </c>
      <c r="DF49" s="1173">
        <v>4.6716614165453159</v>
      </c>
      <c r="DG49" s="1150">
        <f t="shared" si="22"/>
        <v>0</v>
      </c>
      <c r="DI49" s="1434"/>
      <c r="DJ49" s="1435"/>
      <c r="DK49" s="1828"/>
      <c r="DL49" s="1434"/>
      <c r="DM49" s="1435"/>
      <c r="DN49" s="1435"/>
    </row>
    <row r="50" spans="1:118" ht="12.75" customHeight="1">
      <c r="A50" s="1130"/>
      <c r="B50" s="3086"/>
      <c r="C50" s="1172" t="s">
        <v>452</v>
      </c>
      <c r="D50" s="1150">
        <v>10.692460000000001</v>
      </c>
      <c r="E50" s="1151">
        <v>5.3759189999999997</v>
      </c>
      <c r="F50" s="1151">
        <v>2.5266758200000003</v>
      </c>
      <c r="G50" s="1150">
        <v>7.2214150000000004</v>
      </c>
      <c r="H50" s="1151">
        <v>6.7183760000000001</v>
      </c>
      <c r="I50" s="1151">
        <v>2.6529183700000001</v>
      </c>
      <c r="J50" s="1150">
        <v>7.913818</v>
      </c>
      <c r="K50" s="1151">
        <v>3.3526660000000001</v>
      </c>
      <c r="L50" s="1151">
        <v>2.3934199199999999</v>
      </c>
      <c r="M50" s="1150">
        <v>8.4642700000000008</v>
      </c>
      <c r="N50" s="1151">
        <v>5.7854710000000003</v>
      </c>
      <c r="O50" s="1151">
        <v>2.94162385</v>
      </c>
      <c r="P50" s="1150">
        <v>8.5015630000000009</v>
      </c>
      <c r="Q50" s="1151">
        <v>5.7412970000000003</v>
      </c>
      <c r="R50" s="1151">
        <v>3.5002232499999999</v>
      </c>
      <c r="S50" s="1150">
        <v>9.2551199999999998</v>
      </c>
      <c r="T50" s="1195">
        <v>3.3706640000000001</v>
      </c>
      <c r="U50" s="1155">
        <v>2.2385518600000003</v>
      </c>
      <c r="V50" s="1150">
        <v>15.59015</v>
      </c>
      <c r="W50" s="1151">
        <v>7.1301759999999996</v>
      </c>
      <c r="X50" s="1151">
        <v>3.1669509200000001</v>
      </c>
      <c r="Y50" s="1150">
        <v>13.024373000000001</v>
      </c>
      <c r="Z50" s="1151">
        <v>9.9820580000000003</v>
      </c>
      <c r="AA50" s="1151">
        <v>3.1390845099999991</v>
      </c>
      <c r="AB50" s="1150"/>
      <c r="AC50" s="1151"/>
      <c r="AD50" s="1151"/>
      <c r="AE50" s="1150"/>
      <c r="AF50" s="1151"/>
      <c r="AG50" s="1151"/>
      <c r="AH50" s="1150"/>
      <c r="AI50" s="1151"/>
      <c r="AJ50" s="1151"/>
      <c r="AK50" s="1150"/>
      <c r="AL50" s="1151"/>
      <c r="AM50" s="1151"/>
      <c r="AN50" s="1150">
        <v>81.054219000000003</v>
      </c>
      <c r="AO50" s="1151">
        <v>48.312004999999999</v>
      </c>
      <c r="AP50" s="1151">
        <v>23.358696259999999</v>
      </c>
      <c r="AQ50" s="1151">
        <f t="shared" si="73"/>
        <v>52.832269600000004</v>
      </c>
      <c r="AR50" s="1150">
        <v>8.9775790000000022</v>
      </c>
      <c r="AS50" s="1151">
        <v>5.4857909999999999</v>
      </c>
      <c r="AT50" s="1151">
        <v>2.5183768400000002</v>
      </c>
      <c r="AU50" s="1150">
        <v>8.1687001623370818</v>
      </c>
      <c r="AV50" s="1151">
        <v>5.5615385786004738</v>
      </c>
      <c r="AW50" s="1151">
        <v>2.8864519412639851</v>
      </c>
      <c r="AX50" s="1150"/>
      <c r="AY50" s="1151"/>
      <c r="AZ50" s="1151"/>
      <c r="BA50" s="1150">
        <v>7.5870528900000096</v>
      </c>
      <c r="BB50" s="1151">
        <v>5.8186799999999996</v>
      </c>
      <c r="BC50" s="1151">
        <v>3.3988034799999993</v>
      </c>
      <c r="BD50" s="1150">
        <v>9.1166094999999814</v>
      </c>
      <c r="BE50" s="1151">
        <v>6.126347</v>
      </c>
      <c r="BF50" s="1839">
        <v>3.2982770299999999</v>
      </c>
      <c r="BG50" s="1150">
        <v>10.045564929999996</v>
      </c>
      <c r="BH50" s="1195">
        <v>3.6244320000000001</v>
      </c>
      <c r="BI50" s="1155">
        <v>3.22616638</v>
      </c>
      <c r="BJ50" s="1150">
        <v>15.192076549999987</v>
      </c>
      <c r="BK50" s="1151">
        <v>6.8504630000000004</v>
      </c>
      <c r="BL50" s="1151">
        <v>3.0962521000000001</v>
      </c>
      <c r="BM50" s="1150"/>
      <c r="BN50" s="1151"/>
      <c r="BO50" s="1151"/>
      <c r="BP50" s="1150"/>
      <c r="BQ50" s="1151"/>
      <c r="BR50" s="1151"/>
      <c r="BS50" s="1150"/>
      <c r="BT50" s="1151"/>
      <c r="BU50" s="1151"/>
      <c r="BV50" s="1150"/>
      <c r="BW50" s="1151"/>
      <c r="BX50" s="1151"/>
      <c r="BY50" s="1150"/>
      <c r="BZ50" s="1151"/>
      <c r="CA50" s="1151"/>
      <c r="CB50" s="1150">
        <v>68.837167869999959</v>
      </c>
      <c r="CC50" s="1151">
        <v>38.211928999999998</v>
      </c>
      <c r="CD50" s="1151">
        <v>22.059427410000005</v>
      </c>
      <c r="CE50" s="1151">
        <f t="shared" si="74"/>
        <v>42.647510387799962</v>
      </c>
      <c r="CF50" s="1153">
        <f t="shared" si="80"/>
        <v>9.3835177400000056</v>
      </c>
      <c r="CG50" s="1154">
        <f t="shared" si="47"/>
        <v>8.5658114599999564</v>
      </c>
      <c r="CH50" s="1155">
        <f t="shared" si="2"/>
        <v>-0.81770628000004919</v>
      </c>
      <c r="CI50" s="1154">
        <f t="shared" si="81"/>
        <v>11.576840608383391</v>
      </c>
      <c r="CJ50" s="1154">
        <f t="shared" si="75"/>
        <v>12.443584948434577</v>
      </c>
      <c r="CK50" s="1154">
        <f t="shared" si="11"/>
        <v>0.86674434005118606</v>
      </c>
      <c r="CL50" s="1150">
        <f t="shared" si="76"/>
        <v>4.5202646000000044</v>
      </c>
      <c r="CM50" s="1157">
        <f t="shared" si="77"/>
        <v>4.4355813877999637</v>
      </c>
      <c r="CN50" s="1152">
        <f t="shared" si="13"/>
        <v>-8.4683212200040714E-2</v>
      </c>
      <c r="CO50" s="1150">
        <f t="shared" si="82"/>
        <v>8.5558781294529211</v>
      </c>
      <c r="CP50" s="1151">
        <f t="shared" si="14"/>
        <v>10.400563473615652</v>
      </c>
      <c r="CQ50" s="1152">
        <f t="shared" si="6"/>
        <v>1.8446853441627304</v>
      </c>
      <c r="CR50" s="1173">
        <f t="shared" si="83"/>
        <v>4.6503759295842846</v>
      </c>
      <c r="CS50" s="1153">
        <f t="shared" si="84"/>
        <v>4.6458296676535706</v>
      </c>
      <c r="CT50" s="1150">
        <f t="shared" si="78"/>
        <v>21.020929691191956</v>
      </c>
      <c r="CU50" s="1151">
        <f t="shared" si="79"/>
        <v>20.60695560473307</v>
      </c>
      <c r="CV50" s="1152">
        <f t="shared" si="7"/>
        <v>-0.41397408645888589</v>
      </c>
      <c r="CX50" s="1175"/>
      <c r="CY50" s="1176"/>
      <c r="CZ50" s="1176"/>
      <c r="DA50" s="1152"/>
      <c r="DB50" s="1153"/>
      <c r="DC50" s="1154"/>
      <c r="DD50" s="1150"/>
      <c r="DE50" s="1150"/>
      <c r="DF50" s="1173"/>
      <c r="DG50" s="1150"/>
      <c r="DI50" s="1434"/>
      <c r="DJ50" s="1435"/>
      <c r="DK50" s="1828"/>
      <c r="DL50" s="1434"/>
      <c r="DM50" s="1435"/>
      <c r="DN50" s="1435"/>
    </row>
    <row r="51" spans="1:118" ht="12.75" customHeight="1">
      <c r="A51" s="1130"/>
      <c r="B51" s="3086"/>
      <c r="C51" s="1172" t="s">
        <v>572</v>
      </c>
      <c r="D51" s="1150">
        <v>4.6658670000000004</v>
      </c>
      <c r="E51" s="1151">
        <v>2.5667629999999999</v>
      </c>
      <c r="F51" s="1151">
        <v>0.78118259999999995</v>
      </c>
      <c r="G51" s="1150">
        <v>4.6350540000000002</v>
      </c>
      <c r="H51" s="1151">
        <v>3.0971850000000001</v>
      </c>
      <c r="I51" s="1151">
        <v>1.0447126099999999</v>
      </c>
      <c r="J51" s="1150">
        <v>3.8295620000000001</v>
      </c>
      <c r="K51" s="1151">
        <v>2.1743800000000002</v>
      </c>
      <c r="L51" s="1151">
        <v>0.19356489000000002</v>
      </c>
      <c r="M51" s="1150">
        <v>3.7143839999999999</v>
      </c>
      <c r="N51" s="1151">
        <v>2.5097710000000002</v>
      </c>
      <c r="O51" s="1151">
        <v>0.94814761999999997</v>
      </c>
      <c r="P51" s="1150">
        <v>4.0148200000000003</v>
      </c>
      <c r="Q51" s="1151">
        <v>2.0852430000000002</v>
      </c>
      <c r="R51" s="1151">
        <v>1.0368930999999999</v>
      </c>
      <c r="S51" s="1150">
        <v>4.8932799999999999</v>
      </c>
      <c r="T51" s="1195">
        <v>3.7548629999999998</v>
      </c>
      <c r="U51" s="1155">
        <v>1.0288586399999999</v>
      </c>
      <c r="V51" s="1150">
        <v>8.8279359999999993</v>
      </c>
      <c r="W51" s="1151">
        <v>3.264551</v>
      </c>
      <c r="X51" s="1151">
        <v>1.1773745200000001</v>
      </c>
      <c r="Y51" s="1150">
        <v>7.3892290000000003</v>
      </c>
      <c r="Z51" s="1151">
        <v>3.8234750000000002</v>
      </c>
      <c r="AA51" s="1151">
        <v>1.0781494199999999</v>
      </c>
      <c r="AB51" s="1150"/>
      <c r="AC51" s="1151"/>
      <c r="AD51" s="1151"/>
      <c r="AE51" s="1150"/>
      <c r="AF51" s="1151"/>
      <c r="AG51" s="1151"/>
      <c r="AH51" s="1150"/>
      <c r="AI51" s="1151"/>
      <c r="AJ51" s="1151"/>
      <c r="AK51" s="1150"/>
      <c r="AL51" s="1151"/>
      <c r="AM51" s="1151"/>
      <c r="AN51" s="1150">
        <v>42.672735000000003</v>
      </c>
      <c r="AO51" s="1151">
        <v>25.350147</v>
      </c>
      <c r="AP51" s="1151">
        <v>8.1877713399999994</v>
      </c>
      <c r="AQ51" s="1151">
        <f t="shared" si="73"/>
        <v>31.924599560000004</v>
      </c>
      <c r="AR51" s="1150">
        <v>5.301164</v>
      </c>
      <c r="AS51" s="1151">
        <v>2.3523589999999999</v>
      </c>
      <c r="AT51" s="1151">
        <v>0.87846302999999992</v>
      </c>
      <c r="AU51" s="1150">
        <v>4.8235297319439328</v>
      </c>
      <c r="AV51" s="1151">
        <v>2.3848402772212856</v>
      </c>
      <c r="AW51" s="1151">
        <v>1.0068553990800448</v>
      </c>
      <c r="AX51" s="1150"/>
      <c r="AY51" s="1151"/>
      <c r="AZ51" s="1151"/>
      <c r="BA51" s="1150">
        <v>3.2406027199999996</v>
      </c>
      <c r="BB51" s="1151">
        <v>2.6563699999999999</v>
      </c>
      <c r="BC51" s="1151">
        <v>1.16205095</v>
      </c>
      <c r="BD51" s="1150">
        <v>3.9975803700000001</v>
      </c>
      <c r="BE51" s="1151">
        <v>2.194763</v>
      </c>
      <c r="BF51" s="1839">
        <v>1.19992824</v>
      </c>
      <c r="BG51" s="1150">
        <v>5.5656340399999999</v>
      </c>
      <c r="BH51" s="1195">
        <v>4.0342799999999999</v>
      </c>
      <c r="BI51" s="1155">
        <v>1.2043027799999999</v>
      </c>
      <c r="BJ51" s="1150">
        <v>7.7539955899999997</v>
      </c>
      <c r="BK51" s="1151">
        <v>3.234569</v>
      </c>
      <c r="BL51" s="1151">
        <v>1.1947451899999999</v>
      </c>
      <c r="BM51" s="1150"/>
      <c r="BN51" s="1151"/>
      <c r="BO51" s="1151"/>
      <c r="BP51" s="1150"/>
      <c r="BQ51" s="1151"/>
      <c r="BR51" s="1151"/>
      <c r="BS51" s="1150"/>
      <c r="BT51" s="1151"/>
      <c r="BU51" s="1151"/>
      <c r="BV51" s="1150"/>
      <c r="BW51" s="1151"/>
      <c r="BX51" s="1151"/>
      <c r="BY51" s="1150"/>
      <c r="BZ51" s="1151"/>
      <c r="CA51" s="1151"/>
      <c r="CB51" s="1150">
        <v>33.54840772</v>
      </c>
      <c r="CC51" s="1151">
        <v>20.841802999999999</v>
      </c>
      <c r="CD51" s="1151">
        <v>7.8580741299999985</v>
      </c>
      <c r="CE51" s="1151">
        <f t="shared" si="74"/>
        <v>23.6774291268</v>
      </c>
      <c r="CF51" s="1153">
        <f t="shared" si="80"/>
        <v>9.1348166600000038</v>
      </c>
      <c r="CG51" s="1154">
        <f t="shared" si="47"/>
        <v>4.8485305900000029</v>
      </c>
      <c r="CH51" s="1155">
        <f t="shared" si="2"/>
        <v>-4.2862860700000009</v>
      </c>
      <c r="CI51" s="1154">
        <f t="shared" si="81"/>
        <v>21.406681948087002</v>
      </c>
      <c r="CJ51" s="1154">
        <f t="shared" si="75"/>
        <v>14.452341912816133</v>
      </c>
      <c r="CK51" s="1154">
        <f t="shared" si="11"/>
        <v>-6.9543400352708691</v>
      </c>
      <c r="CL51" s="1150">
        <f t="shared" si="76"/>
        <v>6.5744525600000046</v>
      </c>
      <c r="CM51" s="1157">
        <f t="shared" si="77"/>
        <v>2.8356261268000011</v>
      </c>
      <c r="CN51" s="1152">
        <f t="shared" si="13"/>
        <v>-3.7388264332000034</v>
      </c>
      <c r="CO51" s="1150">
        <f t="shared" si="82"/>
        <v>20.593688411482784</v>
      </c>
      <c r="CP51" s="1151">
        <f t="shared" si="14"/>
        <v>11.976072704575911</v>
      </c>
      <c r="CQ51" s="1152">
        <f t="shared" si="6"/>
        <v>-8.6176157069068733</v>
      </c>
      <c r="CR51" s="1173">
        <f t="shared" si="83"/>
        <v>4.6503759295842846</v>
      </c>
      <c r="CS51" s="1153">
        <f t="shared" si="84"/>
        <v>4.6458296676535706</v>
      </c>
      <c r="CT51" s="1150">
        <f t="shared" si="78"/>
        <v>30.5736759352178</v>
      </c>
      <c r="CU51" s="1151">
        <f t="shared" si="79"/>
        <v>13.173835986261031</v>
      </c>
      <c r="CV51" s="1152">
        <f t="shared" si="7"/>
        <v>-17.399839948956767</v>
      </c>
      <c r="CX51" s="1175"/>
      <c r="CY51" s="1176"/>
      <c r="CZ51" s="1176"/>
      <c r="DA51" s="1152"/>
      <c r="DB51" s="1153"/>
      <c r="DC51" s="1154"/>
      <c r="DD51" s="1150"/>
      <c r="DE51" s="1150"/>
      <c r="DF51" s="1173"/>
      <c r="DG51" s="1150"/>
      <c r="DI51" s="1434"/>
      <c r="DJ51" s="1435"/>
      <c r="DK51" s="1828"/>
      <c r="DL51" s="1434"/>
      <c r="DM51" s="1435"/>
      <c r="DN51" s="1435"/>
    </row>
    <row r="52" spans="1:118" ht="12.75" customHeight="1">
      <c r="A52" s="1130">
        <v>1</v>
      </c>
      <c r="B52" s="3086"/>
      <c r="C52" s="1172" t="s">
        <v>969</v>
      </c>
      <c r="D52" s="1150">
        <v>5.8242849999999997</v>
      </c>
      <c r="E52" s="1151">
        <v>3.0872199999999999</v>
      </c>
      <c r="F52" s="1151">
        <v>0.87565309000000002</v>
      </c>
      <c r="G52" s="1150">
        <v>5.3217590000000001</v>
      </c>
      <c r="H52" s="1151">
        <v>3.878965</v>
      </c>
      <c r="I52" s="1151">
        <v>1.0698033300000001</v>
      </c>
      <c r="J52" s="1150">
        <v>8.1004400000000008</v>
      </c>
      <c r="K52" s="1151">
        <v>5.6155569999999999</v>
      </c>
      <c r="L52" s="1151">
        <v>1.6864921899999998</v>
      </c>
      <c r="M52" s="1150">
        <v>3.744958</v>
      </c>
      <c r="N52" s="1151">
        <v>3.0819999999999999</v>
      </c>
      <c r="O52" s="1151">
        <v>0.97681245000000005</v>
      </c>
      <c r="P52" s="1150">
        <v>4.1102169999999996</v>
      </c>
      <c r="Q52" s="1151">
        <v>3.2064400000000002</v>
      </c>
      <c r="R52" s="1151">
        <v>0.92130023999999999</v>
      </c>
      <c r="S52" s="1150">
        <v>4.6750210000000001</v>
      </c>
      <c r="T52" s="1195">
        <v>2.7493509999999999</v>
      </c>
      <c r="U52" s="1155">
        <v>0.95238420000000013</v>
      </c>
      <c r="V52" s="1150">
        <v>8.4318399999999993</v>
      </c>
      <c r="W52" s="1151">
        <v>4.1134909999999998</v>
      </c>
      <c r="X52" s="1151">
        <v>1.0295219200000001</v>
      </c>
      <c r="Y52" s="1150">
        <v>7.0126790000000003</v>
      </c>
      <c r="Z52" s="1151">
        <v>5.9764379999999999</v>
      </c>
      <c r="AA52" s="1151">
        <v>1.0431062400000002</v>
      </c>
      <c r="AB52" s="1150"/>
      <c r="AC52" s="1151"/>
      <c r="AD52" s="1151"/>
      <c r="AE52" s="1150"/>
      <c r="AF52" s="1151"/>
      <c r="AG52" s="1151"/>
      <c r="AH52" s="1150"/>
      <c r="AI52" s="1151"/>
      <c r="AJ52" s="1151"/>
      <c r="AK52" s="1150"/>
      <c r="AL52" s="1151"/>
      <c r="AM52" s="1151"/>
      <c r="AN52" s="1150">
        <v>43.928857000000001</v>
      </c>
      <c r="AO52" s="1151">
        <v>29.852495999999999</v>
      </c>
      <c r="AP52" s="1151">
        <v>7.97284199</v>
      </c>
      <c r="AQ52" s="1151">
        <f t="shared" si="73"/>
        <v>33.320283590000003</v>
      </c>
      <c r="AR52" s="1150">
        <v>5.4797130000000003</v>
      </c>
      <c r="AS52" s="1151">
        <v>3.1869230000000002</v>
      </c>
      <c r="AT52" s="1151">
        <v>0.96568436000000013</v>
      </c>
      <c r="AU52" s="1150">
        <v>4.9859914875336226</v>
      </c>
      <c r="AV52" s="1151">
        <v>3.2309279029276108</v>
      </c>
      <c r="AW52" s="1151">
        <v>1.1068246226288634</v>
      </c>
      <c r="AX52" s="1150"/>
      <c r="AY52" s="1151"/>
      <c r="AZ52" s="1151"/>
      <c r="BA52" s="1150">
        <v>4.1239234800000002</v>
      </c>
      <c r="BB52" s="1151">
        <v>3.1348389999999999</v>
      </c>
      <c r="BC52" s="1151">
        <v>0.94572191999999988</v>
      </c>
      <c r="BD52" s="1150">
        <v>4.2629588899999993</v>
      </c>
      <c r="BE52" s="1151">
        <v>3.5290970000000002</v>
      </c>
      <c r="BF52" s="1839">
        <v>0.87372134000000001</v>
      </c>
      <c r="BG52" s="1150">
        <v>5.0024261299999999</v>
      </c>
      <c r="BH52" s="1195">
        <v>2.9471340000000001</v>
      </c>
      <c r="BI52" s="1155">
        <v>0.94431408000000006</v>
      </c>
      <c r="BJ52" s="1150">
        <v>7.3186945400000001</v>
      </c>
      <c r="BK52" s="1151">
        <v>3.7375210000000001</v>
      </c>
      <c r="BL52" s="1151">
        <v>0.89749632999999995</v>
      </c>
      <c r="BM52" s="1150"/>
      <c r="BN52" s="1151"/>
      <c r="BO52" s="1151"/>
      <c r="BP52" s="1150"/>
      <c r="BQ52" s="1151"/>
      <c r="BR52" s="1151"/>
      <c r="BS52" s="1150"/>
      <c r="BT52" s="1151"/>
      <c r="BU52" s="1151"/>
      <c r="BV52" s="1150"/>
      <c r="BW52" s="1151"/>
      <c r="BX52" s="1151"/>
      <c r="BY52" s="1150"/>
      <c r="BZ52" s="1151"/>
      <c r="CA52" s="1151"/>
      <c r="CB52" s="1150">
        <v>36.052758040000001</v>
      </c>
      <c r="CC52" s="1151">
        <v>24.335329000000002</v>
      </c>
      <c r="CD52" s="1151">
        <v>6.5625576400000005</v>
      </c>
      <c r="CE52" s="1151">
        <f t="shared" si="74"/>
        <v>27.327034917600002</v>
      </c>
      <c r="CF52" s="1153">
        <f t="shared" si="80"/>
        <v>6.1035190100000021</v>
      </c>
      <c r="CG52" s="1154">
        <f t="shared" si="47"/>
        <v>5.1548713999999984</v>
      </c>
      <c r="CH52" s="1155">
        <f t="shared" si="2"/>
        <v>-0.94864761000000364</v>
      </c>
      <c r="CI52" s="1154">
        <f t="shared" si="81"/>
        <v>13.894099293318746</v>
      </c>
      <c r="CJ52" s="1154">
        <f t="shared" si="75"/>
        <v>14.298133291995981</v>
      </c>
      <c r="CK52" s="1154">
        <f t="shared" si="11"/>
        <v>0.40403399867723522</v>
      </c>
      <c r="CL52" s="1150">
        <f t="shared" si="76"/>
        <v>3.4677875900000039</v>
      </c>
      <c r="CM52" s="1157">
        <f t="shared" si="77"/>
        <v>2.9917059176000009</v>
      </c>
      <c r="CN52" s="1152">
        <f t="shared" si="13"/>
        <v>-0.47608167240000299</v>
      </c>
      <c r="CO52" s="1150">
        <f t="shared" si="82"/>
        <v>10.407437201527141</v>
      </c>
      <c r="CP52" s="1151">
        <f t="shared" si="14"/>
        <v>10.947788249332495</v>
      </c>
      <c r="CQ52" s="1152">
        <f t="shared" si="6"/>
        <v>0.5403510478053537</v>
      </c>
      <c r="CR52" s="1173">
        <f t="shared" si="83"/>
        <v>4.6503759295842846</v>
      </c>
      <c r="CS52" s="1153">
        <f t="shared" si="84"/>
        <v>4.6458296676535706</v>
      </c>
      <c r="CT52" s="1150">
        <f t="shared" si="78"/>
        <v>16.126515937447113</v>
      </c>
      <c r="CU52" s="1151">
        <f t="shared" si="79"/>
        <v>13.898956108880833</v>
      </c>
      <c r="CV52" s="1152">
        <f t="shared" si="7"/>
        <v>-2.2275598285662799</v>
      </c>
      <c r="CX52" s="1175"/>
      <c r="CY52" s="1176"/>
      <c r="CZ52" s="1176"/>
      <c r="DA52" s="1152">
        <f t="shared" si="17"/>
        <v>0</v>
      </c>
      <c r="DB52" s="1153">
        <f t="shared" si="18"/>
        <v>0</v>
      </c>
      <c r="DC52" s="1154" t="e">
        <f t="shared" si="19"/>
        <v>#DIV/0!</v>
      </c>
      <c r="DD52" s="1150">
        <f t="shared" si="20"/>
        <v>0</v>
      </c>
      <c r="DE52" s="1150" t="e">
        <f t="shared" si="21"/>
        <v>#DIV/0!</v>
      </c>
      <c r="DF52" s="1173">
        <v>4.6716614165453159</v>
      </c>
      <c r="DG52" s="1150">
        <f t="shared" si="22"/>
        <v>0</v>
      </c>
      <c r="DI52" s="1434"/>
      <c r="DJ52" s="1435"/>
      <c r="DK52" s="1828"/>
      <c r="DL52" s="1434"/>
      <c r="DM52" s="1435"/>
      <c r="DN52" s="1435"/>
    </row>
    <row r="53" spans="1:118" ht="12.75" customHeight="1">
      <c r="A53" s="1130">
        <v>1</v>
      </c>
      <c r="B53" s="3086"/>
      <c r="C53" s="1172" t="s">
        <v>737</v>
      </c>
      <c r="D53" s="1150">
        <v>4.0843619999999996</v>
      </c>
      <c r="E53" s="1151">
        <v>2.4210189999999998</v>
      </c>
      <c r="F53" s="1151">
        <v>0.21766257</v>
      </c>
      <c r="G53" s="1150">
        <v>3.2320329999999999</v>
      </c>
      <c r="H53" s="1151">
        <v>2.6000070000000002</v>
      </c>
      <c r="I53" s="1151">
        <v>0.23930939000000001</v>
      </c>
      <c r="J53" s="1150">
        <v>9.2378599999999995</v>
      </c>
      <c r="K53" s="1151">
        <v>3.9297240000000002</v>
      </c>
      <c r="L53" s="1151">
        <v>2.97019725</v>
      </c>
      <c r="M53" s="1150">
        <v>2.2135959999999999</v>
      </c>
      <c r="N53" s="1151">
        <v>2.4823689999999998</v>
      </c>
      <c r="O53" s="1151">
        <v>0.20481762000000003</v>
      </c>
      <c r="P53" s="1150">
        <v>2.5374249999999998</v>
      </c>
      <c r="Q53" s="1151">
        <v>2.1515469999999999</v>
      </c>
      <c r="R53" s="1151">
        <v>0.21853644</v>
      </c>
      <c r="S53" s="1150">
        <v>2.7573150000000002</v>
      </c>
      <c r="T53" s="1195">
        <v>2.1399520000000001</v>
      </c>
      <c r="U53" s="1155">
        <v>0.27429398999999999</v>
      </c>
      <c r="V53" s="1150">
        <v>5.8430080000000002</v>
      </c>
      <c r="W53" s="1151">
        <v>3.2387999999999999</v>
      </c>
      <c r="X53" s="1151">
        <v>0.27306381000000002</v>
      </c>
      <c r="Y53" s="1150">
        <v>4.1154669999999998</v>
      </c>
      <c r="Z53" s="1151">
        <v>3.9462090000000001</v>
      </c>
      <c r="AA53" s="1151">
        <v>0.25817169000000001</v>
      </c>
      <c r="AB53" s="1150"/>
      <c r="AC53" s="1151"/>
      <c r="AD53" s="1151"/>
      <c r="AE53" s="1150"/>
      <c r="AF53" s="1151"/>
      <c r="AG53" s="1151"/>
      <c r="AH53" s="1150"/>
      <c r="AI53" s="1151"/>
      <c r="AJ53" s="1151"/>
      <c r="AK53" s="1150"/>
      <c r="AL53" s="1151"/>
      <c r="AM53" s="1151"/>
      <c r="AN53" s="1150">
        <v>27.680403999999999</v>
      </c>
      <c r="AO53" s="1151">
        <v>21.587018</v>
      </c>
      <c r="AP53" s="1151">
        <v>1.9287027400000001</v>
      </c>
      <c r="AQ53" s="1151">
        <f t="shared" si="73"/>
        <v>24.090877020000001</v>
      </c>
      <c r="AR53" s="1150">
        <v>3.8586640000000001</v>
      </c>
      <c r="AS53" s="1151">
        <v>2.500931</v>
      </c>
      <c r="AT53" s="1151">
        <v>0.36693567999999999</v>
      </c>
      <c r="AU53" s="1150">
        <v>3.5109988164074353</v>
      </c>
      <c r="AV53" s="1151">
        <v>2.5354637533434765</v>
      </c>
      <c r="AW53" s="1151">
        <v>0.42056541699097755</v>
      </c>
      <c r="AX53" s="1150"/>
      <c r="AY53" s="1151"/>
      <c r="AZ53" s="1151"/>
      <c r="BA53" s="1150">
        <v>3.0287306100000002</v>
      </c>
      <c r="BB53" s="1151">
        <v>2.5470250000000001</v>
      </c>
      <c r="BC53" s="1151">
        <v>0.27923760999999997</v>
      </c>
      <c r="BD53" s="1150">
        <v>2.5996733700000005</v>
      </c>
      <c r="BE53" s="1151">
        <v>2.2458680000000002</v>
      </c>
      <c r="BF53" s="1839">
        <v>0.27679607000000001</v>
      </c>
      <c r="BG53" s="1150">
        <v>3.1261591399999995</v>
      </c>
      <c r="BH53" s="1195">
        <v>2.2774179999999999</v>
      </c>
      <c r="BI53" s="1155">
        <v>0.27321793999999999</v>
      </c>
      <c r="BJ53" s="1150">
        <v>5.0737114400000012</v>
      </c>
      <c r="BK53" s="1151">
        <v>3.1823610000000002</v>
      </c>
      <c r="BL53" s="1151">
        <v>0.26801502999999999</v>
      </c>
      <c r="BM53" s="1150"/>
      <c r="BN53" s="1151"/>
      <c r="BO53" s="1151"/>
      <c r="BP53" s="1150"/>
      <c r="BQ53" s="1151"/>
      <c r="BR53" s="1151"/>
      <c r="BS53" s="1150"/>
      <c r="BT53" s="1151"/>
      <c r="BU53" s="1151"/>
      <c r="BV53" s="1150"/>
      <c r="BW53" s="1151"/>
      <c r="BX53" s="1151"/>
      <c r="BY53" s="1150"/>
      <c r="BZ53" s="1151"/>
      <c r="CA53" s="1151"/>
      <c r="CB53" s="1150">
        <v>24.049023810000001</v>
      </c>
      <c r="CC53" s="1151">
        <v>17.966339999999999</v>
      </c>
      <c r="CD53" s="1151">
        <v>2.1234729100000003</v>
      </c>
      <c r="CE53" s="1151">
        <f t="shared" si="74"/>
        <v>20.4826094714</v>
      </c>
      <c r="CF53" s="1153">
        <f t="shared" si="80"/>
        <v>4.1646832599999986</v>
      </c>
      <c r="CG53" s="1154">
        <f t="shared" si="47"/>
        <v>3.9592109000000022</v>
      </c>
      <c r="CH53" s="1155">
        <f t="shared" si="2"/>
        <v>-0.20547235999999636</v>
      </c>
      <c r="CI53" s="1154">
        <f t="shared" si="81"/>
        <v>15.045601429805716</v>
      </c>
      <c r="CJ53" s="1154">
        <f t="shared" si="75"/>
        <v>16.463083621521861</v>
      </c>
      <c r="CK53" s="1154">
        <f t="shared" si="11"/>
        <v>1.4174821917161449</v>
      </c>
      <c r="CL53" s="1150">
        <f t="shared" si="76"/>
        <v>2.5038590200000002</v>
      </c>
      <c r="CM53" s="1157">
        <f t="shared" si="77"/>
        <v>2.5162694714000011</v>
      </c>
      <c r="CN53" s="1152">
        <f t="shared" si="13"/>
        <v>1.2410451400000966E-2</v>
      </c>
      <c r="CO53" s="1150">
        <f t="shared" si="82"/>
        <v>10.393390900303555</v>
      </c>
      <c r="CP53" s="1151">
        <f t="shared" si="14"/>
        <v>12.284906739609932</v>
      </c>
      <c r="CQ53" s="1152">
        <f t="shared" si="6"/>
        <v>1.8915158393063773</v>
      </c>
      <c r="CR53" s="1173">
        <f t="shared" si="83"/>
        <v>4.6503759295842846</v>
      </c>
      <c r="CS53" s="1153">
        <f t="shared" si="84"/>
        <v>4.6458296676535706</v>
      </c>
      <c r="CT53" s="1150">
        <f t="shared" si="78"/>
        <v>11.643885717680497</v>
      </c>
      <c r="CU53" s="1151">
        <f t="shared" si="79"/>
        <v>11.690159362041094</v>
      </c>
      <c r="CV53" s="1152">
        <f t="shared" si="7"/>
        <v>4.6273644360596222E-2</v>
      </c>
      <c r="CX53" s="1175"/>
      <c r="CY53" s="1176"/>
      <c r="CZ53" s="1176"/>
      <c r="DA53" s="1152">
        <f t="shared" si="17"/>
        <v>0</v>
      </c>
      <c r="DB53" s="1153">
        <f t="shared" si="18"/>
        <v>0</v>
      </c>
      <c r="DC53" s="1154" t="e">
        <f t="shared" si="19"/>
        <v>#DIV/0!</v>
      </c>
      <c r="DD53" s="1150">
        <f t="shared" si="20"/>
        <v>0</v>
      </c>
      <c r="DE53" s="1150" t="e">
        <f t="shared" si="21"/>
        <v>#DIV/0!</v>
      </c>
      <c r="DF53" s="1173">
        <v>4.6716614165453159</v>
      </c>
      <c r="DG53" s="1150">
        <f t="shared" si="22"/>
        <v>0</v>
      </c>
      <c r="DI53" s="1434"/>
      <c r="DJ53" s="1435"/>
      <c r="DK53" s="1828"/>
      <c r="DL53" s="1434"/>
      <c r="DM53" s="1435"/>
      <c r="DN53" s="1435"/>
    </row>
    <row r="54" spans="1:118" ht="12.75" customHeight="1">
      <c r="A54" s="1130">
        <v>1</v>
      </c>
      <c r="B54" s="3086"/>
      <c r="C54" s="1172" t="s">
        <v>744</v>
      </c>
      <c r="D54" s="1150">
        <v>3.6732279999999999</v>
      </c>
      <c r="E54" s="1151">
        <v>2.144889</v>
      </c>
      <c r="F54" s="1151">
        <v>0.14693016</v>
      </c>
      <c r="G54" s="1150">
        <v>3.2404259999999998</v>
      </c>
      <c r="H54" s="1151">
        <v>2.5132539999999999</v>
      </c>
      <c r="I54" s="1151">
        <v>0.18507888</v>
      </c>
      <c r="J54" s="1150">
        <v>4.8239510000000001</v>
      </c>
      <c r="K54" s="1151">
        <v>3.9448099999999999</v>
      </c>
      <c r="L54" s="1151">
        <v>1.1305337</v>
      </c>
      <c r="M54" s="1150">
        <v>2.4675820000000002</v>
      </c>
      <c r="N54" s="1151">
        <v>3.0434239999999999</v>
      </c>
      <c r="O54" s="1151">
        <v>0.17868313</v>
      </c>
      <c r="P54" s="1150">
        <v>2.4397000000000002</v>
      </c>
      <c r="Q54" s="1151">
        <v>1.8516509999999999</v>
      </c>
      <c r="R54" s="1151">
        <v>0.15723642999999998</v>
      </c>
      <c r="S54" s="1150">
        <v>2.506688</v>
      </c>
      <c r="T54" s="1195">
        <v>1.6005720000000001</v>
      </c>
      <c r="U54" s="1155">
        <v>0.19590744000000002</v>
      </c>
      <c r="V54" s="1150">
        <v>4.5096780000000001</v>
      </c>
      <c r="W54" s="1151">
        <v>2.3665310000000002</v>
      </c>
      <c r="X54" s="1151">
        <v>0.24538470000000001</v>
      </c>
      <c r="Y54" s="1150">
        <v>3.6238519999999999</v>
      </c>
      <c r="Z54" s="1151">
        <v>2.971991</v>
      </c>
      <c r="AA54" s="1151">
        <v>0.22273466</v>
      </c>
      <c r="AB54" s="1150"/>
      <c r="AC54" s="1151"/>
      <c r="AD54" s="1151"/>
      <c r="AE54" s="1150"/>
      <c r="AF54" s="1151"/>
      <c r="AG54" s="1151"/>
      <c r="AH54" s="1150"/>
      <c r="AI54" s="1151"/>
      <c r="AJ54" s="1151"/>
      <c r="AK54" s="1150"/>
      <c r="AL54" s="1151"/>
      <c r="AM54" s="1151"/>
      <c r="AN54" s="1150">
        <v>25.457176</v>
      </c>
      <c r="AO54" s="1151">
        <v>20.715727000000001</v>
      </c>
      <c r="AP54" s="1151">
        <v>1.5423264399999999</v>
      </c>
      <c r="AQ54" s="1151">
        <f t="shared" si="73"/>
        <v>22.387419000000001</v>
      </c>
      <c r="AR54" s="1150">
        <v>3.2080879999999978</v>
      </c>
      <c r="AS54" s="1151">
        <v>2.1334710000000001</v>
      </c>
      <c r="AT54" s="1151">
        <v>0.17268521000000001</v>
      </c>
      <c r="AU54" s="1150">
        <v>2.9190396393494971</v>
      </c>
      <c r="AV54" s="1151">
        <v>2.1629298806362351</v>
      </c>
      <c r="AW54" s="1151">
        <v>0.19792413578266507</v>
      </c>
      <c r="AX54" s="1150"/>
      <c r="AY54" s="1151"/>
      <c r="AZ54" s="1151"/>
      <c r="BA54" s="1150">
        <v>2.5349550000000103</v>
      </c>
      <c r="BB54" s="1151">
        <v>2.2371989999999999</v>
      </c>
      <c r="BC54" s="1151">
        <v>0.20385344</v>
      </c>
      <c r="BD54" s="1150">
        <v>2.3221599999999945</v>
      </c>
      <c r="BE54" s="1151">
        <v>2.0098410000000002</v>
      </c>
      <c r="BF54" s="1839">
        <v>0.19791149</v>
      </c>
      <c r="BG54" s="1150">
        <v>2.6334969999999944</v>
      </c>
      <c r="BH54" s="1195">
        <v>1.5412319999999999</v>
      </c>
      <c r="BI54" s="1155">
        <v>0.22286133999999999</v>
      </c>
      <c r="BJ54" s="1150">
        <v>3.8283870000000104</v>
      </c>
      <c r="BK54" s="1151">
        <v>2.436598</v>
      </c>
      <c r="BL54" s="1151">
        <v>0.19361085</v>
      </c>
      <c r="BM54" s="1150"/>
      <c r="BN54" s="1151"/>
      <c r="BO54" s="1151"/>
      <c r="BP54" s="1150"/>
      <c r="BQ54" s="1151"/>
      <c r="BR54" s="1151"/>
      <c r="BS54" s="1150"/>
      <c r="BT54" s="1151"/>
      <c r="BU54" s="1151"/>
      <c r="BV54" s="1150"/>
      <c r="BW54" s="1151"/>
      <c r="BX54" s="1151"/>
      <c r="BY54" s="1150"/>
      <c r="BZ54" s="1151"/>
      <c r="CA54" s="1151"/>
      <c r="CB54" s="1150">
        <v>20.237643000000009</v>
      </c>
      <c r="CC54" s="1151">
        <v>14.702662999999999</v>
      </c>
      <c r="CD54" s="1151">
        <v>1.3492476800000002</v>
      </c>
      <c r="CE54" s="1151">
        <f t="shared" si="74"/>
        <v>17.674136740000009</v>
      </c>
      <c r="CF54" s="1153">
        <f t="shared" si="80"/>
        <v>3.1991225599999993</v>
      </c>
      <c r="CG54" s="1154">
        <f t="shared" si="47"/>
        <v>4.1857323200000094</v>
      </c>
      <c r="CH54" s="1155">
        <f t="shared" si="2"/>
        <v>0.98660976000001011</v>
      </c>
      <c r="CI54" s="1154">
        <f t="shared" si="81"/>
        <v>12.566682808808013</v>
      </c>
      <c r="CJ54" s="1154">
        <f t="shared" si="75"/>
        <v>20.682904229509372</v>
      </c>
      <c r="CK54" s="1154">
        <f t="shared" si="11"/>
        <v>8.1162214207013594</v>
      </c>
      <c r="CL54" s="1150">
        <f t="shared" si="76"/>
        <v>1.6716920000000002</v>
      </c>
      <c r="CM54" s="1157">
        <f t="shared" si="77"/>
        <v>2.9714737400000093</v>
      </c>
      <c r="CN54" s="1152">
        <f t="shared" si="13"/>
        <v>1.2997817400000091</v>
      </c>
      <c r="CO54" s="1150">
        <f t="shared" si="82"/>
        <v>7.4671046269335477</v>
      </c>
      <c r="CP54" s="1151">
        <f t="shared" si="14"/>
        <v>16.812553754181309</v>
      </c>
      <c r="CQ54" s="1152">
        <f t="shared" si="6"/>
        <v>9.3454491272477611</v>
      </c>
      <c r="CR54" s="1173">
        <f t="shared" si="83"/>
        <v>4.6503759295842846</v>
      </c>
      <c r="CS54" s="1153">
        <f t="shared" si="84"/>
        <v>4.6458296676535706</v>
      </c>
      <c r="CT54" s="1150">
        <f t="shared" si="78"/>
        <v>7.7739962384786123</v>
      </c>
      <c r="CU54" s="1151">
        <f t="shared" si="79"/>
        <v>13.804960857945556</v>
      </c>
      <c r="CV54" s="1152">
        <f t="shared" si="7"/>
        <v>6.0309646194669435</v>
      </c>
      <c r="CX54" s="1175"/>
      <c r="CY54" s="1176"/>
      <c r="CZ54" s="1176"/>
      <c r="DA54" s="1152">
        <f t="shared" si="17"/>
        <v>0</v>
      </c>
      <c r="DB54" s="1153">
        <f t="shared" si="18"/>
        <v>0</v>
      </c>
      <c r="DC54" s="1154" t="e">
        <f t="shared" si="19"/>
        <v>#DIV/0!</v>
      </c>
      <c r="DD54" s="1150">
        <f t="shared" si="20"/>
        <v>0</v>
      </c>
      <c r="DE54" s="1150" t="e">
        <f t="shared" si="21"/>
        <v>#DIV/0!</v>
      </c>
      <c r="DF54" s="1173">
        <v>4.6716614165453159</v>
      </c>
      <c r="DG54" s="1150">
        <f t="shared" si="22"/>
        <v>0</v>
      </c>
      <c r="DI54" s="1434"/>
      <c r="DJ54" s="1435"/>
      <c r="DK54" s="1828"/>
      <c r="DL54" s="1434"/>
      <c r="DM54" s="1435"/>
      <c r="DN54" s="1435"/>
    </row>
    <row r="55" spans="1:118" ht="12.75" customHeight="1">
      <c r="A55" s="1130">
        <v>1</v>
      </c>
      <c r="B55" s="3086"/>
      <c r="C55" s="1172" t="s">
        <v>571</v>
      </c>
      <c r="D55" s="1150">
        <v>17.644945</v>
      </c>
      <c r="E55" s="1151">
        <v>7.614884</v>
      </c>
      <c r="F55" s="1151">
        <v>6.9134622200000004</v>
      </c>
      <c r="G55" s="1150">
        <v>18.914458</v>
      </c>
      <c r="H55" s="1151">
        <v>8.5700749999999992</v>
      </c>
      <c r="I55" s="1151">
        <v>7.1167136500000003</v>
      </c>
      <c r="J55" s="1150">
        <v>4.6440359999999998</v>
      </c>
      <c r="K55" s="1151">
        <v>3.3975689999999998</v>
      </c>
      <c r="L55" s="1151">
        <v>1.129332</v>
      </c>
      <c r="M55" s="1150">
        <v>15.15268</v>
      </c>
      <c r="N55" s="1151">
        <v>8.0290739999999996</v>
      </c>
      <c r="O55" s="1151">
        <v>9.6685136400000005</v>
      </c>
      <c r="P55" s="1150">
        <v>15.632066999999999</v>
      </c>
      <c r="Q55" s="1151">
        <v>7.3483939999999999</v>
      </c>
      <c r="R55" s="1151">
        <v>7.9518099699999993</v>
      </c>
      <c r="S55" s="1150">
        <v>19.976904000000001</v>
      </c>
      <c r="T55" s="1195">
        <v>4.9418790000000001</v>
      </c>
      <c r="U55" s="1155">
        <v>10.769144119999996</v>
      </c>
      <c r="V55" s="1150">
        <v>31.310092000000001</v>
      </c>
      <c r="W55" s="1151">
        <v>12.060509</v>
      </c>
      <c r="X55" s="1151">
        <v>8.7718177099999988</v>
      </c>
      <c r="Y55" s="1150">
        <v>29.059111999999999</v>
      </c>
      <c r="Z55" s="1151">
        <v>16.041584</v>
      </c>
      <c r="AA55" s="1151">
        <v>8.2737601200000022</v>
      </c>
      <c r="AB55" s="1150"/>
      <c r="AC55" s="1151"/>
      <c r="AD55" s="1151"/>
      <c r="AE55" s="1150"/>
      <c r="AF55" s="1151"/>
      <c r="AG55" s="1151"/>
      <c r="AH55" s="1150"/>
      <c r="AI55" s="1151"/>
      <c r="AJ55" s="1151"/>
      <c r="AK55" s="1150"/>
      <c r="AL55" s="1151"/>
      <c r="AM55" s="1151"/>
      <c r="AN55" s="1150">
        <v>162.91887299999999</v>
      </c>
      <c r="AO55" s="1151">
        <v>69.643984000000003</v>
      </c>
      <c r="AP55" s="1151">
        <v>67.682944599999999</v>
      </c>
      <c r="AQ55" s="1151">
        <f t="shared" si="73"/>
        <v>85.460796019999989</v>
      </c>
      <c r="AR55" s="1150">
        <v>19.529876000000002</v>
      </c>
      <c r="AS55" s="1151">
        <v>7.806851</v>
      </c>
      <c r="AT55" s="1151">
        <v>8.1359485599999974</v>
      </c>
      <c r="AU55" s="1150">
        <v>17.770236413583557</v>
      </c>
      <c r="AV55" s="1151">
        <v>7.9146476805050883</v>
      </c>
      <c r="AW55" s="1151">
        <v>9.3250637243931749</v>
      </c>
      <c r="AX55" s="1150"/>
      <c r="AY55" s="1151"/>
      <c r="AZ55" s="1151"/>
      <c r="BA55" s="1150">
        <v>14.401038420000001</v>
      </c>
      <c r="BB55" s="1151">
        <v>7.8358350000000003</v>
      </c>
      <c r="BC55" s="1151">
        <v>8.9926164099999966</v>
      </c>
      <c r="BD55" s="1150">
        <v>16.505790099999999</v>
      </c>
      <c r="BE55" s="1151">
        <v>7.4570030000000003</v>
      </c>
      <c r="BF55" s="1839">
        <v>7.7937907500000003</v>
      </c>
      <c r="BG55" s="1150">
        <v>18.696313670000002</v>
      </c>
      <c r="BH55" s="1195">
        <v>5.3919110000000003</v>
      </c>
      <c r="BI55" s="1155">
        <v>9.611477720000007</v>
      </c>
      <c r="BJ55" s="1150">
        <v>29.420906629999998</v>
      </c>
      <c r="BK55" s="1151">
        <v>12.220993999999999</v>
      </c>
      <c r="BL55" s="1151">
        <v>7.3681265699999994</v>
      </c>
      <c r="BM55" s="1150"/>
      <c r="BN55" s="1151"/>
      <c r="BO55" s="1151"/>
      <c r="BP55" s="1150"/>
      <c r="BQ55" s="1151"/>
      <c r="BR55" s="1151"/>
      <c r="BS55" s="1150"/>
      <c r="BT55" s="1151"/>
      <c r="BU55" s="1151"/>
      <c r="BV55" s="1150"/>
      <c r="BW55" s="1151"/>
      <c r="BX55" s="1151"/>
      <c r="BY55" s="1150"/>
      <c r="BZ55" s="1151"/>
      <c r="CA55" s="1151"/>
      <c r="CB55" s="1150">
        <v>134.79603609999998</v>
      </c>
      <c r="CC55" s="1151">
        <v>54.112557000000002</v>
      </c>
      <c r="CD55" s="1151">
        <v>60.645830350000004</v>
      </c>
      <c r="CE55" s="1151">
        <f t="shared" si="74"/>
        <v>66.062443583999965</v>
      </c>
      <c r="CF55" s="1153">
        <f t="shared" si="80"/>
        <v>25.591944399999988</v>
      </c>
      <c r="CG55" s="1154">
        <f t="shared" si="47"/>
        <v>20.037648749999967</v>
      </c>
      <c r="CH55" s="1155">
        <f t="shared" si="2"/>
        <v>-5.5542956500000216</v>
      </c>
      <c r="CI55" s="1154">
        <f t="shared" si="81"/>
        <v>15.708397639112068</v>
      </c>
      <c r="CJ55" s="1154">
        <f t="shared" si="75"/>
        <v>14.865161713757525</v>
      </c>
      <c r="CK55" s="1154">
        <f t="shared" si="11"/>
        <v>-0.84323592535454317</v>
      </c>
      <c r="CL55" s="1150">
        <f t="shared" si="76"/>
        <v>15.816812019999986</v>
      </c>
      <c r="CM55" s="1157">
        <f t="shared" si="77"/>
        <v>11.949886583999962</v>
      </c>
      <c r="CN55" s="1152">
        <f t="shared" si="13"/>
        <v>-3.8669254360000238</v>
      </c>
      <c r="CO55" s="1150">
        <f t="shared" si="82"/>
        <v>18.507681599757685</v>
      </c>
      <c r="CP55" s="1151">
        <f t="shared" si="14"/>
        <v>18.088774704201484</v>
      </c>
      <c r="CQ55" s="1152">
        <f t="shared" si="6"/>
        <v>-0.41890689555620142</v>
      </c>
      <c r="CR55" s="1173">
        <f t="shared" si="83"/>
        <v>4.6503759295842846</v>
      </c>
      <c r="CS55" s="1153">
        <f t="shared" si="84"/>
        <v>4.6458296676535706</v>
      </c>
      <c r="CT55" s="1150">
        <f t="shared" si="78"/>
        <v>73.554121900567324</v>
      </c>
      <c r="CU55" s="1151">
        <f t="shared" si="79"/>
        <v>55.517137617042408</v>
      </c>
      <c r="CV55" s="1152">
        <f t="shared" si="7"/>
        <v>-18.036984283524916</v>
      </c>
      <c r="CX55" s="1175"/>
      <c r="CY55" s="1176"/>
      <c r="CZ55" s="1176"/>
      <c r="DA55" s="1152">
        <f t="shared" si="17"/>
        <v>0</v>
      </c>
      <c r="DB55" s="1153">
        <f t="shared" si="18"/>
        <v>0</v>
      </c>
      <c r="DC55" s="1154" t="e">
        <f t="shared" si="19"/>
        <v>#DIV/0!</v>
      </c>
      <c r="DD55" s="1150">
        <f t="shared" si="20"/>
        <v>0</v>
      </c>
      <c r="DE55" s="1150" t="e">
        <f t="shared" si="21"/>
        <v>#DIV/0!</v>
      </c>
      <c r="DF55" s="1173">
        <v>4.6716614165453159</v>
      </c>
      <c r="DG55" s="1150">
        <f t="shared" si="22"/>
        <v>0</v>
      </c>
      <c r="DI55" s="1434"/>
      <c r="DJ55" s="1435"/>
      <c r="DK55" s="1828"/>
      <c r="DL55" s="1434"/>
      <c r="DM55" s="1435"/>
      <c r="DN55" s="1435"/>
    </row>
    <row r="56" spans="1:118" ht="15.6">
      <c r="A56" s="1160">
        <f>SUM(A39:A55)</f>
        <v>15</v>
      </c>
      <c r="B56" s="3087"/>
      <c r="C56" s="1161" t="s">
        <v>311</v>
      </c>
      <c r="D56" s="1166">
        <f>SUM(D39:D55)</f>
        <v>146.78594600000002</v>
      </c>
      <c r="E56" s="1166">
        <f>SUM(E39:E55)</f>
        <v>80.926766999999998</v>
      </c>
      <c r="F56" s="1166">
        <f>SUM(F39:F55)</f>
        <v>32.507483960000002</v>
      </c>
      <c r="G56" s="1162">
        <v>131.92057399999999</v>
      </c>
      <c r="H56" s="1163">
        <v>86.021920000000009</v>
      </c>
      <c r="I56" s="1163">
        <v>36.424740059999998</v>
      </c>
      <c r="J56" s="1162">
        <f t="shared" ref="J56:U56" si="85">SUM(J39:J55)</f>
        <v>130.45379800000001</v>
      </c>
      <c r="K56" s="1163">
        <f t="shared" si="85"/>
        <v>76.019866000000022</v>
      </c>
      <c r="L56" s="1163">
        <f t="shared" si="85"/>
        <v>38.469992439999999</v>
      </c>
      <c r="M56" s="1162">
        <f t="shared" si="85"/>
        <v>113.40815699999999</v>
      </c>
      <c r="N56" s="1163">
        <f t="shared" si="85"/>
        <v>84.914953999999994</v>
      </c>
      <c r="O56" s="1163">
        <f t="shared" si="85"/>
        <v>37.680484419999999</v>
      </c>
      <c r="P56" s="1162">
        <f t="shared" si="85"/>
        <v>117.70880400000001</v>
      </c>
      <c r="Q56" s="1163">
        <f t="shared" si="85"/>
        <v>74.404063000000008</v>
      </c>
      <c r="R56" s="1163">
        <f t="shared" si="85"/>
        <v>36.639805740000007</v>
      </c>
      <c r="S56" s="1162">
        <f t="shared" si="85"/>
        <v>143.83412300000001</v>
      </c>
      <c r="T56" s="1163">
        <f t="shared" si="85"/>
        <v>70.049691999999993</v>
      </c>
      <c r="U56" s="1164">
        <f t="shared" si="85"/>
        <v>41.12471132999999</v>
      </c>
      <c r="V56" s="1162">
        <f t="shared" ref="V56:CA56" si="86">SUM(V39:V55)</f>
        <v>257.93206099999998</v>
      </c>
      <c r="W56" s="1163">
        <f t="shared" si="86"/>
        <v>115.84191299999999</v>
      </c>
      <c r="X56" s="1163">
        <f t="shared" si="86"/>
        <v>42.070946510000006</v>
      </c>
      <c r="Y56" s="1162">
        <f>SUM(Y39:Y55)</f>
        <v>210.772402</v>
      </c>
      <c r="Z56" s="1163">
        <f t="shared" ref="Z56:AA56" si="87">SUM(Z39:Z55)</f>
        <v>147.19305200000002</v>
      </c>
      <c r="AA56" s="1163">
        <f t="shared" si="87"/>
        <v>40.851418559999999</v>
      </c>
      <c r="AB56" s="1166">
        <f t="shared" si="86"/>
        <v>0</v>
      </c>
      <c r="AC56" s="1166">
        <f t="shared" si="86"/>
        <v>0</v>
      </c>
      <c r="AD56" s="1166">
        <f t="shared" si="86"/>
        <v>0</v>
      </c>
      <c r="AE56" s="1166">
        <f t="shared" si="86"/>
        <v>0</v>
      </c>
      <c r="AF56" s="1166">
        <f t="shared" si="86"/>
        <v>0</v>
      </c>
      <c r="AG56" s="1166">
        <f t="shared" si="86"/>
        <v>0</v>
      </c>
      <c r="AH56" s="1166">
        <f t="shared" si="86"/>
        <v>0</v>
      </c>
      <c r="AI56" s="1166">
        <f t="shared" si="86"/>
        <v>0</v>
      </c>
      <c r="AJ56" s="1166">
        <f t="shared" si="86"/>
        <v>0</v>
      </c>
      <c r="AK56" s="1162">
        <f t="shared" si="86"/>
        <v>0</v>
      </c>
      <c r="AL56" s="1163">
        <f t="shared" si="86"/>
        <v>0</v>
      </c>
      <c r="AM56" s="1163">
        <f t="shared" si="86"/>
        <v>0</v>
      </c>
      <c r="AN56" s="1162">
        <f>SUM(AN39:AN55)</f>
        <v>1249.611345</v>
      </c>
      <c r="AO56" s="1163">
        <f>SUM(AO39:AO55)</f>
        <v>742.20851900000002</v>
      </c>
      <c r="AP56" s="1163">
        <f>SUM(AP39:AP55)</f>
        <v>308.18043899000003</v>
      </c>
      <c r="AQ56" s="1166">
        <f>SUM(AQ39:AQ55)</f>
        <v>866.45422531000008</v>
      </c>
      <c r="AR56" s="1166">
        <f t="shared" si="86"/>
        <v>147.401453</v>
      </c>
      <c r="AS56" s="1166">
        <f t="shared" si="86"/>
        <v>83.602288999999985</v>
      </c>
      <c r="AT56" s="1166">
        <f>SUM(AT39:AT55)</f>
        <v>35.267711360000007</v>
      </c>
      <c r="AU56" s="1162">
        <f t="shared" si="86"/>
        <v>134.12059900000003</v>
      </c>
      <c r="AV56" s="1163">
        <f t="shared" si="86"/>
        <v>84.75666600000001</v>
      </c>
      <c r="AW56" s="1163">
        <f t="shared" si="86"/>
        <v>40.422287999999995</v>
      </c>
      <c r="AX56" s="1162">
        <f t="shared" si="86"/>
        <v>0</v>
      </c>
      <c r="AY56" s="1163">
        <f t="shared" si="86"/>
        <v>0</v>
      </c>
      <c r="AZ56" s="1163">
        <f t="shared" si="86"/>
        <v>0</v>
      </c>
      <c r="BA56" s="1162">
        <f t="shared" si="86"/>
        <v>116.889533</v>
      </c>
      <c r="BB56" s="1163">
        <f t="shared" si="86"/>
        <v>85.241429000000011</v>
      </c>
      <c r="BC56" s="1163">
        <f t="shared" si="86"/>
        <v>41.570230449999997</v>
      </c>
      <c r="BD56" s="1162">
        <f t="shared" si="86"/>
        <v>123.38300399999994</v>
      </c>
      <c r="BE56" s="1163">
        <f t="shared" si="86"/>
        <v>78.264960000000016</v>
      </c>
      <c r="BF56" s="1840">
        <f t="shared" si="86"/>
        <v>38.917549600000001</v>
      </c>
      <c r="BG56" s="1162">
        <f t="shared" si="86"/>
        <v>152.48353400000008</v>
      </c>
      <c r="BH56" s="1163">
        <f t="shared" si="86"/>
        <v>75.904281999999995</v>
      </c>
      <c r="BI56" s="1164">
        <f t="shared" si="86"/>
        <v>44.188272900000001</v>
      </c>
      <c r="BJ56" s="1162">
        <f>SUM(BJ39:BJ55)</f>
        <v>227.67376599999994</v>
      </c>
      <c r="BK56" s="1163">
        <f>SUM(BK39:BK55)</f>
        <v>116.771855</v>
      </c>
      <c r="BL56" s="1163">
        <f>SUM(BL39:BL55)</f>
        <v>38.586111949999996</v>
      </c>
      <c r="BM56" s="1162">
        <f>SUM(BM39:BM55)</f>
        <v>0</v>
      </c>
      <c r="BN56" s="1163">
        <f t="shared" si="86"/>
        <v>0</v>
      </c>
      <c r="BO56" s="1163">
        <f t="shared" si="86"/>
        <v>0</v>
      </c>
      <c r="BP56" s="1162">
        <f t="shared" si="86"/>
        <v>0</v>
      </c>
      <c r="BQ56" s="1163">
        <f t="shared" si="86"/>
        <v>0</v>
      </c>
      <c r="BR56" s="1163">
        <f t="shared" si="86"/>
        <v>0</v>
      </c>
      <c r="BS56" s="1162">
        <f t="shared" si="86"/>
        <v>0</v>
      </c>
      <c r="BT56" s="1163">
        <f>SUM(BT39:BT55)</f>
        <v>0</v>
      </c>
      <c r="BU56" s="1163">
        <f t="shared" si="86"/>
        <v>0</v>
      </c>
      <c r="BV56" s="1162">
        <f t="shared" si="86"/>
        <v>0</v>
      </c>
      <c r="BW56" s="1163">
        <f t="shared" si="86"/>
        <v>0</v>
      </c>
      <c r="BX56" s="1163">
        <f t="shared" si="86"/>
        <v>0</v>
      </c>
      <c r="BY56" s="1162">
        <f t="shared" si="86"/>
        <v>0</v>
      </c>
      <c r="BZ56" s="1163">
        <f t="shared" si="86"/>
        <v>0</v>
      </c>
      <c r="CA56" s="1163">
        <f t="shared" si="86"/>
        <v>0</v>
      </c>
      <c r="CB56" s="1162">
        <f>SUM(CB39:CB55)</f>
        <v>1030.9276789999999</v>
      </c>
      <c r="CC56" s="1163">
        <f>SUM(CC39:CC55)</f>
        <v>604.45005300000003</v>
      </c>
      <c r="CD56" s="1163">
        <f>SUM(CD39:CD55)</f>
        <v>280.89021330999998</v>
      </c>
      <c r="CE56" s="1163">
        <f>SUM(CE39:CE55)</f>
        <v>688.18180495000001</v>
      </c>
      <c r="CF56" s="1165">
        <f t="shared" si="80"/>
        <v>199.22238700999998</v>
      </c>
      <c r="CG56" s="1166">
        <f t="shared" si="47"/>
        <v>145.58741268999989</v>
      </c>
      <c r="CH56" s="1167">
        <f t="shared" si="2"/>
        <v>-53.634974320000083</v>
      </c>
      <c r="CI56" s="1166">
        <f t="shared" si="81"/>
        <v>15.942747943761665</v>
      </c>
      <c r="CJ56" s="1166">
        <f t="shared" si="75"/>
        <v>14.12198116857428</v>
      </c>
      <c r="CK56" s="1166">
        <f t="shared" si="11"/>
        <v>-1.8207667751873853</v>
      </c>
      <c r="CL56" s="1162">
        <f>SUM(CL39:CL55)</f>
        <v>124.24570631000003</v>
      </c>
      <c r="CM56" s="1163">
        <f>SUM(CM39:CM55)</f>
        <v>83.731751949999961</v>
      </c>
      <c r="CN56" s="1164">
        <f t="shared" si="13"/>
        <v>-40.513954360000071</v>
      </c>
      <c r="CO56" s="1162">
        <f t="shared" si="82"/>
        <v>14.339558014798461</v>
      </c>
      <c r="CP56" s="1163">
        <f>(CM56/CE56)*100</f>
        <v>12.167097611086</v>
      </c>
      <c r="CQ56" s="1164">
        <f>CP56-CO56</f>
        <v>-2.1724604037124617</v>
      </c>
      <c r="CR56" s="1168">
        <f t="shared" si="83"/>
        <v>4.6503759295842846</v>
      </c>
      <c r="CS56" s="1165">
        <f t="shared" si="84"/>
        <v>4.6458296676535706</v>
      </c>
      <c r="CT56" s="1162">
        <f>SUM(CT39:CT55)</f>
        <v>577.78924197822232</v>
      </c>
      <c r="CU56" s="1163">
        <f>SUM(CU39:CU55)</f>
        <v>389.00345733391953</v>
      </c>
      <c r="CV56" s="1164">
        <f t="shared" si="7"/>
        <v>-188.78578464430279</v>
      </c>
      <c r="CX56" s="1162">
        <f>SUM(CX39:CX55)</f>
        <v>0</v>
      </c>
      <c r="CY56" s="1162">
        <f>SUM(CY39:CY55)</f>
        <v>0</v>
      </c>
      <c r="CZ56" s="1162">
        <f>SUM(CZ39:CZ55)</f>
        <v>0</v>
      </c>
      <c r="DA56" s="1162">
        <f>SUM(DA39:DA55)</f>
        <v>0</v>
      </c>
      <c r="DB56" s="1165">
        <f t="shared" si="18"/>
        <v>0</v>
      </c>
      <c r="DC56" s="1166" t="e">
        <f t="shared" si="19"/>
        <v>#DIV/0!</v>
      </c>
      <c r="DD56" s="1162">
        <f t="shared" si="20"/>
        <v>0</v>
      </c>
      <c r="DE56" s="1162" t="e">
        <f t="shared" si="21"/>
        <v>#DIV/0!</v>
      </c>
      <c r="DF56" s="1168">
        <v>4.6716614165453159</v>
      </c>
      <c r="DG56" s="1162">
        <f t="shared" si="22"/>
        <v>0</v>
      </c>
      <c r="DI56" s="1432">
        <f>AN56-ventes_achats_élec!G22</f>
        <v>5.3600000001097214E-4</v>
      </c>
      <c r="DJ56" s="1870">
        <f>AO56-ventes_achats_élec!D22</f>
        <v>0</v>
      </c>
      <c r="DK56" s="1827">
        <f>AP56-ventes_achats_élec!E22</f>
        <v>0</v>
      </c>
      <c r="DL56" s="1432">
        <f>CB56-ventes_achats_élec!M22</f>
        <v>-238.84782080000014</v>
      </c>
      <c r="DM56" s="1433">
        <f>CC56-ventes_achats_élec!J22</f>
        <v>-145.06827799999996</v>
      </c>
      <c r="DN56" s="1433">
        <f>CD56-ventes_achats_élec!K22</f>
        <v>-47.205277950000038</v>
      </c>
    </row>
    <row r="57" spans="1:118" ht="12.75" customHeight="1">
      <c r="A57" s="1130">
        <v>3</v>
      </c>
      <c r="B57" s="3085" t="s">
        <v>126</v>
      </c>
      <c r="C57" s="1172" t="s">
        <v>976</v>
      </c>
      <c r="D57" s="1150">
        <v>9.4404741999999988</v>
      </c>
      <c r="E57" s="1151">
        <v>7.2880289999999999</v>
      </c>
      <c r="F57" s="1151">
        <v>2.2928773700000002</v>
      </c>
      <c r="G57" s="1150">
        <v>8.7931735</v>
      </c>
      <c r="H57" s="1151">
        <v>6.1128239999999998</v>
      </c>
      <c r="I57" s="1151">
        <v>2.1247117700000002</v>
      </c>
      <c r="J57" s="1150">
        <v>8.7039633000000016</v>
      </c>
      <c r="K57" s="1151">
        <v>5.0366239999999998</v>
      </c>
      <c r="L57" s="1151">
        <v>1.72087506</v>
      </c>
      <c r="M57" s="1150">
        <v>8.9570846999999993</v>
      </c>
      <c r="N57" s="1151">
        <v>7.1703330000000003</v>
      </c>
      <c r="O57" s="1151">
        <v>1.3960549399999997</v>
      </c>
      <c r="P57" s="1150">
        <v>8.1081655536647439</v>
      </c>
      <c r="Q57" s="1151">
        <v>7.9829089793023371</v>
      </c>
      <c r="R57" s="1151">
        <v>1.4989721997302758</v>
      </c>
      <c r="S57" s="1150">
        <v>8.426270933333333</v>
      </c>
      <c r="T57" s="1195">
        <v>5.420617</v>
      </c>
      <c r="U57" s="1155">
        <v>1.26516779</v>
      </c>
      <c r="V57" s="1675">
        <v>12.122544400000001</v>
      </c>
      <c r="W57" s="1676">
        <v>8.3434679999999997</v>
      </c>
      <c r="X57" s="1677">
        <v>1.5089159199999995</v>
      </c>
      <c r="Y57" s="1675">
        <v>12.773918088704296</v>
      </c>
      <c r="Z57" s="1676">
        <v>9.1205567301678521</v>
      </c>
      <c r="AA57" s="1677">
        <v>2.1842705683332286</v>
      </c>
      <c r="AB57" s="1150"/>
      <c r="AC57" s="1151"/>
      <c r="AD57" s="1151"/>
      <c r="AE57" s="1150"/>
      <c r="AF57" s="1151"/>
      <c r="AG57" s="1151"/>
      <c r="AH57" s="1150"/>
      <c r="AI57" s="1151"/>
      <c r="AJ57" s="1151"/>
      <c r="AK57" s="1675"/>
      <c r="AL57" s="1676"/>
      <c r="AM57" s="1677"/>
      <c r="AN57" s="1150">
        <v>80.474946688374828</v>
      </c>
      <c r="AO57" s="1151">
        <v>55.016463495460698</v>
      </c>
      <c r="AP57" s="1151">
        <v>14.671253781183625</v>
      </c>
      <c r="AQ57" s="1677">
        <f t="shared" ref="AQ57:AQ67" si="88">AN57-(AN57*0.06)-AP57</f>
        <v>60.975196105888713</v>
      </c>
      <c r="AR57" s="1150">
        <v>10.703507689793211</v>
      </c>
      <c r="AS57" s="1151">
        <v>7.703015017793847</v>
      </c>
      <c r="AT57" s="1151">
        <v>2.1959701907523783</v>
      </c>
      <c r="AU57" s="1150">
        <v>10.504597305076491</v>
      </c>
      <c r="AV57" s="1151">
        <v>8.1691150274014834</v>
      </c>
      <c r="AW57" s="1151">
        <v>2.478491344120989</v>
      </c>
      <c r="AX57" s="1150"/>
      <c r="AY57" s="1151"/>
      <c r="AZ57" s="1151"/>
      <c r="BA57" s="1150">
        <v>9.8767199714285709</v>
      </c>
      <c r="BB57" s="1151">
        <v>9.8941940000000006</v>
      </c>
      <c r="BC57" s="1151">
        <v>1.5982220199999999</v>
      </c>
      <c r="BD57" s="1150">
        <v>10.817531714285714</v>
      </c>
      <c r="BE57" s="1151">
        <v>8.1611239999999992</v>
      </c>
      <c r="BF57" s="1839">
        <v>1.7243904999999999</v>
      </c>
      <c r="BG57" s="1150">
        <v>10.168528221428572</v>
      </c>
      <c r="BH57" s="1195">
        <v>6.6047520000000004</v>
      </c>
      <c r="BI57" s="1155">
        <v>1.53099286</v>
      </c>
      <c r="BJ57" s="1675">
        <v>13.713028169671428</v>
      </c>
      <c r="BK57" s="1676">
        <v>10.046904</v>
      </c>
      <c r="BL57" s="1677">
        <v>2.0040696000000002</v>
      </c>
      <c r="BM57" s="1675"/>
      <c r="BN57" s="1676"/>
      <c r="BO57" s="1677"/>
      <c r="BP57" s="1675"/>
      <c r="BQ57" s="1676"/>
      <c r="BR57" s="1677"/>
      <c r="BS57" s="1675"/>
      <c r="BT57" s="1676"/>
      <c r="BU57" s="1677"/>
      <c r="BV57" s="1675"/>
      <c r="BW57" s="1676"/>
      <c r="BX57" s="1677"/>
      <c r="BY57" s="1675"/>
      <c r="BZ57" s="1676"/>
      <c r="CA57" s="1677"/>
      <c r="CB57" s="1150">
        <v>75.297850248242867</v>
      </c>
      <c r="CC57" s="1151">
        <v>55.035352000000003</v>
      </c>
      <c r="CD57" s="1151">
        <v>13.882009870000001</v>
      </c>
      <c r="CE57" s="1151">
        <f t="shared" ref="CE57:CE67" si="89">CB57-(CB57*0.06)-CD57</f>
        <v>56.897969363348295</v>
      </c>
      <c r="CF57" s="1153">
        <f t="shared" si="80"/>
        <v>10.787229411730506</v>
      </c>
      <c r="CG57" s="1154">
        <f t="shared" si="47"/>
        <v>6.3804883782428625</v>
      </c>
      <c r="CH57" s="1155">
        <f t="shared" si="2"/>
        <v>-4.4067410334876431</v>
      </c>
      <c r="CI57" s="1154">
        <f t="shared" si="81"/>
        <v>13.404456735463482</v>
      </c>
      <c r="CJ57" s="1154">
        <f t="shared" si="75"/>
        <v>8.4736660571418589</v>
      </c>
      <c r="CK57" s="1154">
        <f t="shared" si="11"/>
        <v>-4.9307906783216229</v>
      </c>
      <c r="CL57" s="1150">
        <f t="shared" ref="CL57:CL67" si="90">AQ57-AO57</f>
        <v>5.9587326104280152</v>
      </c>
      <c r="CM57" s="1157">
        <f t="shared" ref="CM57:CM63" si="91">CE57-CC57</f>
        <v>1.8626173633482921</v>
      </c>
      <c r="CN57" s="1152">
        <f t="shared" si="13"/>
        <v>-4.0961152470797231</v>
      </c>
      <c r="CO57" s="1150">
        <f t="shared" si="82"/>
        <v>9.772387775645953</v>
      </c>
      <c r="CP57" s="1151">
        <f t="shared" si="14"/>
        <v>3.2736095579328808</v>
      </c>
      <c r="CQ57" s="1152">
        <f t="shared" si="6"/>
        <v>-6.4987782177130722</v>
      </c>
      <c r="CR57" s="1173">
        <f>élec!AZ294/100</f>
        <v>3.6771681140682393</v>
      </c>
      <c r="CS57" s="1153">
        <f>élec!AZ309/100</f>
        <v>3.6111335818907007</v>
      </c>
      <c r="CT57" s="1150">
        <f t="shared" ref="CT57:CT67" si="92">CL57*CR57</f>
        <v>21.911261555324501</v>
      </c>
      <c r="CU57" s="1151">
        <f t="shared" ref="CU57:CU67" si="93">CS57*CM57</f>
        <v>6.7261601109997304</v>
      </c>
      <c r="CV57" s="1152">
        <f t="shared" si="7"/>
        <v>-15.18510144432477</v>
      </c>
      <c r="CX57" s="1150"/>
      <c r="CY57" s="1151"/>
      <c r="CZ57" s="1151"/>
      <c r="DA57" s="1152"/>
      <c r="DB57" s="1153"/>
      <c r="DC57" s="1154"/>
      <c r="DD57" s="1150"/>
      <c r="DE57" s="1150"/>
      <c r="DF57" s="1173"/>
      <c r="DG57" s="1150"/>
      <c r="DI57" s="1434"/>
      <c r="DJ57" s="1435"/>
      <c r="DK57" s="1435"/>
      <c r="DL57" s="1434"/>
      <c r="DM57" s="2060">
        <f>CC57/CC$68*DM$68</f>
        <v>-10.570588522264069</v>
      </c>
      <c r="DN57" s="2060">
        <f>CD57/CD$68*DN$68</f>
        <v>-2.3626335140531869</v>
      </c>
    </row>
    <row r="58" spans="1:118" ht="12.75" customHeight="1">
      <c r="A58" s="1130">
        <v>2</v>
      </c>
      <c r="B58" s="3086"/>
      <c r="C58" s="1172" t="s">
        <v>977</v>
      </c>
      <c r="D58" s="1150">
        <v>18.445575999999999</v>
      </c>
      <c r="E58" s="1151">
        <v>8.5384960000000003</v>
      </c>
      <c r="F58" s="1151">
        <v>6.9353374800000003</v>
      </c>
      <c r="G58" s="1150">
        <v>18.756557999999998</v>
      </c>
      <c r="H58" s="1151">
        <v>9.7687139999999992</v>
      </c>
      <c r="I58" s="1151">
        <v>6.7717425599999999</v>
      </c>
      <c r="J58" s="1150">
        <v>13.533717800000002</v>
      </c>
      <c r="K58" s="1151">
        <v>6.2690799999999998</v>
      </c>
      <c r="L58" s="1151">
        <v>4.0503117299999998</v>
      </c>
      <c r="M58" s="1150">
        <v>24.123017000000001</v>
      </c>
      <c r="N58" s="1151">
        <v>7.4402860000000004</v>
      </c>
      <c r="O58" s="1151">
        <v>8.0676934300000021</v>
      </c>
      <c r="P58" s="1150">
        <v>21.836727243393049</v>
      </c>
      <c r="Q58" s="1151">
        <v>8.2834543274318584</v>
      </c>
      <c r="R58" s="1151">
        <v>8.6624443071822075</v>
      </c>
      <c r="S58" s="1150">
        <v>24.624255000000002</v>
      </c>
      <c r="T58" s="1195">
        <v>16.693557999999999</v>
      </c>
      <c r="U58" s="1155">
        <v>8.8452619699999993</v>
      </c>
      <c r="V58" s="1678">
        <v>42.900350000000003</v>
      </c>
      <c r="W58" s="1679">
        <v>12.648421000000001</v>
      </c>
      <c r="X58" s="1680">
        <v>12.093661750000001</v>
      </c>
      <c r="Y58" s="1678">
        <v>31.150277560127016</v>
      </c>
      <c r="Z58" s="1679">
        <v>16.746643548926262</v>
      </c>
      <c r="AA58" s="1680">
        <v>10.064116701629718</v>
      </c>
      <c r="AB58" s="1150"/>
      <c r="AC58" s="1151"/>
      <c r="AD58" s="1151"/>
      <c r="AE58" s="1150"/>
      <c r="AF58" s="1151"/>
      <c r="AG58" s="1151"/>
      <c r="AH58" s="1150"/>
      <c r="AI58" s="1151"/>
      <c r="AJ58" s="1151"/>
      <c r="AK58" s="1678"/>
      <c r="AL58" s="1679"/>
      <c r="AM58" s="1680"/>
      <c r="AN58" s="1150">
        <v>196.24495073254189</v>
      </c>
      <c r="AO58" s="1151">
        <v>101.01807715679193</v>
      </c>
      <c r="AP58" s="1151">
        <v>67.598406696350509</v>
      </c>
      <c r="AQ58" s="1677">
        <f t="shared" si="88"/>
        <v>116.87184699223889</v>
      </c>
      <c r="AR58" s="1150">
        <v>20.913394854536559</v>
      </c>
      <c r="AS58" s="1151">
        <v>9.0246845775960391</v>
      </c>
      <c r="AT58" s="1151">
        <v>6.6422193215190211</v>
      </c>
      <c r="AU58" s="1150">
        <v>20.524747362816122</v>
      </c>
      <c r="AV58" s="1151">
        <v>9.5707571944358971</v>
      </c>
      <c r="AW58" s="1151">
        <v>7.4967698393472606</v>
      </c>
      <c r="AX58" s="1150"/>
      <c r="AY58" s="1151"/>
      <c r="AZ58" s="1151"/>
      <c r="BA58" s="1150">
        <v>26.155416166666669</v>
      </c>
      <c r="BB58" s="1151">
        <v>7.6174090000000003</v>
      </c>
      <c r="BC58" s="1151">
        <v>9.5474988399999994</v>
      </c>
      <c r="BD58" s="1150">
        <v>27.097211833333333</v>
      </c>
      <c r="BE58" s="1151">
        <v>14.616904999999999</v>
      </c>
      <c r="BF58" s="1839">
        <v>11.19919303</v>
      </c>
      <c r="BG58" s="1150">
        <v>33.12514483333333</v>
      </c>
      <c r="BH58" s="1195">
        <v>18.377376999999999</v>
      </c>
      <c r="BI58" s="1155">
        <v>12.034611380000001</v>
      </c>
      <c r="BJ58" s="1678">
        <v>44.787354666666666</v>
      </c>
      <c r="BK58" s="1679">
        <v>15.829625999999999</v>
      </c>
      <c r="BL58" s="1680">
        <v>14.109270560000001</v>
      </c>
      <c r="BM58" s="1678"/>
      <c r="BN58" s="1679"/>
      <c r="BO58" s="1680"/>
      <c r="BP58" s="1678"/>
      <c r="BQ58" s="1679"/>
      <c r="BR58" s="1680"/>
      <c r="BS58" s="1678"/>
      <c r="BT58" s="1679"/>
      <c r="BU58" s="1680"/>
      <c r="BV58" s="1678"/>
      <c r="BW58" s="1679"/>
      <c r="BX58" s="1680"/>
      <c r="BY58" s="1678"/>
      <c r="BZ58" s="1679"/>
      <c r="CA58" s="1680"/>
      <c r="CB58" s="1150">
        <v>196.93027849999999</v>
      </c>
      <c r="CC58" s="1151">
        <v>90.849366000000003</v>
      </c>
      <c r="CD58" s="1151">
        <v>72.035956339999998</v>
      </c>
      <c r="CE58" s="1151">
        <f t="shared" si="89"/>
        <v>113.07850544999998</v>
      </c>
      <c r="CF58" s="1153">
        <f t="shared" si="80"/>
        <v>27.628466879399454</v>
      </c>
      <c r="CG58" s="1154">
        <f>CB58-CC58-CD58</f>
        <v>34.044956159999984</v>
      </c>
      <c r="CH58" s="1155">
        <f>CG58-CF58</f>
        <v>6.4164892806005298</v>
      </c>
      <c r="CI58" s="1154">
        <f t="shared" si="81"/>
        <v>14.078561907589515</v>
      </c>
      <c r="CJ58" s="1154">
        <f>(CB58-CC58-CD58)/CB58*100</f>
        <v>17.287822075567718</v>
      </c>
      <c r="CK58" s="1154">
        <f>CJ58-CI58</f>
        <v>3.2092601679782025</v>
      </c>
      <c r="CL58" s="1150">
        <f t="shared" si="90"/>
        <v>15.853769835446954</v>
      </c>
      <c r="CM58" s="1157">
        <f t="shared" si="91"/>
        <v>22.229139449999977</v>
      </c>
      <c r="CN58" s="1152">
        <f>CM58-CL58</f>
        <v>6.3753696145530228</v>
      </c>
      <c r="CO58" s="1150">
        <f t="shared" si="82"/>
        <v>13.565088807486509</v>
      </c>
      <c r="CP58" s="1151">
        <f>(CM58/CE58)*100</f>
        <v>19.658147551153348</v>
      </c>
      <c r="CQ58" s="1152">
        <f>CP58-CO58</f>
        <v>6.0930587436668393</v>
      </c>
      <c r="CR58" s="1173">
        <f>CR57</f>
        <v>3.6771681140682393</v>
      </c>
      <c r="CS58" s="1153">
        <f>CS57</f>
        <v>3.6111335818907007</v>
      </c>
      <c r="CT58" s="1150">
        <f t="shared" si="92"/>
        <v>58.296976926682419</v>
      </c>
      <c r="CU58" s="1151">
        <f t="shared" si="93"/>
        <v>80.272391964426291</v>
      </c>
      <c r="CV58" s="1152">
        <f>CU58-CT58</f>
        <v>21.975415037743872</v>
      </c>
      <c r="CW58" s="83"/>
      <c r="CX58" s="1150"/>
      <c r="CY58" s="1151"/>
      <c r="CZ58" s="1151"/>
      <c r="DA58" s="1152"/>
      <c r="DB58" s="1153"/>
      <c r="DC58" s="1154"/>
      <c r="DD58" s="1150"/>
      <c r="DE58" s="1150"/>
      <c r="DF58" s="1173"/>
      <c r="DG58" s="1150"/>
      <c r="DH58" s="83"/>
      <c r="DI58" s="1434"/>
      <c r="DJ58" s="1435"/>
      <c r="DK58" s="1435"/>
      <c r="DL58" s="1434"/>
      <c r="DM58" s="2060">
        <f t="shared" ref="DM58:DN67" si="94">CC58/CC$68*DM$68</f>
        <v>-17.449352654173403</v>
      </c>
      <c r="DN58" s="2060">
        <f t="shared" si="94"/>
        <v>-12.260080943578537</v>
      </c>
    </row>
    <row r="59" spans="1:118" ht="12.75" customHeight="1">
      <c r="A59" s="1130">
        <v>2</v>
      </c>
      <c r="B59" s="3086"/>
      <c r="C59" s="1172" t="s">
        <v>127</v>
      </c>
      <c r="D59" s="1150">
        <v>9.4431068888888881</v>
      </c>
      <c r="E59" s="1151">
        <v>9.8835510000000006</v>
      </c>
      <c r="F59" s="1151">
        <v>1.1125628999999999</v>
      </c>
      <c r="G59" s="1150">
        <v>9.0709774999999997</v>
      </c>
      <c r="H59" s="1151">
        <v>7.2557919999999996</v>
      </c>
      <c r="I59" s="1151">
        <v>1.04326908</v>
      </c>
      <c r="J59" s="1150">
        <v>10.5869049</v>
      </c>
      <c r="K59" s="1151">
        <v>6.4717029999999998</v>
      </c>
      <c r="L59" s="1151">
        <v>2.4898992899999999</v>
      </c>
      <c r="M59" s="1150">
        <v>12.738232555555555</v>
      </c>
      <c r="N59" s="1151">
        <v>9.4075819999999997</v>
      </c>
      <c r="O59" s="1151">
        <v>1.1865618400000004</v>
      </c>
      <c r="P59" s="1150">
        <v>11.53095029027987</v>
      </c>
      <c r="Q59" s="1151">
        <v>10.473693595726031</v>
      </c>
      <c r="R59" s="1151">
        <v>1.2740352549598117</v>
      </c>
      <c r="S59" s="1150">
        <v>13.097562363636364</v>
      </c>
      <c r="T59" s="1195">
        <v>10.752057000000001</v>
      </c>
      <c r="U59" s="1155">
        <v>1.1254978100000002</v>
      </c>
      <c r="V59" s="1681">
        <v>20.710559045714227</v>
      </c>
      <c r="W59" s="1682">
        <v>12.371535</v>
      </c>
      <c r="X59" s="1683">
        <v>1.3639813399999994</v>
      </c>
      <c r="Y59" s="1681">
        <v>16.174501939915391</v>
      </c>
      <c r="Z59" s="1682">
        <v>12.324655821063457</v>
      </c>
      <c r="AA59" s="1683">
        <v>1.427631416623294</v>
      </c>
      <c r="AB59" s="1150"/>
      <c r="AC59" s="1151"/>
      <c r="AD59" s="1151"/>
      <c r="AE59" s="1150"/>
      <c r="AF59" s="1151"/>
      <c r="AG59" s="1151"/>
      <c r="AH59" s="1150"/>
      <c r="AI59" s="1151"/>
      <c r="AJ59" s="1151"/>
      <c r="AK59" s="1681"/>
      <c r="AL59" s="1682"/>
      <c r="AM59" s="1683"/>
      <c r="AN59" s="1150">
        <v>101.89842867997726</v>
      </c>
      <c r="AO59" s="1151">
        <v>74.344033717903983</v>
      </c>
      <c r="AP59" s="1151">
        <v>9.5890789002636421</v>
      </c>
      <c r="AQ59" s="1677">
        <f t="shared" si="88"/>
        <v>86.195444058914973</v>
      </c>
      <c r="AR59" s="1150">
        <v>10.706492604022102</v>
      </c>
      <c r="AS59" s="1151">
        <v>10.446328051402016</v>
      </c>
      <c r="AT59" s="1151">
        <v>1.0655410514767385</v>
      </c>
      <c r="AU59" s="1150">
        <v>10.507526748663903</v>
      </c>
      <c r="AV59" s="1151">
        <v>11.078422574634233</v>
      </c>
      <c r="AW59" s="1151">
        <v>1.2026275602520098</v>
      </c>
      <c r="AX59" s="1150"/>
      <c r="AY59" s="1151"/>
      <c r="AZ59" s="1151"/>
      <c r="BA59" s="1150">
        <v>14.697481048888887</v>
      </c>
      <c r="BB59" s="1151">
        <v>10.700532000000001</v>
      </c>
      <c r="BC59" s="1151">
        <v>1.47327228</v>
      </c>
      <c r="BD59" s="1150">
        <v>14.358385055555557</v>
      </c>
      <c r="BE59" s="1151">
        <v>10.277032999999999</v>
      </c>
      <c r="BF59" s="1839">
        <v>1.40786908</v>
      </c>
      <c r="BG59" s="1150">
        <v>16.963008333333331</v>
      </c>
      <c r="BH59" s="1195">
        <v>12.745069000000001</v>
      </c>
      <c r="BI59" s="1155">
        <v>1.4312066299999999</v>
      </c>
      <c r="BJ59" s="1681">
        <v>22.972236833333334</v>
      </c>
      <c r="BK59" s="1682">
        <v>15.073639</v>
      </c>
      <c r="BL59" s="1683">
        <v>1.6817175500000001</v>
      </c>
      <c r="BM59" s="1681"/>
      <c r="BN59" s="1682"/>
      <c r="BO59" s="1683"/>
      <c r="BP59" s="1681"/>
      <c r="BQ59" s="1682"/>
      <c r="BR59" s="1683"/>
      <c r="BS59" s="1681"/>
      <c r="BT59" s="1682"/>
      <c r="BU59" s="1683"/>
      <c r="BV59" s="1681"/>
      <c r="BW59" s="1682"/>
      <c r="BX59" s="1683"/>
      <c r="BY59" s="1681"/>
      <c r="BZ59" s="1682"/>
      <c r="CA59" s="1683"/>
      <c r="CB59" s="1150">
        <v>106.55939510444446</v>
      </c>
      <c r="CC59" s="1151">
        <v>72.827267000000006</v>
      </c>
      <c r="CD59" s="1151">
        <v>10.205570830000003</v>
      </c>
      <c r="CE59" s="1151">
        <f t="shared" si="89"/>
        <v>89.960260568177802</v>
      </c>
      <c r="CF59" s="1153">
        <f t="shared" si="80"/>
        <v>17.965316061809631</v>
      </c>
      <c r="CG59" s="1154">
        <f>CB59-CC59-CD59</f>
        <v>23.526557274444453</v>
      </c>
      <c r="CH59" s="1155">
        <f>CG59-CF59</f>
        <v>5.5612412126348225</v>
      </c>
      <c r="CI59" s="1154">
        <f t="shared" si="81"/>
        <v>17.630611477073504</v>
      </c>
      <c r="CJ59" s="1154">
        <f>(CB59-CC59-CD59)/CB59*100</f>
        <v>22.078350999820184</v>
      </c>
      <c r="CK59" s="1154">
        <f>CJ59-CI59</f>
        <v>4.4477395227466801</v>
      </c>
      <c r="CL59" s="1150">
        <f t="shared" si="90"/>
        <v>11.85141034101099</v>
      </c>
      <c r="CM59" s="1157">
        <f t="shared" si="91"/>
        <v>17.132993568177795</v>
      </c>
      <c r="CN59" s="1152">
        <f>CM59-CL59</f>
        <v>5.2815832271668057</v>
      </c>
      <c r="CO59" s="1150">
        <f t="shared" si="82"/>
        <v>13.749462596782374</v>
      </c>
      <c r="CP59" s="1151">
        <f>(CM59/CE59)*100</f>
        <v>19.045068855923649</v>
      </c>
      <c r="CQ59" s="1152">
        <f>CP59-CO59</f>
        <v>5.2956062591412749</v>
      </c>
      <c r="CR59" s="1173">
        <f t="shared" ref="CR59:CR68" si="95">CR58</f>
        <v>3.6771681140682393</v>
      </c>
      <c r="CS59" s="1153">
        <f t="shared" ref="CS59:CS68" si="96">CS58</f>
        <v>3.6111335818907007</v>
      </c>
      <c r="CT59" s="1150">
        <f t="shared" si="92"/>
        <v>43.579628212704208</v>
      </c>
      <c r="CU59" s="1151">
        <f t="shared" si="93"/>
        <v>61.86952843236422</v>
      </c>
      <c r="CV59" s="1152">
        <f>CU59-CT59</f>
        <v>18.289900219660012</v>
      </c>
      <c r="CW59" s="83"/>
      <c r="CX59" s="1150"/>
      <c r="CY59" s="1151"/>
      <c r="CZ59" s="1151"/>
      <c r="DA59" s="1152"/>
      <c r="DB59" s="1153"/>
      <c r="DC59" s="1154"/>
      <c r="DD59" s="1150"/>
      <c r="DE59" s="1150"/>
      <c r="DF59" s="1173"/>
      <c r="DG59" s="1150"/>
      <c r="DI59" s="1434"/>
      <c r="DJ59" s="1435"/>
      <c r="DK59" s="1435"/>
      <c r="DL59" s="1434"/>
      <c r="DM59" s="2060">
        <f t="shared" si="94"/>
        <v>-13.987864975553546</v>
      </c>
      <c r="DN59" s="2060">
        <f t="shared" si="94"/>
        <v>-1.7369259854157997</v>
      </c>
    </row>
    <row r="60" spans="1:118" ht="12.75" customHeight="1">
      <c r="A60" s="1130">
        <v>2</v>
      </c>
      <c r="B60" s="3086"/>
      <c r="C60" s="1172" t="s">
        <v>978</v>
      </c>
      <c r="D60" s="1150">
        <v>8.3701244999999993</v>
      </c>
      <c r="E60" s="1151">
        <v>6.6658720000000002</v>
      </c>
      <c r="F60" s="1151">
        <v>1.9603893300000002</v>
      </c>
      <c r="G60" s="1150">
        <v>8.0133329999999994</v>
      </c>
      <c r="H60" s="1151">
        <v>5.7916949999999998</v>
      </c>
      <c r="I60" s="1151">
        <v>1.6830095900000002</v>
      </c>
      <c r="J60" s="1150">
        <v>15.011134999999999</v>
      </c>
      <c r="K60" s="1151">
        <v>11.005915</v>
      </c>
      <c r="L60" s="1151">
        <v>6.2434781399999997</v>
      </c>
      <c r="M60" s="1150">
        <v>9.2637905714285704</v>
      </c>
      <c r="N60" s="1151">
        <v>8.3373609999999996</v>
      </c>
      <c r="O60" s="1151">
        <v>1.1980658300000007</v>
      </c>
      <c r="P60" s="1150">
        <v>8.3858029842702475</v>
      </c>
      <c r="Q60" s="1151">
        <v>9.2821901005971554</v>
      </c>
      <c r="R60" s="1151">
        <v>1.2863873198405644</v>
      </c>
      <c r="S60" s="1150">
        <v>8.8544435000000004</v>
      </c>
      <c r="T60" s="1195">
        <v>3.9177209999999998</v>
      </c>
      <c r="U60" s="1155">
        <v>1.2115250500000001</v>
      </c>
      <c r="V60" s="1150">
        <v>14.230989357142857</v>
      </c>
      <c r="W60" s="1151">
        <v>12.007232</v>
      </c>
      <c r="X60" s="1151">
        <v>1.6237998399999993</v>
      </c>
      <c r="Y60" s="1150">
        <v>12.31990473365928</v>
      </c>
      <c r="Z60" s="1151">
        <v>8.3354533833612159</v>
      </c>
      <c r="AA60" s="1151">
        <v>1.8952261390336724</v>
      </c>
      <c r="AB60" s="1150"/>
      <c r="AC60" s="1151"/>
      <c r="AD60" s="1151"/>
      <c r="AE60" s="1150"/>
      <c r="AF60" s="1151"/>
      <c r="AG60" s="1151"/>
      <c r="AH60" s="1150"/>
      <c r="AI60" s="1151"/>
      <c r="AJ60" s="1151"/>
      <c r="AK60" s="1150"/>
      <c r="AL60" s="1151"/>
      <c r="AM60" s="1151"/>
      <c r="AN60" s="1150">
        <v>77.614688755817198</v>
      </c>
      <c r="AO60" s="1151">
        <v>50.280611189769658</v>
      </c>
      <c r="AP60" s="1151">
        <v>12.729807406466811</v>
      </c>
      <c r="AQ60" s="1677">
        <f t="shared" si="88"/>
        <v>60.228000024001354</v>
      </c>
      <c r="AR60" s="1150">
        <v>9.4899567598285</v>
      </c>
      <c r="AS60" s="1151">
        <v>7.0454319161863248</v>
      </c>
      <c r="AT60" s="1151">
        <v>1.8775345717459921</v>
      </c>
      <c r="AU60" s="1150">
        <v>9.3135985971821942</v>
      </c>
      <c r="AV60" s="1151">
        <v>7.4717423772510765</v>
      </c>
      <c r="AW60" s="1151">
        <v>2.119087592334755</v>
      </c>
      <c r="AX60" s="1150"/>
      <c r="AY60" s="1151"/>
      <c r="AZ60" s="1151"/>
      <c r="BA60" s="1150">
        <v>9.8872255999999989</v>
      </c>
      <c r="BB60" s="1151">
        <v>8.9536169999999995</v>
      </c>
      <c r="BC60" s="1151">
        <v>1.4377420600000002</v>
      </c>
      <c r="BD60" s="1150">
        <v>9.3678475999999993</v>
      </c>
      <c r="BE60" s="1151">
        <v>7.3847569999999996</v>
      </c>
      <c r="BF60" s="1839">
        <v>1.5082577099999999</v>
      </c>
      <c r="BG60" s="1150">
        <v>11.5895771</v>
      </c>
      <c r="BH60" s="1195">
        <v>5.0715240000000001</v>
      </c>
      <c r="BI60" s="1155">
        <v>1.59711827</v>
      </c>
      <c r="BJ60" s="1150">
        <v>15.1493716</v>
      </c>
      <c r="BK60" s="1151">
        <v>10.419129</v>
      </c>
      <c r="BL60" s="1151">
        <v>1.85084431</v>
      </c>
      <c r="BM60" s="1150"/>
      <c r="BN60" s="1151"/>
      <c r="BO60" s="1151"/>
      <c r="BP60" s="1150"/>
      <c r="BQ60" s="1151"/>
      <c r="BR60" s="1151"/>
      <c r="BS60" s="1150"/>
      <c r="BT60" s="1151"/>
      <c r="BU60" s="1151"/>
      <c r="BV60" s="1150"/>
      <c r="BW60" s="1151"/>
      <c r="BX60" s="1151"/>
      <c r="BY60" s="1150"/>
      <c r="BZ60" s="1151"/>
      <c r="CA60" s="1151"/>
      <c r="CB60" s="1150">
        <v>74.735999400000011</v>
      </c>
      <c r="CC60" s="1151">
        <v>50.395871999999997</v>
      </c>
      <c r="CD60" s="1151">
        <v>11.900253690000001</v>
      </c>
      <c r="CE60" s="1151">
        <f t="shared" si="89"/>
        <v>58.351585746000012</v>
      </c>
      <c r="CF60" s="1153">
        <f t="shared" si="80"/>
        <v>14.604270159580729</v>
      </c>
      <c r="CG60" s="1154">
        <f>CB60-CC60-CD60</f>
        <v>12.439873710000013</v>
      </c>
      <c r="CH60" s="1155">
        <f>CG60-CF60</f>
        <v>-2.1643964495807158</v>
      </c>
      <c r="CI60" s="1154">
        <f t="shared" si="81"/>
        <v>18.816374057141527</v>
      </c>
      <c r="CJ60" s="1154">
        <f>(CB60-CC60-CD60)/CB60*100</f>
        <v>16.64508912688737</v>
      </c>
      <c r="CK60" s="1154">
        <f>CJ60-CI60</f>
        <v>-2.1712849302541564</v>
      </c>
      <c r="CL60" s="1150">
        <f t="shared" si="90"/>
        <v>9.9473888342316954</v>
      </c>
      <c r="CM60" s="1157">
        <f t="shared" si="91"/>
        <v>7.9557137460000149</v>
      </c>
      <c r="CN60" s="1152">
        <f>CM60-CL60</f>
        <v>-1.9916750882316805</v>
      </c>
      <c r="CO60" s="1150">
        <f t="shared" si="82"/>
        <v>16.516219748734109</v>
      </c>
      <c r="CP60" s="1151">
        <f>(CM60/CE60)*100</f>
        <v>13.634100332132579</v>
      </c>
      <c r="CQ60" s="1152">
        <f>CP60-CO60</f>
        <v>-2.8821194166015296</v>
      </c>
      <c r="CR60" s="1173">
        <f t="shared" si="95"/>
        <v>3.6771681140682393</v>
      </c>
      <c r="CS60" s="1153">
        <f t="shared" si="96"/>
        <v>3.6111335818907007</v>
      </c>
      <c r="CT60" s="1150">
        <f t="shared" si="92"/>
        <v>36.578221039475224</v>
      </c>
      <c r="CU60" s="1151">
        <f t="shared" si="93"/>
        <v>28.729145076090116</v>
      </c>
      <c r="CV60" s="1152">
        <f>CU60-CT60</f>
        <v>-7.8490759633851077</v>
      </c>
      <c r="CW60" s="83"/>
      <c r="CX60" s="1150"/>
      <c r="CY60" s="1151"/>
      <c r="CZ60" s="1151"/>
      <c r="DA60" s="1152"/>
      <c r="DB60" s="1153"/>
      <c r="DC60" s="1154"/>
      <c r="DD60" s="1150"/>
      <c r="DE60" s="1150"/>
      <c r="DF60" s="1173"/>
      <c r="DG60" s="1150"/>
      <c r="DI60" s="1434"/>
      <c r="DJ60" s="1435"/>
      <c r="DK60" s="1435"/>
      <c r="DL60" s="1434"/>
      <c r="DM60" s="2060">
        <f t="shared" si="94"/>
        <v>-9.6794879431803977</v>
      </c>
      <c r="DN60" s="2060">
        <f t="shared" si="94"/>
        <v>-2.0253506845928433</v>
      </c>
    </row>
    <row r="61" spans="1:118" ht="12.75" customHeight="1">
      <c r="A61" s="1130"/>
      <c r="B61" s="3086"/>
      <c r="C61" s="1172" t="s">
        <v>979</v>
      </c>
      <c r="D61" s="1150">
        <v>14.290311699999998</v>
      </c>
      <c r="E61" s="1151">
        <v>8.0603840000000009</v>
      </c>
      <c r="F61" s="1151">
        <v>3.86278239</v>
      </c>
      <c r="G61" s="1150">
        <v>12.965468</v>
      </c>
      <c r="H61" s="1151">
        <v>7.7181680000000004</v>
      </c>
      <c r="I61" s="1151">
        <v>3.7246419700000004</v>
      </c>
      <c r="J61" s="1150">
        <v>3.8449740000000001</v>
      </c>
      <c r="K61" s="1151">
        <v>4.7647430000000002</v>
      </c>
      <c r="L61" s="1151">
        <v>1.3277964799999999</v>
      </c>
      <c r="M61" s="1150">
        <v>12.260460199999999</v>
      </c>
      <c r="N61" s="1151">
        <v>9.4613639999999997</v>
      </c>
      <c r="O61" s="1151">
        <v>2.3288238600000004</v>
      </c>
      <c r="P61" s="1150">
        <v>11.098459420141195</v>
      </c>
      <c r="Q61" s="1151">
        <v>10.533570425815352</v>
      </c>
      <c r="R61" s="1151">
        <v>2.5005049043474989</v>
      </c>
      <c r="S61" s="1150">
        <v>12.8501621</v>
      </c>
      <c r="T61" s="1195">
        <v>6.1640610000000002</v>
      </c>
      <c r="U61" s="1155">
        <v>2.9157621900000001</v>
      </c>
      <c r="V61" s="1150">
        <v>17.548297849999997</v>
      </c>
      <c r="W61" s="1151">
        <v>8.6881970000000006</v>
      </c>
      <c r="X61" s="1151">
        <v>3.6575715399999988</v>
      </c>
      <c r="Y61" s="1150">
        <v>18.621929790753224</v>
      </c>
      <c r="Z61" s="1151">
        <v>11.443496067559281</v>
      </c>
      <c r="AA61" s="1151">
        <v>4.2993411452994534</v>
      </c>
      <c r="AB61" s="1150"/>
      <c r="AC61" s="1151"/>
      <c r="AD61" s="1151"/>
      <c r="AE61" s="1150"/>
      <c r="AF61" s="1151"/>
      <c r="AG61" s="1151"/>
      <c r="AH61" s="1150"/>
      <c r="AI61" s="1151"/>
      <c r="AJ61" s="1151"/>
      <c r="AK61" s="1150"/>
      <c r="AL61" s="1151"/>
      <c r="AM61" s="1151"/>
      <c r="AN61" s="1150">
        <v>117.31708288240111</v>
      </c>
      <c r="AO61" s="1151">
        <v>69.028755841063287</v>
      </c>
      <c r="AP61" s="1151">
        <v>28.877706795594221</v>
      </c>
      <c r="AQ61" s="1677">
        <f t="shared" si="88"/>
        <v>81.400351113862826</v>
      </c>
      <c r="AR61" s="1150">
        <v>16.202201068511147</v>
      </c>
      <c r="AS61" s="1151">
        <v>8.5193485098900172</v>
      </c>
      <c r="AT61" s="1151">
        <v>3.6995240533963782</v>
      </c>
      <c r="AU61" s="1150">
        <v>15.901104816590998</v>
      </c>
      <c r="AV61" s="1151">
        <v>9.0348438598455729</v>
      </c>
      <c r="AW61" s="1151">
        <v>4.1754839762049665</v>
      </c>
      <c r="AX61" s="1150"/>
      <c r="AY61" s="1151"/>
      <c r="AZ61" s="1151"/>
      <c r="BA61" s="1150">
        <v>12.631504099999999</v>
      </c>
      <c r="BB61" s="1151">
        <v>9.3706720000000008</v>
      </c>
      <c r="BC61" s="1151">
        <v>2.59908202</v>
      </c>
      <c r="BD61" s="1150">
        <v>12.6271092</v>
      </c>
      <c r="BE61" s="1151">
        <v>11.407669</v>
      </c>
      <c r="BF61" s="1839">
        <v>3.1659446200000003</v>
      </c>
      <c r="BG61" s="1150">
        <v>14.496991599999999</v>
      </c>
      <c r="BH61" s="1195">
        <v>7.2835099999999997</v>
      </c>
      <c r="BI61" s="1155">
        <v>2.8451852500000001</v>
      </c>
      <c r="BJ61" s="1150">
        <v>19.128810100000003</v>
      </c>
      <c r="BK61" s="1151">
        <v>9.7565919999999995</v>
      </c>
      <c r="BL61" s="1151">
        <v>3.4518797799999996</v>
      </c>
      <c r="BM61" s="1150"/>
      <c r="BN61" s="1151"/>
      <c r="BO61" s="1151"/>
      <c r="BP61" s="1150"/>
      <c r="BQ61" s="1151"/>
      <c r="BR61" s="1151"/>
      <c r="BS61" s="1150"/>
      <c r="BT61" s="1151"/>
      <c r="BU61" s="1151"/>
      <c r="BV61" s="1150"/>
      <c r="BW61" s="1151"/>
      <c r="BX61" s="1151"/>
      <c r="BY61" s="1150"/>
      <c r="BZ61" s="1151"/>
      <c r="CA61" s="1151"/>
      <c r="CB61" s="1150">
        <v>101.68977109999999</v>
      </c>
      <c r="CC61" s="1151">
        <v>60.856712999999999</v>
      </c>
      <c r="CD61" s="1151">
        <v>23.125819439999997</v>
      </c>
      <c r="CE61" s="1151">
        <f t="shared" si="89"/>
        <v>72.462565393999981</v>
      </c>
      <c r="CF61" s="1153">
        <f t="shared" si="80"/>
        <v>19.410620245743601</v>
      </c>
      <c r="CG61" s="1154">
        <f>CB61-CC61-CD61</f>
        <v>17.707238659999991</v>
      </c>
      <c r="CH61" s="1155">
        <f>CG61-CF61</f>
        <v>-1.7033815857436103</v>
      </c>
      <c r="CI61" s="1154">
        <f t="shared" si="81"/>
        <v>16.545433767050657</v>
      </c>
      <c r="CJ61" s="1154">
        <f>(CB61-CC61-CD61)/CB61*100</f>
        <v>17.412998837992262</v>
      </c>
      <c r="CK61" s="1154">
        <f>CJ61-CI61</f>
        <v>0.8675650709416054</v>
      </c>
      <c r="CL61" s="1150">
        <f t="shared" si="90"/>
        <v>12.371595272799539</v>
      </c>
      <c r="CM61" s="1157">
        <f t="shared" si="91"/>
        <v>11.605852393999982</v>
      </c>
      <c r="CN61" s="1152">
        <f>CM61-CL61</f>
        <v>-0.76574287879955705</v>
      </c>
      <c r="CO61" s="1150">
        <f t="shared" si="82"/>
        <v>15.198454433561531</v>
      </c>
      <c r="CP61" s="1151">
        <f>(CM61/CE61)*100</f>
        <v>16.016342135964408</v>
      </c>
      <c r="CQ61" s="1152">
        <f>CP61-CO61</f>
        <v>0.81788770240287612</v>
      </c>
      <c r="CR61" s="1173">
        <f t="shared" si="95"/>
        <v>3.6771681140682393</v>
      </c>
      <c r="CS61" s="1153">
        <f t="shared" si="96"/>
        <v>3.6111335818907007</v>
      </c>
      <c r="CT61" s="1150">
        <f t="shared" si="92"/>
        <v>45.492435657295822</v>
      </c>
      <c r="CU61" s="1151">
        <f t="shared" si="93"/>
        <v>41.910283326439917</v>
      </c>
      <c r="CV61" s="1152">
        <f>CU61-CT61</f>
        <v>-3.5821523308559051</v>
      </c>
      <c r="CX61" s="1150"/>
      <c r="CY61" s="1151"/>
      <c r="CZ61" s="1151"/>
      <c r="DA61" s="1152"/>
      <c r="DB61" s="1153"/>
      <c r="DC61" s="1154"/>
      <c r="DD61" s="1150"/>
      <c r="DE61" s="1150"/>
      <c r="DF61" s="1173"/>
      <c r="DG61" s="1150"/>
      <c r="DI61" s="1434"/>
      <c r="DJ61" s="1435"/>
      <c r="DK61" s="1435"/>
      <c r="DL61" s="1434"/>
      <c r="DM61" s="2060">
        <f t="shared" si="94"/>
        <v>-11.688691878277048</v>
      </c>
      <c r="DN61" s="2060">
        <f t="shared" si="94"/>
        <v>-3.9358735918321819</v>
      </c>
    </row>
    <row r="62" spans="1:118" ht="12.75" customHeight="1">
      <c r="A62" s="1130">
        <v>2</v>
      </c>
      <c r="B62" s="3086"/>
      <c r="C62" s="1172" t="s">
        <v>980</v>
      </c>
      <c r="D62" s="1150">
        <v>4.9344960000000002</v>
      </c>
      <c r="E62" s="1151">
        <v>2.8927520000000002</v>
      </c>
      <c r="F62" s="1151">
        <v>0.81951002000000006</v>
      </c>
      <c r="G62" s="1150">
        <v>4.8213179999999998</v>
      </c>
      <c r="H62" s="1151">
        <v>4.7402480000000002</v>
      </c>
      <c r="I62" s="1151">
        <v>0.7976454300000001</v>
      </c>
      <c r="J62" s="1150">
        <v>7.038564</v>
      </c>
      <c r="K62" s="1151">
        <v>3.0515750000000001</v>
      </c>
      <c r="L62" s="1151">
        <v>1.6800522199999999</v>
      </c>
      <c r="M62" s="1150">
        <v>5.5030590000000004</v>
      </c>
      <c r="N62" s="1151">
        <v>2.9212340000000001</v>
      </c>
      <c r="O62" s="1151">
        <v>0.83416754999999942</v>
      </c>
      <c r="P62" s="1150">
        <v>4.981499552369395</v>
      </c>
      <c r="Q62" s="1151">
        <v>3.2522820250110116</v>
      </c>
      <c r="R62" s="1151">
        <v>0.89566243529578737</v>
      </c>
      <c r="S62" s="1150">
        <v>4.750928</v>
      </c>
      <c r="T62" s="1195">
        <v>2.0768499999999999</v>
      </c>
      <c r="U62" s="1155">
        <v>0.80224703000000008</v>
      </c>
      <c r="V62" s="1150">
        <v>6.6578949999999999</v>
      </c>
      <c r="W62" s="1151">
        <v>3.4988519999999999</v>
      </c>
      <c r="X62" s="1151">
        <v>0.97393688000000012</v>
      </c>
      <c r="Y62" s="1150">
        <v>7.2619517017259438</v>
      </c>
      <c r="Z62" s="1151">
        <v>5.7120327088075493</v>
      </c>
      <c r="AA62" s="1151">
        <v>1.0574652638006865</v>
      </c>
      <c r="AB62" s="1150"/>
      <c r="AC62" s="1151"/>
      <c r="AD62" s="1151"/>
      <c r="AE62" s="1150"/>
      <c r="AF62" s="1151"/>
      <c r="AG62" s="1151"/>
      <c r="AH62" s="1150"/>
      <c r="AI62" s="1151"/>
      <c r="AJ62" s="1151"/>
      <c r="AK62" s="1150"/>
      <c r="AL62" s="1151"/>
      <c r="AM62" s="1151"/>
      <c r="AN62" s="1150">
        <v>45.749876583812231</v>
      </c>
      <c r="AO62" s="1151">
        <v>34.455773732488424</v>
      </c>
      <c r="AP62" s="1151">
        <v>7.1027561671743022</v>
      </c>
      <c r="AQ62" s="1151">
        <f t="shared" si="88"/>
        <v>35.902127821609199</v>
      </c>
      <c r="AR62" s="1150">
        <v>5.5946782716967602</v>
      </c>
      <c r="AS62" s="1151">
        <v>3.0574675400925528</v>
      </c>
      <c r="AT62" s="1151">
        <v>0.78487388749573006</v>
      </c>
      <c r="AU62" s="1150">
        <v>5.4907086535452567</v>
      </c>
      <c r="AV62" s="1151">
        <v>3.2424711583537471</v>
      </c>
      <c r="AW62" s="1151">
        <v>0.88585134013966849</v>
      </c>
      <c r="AX62" s="1150"/>
      <c r="AY62" s="1151"/>
      <c r="AZ62" s="1151"/>
      <c r="BA62" s="1150">
        <v>6.6370990000000001</v>
      </c>
      <c r="BB62" s="1151">
        <v>3.4141059999999999</v>
      </c>
      <c r="BC62" s="1151">
        <v>1.5114559299999999</v>
      </c>
      <c r="BD62" s="1150">
        <v>5.8697929999999996</v>
      </c>
      <c r="BE62" s="1151">
        <v>6.642919</v>
      </c>
      <c r="BF62" s="1839">
        <v>1.15529536</v>
      </c>
      <c r="BG62" s="1150">
        <v>5.8025960000000003</v>
      </c>
      <c r="BH62" s="1195">
        <v>5.8339090000000002</v>
      </c>
      <c r="BI62" s="1155">
        <v>0.98879856999999993</v>
      </c>
      <c r="BJ62" s="1150">
        <v>7.3026720000000003</v>
      </c>
      <c r="BK62" s="1151">
        <v>4.2207559999999997</v>
      </c>
      <c r="BL62" s="1151">
        <v>1.25216007</v>
      </c>
      <c r="BM62" s="1150"/>
      <c r="BN62" s="1151"/>
      <c r="BO62" s="1151"/>
      <c r="BP62" s="1150"/>
      <c r="BQ62" s="1151"/>
      <c r="BR62" s="1151"/>
      <c r="BS62" s="1150"/>
      <c r="BT62" s="1151"/>
      <c r="BU62" s="1151"/>
      <c r="BV62" s="1150"/>
      <c r="BW62" s="1151"/>
      <c r="BX62" s="1151"/>
      <c r="BY62" s="1150"/>
      <c r="BZ62" s="1151"/>
      <c r="CA62" s="1151"/>
      <c r="CB62" s="1150">
        <v>45.061670999999997</v>
      </c>
      <c r="CC62" s="1151">
        <v>33.073019000000002</v>
      </c>
      <c r="CD62" s="1151">
        <v>9.1286427899999989</v>
      </c>
      <c r="CE62" s="1151">
        <f t="shared" si="89"/>
        <v>33.229327949999998</v>
      </c>
      <c r="CF62" s="1153">
        <f t="shared" si="80"/>
        <v>4.1913466841495044</v>
      </c>
      <c r="CG62" s="1154">
        <f t="shared" si="47"/>
        <v>2.8600092099999959</v>
      </c>
      <c r="CH62" s="1155">
        <f t="shared" si="2"/>
        <v>-1.3313374741495085</v>
      </c>
      <c r="CI62" s="1154">
        <f t="shared" si="81"/>
        <v>9.1614382313602505</v>
      </c>
      <c r="CJ62" s="1154">
        <f t="shared" si="75"/>
        <v>6.3468778377082282</v>
      </c>
      <c r="CK62" s="1154">
        <f t="shared" si="11"/>
        <v>-2.8145603936520223</v>
      </c>
      <c r="CL62" s="1150">
        <f t="shared" si="90"/>
        <v>1.4463540891207742</v>
      </c>
      <c r="CM62" s="1157">
        <f t="shared" si="91"/>
        <v>0.15630894999999612</v>
      </c>
      <c r="CN62" s="1152">
        <f t="shared" si="13"/>
        <v>-1.2900451391207781</v>
      </c>
      <c r="CO62" s="1150">
        <f t="shared" si="82"/>
        <v>4.028602695381819</v>
      </c>
      <c r="CP62" s="1151">
        <f t="shared" si="14"/>
        <v>0.47039455698650717</v>
      </c>
      <c r="CQ62" s="1152">
        <f t="shared" si="6"/>
        <v>-3.5582081383953117</v>
      </c>
      <c r="CR62" s="1173">
        <f t="shared" si="95"/>
        <v>3.6771681140682393</v>
      </c>
      <c r="CS62" s="1153">
        <f t="shared" si="96"/>
        <v>3.6111335818907007</v>
      </c>
      <c r="CT62" s="1150">
        <f t="shared" si="92"/>
        <v>5.3184871381671233</v>
      </c>
      <c r="CU62" s="1151">
        <f t="shared" si="93"/>
        <v>0.56445249849506041</v>
      </c>
      <c r="CV62" s="1152">
        <f t="shared" si="7"/>
        <v>-4.7540346396720627</v>
      </c>
      <c r="CX62" s="1150"/>
      <c r="CY62" s="1151"/>
      <c r="CZ62" s="1151"/>
      <c r="DA62" s="1152"/>
      <c r="DB62" s="1153"/>
      <c r="DC62" s="1154"/>
      <c r="DD62" s="1150"/>
      <c r="DE62" s="1150"/>
      <c r="DF62" s="1173"/>
      <c r="DG62" s="1150"/>
      <c r="DI62" s="1434"/>
      <c r="DJ62" s="1435"/>
      <c r="DK62" s="1435"/>
      <c r="DL62" s="1434"/>
      <c r="DM62" s="2060">
        <f t="shared" si="94"/>
        <v>-6.3523037889904197</v>
      </c>
      <c r="DN62" s="2060">
        <f t="shared" si="94"/>
        <v>-1.5536393933909505</v>
      </c>
    </row>
    <row r="63" spans="1:118" ht="12.75" customHeight="1">
      <c r="A63" s="1130">
        <v>2</v>
      </c>
      <c r="B63" s="3086"/>
      <c r="C63" s="1172" t="s">
        <v>981</v>
      </c>
      <c r="D63" s="1150">
        <v>5.3706849999999999</v>
      </c>
      <c r="E63" s="1151">
        <v>2.2282860000000002</v>
      </c>
      <c r="F63" s="1151">
        <v>1.6513176200000002</v>
      </c>
      <c r="G63" s="1150">
        <v>5.7763499999999999</v>
      </c>
      <c r="H63" s="1151">
        <v>4.4292389999999999</v>
      </c>
      <c r="I63" s="1151">
        <v>1.5996768700000001</v>
      </c>
      <c r="J63" s="1150">
        <v>3.5659450000000001</v>
      </c>
      <c r="K63" s="1151">
        <v>2.9152819999999999</v>
      </c>
      <c r="L63" s="1151">
        <v>1.0057221700000001</v>
      </c>
      <c r="M63" s="1150">
        <v>8.1866044285714281</v>
      </c>
      <c r="N63" s="1151">
        <v>2.3489089999999999</v>
      </c>
      <c r="O63" s="1151">
        <v>2.2613390799999999</v>
      </c>
      <c r="P63" s="1150">
        <v>7.4107085343540522</v>
      </c>
      <c r="Q63" s="1151">
        <v>2.6150984546553233</v>
      </c>
      <c r="R63" s="1151">
        <v>2.428045142036916</v>
      </c>
      <c r="S63" s="1150">
        <v>7.4979279999999999</v>
      </c>
      <c r="T63" s="1195">
        <v>4.2649609999999996</v>
      </c>
      <c r="U63" s="1155">
        <v>1.94248993</v>
      </c>
      <c r="V63" s="1150">
        <v>11.305442142857144</v>
      </c>
      <c r="W63" s="1151">
        <v>5.777158</v>
      </c>
      <c r="X63" s="1151">
        <v>2.5451967299999998</v>
      </c>
      <c r="Y63" s="1150">
        <v>9.8959895004070066</v>
      </c>
      <c r="Z63" s="1151">
        <v>5.6206648910196852</v>
      </c>
      <c r="AA63" s="1151">
        <v>2.5229926881166937</v>
      </c>
      <c r="AB63" s="1150"/>
      <c r="AC63" s="1151"/>
      <c r="AD63" s="1151"/>
      <c r="AE63" s="1150"/>
      <c r="AF63" s="1151"/>
      <c r="AG63" s="1151"/>
      <c r="AH63" s="1150"/>
      <c r="AI63" s="1151"/>
      <c r="AJ63" s="1151"/>
      <c r="AK63" s="1150"/>
      <c r="AL63" s="1151"/>
      <c r="AM63" s="1151"/>
      <c r="AN63" s="1150">
        <v>62.344162687107882</v>
      </c>
      <c r="AO63" s="1151">
        <v>33.904630380092065</v>
      </c>
      <c r="AP63" s="1151">
        <v>16.94637402163799</v>
      </c>
      <c r="AQ63" s="1151">
        <f t="shared" si="88"/>
        <v>41.657138904243425</v>
      </c>
      <c r="AR63" s="1150">
        <v>6.0892246490072566</v>
      </c>
      <c r="AS63" s="1151">
        <v>2.3551663312453588</v>
      </c>
      <c r="AT63" s="1151">
        <v>1.5815256046528836</v>
      </c>
      <c r="AU63" s="1150">
        <v>5.9760645474159269</v>
      </c>
      <c r="AV63" s="1151">
        <v>2.4976745630332076</v>
      </c>
      <c r="AW63" s="1151">
        <v>1.7849957791525817</v>
      </c>
      <c r="AX63" s="1150"/>
      <c r="AY63" s="1151"/>
      <c r="AZ63" s="1151"/>
      <c r="BA63" s="1150">
        <v>10.2902726</v>
      </c>
      <c r="BB63" s="1151">
        <v>3.7810860000000002</v>
      </c>
      <c r="BC63" s="1151">
        <v>2.8987233300000002</v>
      </c>
      <c r="BD63" s="1150">
        <v>9.8541425999999994</v>
      </c>
      <c r="BE63" s="1151">
        <v>9.0651159999999997</v>
      </c>
      <c r="BF63" s="1839">
        <v>3.00519143</v>
      </c>
      <c r="BG63" s="1150">
        <v>10.009498599999999</v>
      </c>
      <c r="BH63" s="1195">
        <v>5.5885749999999996</v>
      </c>
      <c r="BI63" s="1155">
        <v>2.9589080399999999</v>
      </c>
      <c r="BJ63" s="1150">
        <v>13.325907599999999</v>
      </c>
      <c r="BK63" s="1151">
        <v>3.487762</v>
      </c>
      <c r="BL63" s="1151">
        <v>3.3590072499999999</v>
      </c>
      <c r="BM63" s="1150"/>
      <c r="BN63" s="1151"/>
      <c r="BO63" s="1151"/>
      <c r="BP63" s="1150"/>
      <c r="BQ63" s="1151"/>
      <c r="BR63" s="1151"/>
      <c r="BS63" s="1150"/>
      <c r="BT63" s="1151"/>
      <c r="BU63" s="1151"/>
      <c r="BV63" s="1150"/>
      <c r="BW63" s="1151"/>
      <c r="BX63" s="1151"/>
      <c r="BY63" s="1150"/>
      <c r="BZ63" s="1151"/>
      <c r="CA63" s="1151"/>
      <c r="CB63" s="1150">
        <v>66.365665399999997</v>
      </c>
      <c r="CC63" s="1151">
        <v>34.577168</v>
      </c>
      <c r="CD63" s="1151">
        <v>18.254000019999999</v>
      </c>
      <c r="CE63" s="1151">
        <f t="shared" si="89"/>
        <v>44.129725455999996</v>
      </c>
      <c r="CF63" s="1153">
        <f t="shared" si="80"/>
        <v>11.493158285377827</v>
      </c>
      <c r="CG63" s="1154">
        <f t="shared" si="47"/>
        <v>13.534497379999998</v>
      </c>
      <c r="CH63" s="1155">
        <f t="shared" si="2"/>
        <v>2.0413390946221703</v>
      </c>
      <c r="CI63" s="1154">
        <f t="shared" si="81"/>
        <v>18.435019077984172</v>
      </c>
      <c r="CJ63" s="1154">
        <f t="shared" si="75"/>
        <v>20.393824575440782</v>
      </c>
      <c r="CK63" s="1154">
        <f t="shared" si="11"/>
        <v>1.9588054974566091</v>
      </c>
      <c r="CL63" s="1150">
        <f t="shared" si="90"/>
        <v>7.7525085241513594</v>
      </c>
      <c r="CM63" s="1157">
        <f t="shared" si="91"/>
        <v>9.5525574559999953</v>
      </c>
      <c r="CN63" s="1152">
        <f t="shared" si="13"/>
        <v>1.8000489318486359</v>
      </c>
      <c r="CO63" s="1150">
        <f t="shared" si="82"/>
        <v>18.610276000884081</v>
      </c>
      <c r="CP63" s="1151">
        <f t="shared" si="14"/>
        <v>21.646537242848865</v>
      </c>
      <c r="CQ63" s="1152">
        <f t="shared" si="6"/>
        <v>3.0362612419647839</v>
      </c>
      <c r="CR63" s="1173">
        <f t="shared" si="95"/>
        <v>3.6771681140682393</v>
      </c>
      <c r="CS63" s="1153">
        <f t="shared" si="96"/>
        <v>3.6111335818907007</v>
      </c>
      <c r="CT63" s="1150">
        <f t="shared" si="92"/>
        <v>28.507277149051603</v>
      </c>
      <c r="CU63" s="1151">
        <f t="shared" si="93"/>
        <v>34.495561022301985</v>
      </c>
      <c r="CV63" s="1152">
        <f t="shared" si="7"/>
        <v>5.9882838732503814</v>
      </c>
      <c r="CX63" s="1150"/>
      <c r="CY63" s="1151"/>
      <c r="CZ63" s="1151"/>
      <c r="DA63" s="1152"/>
      <c r="DB63" s="1153"/>
      <c r="DC63" s="1154"/>
      <c r="DD63" s="1150"/>
      <c r="DE63" s="1150"/>
      <c r="DF63" s="1173"/>
      <c r="DG63" s="1150"/>
      <c r="DI63" s="1434"/>
      <c r="DJ63" s="1435"/>
      <c r="DK63" s="1435"/>
      <c r="DL63" s="1434"/>
      <c r="DM63" s="2060">
        <f t="shared" si="94"/>
        <v>-6.6412042789005223</v>
      </c>
      <c r="DN63" s="2060">
        <f t="shared" si="94"/>
        <v>-3.1067196044847316</v>
      </c>
    </row>
    <row r="64" spans="1:118" ht="12.75" customHeight="1">
      <c r="A64" s="1130"/>
      <c r="B64" s="3086"/>
      <c r="C64" s="1172" t="s">
        <v>756</v>
      </c>
      <c r="D64" s="1150">
        <v>8.3476811111111111</v>
      </c>
      <c r="E64" s="1151">
        <v>5.3760960000000004</v>
      </c>
      <c r="F64" s="1151">
        <v>3.6005348100000001</v>
      </c>
      <c r="G64" s="1150">
        <v>9.4879899999999999</v>
      </c>
      <c r="H64" s="1151">
        <v>5.3952780000000002</v>
      </c>
      <c r="I64" s="1151">
        <v>3.3278737899999999</v>
      </c>
      <c r="J64" s="1150">
        <v>8.671527444444445</v>
      </c>
      <c r="K64" s="1151">
        <v>7.8624919999999996</v>
      </c>
      <c r="L64" s="1151">
        <v>1.07566031</v>
      </c>
      <c r="M64" s="1150">
        <v>14.020043444444443</v>
      </c>
      <c r="N64" s="1151">
        <v>8.170757</v>
      </c>
      <c r="O64" s="1151">
        <v>3.6025289800000015</v>
      </c>
      <c r="P64" s="1150">
        <v>12.691275914486738</v>
      </c>
      <c r="Q64" s="1151">
        <v>9.0967057489516066</v>
      </c>
      <c r="R64" s="1151">
        <v>3.8681076474989373</v>
      </c>
      <c r="S64" s="1150">
        <v>9.546847636363637</v>
      </c>
      <c r="T64" s="1195">
        <v>4.1365749999999997</v>
      </c>
      <c r="U64" s="1155">
        <v>3.461786</v>
      </c>
      <c r="V64" s="1150">
        <v>12.200279954285774</v>
      </c>
      <c r="W64" s="1151">
        <v>7.3310269999999997</v>
      </c>
      <c r="X64" s="1151">
        <v>3.9439012199999994</v>
      </c>
      <c r="Y64" s="1150">
        <v>15.870988946685246</v>
      </c>
      <c r="Z64" s="1151">
        <v>8.129080407719913</v>
      </c>
      <c r="AA64" s="1151">
        <v>4.6950874751407303</v>
      </c>
      <c r="AB64" s="1150"/>
      <c r="AC64" s="1151"/>
      <c r="AD64" s="1151"/>
      <c r="AE64" s="1150"/>
      <c r="AF64" s="1151"/>
      <c r="AG64" s="1151"/>
      <c r="AH64" s="1150"/>
      <c r="AI64" s="1151"/>
      <c r="AJ64" s="1151"/>
      <c r="AK64" s="1150"/>
      <c r="AL64" s="1151"/>
      <c r="AM64" s="1151"/>
      <c r="AN64" s="1150">
        <v>99.986314340444778</v>
      </c>
      <c r="AO64" s="1151">
        <v>49.035740770482178</v>
      </c>
      <c r="AP64" s="1151">
        <v>31.535845820240738</v>
      </c>
      <c r="AQ64" s="1151">
        <f t="shared" si="88"/>
        <v>62.451289659777359</v>
      </c>
      <c r="AR64" s="1150">
        <v>9.4645106878973646</v>
      </c>
      <c r="AS64" s="1151">
        <v>5.6822150714687654</v>
      </c>
      <c r="AT64" s="1151">
        <v>3.4483602206455015</v>
      </c>
      <c r="AU64" s="1150">
        <v>9.28862540648813</v>
      </c>
      <c r="AV64" s="1151">
        <v>6.0260389499483358</v>
      </c>
      <c r="AW64" s="1151">
        <v>3.8920068197067637</v>
      </c>
      <c r="AX64" s="1150"/>
      <c r="AY64" s="1151"/>
      <c r="AZ64" s="1151"/>
      <c r="BA64" s="1150">
        <v>14.600702111111111</v>
      </c>
      <c r="BB64" s="1151">
        <v>10.646882</v>
      </c>
      <c r="BC64" s="1151">
        <v>3.8730210699999996</v>
      </c>
      <c r="BD64" s="1150">
        <v>13.282321444444444</v>
      </c>
      <c r="BE64" s="1151">
        <v>8.9702509999999993</v>
      </c>
      <c r="BF64" s="1839">
        <v>4.5635712800000006</v>
      </c>
      <c r="BG64" s="1150">
        <v>10.911164666666666</v>
      </c>
      <c r="BH64" s="1195">
        <v>5.2712029999999999</v>
      </c>
      <c r="BI64" s="1155">
        <v>3.6229005099999996</v>
      </c>
      <c r="BJ64" s="1150">
        <v>14.091517666666666</v>
      </c>
      <c r="BK64" s="1151">
        <v>8.2391880000000004</v>
      </c>
      <c r="BL64" s="1151">
        <v>4.2556641100000006</v>
      </c>
      <c r="BM64" s="1150"/>
      <c r="BN64" s="1151"/>
      <c r="BO64" s="1151"/>
      <c r="BP64" s="1150"/>
      <c r="BQ64" s="1151"/>
      <c r="BR64" s="1151"/>
      <c r="BS64" s="1150"/>
      <c r="BT64" s="1151"/>
      <c r="BU64" s="1151"/>
      <c r="BV64" s="1150"/>
      <c r="BW64" s="1151"/>
      <c r="BX64" s="1151"/>
      <c r="BY64" s="1150"/>
      <c r="BZ64" s="1151"/>
      <c r="CA64" s="1151"/>
      <c r="CB64" s="1150">
        <v>90.716856555555552</v>
      </c>
      <c r="CC64" s="1151">
        <v>51.014409000000001</v>
      </c>
      <c r="CD64" s="1151">
        <v>27.745940700000002</v>
      </c>
      <c r="CE64" s="1151">
        <f t="shared" si="89"/>
        <v>57.52790446222221</v>
      </c>
      <c r="CF64" s="1153">
        <f t="shared" si="80"/>
        <v>19.414727749721862</v>
      </c>
      <c r="CG64" s="1154">
        <f>CB64-CC64-CD64</f>
        <v>11.956506855555549</v>
      </c>
      <c r="CH64" s="1155">
        <f>CG64-CF64</f>
        <v>-7.4582208941663133</v>
      </c>
      <c r="CI64" s="1154">
        <f t="shared" si="81"/>
        <v>19.417385146947598</v>
      </c>
      <c r="CJ64" s="1154">
        <f>(CB64-CC64-CD64)/CB64*100</f>
        <v>13.180027736337305</v>
      </c>
      <c r="CK64" s="1154">
        <f>CJ64-CI64</f>
        <v>-6.2373574106102936</v>
      </c>
      <c r="CL64" s="1150">
        <f t="shared" si="90"/>
        <v>13.415548889295181</v>
      </c>
      <c r="CM64" s="1157">
        <f>CE64-CC64</f>
        <v>6.5134954622222097</v>
      </c>
      <c r="CN64" s="1152">
        <f>CM64-CL64</f>
        <v>-6.9020534270729712</v>
      </c>
      <c r="CO64" s="1150">
        <f t="shared" si="82"/>
        <v>21.481620255371052</v>
      </c>
      <c r="CP64" s="1151">
        <f>(CM64/CE64)*100</f>
        <v>11.32232352822713</v>
      </c>
      <c r="CQ64" s="1152">
        <f>CP64-CO64</f>
        <v>-10.159296727143921</v>
      </c>
      <c r="CR64" s="1173">
        <f t="shared" si="95"/>
        <v>3.6771681140682393</v>
      </c>
      <c r="CS64" s="1153">
        <f t="shared" si="96"/>
        <v>3.6111335818907007</v>
      </c>
      <c r="CT64" s="1150">
        <f t="shared" si="92"/>
        <v>49.331228608439822</v>
      </c>
      <c r="CU64" s="1151">
        <f t="shared" si="93"/>
        <v>23.521102199123312</v>
      </c>
      <c r="CV64" s="1152">
        <f>CU64-CT64</f>
        <v>-25.81012640931651</v>
      </c>
      <c r="CX64" s="1150"/>
      <c r="CY64" s="1195"/>
      <c r="CZ64" s="1195"/>
      <c r="DA64" s="1154"/>
      <c r="DB64" s="1153"/>
      <c r="DC64" s="1154"/>
      <c r="DD64" s="1150"/>
      <c r="DE64" s="1150"/>
      <c r="DF64" s="1173"/>
      <c r="DG64" s="1150"/>
      <c r="DI64" s="1434"/>
      <c r="DJ64" s="1435"/>
      <c r="DK64" s="1435"/>
      <c r="DL64" s="1434"/>
      <c r="DM64" s="2060">
        <f t="shared" si="94"/>
        <v>-9.7982897655580494</v>
      </c>
      <c r="DN64" s="2060">
        <f t="shared" si="94"/>
        <v>-4.72219008563148</v>
      </c>
    </row>
    <row r="65" spans="1:118" ht="12.75" customHeight="1">
      <c r="A65" s="1130"/>
      <c r="B65" s="3086"/>
      <c r="C65" s="1172" t="s">
        <v>982</v>
      </c>
      <c r="D65" s="1150">
        <v>10.903582099999999</v>
      </c>
      <c r="E65" s="1151">
        <v>6.6134370000000002</v>
      </c>
      <c r="F65" s="1151">
        <v>2.4477652200000004</v>
      </c>
      <c r="G65" s="1150">
        <v>10.453071250000001</v>
      </c>
      <c r="H65" s="1151">
        <v>4.1835019999999998</v>
      </c>
      <c r="I65" s="1151">
        <v>2.1957621299999999</v>
      </c>
      <c r="J65" s="1150">
        <v>1.163548</v>
      </c>
      <c r="K65" s="1151">
        <v>1.673967</v>
      </c>
      <c r="L65" s="1151">
        <v>0.28609205999999998</v>
      </c>
      <c r="M65" s="1150">
        <v>10.800849099999999</v>
      </c>
      <c r="N65" s="1151">
        <v>7.5278939999999999</v>
      </c>
      <c r="O65" s="1151">
        <v>1.2489565299999998</v>
      </c>
      <c r="P65" s="1150">
        <v>9.7771848269952013</v>
      </c>
      <c r="Q65" s="1151">
        <v>8.3809904794988146</v>
      </c>
      <c r="R65" s="1151">
        <v>1.3410296855090764</v>
      </c>
      <c r="S65" s="1150">
        <v>10.607749966666667</v>
      </c>
      <c r="T65" s="1195">
        <v>6.4386599999999996</v>
      </c>
      <c r="U65" s="1155">
        <v>1.6059715400000001</v>
      </c>
      <c r="V65" s="1150">
        <v>15.92529375</v>
      </c>
      <c r="W65" s="1151">
        <v>7.2010779999999999</v>
      </c>
      <c r="X65" s="1151">
        <v>2.0253079800000005</v>
      </c>
      <c r="Y65" s="1150">
        <v>15.526523397419853</v>
      </c>
      <c r="Z65" s="1151">
        <v>8.8603763745460409</v>
      </c>
      <c r="AA65" s="1151">
        <v>2.4239976659905005</v>
      </c>
      <c r="AB65" s="1150"/>
      <c r="AC65" s="1151"/>
      <c r="AD65" s="1151"/>
      <c r="AE65" s="1150"/>
      <c r="AF65" s="1151"/>
      <c r="AG65" s="1151"/>
      <c r="AH65" s="1150"/>
      <c r="AI65" s="1151"/>
      <c r="AJ65" s="1151"/>
      <c r="AK65" s="1150"/>
      <c r="AL65" s="1151"/>
      <c r="AM65" s="1151"/>
      <c r="AN65" s="1150">
        <v>97.816201261543227</v>
      </c>
      <c r="AO65" s="1151">
        <v>53.447019495407872</v>
      </c>
      <c r="AP65" s="1151">
        <v>16.281446739394038</v>
      </c>
      <c r="AQ65" s="1151">
        <f t="shared" si="88"/>
        <v>75.665782446456589</v>
      </c>
      <c r="AR65" s="1150">
        <v>12.36236362508587</v>
      </c>
      <c r="AS65" s="1151">
        <v>6.9900112266613492</v>
      </c>
      <c r="AT65" s="1151">
        <v>2.3443117924271886</v>
      </c>
      <c r="AU65" s="1150">
        <v>12.132625619943992</v>
      </c>
      <c r="AV65" s="1151">
        <v>7.4129682496423914</v>
      </c>
      <c r="AW65" s="1151">
        <v>2.6459177405595002</v>
      </c>
      <c r="AX65" s="1150"/>
      <c r="AY65" s="1151"/>
      <c r="AZ65" s="1151"/>
      <c r="BA65" s="1150">
        <v>11.748940728571428</v>
      </c>
      <c r="BB65" s="1151">
        <v>7.5571120000000001</v>
      </c>
      <c r="BC65" s="1151">
        <v>1.62742385</v>
      </c>
      <c r="BD65" s="1150">
        <v>11.239077635714285</v>
      </c>
      <c r="BE65" s="1151">
        <v>6.0479419999999999</v>
      </c>
      <c r="BF65" s="1839">
        <v>1.95256155</v>
      </c>
      <c r="BG65" s="1150">
        <v>12.437924478571428</v>
      </c>
      <c r="BH65" s="1195">
        <v>7.460127</v>
      </c>
      <c r="BI65" s="1155">
        <v>1.73879842</v>
      </c>
      <c r="BJ65" s="1150">
        <v>16.864484280328572</v>
      </c>
      <c r="BK65" s="1151">
        <v>8.2188929999999996</v>
      </c>
      <c r="BL65" s="1151">
        <v>2.28021056</v>
      </c>
      <c r="BM65" s="1150"/>
      <c r="BN65" s="1151"/>
      <c r="BO65" s="1151"/>
      <c r="BP65" s="1150"/>
      <c r="BQ65" s="1151"/>
      <c r="BR65" s="1151"/>
      <c r="BS65" s="1150"/>
      <c r="BT65" s="1151"/>
      <c r="BU65" s="1151"/>
      <c r="BV65" s="1150"/>
      <c r="BW65" s="1151"/>
      <c r="BX65" s="1151"/>
      <c r="BY65" s="1150"/>
      <c r="BZ65" s="1151"/>
      <c r="CA65" s="1151"/>
      <c r="CB65" s="1150">
        <v>86.620525601757151</v>
      </c>
      <c r="CC65" s="1151">
        <v>51.042285999999997</v>
      </c>
      <c r="CD65" s="1151">
        <v>13.55294132</v>
      </c>
      <c r="CE65" s="1151">
        <f t="shared" si="89"/>
        <v>67.870352745651715</v>
      </c>
      <c r="CF65" s="1153">
        <f t="shared" si="80"/>
        <v>28.087735026741317</v>
      </c>
      <c r="CG65" s="1154">
        <f>CB65-CC65-CD65</f>
        <v>22.025298281757152</v>
      </c>
      <c r="CH65" s="1155">
        <f>CG65-CF65</f>
        <v>-6.062436744984165</v>
      </c>
      <c r="CI65" s="1154">
        <f t="shared" si="81"/>
        <v>28.714808655919565</v>
      </c>
      <c r="CJ65" s="1154">
        <f>(CB65-CC65-CD65)/CB65*100</f>
        <v>25.427343148458515</v>
      </c>
      <c r="CK65" s="1154">
        <f>CJ65-CI65</f>
        <v>-3.2874655074610502</v>
      </c>
      <c r="CL65" s="1150">
        <f t="shared" si="90"/>
        <v>22.218762951048717</v>
      </c>
      <c r="CM65" s="1157">
        <f>CE65-CC65</f>
        <v>16.828066745651718</v>
      </c>
      <c r="CN65" s="1152">
        <f>CM65-CL65</f>
        <v>-5.3906962053969991</v>
      </c>
      <c r="CO65" s="1150">
        <f t="shared" si="82"/>
        <v>29.364347043885246</v>
      </c>
      <c r="CP65" s="1151">
        <f>(CM65/CE65)*100</f>
        <v>24.794429474554118</v>
      </c>
      <c r="CQ65" s="1152">
        <f>CP65-CO65</f>
        <v>-4.5699175693311282</v>
      </c>
      <c r="CR65" s="1173">
        <f t="shared" si="95"/>
        <v>3.6771681140682393</v>
      </c>
      <c r="CS65" s="1153">
        <f t="shared" si="96"/>
        <v>3.6111335818907007</v>
      </c>
      <c r="CT65" s="1150">
        <f t="shared" si="92"/>
        <v>81.702126657637081</v>
      </c>
      <c r="CU65" s="1151">
        <f t="shared" si="93"/>
        <v>60.768396943521076</v>
      </c>
      <c r="CV65" s="1152">
        <f>CU65-CT65</f>
        <v>-20.933729714116005</v>
      </c>
      <c r="CX65" s="1150"/>
      <c r="CY65" s="1195"/>
      <c r="CZ65" s="1195"/>
      <c r="DA65" s="1154"/>
      <c r="DB65" s="1153"/>
      <c r="DC65" s="1154"/>
      <c r="DD65" s="1150"/>
      <c r="DE65" s="1150"/>
      <c r="DF65" s="1173"/>
      <c r="DG65" s="1150"/>
      <c r="DI65" s="1434"/>
      <c r="DJ65" s="1435"/>
      <c r="DK65" s="1435"/>
      <c r="DL65" s="1434"/>
      <c r="DM65" s="2060">
        <f t="shared" si="94"/>
        <v>-9.8036440748433815</v>
      </c>
      <c r="DN65" s="2060">
        <f t="shared" si="94"/>
        <v>-2.3066280514485933</v>
      </c>
    </row>
    <row r="66" spans="1:118" ht="12.75" customHeight="1">
      <c r="A66" s="1130"/>
      <c r="B66" s="3086"/>
      <c r="C66" s="1172" t="s">
        <v>983</v>
      </c>
      <c r="D66" s="1150">
        <v>6.8628790000000004</v>
      </c>
      <c r="E66" s="1151">
        <v>2.9772129999999999</v>
      </c>
      <c r="F66" s="1151">
        <v>1.96562127</v>
      </c>
      <c r="G66" s="1150">
        <v>7.0790709999999999</v>
      </c>
      <c r="H66" s="1151">
        <v>4.7300389999999997</v>
      </c>
      <c r="I66" s="1151">
        <v>1.87586283</v>
      </c>
      <c r="J66" s="1150">
        <v>8.1412575555555531</v>
      </c>
      <c r="K66" s="1151">
        <v>3.1640450000000002</v>
      </c>
      <c r="L66" s="1151">
        <v>3.2862839700000004</v>
      </c>
      <c r="M66" s="1150">
        <v>10.873379999999999</v>
      </c>
      <c r="N66" s="1151">
        <v>3.4271720000000001</v>
      </c>
      <c r="O66" s="1151">
        <v>2.6575328800000002</v>
      </c>
      <c r="P66" s="1150">
        <v>9.8428415182796201</v>
      </c>
      <c r="Q66" s="1151">
        <v>3.8155553071821835</v>
      </c>
      <c r="R66" s="1151">
        <v>2.8534463743877705</v>
      </c>
      <c r="S66" s="1150">
        <v>7.4384969999999999</v>
      </c>
      <c r="T66" s="1195">
        <v>6.5034640000000001</v>
      </c>
      <c r="U66" s="1155">
        <v>2.73323925</v>
      </c>
      <c r="V66" s="1150">
        <v>12.643869</v>
      </c>
      <c r="W66" s="1151">
        <v>4.0046730000000004</v>
      </c>
      <c r="X66" s="1151">
        <v>4.0744344800000007</v>
      </c>
      <c r="Y66" s="1150">
        <v>11.82496693337575</v>
      </c>
      <c r="Z66" s="1151">
        <v>7.0459314418401995</v>
      </c>
      <c r="AA66" s="1151">
        <v>3.0329692100495698</v>
      </c>
      <c r="AB66" s="1150"/>
      <c r="AC66" s="1151"/>
      <c r="AD66" s="1151"/>
      <c r="AE66" s="1150"/>
      <c r="AF66" s="1151"/>
      <c r="AG66" s="1151"/>
      <c r="AH66" s="1150"/>
      <c r="AI66" s="1151"/>
      <c r="AJ66" s="1151"/>
      <c r="AK66" s="1150"/>
      <c r="AL66" s="1151"/>
      <c r="AM66" s="1151"/>
      <c r="AN66" s="1150">
        <v>74.496609180287464</v>
      </c>
      <c r="AO66" s="1151">
        <v>42.502035942534619</v>
      </c>
      <c r="AP66" s="1151">
        <v>20.371771536118963</v>
      </c>
      <c r="AQ66" s="1151">
        <f t="shared" si="88"/>
        <v>49.655041093351251</v>
      </c>
      <c r="AR66" s="1150">
        <v>7.7810580903468125</v>
      </c>
      <c r="AS66" s="1151">
        <v>3.1467378148702578</v>
      </c>
      <c r="AT66" s="1151">
        <v>1.8825453867290041</v>
      </c>
      <c r="AU66" s="1150">
        <v>7.6364575254563007</v>
      </c>
      <c r="AV66" s="1151">
        <v>3.3371430681841487</v>
      </c>
      <c r="AW66" s="1151">
        <v>2.1247430705441976</v>
      </c>
      <c r="AX66" s="1150"/>
      <c r="AY66" s="1151"/>
      <c r="AZ66" s="1151"/>
      <c r="BA66" s="1150">
        <v>12.011255833333333</v>
      </c>
      <c r="BB66" s="1151">
        <v>3.8020209999999999</v>
      </c>
      <c r="BC66" s="1151">
        <v>2.9752676600000001</v>
      </c>
      <c r="BD66" s="1150">
        <v>10.656188166666666</v>
      </c>
      <c r="BE66" s="1151">
        <v>8.2840159999999994</v>
      </c>
      <c r="BF66" s="1839">
        <v>3.57010155</v>
      </c>
      <c r="BG66" s="1150">
        <v>10.645858166666667</v>
      </c>
      <c r="BH66" s="1195">
        <v>7.3529260000000001</v>
      </c>
      <c r="BI66" s="1155">
        <v>3.6097387599999999</v>
      </c>
      <c r="BJ66" s="1150">
        <v>13.574135333333334</v>
      </c>
      <c r="BK66" s="1151">
        <v>4.7961939999999998</v>
      </c>
      <c r="BL66" s="1151">
        <v>4.45289979</v>
      </c>
      <c r="BM66" s="1150"/>
      <c r="BN66" s="1151"/>
      <c r="BO66" s="1151"/>
      <c r="BP66" s="1150"/>
      <c r="BQ66" s="1151"/>
      <c r="BR66" s="1151"/>
      <c r="BS66" s="1150"/>
      <c r="BT66" s="1151"/>
      <c r="BU66" s="1151"/>
      <c r="BV66" s="1150"/>
      <c r="BW66" s="1151"/>
      <c r="BX66" s="1151"/>
      <c r="BY66" s="1150"/>
      <c r="BZ66" s="1151"/>
      <c r="CA66" s="1151"/>
      <c r="CB66" s="1150">
        <v>71.772897499999999</v>
      </c>
      <c r="CC66" s="1151">
        <v>39.556050999999997</v>
      </c>
      <c r="CD66" s="1151">
        <v>21.203520490000002</v>
      </c>
      <c r="CE66" s="1151">
        <f t="shared" si="89"/>
        <v>46.263003159999997</v>
      </c>
      <c r="CF66" s="1153">
        <f t="shared" si="80"/>
        <v>11.622801701633882</v>
      </c>
      <c r="CG66" s="1154">
        <f>CB66-CC66-CD66</f>
        <v>11.01332601</v>
      </c>
      <c r="CH66" s="1155">
        <f>CG66-CF66</f>
        <v>-0.60947569163388238</v>
      </c>
      <c r="CI66" s="1154">
        <f t="shared" si="81"/>
        <v>15.601786214867602</v>
      </c>
      <c r="CJ66" s="1154">
        <f>(CB66-CC66-CD66)/CB66*100</f>
        <v>15.34468635601621</v>
      </c>
      <c r="CK66" s="1154">
        <f>CJ66-CI66</f>
        <v>-0.25709985885139197</v>
      </c>
      <c r="CL66" s="1150">
        <f t="shared" si="90"/>
        <v>7.1530051508166324</v>
      </c>
      <c r="CM66" s="1157">
        <f>CE66-CC66</f>
        <v>6.7069521600000002</v>
      </c>
      <c r="CN66" s="1152">
        <f>CM66-CL66</f>
        <v>-0.44605299081663219</v>
      </c>
      <c r="CO66" s="1150">
        <f t="shared" si="82"/>
        <v>14.405395692592451</v>
      </c>
      <c r="CP66" s="1151">
        <f>(CM66/CE66)*100</f>
        <v>14.49744223651909</v>
      </c>
      <c r="CQ66" s="1152">
        <f>CP66-CO66</f>
        <v>9.2046543926638691E-2</v>
      </c>
      <c r="CR66" s="1173">
        <f t="shared" si="95"/>
        <v>3.6771681140682393</v>
      </c>
      <c r="CS66" s="1153">
        <f t="shared" si="96"/>
        <v>3.6111335818907007</v>
      </c>
      <c r="CT66" s="1150">
        <f t="shared" si="92"/>
        <v>26.302802460348797</v>
      </c>
      <c r="CU66" s="1151">
        <f t="shared" si="93"/>
        <v>24.219700177110372</v>
      </c>
      <c r="CV66" s="1152">
        <f>CU66-CT66</f>
        <v>-2.0831022832384249</v>
      </c>
      <c r="CX66" s="1150"/>
      <c r="CY66" s="1195"/>
      <c r="CZ66" s="1195"/>
      <c r="DA66" s="1154"/>
      <c r="DB66" s="1153"/>
      <c r="DC66" s="1154"/>
      <c r="DD66" s="1150"/>
      <c r="DE66" s="1150"/>
      <c r="DF66" s="1173"/>
      <c r="DG66" s="1150"/>
      <c r="DI66" s="1434"/>
      <c r="DJ66" s="1435"/>
      <c r="DK66" s="1435"/>
      <c r="DL66" s="1434"/>
      <c r="DM66" s="2060">
        <f t="shared" si="94"/>
        <v>-7.5974936743693773</v>
      </c>
      <c r="DN66" s="2060">
        <f t="shared" si="94"/>
        <v>-3.6087100207188847</v>
      </c>
    </row>
    <row r="67" spans="1:118" ht="12.75" customHeight="1">
      <c r="A67" s="1130"/>
      <c r="B67" s="3086"/>
      <c r="C67" s="1172" t="s">
        <v>755</v>
      </c>
      <c r="D67" s="1150">
        <v>1.4610985000000001</v>
      </c>
      <c r="E67" s="1151">
        <v>0.83007200000000003</v>
      </c>
      <c r="F67" s="1151">
        <v>0.30378754999999996</v>
      </c>
      <c r="G67" s="1150">
        <v>1.4583837500000001</v>
      </c>
      <c r="H67" s="1151">
        <v>0.70155699999999999</v>
      </c>
      <c r="I67" s="1151">
        <v>0.22903369000000001</v>
      </c>
      <c r="J67" s="1150">
        <v>4.0974250000000003</v>
      </c>
      <c r="K67" s="1151">
        <v>2.6451889999999998</v>
      </c>
      <c r="L67" s="1151">
        <v>0.64818293000000005</v>
      </c>
      <c r="M67" s="1150">
        <v>1.76027</v>
      </c>
      <c r="N67" s="1151">
        <v>0.96719900000000003</v>
      </c>
      <c r="O67" s="1151">
        <v>0.25386411999999992</v>
      </c>
      <c r="P67" s="1150">
        <v>1.5934381617658968</v>
      </c>
      <c r="Q67" s="1151">
        <v>1.0768065558283333</v>
      </c>
      <c r="R67" s="1151">
        <v>0.27257899921115614</v>
      </c>
      <c r="S67" s="1150">
        <v>1.4005615</v>
      </c>
      <c r="T67" s="1195">
        <v>0.99046000000000001</v>
      </c>
      <c r="U67" s="1155">
        <v>0.22101722000000001</v>
      </c>
      <c r="V67" s="1150">
        <v>1.9403195</v>
      </c>
      <c r="W67" s="1151">
        <v>1.094724</v>
      </c>
      <c r="X67" s="1151">
        <v>0.24748927999999998</v>
      </c>
      <c r="Y67" s="1150">
        <v>2.173677407227002</v>
      </c>
      <c r="Z67" s="1151">
        <v>1.4078816249885553</v>
      </c>
      <c r="AA67" s="1151">
        <v>0.31189860598245778</v>
      </c>
      <c r="AB67" s="1150"/>
      <c r="AC67" s="1151"/>
      <c r="AD67" s="1151"/>
      <c r="AE67" s="1150"/>
      <c r="AF67" s="1151"/>
      <c r="AG67" s="1151"/>
      <c r="AH67" s="1150"/>
      <c r="AI67" s="1151"/>
      <c r="AJ67" s="1151"/>
      <c r="AK67" s="1150"/>
      <c r="AL67" s="1151"/>
      <c r="AM67" s="1151"/>
      <c r="AN67" s="1150">
        <v>13.694042207692066</v>
      </c>
      <c r="AO67" s="1151">
        <v>8.4925372780053134</v>
      </c>
      <c r="AP67" s="1151">
        <v>2.0949527355751729</v>
      </c>
      <c r="AQ67" s="1151">
        <f t="shared" si="88"/>
        <v>10.777446939655368</v>
      </c>
      <c r="AR67" s="1150">
        <v>1.6565776992743999</v>
      </c>
      <c r="AS67" s="1151">
        <v>0.87733694279347318</v>
      </c>
      <c r="AT67" s="1151">
        <v>0.29094813915918122</v>
      </c>
      <c r="AU67" s="1150">
        <v>1.6257924168206834</v>
      </c>
      <c r="AV67" s="1151">
        <v>0.93042352726988387</v>
      </c>
      <c r="AW67" s="1151">
        <v>0.32837988763730608</v>
      </c>
      <c r="AX67" s="1150"/>
      <c r="AY67" s="1151"/>
      <c r="AZ67" s="1151"/>
      <c r="BA67" s="1150">
        <v>1.6300399999999999</v>
      </c>
      <c r="BB67" s="1151">
        <v>1.145818</v>
      </c>
      <c r="BC67" s="1151">
        <v>0.24693013</v>
      </c>
      <c r="BD67" s="1150">
        <v>1.5358467499999999</v>
      </c>
      <c r="BE67" s="1151">
        <v>1.634147</v>
      </c>
      <c r="BF67" s="1839">
        <v>0.25110779</v>
      </c>
      <c r="BG67" s="1150">
        <v>1.63697</v>
      </c>
      <c r="BH67" s="1195">
        <v>1.0568379999999999</v>
      </c>
      <c r="BI67" s="1155">
        <v>0.25387935</v>
      </c>
      <c r="BJ67" s="1150">
        <v>2.1046517499999999</v>
      </c>
      <c r="BK67" s="1151">
        <v>1.1849369999999999</v>
      </c>
      <c r="BL67" s="1151">
        <v>0.27565134999999996</v>
      </c>
      <c r="BM67" s="1150"/>
      <c r="BN67" s="1151"/>
      <c r="BO67" s="1151"/>
      <c r="BP67" s="1150"/>
      <c r="BQ67" s="1151"/>
      <c r="BR67" s="1151"/>
      <c r="BS67" s="1150"/>
      <c r="BT67" s="1151"/>
      <c r="BU67" s="1151"/>
      <c r="BV67" s="1150"/>
      <c r="BW67" s="1151"/>
      <c r="BX67" s="1151"/>
      <c r="BY67" s="1150"/>
      <c r="BZ67" s="1151"/>
      <c r="CA67" s="1151"/>
      <c r="CB67" s="1150">
        <v>11.60988575</v>
      </c>
      <c r="CC67" s="1151">
        <v>8.32456</v>
      </c>
      <c r="CD67" s="1151">
        <v>1.8382588900000001</v>
      </c>
      <c r="CE67" s="1151">
        <f t="shared" si="89"/>
        <v>9.075033715</v>
      </c>
      <c r="CF67" s="1153">
        <f t="shared" si="80"/>
        <v>3.1065521941115795</v>
      </c>
      <c r="CG67" s="1154">
        <f>CB67-CC67-CD67</f>
        <v>1.4470668600000001</v>
      </c>
      <c r="CH67" s="1155">
        <f>CG67-CF67</f>
        <v>-1.6594853341115794</v>
      </c>
      <c r="CI67" s="1154">
        <f t="shared" si="81"/>
        <v>22.685428794476778</v>
      </c>
      <c r="CJ67" s="1154">
        <f>(CB67-CC67-CD67)/CB67*100</f>
        <v>12.464092163869916</v>
      </c>
      <c r="CK67" s="1154">
        <f>CJ67-CI67</f>
        <v>-10.221336630606862</v>
      </c>
      <c r="CL67" s="1150">
        <f t="shared" si="90"/>
        <v>2.2849096616500546</v>
      </c>
      <c r="CM67" s="1157">
        <f>CE67-CC67</f>
        <v>0.75047371500000004</v>
      </c>
      <c r="CN67" s="1152">
        <f>CM67-CL67</f>
        <v>-1.5344359466500546</v>
      </c>
      <c r="CO67" s="1150">
        <f t="shared" si="82"/>
        <v>21.200843524849862</v>
      </c>
      <c r="CP67" s="1151">
        <f>(CM67/CE67)*100</f>
        <v>8.2696520869068753</v>
      </c>
      <c r="CQ67" s="1152">
        <f>CP67-CO67</f>
        <v>-12.931191437942987</v>
      </c>
      <c r="CR67" s="1173">
        <f t="shared" si="95"/>
        <v>3.6771681140682393</v>
      </c>
      <c r="CS67" s="1153">
        <f t="shared" si="96"/>
        <v>3.6111335818907007</v>
      </c>
      <c r="CT67" s="1150">
        <f t="shared" si="92"/>
        <v>8.40199695134603</v>
      </c>
      <c r="CU67" s="1151">
        <f t="shared" si="93"/>
        <v>2.7100608345627708</v>
      </c>
      <c r="CV67" s="1152">
        <f>CU67-CT67</f>
        <v>-5.6919361167832587</v>
      </c>
      <c r="CX67" s="1150"/>
      <c r="CY67" s="1195"/>
      <c r="CZ67" s="1195"/>
      <c r="DA67" s="1154"/>
      <c r="DB67" s="1153"/>
      <c r="DC67" s="1154"/>
      <c r="DD67" s="1150"/>
      <c r="DE67" s="1150"/>
      <c r="DF67" s="1173"/>
      <c r="DG67" s="1150"/>
      <c r="DI67" s="1434"/>
      <c r="DJ67" s="1435"/>
      <c r="DK67" s="1435"/>
      <c r="DL67" s="1434"/>
      <c r="DM67" s="2060">
        <f t="shared" si="94"/>
        <v>-1.598890443889567</v>
      </c>
      <c r="DN67" s="2060">
        <f t="shared" si="94"/>
        <v>-0.31286046485286151</v>
      </c>
    </row>
    <row r="68" spans="1:118" ht="15.6">
      <c r="A68" s="1160">
        <f>SUM(A57:A63)</f>
        <v>13</v>
      </c>
      <c r="B68" s="3087"/>
      <c r="C68" s="1161" t="s">
        <v>311</v>
      </c>
      <c r="D68" s="1166">
        <f>SUM(D57:D63)</f>
        <v>70.294774288888888</v>
      </c>
      <c r="E68" s="1166">
        <f>SUM(E57:E63)</f>
        <v>45.557369999999999</v>
      </c>
      <c r="F68" s="1166">
        <f>SUM(F57:F63)</f>
        <v>18.634777110000002</v>
      </c>
      <c r="G68" s="1166">
        <v>96.675693999999993</v>
      </c>
      <c r="H68" s="1166">
        <v>60.827055999999999</v>
      </c>
      <c r="I68" s="1166">
        <v>25.37322971</v>
      </c>
      <c r="J68" s="1166">
        <f t="shared" ref="J68:O68" si="97">SUM(J57:J67)</f>
        <v>84.35896200000002</v>
      </c>
      <c r="K68" s="1166">
        <f t="shared" si="97"/>
        <v>54.860615000000003</v>
      </c>
      <c r="L68" s="1166">
        <f t="shared" si="97"/>
        <v>23.814354359999999</v>
      </c>
      <c r="M68" s="1166">
        <f>SUM(M57:M67)</f>
        <v>118.486791</v>
      </c>
      <c r="N68" s="1166">
        <f t="shared" si="97"/>
        <v>67.18009099999999</v>
      </c>
      <c r="O68" s="1166">
        <f t="shared" si="97"/>
        <v>25.035589040000005</v>
      </c>
      <c r="P68" s="1162">
        <f>SUM(P57:P67)</f>
        <v>107.25705400000001</v>
      </c>
      <c r="Q68" s="1163">
        <f t="shared" ref="Q68:AM68" si="98">SUM(Q57:Q67)</f>
        <v>74.793256</v>
      </c>
      <c r="R68" s="1163">
        <f t="shared" si="98"/>
        <v>26.881214270000001</v>
      </c>
      <c r="S68" s="1165">
        <f>SUM(S57:S67)</f>
        <v>109.09520599999999</v>
      </c>
      <c r="T68" s="1166">
        <f>SUM(T57:T67)</f>
        <v>67.358983999999992</v>
      </c>
      <c r="U68" s="1167">
        <f>SUM(U57:U67)</f>
        <v>26.129965779999999</v>
      </c>
      <c r="V68" s="1166">
        <f t="shared" si="98"/>
        <v>168.18583999999998</v>
      </c>
      <c r="W68" s="1166">
        <f t="shared" si="98"/>
        <v>82.966364999999996</v>
      </c>
      <c r="X68" s="1166">
        <f t="shared" si="98"/>
        <v>34.058196960000004</v>
      </c>
      <c r="Y68" s="1166">
        <f>SUM(Y57:Y67)</f>
        <v>153.59463000000002</v>
      </c>
      <c r="Z68" s="1166">
        <f>SUM(Z57:Z67)</f>
        <v>94.746773000000005</v>
      </c>
      <c r="AA68" s="1166">
        <f>SUM(AA57:AA67)</f>
        <v>33.914996880000011</v>
      </c>
      <c r="AB68" s="1166">
        <f t="shared" si="98"/>
        <v>0</v>
      </c>
      <c r="AC68" s="1166">
        <f t="shared" si="98"/>
        <v>0</v>
      </c>
      <c r="AD68" s="1166">
        <f t="shared" si="98"/>
        <v>0</v>
      </c>
      <c r="AE68" s="1166">
        <f t="shared" si="98"/>
        <v>0</v>
      </c>
      <c r="AF68" s="1166">
        <f t="shared" si="98"/>
        <v>0</v>
      </c>
      <c r="AG68" s="1166">
        <f t="shared" si="98"/>
        <v>0</v>
      </c>
      <c r="AH68" s="1166">
        <f t="shared" si="98"/>
        <v>0</v>
      </c>
      <c r="AI68" s="1166">
        <f t="shared" si="98"/>
        <v>0</v>
      </c>
      <c r="AJ68" s="1166">
        <f t="shared" si="98"/>
        <v>0</v>
      </c>
      <c r="AK68" s="1166">
        <f t="shared" si="98"/>
        <v>0</v>
      </c>
      <c r="AL68" s="1166">
        <f t="shared" si="98"/>
        <v>0</v>
      </c>
      <c r="AM68" s="1166">
        <f t="shared" si="98"/>
        <v>0</v>
      </c>
      <c r="AN68" s="1919">
        <f>SUM(AN57:AN67)</f>
        <v>967.63730399999997</v>
      </c>
      <c r="AO68" s="1922">
        <f>SUM(AO57:AO67)</f>
        <v>571.52567899999997</v>
      </c>
      <c r="AP68" s="1922">
        <f>SUM(AP57:AP67)</f>
        <v>227.79940059999998</v>
      </c>
      <c r="AQ68" s="1166">
        <f>SUM(AQ57:AQ67)</f>
        <v>681.77966515999992</v>
      </c>
      <c r="AR68" s="1166">
        <f>SUM(AR57:AR63)</f>
        <v>79.699455897395552</v>
      </c>
      <c r="AS68" s="1166">
        <f>SUM(AS57:AS63)</f>
        <v>48.151441944206155</v>
      </c>
      <c r="AT68" s="1166">
        <f>SUM(AT57:AT63)</f>
        <v>17.847188681039125</v>
      </c>
      <c r="AU68" s="1166">
        <f>SUM(AU57:AU67)</f>
        <v>108.90184899999998</v>
      </c>
      <c r="AV68" s="1166">
        <f t="shared" ref="AV68:BL68" si="99">SUM(AV57:AV67)</f>
        <v>68.771600549999974</v>
      </c>
      <c r="AW68" s="1166">
        <f t="shared" si="99"/>
        <v>29.134354950000002</v>
      </c>
      <c r="AX68" s="1166">
        <f t="shared" si="99"/>
        <v>0</v>
      </c>
      <c r="AY68" s="1166">
        <f t="shared" si="99"/>
        <v>0</v>
      </c>
      <c r="AZ68" s="1166">
        <f t="shared" si="99"/>
        <v>0</v>
      </c>
      <c r="BA68" s="1166">
        <f t="shared" si="99"/>
        <v>130.16665716</v>
      </c>
      <c r="BB68" s="1166">
        <f t="shared" si="99"/>
        <v>76.883449000000013</v>
      </c>
      <c r="BC68" s="1166">
        <f t="shared" si="99"/>
        <v>29.788639189999998</v>
      </c>
      <c r="BD68" s="1166">
        <f t="shared" si="99"/>
        <v>126.70545500000001</v>
      </c>
      <c r="BE68" s="1166">
        <f t="shared" si="99"/>
        <v>92.491878999999997</v>
      </c>
      <c r="BF68" s="1166">
        <f t="shared" si="99"/>
        <v>33.503483899999999</v>
      </c>
      <c r="BG68" s="1165">
        <f t="shared" si="99"/>
        <v>137.78726199999997</v>
      </c>
      <c r="BH68" s="1166">
        <f t="shared" si="99"/>
        <v>82.645809999999983</v>
      </c>
      <c r="BI68" s="1167">
        <f t="shared" si="99"/>
        <v>32.612138039999998</v>
      </c>
      <c r="BJ68" s="1166">
        <f t="shared" si="99"/>
        <v>183.01417000000001</v>
      </c>
      <c r="BK68" s="1166">
        <f t="shared" si="99"/>
        <v>91.273619999999994</v>
      </c>
      <c r="BL68" s="1166">
        <f t="shared" si="99"/>
        <v>38.973374929999999</v>
      </c>
      <c r="BM68" s="1166">
        <f>SUM(BM57:BM67)</f>
        <v>0</v>
      </c>
      <c r="BN68" s="1166">
        <f>SUM(BN57:BN67)</f>
        <v>0</v>
      </c>
      <c r="BO68" s="1166">
        <f>SUM(BO57:BO67)</f>
        <v>0</v>
      </c>
      <c r="BP68" s="1166">
        <f t="shared" ref="BP68:CA68" si="100">SUM(BP57:BP67)</f>
        <v>0</v>
      </c>
      <c r="BQ68" s="1166">
        <f t="shared" si="100"/>
        <v>0</v>
      </c>
      <c r="BR68" s="1166">
        <f t="shared" si="100"/>
        <v>0</v>
      </c>
      <c r="BS68" s="1166">
        <f t="shared" si="100"/>
        <v>0</v>
      </c>
      <c r="BT68" s="1166">
        <f t="shared" si="100"/>
        <v>0</v>
      </c>
      <c r="BU68" s="1166">
        <f t="shared" si="100"/>
        <v>0</v>
      </c>
      <c r="BV68" s="1166">
        <f t="shared" si="100"/>
        <v>0</v>
      </c>
      <c r="BW68" s="1166">
        <f t="shared" si="100"/>
        <v>0</v>
      </c>
      <c r="BX68" s="1166">
        <f t="shared" si="100"/>
        <v>0</v>
      </c>
      <c r="BY68" s="1166">
        <f t="shared" si="100"/>
        <v>0</v>
      </c>
      <c r="BZ68" s="1166">
        <f t="shared" si="100"/>
        <v>0</v>
      </c>
      <c r="CA68" s="1166">
        <f t="shared" si="100"/>
        <v>0</v>
      </c>
      <c r="CB68" s="1919">
        <f>SUM(CB57:CB67)</f>
        <v>927.36079615999995</v>
      </c>
      <c r="CC68" s="1922">
        <f>SUM(CC57:CC67)</f>
        <v>547.55206300000009</v>
      </c>
      <c r="CD68" s="1922">
        <f>SUM(CD57:CD67)</f>
        <v>222.87291437999997</v>
      </c>
      <c r="CE68" s="1163">
        <f>SUM(CE57:CE67)</f>
        <v>648.84623401040017</v>
      </c>
      <c r="CF68" s="1165">
        <f t="shared" si="80"/>
        <v>168.31222440000002</v>
      </c>
      <c r="CG68" s="1166">
        <f t="shared" si="47"/>
        <v>156.93581877999989</v>
      </c>
      <c r="CH68" s="1167">
        <f t="shared" si="2"/>
        <v>-11.376405620000128</v>
      </c>
      <c r="CI68" s="1166">
        <f t="shared" si="81"/>
        <v>17.394143828915471</v>
      </c>
      <c r="CJ68" s="1166">
        <f t="shared" si="75"/>
        <v>16.922843776644118</v>
      </c>
      <c r="CK68" s="1166">
        <f t="shared" si="11"/>
        <v>-0.47130005227135285</v>
      </c>
      <c r="CL68" s="1163">
        <f>SUM(CL57:CL67)</f>
        <v>110.25398615999993</v>
      </c>
      <c r="CM68" s="1163">
        <f>SUM(CM57:CM67)</f>
        <v>101.29417101039998</v>
      </c>
      <c r="CN68" s="1164">
        <f t="shared" si="13"/>
        <v>-8.9598151495999474</v>
      </c>
      <c r="CO68" s="1162">
        <f t="shared" si="82"/>
        <v>16.171498182499406</v>
      </c>
      <c r="CP68" s="1163">
        <f t="shared" si="14"/>
        <v>15.611429288002366</v>
      </c>
      <c r="CQ68" s="1164">
        <f t="shared" si="6"/>
        <v>-0.56006889449703934</v>
      </c>
      <c r="CR68" s="1168">
        <f t="shared" si="95"/>
        <v>3.6771681140682393</v>
      </c>
      <c r="CS68" s="1165">
        <f t="shared" si="96"/>
        <v>3.6111335818907007</v>
      </c>
      <c r="CT68" s="1162">
        <f>SUM(CT57:CT67)</f>
        <v>405.42244235647263</v>
      </c>
      <c r="CU68" s="1163">
        <f>SUM(CU57:CU67)</f>
        <v>365.78678258543488</v>
      </c>
      <c r="CV68" s="1164">
        <f t="shared" si="7"/>
        <v>-39.635659771037751</v>
      </c>
      <c r="CX68" s="1162"/>
      <c r="CY68" s="1162"/>
      <c r="CZ68" s="1162"/>
      <c r="DA68" s="1162"/>
      <c r="DB68" s="1165"/>
      <c r="DC68" s="1166"/>
      <c r="DD68" s="1162"/>
      <c r="DE68" s="1162"/>
      <c r="DF68" s="1168"/>
      <c r="DG68" s="1162"/>
      <c r="DI68" s="1432">
        <f>AN68-ventes_achats_élec!G23</f>
        <v>0</v>
      </c>
      <c r="DJ68" s="1870">
        <f>AO68-ventes_achats_élec!D23</f>
        <v>0</v>
      </c>
      <c r="DK68" s="1827">
        <f>AP68-ventes_achats_élec!E23</f>
        <v>0</v>
      </c>
      <c r="DL68" s="1432">
        <f>CB68-ventes_achats_élec!M23</f>
        <v>-169.47863700000005</v>
      </c>
      <c r="DM68" s="1870">
        <f>CC68-ventes_achats_élec!J23</f>
        <v>-105.1678119999998</v>
      </c>
      <c r="DN68" s="1827">
        <f>CD68-ventes_achats_élec!K23</f>
        <v>-37.931612340000044</v>
      </c>
    </row>
    <row r="69" spans="1:118" ht="12.75" customHeight="1">
      <c r="A69" s="1130">
        <v>1</v>
      </c>
      <c r="B69" s="3085" t="s">
        <v>397</v>
      </c>
      <c r="C69" s="1172" t="s">
        <v>397</v>
      </c>
      <c r="D69" s="1150">
        <v>13.576691234984843</v>
      </c>
      <c r="E69" s="1151">
        <v>7.6572410836361495</v>
      </c>
      <c r="F69" s="1151">
        <v>3.6732890768228916</v>
      </c>
      <c r="G69" s="1150">
        <v>12.225340354381096</v>
      </c>
      <c r="H69" s="1151">
        <v>6.9717079999999996</v>
      </c>
      <c r="I69" s="1151">
        <v>3.3640613399999997</v>
      </c>
      <c r="J69" s="1150">
        <v>11.077354517775099</v>
      </c>
      <c r="K69" s="1151">
        <v>7.3217767479471032</v>
      </c>
      <c r="L69" s="1151">
        <v>3.6554741544430351</v>
      </c>
      <c r="M69" s="1150">
        <v>10.510427146828556</v>
      </c>
      <c r="N69" s="1151">
        <v>7.7592790000000003</v>
      </c>
      <c r="O69" s="1151">
        <v>3.1541587</v>
      </c>
      <c r="P69" s="1150">
        <v>8.4581409999999995</v>
      </c>
      <c r="Q69" s="1151">
        <v>5.8565469999999999</v>
      </c>
      <c r="R69" s="1151">
        <v>3.3165469699999997</v>
      </c>
      <c r="S69" s="1150">
        <v>10.055020658465411</v>
      </c>
      <c r="T69" s="1195">
        <v>5.8333079387342917</v>
      </c>
      <c r="U69" s="1155">
        <v>4.0284643919886394</v>
      </c>
      <c r="V69" s="1150"/>
      <c r="W69" s="1151"/>
      <c r="X69" s="1151"/>
      <c r="Y69" s="1150">
        <v>18.662625985699297</v>
      </c>
      <c r="Z69" s="1151">
        <v>10.170836302158005</v>
      </c>
      <c r="AA69" s="1151">
        <v>4.1461452464643678</v>
      </c>
      <c r="AB69" s="1150"/>
      <c r="AC69" s="1151"/>
      <c r="AD69" s="1151"/>
      <c r="AE69" s="1150"/>
      <c r="AF69" s="1151"/>
      <c r="AG69" s="1151"/>
      <c r="AH69" s="1150"/>
      <c r="AI69" s="1151"/>
      <c r="AJ69" s="1151"/>
      <c r="AK69" s="1150"/>
      <c r="AL69" s="1151"/>
      <c r="AM69" s="1151"/>
      <c r="AN69" s="1150">
        <v>109.37934972892943</v>
      </c>
      <c r="AO69" s="1151">
        <v>60.378036246935814</v>
      </c>
      <c r="AP69" s="1151">
        <v>29.109414074925503</v>
      </c>
      <c r="AQ69" s="1151">
        <f t="shared" ref="AQ69:AQ74" si="101">AN69-(AN69*0.06)-AP69</f>
        <v>73.707174670268159</v>
      </c>
      <c r="AR69" s="1150">
        <v>12.918448074925893</v>
      </c>
      <c r="AS69" s="1151">
        <v>7.7590488457748963</v>
      </c>
      <c r="AT69" s="1151">
        <v>3.36289673281849</v>
      </c>
      <c r="AU69" s="1150">
        <v>11.7838122916974</v>
      </c>
      <c r="AV69" s="1151">
        <v>7.2748970000000002</v>
      </c>
      <c r="AW69" s="1151">
        <v>3.5473949399999998</v>
      </c>
      <c r="AX69" s="1150"/>
      <c r="AY69" s="1151"/>
      <c r="AZ69" s="1151"/>
      <c r="BA69" s="1150">
        <v>11.3000382771429</v>
      </c>
      <c r="BB69" s="1151">
        <v>7.7809460000000001</v>
      </c>
      <c r="BC69" s="1151">
        <v>3.4905747999999996</v>
      </c>
      <c r="BD69" s="1150">
        <v>11.563891992895446</v>
      </c>
      <c r="BE69" s="1151">
        <v>6.4126609672407531</v>
      </c>
      <c r="BF69" s="1839">
        <v>3.6088932785148424</v>
      </c>
      <c r="BG69" s="1150">
        <v>14.079553160144997</v>
      </c>
      <c r="BH69" s="1195">
        <v>7.7107470057478205</v>
      </c>
      <c r="BI69" s="1155">
        <v>3.9385359990466311</v>
      </c>
      <c r="BJ69" s="1150"/>
      <c r="BK69" s="1151"/>
      <c r="BL69" s="1151"/>
      <c r="BM69" s="1150"/>
      <c r="BN69" s="1151"/>
      <c r="BO69" s="1151"/>
      <c r="BP69" s="1150"/>
      <c r="BQ69" s="1151"/>
      <c r="BR69" s="1151"/>
      <c r="BS69" s="1150"/>
      <c r="BT69" s="1151"/>
      <c r="BU69" s="1151"/>
      <c r="BV69" s="1150"/>
      <c r="BW69" s="1151"/>
      <c r="BX69" s="1151"/>
      <c r="BY69" s="1150"/>
      <c r="BZ69" s="1151"/>
      <c r="CA69" s="1151"/>
      <c r="CB69" s="1150">
        <v>73.152035780778206</v>
      </c>
      <c r="CC69" s="1151">
        <v>42.621978926331757</v>
      </c>
      <c r="CD69" s="1151">
        <v>20.881677578350207</v>
      </c>
      <c r="CE69" s="1151">
        <f t="shared" ref="CE69:CE74" si="102">CB69-(CB69*0.06)-CD69</f>
        <v>47.881236055581311</v>
      </c>
      <c r="CF69" s="1153">
        <f t="shared" si="80"/>
        <v>19.891899407068109</v>
      </c>
      <c r="CG69" s="1154">
        <f t="shared" si="47"/>
        <v>9.648379276096243</v>
      </c>
      <c r="CH69" s="1155">
        <f t="shared" si="2"/>
        <v>-10.243520130971866</v>
      </c>
      <c r="CI69" s="1154">
        <f t="shared" si="81"/>
        <v>18.18615621354984</v>
      </c>
      <c r="CJ69" s="1154">
        <f t="shared" si="75"/>
        <v>13.189488403317274</v>
      </c>
      <c r="CK69" s="1154">
        <f t="shared" si="11"/>
        <v>-4.9966678102325659</v>
      </c>
      <c r="CL69" s="1150">
        <f t="shared" ref="CL69:CL74" si="103">AQ69-AO69</f>
        <v>13.329138423332346</v>
      </c>
      <c r="CM69" s="1157">
        <f t="shared" ref="CM69:CM74" si="104">CE69-CC69</f>
        <v>5.2592571292495549</v>
      </c>
      <c r="CN69" s="1152">
        <f t="shared" si="13"/>
        <v>-8.0698812940827906</v>
      </c>
      <c r="CO69" s="1150">
        <f t="shared" si="82"/>
        <v>18.083909040009676</v>
      </c>
      <c r="CP69" s="1151">
        <f t="shared" si="14"/>
        <v>10.983962743034713</v>
      </c>
      <c r="CQ69" s="1152">
        <f t="shared" si="6"/>
        <v>-7.0999462969749629</v>
      </c>
      <c r="CR69" s="1173">
        <f>élec!AZ295/100</f>
        <v>4.5545145633016411</v>
      </c>
      <c r="CS69" s="1153">
        <f>élec!AZ310/100</f>
        <v>4.4647131144829233</v>
      </c>
      <c r="CT69" s="1150">
        <f t="shared" ref="CT69:CT74" si="105">CL69*CR69</f>
        <v>60.707755065330645</v>
      </c>
      <c r="CU69" s="1151">
        <f t="shared" ref="CU69:CU74" si="106">CS69*CM69</f>
        <v>23.481074277398299</v>
      </c>
      <c r="CV69" s="1152">
        <f t="shared" si="7"/>
        <v>-37.226680787932345</v>
      </c>
      <c r="CX69" s="1150"/>
      <c r="CY69" s="1151"/>
      <c r="CZ69" s="1151"/>
      <c r="DA69" s="1152"/>
      <c r="DB69" s="1153"/>
      <c r="DC69" s="1154"/>
      <c r="DD69" s="1150"/>
      <c r="DE69" s="1150"/>
      <c r="DF69" s="1173"/>
      <c r="DG69" s="1150"/>
      <c r="DI69" s="1434"/>
      <c r="DJ69" s="1435"/>
      <c r="DK69" s="1828"/>
      <c r="DL69" s="1434"/>
      <c r="DM69" s="1435"/>
      <c r="DN69" s="1435"/>
    </row>
    <row r="70" spans="1:118" ht="12.75" customHeight="1">
      <c r="A70" s="1130"/>
      <c r="B70" s="3086"/>
      <c r="C70" s="1172" t="s">
        <v>400</v>
      </c>
      <c r="D70" s="1150">
        <v>20.923949171547022</v>
      </c>
      <c r="E70" s="1151">
        <v>11.801087544770416</v>
      </c>
      <c r="F70" s="1151">
        <v>3.5372185194480052</v>
      </c>
      <c r="G70" s="1150">
        <v>17.371812271387633</v>
      </c>
      <c r="H70" s="1151">
        <v>10.614656</v>
      </c>
      <c r="I70" s="1151">
        <v>2.9191364200000001</v>
      </c>
      <c r="J70" s="1150">
        <v>17.699774263415843</v>
      </c>
      <c r="K70" s="1151">
        <v>11.423441724500181</v>
      </c>
      <c r="L70" s="1151">
        <v>3.4566904005538688</v>
      </c>
      <c r="M70" s="1150">
        <v>15.841480238406604</v>
      </c>
      <c r="N70" s="1151">
        <v>12.620672000000001</v>
      </c>
      <c r="O70" s="1151">
        <v>3.3918544700000002</v>
      </c>
      <c r="P70" s="1150">
        <v>16.016660999999999</v>
      </c>
      <c r="Q70" s="1151">
        <v>9.3997659999999996</v>
      </c>
      <c r="R70" s="1151">
        <v>3.5016183899999995</v>
      </c>
      <c r="S70" s="1150">
        <v>20.412417891874082</v>
      </c>
      <c r="T70" s="1195">
        <v>11.520043144528454</v>
      </c>
      <c r="U70" s="1155">
        <v>3.2026354165669857</v>
      </c>
      <c r="V70" s="1150"/>
      <c r="W70" s="1151"/>
      <c r="X70" s="1151"/>
      <c r="Y70" s="1150">
        <v>28.464733768432108</v>
      </c>
      <c r="Z70" s="1151">
        <v>16.810861786239869</v>
      </c>
      <c r="AA70" s="1151">
        <v>4.0180632581094047</v>
      </c>
      <c r="AB70" s="1150"/>
      <c r="AC70" s="1151"/>
      <c r="AD70" s="1151"/>
      <c r="AE70" s="1150"/>
      <c r="AF70" s="1151"/>
      <c r="AG70" s="1151"/>
      <c r="AH70" s="1150"/>
      <c r="AI70" s="1151"/>
      <c r="AJ70" s="1151"/>
      <c r="AK70" s="1150"/>
      <c r="AL70" s="1151"/>
      <c r="AM70" s="1151"/>
      <c r="AN70" s="1150">
        <v>166.8282948060988</v>
      </c>
      <c r="AO70" s="1151">
        <v>99.795807553844824</v>
      </c>
      <c r="AP70" s="1151">
        <v>28.210171184738819</v>
      </c>
      <c r="AQ70" s="1151">
        <f t="shared" si="101"/>
        <v>128.60842593299407</v>
      </c>
      <c r="AR70" s="1150">
        <v>19.909486502756177</v>
      </c>
      <c r="AS70" s="1151">
        <v>11.957990311787123</v>
      </c>
      <c r="AT70" s="1151">
        <v>3.2383241159460452</v>
      </c>
      <c r="AU70" s="1150">
        <v>15.401935860169699</v>
      </c>
      <c r="AV70" s="1151">
        <v>9.9028500000000008</v>
      </c>
      <c r="AW70" s="1151">
        <v>3.02005576</v>
      </c>
      <c r="AX70" s="1150"/>
      <c r="AY70" s="1151"/>
      <c r="AZ70" s="1151"/>
      <c r="BA70" s="1150">
        <v>16.653844431290601</v>
      </c>
      <c r="BB70" s="1151">
        <v>12.859151000000001</v>
      </c>
      <c r="BC70" s="1151">
        <v>3.3962135499999997</v>
      </c>
      <c r="BD70" s="1150">
        <v>17.429278936565161</v>
      </c>
      <c r="BE70" s="1151">
        <v>10.349795282830437</v>
      </c>
      <c r="BF70" s="1839">
        <v>3.4538222250108843</v>
      </c>
      <c r="BG70" s="1150">
        <v>21.220922807055771</v>
      </c>
      <c r="BH70" s="1195">
        <v>12.444857664372382</v>
      </c>
      <c r="BI70" s="1155">
        <v>3.7693004801490577</v>
      </c>
      <c r="BJ70" s="1150"/>
      <c r="BK70" s="1151"/>
      <c r="BL70" s="1151"/>
      <c r="BM70" s="1150"/>
      <c r="BN70" s="1151"/>
      <c r="BO70" s="1151"/>
      <c r="BP70" s="1150"/>
      <c r="BQ70" s="1151"/>
      <c r="BR70" s="1151"/>
      <c r="BS70" s="1150"/>
      <c r="BT70" s="1151"/>
      <c r="BU70" s="1151"/>
      <c r="BV70" s="1150"/>
      <c r="BW70" s="1151"/>
      <c r="BX70" s="1151"/>
      <c r="BY70" s="1150"/>
      <c r="BZ70" s="1151"/>
      <c r="CA70" s="1151"/>
      <c r="CB70" s="1150">
        <v>110.25589284162264</v>
      </c>
      <c r="CC70" s="1151">
        <v>68.790282020235367</v>
      </c>
      <c r="CD70" s="1151">
        <v>19.984409775979135</v>
      </c>
      <c r="CE70" s="1151">
        <f t="shared" si="102"/>
        <v>83.656129495146146</v>
      </c>
      <c r="CF70" s="1153">
        <f>AN70-AO70-AP70</f>
        <v>38.822316067515153</v>
      </c>
      <c r="CG70" s="1154">
        <f>CB70-CC70-CD70</f>
        <v>21.481201045408138</v>
      </c>
      <c r="CH70" s="1155">
        <f>CG70-CF70</f>
        <v>-17.341115022107015</v>
      </c>
      <c r="CI70" s="1154">
        <f>(AN70-AO70-AP70)/AN70*100</f>
        <v>23.270822322219118</v>
      </c>
      <c r="CJ70" s="1154">
        <f>(CB70-CC70-CD70)/CB70*100</f>
        <v>19.483041216005446</v>
      </c>
      <c r="CK70" s="1154">
        <f>CJ70-CI70</f>
        <v>-3.7877811062136715</v>
      </c>
      <c r="CL70" s="1150">
        <f t="shared" si="103"/>
        <v>28.812618379149242</v>
      </c>
      <c r="CM70" s="1157">
        <f t="shared" si="104"/>
        <v>14.86584747491078</v>
      </c>
      <c r="CN70" s="1152">
        <f>CM70-CL70</f>
        <v>-13.946770904238463</v>
      </c>
      <c r="CO70" s="1150">
        <f>(CL70/AQ70)*100</f>
        <v>22.403367563304776</v>
      </c>
      <c r="CP70" s="1151">
        <f>(CM70/CE70)*100</f>
        <v>17.770183206686987</v>
      </c>
      <c r="CQ70" s="1152">
        <f>CP70-CO70</f>
        <v>-4.6331843566177895</v>
      </c>
      <c r="CR70" s="1173">
        <f t="shared" ref="CR70:CS75" si="107">CR69</f>
        <v>4.5545145633016411</v>
      </c>
      <c r="CS70" s="1153">
        <f t="shared" si="107"/>
        <v>4.4647131144829233</v>
      </c>
      <c r="CT70" s="1150">
        <f t="shared" si="105"/>
        <v>131.22749001468776</v>
      </c>
      <c r="CU70" s="1151">
        <f t="shared" si="106"/>
        <v>66.371744179137011</v>
      </c>
      <c r="CV70" s="1152">
        <f>CU70-CT70</f>
        <v>-64.855745835550749</v>
      </c>
      <c r="CX70" s="1150"/>
      <c r="CY70" s="1151"/>
      <c r="CZ70" s="1151"/>
      <c r="DA70" s="1152"/>
      <c r="DB70" s="1153"/>
      <c r="DC70" s="1154"/>
      <c r="DD70" s="1150"/>
      <c r="DE70" s="1150"/>
      <c r="DF70" s="1173"/>
      <c r="DG70" s="1150"/>
      <c r="DI70" s="1434"/>
      <c r="DJ70" s="1435"/>
      <c r="DK70" s="1828"/>
      <c r="DL70" s="1434"/>
      <c r="DM70" s="1435"/>
      <c r="DN70" s="1435"/>
    </row>
    <row r="71" spans="1:118" ht="12.75" customHeight="1">
      <c r="A71" s="1130"/>
      <c r="B71" s="3086"/>
      <c r="C71" s="1172" t="s">
        <v>401</v>
      </c>
      <c r="D71" s="1150">
        <v>9.9481509205591436</v>
      </c>
      <c r="E71" s="1151">
        <v>5.6107475295660327</v>
      </c>
      <c r="F71" s="1151">
        <v>2.5121332455214125</v>
      </c>
      <c r="G71" s="1150">
        <v>9.0757778622830738</v>
      </c>
      <c r="H71" s="1151">
        <v>5.1469110000000002</v>
      </c>
      <c r="I71" s="1151">
        <v>2.0491941799999998</v>
      </c>
      <c r="J71" s="1150">
        <v>7.7884079697565802</v>
      </c>
      <c r="K71" s="1151">
        <v>5.6321393767486914</v>
      </c>
      <c r="L71" s="1151">
        <v>1.9979863042880353</v>
      </c>
      <c r="M71" s="1150">
        <v>7.3268874897878096</v>
      </c>
      <c r="N71" s="1151">
        <v>5.1603680000000001</v>
      </c>
      <c r="O71" s="1151">
        <v>1.87890779</v>
      </c>
      <c r="P71" s="1150">
        <v>7.7402170000000003</v>
      </c>
      <c r="Q71" s="1151">
        <v>4.9330679999999996</v>
      </c>
      <c r="R71" s="1151">
        <v>1.8875635499999999</v>
      </c>
      <c r="S71" s="1150">
        <v>9.933398201997619</v>
      </c>
      <c r="T71" s="1195">
        <v>5.1364552670163572</v>
      </c>
      <c r="U71" s="1155">
        <v>1.9880445210319784</v>
      </c>
      <c r="V71" s="1150"/>
      <c r="W71" s="1151"/>
      <c r="X71" s="1151"/>
      <c r="Y71" s="1150">
        <v>13.55234071431777</v>
      </c>
      <c r="Z71" s="1151">
        <v>7.9886365385262268</v>
      </c>
      <c r="AA71" s="1151">
        <v>2.4634710556903627</v>
      </c>
      <c r="AB71" s="1150"/>
      <c r="AC71" s="1151"/>
      <c r="AD71" s="1151"/>
      <c r="AE71" s="1150"/>
      <c r="AF71" s="1151"/>
      <c r="AG71" s="1151"/>
      <c r="AH71" s="1150"/>
      <c r="AI71" s="1151"/>
      <c r="AJ71" s="1151"/>
      <c r="AK71" s="1150"/>
      <c r="AL71" s="1151"/>
      <c r="AM71" s="1151"/>
      <c r="AN71" s="1150">
        <v>79.428597871106518</v>
      </c>
      <c r="AO71" s="1151">
        <v>47.423650539375203</v>
      </c>
      <c r="AP71" s="1151">
        <v>17.295631184854322</v>
      </c>
      <c r="AQ71" s="1151">
        <f t="shared" si="101"/>
        <v>57.367250813985812</v>
      </c>
      <c r="AR71" s="1150">
        <v>9.4658314669194876</v>
      </c>
      <c r="AS71" s="1151">
        <v>5.6853458925627693</v>
      </c>
      <c r="AT71" s="1151">
        <v>2.2998583849751264</v>
      </c>
      <c r="AU71" s="1150">
        <v>8.1406497829011801</v>
      </c>
      <c r="AV71" s="1151">
        <v>5.0202070000000001</v>
      </c>
      <c r="AW71" s="1151">
        <v>1.9778406200000003</v>
      </c>
      <c r="AX71" s="1150"/>
      <c r="AY71" s="1151"/>
      <c r="AZ71" s="1151"/>
      <c r="BA71" s="1150">
        <v>7.0090970519647495</v>
      </c>
      <c r="BB71" s="1151">
        <v>5.0917399999999997</v>
      </c>
      <c r="BC71" s="1151">
        <v>1.9049701900000002</v>
      </c>
      <c r="BD71" s="1150">
        <v>8.0612647223922682</v>
      </c>
      <c r="BE71" s="1151">
        <v>4.8580694918637048</v>
      </c>
      <c r="BF71" s="1839">
        <v>2.1505091585468445</v>
      </c>
      <c r="BG71" s="1150">
        <v>9.8149485715236935</v>
      </c>
      <c r="BH71" s="1195">
        <v>5.8414665892154511</v>
      </c>
      <c r="BI71" s="1155">
        <v>2.3469404838432366</v>
      </c>
      <c r="BJ71" s="1150"/>
      <c r="BK71" s="1151"/>
      <c r="BL71" s="1151"/>
      <c r="BM71" s="1150"/>
      <c r="BN71" s="1151"/>
      <c r="BO71" s="1151"/>
      <c r="BP71" s="1150"/>
      <c r="BQ71" s="1151"/>
      <c r="BR71" s="1151"/>
      <c r="BS71" s="1150"/>
      <c r="BT71" s="1151"/>
      <c r="BU71" s="1151"/>
      <c r="BV71" s="1150"/>
      <c r="BW71" s="1151"/>
      <c r="BX71" s="1151"/>
      <c r="BY71" s="1150"/>
      <c r="BZ71" s="1151"/>
      <c r="CA71" s="1151"/>
      <c r="CB71" s="1150">
        <v>50.994762470374098</v>
      </c>
      <c r="CC71" s="1151">
        <v>32.289331458912962</v>
      </c>
      <c r="CD71" s="1151">
        <v>12.443216081065318</v>
      </c>
      <c r="CE71" s="1151">
        <f t="shared" si="102"/>
        <v>35.491860641086333</v>
      </c>
      <c r="CF71" s="1153">
        <f>AN71-AO71-AP71</f>
        <v>14.709316146876994</v>
      </c>
      <c r="CG71" s="1154">
        <f>CB71-CC71-CD71</f>
        <v>6.2622149303958192</v>
      </c>
      <c r="CH71" s="1155">
        <f>CG71-CF71</f>
        <v>-8.4471012164811743</v>
      </c>
      <c r="CI71" s="1154">
        <f>(AN71-AO71-AP71)/AN71*100</f>
        <v>18.51891704137428</v>
      </c>
      <c r="CJ71" s="1154">
        <f>(CB71-CC71-CD71)/CB71*100</f>
        <v>12.280113931374647</v>
      </c>
      <c r="CK71" s="1154">
        <f>CJ71-CI71</f>
        <v>-6.2388031099996333</v>
      </c>
      <c r="CL71" s="1150">
        <f t="shared" si="103"/>
        <v>9.9436002746106098</v>
      </c>
      <c r="CM71" s="1157">
        <f t="shared" si="104"/>
        <v>3.2025291821733717</v>
      </c>
      <c r="CN71" s="1152">
        <f>CM71-CL71</f>
        <v>-6.7410710924372381</v>
      </c>
      <c r="CO71" s="1150">
        <f>(CL71/AQ71)*100</f>
        <v>17.333234787305539</v>
      </c>
      <c r="CP71" s="1151">
        <f>(CM71/CE71)*100</f>
        <v>9.0232778003924583</v>
      </c>
      <c r="CQ71" s="1152">
        <f>CP71-CO71</f>
        <v>-8.3099569869130807</v>
      </c>
      <c r="CR71" s="1173">
        <f t="shared" si="107"/>
        <v>4.5545145633016411</v>
      </c>
      <c r="CS71" s="1153">
        <f t="shared" si="107"/>
        <v>4.4647131144829233</v>
      </c>
      <c r="CT71" s="1150">
        <f t="shared" si="105"/>
        <v>45.288272262364217</v>
      </c>
      <c r="CU71" s="1151">
        <f t="shared" si="106"/>
        <v>14.298374039163724</v>
      </c>
      <c r="CV71" s="1152">
        <f>CU71-CT71</f>
        <v>-30.989898223200491</v>
      </c>
      <c r="CX71" s="1150"/>
      <c r="CY71" s="1151"/>
      <c r="CZ71" s="1151"/>
      <c r="DA71" s="1152"/>
      <c r="DB71" s="1153"/>
      <c r="DC71" s="1154"/>
      <c r="DD71" s="1150"/>
      <c r="DE71" s="1150"/>
      <c r="DF71" s="1173"/>
      <c r="DG71" s="1150"/>
      <c r="DI71" s="1434"/>
      <c r="DJ71" s="1435"/>
      <c r="DK71" s="1828"/>
      <c r="DL71" s="1434"/>
      <c r="DM71" s="1435"/>
      <c r="DN71" s="1435"/>
    </row>
    <row r="72" spans="1:118" ht="12.75" customHeight="1">
      <c r="A72" s="1130"/>
      <c r="B72" s="3086"/>
      <c r="C72" s="1172" t="s">
        <v>402</v>
      </c>
      <c r="D72" s="1150">
        <v>32.386100154640367</v>
      </c>
      <c r="E72" s="1151">
        <v>17.704764533732735</v>
      </c>
      <c r="F72" s="1151">
        <v>10.498293415899402</v>
      </c>
      <c r="G72" s="1150">
        <v>30.6909648337524</v>
      </c>
      <c r="H72" s="1151">
        <v>16.612188</v>
      </c>
      <c r="I72" s="1151">
        <v>9.0430362400000011</v>
      </c>
      <c r="J72" s="1150">
        <v>28.681793049200159</v>
      </c>
      <c r="K72" s="1151">
        <v>17.440018073896695</v>
      </c>
      <c r="L72" s="1151">
        <v>7.7041414461044306</v>
      </c>
      <c r="M72" s="1150">
        <v>25.664625799904712</v>
      </c>
      <c r="N72" s="1151">
        <v>16.545141000000001</v>
      </c>
      <c r="O72" s="1151">
        <v>8.6827066600000009</v>
      </c>
      <c r="P72" s="1150">
        <v>27.440688000000002</v>
      </c>
      <c r="Q72" s="1151">
        <v>14.575241</v>
      </c>
      <c r="R72" s="1151">
        <v>9.7583726299999984</v>
      </c>
      <c r="S72" s="1150">
        <v>28.725167116930095</v>
      </c>
      <c r="T72" s="1195">
        <v>14.91743920252269</v>
      </c>
      <c r="U72" s="1155">
        <v>8.8937716853156434</v>
      </c>
      <c r="V72" s="1150"/>
      <c r="W72" s="1151"/>
      <c r="X72" s="1151"/>
      <c r="Y72" s="1150">
        <v>47.193853756273484</v>
      </c>
      <c r="Z72" s="1151">
        <v>24.06626050486997</v>
      </c>
      <c r="AA72" s="1151">
        <v>11.256968438954821</v>
      </c>
      <c r="AB72" s="1150"/>
      <c r="AC72" s="1151"/>
      <c r="AD72" s="1151"/>
      <c r="AE72" s="1150"/>
      <c r="AF72" s="1151"/>
      <c r="AG72" s="1151"/>
      <c r="AH72" s="1150"/>
      <c r="AI72" s="1151"/>
      <c r="AJ72" s="1151"/>
      <c r="AK72" s="1150"/>
      <c r="AL72" s="1151"/>
      <c r="AM72" s="1151"/>
      <c r="AN72" s="1150">
        <v>276.59735768261783</v>
      </c>
      <c r="AO72" s="1151">
        <v>142.866673489075</v>
      </c>
      <c r="AP72" s="1151">
        <v>79.033351713217613</v>
      </c>
      <c r="AQ72" s="1151">
        <f t="shared" si="101"/>
        <v>180.96816450844318</v>
      </c>
      <c r="AR72" s="1150">
        <v>30.815914272174144</v>
      </c>
      <c r="AS72" s="1151">
        <v>17.940160342312506</v>
      </c>
      <c r="AT72" s="1151">
        <v>9.6111892884384034</v>
      </c>
      <c r="AU72" s="1150">
        <v>29.507347551185102</v>
      </c>
      <c r="AV72" s="1151">
        <v>15.544707000000001</v>
      </c>
      <c r="AW72" s="1151">
        <v>9.7080470000000005</v>
      </c>
      <c r="AX72" s="1150"/>
      <c r="AY72" s="1151"/>
      <c r="AZ72" s="1151"/>
      <c r="BA72" s="1150">
        <v>23.843143447784499</v>
      </c>
      <c r="BB72" s="1151">
        <v>16.378731999999999</v>
      </c>
      <c r="BC72" s="1151">
        <v>8.6374556899999995</v>
      </c>
      <c r="BD72" s="1150">
        <v>28.237002801330302</v>
      </c>
      <c r="BE72" s="1151">
        <v>14.905762916637434</v>
      </c>
      <c r="BF72" s="1839">
        <v>9.8026829915467069</v>
      </c>
      <c r="BG72" s="1150">
        <v>34.379807617430743</v>
      </c>
      <c r="BH72" s="1195">
        <v>17.923069278883638</v>
      </c>
      <c r="BI72" s="1155">
        <v>10.698077463054592</v>
      </c>
      <c r="BJ72" s="1150"/>
      <c r="BK72" s="1151"/>
      <c r="BL72" s="1151"/>
      <c r="BM72" s="1150"/>
      <c r="BN72" s="1151"/>
      <c r="BO72" s="1151"/>
      <c r="BP72" s="1150"/>
      <c r="BQ72" s="1151"/>
      <c r="BR72" s="1151"/>
      <c r="BS72" s="1150"/>
      <c r="BT72" s="1151"/>
      <c r="BU72" s="1151"/>
      <c r="BV72" s="1150"/>
      <c r="BW72" s="1151"/>
      <c r="BX72" s="1151"/>
      <c r="BY72" s="1150"/>
      <c r="BZ72" s="1151"/>
      <c r="CA72" s="1151"/>
      <c r="CB72" s="1150">
        <v>178.6244839137114</v>
      </c>
      <c r="CC72" s="1151">
        <v>99.071682747510252</v>
      </c>
      <c r="CD72" s="1151">
        <v>56.720010771971062</v>
      </c>
      <c r="CE72" s="1151">
        <f t="shared" si="102"/>
        <v>111.18700410691767</v>
      </c>
      <c r="CF72" s="1153">
        <f>AN72-AO72-AP72</f>
        <v>54.697332480325215</v>
      </c>
      <c r="CG72" s="1154">
        <f>CB72-CC72-CD72</f>
        <v>22.832790394230088</v>
      </c>
      <c r="CH72" s="1155">
        <f>CG72-CF72</f>
        <v>-31.864542086095128</v>
      </c>
      <c r="CI72" s="1154">
        <f>(AN72-AO72-AP72)/AN72*100</f>
        <v>19.77507411444175</v>
      </c>
      <c r="CJ72" s="1154">
        <f>(CB72-CC72-CD72)/CB72*100</f>
        <v>12.782564794006618</v>
      </c>
      <c r="CK72" s="1154">
        <f>CJ72-CI72</f>
        <v>-6.9925093204351327</v>
      </c>
      <c r="CL72" s="1150">
        <f t="shared" si="103"/>
        <v>38.101491019368183</v>
      </c>
      <c r="CM72" s="1157">
        <f t="shared" si="104"/>
        <v>12.115321359407417</v>
      </c>
      <c r="CN72" s="1152">
        <f>CM72-CL72</f>
        <v>-25.986169659960765</v>
      </c>
      <c r="CO72" s="1150">
        <f>(CL72/AQ72)*100</f>
        <v>21.05425068705415</v>
      </c>
      <c r="CP72" s="1151">
        <f>(CM72/CE72)*100</f>
        <v>10.89634661597438</v>
      </c>
      <c r="CQ72" s="1152">
        <f>CP72-CO72</f>
        <v>-10.15790407107977</v>
      </c>
      <c r="CR72" s="1173">
        <f t="shared" si="107"/>
        <v>4.5545145633016411</v>
      </c>
      <c r="CS72" s="1153">
        <f t="shared" si="107"/>
        <v>4.4647131144829233</v>
      </c>
      <c r="CT72" s="1150">
        <f t="shared" si="105"/>
        <v>173.53379573121907</v>
      </c>
      <c r="CU72" s="1151">
        <f t="shared" si="106"/>
        <v>54.091434159521377</v>
      </c>
      <c r="CV72" s="1152">
        <f>CU72-CT72</f>
        <v>-119.44236157169769</v>
      </c>
      <c r="CX72" s="1150"/>
      <c r="CY72" s="1151"/>
      <c r="CZ72" s="1151"/>
      <c r="DA72" s="1152"/>
      <c r="DB72" s="1153"/>
      <c r="DC72" s="1154"/>
      <c r="DD72" s="1150"/>
      <c r="DE72" s="1150"/>
      <c r="DF72" s="1173"/>
      <c r="DG72" s="1150"/>
      <c r="DI72" s="1434"/>
      <c r="DJ72" s="1435"/>
      <c r="DK72" s="1828"/>
      <c r="DL72" s="1434"/>
      <c r="DM72" s="1435"/>
      <c r="DN72" s="1435"/>
    </row>
    <row r="73" spans="1:118" ht="12.75" customHeight="1">
      <c r="A73" s="1130"/>
      <c r="B73" s="3086"/>
      <c r="C73" s="1172" t="s">
        <v>403</v>
      </c>
      <c r="D73" s="1150">
        <v>7.6893607934424235</v>
      </c>
      <c r="E73" s="1151">
        <v>4.3367923917386886</v>
      </c>
      <c r="F73" s="1151">
        <v>1.3492141248049947</v>
      </c>
      <c r="G73" s="1150">
        <v>6.7692564715080508</v>
      </c>
      <c r="H73" s="1151">
        <v>4.8175730000000003</v>
      </c>
      <c r="I73" s="1151">
        <v>1.0358295900000001</v>
      </c>
      <c r="J73" s="1150">
        <v>5.0552752150696172</v>
      </c>
      <c r="K73" s="1151">
        <v>4.7024818108090747</v>
      </c>
      <c r="L73" s="1151">
        <v>0.85042183751722933</v>
      </c>
      <c r="M73" s="1150">
        <v>4.819361003995577</v>
      </c>
      <c r="N73" s="1151">
        <v>4.3983720000000002</v>
      </c>
      <c r="O73" s="1151">
        <v>0.88791637999999995</v>
      </c>
      <c r="P73" s="1150">
        <v>5.2765120000000003</v>
      </c>
      <c r="Q73" s="1151">
        <v>4.4917230000000004</v>
      </c>
      <c r="R73" s="1151">
        <v>0.93528504000000001</v>
      </c>
      <c r="S73" s="1150">
        <v>7.6264351620555528</v>
      </c>
      <c r="T73" s="1195">
        <v>4.1835175838663465</v>
      </c>
      <c r="U73" s="1155">
        <v>0.76367247004556249</v>
      </c>
      <c r="V73" s="1150"/>
      <c r="W73" s="1151"/>
      <c r="X73" s="1151"/>
      <c r="Y73" s="1150">
        <v>9.9652193332024908</v>
      </c>
      <c r="Z73" s="1151">
        <v>6.6941638137711488</v>
      </c>
      <c r="AA73" s="1151">
        <v>1.1796160096442418</v>
      </c>
      <c r="AB73" s="1150"/>
      <c r="AC73" s="1151"/>
      <c r="AD73" s="1151"/>
      <c r="AE73" s="1150"/>
      <c r="AF73" s="1151"/>
      <c r="AG73" s="1151"/>
      <c r="AH73" s="1150"/>
      <c r="AI73" s="1151"/>
      <c r="AJ73" s="1151"/>
      <c r="AK73" s="1150"/>
      <c r="AL73" s="1151"/>
      <c r="AM73" s="1151"/>
      <c r="AN73" s="1150">
        <v>58.404921762193354</v>
      </c>
      <c r="AO73" s="1151">
        <v>39.739157467812468</v>
      </c>
      <c r="AP73" s="1151">
        <v>8.2818928988142133</v>
      </c>
      <c r="AQ73" s="1151">
        <f t="shared" si="101"/>
        <v>46.618733557647538</v>
      </c>
      <c r="AR73" s="1150">
        <v>7.3165550000495259</v>
      </c>
      <c r="AS73" s="1151">
        <v>4.3944527322504694</v>
      </c>
      <c r="AT73" s="1151">
        <v>1.2352057453925347</v>
      </c>
      <c r="AU73" s="1150">
        <v>7.4277613149201791</v>
      </c>
      <c r="AV73" s="1151">
        <v>5.4551369999999997</v>
      </c>
      <c r="AW73" s="1151">
        <v>0.98647457999999999</v>
      </c>
      <c r="AX73" s="1150"/>
      <c r="AY73" s="1151"/>
      <c r="AZ73" s="1151"/>
      <c r="BA73" s="1150">
        <v>5.1533941552230802</v>
      </c>
      <c r="BB73" s="1151">
        <v>4.4273110000000004</v>
      </c>
      <c r="BC73" s="1151">
        <v>0.96852718999999998</v>
      </c>
      <c r="BD73" s="1150">
        <v>5.3024077277195438</v>
      </c>
      <c r="BE73" s="1151">
        <v>4.0468070474050872</v>
      </c>
      <c r="BF73" s="1839">
        <v>1.0562670126268716</v>
      </c>
      <c r="BG73" s="1150">
        <v>6.4559173957225973</v>
      </c>
      <c r="BH73" s="1195">
        <v>4.8659839469174999</v>
      </c>
      <c r="BI73" s="1155">
        <v>1.1527483172205053</v>
      </c>
      <c r="BJ73" s="1150"/>
      <c r="BK73" s="1151"/>
      <c r="BL73" s="1151"/>
      <c r="BM73" s="1150"/>
      <c r="BN73" s="1151"/>
      <c r="BO73" s="1151"/>
      <c r="BP73" s="1150"/>
      <c r="BQ73" s="1151"/>
      <c r="BR73" s="1151"/>
      <c r="BS73" s="1150"/>
      <c r="BT73" s="1151"/>
      <c r="BU73" s="1151"/>
      <c r="BV73" s="1150"/>
      <c r="BW73" s="1151"/>
      <c r="BX73" s="1151"/>
      <c r="BY73" s="1150"/>
      <c r="BZ73" s="1151"/>
      <c r="CA73" s="1151"/>
      <c r="CB73" s="1150">
        <v>33.54250628254912</v>
      </c>
      <c r="CC73" s="1151">
        <v>26.897246802000605</v>
      </c>
      <c r="CD73" s="1151">
        <v>6.1117427122695078</v>
      </c>
      <c r="CE73" s="1151">
        <f t="shared" si="102"/>
        <v>25.418213193326665</v>
      </c>
      <c r="CF73" s="1153">
        <f>AN73-AO73-AP73</f>
        <v>10.383871395566672</v>
      </c>
      <c r="CG73" s="1154">
        <f>CB73-CC73-CD73</f>
        <v>0.53351676827900629</v>
      </c>
      <c r="CH73" s="1155">
        <f>CG73-CF73</f>
        <v>-9.8503546272876648</v>
      </c>
      <c r="CI73" s="1154">
        <f>(AN73-AO73-AP73)/AN73*100</f>
        <v>17.779103339692092</v>
      </c>
      <c r="CJ73" s="1154">
        <f>(CB73-CC73-CD73)/CB73*100</f>
        <v>1.5905691834261488</v>
      </c>
      <c r="CK73" s="1154">
        <f>CJ73-CI73</f>
        <v>-16.188534156265945</v>
      </c>
      <c r="CL73" s="1150">
        <f t="shared" si="103"/>
        <v>6.8795760898350693</v>
      </c>
      <c r="CM73" s="1157">
        <f t="shared" si="104"/>
        <v>-1.4790336086739408</v>
      </c>
      <c r="CN73" s="1152">
        <f>CM73-CL73</f>
        <v>-8.3586096985090101</v>
      </c>
      <c r="CO73" s="1150">
        <f>(CL73/AQ73)*100</f>
        <v>14.757106349377683</v>
      </c>
      <c r="CP73" s="1151">
        <f>(CM73/CE73)*100</f>
        <v>-5.8187945683855089</v>
      </c>
      <c r="CQ73" s="1152">
        <f>CP73-CO73</f>
        <v>-20.575900917763192</v>
      </c>
      <c r="CR73" s="1173">
        <f t="shared" si="107"/>
        <v>4.5545145633016411</v>
      </c>
      <c r="CS73" s="1153">
        <f t="shared" si="107"/>
        <v>4.4647131144829233</v>
      </c>
      <c r="CT73" s="1150">
        <f t="shared" si="105"/>
        <v>31.333129490495583</v>
      </c>
      <c r="CU73" s="1151">
        <f t="shared" si="106"/>
        <v>-6.6034607494075477</v>
      </c>
      <c r="CV73" s="1152">
        <f>CU73-CT73</f>
        <v>-37.936590239903133</v>
      </c>
      <c r="CX73" s="1150"/>
      <c r="CY73" s="1151"/>
      <c r="CZ73" s="1151"/>
      <c r="DA73" s="1152"/>
      <c r="DB73" s="1153"/>
      <c r="DC73" s="1154"/>
      <c r="DD73" s="1150"/>
      <c r="DE73" s="1150"/>
      <c r="DF73" s="1173"/>
      <c r="DG73" s="1150"/>
      <c r="DI73" s="1434"/>
      <c r="DJ73" s="1435"/>
      <c r="DK73" s="1828"/>
      <c r="DL73" s="1434"/>
      <c r="DM73" s="1435"/>
      <c r="DN73" s="1435"/>
    </row>
    <row r="74" spans="1:118" ht="12.75" customHeight="1">
      <c r="A74" s="1130">
        <v>1</v>
      </c>
      <c r="B74" s="3086"/>
      <c r="C74" s="1172" t="s">
        <v>404</v>
      </c>
      <c r="D74" s="1150">
        <v>13.572532724826138</v>
      </c>
      <c r="E74" s="1151">
        <v>8.2158609165559771</v>
      </c>
      <c r="F74" s="1151">
        <v>3.2106712975032927</v>
      </c>
      <c r="G74" s="1150">
        <v>14.300926606687799</v>
      </c>
      <c r="H74" s="1151">
        <v>8.4478659999999994</v>
      </c>
      <c r="I74" s="1151">
        <v>3.2591097100000002</v>
      </c>
      <c r="J74" s="1150">
        <v>12.487014834782787</v>
      </c>
      <c r="K74" s="1151">
        <v>8.7451932660982621</v>
      </c>
      <c r="L74" s="1151">
        <v>3.0946668670934017</v>
      </c>
      <c r="M74" s="1150">
        <v>10.658925651076634</v>
      </c>
      <c r="N74" s="1151">
        <v>8.1063530000000004</v>
      </c>
      <c r="O74" s="1151">
        <v>3.46758612</v>
      </c>
      <c r="P74" s="1150">
        <v>10.30215448</v>
      </c>
      <c r="Q74" s="1151">
        <v>7.2846890000000002</v>
      </c>
      <c r="R74" s="1151">
        <v>3.1910299200000001</v>
      </c>
      <c r="S74" s="1150">
        <v>12.318811068677178</v>
      </c>
      <c r="T74" s="1195">
        <v>6.5149808633318678</v>
      </c>
      <c r="U74" s="1155">
        <v>3.2061146050511899</v>
      </c>
      <c r="V74" s="1150"/>
      <c r="W74" s="1151"/>
      <c r="X74" s="1151"/>
      <c r="Y74" s="1150">
        <v>20.200498522074938</v>
      </c>
      <c r="Z74" s="1151">
        <v>11.580332054434788</v>
      </c>
      <c r="AA74" s="1151">
        <v>4.0248929711368033</v>
      </c>
      <c r="AB74" s="1150"/>
      <c r="AC74" s="1151"/>
      <c r="AD74" s="1151"/>
      <c r="AE74" s="1150"/>
      <c r="AF74" s="1151"/>
      <c r="AG74" s="1151"/>
      <c r="AH74" s="1150"/>
      <c r="AI74" s="1151"/>
      <c r="AJ74" s="1151"/>
      <c r="AK74" s="1150"/>
      <c r="AL74" s="1151"/>
      <c r="AM74" s="1151"/>
      <c r="AN74" s="1150">
        <v>118.3926310390539</v>
      </c>
      <c r="AO74" s="1151">
        <v>68.745350702956799</v>
      </c>
      <c r="AP74" s="1151">
        <v>28.258121493449543</v>
      </c>
      <c r="AQ74" s="1151">
        <f t="shared" si="101"/>
        <v>83.030951683261122</v>
      </c>
      <c r="AR74" s="1150">
        <v>12.914491183174842</v>
      </c>
      <c r="AS74" s="1151">
        <v>8.3250958753122397</v>
      </c>
      <c r="AT74" s="1151">
        <v>2.9393700824294027</v>
      </c>
      <c r="AU74" s="1150">
        <v>13.360396689126199</v>
      </c>
      <c r="AV74" s="1151">
        <v>8.6490229999999997</v>
      </c>
      <c r="AW74" s="1151">
        <v>2.8345668399999999</v>
      </c>
      <c r="AX74" s="1150"/>
      <c r="AY74" s="1151"/>
      <c r="AZ74" s="1151"/>
      <c r="BA74" s="1150">
        <v>11.6811118765941</v>
      </c>
      <c r="BB74" s="1151">
        <v>8.7001550000000005</v>
      </c>
      <c r="BC74" s="1151">
        <v>2.7046294799999999</v>
      </c>
      <c r="BD74" s="1150">
        <v>11.727274569097352</v>
      </c>
      <c r="BE74" s="1151">
        <v>7.2072702940225826</v>
      </c>
      <c r="BF74" s="1839">
        <v>3.6618230837538497</v>
      </c>
      <c r="BG74" s="1150">
        <v>14.278478718122317</v>
      </c>
      <c r="BH74" s="1195">
        <v>8.666205514863206</v>
      </c>
      <c r="BI74" s="1155">
        <v>3.9963005066859778</v>
      </c>
      <c r="BJ74" s="1150"/>
      <c r="BK74" s="1151"/>
      <c r="BL74" s="1151"/>
      <c r="BM74" s="1150"/>
      <c r="BN74" s="1151"/>
      <c r="BO74" s="1151"/>
      <c r="BP74" s="1150"/>
      <c r="BQ74" s="1151"/>
      <c r="BR74" s="1151"/>
      <c r="BS74" s="1150"/>
      <c r="BT74" s="1151"/>
      <c r="BU74" s="1151"/>
      <c r="BV74" s="1150"/>
      <c r="BW74" s="1151"/>
      <c r="BX74" s="1151"/>
      <c r="BY74" s="1150"/>
      <c r="BZ74" s="1151"/>
      <c r="CA74" s="1151"/>
      <c r="CB74" s="1150">
        <v>74.185577780964678</v>
      </c>
      <c r="CC74" s="1151">
        <v>47.903378045009084</v>
      </c>
      <c r="CD74" s="1151">
        <v>21.187938540364762</v>
      </c>
      <c r="CE74" s="1151">
        <f t="shared" si="102"/>
        <v>48.546504573742034</v>
      </c>
      <c r="CF74" s="1153">
        <f t="shared" si="80"/>
        <v>21.389158842647554</v>
      </c>
      <c r="CG74" s="1154">
        <f t="shared" si="47"/>
        <v>5.0942611955908319</v>
      </c>
      <c r="CH74" s="1155">
        <f t="shared" si="2"/>
        <v>-16.294897647056722</v>
      </c>
      <c r="CI74" s="1154">
        <f t="shared" si="81"/>
        <v>18.066292348543183</v>
      </c>
      <c r="CJ74" s="1154">
        <f t="shared" si="75"/>
        <v>6.8669158453302108</v>
      </c>
      <c r="CK74" s="1154">
        <f t="shared" si="11"/>
        <v>-11.199376503212971</v>
      </c>
      <c r="CL74" s="1150">
        <f t="shared" si="103"/>
        <v>14.285600980304324</v>
      </c>
      <c r="CM74" s="1157">
        <f t="shared" si="104"/>
        <v>0.64312652873294951</v>
      </c>
      <c r="CN74" s="1152">
        <f t="shared" si="13"/>
        <v>-13.642474451571374</v>
      </c>
      <c r="CO74" s="1150">
        <f t="shared" si="82"/>
        <v>17.205151441356143</v>
      </c>
      <c r="CP74" s="1151">
        <f t="shared" si="14"/>
        <v>1.3247638205466301</v>
      </c>
      <c r="CQ74" s="1152">
        <f t="shared" si="6"/>
        <v>-15.880387620809513</v>
      </c>
      <c r="CR74" s="1173">
        <f t="shared" si="107"/>
        <v>4.5545145633016411</v>
      </c>
      <c r="CS74" s="1153">
        <f t="shared" si="107"/>
        <v>4.4647131144829233</v>
      </c>
      <c r="CT74" s="1150">
        <f t="shared" si="105"/>
        <v>65.063977710312244</v>
      </c>
      <c r="CU74" s="1151">
        <f t="shared" si="106"/>
        <v>2.8713754471058781</v>
      </c>
      <c r="CV74" s="1152">
        <f t="shared" si="7"/>
        <v>-62.192602263206368</v>
      </c>
      <c r="CX74" s="1150"/>
      <c r="CY74" s="1151"/>
      <c r="CZ74" s="1151"/>
      <c r="DA74" s="1152">
        <f t="shared" si="17"/>
        <v>0</v>
      </c>
      <c r="DB74" s="1153">
        <f t="shared" si="18"/>
        <v>0</v>
      </c>
      <c r="DC74" s="1154" t="e">
        <f t="shared" si="19"/>
        <v>#DIV/0!</v>
      </c>
      <c r="DD74" s="1150">
        <f t="shared" si="20"/>
        <v>0</v>
      </c>
      <c r="DE74" s="1150" t="e">
        <f t="shared" si="21"/>
        <v>#DIV/0!</v>
      </c>
      <c r="DF74" s="1173">
        <v>4.4361574698787258</v>
      </c>
      <c r="DG74" s="1150">
        <f t="shared" si="22"/>
        <v>0</v>
      </c>
      <c r="DI74" s="1434"/>
      <c r="DJ74" s="1435"/>
      <c r="DK74" s="1828"/>
      <c r="DL74" s="1434"/>
      <c r="DM74" s="1435"/>
      <c r="DN74" s="1435"/>
    </row>
    <row r="75" spans="1:118" ht="12.75" customHeight="1">
      <c r="A75" s="1160">
        <f>SUM(A69:A74)</f>
        <v>2</v>
      </c>
      <c r="B75" s="3087"/>
      <c r="C75" s="1161" t="s">
        <v>311</v>
      </c>
      <c r="D75" s="1162">
        <f>SUM(D69:D74)</f>
        <v>98.096784999999926</v>
      </c>
      <c r="E75" s="1163">
        <f>SUM(E69:E74)</f>
        <v>55.326493999999997</v>
      </c>
      <c r="F75" s="1163">
        <f>SUM(F69:F74)</f>
        <v>24.780819679999997</v>
      </c>
      <c r="G75" s="1166">
        <v>90.434078400000061</v>
      </c>
      <c r="H75" s="1166">
        <v>52.610901999999996</v>
      </c>
      <c r="I75" s="1166">
        <v>21.670367479999999</v>
      </c>
      <c r="J75" s="1166">
        <f t="shared" ref="J75:O75" si="108">SUM(J69:J74)</f>
        <v>82.789619850000079</v>
      </c>
      <c r="K75" s="1166">
        <f t="shared" si="108"/>
        <v>55.265051000000007</v>
      </c>
      <c r="L75" s="1166">
        <f t="shared" si="108"/>
        <v>20.759381009999998</v>
      </c>
      <c r="M75" s="1166">
        <f t="shared" si="108"/>
        <v>74.821707329999882</v>
      </c>
      <c r="N75" s="1166">
        <f t="shared" si="108"/>
        <v>54.590185000000005</v>
      </c>
      <c r="O75" s="1166">
        <f t="shared" si="108"/>
        <v>21.463130120000002</v>
      </c>
      <c r="P75" s="1162">
        <f t="shared" ref="P75:AJ75" si="109">SUM(P69:P74)</f>
        <v>75.234373480000002</v>
      </c>
      <c r="Q75" s="1163">
        <f t="shared" si="109"/>
        <v>46.541033999999996</v>
      </c>
      <c r="R75" s="1163">
        <f t="shared" si="109"/>
        <v>22.590416499999996</v>
      </c>
      <c r="S75" s="1165">
        <f>SUM(S69:S74)</f>
        <v>89.071250099999943</v>
      </c>
      <c r="T75" s="1166">
        <f>SUM(T69:T74)</f>
        <v>48.105744000000016</v>
      </c>
      <c r="U75" s="1167">
        <f>SUM(U69:U74)</f>
        <v>22.082703090000003</v>
      </c>
      <c r="V75" s="1166">
        <f t="shared" si="109"/>
        <v>0</v>
      </c>
      <c r="W75" s="1166">
        <f t="shared" si="109"/>
        <v>0</v>
      </c>
      <c r="X75" s="1166">
        <f t="shared" si="109"/>
        <v>0</v>
      </c>
      <c r="Y75" s="1166">
        <f t="shared" ref="Y75:AA75" si="110">SUM(Y69:Y74)</f>
        <v>138.0392720800001</v>
      </c>
      <c r="Z75" s="1166">
        <f t="shared" si="110"/>
        <v>77.311091000000019</v>
      </c>
      <c r="AA75" s="1166">
        <f t="shared" si="110"/>
        <v>27.089156980000002</v>
      </c>
      <c r="AB75" s="1162">
        <f t="shared" si="109"/>
        <v>0</v>
      </c>
      <c r="AC75" s="1163">
        <f t="shared" si="109"/>
        <v>0</v>
      </c>
      <c r="AD75" s="1163">
        <f t="shared" si="109"/>
        <v>0</v>
      </c>
      <c r="AE75" s="1162">
        <f t="shared" si="109"/>
        <v>0</v>
      </c>
      <c r="AF75" s="1163">
        <f t="shared" si="109"/>
        <v>0</v>
      </c>
      <c r="AG75" s="1163">
        <f t="shared" si="109"/>
        <v>0</v>
      </c>
      <c r="AH75" s="1162">
        <f t="shared" si="109"/>
        <v>0</v>
      </c>
      <c r="AI75" s="1163">
        <f t="shared" si="109"/>
        <v>0</v>
      </c>
      <c r="AJ75" s="1163">
        <f t="shared" si="109"/>
        <v>0</v>
      </c>
      <c r="AK75" s="1166">
        <f t="shared" ref="AK75:AM75" si="111">SUM(AK69:AK74)</f>
        <v>0</v>
      </c>
      <c r="AL75" s="1166">
        <f t="shared" si="111"/>
        <v>0</v>
      </c>
      <c r="AM75" s="1166">
        <f t="shared" si="111"/>
        <v>0</v>
      </c>
      <c r="AN75" s="1162">
        <f>SUM(AN69:AN74)</f>
        <v>809.03115288999982</v>
      </c>
      <c r="AO75" s="1163">
        <f t="shared" ref="AO75:AP75" si="112">SUM(AO69:AO74)</f>
        <v>458.94867600000009</v>
      </c>
      <c r="AP75" s="1163">
        <f t="shared" si="112"/>
        <v>190.18858255000001</v>
      </c>
      <c r="AQ75" s="1163">
        <f t="shared" ref="AQ75:CE75" si="113">SUM(AQ69:AQ74)</f>
        <v>570.30070116659988</v>
      </c>
      <c r="AR75" s="1162">
        <f t="shared" si="113"/>
        <v>93.340726500000073</v>
      </c>
      <c r="AS75" s="1163">
        <f t="shared" si="113"/>
        <v>56.062094000000002</v>
      </c>
      <c r="AT75" s="1163">
        <f t="shared" si="113"/>
        <v>22.686844350000001</v>
      </c>
      <c r="AU75" s="1166">
        <f t="shared" si="113"/>
        <v>85.621903489999767</v>
      </c>
      <c r="AV75" s="1166">
        <f t="shared" si="113"/>
        <v>51.846820999999998</v>
      </c>
      <c r="AW75" s="1166">
        <f t="shared" si="113"/>
        <v>22.074379740000001</v>
      </c>
      <c r="AX75" s="1166">
        <f t="shared" si="113"/>
        <v>0</v>
      </c>
      <c r="AY75" s="1166">
        <f t="shared" si="113"/>
        <v>0</v>
      </c>
      <c r="AZ75" s="1166">
        <f t="shared" si="113"/>
        <v>0</v>
      </c>
      <c r="BA75" s="1166">
        <f t="shared" si="113"/>
        <v>75.640629239999924</v>
      </c>
      <c r="BB75" s="1166">
        <f t="shared" si="113"/>
        <v>55.238035000000004</v>
      </c>
      <c r="BC75" s="1166">
        <f t="shared" si="113"/>
        <v>21.1023709</v>
      </c>
      <c r="BD75" s="1166">
        <f t="shared" si="113"/>
        <v>82.321120750000063</v>
      </c>
      <c r="BE75" s="1166">
        <f t="shared" si="113"/>
        <v>47.780366000000001</v>
      </c>
      <c r="BF75" s="1166">
        <f t="shared" si="113"/>
        <v>23.73399775</v>
      </c>
      <c r="BG75" s="1165">
        <f t="shared" si="113"/>
        <v>100.22962827000011</v>
      </c>
      <c r="BH75" s="1166">
        <f t="shared" si="113"/>
        <v>57.452329999999996</v>
      </c>
      <c r="BI75" s="1167">
        <f t="shared" si="113"/>
        <v>25.90190325</v>
      </c>
      <c r="BJ75" s="1166">
        <f t="shared" si="113"/>
        <v>0</v>
      </c>
      <c r="BK75" s="1166">
        <f t="shared" si="113"/>
        <v>0</v>
      </c>
      <c r="BL75" s="1166">
        <f t="shared" si="113"/>
        <v>0</v>
      </c>
      <c r="BM75" s="1166">
        <f t="shared" si="113"/>
        <v>0</v>
      </c>
      <c r="BN75" s="1166">
        <f t="shared" si="113"/>
        <v>0</v>
      </c>
      <c r="BO75" s="1166">
        <f t="shared" si="113"/>
        <v>0</v>
      </c>
      <c r="BP75" s="1166">
        <f t="shared" si="113"/>
        <v>0</v>
      </c>
      <c r="BQ75" s="1166">
        <f t="shared" si="113"/>
        <v>0</v>
      </c>
      <c r="BR75" s="1166">
        <f t="shared" si="113"/>
        <v>0</v>
      </c>
      <c r="BS75" s="1166">
        <f t="shared" si="113"/>
        <v>0</v>
      </c>
      <c r="BT75" s="1166">
        <f t="shared" si="113"/>
        <v>0</v>
      </c>
      <c r="BU75" s="1166">
        <f t="shared" si="113"/>
        <v>0</v>
      </c>
      <c r="BV75" s="1166">
        <f t="shared" si="113"/>
        <v>0</v>
      </c>
      <c r="BW75" s="1166">
        <f t="shared" si="113"/>
        <v>0</v>
      </c>
      <c r="BX75" s="1166">
        <f t="shared" si="113"/>
        <v>0</v>
      </c>
      <c r="BY75" s="1166">
        <f t="shared" si="113"/>
        <v>0</v>
      </c>
      <c r="BZ75" s="1166">
        <f t="shared" si="113"/>
        <v>0</v>
      </c>
      <c r="CA75" s="1166">
        <f t="shared" si="113"/>
        <v>0</v>
      </c>
      <c r="CB75" s="1162">
        <f>SUM(CB69:CB74)</f>
        <v>520.75525907000019</v>
      </c>
      <c r="CC75" s="1163">
        <f t="shared" si="113"/>
        <v>317.57390000000004</v>
      </c>
      <c r="CD75" s="1163">
        <f t="shared" si="113"/>
        <v>137.32899545999999</v>
      </c>
      <c r="CE75" s="1163">
        <f t="shared" si="113"/>
        <v>352.18094806580018</v>
      </c>
      <c r="CF75" s="1165">
        <f t="shared" ref="CF75:CF85" si="114">AN75-AO75-AP75</f>
        <v>159.89389433999972</v>
      </c>
      <c r="CG75" s="1166">
        <f t="shared" si="47"/>
        <v>65.852363610000168</v>
      </c>
      <c r="CH75" s="1167">
        <f t="shared" si="2"/>
        <v>-94.04153072999955</v>
      </c>
      <c r="CI75" s="1166">
        <f t="shared" ref="CI75:CI85" si="115">(AN75-AO75-AP75)/AN75*100</f>
        <v>19.76362637814761</v>
      </c>
      <c r="CJ75" s="1166">
        <f t="shared" si="75"/>
        <v>12.645549413673471</v>
      </c>
      <c r="CK75" s="1166">
        <f t="shared" si="11"/>
        <v>-7.1180769644741382</v>
      </c>
      <c r="CL75" s="1162">
        <f>SUM(CL69:CL74)</f>
        <v>111.35202516659977</v>
      </c>
      <c r="CM75" s="1163">
        <f>SUM(CM69:CM74)</f>
        <v>34.607048065800129</v>
      </c>
      <c r="CN75" s="1164">
        <f t="shared" si="13"/>
        <v>-76.744977100799645</v>
      </c>
      <c r="CO75" s="1162">
        <f t="shared" ref="CO75:CO85" si="116">(CL75/AQ75)*100</f>
        <v>19.525142602633924</v>
      </c>
      <c r="CP75" s="1163">
        <f t="shared" si="14"/>
        <v>9.826496366672929</v>
      </c>
      <c r="CQ75" s="1164">
        <f t="shared" si="6"/>
        <v>-9.6986462359609948</v>
      </c>
      <c r="CR75" s="1168">
        <f t="shared" si="107"/>
        <v>4.5545145633016411</v>
      </c>
      <c r="CS75" s="1165">
        <f t="shared" si="107"/>
        <v>4.4647131144829233</v>
      </c>
      <c r="CT75" s="1162">
        <f>SUM(CT69:CT74)</f>
        <v>507.15442027440957</v>
      </c>
      <c r="CU75" s="1163">
        <f>SUM(CU69:CU74)</f>
        <v>154.51054135291875</v>
      </c>
      <c r="CV75" s="1164">
        <f t="shared" si="7"/>
        <v>-352.6438789214908</v>
      </c>
      <c r="CX75" s="1162">
        <f>SUM(CX69:CX74)</f>
        <v>0</v>
      </c>
      <c r="CY75" s="1162">
        <f>SUM(CY69:CY74)</f>
        <v>0</v>
      </c>
      <c r="CZ75" s="1162">
        <f>SUM(CZ69:CZ74)</f>
        <v>0</v>
      </c>
      <c r="DA75" s="1162">
        <f>SUM(DA69:DA74)</f>
        <v>0</v>
      </c>
      <c r="DB75" s="1165">
        <f t="shared" si="18"/>
        <v>0</v>
      </c>
      <c r="DC75" s="1166" t="e">
        <f t="shared" si="19"/>
        <v>#DIV/0!</v>
      </c>
      <c r="DD75" s="1162">
        <f t="shared" si="20"/>
        <v>0</v>
      </c>
      <c r="DE75" s="1162" t="e">
        <f t="shared" si="21"/>
        <v>#DIV/0!</v>
      </c>
      <c r="DF75" s="1168">
        <v>4.4361574698787258</v>
      </c>
      <c r="DG75" s="1162">
        <f t="shared" si="22"/>
        <v>0</v>
      </c>
      <c r="DI75" s="1432">
        <f>AN75-ventes_achats_élec!G24</f>
        <v>0</v>
      </c>
      <c r="DJ75" s="1433">
        <f>AO75-ventes_achats_élec!D24</f>
        <v>0</v>
      </c>
      <c r="DK75" s="1827">
        <f>AP75-ventes_achats_élec!E24</f>
        <v>0</v>
      </c>
      <c r="DL75" s="1432">
        <f>CB75-ventes_achats_élec!M24</f>
        <v>-315.41909596999972</v>
      </c>
      <c r="DM75" s="1433">
        <f>CC75-ventes_achats_élec!J24</f>
        <v>-165.07962100000003</v>
      </c>
      <c r="DN75" s="1433">
        <f>CD75-ventes_achats_élec!K24</f>
        <v>-60.006967110000005</v>
      </c>
    </row>
    <row r="76" spans="1:118" ht="12.75" customHeight="1">
      <c r="A76" s="1130">
        <v>1</v>
      </c>
      <c r="B76" s="3085" t="s">
        <v>399</v>
      </c>
      <c r="C76" s="1177" t="s">
        <v>399</v>
      </c>
      <c r="D76" s="1150">
        <v>22.883252483206327</v>
      </c>
      <c r="E76" s="1151">
        <v>9.9495979999999999</v>
      </c>
      <c r="F76" s="1151">
        <v>10.155388600000002</v>
      </c>
      <c r="G76" s="1150">
        <v>18.21</v>
      </c>
      <c r="H76" s="1151">
        <v>7.1488440000000004</v>
      </c>
      <c r="I76" s="1151">
        <v>8.1343599900000019</v>
      </c>
      <c r="J76" s="1150">
        <v>18.12</v>
      </c>
      <c r="K76" s="1151">
        <v>11.644123</v>
      </c>
      <c r="L76" s="1151">
        <v>9.3986549200000002</v>
      </c>
      <c r="M76" s="1150">
        <v>17.82</v>
      </c>
      <c r="N76" s="1151">
        <v>9.8693310000000007</v>
      </c>
      <c r="O76" s="1151">
        <v>7.0741742900000002</v>
      </c>
      <c r="P76" s="1150">
        <v>16.239999999999998</v>
      </c>
      <c r="Q76" s="1151">
        <v>6.9520949999999999</v>
      </c>
      <c r="R76" s="1151">
        <v>12.22171601</v>
      </c>
      <c r="S76" s="1150">
        <v>22.97</v>
      </c>
      <c r="T76" s="1195">
        <v>10.686605</v>
      </c>
      <c r="U76" s="1155">
        <v>9.6474833399999991</v>
      </c>
      <c r="V76" s="1150">
        <v>38.43</v>
      </c>
      <c r="W76" s="1151">
        <v>15.179952</v>
      </c>
      <c r="X76" s="1151">
        <v>12.9055955</v>
      </c>
      <c r="Y76" s="1150">
        <v>31.19</v>
      </c>
      <c r="Z76" s="1151">
        <v>13.673683</v>
      </c>
      <c r="AA76" s="1151">
        <v>10.85046906</v>
      </c>
      <c r="AB76" s="1150"/>
      <c r="AC76" s="1151"/>
      <c r="AD76" s="1151"/>
      <c r="AE76" s="1150"/>
      <c r="AF76" s="1151"/>
      <c r="AG76" s="1151"/>
      <c r="AH76" s="1150"/>
      <c r="AI76" s="1151"/>
      <c r="AJ76" s="1151"/>
      <c r="AK76" s="1150"/>
      <c r="AL76" s="1151"/>
      <c r="AM76" s="1151"/>
      <c r="AN76" s="1150">
        <v>187.9366341105854</v>
      </c>
      <c r="AO76" s="1151">
        <v>83.866946999999996</v>
      </c>
      <c r="AP76" s="1151">
        <v>80.640069350000005</v>
      </c>
      <c r="AQ76" s="1151">
        <f t="shared" ref="AQ76:AQ84" si="117">AN76-(AN76*0.06)-AP76</f>
        <v>96.020366713950267</v>
      </c>
      <c r="AR76" s="1150">
        <v>21.557002999999998</v>
      </c>
      <c r="AS76" s="1151">
        <v>10.462341</v>
      </c>
      <c r="AT76" s="1151">
        <v>8.7332754500000007</v>
      </c>
      <c r="AU76" s="1150">
        <v>18.190000000000001</v>
      </c>
      <c r="AV76" s="1151">
        <v>7.2543340000000001</v>
      </c>
      <c r="AW76" s="1151">
        <v>8.7795173999999996</v>
      </c>
      <c r="AX76" s="1150"/>
      <c r="AY76" s="1151"/>
      <c r="AZ76" s="1151"/>
      <c r="BA76" s="1150">
        <v>17.920000000000002</v>
      </c>
      <c r="BB76" s="1151">
        <v>10.645029000000008</v>
      </c>
      <c r="BC76" s="1151">
        <v>8.9784097900000006</v>
      </c>
      <c r="BD76" s="1150">
        <v>19.510000000000002</v>
      </c>
      <c r="BE76" s="1151">
        <v>7.2050130000000001</v>
      </c>
      <c r="BF76" s="1839">
        <v>8.7584145399999986</v>
      </c>
      <c r="BG76" s="1150">
        <v>22.52</v>
      </c>
      <c r="BH76" s="1195">
        <v>11.206599000000001</v>
      </c>
      <c r="BI76" s="1155">
        <v>9.8140248899999989</v>
      </c>
      <c r="BJ76" s="1150">
        <v>33.22</v>
      </c>
      <c r="BK76" s="1151"/>
      <c r="BL76" s="1151">
        <v>10.116474010000001</v>
      </c>
      <c r="BM76" s="1150"/>
      <c r="BN76" s="1151"/>
      <c r="BO76" s="1151"/>
      <c r="BP76" s="1150"/>
      <c r="BQ76" s="1151"/>
      <c r="BR76" s="1151"/>
      <c r="BS76" s="1150"/>
      <c r="BT76" s="1151"/>
      <c r="BU76" s="1151"/>
      <c r="BV76" s="1150"/>
      <c r="BW76" s="1151"/>
      <c r="BX76" s="1151"/>
      <c r="BY76" s="1150"/>
      <c r="BZ76" s="1151"/>
      <c r="CA76" s="1151"/>
      <c r="CB76" s="1150">
        <v>153.13700299999999</v>
      </c>
      <c r="CC76" s="1151">
        <v>57.202929000000012</v>
      </c>
      <c r="CD76" s="1151">
        <v>64.661275309999994</v>
      </c>
      <c r="CE76" s="1151">
        <f t="shared" ref="CE76:CE84" si="118">CB76-(CB76*0.06)-CD76</f>
        <v>79.287507509999998</v>
      </c>
      <c r="CF76" s="1153">
        <f t="shared" si="114"/>
        <v>23.429617760585401</v>
      </c>
      <c r="CG76" s="1154">
        <f t="shared" si="47"/>
        <v>31.272798689999988</v>
      </c>
      <c r="CH76" s="1155">
        <f t="shared" si="2"/>
        <v>7.8431809294145864</v>
      </c>
      <c r="CI76" s="1154">
        <f t="shared" si="115"/>
        <v>12.46676459407003</v>
      </c>
      <c r="CJ76" s="1154">
        <f t="shared" si="75"/>
        <v>20.421451430651278</v>
      </c>
      <c r="CK76" s="1154">
        <f t="shared" si="11"/>
        <v>7.9546868365812475</v>
      </c>
      <c r="CL76" s="1150">
        <f t="shared" ref="CL76:CL84" si="119">AQ76-AO76</f>
        <v>12.153419713950271</v>
      </c>
      <c r="CM76" s="1157">
        <f t="shared" ref="CM76:CM84" si="120">CE76-CC76</f>
        <v>22.084578509999986</v>
      </c>
      <c r="CN76" s="1152">
        <f t="shared" si="13"/>
        <v>9.931158796049715</v>
      </c>
      <c r="CO76" s="1150">
        <f t="shared" si="116"/>
        <v>12.657126951156048</v>
      </c>
      <c r="CP76" s="1151">
        <f t="shared" si="14"/>
        <v>27.853793369926034</v>
      </c>
      <c r="CQ76" s="1152">
        <f t="shared" si="6"/>
        <v>15.196666418769986</v>
      </c>
      <c r="CR76" s="1173">
        <f>élec!AZ302/100</f>
        <v>0</v>
      </c>
      <c r="CS76" s="1153">
        <f>élec!AZ317/100</f>
        <v>0</v>
      </c>
      <c r="CT76" s="1150">
        <f>CL76*CR76</f>
        <v>0</v>
      </c>
      <c r="CU76" s="1151">
        <f t="shared" ref="CU76:CU84" si="121">CS76*CM76</f>
        <v>0</v>
      </c>
      <c r="CV76" s="1152">
        <f t="shared" si="7"/>
        <v>0</v>
      </c>
      <c r="CX76" s="1150"/>
      <c r="CY76" s="1151"/>
      <c r="CZ76" s="1151"/>
      <c r="DA76" s="1152">
        <f t="shared" si="17"/>
        <v>0</v>
      </c>
      <c r="DB76" s="1153">
        <f t="shared" si="18"/>
        <v>0</v>
      </c>
      <c r="DC76" s="1154" t="e">
        <f t="shared" si="19"/>
        <v>#DIV/0!</v>
      </c>
      <c r="DD76" s="1150">
        <f t="shared" si="20"/>
        <v>0</v>
      </c>
      <c r="DE76" s="1150" t="e">
        <f t="shared" si="21"/>
        <v>#DIV/0!</v>
      </c>
      <c r="DF76" s="1173">
        <v>4.8558792297693056</v>
      </c>
      <c r="DG76" s="1150">
        <f t="shared" si="22"/>
        <v>0</v>
      </c>
      <c r="DI76" s="1434"/>
      <c r="DJ76" s="1435"/>
      <c r="DK76" s="1828"/>
      <c r="DL76" s="1434"/>
      <c r="DM76" s="2064">
        <f>CC76/CC$85*DM$85</f>
        <v>-29.30387302814977</v>
      </c>
      <c r="DN76" s="2064">
        <f>CD76/CD$85*DN$85</f>
        <v>-10.149924458786874</v>
      </c>
    </row>
    <row r="77" spans="1:118" ht="12.75" customHeight="1">
      <c r="A77" s="1130">
        <v>1</v>
      </c>
      <c r="B77" s="3086"/>
      <c r="C77" s="1177" t="s">
        <v>405</v>
      </c>
      <c r="D77" s="1150">
        <v>15.719712410749004</v>
      </c>
      <c r="E77" s="1151">
        <v>9.9644370000000002</v>
      </c>
      <c r="F77" s="1151">
        <v>3.0467077399999996</v>
      </c>
      <c r="G77" s="1150">
        <v>13.78</v>
      </c>
      <c r="H77" s="1151">
        <v>8.9352309999999999</v>
      </c>
      <c r="I77" s="1151">
        <v>2.8705101499999999</v>
      </c>
      <c r="J77" s="1150">
        <v>12.75</v>
      </c>
      <c r="K77" s="1151">
        <v>9.6377000000000006</v>
      </c>
      <c r="L77" s="1151">
        <v>3.61368701</v>
      </c>
      <c r="M77" s="1150">
        <v>12.88</v>
      </c>
      <c r="N77" s="1151">
        <v>8.9891199999999998</v>
      </c>
      <c r="O77" s="1151">
        <v>2.82647592</v>
      </c>
      <c r="P77" s="1150">
        <v>9.2200000000000006</v>
      </c>
      <c r="Q77" s="1151">
        <v>7.4431859999999999</v>
      </c>
      <c r="R77" s="1151">
        <v>3.0258048300000002</v>
      </c>
      <c r="S77" s="1150">
        <v>11.02</v>
      </c>
      <c r="T77" s="1195">
        <v>6.8024959999999997</v>
      </c>
      <c r="U77" s="1155">
        <v>2.9389040499999997</v>
      </c>
      <c r="V77" s="1150">
        <v>23.71</v>
      </c>
      <c r="W77" s="1151">
        <v>12.565159</v>
      </c>
      <c r="X77" s="1151">
        <v>3.4832165700000002</v>
      </c>
      <c r="Y77" s="1150">
        <v>18.75</v>
      </c>
      <c r="Z77" s="1151">
        <v>12.594645999999999</v>
      </c>
      <c r="AA77" s="1151">
        <v>3.8756711099999999</v>
      </c>
      <c r="AB77" s="1150"/>
      <c r="AC77" s="1151"/>
      <c r="AD77" s="1151"/>
      <c r="AE77" s="1150"/>
      <c r="AF77" s="1151"/>
      <c r="AG77" s="1151"/>
      <c r="AH77" s="1150"/>
      <c r="AI77" s="1151"/>
      <c r="AJ77" s="1151"/>
      <c r="AK77" s="1150"/>
      <c r="AL77" s="1151"/>
      <c r="AM77" s="1151"/>
      <c r="AN77" s="1150">
        <v>118.13245676153628</v>
      </c>
      <c r="AO77" s="1151">
        <v>75.519311999999999</v>
      </c>
      <c r="AP77" s="1151">
        <v>25.217417009999998</v>
      </c>
      <c r="AQ77" s="1151">
        <f t="shared" si="117"/>
        <v>85.827092345844108</v>
      </c>
      <c r="AR77" s="1150">
        <v>15.649999999999999</v>
      </c>
      <c r="AS77" s="1151">
        <v>9.9629910000000006</v>
      </c>
      <c r="AT77" s="1151">
        <v>3.3395362899999981</v>
      </c>
      <c r="AU77" s="1150">
        <v>13.69</v>
      </c>
      <c r="AV77" s="1151">
        <v>9.2104060000000008</v>
      </c>
      <c r="AW77" s="1151">
        <v>3.2054519699999999</v>
      </c>
      <c r="AX77" s="1150"/>
      <c r="AY77" s="1151"/>
      <c r="AZ77" s="1151"/>
      <c r="BA77" s="1150">
        <v>12.96</v>
      </c>
      <c r="BB77" s="1151">
        <v>9.3591489999999862</v>
      </c>
      <c r="BC77" s="1151">
        <v>4.7914102600000001</v>
      </c>
      <c r="BD77" s="1150">
        <v>12.22</v>
      </c>
      <c r="BE77" s="1151">
        <v>8.3713509999999989</v>
      </c>
      <c r="BF77" s="1839">
        <v>3.4188856299999997</v>
      </c>
      <c r="BG77" s="1150">
        <v>14.48</v>
      </c>
      <c r="BH77" s="1195">
        <v>7.3582989999999997</v>
      </c>
      <c r="BI77" s="1155">
        <v>3.3890929299999999</v>
      </c>
      <c r="BJ77" s="1150">
        <v>21.33</v>
      </c>
      <c r="BK77" s="1151"/>
      <c r="BL77" s="1151">
        <v>3.3361951799999998</v>
      </c>
      <c r="BM77" s="1150"/>
      <c r="BN77" s="1151"/>
      <c r="BO77" s="1151"/>
      <c r="BP77" s="1150"/>
      <c r="BQ77" s="1151"/>
      <c r="BR77" s="1151"/>
      <c r="BS77" s="1150"/>
      <c r="BT77" s="1151"/>
      <c r="BU77" s="1151"/>
      <c r="BV77" s="1150"/>
      <c r="BW77" s="1151"/>
      <c r="BX77" s="1151"/>
      <c r="BY77" s="1150"/>
      <c r="BZ77" s="1151"/>
      <c r="CA77" s="1151"/>
      <c r="CB77" s="1150">
        <v>103.96000000000001</v>
      </c>
      <c r="CC77" s="1151">
        <v>52.780098999999986</v>
      </c>
      <c r="CD77" s="1151">
        <v>24.746409529999998</v>
      </c>
      <c r="CE77" s="1151">
        <f t="shared" si="118"/>
        <v>72.975990470000013</v>
      </c>
      <c r="CF77" s="1153">
        <f t="shared" si="114"/>
        <v>17.395727751536278</v>
      </c>
      <c r="CG77" s="1154">
        <f t="shared" si="47"/>
        <v>26.433491470000025</v>
      </c>
      <c r="CH77" s="1155">
        <f t="shared" si="2"/>
        <v>9.0377637184637472</v>
      </c>
      <c r="CI77" s="1154">
        <f t="shared" si="115"/>
        <v>14.725612442524175</v>
      </c>
      <c r="CJ77" s="1154">
        <f t="shared" si="75"/>
        <v>25.4265981819931</v>
      </c>
      <c r="CK77" s="1154">
        <f t="shared" si="11"/>
        <v>10.700985739468925</v>
      </c>
      <c r="CL77" s="1150">
        <f t="shared" si="119"/>
        <v>10.307780345844108</v>
      </c>
      <c r="CM77" s="1157">
        <f t="shared" si="120"/>
        <v>20.195891470000028</v>
      </c>
      <c r="CN77" s="1152">
        <f t="shared" si="13"/>
        <v>9.8881111241559196</v>
      </c>
      <c r="CO77" s="1150">
        <f t="shared" si="116"/>
        <v>12.009937729578962</v>
      </c>
      <c r="CP77" s="1151">
        <f t="shared" si="14"/>
        <v>27.674706900076178</v>
      </c>
      <c r="CQ77" s="1152">
        <f t="shared" si="6"/>
        <v>15.664769170497216</v>
      </c>
      <c r="CR77" s="1173">
        <f>CR76</f>
        <v>0</v>
      </c>
      <c r="CS77" s="1153">
        <f>CS76</f>
        <v>0</v>
      </c>
      <c r="CT77" s="1150">
        <f t="shared" ref="CT77:CT84" si="122">CL77*CR77</f>
        <v>0</v>
      </c>
      <c r="CU77" s="1151">
        <f t="shared" si="121"/>
        <v>0</v>
      </c>
      <c r="CV77" s="1152">
        <f t="shared" si="7"/>
        <v>0</v>
      </c>
      <c r="CX77" s="1150"/>
      <c r="CY77" s="1151"/>
      <c r="CZ77" s="1151"/>
      <c r="DA77" s="1152">
        <f t="shared" si="17"/>
        <v>0</v>
      </c>
      <c r="DB77" s="1153">
        <f t="shared" si="18"/>
        <v>0</v>
      </c>
      <c r="DC77" s="1154" t="e">
        <f t="shared" si="19"/>
        <v>#DIV/0!</v>
      </c>
      <c r="DD77" s="1150">
        <f t="shared" si="20"/>
        <v>0</v>
      </c>
      <c r="DE77" s="1150" t="e">
        <f t="shared" si="21"/>
        <v>#DIV/0!</v>
      </c>
      <c r="DF77" s="1173">
        <v>4.8558792297693056</v>
      </c>
      <c r="DG77" s="1150">
        <f t="shared" si="22"/>
        <v>0</v>
      </c>
      <c r="DI77" s="1434"/>
      <c r="DJ77" s="1435"/>
      <c r="DK77" s="1828"/>
      <c r="DL77" s="1434"/>
      <c r="DM77" s="2064">
        <f t="shared" ref="DM77:DN84" si="123">CC77/CC$85*DM$85</f>
        <v>-27.038149034451958</v>
      </c>
      <c r="DN77" s="2064">
        <f t="shared" si="123"/>
        <v>-3.8844607711728663</v>
      </c>
    </row>
    <row r="78" spans="1:118" ht="12.75" customHeight="1">
      <c r="A78" s="1130">
        <v>1</v>
      </c>
      <c r="B78" s="3086"/>
      <c r="C78" s="1177" t="s">
        <v>406</v>
      </c>
      <c r="D78" s="1150">
        <v>13.916303721179331</v>
      </c>
      <c r="E78" s="1151">
        <v>5.255674</v>
      </c>
      <c r="F78" s="1151">
        <v>2.5690860199999999</v>
      </c>
      <c r="G78" s="1150">
        <v>15.42</v>
      </c>
      <c r="H78" s="1151">
        <v>9.7117599999999999</v>
      </c>
      <c r="I78" s="1151">
        <v>2.3298538</v>
      </c>
      <c r="J78" s="1150">
        <v>13.39</v>
      </c>
      <c r="K78" s="1151">
        <v>10.24273</v>
      </c>
      <c r="L78" s="1151">
        <v>2.4460704500000001</v>
      </c>
      <c r="M78" s="1150">
        <v>8.23</v>
      </c>
      <c r="N78" s="1151">
        <v>5.607329</v>
      </c>
      <c r="O78" s="1151">
        <v>2.1924956400000002</v>
      </c>
      <c r="P78" s="1150">
        <v>10.45</v>
      </c>
      <c r="Q78" s="1151">
        <v>7.7295819999999997</v>
      </c>
      <c r="R78" s="1151">
        <v>2.3506944600000002</v>
      </c>
      <c r="S78" s="1150">
        <v>13.01</v>
      </c>
      <c r="T78" s="1195">
        <v>8.7963339999999999</v>
      </c>
      <c r="U78" s="1155">
        <v>2.4539886699999998</v>
      </c>
      <c r="V78" s="1150">
        <v>27.03</v>
      </c>
      <c r="W78" s="1151">
        <v>7.6346309999999997</v>
      </c>
      <c r="X78" s="1151">
        <v>3.01520462</v>
      </c>
      <c r="Y78" s="1150">
        <v>23.38</v>
      </c>
      <c r="Z78" s="1151">
        <v>13.811953000000001</v>
      </c>
      <c r="AA78" s="1151">
        <v>2.8120924700000001</v>
      </c>
      <c r="AB78" s="1150"/>
      <c r="AC78" s="1151"/>
      <c r="AD78" s="1151"/>
      <c r="AE78" s="1150"/>
      <c r="AF78" s="1151"/>
      <c r="AG78" s="1151"/>
      <c r="AH78" s="1150"/>
      <c r="AI78" s="1151"/>
      <c r="AJ78" s="1151"/>
      <c r="AK78" s="1150"/>
      <c r="AL78" s="1151"/>
      <c r="AM78" s="1151"/>
      <c r="AN78" s="1150">
        <v>121.56659801666018</v>
      </c>
      <c r="AO78" s="1151">
        <v>66.958354999999997</v>
      </c>
      <c r="AP78" s="1151">
        <v>20.444198569999998</v>
      </c>
      <c r="AQ78" s="1151">
        <f t="shared" si="117"/>
        <v>93.828403565660565</v>
      </c>
      <c r="AR78" s="1150">
        <v>13.889999999999999</v>
      </c>
      <c r="AS78" s="1151">
        <v>5.8836349999999999</v>
      </c>
      <c r="AT78" s="1151">
        <v>2.6207661499999984</v>
      </c>
      <c r="AU78" s="1150">
        <v>15.77</v>
      </c>
      <c r="AV78" s="1151">
        <v>9.6143979999999996</v>
      </c>
      <c r="AW78" s="1151">
        <v>2.50320849</v>
      </c>
      <c r="AX78" s="1150"/>
      <c r="AY78" s="1151"/>
      <c r="AZ78" s="1151"/>
      <c r="BA78" s="1150">
        <v>8.4499999999999993</v>
      </c>
      <c r="BB78" s="1151">
        <v>7.8882789999999989</v>
      </c>
      <c r="BC78" s="1151">
        <v>3.5760459999999998</v>
      </c>
      <c r="BD78" s="1150">
        <v>14.13</v>
      </c>
      <c r="BE78" s="1151">
        <v>7.688428</v>
      </c>
      <c r="BF78" s="1839">
        <v>2.6573857199999997</v>
      </c>
      <c r="BG78" s="1150">
        <v>15.08</v>
      </c>
      <c r="BH78" s="1195">
        <v>10.445891</v>
      </c>
      <c r="BI78" s="1155">
        <v>2.6064742200000004</v>
      </c>
      <c r="BJ78" s="1150">
        <v>26.57</v>
      </c>
      <c r="BK78" s="1151"/>
      <c r="BL78" s="1151">
        <v>2.8009928300000002</v>
      </c>
      <c r="BM78" s="1150"/>
      <c r="BN78" s="1151"/>
      <c r="BO78" s="1151"/>
      <c r="BP78" s="1150"/>
      <c r="BQ78" s="1151"/>
      <c r="BR78" s="1151"/>
      <c r="BS78" s="1150"/>
      <c r="BT78" s="1151"/>
      <c r="BU78" s="1151"/>
      <c r="BV78" s="1150"/>
      <c r="BW78" s="1151"/>
      <c r="BX78" s="1151"/>
      <c r="BY78" s="1150"/>
      <c r="BZ78" s="1151"/>
      <c r="CA78" s="1151"/>
      <c r="CB78" s="1150">
        <v>104.11000000000001</v>
      </c>
      <c r="CC78" s="1151">
        <v>50.165593000000001</v>
      </c>
      <c r="CD78" s="1151">
        <v>19.311170239999996</v>
      </c>
      <c r="CE78" s="1151">
        <f t="shared" si="118"/>
        <v>78.552229760000017</v>
      </c>
      <c r="CF78" s="1153">
        <f t="shared" si="114"/>
        <v>34.164044446660185</v>
      </c>
      <c r="CG78" s="1154">
        <f t="shared" si="47"/>
        <v>34.633236760000017</v>
      </c>
      <c r="CH78" s="1155">
        <f t="shared" si="2"/>
        <v>0.46919231333983191</v>
      </c>
      <c r="CI78" s="1154">
        <f t="shared" si="115"/>
        <v>28.103150868775771</v>
      </c>
      <c r="CJ78" s="1154">
        <f t="shared" si="75"/>
        <v>33.266003995773715</v>
      </c>
      <c r="CK78" s="1154">
        <f t="shared" si="11"/>
        <v>5.1628531269979447</v>
      </c>
      <c r="CL78" s="1150">
        <f t="shared" si="119"/>
        <v>26.870048565660568</v>
      </c>
      <c r="CM78" s="1157">
        <f t="shared" si="120"/>
        <v>28.386636760000016</v>
      </c>
      <c r="CN78" s="1152">
        <f t="shared" si="13"/>
        <v>1.5165881943394481</v>
      </c>
      <c r="CO78" s="1150">
        <f t="shared" si="116"/>
        <v>28.637435514776787</v>
      </c>
      <c r="CP78" s="1151">
        <f t="shared" si="14"/>
        <v>36.137276875181612</v>
      </c>
      <c r="CQ78" s="1152">
        <f t="shared" si="6"/>
        <v>7.499841360404826</v>
      </c>
      <c r="CR78" s="1173">
        <f t="shared" ref="CR78:CR85" si="124">CR77</f>
        <v>0</v>
      </c>
      <c r="CS78" s="1153">
        <f t="shared" ref="CS78:CS85" si="125">CS77</f>
        <v>0</v>
      </c>
      <c r="CT78" s="1150">
        <f t="shared" si="122"/>
        <v>0</v>
      </c>
      <c r="CU78" s="1151">
        <f t="shared" si="121"/>
        <v>0</v>
      </c>
      <c r="CV78" s="1152">
        <f t="shared" si="7"/>
        <v>0</v>
      </c>
      <c r="CX78" s="1150"/>
      <c r="CY78" s="1151"/>
      <c r="CZ78" s="1151"/>
      <c r="DA78" s="1152">
        <f t="shared" si="17"/>
        <v>0</v>
      </c>
      <c r="DB78" s="1153">
        <f t="shared" si="18"/>
        <v>0</v>
      </c>
      <c r="DC78" s="1154" t="e">
        <f t="shared" si="19"/>
        <v>#DIV/0!</v>
      </c>
      <c r="DD78" s="1150">
        <f t="shared" si="20"/>
        <v>0</v>
      </c>
      <c r="DE78" s="1150" t="e">
        <f t="shared" si="21"/>
        <v>#DIV/0!</v>
      </c>
      <c r="DF78" s="1173">
        <v>4.8558792297693056</v>
      </c>
      <c r="DG78" s="1150">
        <f t="shared" si="22"/>
        <v>0</v>
      </c>
      <c r="DI78" s="1434"/>
      <c r="DJ78" s="1435"/>
      <c r="DK78" s="1828"/>
      <c r="DL78" s="1434"/>
      <c r="DM78" s="2064">
        <f t="shared" si="123"/>
        <v>-25.698791886230836</v>
      </c>
      <c r="DN78" s="2064">
        <f t="shared" si="123"/>
        <v>-3.031287555141374</v>
      </c>
    </row>
    <row r="79" spans="1:118" ht="12.75" customHeight="1">
      <c r="A79" s="1130">
        <v>1</v>
      </c>
      <c r="B79" s="3086"/>
      <c r="C79" s="1177" t="s">
        <v>407</v>
      </c>
      <c r="D79" s="1150">
        <v>15.389087484327895</v>
      </c>
      <c r="E79" s="1151">
        <v>4.9573859999999996</v>
      </c>
      <c r="F79" s="1151">
        <v>6.4268661299999996</v>
      </c>
      <c r="G79" s="1150">
        <v>17.75</v>
      </c>
      <c r="H79" s="1151">
        <v>7.3694269999999999</v>
      </c>
      <c r="I79" s="1151">
        <v>5.7244194500000001</v>
      </c>
      <c r="J79" s="1150">
        <v>14.79</v>
      </c>
      <c r="K79" s="1151">
        <v>7.8487830000000001</v>
      </c>
      <c r="L79" s="1151">
        <v>7.3801761899999994</v>
      </c>
      <c r="M79" s="1150">
        <v>10.53</v>
      </c>
      <c r="N79" s="1151">
        <v>4.40381</v>
      </c>
      <c r="O79" s="1151">
        <v>14.10048984</v>
      </c>
      <c r="P79" s="1150">
        <v>18.88</v>
      </c>
      <c r="Q79" s="1151">
        <v>5.9963920000000002</v>
      </c>
      <c r="R79" s="1151">
        <v>7.4834422500000004</v>
      </c>
      <c r="S79" s="1150">
        <v>22.52</v>
      </c>
      <c r="T79" s="1195">
        <v>5.2627119999999996</v>
      </c>
      <c r="U79" s="1155">
        <v>5.7344767399999999</v>
      </c>
      <c r="V79" s="1150">
        <v>26.52</v>
      </c>
      <c r="W79" s="1151">
        <v>7.5125729999999997</v>
      </c>
      <c r="X79" s="1151">
        <v>6.65036907</v>
      </c>
      <c r="Y79" s="1150">
        <v>24.33</v>
      </c>
      <c r="Z79" s="1151">
        <v>10.791838</v>
      </c>
      <c r="AA79" s="1151">
        <v>6.95238801</v>
      </c>
      <c r="AB79" s="1150"/>
      <c r="AC79" s="1151"/>
      <c r="AD79" s="1151"/>
      <c r="AE79" s="1150"/>
      <c r="AF79" s="1151"/>
      <c r="AG79" s="1151"/>
      <c r="AH79" s="1150"/>
      <c r="AI79" s="1151"/>
      <c r="AJ79" s="1151"/>
      <c r="AK79" s="1150"/>
      <c r="AL79" s="1151"/>
      <c r="AM79" s="1151"/>
      <c r="AN79" s="1150">
        <v>149.64045247545732</v>
      </c>
      <c r="AO79" s="1151">
        <v>52.687338999999994</v>
      </c>
      <c r="AP79" s="1151">
        <v>71.17059506999999</v>
      </c>
      <c r="AQ79" s="1151">
        <f t="shared" si="117"/>
        <v>69.491430256929902</v>
      </c>
      <c r="AR79" s="1150">
        <v>15.52</v>
      </c>
      <c r="AS79" s="1151">
        <v>4.988569</v>
      </c>
      <c r="AT79" s="1151">
        <v>7.103909960000002</v>
      </c>
      <c r="AU79" s="1150">
        <v>18.05</v>
      </c>
      <c r="AV79" s="1151">
        <v>7.6545949999999996</v>
      </c>
      <c r="AW79" s="1151">
        <v>6.9347719999999997</v>
      </c>
      <c r="AX79" s="1150"/>
      <c r="AY79" s="1151"/>
      <c r="AZ79" s="1151"/>
      <c r="BA79" s="1150">
        <v>10.86</v>
      </c>
      <c r="BB79" s="1151">
        <v>5.1710970000000032</v>
      </c>
      <c r="BC79" s="1151">
        <v>8.0225669999999987</v>
      </c>
      <c r="BD79" s="1150">
        <v>16.89</v>
      </c>
      <c r="BE79" s="1151">
        <v>6.8180859999999992</v>
      </c>
      <c r="BF79" s="1839">
        <v>7.7922420299999997</v>
      </c>
      <c r="BG79" s="1150">
        <v>13.180000000000001</v>
      </c>
      <c r="BH79" s="1195">
        <v>6.1717079999999997</v>
      </c>
      <c r="BI79" s="1155">
        <v>6.87737116</v>
      </c>
      <c r="BJ79" s="1150">
        <v>24.06</v>
      </c>
      <c r="BK79" s="1151"/>
      <c r="BL79" s="1151">
        <v>6.8929539000000002</v>
      </c>
      <c r="BM79" s="1150"/>
      <c r="BN79" s="1151"/>
      <c r="BO79" s="1151"/>
      <c r="BP79" s="1150"/>
      <c r="BQ79" s="1151"/>
      <c r="BR79" s="1151"/>
      <c r="BS79" s="1150"/>
      <c r="BT79" s="1151"/>
      <c r="BU79" s="1151"/>
      <c r="BV79" s="1150"/>
      <c r="BW79" s="1151"/>
      <c r="BX79" s="1151"/>
      <c r="BY79" s="1150"/>
      <c r="BZ79" s="1151"/>
      <c r="CA79" s="1151"/>
      <c r="CB79" s="1150">
        <v>109.58000000000001</v>
      </c>
      <c r="CC79" s="1151">
        <v>36.631126000000002</v>
      </c>
      <c r="CD79" s="1151">
        <v>50.091742580000009</v>
      </c>
      <c r="CE79" s="1151">
        <f t="shared" si="118"/>
        <v>52.913457420000007</v>
      </c>
      <c r="CF79" s="1153">
        <f t="shared" si="114"/>
        <v>25.782518405457338</v>
      </c>
      <c r="CG79" s="1154">
        <f t="shared" si="47"/>
        <v>22.857131420000009</v>
      </c>
      <c r="CH79" s="1155">
        <f t="shared" si="2"/>
        <v>-2.9253869854573296</v>
      </c>
      <c r="CI79" s="1154">
        <f t="shared" si="115"/>
        <v>17.229644777829012</v>
      </c>
      <c r="CJ79" s="1154">
        <f t="shared" si="75"/>
        <v>20.858853276145286</v>
      </c>
      <c r="CK79" s="1154">
        <f t="shared" si="11"/>
        <v>3.6292084983162738</v>
      </c>
      <c r="CL79" s="1150">
        <f t="shared" si="119"/>
        <v>16.804091256929908</v>
      </c>
      <c r="CM79" s="1157">
        <f t="shared" si="120"/>
        <v>16.282331420000006</v>
      </c>
      <c r="CN79" s="1152">
        <f t="shared" si="13"/>
        <v>-0.52175983692990258</v>
      </c>
      <c r="CO79" s="1150">
        <f t="shared" si="116"/>
        <v>24.181530290570112</v>
      </c>
      <c r="CP79" s="1151">
        <f t="shared" si="14"/>
        <v>30.771626376177185</v>
      </c>
      <c r="CQ79" s="1152">
        <f t="shared" si="6"/>
        <v>6.5900960856070725</v>
      </c>
      <c r="CR79" s="1173">
        <f t="shared" si="124"/>
        <v>0</v>
      </c>
      <c r="CS79" s="1153">
        <f t="shared" si="125"/>
        <v>0</v>
      </c>
      <c r="CT79" s="1150">
        <f t="shared" si="122"/>
        <v>0</v>
      </c>
      <c r="CU79" s="1151">
        <f t="shared" si="121"/>
        <v>0</v>
      </c>
      <c r="CV79" s="1152">
        <f t="shared" si="7"/>
        <v>0</v>
      </c>
      <c r="CX79" s="1150"/>
      <c r="CY79" s="1151"/>
      <c r="CZ79" s="1151"/>
      <c r="DA79" s="1152">
        <f t="shared" si="17"/>
        <v>0</v>
      </c>
      <c r="DB79" s="1153">
        <f t="shared" si="18"/>
        <v>0</v>
      </c>
      <c r="DC79" s="1154" t="e">
        <f t="shared" si="19"/>
        <v>#DIV/0!</v>
      </c>
      <c r="DD79" s="1150">
        <f t="shared" si="20"/>
        <v>0</v>
      </c>
      <c r="DE79" s="1150" t="e">
        <f t="shared" si="21"/>
        <v>#DIV/0!</v>
      </c>
      <c r="DF79" s="1173">
        <v>4.8558792297693056</v>
      </c>
      <c r="DG79" s="1150">
        <f t="shared" si="22"/>
        <v>0</v>
      </c>
      <c r="DI79" s="1434"/>
      <c r="DJ79" s="1435"/>
      <c r="DK79" s="1828"/>
      <c r="DL79" s="1434"/>
      <c r="DM79" s="2064">
        <f t="shared" si="123"/>
        <v>-18.765365409560683</v>
      </c>
      <c r="DN79" s="2064">
        <f t="shared" si="123"/>
        <v>-7.8629349755087299</v>
      </c>
    </row>
    <row r="80" spans="1:118" ht="12.75" customHeight="1">
      <c r="A80" s="1130">
        <v>1</v>
      </c>
      <c r="B80" s="3086"/>
      <c r="C80" s="1177" t="s">
        <v>618</v>
      </c>
      <c r="D80" s="1150">
        <v>15.90005327970597</v>
      </c>
      <c r="E80" s="1151">
        <v>8.6357289999999995</v>
      </c>
      <c r="F80" s="1151">
        <v>6.1699673099999996</v>
      </c>
      <c r="G80" s="1150">
        <v>13.98</v>
      </c>
      <c r="H80" s="1151">
        <v>6.7235370000000003</v>
      </c>
      <c r="I80" s="1151">
        <v>5.22633495</v>
      </c>
      <c r="J80" s="1150">
        <v>23.599999999999998</v>
      </c>
      <c r="K80" s="1151">
        <v>17.191765</v>
      </c>
      <c r="L80" s="1151">
        <v>5.2320873399999996</v>
      </c>
      <c r="M80" s="1150">
        <v>13.77</v>
      </c>
      <c r="N80" s="1151">
        <v>7.609083</v>
      </c>
      <c r="O80" s="1151">
        <v>4.7745404800000006</v>
      </c>
      <c r="P80" s="1150">
        <v>13.52</v>
      </c>
      <c r="Q80" s="1151">
        <v>5.7609269999999997</v>
      </c>
      <c r="R80" s="1151">
        <v>6.2520315700000006</v>
      </c>
      <c r="S80" s="1150">
        <v>25.16</v>
      </c>
      <c r="T80" s="1195">
        <v>17.109449000000001</v>
      </c>
      <c r="U80" s="1155">
        <v>5.5855745799999994</v>
      </c>
      <c r="V80" s="1150">
        <v>25.96</v>
      </c>
      <c r="W80" s="1151">
        <v>12.305351</v>
      </c>
      <c r="X80" s="1151">
        <v>6.5038466799999997</v>
      </c>
      <c r="Y80" s="1150">
        <v>22.89</v>
      </c>
      <c r="Z80" s="1151">
        <v>10.839703999999999</v>
      </c>
      <c r="AA80" s="1151">
        <v>6.7831903100000002</v>
      </c>
      <c r="AB80" s="1150"/>
      <c r="AC80" s="1151"/>
      <c r="AD80" s="1151"/>
      <c r="AE80" s="1150"/>
      <c r="AF80" s="1151"/>
      <c r="AG80" s="1151"/>
      <c r="AH80" s="1150"/>
      <c r="AI80" s="1151"/>
      <c r="AJ80" s="1151"/>
      <c r="AK80" s="1150"/>
      <c r="AL80" s="1151"/>
      <c r="AM80" s="1151"/>
      <c r="AN80" s="1150">
        <v>155.31729822372338</v>
      </c>
      <c r="AO80" s="1151">
        <v>86.246134999999995</v>
      </c>
      <c r="AP80" s="1151">
        <v>47.520502920000006</v>
      </c>
      <c r="AQ80" s="1151">
        <f t="shared" si="117"/>
        <v>98.477757410299972</v>
      </c>
      <c r="AR80" s="1150">
        <v>16.96</v>
      </c>
      <c r="AS80" s="1151">
        <v>9.0606159999999996</v>
      </c>
      <c r="AT80" s="1151">
        <v>6.9434850199999989</v>
      </c>
      <c r="AU80" s="1150">
        <v>13.84</v>
      </c>
      <c r="AV80" s="1151">
        <v>6.9351919999999998</v>
      </c>
      <c r="AW80" s="1151">
        <v>6.7099987099999998</v>
      </c>
      <c r="AX80" s="1150"/>
      <c r="AY80" s="1151"/>
      <c r="AZ80" s="1151"/>
      <c r="BA80" s="1150">
        <v>15.86</v>
      </c>
      <c r="BB80" s="1151">
        <v>8.5128740000000089</v>
      </c>
      <c r="BC80" s="1151">
        <v>5.5388570799999979</v>
      </c>
      <c r="BD80" s="1150">
        <v>15.57</v>
      </c>
      <c r="BE80" s="1151">
        <v>7.2427770000000002</v>
      </c>
      <c r="BF80" s="1839">
        <v>6.9847895700000002</v>
      </c>
      <c r="BG80" s="1150">
        <v>29.533833999999999</v>
      </c>
      <c r="BH80" s="1195">
        <v>19.074731</v>
      </c>
      <c r="BI80" s="1155">
        <v>6.3093244500000001</v>
      </c>
      <c r="BJ80" s="1150">
        <v>24.56</v>
      </c>
      <c r="BK80" s="1151"/>
      <c r="BL80" s="1151">
        <v>7.4748503899999994</v>
      </c>
      <c r="BM80" s="1150"/>
      <c r="BN80" s="1151"/>
      <c r="BO80" s="1151"/>
      <c r="BP80" s="1150"/>
      <c r="BQ80" s="1151"/>
      <c r="BR80" s="1151"/>
      <c r="BS80" s="1150"/>
      <c r="BT80" s="1151"/>
      <c r="BU80" s="1151"/>
      <c r="BV80" s="1150"/>
      <c r="BW80" s="1151"/>
      <c r="BX80" s="1151"/>
      <c r="BY80" s="1150"/>
      <c r="BZ80" s="1151"/>
      <c r="CA80" s="1151"/>
      <c r="CB80" s="1150">
        <v>140.97383399999998</v>
      </c>
      <c r="CC80" s="1151">
        <v>68.650556000000009</v>
      </c>
      <c r="CD80" s="1151">
        <v>46.688013789999992</v>
      </c>
      <c r="CE80" s="1151">
        <f t="shared" si="118"/>
        <v>85.827390170000001</v>
      </c>
      <c r="CF80" s="1153">
        <f t="shared" si="114"/>
        <v>21.550660303723383</v>
      </c>
      <c r="CG80" s="1154">
        <f t="shared" si="47"/>
        <v>25.635264209999981</v>
      </c>
      <c r="CH80" s="1155">
        <f t="shared" si="2"/>
        <v>4.0846039062765982</v>
      </c>
      <c r="CI80" s="1154">
        <f t="shared" si="115"/>
        <v>13.875247992455552</v>
      </c>
      <c r="CJ80" s="1154">
        <f t="shared" si="75"/>
        <v>18.18441300958019</v>
      </c>
      <c r="CK80" s="1154">
        <f t="shared" si="11"/>
        <v>4.3091650171246378</v>
      </c>
      <c r="CL80" s="1150">
        <f t="shared" si="119"/>
        <v>12.231622410299977</v>
      </c>
      <c r="CM80" s="1157">
        <f t="shared" si="120"/>
        <v>17.176834169999992</v>
      </c>
      <c r="CN80" s="1152">
        <f t="shared" si="13"/>
        <v>4.9452117597000154</v>
      </c>
      <c r="CO80" s="1150">
        <f t="shared" si="116"/>
        <v>12.420695527557422</v>
      </c>
      <c r="CP80" s="1151">
        <f t="shared" si="14"/>
        <v>20.013231365858264</v>
      </c>
      <c r="CQ80" s="1152">
        <f t="shared" si="6"/>
        <v>7.5925358383008419</v>
      </c>
      <c r="CR80" s="1173">
        <f t="shared" si="124"/>
        <v>0</v>
      </c>
      <c r="CS80" s="1153">
        <f t="shared" si="125"/>
        <v>0</v>
      </c>
      <c r="CT80" s="1150">
        <f t="shared" si="122"/>
        <v>0</v>
      </c>
      <c r="CU80" s="1151">
        <f t="shared" si="121"/>
        <v>0</v>
      </c>
      <c r="CV80" s="1152">
        <f t="shared" si="7"/>
        <v>0</v>
      </c>
      <c r="CX80" s="1150"/>
      <c r="CY80" s="1151"/>
      <c r="CZ80" s="1151"/>
      <c r="DA80" s="1152">
        <f t="shared" si="17"/>
        <v>0</v>
      </c>
      <c r="DB80" s="1153">
        <f t="shared" si="18"/>
        <v>0</v>
      </c>
      <c r="DC80" s="1154" t="e">
        <f t="shared" si="19"/>
        <v>#DIV/0!</v>
      </c>
      <c r="DD80" s="1150">
        <f t="shared" si="20"/>
        <v>0</v>
      </c>
      <c r="DE80" s="1150" t="e">
        <f t="shared" si="21"/>
        <v>#DIV/0!</v>
      </c>
      <c r="DF80" s="1173">
        <v>4.8558792297693056</v>
      </c>
      <c r="DG80" s="1150">
        <f t="shared" si="22"/>
        <v>0</v>
      </c>
      <c r="DI80" s="1434"/>
      <c r="DJ80" s="1435"/>
      <c r="DK80" s="1828"/>
      <c r="DL80" s="1434"/>
      <c r="DM80" s="2064">
        <f t="shared" si="123"/>
        <v>-35.168254694368628</v>
      </c>
      <c r="DN80" s="2064">
        <f t="shared" si="123"/>
        <v>-7.3286493473476755</v>
      </c>
    </row>
    <row r="81" spans="1:118" ht="12.75" customHeight="1">
      <c r="A81" s="1130">
        <v>1</v>
      </c>
      <c r="B81" s="3086"/>
      <c r="C81" s="1177" t="s">
        <v>408</v>
      </c>
      <c r="D81" s="1150">
        <v>10.98075513204647</v>
      </c>
      <c r="E81" s="1151">
        <v>6.4801209999999996</v>
      </c>
      <c r="F81" s="1151">
        <v>2.4649213700000003</v>
      </c>
      <c r="G81" s="1150">
        <v>9.67</v>
      </c>
      <c r="H81" s="1151">
        <v>5.7648169999999999</v>
      </c>
      <c r="I81" s="1151">
        <v>2.2819133300000001</v>
      </c>
      <c r="J81" s="1150">
        <v>6.49</v>
      </c>
      <c r="K81" s="1151">
        <v>4.9332320000000003</v>
      </c>
      <c r="L81" s="1151">
        <v>2.3507699600000005</v>
      </c>
      <c r="M81" s="1150">
        <v>7.92</v>
      </c>
      <c r="N81" s="1151">
        <v>5.9949469999999998</v>
      </c>
      <c r="O81" s="1151">
        <v>1.7668400699999998</v>
      </c>
      <c r="P81" s="1150">
        <v>7.06</v>
      </c>
      <c r="Q81" s="1151">
        <v>4.732291</v>
      </c>
      <c r="R81" s="1151">
        <v>2.2668662799999999</v>
      </c>
      <c r="S81" s="1150">
        <v>4.12</v>
      </c>
      <c r="T81" s="1195">
        <v>2.4551069999999999</v>
      </c>
      <c r="U81" s="1155">
        <v>2.2452967000000004</v>
      </c>
      <c r="V81" s="1150">
        <v>17.54</v>
      </c>
      <c r="W81" s="1151">
        <v>7.4607210000000004</v>
      </c>
      <c r="X81" s="1151">
        <v>2.45714911</v>
      </c>
      <c r="Y81" s="1150">
        <v>14.87</v>
      </c>
      <c r="Z81" s="1151">
        <v>10.16442</v>
      </c>
      <c r="AA81" s="1151">
        <v>2.6000957699999998</v>
      </c>
      <c r="AB81" s="1150"/>
      <c r="AC81" s="1151"/>
      <c r="AD81" s="1151"/>
      <c r="AE81" s="1150"/>
      <c r="AF81" s="1151"/>
      <c r="AG81" s="1151"/>
      <c r="AH81" s="1150"/>
      <c r="AI81" s="1151"/>
      <c r="AJ81" s="1151"/>
      <c r="AK81" s="1150"/>
      <c r="AL81" s="1151"/>
      <c r="AM81" s="1151"/>
      <c r="AN81" s="1150">
        <v>80.056540746270372</v>
      </c>
      <c r="AO81" s="1151">
        <v>46.006323000000002</v>
      </c>
      <c r="AP81" s="1151">
        <v>18.501943580000002</v>
      </c>
      <c r="AQ81" s="1151">
        <f t="shared" si="117"/>
        <v>56.751204721494148</v>
      </c>
      <c r="AR81" s="1150">
        <v>10.93</v>
      </c>
      <c r="AS81" s="1151">
        <v>6.442812</v>
      </c>
      <c r="AT81" s="1151">
        <v>2.48829681</v>
      </c>
      <c r="AU81" s="1150">
        <v>9.42</v>
      </c>
      <c r="AV81" s="1151">
        <v>5.9257179999999998</v>
      </c>
      <c r="AW81" s="1151">
        <v>2.35150901</v>
      </c>
      <c r="AX81" s="1150"/>
      <c r="AY81" s="1151"/>
      <c r="AZ81" s="1151"/>
      <c r="BA81" s="1150">
        <v>7.44</v>
      </c>
      <c r="BB81" s="1151">
        <v>5.9956939999999959</v>
      </c>
      <c r="BC81" s="1151">
        <v>4.8267432499999998</v>
      </c>
      <c r="BD81" s="1150">
        <v>9.4700000000000006</v>
      </c>
      <c r="BE81" s="1151">
        <v>5.5968939999999998</v>
      </c>
      <c r="BF81" s="1839">
        <v>2.3975695699999999</v>
      </c>
      <c r="BG81" s="1150">
        <v>6.5200000000000005</v>
      </c>
      <c r="BH81" s="1195">
        <v>3.3833950000000002</v>
      </c>
      <c r="BI81" s="1155">
        <v>2.30948172</v>
      </c>
      <c r="BJ81" s="1150">
        <v>16.87</v>
      </c>
      <c r="BK81" s="1151"/>
      <c r="BL81" s="1151">
        <v>2.4794632000000001</v>
      </c>
      <c r="BM81" s="1150"/>
      <c r="BN81" s="1151"/>
      <c r="BO81" s="1151"/>
      <c r="BP81" s="1150"/>
      <c r="BQ81" s="1151"/>
      <c r="BR81" s="1151"/>
      <c r="BS81" s="1150"/>
      <c r="BT81" s="1151"/>
      <c r="BU81" s="1151"/>
      <c r="BV81" s="1150"/>
      <c r="BW81" s="1151"/>
      <c r="BX81" s="1151"/>
      <c r="BY81" s="1150"/>
      <c r="BZ81" s="1151"/>
      <c r="CA81" s="1151"/>
      <c r="CB81" s="1150">
        <v>69.75</v>
      </c>
      <c r="CC81" s="1151">
        <v>30.414371999999997</v>
      </c>
      <c r="CD81" s="1151">
        <v>19.23735812</v>
      </c>
      <c r="CE81" s="1151">
        <f t="shared" si="118"/>
        <v>46.327641880000002</v>
      </c>
      <c r="CF81" s="1153">
        <f t="shared" si="114"/>
        <v>15.548274166270367</v>
      </c>
      <c r="CG81" s="1154">
        <f t="shared" si="47"/>
        <v>20.09826988</v>
      </c>
      <c r="CH81" s="1155">
        <f t="shared" si="2"/>
        <v>4.5499957137296327</v>
      </c>
      <c r="CI81" s="1154">
        <f t="shared" si="115"/>
        <v>19.421616299346187</v>
      </c>
      <c r="CJ81" s="1154">
        <f t="shared" si="75"/>
        <v>28.814723842293905</v>
      </c>
      <c r="CK81" s="1154">
        <f t="shared" si="11"/>
        <v>9.3931075429477175</v>
      </c>
      <c r="CL81" s="1150">
        <f t="shared" si="119"/>
        <v>10.744881721494146</v>
      </c>
      <c r="CM81" s="1157">
        <f t="shared" si="120"/>
        <v>15.913269880000005</v>
      </c>
      <c r="CN81" s="1152">
        <f t="shared" si="13"/>
        <v>5.1683881585058593</v>
      </c>
      <c r="CO81" s="1150">
        <f t="shared" si="116"/>
        <v>18.933310357418002</v>
      </c>
      <c r="CP81" s="1151">
        <f t="shared" si="14"/>
        <v>34.349406173574067</v>
      </c>
      <c r="CQ81" s="1152">
        <f t="shared" si="6"/>
        <v>15.416095816156066</v>
      </c>
      <c r="CR81" s="1173">
        <f t="shared" si="124"/>
        <v>0</v>
      </c>
      <c r="CS81" s="1153">
        <f t="shared" si="125"/>
        <v>0</v>
      </c>
      <c r="CT81" s="1150">
        <f t="shared" si="122"/>
        <v>0</v>
      </c>
      <c r="CU81" s="1151">
        <f t="shared" si="121"/>
        <v>0</v>
      </c>
      <c r="CV81" s="1152">
        <f t="shared" si="7"/>
        <v>0</v>
      </c>
      <c r="CX81" s="1150"/>
      <c r="CY81" s="1151"/>
      <c r="CZ81" s="1151"/>
      <c r="DA81" s="1152">
        <f t="shared" si="17"/>
        <v>0</v>
      </c>
      <c r="DB81" s="1153">
        <f t="shared" si="18"/>
        <v>0</v>
      </c>
      <c r="DC81" s="1154" t="e">
        <f t="shared" si="19"/>
        <v>#DIV/0!</v>
      </c>
      <c r="DD81" s="1150">
        <f t="shared" si="20"/>
        <v>0</v>
      </c>
      <c r="DE81" s="1150" t="e">
        <f t="shared" si="21"/>
        <v>#DIV/0!</v>
      </c>
      <c r="DF81" s="1173">
        <v>4.8558792297693056</v>
      </c>
      <c r="DG81" s="1150">
        <f t="shared" si="22"/>
        <v>0</v>
      </c>
      <c r="DI81" s="1434"/>
      <c r="DJ81" s="1435"/>
      <c r="DK81" s="1828"/>
      <c r="DL81" s="1434"/>
      <c r="DM81" s="2064">
        <f t="shared" si="123"/>
        <v>-15.580651391450834</v>
      </c>
      <c r="DN81" s="2064">
        <f t="shared" si="123"/>
        <v>-3.0197012163543469</v>
      </c>
    </row>
    <row r="82" spans="1:118" ht="12.75" customHeight="1">
      <c r="A82" s="1130">
        <v>1</v>
      </c>
      <c r="B82" s="3086"/>
      <c r="C82" s="1177" t="s">
        <v>654</v>
      </c>
      <c r="D82" s="1150">
        <v>10.028956101440251</v>
      </c>
      <c r="E82" s="1151">
        <v>5.9072480000000001</v>
      </c>
      <c r="F82" s="1151">
        <v>2.2651651099999999</v>
      </c>
      <c r="G82" s="1150">
        <v>7.89</v>
      </c>
      <c r="H82" s="1151">
        <v>3.7217760000000002</v>
      </c>
      <c r="I82" s="1151">
        <v>6.1006588700000002</v>
      </c>
      <c r="J82" s="1150">
        <v>7.33</v>
      </c>
      <c r="K82" s="1151">
        <v>5.5043170000000003</v>
      </c>
      <c r="L82" s="1151">
        <v>2.6983315900000004</v>
      </c>
      <c r="M82" s="1150">
        <v>8.9600000000000009</v>
      </c>
      <c r="N82" s="1151">
        <v>5.5699050000000003</v>
      </c>
      <c r="O82" s="1151">
        <v>2.3898916999999997</v>
      </c>
      <c r="P82" s="1150">
        <v>12.11</v>
      </c>
      <c r="Q82" s="1151">
        <v>3.678639</v>
      </c>
      <c r="R82" s="1151">
        <v>2.19775046</v>
      </c>
      <c r="S82" s="1150">
        <v>8.94</v>
      </c>
      <c r="T82" s="1195">
        <v>3.7658290000000001</v>
      </c>
      <c r="U82" s="1155">
        <v>2.2812336499999999</v>
      </c>
      <c r="V82" s="1150">
        <v>12.93</v>
      </c>
      <c r="W82" s="1151">
        <v>5.1372419999999996</v>
      </c>
      <c r="X82" s="1151">
        <v>2.8793779299999995</v>
      </c>
      <c r="Y82" s="1150">
        <v>13.13</v>
      </c>
      <c r="Z82" s="1151">
        <v>6.9891220000000001</v>
      </c>
      <c r="AA82" s="1151">
        <v>3.0597792500000001</v>
      </c>
      <c r="AB82" s="1150"/>
      <c r="AC82" s="1151"/>
      <c r="AD82" s="1151"/>
      <c r="AE82" s="1150"/>
      <c r="AF82" s="1151"/>
      <c r="AG82" s="1151"/>
      <c r="AH82" s="1150"/>
      <c r="AI82" s="1151"/>
      <c r="AJ82" s="1151"/>
      <c r="AK82" s="1150"/>
      <c r="AL82" s="1151"/>
      <c r="AM82" s="1151"/>
      <c r="AN82" s="1150">
        <v>83.030126614409724</v>
      </c>
      <c r="AO82" s="1151">
        <v>38.994906000000007</v>
      </c>
      <c r="AP82" s="1151">
        <v>27.349943259999996</v>
      </c>
      <c r="AQ82" s="1151">
        <f t="shared" si="117"/>
        <v>50.698375757545143</v>
      </c>
      <c r="AR82" s="1150">
        <v>9.92</v>
      </c>
      <c r="AS82" s="1151">
        <v>5.8598920000000003</v>
      </c>
      <c r="AT82" s="1151">
        <v>2.5270133700000006</v>
      </c>
      <c r="AU82" s="1150">
        <v>8.09</v>
      </c>
      <c r="AV82" s="1151">
        <v>3.760138</v>
      </c>
      <c r="AW82" s="1151">
        <v>2.3799940400000001</v>
      </c>
      <c r="AX82" s="1150"/>
      <c r="AY82" s="1151"/>
      <c r="AZ82" s="1151"/>
      <c r="BA82" s="1150">
        <v>8.7200000000000006</v>
      </c>
      <c r="BB82" s="1151">
        <v>5.6274309999999925</v>
      </c>
      <c r="BC82" s="1151">
        <v>4.1389492400000005</v>
      </c>
      <c r="BD82" s="1150">
        <v>8.2200000000000006</v>
      </c>
      <c r="BE82" s="1151">
        <v>4.0215060000000005</v>
      </c>
      <c r="BF82" s="1839">
        <v>2.4954129500000004</v>
      </c>
      <c r="BG82" s="1150">
        <v>10.66</v>
      </c>
      <c r="BH82" s="1195">
        <v>4.4418309999999996</v>
      </c>
      <c r="BI82" s="1155">
        <v>2.6754850699999997</v>
      </c>
      <c r="BJ82" s="1150">
        <v>12.01</v>
      </c>
      <c r="BK82" s="1151"/>
      <c r="BL82" s="1151">
        <v>2.9084608700000003</v>
      </c>
      <c r="BM82" s="1150"/>
      <c r="BN82" s="1151"/>
      <c r="BO82" s="1151"/>
      <c r="BP82" s="1150"/>
      <c r="BQ82" s="1151"/>
      <c r="BR82" s="1151"/>
      <c r="BS82" s="1150"/>
      <c r="BT82" s="1151"/>
      <c r="BU82" s="1151"/>
      <c r="BV82" s="1150"/>
      <c r="BW82" s="1151"/>
      <c r="BX82" s="1151"/>
      <c r="BY82" s="1150"/>
      <c r="BZ82" s="1151"/>
      <c r="CA82" s="1151"/>
      <c r="CB82" s="1150">
        <v>64.760000000000005</v>
      </c>
      <c r="CC82" s="1151">
        <v>27.959574999999994</v>
      </c>
      <c r="CD82" s="1151">
        <v>19.79362025</v>
      </c>
      <c r="CE82" s="1151">
        <f t="shared" si="118"/>
        <v>41.080779750000005</v>
      </c>
      <c r="CF82" s="1153">
        <f t="shared" si="114"/>
        <v>16.68527735440972</v>
      </c>
      <c r="CG82" s="1154">
        <f t="shared" si="47"/>
        <v>17.006804750000011</v>
      </c>
      <c r="CH82" s="1155">
        <f t="shared" si="2"/>
        <v>0.32152739559029087</v>
      </c>
      <c r="CI82" s="1154">
        <f t="shared" si="115"/>
        <v>20.095449729826164</v>
      </c>
      <c r="CJ82" s="1154">
        <f t="shared" si="75"/>
        <v>26.261279725138991</v>
      </c>
      <c r="CK82" s="1154">
        <f t="shared" si="11"/>
        <v>6.1658299953128264</v>
      </c>
      <c r="CL82" s="1150">
        <f t="shared" si="119"/>
        <v>11.703469757545136</v>
      </c>
      <c r="CM82" s="1157">
        <f t="shared" si="120"/>
        <v>13.121204750000011</v>
      </c>
      <c r="CN82" s="1152">
        <f t="shared" si="13"/>
        <v>1.417734992454875</v>
      </c>
      <c r="CO82" s="1150">
        <f t="shared" si="116"/>
        <v>23.084506323268901</v>
      </c>
      <c r="CP82" s="1151">
        <f t="shared" si="14"/>
        <v>31.940009001411447</v>
      </c>
      <c r="CQ82" s="1152">
        <f t="shared" si="6"/>
        <v>8.8555026781425461</v>
      </c>
      <c r="CR82" s="1173">
        <f t="shared" si="124"/>
        <v>0</v>
      </c>
      <c r="CS82" s="1153">
        <f t="shared" si="125"/>
        <v>0</v>
      </c>
      <c r="CT82" s="1150">
        <f t="shared" si="122"/>
        <v>0</v>
      </c>
      <c r="CU82" s="1151">
        <f t="shared" si="121"/>
        <v>0</v>
      </c>
      <c r="CV82" s="1152">
        <f t="shared" si="7"/>
        <v>0</v>
      </c>
      <c r="CX82" s="1150"/>
      <c r="CY82" s="1151"/>
      <c r="CZ82" s="1151"/>
      <c r="DA82" s="1152">
        <f t="shared" si="17"/>
        <v>0</v>
      </c>
      <c r="DB82" s="1153">
        <f t="shared" si="18"/>
        <v>0</v>
      </c>
      <c r="DC82" s="1154" t="e">
        <f t="shared" si="19"/>
        <v>#DIV/0!</v>
      </c>
      <c r="DD82" s="1150">
        <f t="shared" si="20"/>
        <v>0</v>
      </c>
      <c r="DE82" s="1150" t="e">
        <f t="shared" si="21"/>
        <v>#DIV/0!</v>
      </c>
      <c r="DF82" s="1173">
        <v>4.8558792297693056</v>
      </c>
      <c r="DG82" s="1150">
        <f t="shared" si="22"/>
        <v>0</v>
      </c>
      <c r="DI82" s="1434"/>
      <c r="DJ82" s="1435"/>
      <c r="DK82" s="1828"/>
      <c r="DL82" s="1434"/>
      <c r="DM82" s="2064">
        <f t="shared" si="123"/>
        <v>-14.323109848466506</v>
      </c>
      <c r="DN82" s="2064">
        <f t="shared" si="123"/>
        <v>-3.1070180620508738</v>
      </c>
    </row>
    <row r="83" spans="1:118" ht="12.75" customHeight="1">
      <c r="A83" s="1130">
        <v>1</v>
      </c>
      <c r="B83" s="3086"/>
      <c r="C83" s="1177" t="s">
        <v>409</v>
      </c>
      <c r="D83" s="1150">
        <v>45.670787046426319</v>
      </c>
      <c r="E83" s="1151">
        <v>19.663688</v>
      </c>
      <c r="F83" s="1151">
        <v>15.67922654</v>
      </c>
      <c r="G83" s="1150">
        <v>41.556405000000005</v>
      </c>
      <c r="H83" s="1151">
        <v>12.392374999999999</v>
      </c>
      <c r="I83" s="1151">
        <v>13.792498779999999</v>
      </c>
      <c r="J83" s="1150">
        <v>33.42</v>
      </c>
      <c r="K83" s="1151">
        <v>14.866985</v>
      </c>
      <c r="L83" s="1151">
        <v>13.976012839999999</v>
      </c>
      <c r="M83" s="1150">
        <v>29.33</v>
      </c>
      <c r="N83" s="1151">
        <v>17.770081999999999</v>
      </c>
      <c r="O83" s="1151">
        <v>14.115982430000001</v>
      </c>
      <c r="P83" s="1150">
        <v>30.55</v>
      </c>
      <c r="Q83" s="1151">
        <v>9.4847509999999993</v>
      </c>
      <c r="R83" s="1151">
        <v>14.812715560000001</v>
      </c>
      <c r="S83" s="1150">
        <v>30.62</v>
      </c>
      <c r="T83" s="1195">
        <v>10.848091999999999</v>
      </c>
      <c r="U83" s="1155">
        <v>16.728355829999998</v>
      </c>
      <c r="V83" s="1150">
        <v>70.031620999999987</v>
      </c>
      <c r="W83" s="1151">
        <v>21.858362</v>
      </c>
      <c r="X83" s="1151">
        <v>17.906527449999999</v>
      </c>
      <c r="Y83" s="1150">
        <v>59.88</v>
      </c>
      <c r="Z83" s="1151">
        <v>18.952148999999999</v>
      </c>
      <c r="AA83" s="1151">
        <v>18.766877780000002</v>
      </c>
      <c r="AB83" s="1150"/>
      <c r="AC83" s="1151"/>
      <c r="AD83" s="1151"/>
      <c r="AE83" s="1150"/>
      <c r="AF83" s="1151"/>
      <c r="AG83" s="1151"/>
      <c r="AH83" s="1150"/>
      <c r="AI83" s="1151"/>
      <c r="AJ83" s="1151"/>
      <c r="AK83" s="1150"/>
      <c r="AL83" s="1151"/>
      <c r="AM83" s="1151"/>
      <c r="AN83" s="1150">
        <v>346.32850798674019</v>
      </c>
      <c r="AO83" s="1151">
        <v>123.40330699999998</v>
      </c>
      <c r="AP83" s="1151">
        <v>128.6543298</v>
      </c>
      <c r="AQ83" s="1151">
        <f t="shared" si="117"/>
        <v>196.89446770753577</v>
      </c>
      <c r="AR83" s="1150">
        <v>47.79</v>
      </c>
      <c r="AS83" s="1151">
        <v>20.586375</v>
      </c>
      <c r="AT83" s="1151">
        <v>17.805942389999984</v>
      </c>
      <c r="AU83" s="1150">
        <v>41.614070399999996</v>
      </c>
      <c r="AV83" s="1151">
        <v>12.122278</v>
      </c>
      <c r="AW83" s="1151">
        <v>17.724070220000002</v>
      </c>
      <c r="AX83" s="1150"/>
      <c r="AY83" s="1151"/>
      <c r="AZ83" s="1151"/>
      <c r="BA83" s="1150">
        <v>32.61</v>
      </c>
      <c r="BB83" s="1151">
        <v>18.174956000000023</v>
      </c>
      <c r="BC83" s="1151">
        <v>20.147879359999997</v>
      </c>
      <c r="BD83" s="1150">
        <v>35.873571699999985</v>
      </c>
      <c r="BE83" s="1151">
        <v>10.731062</v>
      </c>
      <c r="BF83" s="1839">
        <v>18.74824911</v>
      </c>
      <c r="BG83" s="1150">
        <v>46.47</v>
      </c>
      <c r="BH83" s="1195">
        <v>13.074621</v>
      </c>
      <c r="BI83" s="1155">
        <v>19.412343040000003</v>
      </c>
      <c r="BJ83" s="1150">
        <v>65.3</v>
      </c>
      <c r="BK83" s="1151"/>
      <c r="BL83" s="1151">
        <v>18.732177180000001</v>
      </c>
      <c r="BM83" s="1150"/>
      <c r="BN83" s="1151"/>
      <c r="BO83" s="1151"/>
      <c r="BP83" s="1150"/>
      <c r="BQ83" s="1151"/>
      <c r="BR83" s="1151"/>
      <c r="BS83" s="1150"/>
      <c r="BT83" s="1151"/>
      <c r="BU83" s="1151"/>
      <c r="BV83" s="1150"/>
      <c r="BW83" s="1151"/>
      <c r="BX83" s="1151"/>
      <c r="BY83" s="1150"/>
      <c r="BZ83" s="1151"/>
      <c r="CA83" s="1151"/>
      <c r="CB83" s="1150">
        <v>311.98230940000002</v>
      </c>
      <c r="CC83" s="1151">
        <v>87.445336000000026</v>
      </c>
      <c r="CD83" s="1151">
        <v>130.28446543999999</v>
      </c>
      <c r="CE83" s="1151">
        <f t="shared" si="118"/>
        <v>162.97890539600004</v>
      </c>
      <c r="CF83" s="1153">
        <f t="shared" si="114"/>
        <v>94.270871186740209</v>
      </c>
      <c r="CG83" s="1154">
        <f t="shared" si="47"/>
        <v>94.252507960000003</v>
      </c>
      <c r="CH83" s="1155">
        <f t="shared" si="2"/>
        <v>-1.8363226740206073E-2</v>
      </c>
      <c r="CI83" s="1154">
        <f t="shared" si="115"/>
        <v>27.220072564846305</v>
      </c>
      <c r="CJ83" s="1154">
        <f t="shared" si="75"/>
        <v>30.2108501412356</v>
      </c>
      <c r="CK83" s="1154">
        <f t="shared" si="11"/>
        <v>2.990777576389295</v>
      </c>
      <c r="CL83" s="1150">
        <f t="shared" si="119"/>
        <v>73.491160707535784</v>
      </c>
      <c r="CM83" s="1157">
        <f t="shared" si="120"/>
        <v>75.533569396000019</v>
      </c>
      <c r="CN83" s="1152">
        <f t="shared" si="13"/>
        <v>2.042408688464235</v>
      </c>
      <c r="CO83" s="1150">
        <f t="shared" si="116"/>
        <v>37.325152688748219</v>
      </c>
      <c r="CP83" s="1151">
        <f t="shared" si="14"/>
        <v>46.345610931961637</v>
      </c>
      <c r="CQ83" s="1152">
        <f t="shared" si="6"/>
        <v>9.0204582432134188</v>
      </c>
      <c r="CR83" s="1173">
        <f t="shared" si="124"/>
        <v>0</v>
      </c>
      <c r="CS83" s="1153">
        <f t="shared" si="125"/>
        <v>0</v>
      </c>
      <c r="CT83" s="1150">
        <f t="shared" si="122"/>
        <v>0</v>
      </c>
      <c r="CU83" s="1151">
        <f t="shared" si="121"/>
        <v>0</v>
      </c>
      <c r="CV83" s="1152">
        <f t="shared" si="7"/>
        <v>0</v>
      </c>
      <c r="CX83" s="1150"/>
      <c r="CY83" s="1151"/>
      <c r="CZ83" s="1151"/>
      <c r="DA83" s="1152">
        <f t="shared" si="17"/>
        <v>0</v>
      </c>
      <c r="DB83" s="1153">
        <f t="shared" si="18"/>
        <v>0</v>
      </c>
      <c r="DC83" s="1154" t="e">
        <f t="shared" si="19"/>
        <v>#DIV/0!</v>
      </c>
      <c r="DD83" s="1150">
        <f t="shared" si="20"/>
        <v>0</v>
      </c>
      <c r="DE83" s="1150" t="e">
        <f t="shared" si="21"/>
        <v>#DIV/0!</v>
      </c>
      <c r="DF83" s="1173">
        <v>4.8558792297693056</v>
      </c>
      <c r="DG83" s="1150">
        <f t="shared" si="22"/>
        <v>0</v>
      </c>
      <c r="DI83" s="1434"/>
      <c r="DJ83" s="1435"/>
      <c r="DK83" s="1828"/>
      <c r="DL83" s="1434"/>
      <c r="DM83" s="2064">
        <f t="shared" si="123"/>
        <v>-44.796430319991032</v>
      </c>
      <c r="DN83" s="2064">
        <f t="shared" si="123"/>
        <v>-20.450841342514025</v>
      </c>
    </row>
    <row r="84" spans="1:118" ht="12.75" customHeight="1">
      <c r="A84" s="1130">
        <v>1</v>
      </c>
      <c r="B84" s="3086"/>
      <c r="C84" s="1177" t="s">
        <v>410</v>
      </c>
      <c r="D84" s="1150">
        <v>17.803651340918407</v>
      </c>
      <c r="E84" s="1151">
        <v>8.4241329999999994</v>
      </c>
      <c r="F84" s="1151">
        <v>3.8072791400000003</v>
      </c>
      <c r="G84" s="1150">
        <v>16.64</v>
      </c>
      <c r="H84" s="1151">
        <v>9.6520080000000004</v>
      </c>
      <c r="I84" s="1151">
        <v>3.58894716</v>
      </c>
      <c r="J84" s="1150">
        <v>11.45</v>
      </c>
      <c r="K84" s="1151">
        <v>8.0756999999999994</v>
      </c>
      <c r="L84" s="1151">
        <v>3.5186337399999998</v>
      </c>
      <c r="M84" s="1150">
        <v>12.22</v>
      </c>
      <c r="N84" s="1151">
        <v>7.8667299999999996</v>
      </c>
      <c r="O84" s="1151">
        <v>3.1650443699999999</v>
      </c>
      <c r="P84" s="1150">
        <v>12.02</v>
      </c>
      <c r="Q84" s="1151">
        <v>8.1327999999999996</v>
      </c>
      <c r="R84" s="1151">
        <v>3.6647205100000004</v>
      </c>
      <c r="S84" s="1150">
        <v>14.02</v>
      </c>
      <c r="T84" s="1195">
        <v>7.4575259999999997</v>
      </c>
      <c r="U84" s="1155">
        <v>3.9917662300000001</v>
      </c>
      <c r="V84" s="1150">
        <v>30.41</v>
      </c>
      <c r="W84" s="1151">
        <v>11.602353000000001</v>
      </c>
      <c r="X84" s="1151">
        <v>4.4789778799999995</v>
      </c>
      <c r="Y84" s="1150">
        <v>25.05</v>
      </c>
      <c r="Z84" s="1151">
        <v>17.527251</v>
      </c>
      <c r="AA84" s="1151">
        <v>4.6907417699999998</v>
      </c>
      <c r="AB84" s="1150"/>
      <c r="AC84" s="1151"/>
      <c r="AD84" s="1151"/>
      <c r="AE84" s="1150"/>
      <c r="AF84" s="1151"/>
      <c r="AG84" s="1151"/>
      <c r="AH84" s="1150"/>
      <c r="AI84" s="1151"/>
      <c r="AJ84" s="1151"/>
      <c r="AK84" s="1150"/>
      <c r="AL84" s="1151"/>
      <c r="AM84" s="1151"/>
      <c r="AN84" s="1150">
        <v>136.45455150461717</v>
      </c>
      <c r="AO84" s="1151">
        <v>78.481853999999998</v>
      </c>
      <c r="AP84" s="1151">
        <v>31.489895469999997</v>
      </c>
      <c r="AQ84" s="1151">
        <f t="shared" si="117"/>
        <v>96.777382944340161</v>
      </c>
      <c r="AR84" s="1150">
        <v>17.68</v>
      </c>
      <c r="AS84" s="1151">
        <v>8.8057610000000004</v>
      </c>
      <c r="AT84" s="1151">
        <v>3.975740759999999</v>
      </c>
      <c r="AU84" s="1150">
        <v>16.309999999999999</v>
      </c>
      <c r="AV84" s="1151">
        <v>9.7860399999999998</v>
      </c>
      <c r="AW84" s="1151">
        <v>4.18558217</v>
      </c>
      <c r="AX84" s="1150"/>
      <c r="AY84" s="1151"/>
      <c r="AZ84" s="1151"/>
      <c r="BA84" s="1150">
        <v>12.8</v>
      </c>
      <c r="BB84" s="1151">
        <v>8.9954829999999912</v>
      </c>
      <c r="BC84" s="1151">
        <v>3.9275723500000002</v>
      </c>
      <c r="BD84" s="1150">
        <v>14.09</v>
      </c>
      <c r="BE84" s="1151">
        <v>8.8805779999999999</v>
      </c>
      <c r="BF84" s="1839">
        <v>4.1249191200000004</v>
      </c>
      <c r="BG84" s="1150">
        <v>16.41</v>
      </c>
      <c r="BH84" s="1195">
        <v>8.4307949999999998</v>
      </c>
      <c r="BI84" s="1155">
        <v>4.1582291800000002</v>
      </c>
      <c r="BJ84" s="1150">
        <v>28.01</v>
      </c>
      <c r="BK84" s="1151"/>
      <c r="BL84" s="1151">
        <v>4.4584662100000001</v>
      </c>
      <c r="BM84" s="1150"/>
      <c r="BN84" s="1151"/>
      <c r="BO84" s="1151"/>
      <c r="BP84" s="1150"/>
      <c r="BQ84" s="1151"/>
      <c r="BR84" s="1151"/>
      <c r="BS84" s="1150"/>
      <c r="BT84" s="1151"/>
      <c r="BU84" s="1151"/>
      <c r="BV84" s="1150"/>
      <c r="BW84" s="1151"/>
      <c r="BX84" s="1151"/>
      <c r="BY84" s="1150"/>
      <c r="BZ84" s="1151"/>
      <c r="CA84" s="1151"/>
      <c r="CB84" s="1150">
        <v>114.88</v>
      </c>
      <c r="CC84" s="1151">
        <v>53.393479999999997</v>
      </c>
      <c r="CD84" s="1151">
        <v>28.87987403</v>
      </c>
      <c r="CE84" s="1151">
        <f t="shared" si="118"/>
        <v>79.107325970000005</v>
      </c>
      <c r="CF84" s="1153">
        <f t="shared" si="114"/>
        <v>26.482802034617176</v>
      </c>
      <c r="CG84" s="1154">
        <f t="shared" si="47"/>
        <v>32.606645970000002</v>
      </c>
      <c r="CH84" s="1155">
        <f t="shared" si="2"/>
        <v>6.1238439353828262</v>
      </c>
      <c r="CI84" s="1154">
        <f t="shared" si="115"/>
        <v>19.407782109577404</v>
      </c>
      <c r="CJ84" s="1154">
        <f t="shared" si="75"/>
        <v>28.38322246692201</v>
      </c>
      <c r="CK84" s="1154">
        <f t="shared" si="11"/>
        <v>8.9754403573446062</v>
      </c>
      <c r="CL84" s="1150">
        <f t="shared" si="119"/>
        <v>18.295528944340163</v>
      </c>
      <c r="CM84" s="1157">
        <f t="shared" si="120"/>
        <v>25.713845970000008</v>
      </c>
      <c r="CN84" s="1152">
        <f t="shared" si="13"/>
        <v>7.4183170256598459</v>
      </c>
      <c r="CO84" s="1150">
        <f t="shared" si="116"/>
        <v>18.904756863349487</v>
      </c>
      <c r="CP84" s="1151">
        <f t="shared" si="14"/>
        <v>32.505012215621484</v>
      </c>
      <c r="CQ84" s="1152">
        <f t="shared" si="6"/>
        <v>13.600255352271997</v>
      </c>
      <c r="CR84" s="1173">
        <f t="shared" si="124"/>
        <v>0</v>
      </c>
      <c r="CS84" s="1153">
        <f t="shared" si="125"/>
        <v>0</v>
      </c>
      <c r="CT84" s="1150">
        <f t="shared" si="122"/>
        <v>0</v>
      </c>
      <c r="CU84" s="1151">
        <f t="shared" si="121"/>
        <v>0</v>
      </c>
      <c r="CV84" s="1152">
        <f t="shared" si="7"/>
        <v>0</v>
      </c>
      <c r="CX84" s="1150"/>
      <c r="CY84" s="1151"/>
      <c r="CZ84" s="1151"/>
      <c r="DA84" s="1152">
        <f t="shared" si="17"/>
        <v>0</v>
      </c>
      <c r="DB84" s="1153">
        <f t="shared" si="18"/>
        <v>0</v>
      </c>
      <c r="DC84" s="1154" t="e">
        <f t="shared" si="19"/>
        <v>#DIV/0!</v>
      </c>
      <c r="DD84" s="1150">
        <f t="shared" si="20"/>
        <v>0</v>
      </c>
      <c r="DE84" s="1150" t="e">
        <f t="shared" si="21"/>
        <v>#DIV/0!</v>
      </c>
      <c r="DF84" s="1173">
        <v>4.8558792297693056</v>
      </c>
      <c r="DG84" s="1150">
        <f t="shared" si="22"/>
        <v>0</v>
      </c>
      <c r="DI84" s="1434"/>
      <c r="DJ84" s="1435"/>
      <c r="DK84" s="1828"/>
      <c r="DL84" s="1434"/>
      <c r="DM84" s="2064">
        <f t="shared" si="123"/>
        <v>-27.352371387329725</v>
      </c>
      <c r="DN84" s="2064">
        <f t="shared" si="123"/>
        <v>-4.5332935111233104</v>
      </c>
    </row>
    <row r="85" spans="1:118" ht="12.75" customHeight="1">
      <c r="A85" s="1160">
        <f>SUM(A76:A84)</f>
        <v>9</v>
      </c>
      <c r="B85" s="3087"/>
      <c r="C85" s="1161" t="s">
        <v>311</v>
      </c>
      <c r="D85" s="1166">
        <f>SUM(D76:D84)</f>
        <v>168.29255899999998</v>
      </c>
      <c r="E85" s="1166">
        <f>SUM(E76:E84)</f>
        <v>79.238013999999993</v>
      </c>
      <c r="F85" s="1166">
        <f>SUM(F76:F84)</f>
        <v>52.58460796</v>
      </c>
      <c r="G85" s="1166">
        <v>154.89640500000002</v>
      </c>
      <c r="H85" s="1166">
        <v>71.419775000000001</v>
      </c>
      <c r="I85" s="1166">
        <v>50.049496480000016</v>
      </c>
      <c r="J85" s="1166">
        <f t="shared" ref="J85:O85" si="126">SUM(J76:J84)</f>
        <v>141.33999999999997</v>
      </c>
      <c r="K85" s="1166">
        <f t="shared" si="126"/>
        <v>89.945335</v>
      </c>
      <c r="L85" s="1166">
        <f t="shared" si="126"/>
        <v>50.614424040000003</v>
      </c>
      <c r="M85" s="1166">
        <f t="shared" si="126"/>
        <v>121.66000000000001</v>
      </c>
      <c r="N85" s="1166">
        <f t="shared" si="126"/>
        <v>73.680336999999994</v>
      </c>
      <c r="O85" s="1166">
        <f t="shared" si="126"/>
        <v>52.405934739999999</v>
      </c>
      <c r="P85" s="1162">
        <f t="shared" ref="P85:U85" si="127">SUM(P76:P84)</f>
        <v>130.04999999999998</v>
      </c>
      <c r="Q85" s="1163">
        <f t="shared" si="127"/>
        <v>59.910663</v>
      </c>
      <c r="R85" s="1163">
        <f t="shared" si="127"/>
        <v>54.275741930000002</v>
      </c>
      <c r="S85" s="1165">
        <f t="shared" si="127"/>
        <v>152.38</v>
      </c>
      <c r="T85" s="1166">
        <f t="shared" si="127"/>
        <v>73.184149999999988</v>
      </c>
      <c r="U85" s="1167">
        <f t="shared" si="127"/>
        <v>51.60707979</v>
      </c>
      <c r="V85" s="1166">
        <f t="shared" ref="V85:CE85" si="128">SUM(V76:V84)</f>
        <v>272.561621</v>
      </c>
      <c r="W85" s="1166">
        <f t="shared" si="128"/>
        <v>101.25634399999998</v>
      </c>
      <c r="X85" s="1166">
        <f t="shared" si="128"/>
        <v>60.280264809999998</v>
      </c>
      <c r="Y85" s="1166">
        <f t="shared" ref="Y85:AA85" si="129">SUM(Y76:Y84)</f>
        <v>233.47</v>
      </c>
      <c r="Z85" s="1166">
        <f t="shared" si="129"/>
        <v>115.34476599999999</v>
      </c>
      <c r="AA85" s="1166">
        <f t="shared" si="129"/>
        <v>60.391305530000004</v>
      </c>
      <c r="AB85" s="1166">
        <f t="shared" si="128"/>
        <v>0</v>
      </c>
      <c r="AC85" s="1166">
        <f t="shared" si="128"/>
        <v>0</v>
      </c>
      <c r="AD85" s="1166">
        <f t="shared" si="128"/>
        <v>0</v>
      </c>
      <c r="AE85" s="1166">
        <v>140.29999999999998</v>
      </c>
      <c r="AF85" s="1166">
        <v>115.758002</v>
      </c>
      <c r="AG85" s="1166">
        <v>55.067145360000005</v>
      </c>
      <c r="AH85" s="1166">
        <f t="shared" ref="AH85:AQ85" si="130">SUM(AH76:AH84)</f>
        <v>0</v>
      </c>
      <c r="AI85" s="1166">
        <f t="shared" si="130"/>
        <v>0</v>
      </c>
      <c r="AJ85" s="1166">
        <f t="shared" si="130"/>
        <v>0</v>
      </c>
      <c r="AK85" s="1166">
        <f>SUM(AK76:AK84)</f>
        <v>0</v>
      </c>
      <c r="AL85" s="1166">
        <f t="shared" si="130"/>
        <v>0</v>
      </c>
      <c r="AM85" s="1166">
        <f t="shared" si="130"/>
        <v>0</v>
      </c>
      <c r="AN85" s="1162">
        <f>SUM(AN76:AN84)</f>
        <v>1378.4631664400001</v>
      </c>
      <c r="AO85" s="1163">
        <f>SUM(AO76:AO84)</f>
        <v>652.16447800000003</v>
      </c>
      <c r="AP85" s="1163">
        <f>SUM(AP76:AP84)</f>
        <v>450.98889503000004</v>
      </c>
      <c r="AQ85" s="1166">
        <f t="shared" si="130"/>
        <v>844.76648142360011</v>
      </c>
      <c r="AR85" s="1166">
        <f t="shared" si="128"/>
        <v>169.89700300000001</v>
      </c>
      <c r="AS85" s="1166">
        <f t="shared" si="128"/>
        <v>82.052992000000017</v>
      </c>
      <c r="AT85" s="1166">
        <f t="shared" si="128"/>
        <v>55.537966199999985</v>
      </c>
      <c r="AU85" s="1166">
        <f t="shared" si="128"/>
        <v>154.97407040000002</v>
      </c>
      <c r="AV85" s="1166">
        <f t="shared" si="128"/>
        <v>72.263099000000011</v>
      </c>
      <c r="AW85" s="1166">
        <f t="shared" si="128"/>
        <v>54.774104010000002</v>
      </c>
      <c r="AX85" s="1166">
        <f t="shared" si="128"/>
        <v>0</v>
      </c>
      <c r="AY85" s="1166">
        <f t="shared" si="128"/>
        <v>0</v>
      </c>
      <c r="AZ85" s="1166">
        <f t="shared" si="128"/>
        <v>0</v>
      </c>
      <c r="BA85" s="1166">
        <f t="shared" si="128"/>
        <v>127.61999999999999</v>
      </c>
      <c r="BB85" s="1166">
        <f t="shared" si="128"/>
        <v>80.369992000000011</v>
      </c>
      <c r="BC85" s="1166">
        <f t="shared" si="128"/>
        <v>63.948434329999991</v>
      </c>
      <c r="BD85" s="1166">
        <f t="shared" si="128"/>
        <v>145.97357170000001</v>
      </c>
      <c r="BE85" s="1166">
        <f t="shared" si="128"/>
        <v>66.555695</v>
      </c>
      <c r="BF85" s="1166">
        <f t="shared" si="128"/>
        <v>57.377868239999998</v>
      </c>
      <c r="BG85" s="1165">
        <f t="shared" si="128"/>
        <v>174.85383399999998</v>
      </c>
      <c r="BH85" s="1166">
        <f t="shared" si="128"/>
        <v>83.587869999999995</v>
      </c>
      <c r="BI85" s="1167">
        <f t="shared" si="128"/>
        <v>57.551826660000003</v>
      </c>
      <c r="BJ85" s="1166">
        <f>SUM(BJ76:BJ84)</f>
        <v>251.93</v>
      </c>
      <c r="BK85" s="1166">
        <f>SUM(BK76:BK84)</f>
        <v>0</v>
      </c>
      <c r="BL85" s="1166">
        <f>SUM(BL76:BL84)</f>
        <v>59.200033769999997</v>
      </c>
      <c r="BM85" s="1166">
        <f t="shared" si="128"/>
        <v>0</v>
      </c>
      <c r="BN85" s="1166">
        <f t="shared" si="128"/>
        <v>0</v>
      </c>
      <c r="BO85" s="1166">
        <f t="shared" si="128"/>
        <v>0</v>
      </c>
      <c r="BP85" s="1166">
        <f t="shared" si="128"/>
        <v>0</v>
      </c>
      <c r="BQ85" s="1166">
        <f t="shared" si="128"/>
        <v>0</v>
      </c>
      <c r="BR85" s="1166">
        <f t="shared" si="128"/>
        <v>0</v>
      </c>
      <c r="BS85" s="1166">
        <f t="shared" si="128"/>
        <v>0</v>
      </c>
      <c r="BT85" s="1166">
        <f t="shared" si="128"/>
        <v>0</v>
      </c>
      <c r="BU85" s="1166">
        <f t="shared" si="128"/>
        <v>0</v>
      </c>
      <c r="BV85" s="1166">
        <f t="shared" si="128"/>
        <v>0</v>
      </c>
      <c r="BW85" s="1166">
        <f t="shared" si="128"/>
        <v>0</v>
      </c>
      <c r="BX85" s="1166">
        <f t="shared" si="128"/>
        <v>0</v>
      </c>
      <c r="BY85" s="1166">
        <f t="shared" si="128"/>
        <v>0</v>
      </c>
      <c r="BZ85" s="1166">
        <f t="shared" si="128"/>
        <v>0</v>
      </c>
      <c r="CA85" s="1166">
        <f t="shared" si="128"/>
        <v>0</v>
      </c>
      <c r="CB85" s="1162">
        <f>SUM(CB76:CB84)</f>
        <v>1173.1331464</v>
      </c>
      <c r="CC85" s="1163">
        <f>SUM(CC76:CC84)</f>
        <v>464.64306600000003</v>
      </c>
      <c r="CD85" s="1163">
        <f>SUM(CD76:CD84)</f>
        <v>403.69392928999997</v>
      </c>
      <c r="CE85" s="1163">
        <f t="shared" si="128"/>
        <v>699.05122832600011</v>
      </c>
      <c r="CF85" s="1165">
        <f t="shared" si="114"/>
        <v>275.30979341000005</v>
      </c>
      <c r="CG85" s="1166">
        <f t="shared" si="47"/>
        <v>304.79615110999993</v>
      </c>
      <c r="CH85" s="1167">
        <f t="shared" si="2"/>
        <v>29.486357699999871</v>
      </c>
      <c r="CI85" s="1166">
        <f t="shared" si="115"/>
        <v>19.972227050579182</v>
      </c>
      <c r="CJ85" s="1166">
        <f>(CB85-CC85-CD85)/CB85*100</f>
        <v>25.981377480069462</v>
      </c>
      <c r="CK85" s="1166">
        <f t="shared" si="11"/>
        <v>6.0091504294902798</v>
      </c>
      <c r="CL85" s="1162">
        <f>SUM(CL76:CL84)</f>
        <v>192.60200342360008</v>
      </c>
      <c r="CM85" s="1163">
        <f>SUM(CM76:CM84)</f>
        <v>234.40816232600008</v>
      </c>
      <c r="CN85" s="1164">
        <f t="shared" si="13"/>
        <v>41.8061589024</v>
      </c>
      <c r="CO85" s="1162">
        <f t="shared" si="116"/>
        <v>22.799437200565446</v>
      </c>
      <c r="CP85" s="1163">
        <f t="shared" si="14"/>
        <v>33.532329653054362</v>
      </c>
      <c r="CQ85" s="1164">
        <f t="shared" si="6"/>
        <v>10.732892452488915</v>
      </c>
      <c r="CR85" s="1168">
        <f t="shared" si="124"/>
        <v>0</v>
      </c>
      <c r="CS85" s="1165">
        <f t="shared" si="125"/>
        <v>0</v>
      </c>
      <c r="CT85" s="1162">
        <f>SUM(CT76:CT84)</f>
        <v>0</v>
      </c>
      <c r="CU85" s="1163">
        <f>SUM(CU76:CU84)</f>
        <v>0</v>
      </c>
      <c r="CV85" s="1164">
        <f t="shared" si="7"/>
        <v>0</v>
      </c>
      <c r="CX85" s="1162">
        <f>SUM(CX76:CX84)</f>
        <v>0</v>
      </c>
      <c r="CY85" s="1162">
        <f>SUM(CY76:CY84)</f>
        <v>0</v>
      </c>
      <c r="CZ85" s="1162">
        <f>SUM(CZ76:CZ84)</f>
        <v>0</v>
      </c>
      <c r="DA85" s="1162">
        <f>SUM(DA76:DA84)</f>
        <v>0</v>
      </c>
      <c r="DB85" s="1165">
        <f t="shared" si="18"/>
        <v>0</v>
      </c>
      <c r="DC85" s="1166" t="e">
        <f t="shared" si="19"/>
        <v>#DIV/0!</v>
      </c>
      <c r="DD85" s="1162">
        <f t="shared" si="20"/>
        <v>0</v>
      </c>
      <c r="DE85" s="1162" t="e">
        <f t="shared" si="21"/>
        <v>#DIV/0!</v>
      </c>
      <c r="DF85" s="1168">
        <v>4.8558792297693056</v>
      </c>
      <c r="DG85" s="1162">
        <f t="shared" si="22"/>
        <v>0</v>
      </c>
      <c r="DI85" s="1432">
        <f>AN85-ventes_achats_élec!G25</f>
        <v>0</v>
      </c>
      <c r="DJ85" s="1433">
        <f>AO85-ventes_achats_élec!D25</f>
        <v>0</v>
      </c>
      <c r="DK85" s="1827">
        <f>AP85-ventes_achats_élec!E25</f>
        <v>8.5239000003412002E-4</v>
      </c>
      <c r="DL85" s="1432">
        <f>CB85-ventes_achats_élec!M25</f>
        <v>-278.98797620000005</v>
      </c>
      <c r="DM85" s="1433">
        <f>CC85-ventes_achats_élec!J25</f>
        <v>-238.02699699999999</v>
      </c>
      <c r="DN85" s="1433">
        <f>CD85-ventes_achats_élec!K25</f>
        <v>-63.368111240000076</v>
      </c>
    </row>
    <row r="86" spans="1:118" ht="12.75" customHeight="1">
      <c r="A86" s="1130">
        <v>1</v>
      </c>
      <c r="B86" s="3085" t="s">
        <v>883</v>
      </c>
      <c r="C86" s="1172" t="s">
        <v>907</v>
      </c>
      <c r="D86" s="1675">
        <v>22.594758168516933</v>
      </c>
      <c r="E86" s="1676">
        <v>12.475580000000001</v>
      </c>
      <c r="F86" s="1677">
        <v>9.1574153800000033</v>
      </c>
      <c r="G86" s="1675">
        <v>19.087689599874</v>
      </c>
      <c r="H86" s="1676">
        <v>9.9323859999999993</v>
      </c>
      <c r="I86" s="1677">
        <v>8.0597593700000054</v>
      </c>
      <c r="J86" s="1675">
        <v>19.685278242809112</v>
      </c>
      <c r="K86" s="1676">
        <v>8.1561610000000009</v>
      </c>
      <c r="L86" s="1677">
        <v>8.2272682400000008</v>
      </c>
      <c r="M86" s="1675">
        <v>20.969243257887339</v>
      </c>
      <c r="N86" s="1676">
        <v>10.602408601181356</v>
      </c>
      <c r="O86" s="1677">
        <v>9.880674005703213</v>
      </c>
      <c r="P86" s="1675">
        <v>21.125593345554218</v>
      </c>
      <c r="Q86" s="1676">
        <v>10.306291999999999</v>
      </c>
      <c r="R86" s="1677">
        <v>9.1384146899999941</v>
      </c>
      <c r="S86" s="1819">
        <v>28.6570347791491</v>
      </c>
      <c r="T86" s="1832">
        <v>11.713676</v>
      </c>
      <c r="U86" s="1709">
        <v>9.6980244599999939</v>
      </c>
      <c r="V86" s="1675">
        <v>52.777717436145529</v>
      </c>
      <c r="W86" s="1676">
        <v>24.006516000000001</v>
      </c>
      <c r="X86" s="1677">
        <v>12.66009923</v>
      </c>
      <c r="Y86" s="1675">
        <v>44.18934841029354</v>
      </c>
      <c r="Z86" s="1676">
        <v>24.677773999999999</v>
      </c>
      <c r="AA86" s="1677">
        <v>12.535795000000007</v>
      </c>
      <c r="AB86" s="1675"/>
      <c r="AC86" s="1676"/>
      <c r="AD86" s="1677"/>
      <c r="AE86" s="1675"/>
      <c r="AF86" s="1676"/>
      <c r="AG86" s="1677"/>
      <c r="AH86" s="1675"/>
      <c r="AI86" s="1676"/>
      <c r="AJ86" s="1677"/>
      <c r="AK86" s="1675"/>
      <c r="AL86" s="1676"/>
      <c r="AM86" s="1677"/>
      <c r="AN86" s="1675">
        <v>231.88928074822869</v>
      </c>
      <c r="AO86" s="1676">
        <v>112.872732</v>
      </c>
      <c r="AP86" s="1151">
        <v>80.530756220000029</v>
      </c>
      <c r="AQ86" s="1151">
        <f t="shared" ref="AQ86:AQ91" si="131">AN86-(AN86*0.06)-AP86</f>
        <v>137.44516768333494</v>
      </c>
      <c r="AR86" s="1675">
        <v>22.379982317053138</v>
      </c>
      <c r="AS86" s="1676">
        <v>12.559965999999999</v>
      </c>
      <c r="AT86" s="1677">
        <v>8.9217083500000012</v>
      </c>
      <c r="AU86" s="1675">
        <v>20.687302279787595</v>
      </c>
      <c r="AV86" s="1676">
        <v>12.607207878742933</v>
      </c>
      <c r="AW86" s="1677">
        <v>8.6995885647226689</v>
      </c>
      <c r="AX86" s="1675"/>
      <c r="AY86" s="1676"/>
      <c r="AZ86" s="1677"/>
      <c r="BA86" s="1675">
        <v>21.265402790462957</v>
      </c>
      <c r="BB86" s="1676">
        <v>12.055044000000001</v>
      </c>
      <c r="BC86" s="1677">
        <v>10.199010869999999</v>
      </c>
      <c r="BD86" s="1675">
        <v>25.918516409999999</v>
      </c>
      <c r="BE86" s="1676">
        <v>10.6029</v>
      </c>
      <c r="BF86" s="1841">
        <v>10.552575890000011</v>
      </c>
      <c r="BG86" s="1819">
        <v>32.287778387606053</v>
      </c>
      <c r="BH86" s="1832">
        <v>11.746779547451824</v>
      </c>
      <c r="BI86" s="1709">
        <v>11.446791484664548</v>
      </c>
      <c r="BJ86" s="1675">
        <v>51.60321667987769</v>
      </c>
      <c r="BK86" s="1676">
        <v>26.404337000000002</v>
      </c>
      <c r="BL86" s="1677">
        <v>12.595123129999976</v>
      </c>
      <c r="BM86" s="1675"/>
      <c r="BN86" s="1676"/>
      <c r="BO86" s="1677"/>
      <c r="BP86" s="1675"/>
      <c r="BQ86" s="1676"/>
      <c r="BR86" s="1677"/>
      <c r="BS86" s="1675"/>
      <c r="BT86" s="1676"/>
      <c r="BU86" s="1677"/>
      <c r="BV86" s="1675"/>
      <c r="BW86" s="1676"/>
      <c r="BX86" s="1677"/>
      <c r="BY86" s="1675"/>
      <c r="BZ86" s="1676"/>
      <c r="CA86" s="1677"/>
      <c r="CB86" s="1675">
        <v>195.86188309854248</v>
      </c>
      <c r="CC86" s="1676">
        <v>95.746292999999994</v>
      </c>
      <c r="CD86" s="1151">
        <v>71.100988969999989</v>
      </c>
      <c r="CE86" s="1677">
        <f t="shared" ref="CE86:CE91" si="132">CB86-(CB86*0.06)-CD86</f>
        <v>113.00918114262994</v>
      </c>
      <c r="CF86" s="1675">
        <f t="shared" ref="CF86:CF107" si="133">AN86-AO86-AP86</f>
        <v>38.485792528228657</v>
      </c>
      <c r="CG86" s="1676">
        <f t="shared" ref="CG86:CG92" si="134">CB86-CC86-CD86</f>
        <v>29.014601128542495</v>
      </c>
      <c r="CH86" s="1677">
        <f t="shared" ref="CH86:CH107" si="135">CG86-CF86</f>
        <v>-9.4711913996861625</v>
      </c>
      <c r="CI86" s="1675">
        <f t="shared" ref="CI86:CI107" si="136">(AN86-AO86-AP86)/AN86*100</f>
        <v>16.596624218268285</v>
      </c>
      <c r="CJ86" s="1676">
        <f t="shared" ref="CJ86:CJ106" si="137">(CB86-CC86-CD86)/CB86*100</f>
        <v>14.813806887552797</v>
      </c>
      <c r="CK86" s="1677">
        <f t="shared" ref="CK86:CK107" si="138">CJ86-CI86</f>
        <v>-1.7828173307154884</v>
      </c>
      <c r="CL86" s="1675">
        <f t="shared" ref="CL86:CL91" si="139">AQ86-AO86</f>
        <v>24.572435683334945</v>
      </c>
      <c r="CM86" s="1676">
        <f t="shared" ref="CM86:CM91" si="140">CE86-CC86</f>
        <v>17.262888142629947</v>
      </c>
      <c r="CN86" s="1677">
        <f t="shared" ref="CN86:CN109" si="141">CM86-CL86</f>
        <v>-7.3095475407049975</v>
      </c>
      <c r="CO86" s="1675">
        <f t="shared" ref="CO86:CO107" si="142">(CL86/AQ86)*100</f>
        <v>17.87799170935445</v>
      </c>
      <c r="CP86" s="1676">
        <f t="shared" ref="CP86:CP107" si="143">(CM86/CE86)*100</f>
        <v>15.275651029487857</v>
      </c>
      <c r="CQ86" s="1677">
        <f t="shared" ref="CQ86:CQ109" si="144">CP86-CO86</f>
        <v>-2.6023406798665931</v>
      </c>
      <c r="CR86" s="1795">
        <f>élec!AZ312/100</f>
        <v>4.6127873736769986</v>
      </c>
      <c r="CS86" s="1819" t="e">
        <f>élec!#REF!/100</f>
        <v>#REF!</v>
      </c>
      <c r="CT86" s="1675">
        <f t="shared" ref="CT86:CT91" si="145">CL86*CR86</f>
        <v>113.34742106057756</v>
      </c>
      <c r="CU86" s="1676" t="e">
        <f t="shared" ref="CU86:CU91" si="146">CS86*CM86</f>
        <v>#REF!</v>
      </c>
      <c r="CV86" s="1677" t="e">
        <f t="shared" ref="CV86:CV109" si="147">CU86-CT86</f>
        <v>#REF!</v>
      </c>
      <c r="CX86" s="1150"/>
      <c r="CY86" s="1151"/>
      <c r="CZ86" s="1151"/>
      <c r="DA86" s="1152">
        <f t="shared" ref="DA86:DA106" si="148">CX86-(CX86*0.06)-CZ86</f>
        <v>0</v>
      </c>
      <c r="DB86" s="1153">
        <f t="shared" ref="DB86:DB107" si="149">CX86-CY86-CZ86</f>
        <v>0</v>
      </c>
      <c r="DC86" s="1154" t="e">
        <f t="shared" ref="DC86:DC107" si="150">(CX86-CY86-CZ86)/CX86*100</f>
        <v>#DIV/0!</v>
      </c>
      <c r="DD86" s="1150">
        <f t="shared" ref="DD86:DD107" si="151">DA86-CY86</f>
        <v>0</v>
      </c>
      <c r="DE86" s="1150" t="e">
        <f t="shared" ref="DE86:DE107" si="152">(DD86/DA86)*100</f>
        <v>#DIV/0!</v>
      </c>
      <c r="DF86" s="1173">
        <v>4.6003210749889236</v>
      </c>
      <c r="DG86" s="1150">
        <f t="shared" ref="DG86:DG107" si="153">DD86*DF86</f>
        <v>0</v>
      </c>
      <c r="DI86" s="1434"/>
      <c r="DJ86" s="1435"/>
      <c r="DK86" s="1828"/>
      <c r="DL86" s="1434"/>
      <c r="DM86" s="1435"/>
      <c r="DN86" s="1435"/>
    </row>
    <row r="87" spans="1:118" ht="12.75" customHeight="1">
      <c r="A87" s="1130">
        <v>1</v>
      </c>
      <c r="B87" s="3086"/>
      <c r="C87" s="1172" t="s">
        <v>908</v>
      </c>
      <c r="D87" s="1678">
        <v>22.162016071847418</v>
      </c>
      <c r="E87" s="1679">
        <v>12.970286</v>
      </c>
      <c r="F87" s="1680">
        <v>6.6520779999999959</v>
      </c>
      <c r="G87" s="1678">
        <v>20.518435079647197</v>
      </c>
      <c r="H87" s="1679">
        <v>13.874699</v>
      </c>
      <c r="I87" s="1680">
        <v>5.7881599499999998</v>
      </c>
      <c r="J87" s="1678">
        <v>21.351346258797175</v>
      </c>
      <c r="K87" s="1679">
        <v>9.8730209999999996</v>
      </c>
      <c r="L87" s="1680">
        <v>6.8581730300000077</v>
      </c>
      <c r="M87" s="1678">
        <v>21.471310118950271</v>
      </c>
      <c r="N87" s="1679">
        <v>12.701799880568567</v>
      </c>
      <c r="O87" s="1680">
        <v>7.139262830408776</v>
      </c>
      <c r="P87" s="1678">
        <v>22.213397247551804</v>
      </c>
      <c r="Q87" s="1679">
        <v>13.218184000000001</v>
      </c>
      <c r="R87" s="1680">
        <v>7.6390108099999985</v>
      </c>
      <c r="S87" s="1820">
        <v>29.64709950161749</v>
      </c>
      <c r="T87" s="1833">
        <v>13.148078999999999</v>
      </c>
      <c r="U87" s="1710">
        <v>7.490119069999996</v>
      </c>
      <c r="V87" s="1678">
        <v>54.813523621207459</v>
      </c>
      <c r="W87" s="1679">
        <v>21.937795999999999</v>
      </c>
      <c r="X87" s="1680">
        <v>10.556003530000002</v>
      </c>
      <c r="Y87" s="1678">
        <v>43.061010000000003</v>
      </c>
      <c r="Z87" s="1679">
        <v>29.883983000000001</v>
      </c>
      <c r="AA87" s="1680">
        <v>9.1267574400000022</v>
      </c>
      <c r="AB87" s="1678"/>
      <c r="AC87" s="1679"/>
      <c r="AD87" s="1680"/>
      <c r="AE87" s="1678"/>
      <c r="AF87" s="1679"/>
      <c r="AG87" s="1680"/>
      <c r="AH87" s="1678"/>
      <c r="AI87" s="1679"/>
      <c r="AJ87" s="1680"/>
      <c r="AK87" s="1678"/>
      <c r="AL87" s="1679"/>
      <c r="AM87" s="1680"/>
      <c r="AN87" s="1678">
        <v>232.62054144621834</v>
      </c>
      <c r="AO87" s="1679">
        <v>126.972041</v>
      </c>
      <c r="AP87" s="1151">
        <v>61.244742469999984</v>
      </c>
      <c r="AQ87" s="1151">
        <f t="shared" si="131"/>
        <v>157.41856648944525</v>
      </c>
      <c r="AR87" s="1678">
        <v>22.617435887748861</v>
      </c>
      <c r="AS87" s="1679">
        <v>13.075412999999999</v>
      </c>
      <c r="AT87" s="1680">
        <v>6.7322284100000056</v>
      </c>
      <c r="AU87" s="1678">
        <v>20.906796367173634</v>
      </c>
      <c r="AV87" s="1679">
        <v>13.124593632770804</v>
      </c>
      <c r="AW87" s="1680">
        <v>6.5646191282118211</v>
      </c>
      <c r="AX87" s="1678"/>
      <c r="AY87" s="1679"/>
      <c r="AZ87" s="1680"/>
      <c r="BA87" s="1678">
        <v>23.403215613296105</v>
      </c>
      <c r="BB87" s="1679">
        <v>12.607702</v>
      </c>
      <c r="BC87" s="1680">
        <v>8.2363729000000045</v>
      </c>
      <c r="BD87" s="1678">
        <v>24.17674615</v>
      </c>
      <c r="BE87" s="1679">
        <v>13.862029</v>
      </c>
      <c r="BF87" s="1842">
        <v>8.6915072100000046</v>
      </c>
      <c r="BG87" s="1820">
        <v>32.539109963288027</v>
      </c>
      <c r="BH87" s="1833">
        <v>13.513583662602585</v>
      </c>
      <c r="BI87" s="1710">
        <v>8.9385806905572807</v>
      </c>
      <c r="BJ87" s="1678">
        <v>50.900356303657723</v>
      </c>
      <c r="BK87" s="1679">
        <v>23.836701000000001</v>
      </c>
      <c r="BL87" s="1680">
        <v>9.7970665499999914</v>
      </c>
      <c r="BM87" s="1678"/>
      <c r="BN87" s="1679"/>
      <c r="BO87" s="1680"/>
      <c r="BP87" s="1678"/>
      <c r="BQ87" s="1679"/>
      <c r="BR87" s="1680"/>
      <c r="BS87" s="1678"/>
      <c r="BT87" s="1679"/>
      <c r="BU87" s="1680"/>
      <c r="BV87" s="1678"/>
      <c r="BW87" s="1679"/>
      <c r="BX87" s="1680"/>
      <c r="BY87" s="1678"/>
      <c r="BZ87" s="1679"/>
      <c r="CA87" s="1680"/>
      <c r="CB87" s="1678">
        <v>196.70383727791901</v>
      </c>
      <c r="CC87" s="1679">
        <v>102.780894</v>
      </c>
      <c r="CD87" s="1151">
        <v>55.695639520000022</v>
      </c>
      <c r="CE87" s="1680">
        <f t="shared" si="132"/>
        <v>129.20596752124385</v>
      </c>
      <c r="CF87" s="1678">
        <f t="shared" si="133"/>
        <v>44.403757976218351</v>
      </c>
      <c r="CG87" s="1679">
        <f t="shared" si="134"/>
        <v>38.227303757918982</v>
      </c>
      <c r="CH87" s="1680">
        <f t="shared" si="135"/>
        <v>-6.1764542182993694</v>
      </c>
      <c r="CI87" s="1678">
        <f t="shared" si="136"/>
        <v>19.088493948194365</v>
      </c>
      <c r="CJ87" s="1679">
        <f t="shared" si="137"/>
        <v>19.433939005423863</v>
      </c>
      <c r="CK87" s="1680">
        <f t="shared" si="138"/>
        <v>0.34544505722949737</v>
      </c>
      <c r="CL87" s="1678">
        <f t="shared" si="139"/>
        <v>30.44652548944525</v>
      </c>
      <c r="CM87" s="1679">
        <f t="shared" si="140"/>
        <v>26.425073521243846</v>
      </c>
      <c r="CN87" s="1680">
        <f t="shared" si="141"/>
        <v>-4.0214519682014043</v>
      </c>
      <c r="CO87" s="1678">
        <f t="shared" si="142"/>
        <v>19.341127395850513</v>
      </c>
      <c r="CP87" s="1679">
        <f t="shared" si="143"/>
        <v>20.451898645392731</v>
      </c>
      <c r="CQ87" s="1680">
        <f t="shared" si="144"/>
        <v>1.1107712495422177</v>
      </c>
      <c r="CR87" s="1795">
        <f t="shared" ref="CR87:CR92" si="154">CR86</f>
        <v>4.6127873736769986</v>
      </c>
      <c r="CS87" s="1820" t="e">
        <f t="shared" ref="CS87:CS92" si="155">CS86</f>
        <v>#REF!</v>
      </c>
      <c r="CT87" s="1678">
        <f t="shared" si="145"/>
        <v>140.44334835004796</v>
      </c>
      <c r="CU87" s="1679" t="e">
        <f t="shared" si="146"/>
        <v>#REF!</v>
      </c>
      <c r="CV87" s="1680" t="e">
        <f t="shared" si="147"/>
        <v>#REF!</v>
      </c>
      <c r="CX87" s="1150"/>
      <c r="CY87" s="1151"/>
      <c r="CZ87" s="1151"/>
      <c r="DA87" s="1152">
        <f t="shared" si="148"/>
        <v>0</v>
      </c>
      <c r="DB87" s="1153">
        <f t="shared" si="149"/>
        <v>0</v>
      </c>
      <c r="DC87" s="1154" t="e">
        <f t="shared" si="150"/>
        <v>#DIV/0!</v>
      </c>
      <c r="DD87" s="1150">
        <f t="shared" si="151"/>
        <v>0</v>
      </c>
      <c r="DE87" s="1150" t="e">
        <f t="shared" si="152"/>
        <v>#DIV/0!</v>
      </c>
      <c r="DF87" s="1173">
        <v>4.6003210749889236</v>
      </c>
      <c r="DG87" s="1150">
        <f t="shared" si="153"/>
        <v>0</v>
      </c>
      <c r="DI87" s="1434"/>
      <c r="DJ87" s="1435"/>
      <c r="DK87" s="1828"/>
      <c r="DL87" s="1434"/>
      <c r="DM87" s="1435"/>
      <c r="DN87" s="1435"/>
    </row>
    <row r="88" spans="1:118" ht="12.75" customHeight="1">
      <c r="A88" s="1130">
        <v>1</v>
      </c>
      <c r="B88" s="3086"/>
      <c r="C88" s="1172" t="s">
        <v>909</v>
      </c>
      <c r="D88" s="1678">
        <v>20.172593831483066</v>
      </c>
      <c r="E88" s="1679">
        <v>11.818064</v>
      </c>
      <c r="F88" s="1680">
        <v>5.1179369799999996</v>
      </c>
      <c r="G88" s="1678">
        <v>17.888945400125998</v>
      </c>
      <c r="H88" s="1679">
        <v>12.784834999999999</v>
      </c>
      <c r="I88" s="1680">
        <v>4.6227644700000035</v>
      </c>
      <c r="J88" s="1678">
        <v>17.32850275719089</v>
      </c>
      <c r="K88" s="1679">
        <v>9.5940960000000004</v>
      </c>
      <c r="L88" s="1680">
        <v>4.80623062</v>
      </c>
      <c r="M88" s="1678">
        <v>19.147668086864911</v>
      </c>
      <c r="N88" s="1679">
        <v>11.640948936266511</v>
      </c>
      <c r="O88" s="1680">
        <v>5.5900400043468554</v>
      </c>
      <c r="P88" s="1678">
        <v>18.852969654445783</v>
      </c>
      <c r="Q88" s="1679">
        <v>11.972609</v>
      </c>
      <c r="R88" s="1680">
        <v>6.0595176999999989</v>
      </c>
      <c r="S88" s="1820">
        <v>26.372972220850897</v>
      </c>
      <c r="T88" s="1833">
        <v>13.203889999999999</v>
      </c>
      <c r="U88" s="1710">
        <v>6.0991887099999937</v>
      </c>
      <c r="V88" s="1678">
        <v>49.044790563854477</v>
      </c>
      <c r="W88" s="1679">
        <v>22.281717</v>
      </c>
      <c r="X88" s="1680">
        <v>7.8667449299999967</v>
      </c>
      <c r="Y88" s="1678">
        <v>43.164610589706456</v>
      </c>
      <c r="Z88" s="1679">
        <v>28.659661</v>
      </c>
      <c r="AA88" s="1680">
        <v>7.6191530300000005</v>
      </c>
      <c r="AB88" s="1678"/>
      <c r="AC88" s="1679"/>
      <c r="AD88" s="1680"/>
      <c r="AE88" s="1678"/>
      <c r="AF88" s="1679"/>
      <c r="AG88" s="1680"/>
      <c r="AH88" s="1678"/>
      <c r="AI88" s="1679"/>
      <c r="AJ88" s="1680"/>
      <c r="AK88" s="1678"/>
      <c r="AL88" s="1679"/>
      <c r="AM88" s="1680"/>
      <c r="AN88" s="1678">
        <v>213.97921725177133</v>
      </c>
      <c r="AO88" s="1679">
        <v>122.568327</v>
      </c>
      <c r="AP88" s="1151">
        <v>49.612142939999991</v>
      </c>
      <c r="AQ88" s="1151">
        <f t="shared" si="131"/>
        <v>151.52832127666508</v>
      </c>
      <c r="AR88" s="1678">
        <v>20.863069682946794</v>
      </c>
      <c r="AS88" s="1679">
        <v>12.483556999999999</v>
      </c>
      <c r="AT88" s="1680">
        <v>5.8619096000000068</v>
      </c>
      <c r="AU88" s="1678">
        <v>19.285119304429514</v>
      </c>
      <c r="AV88" s="1679">
        <v>12.530511481092903</v>
      </c>
      <c r="AW88" s="1680">
        <v>5.7159682566397825</v>
      </c>
      <c r="AX88" s="1678"/>
      <c r="AY88" s="1679"/>
      <c r="AZ88" s="1680"/>
      <c r="BA88" s="1678">
        <v>20.098338209537054</v>
      </c>
      <c r="BB88" s="1679">
        <v>12.519228999999999</v>
      </c>
      <c r="BC88" s="1680">
        <v>7.06418883</v>
      </c>
      <c r="BD88" s="1678">
        <v>22.372586590000001</v>
      </c>
      <c r="BE88" s="1679">
        <v>12.632973</v>
      </c>
      <c r="BF88" s="1842">
        <v>7.4605295299999996</v>
      </c>
      <c r="BG88" s="1820">
        <v>29.567358739386584</v>
      </c>
      <c r="BH88" s="1833">
        <v>13.100350333794109</v>
      </c>
      <c r="BI88" s="1710">
        <v>7.9639080309960733</v>
      </c>
      <c r="BJ88" s="1678">
        <v>47.626483320122311</v>
      </c>
      <c r="BK88" s="1679">
        <v>24.343219999999999</v>
      </c>
      <c r="BL88" s="1680">
        <v>9.1619358100000028</v>
      </c>
      <c r="BM88" s="1678"/>
      <c r="BN88" s="1679"/>
      <c r="BO88" s="1680"/>
      <c r="BP88" s="1678"/>
      <c r="BQ88" s="1679"/>
      <c r="BR88" s="1680"/>
      <c r="BS88" s="1678"/>
      <c r="BT88" s="1679"/>
      <c r="BU88" s="1680"/>
      <c r="BV88" s="1678"/>
      <c r="BW88" s="1679"/>
      <c r="BX88" s="1680"/>
      <c r="BY88" s="1678"/>
      <c r="BZ88" s="1679"/>
      <c r="CA88" s="1680"/>
      <c r="CB88" s="1678">
        <v>181.8125229014575</v>
      </c>
      <c r="CC88" s="1679">
        <v>101.81296399999999</v>
      </c>
      <c r="CD88" s="1151">
        <v>50.519653759999997</v>
      </c>
      <c r="CE88" s="1683">
        <f t="shared" si="132"/>
        <v>120.38411776737006</v>
      </c>
      <c r="CF88" s="1678">
        <f t="shared" si="133"/>
        <v>41.798747311771344</v>
      </c>
      <c r="CG88" s="1679">
        <f t="shared" si="134"/>
        <v>29.479905141457508</v>
      </c>
      <c r="CH88" s="1680">
        <f t="shared" si="135"/>
        <v>-12.318842170313836</v>
      </c>
      <c r="CI88" s="1678">
        <f t="shared" si="136"/>
        <v>19.534021971203998</v>
      </c>
      <c r="CJ88" s="1679">
        <f t="shared" si="137"/>
        <v>16.214452487101582</v>
      </c>
      <c r="CK88" s="1680">
        <f t="shared" si="138"/>
        <v>-3.3195694841024164</v>
      </c>
      <c r="CL88" s="1678">
        <f t="shared" si="139"/>
        <v>28.959994276665086</v>
      </c>
      <c r="CM88" s="1679">
        <f t="shared" si="140"/>
        <v>18.571153767370063</v>
      </c>
      <c r="CN88" s="1680">
        <f t="shared" si="141"/>
        <v>-10.388840509295022</v>
      </c>
      <c r="CO88" s="1678">
        <f t="shared" si="142"/>
        <v>19.111935005066833</v>
      </c>
      <c r="CP88" s="1679">
        <f t="shared" si="143"/>
        <v>15.426581273168368</v>
      </c>
      <c r="CQ88" s="1680">
        <f t="shared" si="144"/>
        <v>-3.6853537318984646</v>
      </c>
      <c r="CR88" s="1795">
        <f t="shared" si="154"/>
        <v>4.6127873736769986</v>
      </c>
      <c r="CS88" s="1820" t="e">
        <f t="shared" si="155"/>
        <v>#REF!</v>
      </c>
      <c r="CT88" s="1678">
        <f t="shared" si="145"/>
        <v>133.58629594115885</v>
      </c>
      <c r="CU88" s="1679" t="e">
        <f t="shared" si="146"/>
        <v>#REF!</v>
      </c>
      <c r="CV88" s="1680" t="e">
        <f t="shared" si="147"/>
        <v>#REF!</v>
      </c>
      <c r="CX88" s="1150"/>
      <c r="CY88" s="1151"/>
      <c r="CZ88" s="1151"/>
      <c r="DA88" s="1152">
        <f t="shared" si="148"/>
        <v>0</v>
      </c>
      <c r="DB88" s="1153">
        <f t="shared" si="149"/>
        <v>0</v>
      </c>
      <c r="DC88" s="1154" t="e">
        <f t="shared" si="150"/>
        <v>#DIV/0!</v>
      </c>
      <c r="DD88" s="1150">
        <f t="shared" si="151"/>
        <v>0</v>
      </c>
      <c r="DE88" s="1150" t="e">
        <f t="shared" si="152"/>
        <v>#DIV/0!</v>
      </c>
      <c r="DF88" s="1173">
        <v>4.6003210749889236</v>
      </c>
      <c r="DG88" s="1150">
        <f t="shared" si="153"/>
        <v>0</v>
      </c>
      <c r="DI88" s="1434"/>
      <c r="DJ88" s="1435"/>
      <c r="DK88" s="1828"/>
      <c r="DL88" s="1434"/>
      <c r="DM88" s="1435"/>
      <c r="DN88" s="1435"/>
    </row>
    <row r="89" spans="1:118" ht="12.75" customHeight="1">
      <c r="A89" s="1130"/>
      <c r="B89" s="3086"/>
      <c r="C89" s="1172" t="s">
        <v>910</v>
      </c>
      <c r="D89" s="1681">
        <v>6.7404143148306543</v>
      </c>
      <c r="E89" s="1682">
        <v>4.0900420000000004</v>
      </c>
      <c r="F89" s="1683">
        <v>1.6030123699999994</v>
      </c>
      <c r="G89" s="1681">
        <v>5.1752680012600045</v>
      </c>
      <c r="H89" s="1682">
        <v>4.9147869999999996</v>
      </c>
      <c r="I89" s="1683">
        <v>1.4604290899999999</v>
      </c>
      <c r="J89" s="1681">
        <v>5.4391323929772213</v>
      </c>
      <c r="K89" s="1682">
        <v>1.215476</v>
      </c>
      <c r="L89" s="1683">
        <v>1.4806430900000001</v>
      </c>
      <c r="M89" s="1681">
        <v>5.9944378136854528</v>
      </c>
      <c r="N89" s="1682">
        <v>4.2606667843822734</v>
      </c>
      <c r="O89" s="1683">
        <v>1.7580623326028257</v>
      </c>
      <c r="P89" s="1681">
        <v>5.1689085444578371</v>
      </c>
      <c r="Q89" s="1682">
        <v>4.9447130000000001</v>
      </c>
      <c r="R89" s="1683">
        <v>1.4766947900000007</v>
      </c>
      <c r="S89" s="1844">
        <v>7.0780002085089722</v>
      </c>
      <c r="T89" s="1834">
        <v>1.609189</v>
      </c>
      <c r="U89" s="1711">
        <v>1.7147020999999985</v>
      </c>
      <c r="V89" s="1681">
        <v>12.642032638544782</v>
      </c>
      <c r="W89" s="1682">
        <v>6.2740819999999999</v>
      </c>
      <c r="X89" s="1683">
        <v>2.4366519400000013</v>
      </c>
      <c r="Y89" s="1681">
        <v>10.572879897064581</v>
      </c>
      <c r="Z89" s="1682">
        <v>10.199263</v>
      </c>
      <c r="AA89" s="1683">
        <v>2.2070316699999988</v>
      </c>
      <c r="AB89" s="1681"/>
      <c r="AC89" s="1682"/>
      <c r="AD89" s="1151"/>
      <c r="AE89" s="1681"/>
      <c r="AF89" s="1682"/>
      <c r="AG89" s="1151"/>
      <c r="AH89" s="1681"/>
      <c r="AI89" s="1682"/>
      <c r="AJ89" s="1151"/>
      <c r="AK89" s="1681"/>
      <c r="AL89" s="1682"/>
      <c r="AM89" s="1683"/>
      <c r="AN89" s="1681">
        <v>57.863019517713354</v>
      </c>
      <c r="AO89" s="1682">
        <v>37.205843000000002</v>
      </c>
      <c r="AP89" s="1151">
        <v>13.705172300000001</v>
      </c>
      <c r="AQ89" s="1151">
        <f t="shared" si="131"/>
        <v>40.686066046650552</v>
      </c>
      <c r="AR89" s="1681">
        <v>5.9305148294683692</v>
      </c>
      <c r="AS89" s="1682">
        <v>4.344633</v>
      </c>
      <c r="AT89" s="1683">
        <v>1.8132612199999987</v>
      </c>
      <c r="AU89" s="1681">
        <v>5.4819682703006585</v>
      </c>
      <c r="AV89" s="1682">
        <v>4.3609744953009066</v>
      </c>
      <c r="AW89" s="1683">
        <v>1.7681172658336297</v>
      </c>
      <c r="AX89" s="1681"/>
      <c r="AY89" s="1682"/>
      <c r="AZ89" s="1683"/>
      <c r="BA89" s="1681">
        <v>5.5808020953710127</v>
      </c>
      <c r="BB89" s="1682">
        <v>4.0885600000000002</v>
      </c>
      <c r="BC89" s="1683">
        <v>1.5852906299999998</v>
      </c>
      <c r="BD89" s="1681">
        <v>5.9025758799999997</v>
      </c>
      <c r="BE89" s="1682">
        <v>5.2305910000000004</v>
      </c>
      <c r="BF89" s="1843">
        <v>1.5887270700000009</v>
      </c>
      <c r="BG89" s="1844">
        <v>8.2852135565631571</v>
      </c>
      <c r="BH89" s="1834">
        <v>4.2606390905247382</v>
      </c>
      <c r="BI89" s="1711">
        <v>2.0487201716943102</v>
      </c>
      <c r="BJ89" s="1681">
        <v>11.870460201222381</v>
      </c>
      <c r="BK89" s="1682">
        <v>6.9558770000000001</v>
      </c>
      <c r="BL89" s="1683">
        <v>2.4725783099999998</v>
      </c>
      <c r="BM89" s="1681"/>
      <c r="BN89" s="1682"/>
      <c r="BO89" s="1683"/>
      <c r="BP89" s="1681"/>
      <c r="BQ89" s="1682"/>
      <c r="BR89" s="1683"/>
      <c r="BS89" s="1681"/>
      <c r="BT89" s="1682"/>
      <c r="BU89" s="1683"/>
      <c r="BV89" s="1681"/>
      <c r="BW89" s="1682"/>
      <c r="BX89" s="1683"/>
      <c r="BY89" s="1681"/>
      <c r="BZ89" s="1682"/>
      <c r="CA89" s="1683"/>
      <c r="CB89" s="1681">
        <v>48.679612994575159</v>
      </c>
      <c r="CC89" s="1682">
        <v>28.909686000000001</v>
      </c>
      <c r="CD89" s="1151">
        <v>12.87337892</v>
      </c>
      <c r="CE89" s="1151">
        <f t="shared" si="132"/>
        <v>32.885457294900647</v>
      </c>
      <c r="CF89" s="1681">
        <f t="shared" si="133"/>
        <v>6.9520042177133519</v>
      </c>
      <c r="CG89" s="1682">
        <f>CB89-CC89-CD89</f>
        <v>6.8965480745751577</v>
      </c>
      <c r="CH89" s="1683">
        <f>CG89-CF89</f>
        <v>-5.5456143138194136E-2</v>
      </c>
      <c r="CI89" s="1681">
        <f t="shared" si="136"/>
        <v>12.014589414202909</v>
      </c>
      <c r="CJ89" s="1682">
        <f>(CB89-CC89-CD89)/CB89*100</f>
        <v>14.167220424171628</v>
      </c>
      <c r="CK89" s="1683">
        <f>CJ89-CI89</f>
        <v>2.1526310099687187</v>
      </c>
      <c r="CL89" s="1681">
        <f t="shared" si="139"/>
        <v>3.4802230466505506</v>
      </c>
      <c r="CM89" s="1682">
        <f t="shared" si="140"/>
        <v>3.9757712949006461</v>
      </c>
      <c r="CN89" s="1683">
        <f>CM89-CL89</f>
        <v>0.49554824825009547</v>
      </c>
      <c r="CO89" s="1681">
        <f t="shared" si="142"/>
        <v>8.5538450501951573</v>
      </c>
      <c r="CP89" s="1682">
        <f>(CM89/CE89)*100</f>
        <v>12.089755235111618</v>
      </c>
      <c r="CQ89" s="1683">
        <f>CP89-CO89</f>
        <v>3.5359101849164603</v>
      </c>
      <c r="CR89" s="1795">
        <f t="shared" si="154"/>
        <v>4.6127873736769986</v>
      </c>
      <c r="CS89" s="1820" t="e">
        <f t="shared" si="155"/>
        <v>#REF!</v>
      </c>
      <c r="CT89" s="1681">
        <f t="shared" si="145"/>
        <v>16.053528927169356</v>
      </c>
      <c r="CU89" s="1682" t="e">
        <f t="shared" si="146"/>
        <v>#REF!</v>
      </c>
      <c r="CV89" s="1683" t="e">
        <f>CU89-CT89</f>
        <v>#REF!</v>
      </c>
      <c r="CX89" s="1150"/>
      <c r="CY89" s="1151"/>
      <c r="CZ89" s="1151"/>
      <c r="DA89" s="1152">
        <f t="shared" si="148"/>
        <v>0</v>
      </c>
      <c r="DB89" s="1153">
        <f t="shared" si="149"/>
        <v>0</v>
      </c>
      <c r="DC89" s="1154" t="e">
        <f t="shared" si="150"/>
        <v>#DIV/0!</v>
      </c>
      <c r="DD89" s="1150">
        <f t="shared" si="151"/>
        <v>0</v>
      </c>
      <c r="DE89" s="1150" t="e">
        <f t="shared" si="152"/>
        <v>#DIV/0!</v>
      </c>
      <c r="DF89" s="1173"/>
      <c r="DG89" s="1150">
        <f t="shared" si="153"/>
        <v>0</v>
      </c>
      <c r="DI89" s="1434"/>
      <c r="DJ89" s="1435"/>
      <c r="DK89" s="1828"/>
      <c r="DL89" s="1434"/>
      <c r="DM89" s="1435"/>
      <c r="DN89" s="1435"/>
    </row>
    <row r="90" spans="1:118" ht="12.75" customHeight="1">
      <c r="A90" s="1130">
        <v>1</v>
      </c>
      <c r="B90" s="3086"/>
      <c r="C90" s="1172" t="s">
        <v>911</v>
      </c>
      <c r="D90" s="1150">
        <v>4.8670910000000003</v>
      </c>
      <c r="E90" s="1151">
        <v>4.243411</v>
      </c>
      <c r="F90" s="1151">
        <v>0.88299343000000019</v>
      </c>
      <c r="G90" s="1150">
        <v>4.1067879999999999</v>
      </c>
      <c r="H90" s="1151">
        <v>3.6845469999999998</v>
      </c>
      <c r="I90" s="1151">
        <v>0.79466375999999994</v>
      </c>
      <c r="J90" s="1150">
        <v>4.9105379999999998</v>
      </c>
      <c r="K90" s="1151">
        <v>2.5339</v>
      </c>
      <c r="L90" s="1151">
        <v>0.90651077999999996</v>
      </c>
      <c r="M90" s="1150">
        <v>4.5145009900437261</v>
      </c>
      <c r="N90" s="1151">
        <v>3.751141450723575</v>
      </c>
      <c r="O90" s="1151">
        <v>0.96278187498294898</v>
      </c>
      <c r="P90" s="1150">
        <v>4.04854132</v>
      </c>
      <c r="Q90" s="1151">
        <v>3.4654690000000001</v>
      </c>
      <c r="R90" s="1151">
        <v>0.73794624000000009</v>
      </c>
      <c r="S90" s="1150">
        <v>4.7439146799999996</v>
      </c>
      <c r="T90" s="1195">
        <v>2.5758830000000001</v>
      </c>
      <c r="U90" s="1155">
        <v>0.7572541300000003</v>
      </c>
      <c r="V90" s="1150">
        <v>8.7517739999999993</v>
      </c>
      <c r="W90" s="1151">
        <v>5.3348990000000001</v>
      </c>
      <c r="X90" s="1151">
        <v>0.91119408000000013</v>
      </c>
      <c r="Y90" s="1150">
        <v>8.8291819999999994</v>
      </c>
      <c r="Z90" s="1151">
        <v>7.1238400000000004</v>
      </c>
      <c r="AA90" s="1151">
        <v>0.80921935</v>
      </c>
      <c r="AB90" s="1150"/>
      <c r="AC90" s="1151"/>
      <c r="AD90" s="1151"/>
      <c r="AE90" s="1150"/>
      <c r="AF90" s="1151"/>
      <c r="AG90" s="1151"/>
      <c r="AH90" s="1150"/>
      <c r="AI90" s="1151"/>
      <c r="AJ90" s="1151"/>
      <c r="AK90" s="1150"/>
      <c r="AL90" s="1151"/>
      <c r="AM90" s="1151"/>
      <c r="AN90" s="1150">
        <v>45.812404999999998</v>
      </c>
      <c r="AO90" s="1151">
        <v>32.672904000000003</v>
      </c>
      <c r="AP90" s="1151">
        <v>6.3885609499999996</v>
      </c>
      <c r="AQ90" s="1151">
        <f t="shared" si="131"/>
        <v>36.675099750000001</v>
      </c>
      <c r="AR90" s="1150">
        <v>4.8790040000000001</v>
      </c>
      <c r="AS90" s="1151">
        <v>3.9377840000000002</v>
      </c>
      <c r="AT90" s="1151">
        <v>0.83385604000000024</v>
      </c>
      <c r="AU90" s="1150">
        <v>4.5099870563965263</v>
      </c>
      <c r="AV90" s="1151">
        <v>3.9525952116102756</v>
      </c>
      <c r="AW90" s="1151">
        <v>0.8130958988598781</v>
      </c>
      <c r="AX90" s="1150"/>
      <c r="AY90" s="1151"/>
      <c r="AZ90" s="1151"/>
      <c r="BA90" s="1150">
        <v>4.3106340000000003</v>
      </c>
      <c r="BB90" s="1151">
        <v>3.8800650000000001</v>
      </c>
      <c r="BC90" s="1151">
        <v>0.66717170000000003</v>
      </c>
      <c r="BD90" s="1150">
        <v>4.4855280000000004</v>
      </c>
      <c r="BE90" s="1151">
        <v>3.5504609999999999</v>
      </c>
      <c r="BF90" s="1839">
        <v>0.76175481</v>
      </c>
      <c r="BG90" s="1150">
        <v>6.4943251416916548</v>
      </c>
      <c r="BH90" s="1195">
        <v>3.7724112992310315</v>
      </c>
      <c r="BI90" s="1155">
        <v>0.93390624347235129</v>
      </c>
      <c r="BJ90" s="1150">
        <v>9.1294369999999994</v>
      </c>
      <c r="BK90" s="1151">
        <v>5.5371889999999997</v>
      </c>
      <c r="BL90" s="1151">
        <v>0.85982285999999974</v>
      </c>
      <c r="BM90" s="1150"/>
      <c r="BN90" s="1151"/>
      <c r="BO90" s="1151"/>
      <c r="BP90" s="1150"/>
      <c r="BQ90" s="1151"/>
      <c r="BR90" s="1151"/>
      <c r="BS90" s="1150"/>
      <c r="BT90" s="1151"/>
      <c r="BU90" s="1151"/>
      <c r="BV90" s="1150"/>
      <c r="BW90" s="1151"/>
      <c r="BX90" s="1151"/>
      <c r="BY90" s="1150"/>
      <c r="BZ90" s="1151"/>
      <c r="CA90" s="1151"/>
      <c r="CB90" s="1150">
        <v>37.148164000000001</v>
      </c>
      <c r="CC90" s="1151">
        <v>26.318735</v>
      </c>
      <c r="CD90" s="1151">
        <v>5.4164634500000002</v>
      </c>
      <c r="CE90" s="1151">
        <f t="shared" si="132"/>
        <v>29.502810709999999</v>
      </c>
      <c r="CF90" s="1153">
        <f t="shared" si="133"/>
        <v>6.7509400499999961</v>
      </c>
      <c r="CG90" s="1154">
        <f t="shared" si="134"/>
        <v>5.4129655500000009</v>
      </c>
      <c r="CH90" s="1155">
        <f t="shared" si="135"/>
        <v>-1.3379744999999952</v>
      </c>
      <c r="CI90" s="1154">
        <f t="shared" si="136"/>
        <v>14.736052494951959</v>
      </c>
      <c r="CJ90" s="1154">
        <f t="shared" si="137"/>
        <v>14.571286887825737</v>
      </c>
      <c r="CK90" s="1154">
        <f t="shared" si="138"/>
        <v>-0.16476560712622224</v>
      </c>
      <c r="CL90" s="1150">
        <f t="shared" si="139"/>
        <v>4.0021957499999985</v>
      </c>
      <c r="CM90" s="1157">
        <f t="shared" si="140"/>
        <v>3.1840757099999983</v>
      </c>
      <c r="CN90" s="1152">
        <f t="shared" si="141"/>
        <v>-0.81812004000000016</v>
      </c>
      <c r="CO90" s="1150">
        <f t="shared" si="142"/>
        <v>10.912569501600329</v>
      </c>
      <c r="CP90" s="1151">
        <f t="shared" si="143"/>
        <v>10.792448696831295</v>
      </c>
      <c r="CQ90" s="1152">
        <f t="shared" si="144"/>
        <v>-0.12012080476903364</v>
      </c>
      <c r="CR90" s="1173">
        <f t="shared" si="154"/>
        <v>4.6127873736769986</v>
      </c>
      <c r="CS90" s="1153" t="e">
        <f t="shared" si="155"/>
        <v>#REF!</v>
      </c>
      <c r="CT90" s="1150">
        <f t="shared" si="145"/>
        <v>18.461278022583738</v>
      </c>
      <c r="CU90" s="1151" t="e">
        <f t="shared" si="146"/>
        <v>#REF!</v>
      </c>
      <c r="CV90" s="1152" t="e">
        <f t="shared" si="147"/>
        <v>#REF!</v>
      </c>
      <c r="CX90" s="1150"/>
      <c r="CY90" s="1151"/>
      <c r="CZ90" s="1151"/>
      <c r="DA90" s="1152">
        <f t="shared" si="148"/>
        <v>0</v>
      </c>
      <c r="DB90" s="1153">
        <f t="shared" si="149"/>
        <v>0</v>
      </c>
      <c r="DC90" s="1154" t="e">
        <f t="shared" si="150"/>
        <v>#DIV/0!</v>
      </c>
      <c r="DD90" s="1150">
        <f t="shared" si="151"/>
        <v>0</v>
      </c>
      <c r="DE90" s="1150" t="e">
        <f t="shared" si="152"/>
        <v>#DIV/0!</v>
      </c>
      <c r="DF90" s="1173">
        <v>4.6003210749889236</v>
      </c>
      <c r="DG90" s="1150">
        <f t="shared" si="153"/>
        <v>0</v>
      </c>
      <c r="DI90" s="1434"/>
      <c r="DJ90" s="1435"/>
      <c r="DK90" s="1828"/>
      <c r="DL90" s="1434"/>
      <c r="DM90" s="1435"/>
      <c r="DN90" s="1435"/>
    </row>
    <row r="91" spans="1:118" ht="12.75" customHeight="1">
      <c r="A91" s="1130">
        <v>1</v>
      </c>
      <c r="B91" s="3086"/>
      <c r="C91" s="1172" t="s">
        <v>912</v>
      </c>
      <c r="D91" s="1150">
        <v>4.406858613321929</v>
      </c>
      <c r="E91" s="1151">
        <v>4.3508509999999996</v>
      </c>
      <c r="F91" s="1151">
        <v>0.93446043000000045</v>
      </c>
      <c r="G91" s="1150">
        <v>4.0340139190927964</v>
      </c>
      <c r="H91" s="1151">
        <v>3.6674579999999999</v>
      </c>
      <c r="I91" s="1151">
        <v>0.79472216999999978</v>
      </c>
      <c r="J91" s="1150">
        <v>3.9866413482256018</v>
      </c>
      <c r="K91" s="1151">
        <v>1.700909</v>
      </c>
      <c r="L91" s="1151">
        <v>0.87098951000000002</v>
      </c>
      <c r="M91" s="1150">
        <v>4.2463607325682871</v>
      </c>
      <c r="N91" s="1151">
        <v>3.7938913468777078</v>
      </c>
      <c r="O91" s="1151">
        <v>0.9923515219553829</v>
      </c>
      <c r="P91" s="1150">
        <v>4.5713208879903577</v>
      </c>
      <c r="Q91" s="1151">
        <v>3.9372069999999999</v>
      </c>
      <c r="R91" s="1151">
        <v>0.92065977999999971</v>
      </c>
      <c r="S91" s="1150">
        <v>4.7561326098735401</v>
      </c>
      <c r="T91" s="1195">
        <v>1.944779</v>
      </c>
      <c r="U91" s="1155">
        <v>1.1889225199999995</v>
      </c>
      <c r="V91" s="1150">
        <v>10.743938740247756</v>
      </c>
      <c r="W91" s="1151">
        <v>6.4820989999999998</v>
      </c>
      <c r="X91" s="1151">
        <v>0.94505493000000007</v>
      </c>
      <c r="Y91" s="1150">
        <v>8.3423999999999996</v>
      </c>
      <c r="Z91" s="1151">
        <v>7.0126429999999997</v>
      </c>
      <c r="AA91" s="1151">
        <v>1.3386472199999997</v>
      </c>
      <c r="AB91" s="1150"/>
      <c r="AC91" s="1151"/>
      <c r="AD91" s="1151"/>
      <c r="AE91" s="1150"/>
      <c r="AF91" s="1151"/>
      <c r="AG91" s="1151"/>
      <c r="AH91" s="1150"/>
      <c r="AI91" s="1151"/>
      <c r="AJ91" s="1151"/>
      <c r="AK91" s="1150"/>
      <c r="AL91" s="1151"/>
      <c r="AM91" s="1151"/>
      <c r="AN91" s="1150">
        <v>45.908944933132879</v>
      </c>
      <c r="AO91" s="1151">
        <v>33.220892999999997</v>
      </c>
      <c r="AP91" s="1151">
        <v>8.0318718899999997</v>
      </c>
      <c r="AQ91" s="1151">
        <f t="shared" si="131"/>
        <v>35.122536347144909</v>
      </c>
      <c r="AR91" s="1150">
        <v>4.6890702827827733</v>
      </c>
      <c r="AS91" s="1151">
        <v>4.4908070000000002</v>
      </c>
      <c r="AT91" s="1151">
        <v>0.8769203599999994</v>
      </c>
      <c r="AU91" s="1150">
        <v>4.3344187219120762</v>
      </c>
      <c r="AV91" s="1151">
        <v>4.5076983004821765</v>
      </c>
      <c r="AW91" s="1151">
        <v>0.85508806573221818</v>
      </c>
      <c r="AX91" s="1150"/>
      <c r="AY91" s="1151"/>
      <c r="AZ91" s="1151"/>
      <c r="BA91" s="1150">
        <v>3.9397912913328708</v>
      </c>
      <c r="BB91" s="1151">
        <v>4.3655920000000004</v>
      </c>
      <c r="BC91" s="1151">
        <v>0.96264258999999974</v>
      </c>
      <c r="BD91" s="1150">
        <v>5.7537759699999995</v>
      </c>
      <c r="BE91" s="1151">
        <v>4.0068590000000004</v>
      </c>
      <c r="BF91" s="1839">
        <v>1.0158251700000001</v>
      </c>
      <c r="BG91" s="1150">
        <v>6.6689782114646166</v>
      </c>
      <c r="BH91" s="1195">
        <v>3.918256066395708</v>
      </c>
      <c r="BI91" s="1155">
        <v>1.1073274786154328</v>
      </c>
      <c r="BJ91" s="1150">
        <v>9.7884534951198869</v>
      </c>
      <c r="BK91" s="1151">
        <v>7.024743</v>
      </c>
      <c r="BL91" s="1151">
        <v>1.1960753599999996</v>
      </c>
      <c r="BM91" s="1150"/>
      <c r="BN91" s="1151"/>
      <c r="BO91" s="1151"/>
      <c r="BP91" s="1150"/>
      <c r="BQ91" s="1151"/>
      <c r="BR91" s="1151"/>
      <c r="BS91" s="1150"/>
      <c r="BT91" s="1151"/>
      <c r="BU91" s="1151"/>
      <c r="BV91" s="1150"/>
      <c r="BW91" s="1151"/>
      <c r="BX91" s="1151"/>
      <c r="BY91" s="1150"/>
      <c r="BZ91" s="1151"/>
      <c r="CA91" s="1151"/>
      <c r="CB91" s="1150">
        <v>39.113288727505882</v>
      </c>
      <c r="CC91" s="1151">
        <v>27.893332000000001</v>
      </c>
      <c r="CD91" s="1151">
        <v>6.8901951799999992</v>
      </c>
      <c r="CE91" s="1151">
        <f t="shared" si="132"/>
        <v>29.876296223855533</v>
      </c>
      <c r="CF91" s="1153">
        <f t="shared" si="133"/>
        <v>4.656180043132883</v>
      </c>
      <c r="CG91" s="1154">
        <f t="shared" si="134"/>
        <v>4.3297615475058819</v>
      </c>
      <c r="CH91" s="1155">
        <f t="shared" si="135"/>
        <v>-0.32641849562700109</v>
      </c>
      <c r="CI91" s="1154">
        <f t="shared" si="136"/>
        <v>10.142206600292567</v>
      </c>
      <c r="CJ91" s="1154">
        <f t="shared" si="137"/>
        <v>11.069796706869695</v>
      </c>
      <c r="CK91" s="1154">
        <f t="shared" si="138"/>
        <v>0.92759010657712793</v>
      </c>
      <c r="CL91" s="1150">
        <f t="shared" si="139"/>
        <v>1.9016433471449119</v>
      </c>
      <c r="CM91" s="1157">
        <f t="shared" si="140"/>
        <v>1.9829642238555323</v>
      </c>
      <c r="CN91" s="1152">
        <f t="shared" si="141"/>
        <v>8.1320876710620382E-2</v>
      </c>
      <c r="CO91" s="1150">
        <f t="shared" si="142"/>
        <v>5.4143109949389956</v>
      </c>
      <c r="CP91" s="1151">
        <f t="shared" si="143"/>
        <v>6.6372491723796117</v>
      </c>
      <c r="CQ91" s="1152">
        <f t="shared" si="144"/>
        <v>1.2229381774406161</v>
      </c>
      <c r="CR91" s="1173">
        <f t="shared" si="154"/>
        <v>4.6127873736769986</v>
      </c>
      <c r="CS91" s="1153" t="e">
        <f t="shared" si="155"/>
        <v>#REF!</v>
      </c>
      <c r="CT91" s="1150">
        <f t="shared" si="145"/>
        <v>8.7718764209469153</v>
      </c>
      <c r="CU91" s="1151" t="e">
        <f t="shared" si="146"/>
        <v>#REF!</v>
      </c>
      <c r="CV91" s="1152" t="e">
        <f t="shared" si="147"/>
        <v>#REF!</v>
      </c>
      <c r="CX91" s="1150"/>
      <c r="CY91" s="1151"/>
      <c r="CZ91" s="1151"/>
      <c r="DA91" s="1152">
        <f t="shared" si="148"/>
        <v>0</v>
      </c>
      <c r="DB91" s="1153">
        <f t="shared" si="149"/>
        <v>0</v>
      </c>
      <c r="DC91" s="1154" t="e">
        <f t="shared" si="150"/>
        <v>#DIV/0!</v>
      </c>
      <c r="DD91" s="1150">
        <f t="shared" si="151"/>
        <v>0</v>
      </c>
      <c r="DE91" s="1150" t="e">
        <f t="shared" si="152"/>
        <v>#DIV/0!</v>
      </c>
      <c r="DF91" s="1173">
        <v>4.6003210749889236</v>
      </c>
      <c r="DG91" s="1150">
        <f t="shared" si="153"/>
        <v>0</v>
      </c>
      <c r="DI91" s="1434"/>
      <c r="DJ91" s="1435"/>
      <c r="DK91" s="1828"/>
      <c r="DL91" s="1434"/>
      <c r="DM91" s="1435"/>
      <c r="DN91" s="1435"/>
    </row>
    <row r="92" spans="1:118" ht="12.75" customHeight="1">
      <c r="A92" s="1160">
        <f>SUM(A86:A91)</f>
        <v>5</v>
      </c>
      <c r="B92" s="3087"/>
      <c r="C92" s="1161" t="s">
        <v>311</v>
      </c>
      <c r="D92" s="1166">
        <f>SUM(D86:D91)</f>
        <v>80.943732000000011</v>
      </c>
      <c r="E92" s="1166">
        <f>SUM(E86:E91)</f>
        <v>49.948233999999999</v>
      </c>
      <c r="F92" s="1166">
        <f>SUM(F86:F91)</f>
        <v>24.347896589999998</v>
      </c>
      <c r="G92" s="1166">
        <v>70.811139999999995</v>
      </c>
      <c r="H92" s="1166">
        <v>48.858711999999997</v>
      </c>
      <c r="I92" s="1166">
        <v>21.520498810000007</v>
      </c>
      <c r="J92" s="1166">
        <f t="shared" ref="J92:P92" si="156">SUM(J86:J91)</f>
        <v>72.701438999999993</v>
      </c>
      <c r="K92" s="1166">
        <f t="shared" si="156"/>
        <v>33.073563</v>
      </c>
      <c r="L92" s="1166">
        <f t="shared" si="156"/>
        <v>23.149815270000012</v>
      </c>
      <c r="M92" s="1166">
        <f t="shared" si="156"/>
        <v>76.343520999999996</v>
      </c>
      <c r="N92" s="1166">
        <f t="shared" si="156"/>
        <v>46.750856999999989</v>
      </c>
      <c r="O92" s="1166">
        <f t="shared" si="156"/>
        <v>26.323172569999997</v>
      </c>
      <c r="P92" s="1162">
        <f t="shared" si="156"/>
        <v>75.980730999999992</v>
      </c>
      <c r="Q92" s="1163">
        <f t="shared" ref="Q92:AM92" si="157">SUM(Q86:Q91)</f>
        <v>47.844473999999998</v>
      </c>
      <c r="R92" s="1163">
        <f t="shared" si="157"/>
        <v>25.972244009999994</v>
      </c>
      <c r="S92" s="1165">
        <f>SUM(S86:S91)</f>
        <v>101.255154</v>
      </c>
      <c r="T92" s="1166">
        <f>SUM(T86:T91)</f>
        <v>44.195495999999991</v>
      </c>
      <c r="U92" s="1167">
        <f>SUM(U86:U91)</f>
        <v>26.948210989999978</v>
      </c>
      <c r="V92" s="1166">
        <f t="shared" si="157"/>
        <v>188.773777</v>
      </c>
      <c r="W92" s="1166">
        <f t="shared" si="157"/>
        <v>86.317109000000016</v>
      </c>
      <c r="X92" s="1166">
        <f t="shared" si="157"/>
        <v>35.375748639999998</v>
      </c>
      <c r="Y92" s="1166">
        <f>SUM(Y86:Y91)</f>
        <v>158.15943089706457</v>
      </c>
      <c r="Z92" s="1166">
        <f t="shared" ref="Z92:AA92" si="158">SUM(Z86:Z91)</f>
        <v>107.557164</v>
      </c>
      <c r="AA92" s="1166">
        <f t="shared" si="158"/>
        <v>33.63660371000001</v>
      </c>
      <c r="AB92" s="1166">
        <f t="shared" si="157"/>
        <v>0</v>
      </c>
      <c r="AC92" s="1166">
        <f t="shared" si="157"/>
        <v>0</v>
      </c>
      <c r="AD92" s="1166">
        <f t="shared" si="157"/>
        <v>0</v>
      </c>
      <c r="AE92" s="1166">
        <v>74.817807999999999</v>
      </c>
      <c r="AF92" s="1166">
        <v>89.412985999999975</v>
      </c>
      <c r="AG92" s="1166">
        <v>23.267784053216506</v>
      </c>
      <c r="AH92" s="1166">
        <f t="shared" si="157"/>
        <v>0</v>
      </c>
      <c r="AI92" s="1166">
        <f t="shared" si="157"/>
        <v>0</v>
      </c>
      <c r="AJ92" s="1166">
        <f t="shared" si="157"/>
        <v>0</v>
      </c>
      <c r="AK92" s="1166">
        <f t="shared" si="157"/>
        <v>0</v>
      </c>
      <c r="AL92" s="1166">
        <f t="shared" si="157"/>
        <v>0</v>
      </c>
      <c r="AM92" s="1166">
        <f t="shared" si="157"/>
        <v>0</v>
      </c>
      <c r="AN92" s="1162">
        <f t="shared" ref="AN92:AO92" si="159">SUM(AN86:AN91)</f>
        <v>828.07340889706461</v>
      </c>
      <c r="AO92" s="1163">
        <f t="shared" si="159"/>
        <v>465.51274000000001</v>
      </c>
      <c r="AP92" s="1163">
        <f>SUM(AP86:AP91)</f>
        <v>219.51324676999997</v>
      </c>
      <c r="AQ92" s="1166">
        <f>SUM(AQ86:AQ91)</f>
        <v>558.87575759324068</v>
      </c>
      <c r="AR92" s="1166">
        <f>SUM(AR86:AR91)</f>
        <v>81.359076999999942</v>
      </c>
      <c r="AS92" s="1166">
        <f t="shared" ref="AS92:CE92" si="160">SUM(AS86:AS91)</f>
        <v>50.892160000000004</v>
      </c>
      <c r="AT92" s="1166">
        <f t="shared" si="160"/>
        <v>25.039883980000013</v>
      </c>
      <c r="AU92" s="1166">
        <f t="shared" si="160"/>
        <v>75.205591999999996</v>
      </c>
      <c r="AV92" s="1166">
        <f t="shared" si="160"/>
        <v>51.083580999999995</v>
      </c>
      <c r="AW92" s="1166">
        <f t="shared" si="160"/>
        <v>24.416477180000001</v>
      </c>
      <c r="AX92" s="1166">
        <f t="shared" si="160"/>
        <v>0</v>
      </c>
      <c r="AY92" s="1166">
        <f t="shared" si="160"/>
        <v>0</v>
      </c>
      <c r="AZ92" s="1166">
        <f t="shared" si="160"/>
        <v>0</v>
      </c>
      <c r="BA92" s="1166">
        <f t="shared" si="160"/>
        <v>78.598183999999989</v>
      </c>
      <c r="BB92" s="1166">
        <f t="shared" si="160"/>
        <v>49.516191999999997</v>
      </c>
      <c r="BC92" s="1166">
        <f t="shared" si="160"/>
        <v>28.714677520000002</v>
      </c>
      <c r="BD92" s="1166">
        <f t="shared" si="160"/>
        <v>88.609728999999987</v>
      </c>
      <c r="BE92" s="1166">
        <f t="shared" si="160"/>
        <v>49.885812999999992</v>
      </c>
      <c r="BF92" s="1166">
        <f t="shared" si="160"/>
        <v>30.070919680000014</v>
      </c>
      <c r="BG92" s="1165">
        <f t="shared" si="160"/>
        <v>115.84276400000009</v>
      </c>
      <c r="BH92" s="1166">
        <f t="shared" si="160"/>
        <v>50.312019999999997</v>
      </c>
      <c r="BI92" s="1167">
        <f t="shared" si="160"/>
        <v>32.439234099999993</v>
      </c>
      <c r="BJ92" s="1166">
        <f>SUM(BJ86:BJ91)</f>
        <v>180.91840699999997</v>
      </c>
      <c r="BK92" s="1166">
        <f>SUM(BK86:BK91)</f>
        <v>94.102067000000005</v>
      </c>
      <c r="BL92" s="1166">
        <f>SUM(BL86:BL91)</f>
        <v>36.082602019999975</v>
      </c>
      <c r="BM92" s="1166">
        <f>SUM(BM86:BM91)</f>
        <v>0</v>
      </c>
      <c r="BN92" s="1166">
        <f t="shared" si="160"/>
        <v>0</v>
      </c>
      <c r="BO92" s="1166">
        <f t="shared" si="160"/>
        <v>0</v>
      </c>
      <c r="BP92" s="1166">
        <f t="shared" si="160"/>
        <v>0</v>
      </c>
      <c r="BQ92" s="1166">
        <f t="shared" si="160"/>
        <v>0</v>
      </c>
      <c r="BR92" s="1166">
        <f t="shared" si="160"/>
        <v>0</v>
      </c>
      <c r="BS92" s="1166">
        <f t="shared" si="160"/>
        <v>0</v>
      </c>
      <c r="BT92" s="1166">
        <f t="shared" si="160"/>
        <v>0</v>
      </c>
      <c r="BU92" s="1166">
        <f t="shared" si="160"/>
        <v>0</v>
      </c>
      <c r="BV92" s="1166">
        <f t="shared" si="160"/>
        <v>0</v>
      </c>
      <c r="BW92" s="1166">
        <f t="shared" si="160"/>
        <v>0</v>
      </c>
      <c r="BX92" s="1166">
        <f t="shared" si="160"/>
        <v>0</v>
      </c>
      <c r="BY92" s="1166">
        <f t="shared" si="160"/>
        <v>0</v>
      </c>
      <c r="BZ92" s="1166">
        <f t="shared" si="160"/>
        <v>0</v>
      </c>
      <c r="CA92" s="1166">
        <f t="shared" si="160"/>
        <v>0</v>
      </c>
      <c r="CB92" s="1162">
        <f t="shared" si="160"/>
        <v>699.31930899999986</v>
      </c>
      <c r="CC92" s="1163">
        <f t="shared" si="160"/>
        <v>383.461904</v>
      </c>
      <c r="CD92" s="1163">
        <f>SUM(CD86:CD91)</f>
        <v>202.49631980000004</v>
      </c>
      <c r="CE92" s="1163">
        <f t="shared" si="160"/>
        <v>454.86383066000002</v>
      </c>
      <c r="CF92" s="1165">
        <f t="shared" si="133"/>
        <v>143.04742212706464</v>
      </c>
      <c r="CG92" s="1166">
        <f t="shared" si="134"/>
        <v>113.36108519999982</v>
      </c>
      <c r="CH92" s="1167">
        <f t="shared" si="135"/>
        <v>-29.686336927064815</v>
      </c>
      <c r="CI92" s="1166">
        <f t="shared" si="136"/>
        <v>17.274727166712637</v>
      </c>
      <c r="CJ92" s="1166">
        <f t="shared" si="137"/>
        <v>16.210203799763782</v>
      </c>
      <c r="CK92" s="1166">
        <f t="shared" si="138"/>
        <v>-1.0645233669488547</v>
      </c>
      <c r="CL92" s="1162">
        <f>SUM(CL86:CL91)</f>
        <v>93.363017593240741</v>
      </c>
      <c r="CM92" s="1163">
        <f>SUM(CM86:CM91)</f>
        <v>71.401926660000044</v>
      </c>
      <c r="CN92" s="1164">
        <f t="shared" si="141"/>
        <v>-21.961090933240698</v>
      </c>
      <c r="CO92" s="1162">
        <f t="shared" si="142"/>
        <v>16.705504993686262</v>
      </c>
      <c r="CP92" s="1163">
        <f t="shared" si="143"/>
        <v>15.697428955034084</v>
      </c>
      <c r="CQ92" s="1164">
        <f t="shared" si="144"/>
        <v>-1.0080760386521774</v>
      </c>
      <c r="CR92" s="1168">
        <f t="shared" si="154"/>
        <v>4.6127873736769986</v>
      </c>
      <c r="CS92" s="1165" t="e">
        <f t="shared" si="155"/>
        <v>#REF!</v>
      </c>
      <c r="CT92" s="1162">
        <f>SUM(CT86:CT91)</f>
        <v>430.66374872248434</v>
      </c>
      <c r="CU92" s="1163" t="e">
        <f>SUM(CU86:CU91)</f>
        <v>#REF!</v>
      </c>
      <c r="CV92" s="1164" t="e">
        <f t="shared" si="147"/>
        <v>#REF!</v>
      </c>
      <c r="CX92" s="1162">
        <f>SUM(CX86:CX91)</f>
        <v>0</v>
      </c>
      <c r="CY92" s="1162">
        <f>SUM(CY86:CY91)</f>
        <v>0</v>
      </c>
      <c r="CZ92" s="1162">
        <f>SUM(CZ86:CZ91)</f>
        <v>0</v>
      </c>
      <c r="DA92" s="1162">
        <f>SUM(DA86:DA91)</f>
        <v>0</v>
      </c>
      <c r="DB92" s="1165">
        <f t="shared" si="149"/>
        <v>0</v>
      </c>
      <c r="DC92" s="1166" t="e">
        <f t="shared" si="150"/>
        <v>#DIV/0!</v>
      </c>
      <c r="DD92" s="1162">
        <f t="shared" si="151"/>
        <v>0</v>
      </c>
      <c r="DE92" s="1162" t="e">
        <f t="shared" si="152"/>
        <v>#DIV/0!</v>
      </c>
      <c r="DF92" s="1168">
        <v>4.6003210749889236</v>
      </c>
      <c r="DG92" s="1162">
        <f t="shared" si="153"/>
        <v>0</v>
      </c>
      <c r="DI92" s="1881">
        <f>AN92-ventes_achats_élec!G26</f>
        <v>-1.029354734782828E-7</v>
      </c>
      <c r="DJ92" s="1882">
        <f>AO92-ventes_achats_élec!D26</f>
        <v>5.9999999848514562E-6</v>
      </c>
      <c r="DK92" s="1882">
        <f>AP92-ventes_achats_élec!E26</f>
        <v>6.3999996768870915E-7</v>
      </c>
      <c r="DL92" s="1881">
        <f>CB92-ventes_achats_élec!M26</f>
        <v>-182.329204</v>
      </c>
      <c r="DM92" s="1882">
        <f>CC92-ventes_achats_élec!J26</f>
        <v>-113.77299579999999</v>
      </c>
      <c r="DN92" s="1882">
        <f>CD92-ventes_achats_élec!K26</f>
        <v>-35.474420879999968</v>
      </c>
    </row>
    <row r="93" spans="1:118" ht="12.75" customHeight="1">
      <c r="A93" s="1130">
        <v>1</v>
      </c>
      <c r="B93" s="3085" t="s">
        <v>884</v>
      </c>
      <c r="C93" s="1172" t="s">
        <v>897</v>
      </c>
      <c r="D93" s="1150">
        <v>16.081313999999999</v>
      </c>
      <c r="E93" s="1151">
        <v>9.4925230000000003</v>
      </c>
      <c r="F93" s="1151">
        <v>3.2864667100000013</v>
      </c>
      <c r="G93" s="1150">
        <v>13.018808894289267</v>
      </c>
      <c r="H93" s="1151">
        <v>10.092264999999999</v>
      </c>
      <c r="I93" s="1151">
        <v>2.8073576800000017</v>
      </c>
      <c r="J93" s="1150">
        <v>13.478979886048862</v>
      </c>
      <c r="K93" s="1151">
        <v>11.530068999999999</v>
      </c>
      <c r="L93" s="1151">
        <v>2.3156416800000001</v>
      </c>
      <c r="M93" s="1150">
        <v>13.62130938</v>
      </c>
      <c r="N93" s="1151">
        <v>10.340071</v>
      </c>
      <c r="O93" s="1151">
        <v>2.6858301999999994</v>
      </c>
      <c r="P93" s="1150">
        <v>14.812406259226892</v>
      </c>
      <c r="Q93" s="1151">
        <v>10.912536716341952</v>
      </c>
      <c r="R93" s="1151">
        <v>3.1895737042672625</v>
      </c>
      <c r="S93" s="1150">
        <v>24.573947219999997</v>
      </c>
      <c r="T93" s="1195">
        <v>11.537699999999999</v>
      </c>
      <c r="U93" s="1155">
        <v>3.4015792199999981</v>
      </c>
      <c r="V93" s="1150"/>
      <c r="W93" s="1151"/>
      <c r="X93" s="1151"/>
      <c r="Y93" s="1150">
        <v>37.908653460000011</v>
      </c>
      <c r="Z93" s="1151">
        <v>28.145046000000001</v>
      </c>
      <c r="AA93" s="1151">
        <v>4.3202501299999998</v>
      </c>
      <c r="AB93" s="1150"/>
      <c r="AC93" s="1151"/>
      <c r="AD93" s="1151"/>
      <c r="AE93" s="1150"/>
      <c r="AF93" s="1151"/>
      <c r="AG93" s="1151"/>
      <c r="AH93" s="1150"/>
      <c r="AI93" s="1151"/>
      <c r="AJ93" s="1151"/>
      <c r="AK93" s="1150"/>
      <c r="AL93" s="1151"/>
      <c r="AM93" s="1151"/>
      <c r="AN93" s="2061">
        <v>179.29547706608926</v>
      </c>
      <c r="AO93" s="2062">
        <v>116.62539600000002</v>
      </c>
      <c r="AP93" s="2062">
        <v>27.1799137</v>
      </c>
      <c r="AQ93" s="1151">
        <f>AN93-(AN93*0.06)-AP93</f>
        <v>141.35783474212388</v>
      </c>
      <c r="AR93" s="1150">
        <v>16.541199590999899</v>
      </c>
      <c r="AS93" s="1151">
        <v>10.80768</v>
      </c>
      <c r="AT93" s="1151">
        <v>3.2253341460000025</v>
      </c>
      <c r="AU93" s="1150">
        <v>14.147499110000085</v>
      </c>
      <c r="AV93" s="1151">
        <v>10.355306000000001</v>
      </c>
      <c r="AW93" s="1151">
        <v>2.9776512300000006</v>
      </c>
      <c r="AX93" s="1150"/>
      <c r="AY93" s="1151"/>
      <c r="AZ93" s="1151"/>
      <c r="BA93" s="1150">
        <v>13.830143523337899</v>
      </c>
      <c r="BB93" s="1151">
        <v>10.379251</v>
      </c>
      <c r="BC93" s="1151">
        <v>2.9536259199999986</v>
      </c>
      <c r="BD93" s="1150">
        <v>16.573880649093638</v>
      </c>
      <c r="BE93" s="1151">
        <v>10.654776999999999</v>
      </c>
      <c r="BF93" s="1839">
        <v>3.400942399999999</v>
      </c>
      <c r="BG93" s="1150">
        <v>25.506600883913716</v>
      </c>
      <c r="BH93" s="1195">
        <v>13.970022</v>
      </c>
      <c r="BI93" s="1155">
        <v>3.96896044</v>
      </c>
      <c r="BJ93" s="1150"/>
      <c r="BK93" s="1151"/>
      <c r="BL93" s="1151"/>
      <c r="BM93" s="1150"/>
      <c r="BN93" s="1151"/>
      <c r="BO93" s="1151"/>
      <c r="BP93" s="1150"/>
      <c r="BQ93" s="1151"/>
      <c r="BR93" s="1151"/>
      <c r="BS93" s="1150"/>
      <c r="BT93" s="1151"/>
      <c r="BU93" s="1151"/>
      <c r="BV93" s="1150"/>
      <c r="BW93" s="1151"/>
      <c r="BX93" s="1151"/>
      <c r="BY93" s="1150"/>
      <c r="BZ93" s="1151"/>
      <c r="CA93" s="1151"/>
      <c r="CB93" s="2061">
        <v>101.0871315179098</v>
      </c>
      <c r="CC93" s="2062">
        <v>68.465678999999994</v>
      </c>
      <c r="CD93" s="2062">
        <v>19.451390880000002</v>
      </c>
      <c r="CE93" s="1151">
        <f>CB93-(CB93*0.06)-CD93</f>
        <v>75.570512746835206</v>
      </c>
      <c r="CF93" s="1153">
        <f t="shared" si="133"/>
        <v>35.490167366089238</v>
      </c>
      <c r="CG93" s="1154">
        <f>CB93-CC93-CD93</f>
        <v>13.1700616379098</v>
      </c>
      <c r="CH93" s="1155">
        <f t="shared" si="135"/>
        <v>-22.320105728179438</v>
      </c>
      <c r="CI93" s="1154">
        <f t="shared" si="136"/>
        <v>19.794234604706386</v>
      </c>
      <c r="CJ93" s="1154">
        <f t="shared" si="137"/>
        <v>13.028425517818196</v>
      </c>
      <c r="CK93" s="1154">
        <f t="shared" si="138"/>
        <v>-6.7658090868881899</v>
      </c>
      <c r="CL93" s="1150">
        <f>AQ93-AO93</f>
        <v>24.732438742123861</v>
      </c>
      <c r="CM93" s="1157">
        <f>CE93-CC93</f>
        <v>7.1048337468352116</v>
      </c>
      <c r="CN93" s="1152">
        <f t="shared" si="141"/>
        <v>-17.62760499528865</v>
      </c>
      <c r="CO93" s="1150">
        <f t="shared" si="142"/>
        <v>17.496333887147273</v>
      </c>
      <c r="CP93" s="1151">
        <f t="shared" si="143"/>
        <v>9.4015952632698703</v>
      </c>
      <c r="CQ93" s="1152">
        <f t="shared" si="144"/>
        <v>-8.0947386238774026</v>
      </c>
      <c r="CR93" s="1173" t="e">
        <f>élec!#REF!/100</f>
        <v>#REF!</v>
      </c>
      <c r="CS93" s="1153" t="e">
        <f>élec!#REF!/100</f>
        <v>#REF!</v>
      </c>
      <c r="CT93" s="1150" t="e">
        <f>CL93*CR93</f>
        <v>#REF!</v>
      </c>
      <c r="CU93" s="1151" t="e">
        <f>CS93*CM93</f>
        <v>#REF!</v>
      </c>
      <c r="CV93" s="1152" t="e">
        <f t="shared" si="147"/>
        <v>#REF!</v>
      </c>
      <c r="CX93" s="1150"/>
      <c r="CY93" s="1151"/>
      <c r="CZ93" s="1151"/>
      <c r="DA93" s="1152">
        <f t="shared" si="148"/>
        <v>0</v>
      </c>
      <c r="DB93" s="1153">
        <f t="shared" si="149"/>
        <v>0</v>
      </c>
      <c r="DC93" s="1154" t="e">
        <f t="shared" si="150"/>
        <v>#DIV/0!</v>
      </c>
      <c r="DD93" s="1150">
        <f t="shared" si="151"/>
        <v>0</v>
      </c>
      <c r="DE93" s="1150" t="e">
        <f t="shared" si="152"/>
        <v>#DIV/0!</v>
      </c>
      <c r="DF93" s="1173">
        <v>4.8253467224198872</v>
      </c>
      <c r="DG93" s="1150">
        <f t="shared" si="153"/>
        <v>0</v>
      </c>
      <c r="DI93" s="1434"/>
      <c r="DJ93" s="1435"/>
      <c r="DK93" s="1828"/>
      <c r="DL93" s="1434"/>
      <c r="DM93" s="1435"/>
      <c r="DN93" s="1435"/>
    </row>
    <row r="94" spans="1:118" ht="12.75" customHeight="1">
      <c r="A94" s="1130"/>
      <c r="B94" s="3086"/>
      <c r="C94" s="1172" t="s">
        <v>898</v>
      </c>
      <c r="D94" s="1150">
        <v>15.948361999999999</v>
      </c>
      <c r="E94" s="1151">
        <v>8.7633670000000006</v>
      </c>
      <c r="F94" s="1151">
        <v>4.8717086600000021</v>
      </c>
      <c r="G94" s="1150">
        <v>15.667761064822411</v>
      </c>
      <c r="H94" s="1151">
        <v>9.9175240000000002</v>
      </c>
      <c r="I94" s="1151">
        <v>4.2415634800000026</v>
      </c>
      <c r="J94" s="1150">
        <v>13.694396829492351</v>
      </c>
      <c r="K94" s="1151">
        <v>6.5369339999999996</v>
      </c>
      <c r="L94" s="1151">
        <v>3.9979244600000019</v>
      </c>
      <c r="M94" s="1150">
        <v>13.085474893333334</v>
      </c>
      <c r="N94" s="1151">
        <v>8.9084020000000006</v>
      </c>
      <c r="O94" s="1151">
        <v>4.6410349999999996</v>
      </c>
      <c r="P94" s="1150">
        <v>14.540008705453539</v>
      </c>
      <c r="Q94" s="1151">
        <v>9.0251296809306751</v>
      </c>
      <c r="R94" s="1151">
        <v>5.0169899776720008</v>
      </c>
      <c r="S94" s="1150">
        <v>19.445922179999993</v>
      </c>
      <c r="T94" s="1195">
        <v>7.6518360000000003</v>
      </c>
      <c r="U94" s="1155">
        <v>5.795288269999995</v>
      </c>
      <c r="V94" s="1150"/>
      <c r="W94" s="1151"/>
      <c r="X94" s="1151"/>
      <c r="Y94" s="1150">
        <v>34.251767070000007</v>
      </c>
      <c r="Z94" s="1151">
        <v>25.263358</v>
      </c>
      <c r="AA94" s="1151">
        <v>7.28435583</v>
      </c>
      <c r="AB94" s="1150"/>
      <c r="AC94" s="1151"/>
      <c r="AD94" s="1151"/>
      <c r="AE94" s="1150"/>
      <c r="AF94" s="1151"/>
      <c r="AG94" s="1151"/>
      <c r="AH94" s="1150"/>
      <c r="AI94" s="1151"/>
      <c r="AJ94" s="1151"/>
      <c r="AK94" s="1150"/>
      <c r="AL94" s="1151"/>
      <c r="AM94" s="1151"/>
      <c r="AN94" s="2061">
        <v>165.17989548302242</v>
      </c>
      <c r="AO94" s="2062">
        <v>96.158957999999998</v>
      </c>
      <c r="AP94" s="2062">
        <v>45.570926130000011</v>
      </c>
      <c r="AQ94" s="1151">
        <f t="shared" ref="AQ94:AQ102" si="161">AN94-(AN94*0.06)-AP94</f>
        <v>109.69817562404108</v>
      </c>
      <c r="AR94" s="1150">
        <v>16.600121758999997</v>
      </c>
      <c r="AS94" s="1151">
        <v>9.187189</v>
      </c>
      <c r="AT94" s="1151">
        <v>4.6817199030000021</v>
      </c>
      <c r="AU94" s="1150">
        <v>15.284752060000002</v>
      </c>
      <c r="AV94" s="1151">
        <v>10.791605000000001</v>
      </c>
      <c r="AW94" s="1151">
        <v>4.3923839799999991</v>
      </c>
      <c r="AX94" s="1150"/>
      <c r="AY94" s="1151"/>
      <c r="AZ94" s="1151"/>
      <c r="BA94" s="1150">
        <v>13.290255296662099</v>
      </c>
      <c r="BB94" s="1151">
        <v>9.054449</v>
      </c>
      <c r="BC94" s="1151">
        <v>4.6123234799999997</v>
      </c>
      <c r="BD94" s="1150">
        <v>16.329061113484567</v>
      </c>
      <c r="BE94" s="1151">
        <v>11.278385</v>
      </c>
      <c r="BF94" s="1839">
        <v>5.4290301600000044</v>
      </c>
      <c r="BG94" s="1150">
        <v>23.355055126086267</v>
      </c>
      <c r="BH94" s="1195">
        <v>9.135135</v>
      </c>
      <c r="BI94" s="1155">
        <v>5.9957920900000001</v>
      </c>
      <c r="BJ94" s="1150"/>
      <c r="BK94" s="1151"/>
      <c r="BL94" s="1151"/>
      <c r="BM94" s="1150"/>
      <c r="BN94" s="1151"/>
      <c r="BO94" s="1151"/>
      <c r="BP94" s="1150"/>
      <c r="BQ94" s="1151"/>
      <c r="BR94" s="1151"/>
      <c r="BS94" s="1150"/>
      <c r="BT94" s="1151"/>
      <c r="BU94" s="1151"/>
      <c r="BV94" s="1150"/>
      <c r="BW94" s="1151"/>
      <c r="BX94" s="1151"/>
      <c r="BY94" s="1150"/>
      <c r="BZ94" s="1151"/>
      <c r="CA94" s="1151"/>
      <c r="CB94" s="2061">
        <v>99.549161562090163</v>
      </c>
      <c r="CC94" s="2062">
        <v>56.983745999999996</v>
      </c>
      <c r="CD94" s="2062">
        <v>29.748985410000003</v>
      </c>
      <c r="CE94" s="1151">
        <f t="shared" ref="CE94:CE101" si="162">CB94-(CB94*0.06)-CD94</f>
        <v>63.827226458364748</v>
      </c>
      <c r="CF94" s="1153">
        <f t="shared" ref="CF94:CF101" si="163">AN94-AO94-AP94</f>
        <v>23.450011353022411</v>
      </c>
      <c r="CG94" s="1154">
        <f t="shared" ref="CG94:CG101" si="164">CB94-CC94-CD94</f>
        <v>12.816430152090163</v>
      </c>
      <c r="CH94" s="1155">
        <f t="shared" ref="CH94:CH101" si="165">CG94-CF94</f>
        <v>-10.633581200932248</v>
      </c>
      <c r="CI94" s="1154">
        <f t="shared" ref="CI94:CI101" si="166">(AN94-AO94-AP94)/AN94*100</f>
        <v>14.196649831052024</v>
      </c>
      <c r="CJ94" s="1154">
        <f t="shared" ref="CJ94:CJ101" si="167">(CB94-CC94-CD94)/CB94*100</f>
        <v>12.874473226071705</v>
      </c>
      <c r="CK94" s="1154">
        <f t="shared" ref="CK94:CK101" si="168">CJ94-CI94</f>
        <v>-1.322176604980319</v>
      </c>
      <c r="CL94" s="1150">
        <f t="shared" ref="CL94:CL101" si="169">AQ94-AO94</f>
        <v>13.539217624041086</v>
      </c>
      <c r="CM94" s="1157">
        <f t="shared" ref="CM94:CM101" si="170">CE94-CC94</f>
        <v>6.8434804583647519</v>
      </c>
      <c r="CN94" s="1152">
        <f t="shared" ref="CN94:CN101" si="171">CM94-CL94</f>
        <v>-6.6957371656763343</v>
      </c>
      <c r="CO94" s="1150">
        <f t="shared" ref="CO94:CO101" si="172">(CL94/AQ94)*100</f>
        <v>12.342245025516975</v>
      </c>
      <c r="CP94" s="1151">
        <f t="shared" ref="CP94:CP101" si="173">(CM94/CE94)*100</f>
        <v>10.721882867382362</v>
      </c>
      <c r="CQ94" s="1152">
        <f t="shared" ref="CQ94:CQ101" si="174">CP94-CO94</f>
        <v>-1.620362158134613</v>
      </c>
      <c r="CR94" s="1173" t="e">
        <f t="shared" ref="CR94:CR103" si="175">CR93</f>
        <v>#REF!</v>
      </c>
      <c r="CS94" s="1153" t="e">
        <f t="shared" ref="CS94:CS103" si="176">CS93</f>
        <v>#REF!</v>
      </c>
      <c r="CT94" s="1150" t="e">
        <f t="shared" ref="CT94:CT101" si="177">CL94*CR94</f>
        <v>#REF!</v>
      </c>
      <c r="CU94" s="1151" t="e">
        <f t="shared" ref="CU94:CU101" si="178">CS94*CM94</f>
        <v>#REF!</v>
      </c>
      <c r="CV94" s="1152" t="e">
        <f t="shared" ref="CV94:CV101" si="179">CU94-CT94</f>
        <v>#REF!</v>
      </c>
      <c r="CX94" s="1150"/>
      <c r="CY94" s="1151"/>
      <c r="CZ94" s="1151"/>
      <c r="DA94" s="1152"/>
      <c r="DB94" s="1153"/>
      <c r="DC94" s="1154"/>
      <c r="DD94" s="1150"/>
      <c r="DE94" s="1150"/>
      <c r="DF94" s="1173"/>
      <c r="DG94" s="1150"/>
      <c r="DI94" s="1434"/>
      <c r="DJ94" s="1435"/>
      <c r="DK94" s="1828"/>
      <c r="DL94" s="1434"/>
      <c r="DM94" s="1435"/>
      <c r="DN94" s="1435"/>
    </row>
    <row r="95" spans="1:118" ht="12.75" customHeight="1">
      <c r="A95" s="1130"/>
      <c r="B95" s="3086"/>
      <c r="C95" s="1172" t="s">
        <v>899</v>
      </c>
      <c r="D95" s="1150">
        <v>11.610491</v>
      </c>
      <c r="E95" s="1151">
        <v>6.55776</v>
      </c>
      <c r="F95" s="1151">
        <v>3.5633256200000014</v>
      </c>
      <c r="G95" s="1150">
        <v>10.419839798263085</v>
      </c>
      <c r="H95" s="1151">
        <v>7.1677410000000004</v>
      </c>
      <c r="I95" s="1151">
        <v>2.7552841800000012</v>
      </c>
      <c r="J95" s="1150">
        <v>9.8302690210477124</v>
      </c>
      <c r="K95" s="1151">
        <v>6.294244</v>
      </c>
      <c r="L95" s="1151">
        <v>2.8326247400000009</v>
      </c>
      <c r="M95" s="1150">
        <v>10.09672381</v>
      </c>
      <c r="N95" s="1151">
        <v>6.2323930000000001</v>
      </c>
      <c r="O95" s="1151">
        <v>3.3453034700000002</v>
      </c>
      <c r="P95" s="1150">
        <v>10.816754984635125</v>
      </c>
      <c r="Q95" s="1151">
        <v>6.9075649689246523</v>
      </c>
      <c r="R95" s="1151">
        <v>3.5600199552428911</v>
      </c>
      <c r="S95" s="1150">
        <v>14.68330943</v>
      </c>
      <c r="T95" s="1195">
        <v>7.6650080000000003</v>
      </c>
      <c r="U95" s="1155">
        <v>3.2235905300000018</v>
      </c>
      <c r="V95" s="1150"/>
      <c r="W95" s="1151"/>
      <c r="X95" s="1151"/>
      <c r="Y95" s="1150">
        <v>23.84025639</v>
      </c>
      <c r="Z95" s="1151">
        <v>17.749215</v>
      </c>
      <c r="AA95" s="1151">
        <v>3.7063883299999998</v>
      </c>
      <c r="AB95" s="1150"/>
      <c r="AC95" s="1151"/>
      <c r="AD95" s="1151"/>
      <c r="AE95" s="1150"/>
      <c r="AF95" s="1151"/>
      <c r="AG95" s="1151"/>
      <c r="AH95" s="1150"/>
      <c r="AI95" s="1151"/>
      <c r="AJ95" s="1151"/>
      <c r="AK95" s="1150"/>
      <c r="AL95" s="1151"/>
      <c r="AM95" s="1151"/>
      <c r="AN95" s="2061">
        <v>119.45723975826309</v>
      </c>
      <c r="AO95" s="2062">
        <v>70.251654000000002</v>
      </c>
      <c r="AP95" s="2062">
        <v>27.29922894000001</v>
      </c>
      <c r="AQ95" s="1151">
        <f t="shared" si="161"/>
        <v>84.990576432767298</v>
      </c>
      <c r="AR95" s="1150">
        <v>11.461512271999982</v>
      </c>
      <c r="AS95" s="1151">
        <v>7.0751520000000001</v>
      </c>
      <c r="AT95" s="1151">
        <v>2.7724105949999984</v>
      </c>
      <c r="AU95" s="1150">
        <v>10.445242930000049</v>
      </c>
      <c r="AV95" s="1151">
        <v>7.4608629999999998</v>
      </c>
      <c r="AW95" s="1151">
        <v>2.6894780599999994</v>
      </c>
      <c r="AX95" s="1150"/>
      <c r="AY95" s="1151"/>
      <c r="AZ95" s="1151"/>
      <c r="BA95" s="1150">
        <v>10.355244329999989</v>
      </c>
      <c r="BB95" s="1151">
        <v>6.697235</v>
      </c>
      <c r="BC95" s="1151">
        <v>3.3492932300000016</v>
      </c>
      <c r="BD95" s="1150">
        <v>11.854947268746706</v>
      </c>
      <c r="BE95" s="1151">
        <v>7.0145650000000002</v>
      </c>
      <c r="BF95" s="1839">
        <v>3.6311935499999999</v>
      </c>
      <c r="BG95" s="1150">
        <v>15.855882770000067</v>
      </c>
      <c r="BH95" s="1195">
        <v>8.8977319999999995</v>
      </c>
      <c r="BI95" s="1155">
        <v>3.5920329800000004</v>
      </c>
      <c r="BJ95" s="1150"/>
      <c r="BK95" s="1151"/>
      <c r="BL95" s="1151"/>
      <c r="BM95" s="1150"/>
      <c r="BN95" s="1151"/>
      <c r="BO95" s="1151"/>
      <c r="BP95" s="1150"/>
      <c r="BQ95" s="1151"/>
      <c r="BR95" s="1151"/>
      <c r="BS95" s="1150"/>
      <c r="BT95" s="1151"/>
      <c r="BU95" s="1151"/>
      <c r="BV95" s="1150"/>
      <c r="BW95" s="1151"/>
      <c r="BX95" s="1151"/>
      <c r="BY95" s="1150"/>
      <c r="BZ95" s="1151"/>
      <c r="CA95" s="1151"/>
      <c r="CB95" s="2061">
        <v>69.918777640000016</v>
      </c>
      <c r="CC95" s="2062">
        <v>44.358619999999995</v>
      </c>
      <c r="CD95" s="2062">
        <v>18.9958727</v>
      </c>
      <c r="CE95" s="1151">
        <f t="shared" si="162"/>
        <v>46.727778281600017</v>
      </c>
      <c r="CF95" s="1153">
        <f t="shared" si="163"/>
        <v>21.906356818263074</v>
      </c>
      <c r="CG95" s="1154">
        <f t="shared" si="164"/>
        <v>6.5642849400000216</v>
      </c>
      <c r="CH95" s="1155">
        <f t="shared" si="165"/>
        <v>-15.342071878263052</v>
      </c>
      <c r="CI95" s="1154">
        <f t="shared" si="166"/>
        <v>18.338241250671263</v>
      </c>
      <c r="CJ95" s="1154">
        <f t="shared" si="167"/>
        <v>9.3884435076917629</v>
      </c>
      <c r="CK95" s="1154">
        <f t="shared" si="168"/>
        <v>-8.9497977429795004</v>
      </c>
      <c r="CL95" s="1150">
        <f t="shared" si="169"/>
        <v>14.738922432767296</v>
      </c>
      <c r="CM95" s="1157">
        <f t="shared" si="170"/>
        <v>2.3691582816000221</v>
      </c>
      <c r="CN95" s="1152">
        <f t="shared" si="171"/>
        <v>-12.369764151167274</v>
      </c>
      <c r="CO95" s="1150">
        <f t="shared" si="172"/>
        <v>17.341831355181686</v>
      </c>
      <c r="CP95" s="1151">
        <f t="shared" si="173"/>
        <v>5.070128237902817</v>
      </c>
      <c r="CQ95" s="1152">
        <f t="shared" si="174"/>
        <v>-12.271703117278868</v>
      </c>
      <c r="CR95" s="1173" t="e">
        <f t="shared" si="175"/>
        <v>#REF!</v>
      </c>
      <c r="CS95" s="1153" t="e">
        <f t="shared" si="176"/>
        <v>#REF!</v>
      </c>
      <c r="CT95" s="1150" t="e">
        <f t="shared" si="177"/>
        <v>#REF!</v>
      </c>
      <c r="CU95" s="1151" t="e">
        <f t="shared" si="178"/>
        <v>#REF!</v>
      </c>
      <c r="CV95" s="1152" t="e">
        <f t="shared" si="179"/>
        <v>#REF!</v>
      </c>
      <c r="CX95" s="1150"/>
      <c r="CY95" s="1151"/>
      <c r="CZ95" s="1151"/>
      <c r="DA95" s="1152"/>
      <c r="DB95" s="1153"/>
      <c r="DC95" s="1154"/>
      <c r="DD95" s="1150"/>
      <c r="DE95" s="1150"/>
      <c r="DF95" s="1173"/>
      <c r="DG95" s="1150"/>
      <c r="DI95" s="1434"/>
      <c r="DJ95" s="1435"/>
      <c r="DK95" s="1828"/>
      <c r="DL95" s="1434"/>
      <c r="DM95" s="1435"/>
      <c r="DN95" s="1435"/>
    </row>
    <row r="96" spans="1:118" ht="12.75" customHeight="1">
      <c r="A96" s="1130"/>
      <c r="B96" s="3086"/>
      <c r="C96" s="1172" t="s">
        <v>900</v>
      </c>
      <c r="D96" s="1150">
        <v>9.9022989999999993</v>
      </c>
      <c r="E96" s="1151">
        <v>4.3665880000000001</v>
      </c>
      <c r="F96" s="1151">
        <v>3.9811612700000012</v>
      </c>
      <c r="G96" s="1150">
        <v>8.3986983161782884</v>
      </c>
      <c r="H96" s="1151">
        <v>6.0193960000000004</v>
      </c>
      <c r="I96" s="1151">
        <v>3.5920079600000001</v>
      </c>
      <c r="J96" s="1150">
        <v>8.4146273692727611</v>
      </c>
      <c r="K96" s="1151">
        <v>2.5591930000000001</v>
      </c>
      <c r="L96" s="1151">
        <v>3.7567418899999998</v>
      </c>
      <c r="M96" s="1150">
        <v>9.5219978999999721</v>
      </c>
      <c r="N96" s="1151">
        <v>4.3385350000000003</v>
      </c>
      <c r="O96" s="1151">
        <v>3.91295861</v>
      </c>
      <c r="P96" s="1150">
        <v>9.3718266040689482</v>
      </c>
      <c r="Q96" s="1151">
        <v>4.4796981594261762</v>
      </c>
      <c r="R96" s="1151">
        <v>4.1787158757539036</v>
      </c>
      <c r="S96" s="1150">
        <v>13.494295390000005</v>
      </c>
      <c r="T96" s="1195">
        <v>3.3742030000000001</v>
      </c>
      <c r="U96" s="1155">
        <v>6.2920111799999958</v>
      </c>
      <c r="V96" s="1150"/>
      <c r="W96" s="1151"/>
      <c r="X96" s="1151"/>
      <c r="Y96" s="1150">
        <v>20.815074900000045</v>
      </c>
      <c r="Z96" s="1151">
        <v>13.258324</v>
      </c>
      <c r="AA96" s="1151">
        <v>6.5965624700000003</v>
      </c>
      <c r="AB96" s="1150"/>
      <c r="AC96" s="1151"/>
      <c r="AD96" s="1151"/>
      <c r="AE96" s="1150"/>
      <c r="AF96" s="1151"/>
      <c r="AG96" s="1151"/>
      <c r="AH96" s="1150"/>
      <c r="AI96" s="1151"/>
      <c r="AJ96" s="1151"/>
      <c r="AK96" s="1150"/>
      <c r="AL96" s="1151"/>
      <c r="AM96" s="1151"/>
      <c r="AN96" s="2061">
        <v>106.23636436617828</v>
      </c>
      <c r="AO96" s="2062">
        <v>47.694464000000004</v>
      </c>
      <c r="AP96" s="2062">
        <v>41.667016780000004</v>
      </c>
      <c r="AQ96" s="1151">
        <f t="shared" si="161"/>
        <v>58.195165724207577</v>
      </c>
      <c r="AR96" s="1150">
        <v>9.5317375350000226</v>
      </c>
      <c r="AS96" s="1151">
        <v>4.8522889999999999</v>
      </c>
      <c r="AT96" s="1151">
        <v>3.8187126600000019</v>
      </c>
      <c r="AU96" s="1150">
        <v>8.4581467099999958</v>
      </c>
      <c r="AV96" s="1151">
        <v>6.1253869999999999</v>
      </c>
      <c r="AW96" s="1151">
        <v>3.6552047700000001</v>
      </c>
      <c r="AX96" s="1150"/>
      <c r="AY96" s="1151"/>
      <c r="AZ96" s="1151"/>
      <c r="BA96" s="1150">
        <v>9.4668103200000377</v>
      </c>
      <c r="BB96" s="1151">
        <v>4.7884700000000002</v>
      </c>
      <c r="BC96" s="1151">
        <v>4.5114249999999956</v>
      </c>
      <c r="BD96" s="1150">
        <v>10.027905814354765</v>
      </c>
      <c r="BE96" s="1151">
        <v>6.1033179999999998</v>
      </c>
      <c r="BF96" s="1839">
        <v>7.0002805000000032</v>
      </c>
      <c r="BG96" s="1150">
        <v>14.986797130000012</v>
      </c>
      <c r="BH96" s="1195">
        <v>4.0045080000000004</v>
      </c>
      <c r="BI96" s="1155">
        <v>6.3098860199999995</v>
      </c>
      <c r="BJ96" s="1150"/>
      <c r="BK96" s="1151"/>
      <c r="BL96" s="1151"/>
      <c r="BM96" s="1150"/>
      <c r="BN96" s="1151"/>
      <c r="BO96" s="1151"/>
      <c r="BP96" s="1150"/>
      <c r="BQ96" s="1151"/>
      <c r="BR96" s="1151"/>
      <c r="BS96" s="1150"/>
      <c r="BT96" s="1151"/>
      <c r="BU96" s="1151"/>
      <c r="BV96" s="1150"/>
      <c r="BW96" s="1151"/>
      <c r="BX96" s="1151"/>
      <c r="BY96" s="1150"/>
      <c r="BZ96" s="1151"/>
      <c r="CA96" s="1151"/>
      <c r="CB96" s="2061">
        <v>64.710528610000011</v>
      </c>
      <c r="CC96" s="2062">
        <v>28.813575</v>
      </c>
      <c r="CD96" s="2062">
        <v>29.317511879999998</v>
      </c>
      <c r="CE96" s="1151">
        <f t="shared" si="162"/>
        <v>31.510385013400011</v>
      </c>
      <c r="CF96" s="1153">
        <f t="shared" si="163"/>
        <v>16.874883586178271</v>
      </c>
      <c r="CG96" s="1154">
        <f t="shared" si="164"/>
        <v>6.5794417300000134</v>
      </c>
      <c r="CH96" s="1155">
        <f t="shared" si="165"/>
        <v>-10.295441856178257</v>
      </c>
      <c r="CI96" s="1154">
        <f t="shared" si="166"/>
        <v>15.884281890533716</v>
      </c>
      <c r="CJ96" s="1154">
        <f t="shared" si="167"/>
        <v>10.167498042943297</v>
      </c>
      <c r="CK96" s="1154">
        <f t="shared" si="168"/>
        <v>-5.7167838475904187</v>
      </c>
      <c r="CL96" s="1150">
        <f t="shared" si="169"/>
        <v>10.500701724207573</v>
      </c>
      <c r="CM96" s="1157">
        <f t="shared" si="170"/>
        <v>2.696810013400011</v>
      </c>
      <c r="CN96" s="1152">
        <f t="shared" si="171"/>
        <v>-7.8038917108075623</v>
      </c>
      <c r="CO96" s="1150">
        <f t="shared" si="172"/>
        <v>18.043941611870988</v>
      </c>
      <c r="CP96" s="1151">
        <f t="shared" si="173"/>
        <v>8.5584800447635718</v>
      </c>
      <c r="CQ96" s="1152">
        <f t="shared" si="174"/>
        <v>-9.4854615671074161</v>
      </c>
      <c r="CR96" s="1173" t="e">
        <f t="shared" si="175"/>
        <v>#REF!</v>
      </c>
      <c r="CS96" s="1153" t="e">
        <f t="shared" si="176"/>
        <v>#REF!</v>
      </c>
      <c r="CT96" s="1150" t="e">
        <f t="shared" si="177"/>
        <v>#REF!</v>
      </c>
      <c r="CU96" s="1151" t="e">
        <f t="shared" si="178"/>
        <v>#REF!</v>
      </c>
      <c r="CV96" s="1152" t="e">
        <f t="shared" si="179"/>
        <v>#REF!</v>
      </c>
      <c r="CX96" s="1150"/>
      <c r="CY96" s="1151"/>
      <c r="CZ96" s="1151"/>
      <c r="DA96" s="1152"/>
      <c r="DB96" s="1153"/>
      <c r="DC96" s="1154"/>
      <c r="DD96" s="1150"/>
      <c r="DE96" s="1150"/>
      <c r="DF96" s="1173"/>
      <c r="DG96" s="1150"/>
      <c r="DI96" s="1434"/>
      <c r="DJ96" s="1435"/>
      <c r="DK96" s="1828"/>
      <c r="DL96" s="1434"/>
      <c r="DM96" s="1435"/>
      <c r="DN96" s="1435"/>
    </row>
    <row r="97" spans="1:118" ht="12.75" customHeight="1">
      <c r="A97" s="1130"/>
      <c r="B97" s="3086"/>
      <c r="C97" s="1172" t="s">
        <v>901</v>
      </c>
      <c r="D97" s="1150">
        <v>7.6769319999999999</v>
      </c>
      <c r="E97" s="1151">
        <v>8.0412079999999992</v>
      </c>
      <c r="F97" s="1151">
        <v>1.0092947199999998</v>
      </c>
      <c r="G97" s="1150">
        <v>7.5121349264469472</v>
      </c>
      <c r="H97" s="1151">
        <v>4.1398270000000004</v>
      </c>
      <c r="I97" s="1151">
        <v>0.95029634999999935</v>
      </c>
      <c r="J97" s="1150">
        <v>6.2350848941383115</v>
      </c>
      <c r="K97" s="1151">
        <v>3.4329360000000002</v>
      </c>
      <c r="L97" s="1151">
        <v>0.82874691999999972</v>
      </c>
      <c r="M97" s="1150">
        <v>6.6953731000000296</v>
      </c>
      <c r="N97" s="1151">
        <v>8.6286430000000003</v>
      </c>
      <c r="O97" s="1151">
        <v>1.16602202</v>
      </c>
      <c r="P97" s="1150">
        <v>7.2703342739328392</v>
      </c>
      <c r="Q97" s="1151">
        <v>6.3159250500628916</v>
      </c>
      <c r="R97" s="1151">
        <v>1.1658122081476945</v>
      </c>
      <c r="S97" s="1150">
        <v>10.387439609999994</v>
      </c>
      <c r="T97" s="1195">
        <v>3.8495699999999999</v>
      </c>
      <c r="U97" s="1155">
        <v>1.0707339499999999</v>
      </c>
      <c r="V97" s="1150"/>
      <c r="W97" s="1151"/>
      <c r="X97" s="1151"/>
      <c r="Y97" s="1150">
        <v>16.191969999999955</v>
      </c>
      <c r="Z97" s="1151">
        <v>8.9489929999999998</v>
      </c>
      <c r="AA97" s="1151">
        <v>1.29602192</v>
      </c>
      <c r="AB97" s="1150"/>
      <c r="AC97" s="1151"/>
      <c r="AD97" s="1151"/>
      <c r="AE97" s="1150"/>
      <c r="AF97" s="1151"/>
      <c r="AG97" s="1151"/>
      <c r="AH97" s="1150"/>
      <c r="AI97" s="1151"/>
      <c r="AJ97" s="1151"/>
      <c r="AK97" s="1150"/>
      <c r="AL97" s="1151"/>
      <c r="AM97" s="1151"/>
      <c r="AN97" s="2061">
        <v>81.182118776446956</v>
      </c>
      <c r="AO97" s="2062">
        <v>55.712491000000007</v>
      </c>
      <c r="AP97" s="2062">
        <v>9.0539791499999982</v>
      </c>
      <c r="AQ97" s="1151">
        <f t="shared" si="161"/>
        <v>67.257212499860131</v>
      </c>
      <c r="AR97" s="1150">
        <v>8.4804266429999817</v>
      </c>
      <c r="AS97" s="1151">
        <v>9.2914300000000001</v>
      </c>
      <c r="AT97" s="1151">
        <v>0.99152417499999979</v>
      </c>
      <c r="AU97" s="1150">
        <v>6.9603673899999938</v>
      </c>
      <c r="AV97" s="1151">
        <v>4.4164839999999996</v>
      </c>
      <c r="AW97" s="1151">
        <v>0.89318931999999995</v>
      </c>
      <c r="AX97" s="1150"/>
      <c r="AY97" s="1151"/>
      <c r="AZ97" s="1151"/>
      <c r="BA97" s="1150">
        <v>7.3972243899999643</v>
      </c>
      <c r="BB97" s="1151">
        <v>8.6521600000000003</v>
      </c>
      <c r="BC97" s="1151">
        <v>1.1526422499999998</v>
      </c>
      <c r="BD97" s="1150">
        <v>8.2727780485414595</v>
      </c>
      <c r="BE97" s="1151">
        <v>4.5741800000000001</v>
      </c>
      <c r="BF97" s="1839">
        <v>1.3750217599999992</v>
      </c>
      <c r="BG97" s="1150">
        <v>12.4304749</v>
      </c>
      <c r="BH97" s="1195">
        <v>4.9348460000000003</v>
      </c>
      <c r="BI97" s="1155">
        <v>1.3733476499999999</v>
      </c>
      <c r="BJ97" s="1150"/>
      <c r="BK97" s="1151"/>
      <c r="BL97" s="1151"/>
      <c r="BM97" s="1150"/>
      <c r="BN97" s="1151"/>
      <c r="BO97" s="1151"/>
      <c r="BP97" s="1150"/>
      <c r="BQ97" s="1151"/>
      <c r="BR97" s="1151"/>
      <c r="BS97" s="1150"/>
      <c r="BT97" s="1151"/>
      <c r="BU97" s="1151"/>
      <c r="BV97" s="1150"/>
      <c r="BW97" s="1151"/>
      <c r="BX97" s="1151"/>
      <c r="BY97" s="1150"/>
      <c r="BZ97" s="1151"/>
      <c r="CA97" s="1151"/>
      <c r="CB97" s="2061">
        <v>49.855135359999998</v>
      </c>
      <c r="CC97" s="2062">
        <v>35.509955999999995</v>
      </c>
      <c r="CD97" s="2062">
        <v>6.7569783999999977</v>
      </c>
      <c r="CE97" s="1151">
        <f t="shared" si="162"/>
        <v>40.106848838399998</v>
      </c>
      <c r="CF97" s="1153">
        <f t="shared" si="163"/>
        <v>16.415648626446952</v>
      </c>
      <c r="CG97" s="1154">
        <f t="shared" si="164"/>
        <v>7.5882009600000053</v>
      </c>
      <c r="CH97" s="1155">
        <f t="shared" si="165"/>
        <v>-8.8274476664469468</v>
      </c>
      <c r="CI97" s="1154">
        <f t="shared" si="166"/>
        <v>20.22076890066284</v>
      </c>
      <c r="CJ97" s="1154">
        <f t="shared" si="167"/>
        <v>15.220500165542033</v>
      </c>
      <c r="CK97" s="1154">
        <f t="shared" si="168"/>
        <v>-5.0002687351208071</v>
      </c>
      <c r="CL97" s="1150">
        <f t="shared" si="169"/>
        <v>11.544721499860124</v>
      </c>
      <c r="CM97" s="1157">
        <f t="shared" si="170"/>
        <v>4.5968928384000023</v>
      </c>
      <c r="CN97" s="1152">
        <f t="shared" si="171"/>
        <v>-6.9478286614601217</v>
      </c>
      <c r="CO97" s="1150">
        <f t="shared" si="172"/>
        <v>17.165031185144837</v>
      </c>
      <c r="CP97" s="1151">
        <f>(CM97/CE97)*100</f>
        <v>11.461615588205328</v>
      </c>
      <c r="CQ97" s="1152">
        <f t="shared" si="174"/>
        <v>-5.7034155969395091</v>
      </c>
      <c r="CR97" s="1173" t="e">
        <f t="shared" si="175"/>
        <v>#REF!</v>
      </c>
      <c r="CS97" s="1153" t="e">
        <f t="shared" si="176"/>
        <v>#REF!</v>
      </c>
      <c r="CT97" s="1150" t="e">
        <f t="shared" si="177"/>
        <v>#REF!</v>
      </c>
      <c r="CU97" s="1151" t="e">
        <f t="shared" si="178"/>
        <v>#REF!</v>
      </c>
      <c r="CV97" s="1152" t="e">
        <f t="shared" si="179"/>
        <v>#REF!</v>
      </c>
      <c r="CX97" s="1150"/>
      <c r="CY97" s="1151"/>
      <c r="CZ97" s="1151"/>
      <c r="DA97" s="1152"/>
      <c r="DB97" s="1153"/>
      <c r="DC97" s="1154"/>
      <c r="DD97" s="1150"/>
      <c r="DE97" s="1150"/>
      <c r="DF97" s="1173"/>
      <c r="DG97" s="1150"/>
      <c r="DI97" s="1434"/>
      <c r="DJ97" s="1435"/>
      <c r="DK97" s="1828"/>
      <c r="DL97" s="1434"/>
      <c r="DM97" s="1435"/>
      <c r="DN97" s="1435"/>
    </row>
    <row r="98" spans="1:118" ht="12.75" customHeight="1">
      <c r="A98" s="1130"/>
      <c r="B98" s="3086"/>
      <c r="C98" s="1172" t="s">
        <v>902</v>
      </c>
      <c r="D98" s="1150">
        <v>7.4194240000000002</v>
      </c>
      <c r="E98" s="1151">
        <v>4.3137920000000003</v>
      </c>
      <c r="F98" s="1151">
        <v>2.0317783899999995</v>
      </c>
      <c r="G98" s="1150">
        <v>6.884667133333334</v>
      </c>
      <c r="H98" s="1151">
        <v>5.3479960000000002</v>
      </c>
      <c r="I98" s="1151">
        <v>2.0316644900000003</v>
      </c>
      <c r="J98" s="1150">
        <v>6.7561776283333321</v>
      </c>
      <c r="K98" s="1151">
        <v>3.3860079999999999</v>
      </c>
      <c r="L98" s="1151">
        <v>2.0253918000000009</v>
      </c>
      <c r="M98" s="1150">
        <v>6.9595187804557943</v>
      </c>
      <c r="N98" s="1151">
        <v>4.4575509999999996</v>
      </c>
      <c r="O98" s="1151">
        <v>1.9639532200000012</v>
      </c>
      <c r="P98" s="1150">
        <v>7.2300850166774664</v>
      </c>
      <c r="Q98" s="1151">
        <v>4.5912292164180002</v>
      </c>
      <c r="R98" s="1151">
        <v>2.224154466782216</v>
      </c>
      <c r="S98" s="1150">
        <v>7.6761556566975964</v>
      </c>
      <c r="T98" s="1195">
        <v>3.7077279999999999</v>
      </c>
      <c r="U98" s="1155">
        <v>2.00929563</v>
      </c>
      <c r="V98" s="1150"/>
      <c r="W98" s="1151"/>
      <c r="X98" s="1151"/>
      <c r="Y98" s="1150">
        <v>11.32340533702793</v>
      </c>
      <c r="Z98" s="1151">
        <v>8.5043179999999996</v>
      </c>
      <c r="AA98" s="1151">
        <v>2.21064595</v>
      </c>
      <c r="AB98" s="1150"/>
      <c r="AC98" s="1151"/>
      <c r="AD98" s="1151"/>
      <c r="AE98" s="1150"/>
      <c r="AF98" s="1151"/>
      <c r="AG98" s="1151"/>
      <c r="AH98" s="1150"/>
      <c r="AI98" s="1151"/>
      <c r="AJ98" s="1151"/>
      <c r="AK98" s="1150"/>
      <c r="AL98" s="1151"/>
      <c r="AM98" s="1151"/>
      <c r="AN98" s="2061">
        <v>66.41662008258335</v>
      </c>
      <c r="AO98" s="2062">
        <v>41.886550999999997</v>
      </c>
      <c r="AP98" s="2062">
        <v>16.469560229999999</v>
      </c>
      <c r="AQ98" s="1151">
        <f t="shared" si="161"/>
        <v>45.96206264762835</v>
      </c>
      <c r="AR98" s="1150">
        <v>7.4337042223333585</v>
      </c>
      <c r="AS98" s="1151">
        <v>4.8881740000000002</v>
      </c>
      <c r="AT98" s="1151">
        <v>2.1067114879999997</v>
      </c>
      <c r="AU98" s="1150">
        <v>6.8009670733333376</v>
      </c>
      <c r="AV98" s="1151">
        <v>5.8471019999999996</v>
      </c>
      <c r="AW98" s="1151">
        <v>1.8883013900000001</v>
      </c>
      <c r="AX98" s="1150"/>
      <c r="AY98" s="1151"/>
      <c r="AZ98" s="1151"/>
      <c r="BA98" s="1150">
        <v>6.8712457633333335</v>
      </c>
      <c r="BB98" s="1151">
        <v>4.8789709999999999</v>
      </c>
      <c r="BC98" s="1151">
        <v>1.8822729999999996</v>
      </c>
      <c r="BD98" s="1150">
        <v>7.8427622938628359</v>
      </c>
      <c r="BE98" s="1151">
        <v>5.8007860000000004</v>
      </c>
      <c r="BF98" s="1839">
        <v>1.9612676999999996</v>
      </c>
      <c r="BG98" s="1150">
        <v>8.2292466233333528</v>
      </c>
      <c r="BH98" s="1195">
        <v>4.5725049999999996</v>
      </c>
      <c r="BI98" s="1155">
        <v>2.0267856699999998</v>
      </c>
      <c r="BJ98" s="1150"/>
      <c r="BK98" s="1151"/>
      <c r="BL98" s="1151"/>
      <c r="BM98" s="1150"/>
      <c r="BN98" s="1151"/>
      <c r="BO98" s="1151"/>
      <c r="BP98" s="1150"/>
      <c r="BQ98" s="1151"/>
      <c r="BR98" s="1151"/>
      <c r="BS98" s="1150"/>
      <c r="BT98" s="1151"/>
      <c r="BU98" s="1151"/>
      <c r="BV98" s="1150"/>
      <c r="BW98" s="1151"/>
      <c r="BX98" s="1151"/>
      <c r="BY98" s="1150"/>
      <c r="BZ98" s="1151"/>
      <c r="CA98" s="1151"/>
      <c r="CB98" s="2061">
        <v>43.360846463333345</v>
      </c>
      <c r="CC98" s="2062">
        <v>30.065018000000002</v>
      </c>
      <c r="CD98" s="2062">
        <v>11.95979689</v>
      </c>
      <c r="CE98" s="1151">
        <f t="shared" si="162"/>
        <v>28.799398785533349</v>
      </c>
      <c r="CF98" s="1153">
        <f t="shared" si="163"/>
        <v>8.0605088525833537</v>
      </c>
      <c r="CG98" s="1154">
        <f t="shared" si="164"/>
        <v>1.3360315733333437</v>
      </c>
      <c r="CH98" s="1155">
        <f t="shared" si="165"/>
        <v>-6.72447727925001</v>
      </c>
      <c r="CI98" s="1154">
        <f t="shared" si="166"/>
        <v>12.136282819813482</v>
      </c>
      <c r="CJ98" s="1154">
        <f t="shared" si="167"/>
        <v>3.0811934782295229</v>
      </c>
      <c r="CK98" s="1154">
        <f t="shared" si="168"/>
        <v>-9.0550893415839599</v>
      </c>
      <c r="CL98" s="1150">
        <f t="shared" si="169"/>
        <v>4.0755116476283533</v>
      </c>
      <c r="CM98" s="1157">
        <f t="shared" si="170"/>
        <v>-1.2656192144666534</v>
      </c>
      <c r="CN98" s="1152">
        <f t="shared" si="171"/>
        <v>-5.3411308620950066</v>
      </c>
      <c r="CO98" s="1150">
        <f t="shared" si="172"/>
        <v>8.8671208663405157</v>
      </c>
      <c r="CP98" s="1151">
        <f t="shared" si="173"/>
        <v>-4.394602900885574</v>
      </c>
      <c r="CQ98" s="1152">
        <f t="shared" si="174"/>
        <v>-13.261723767226091</v>
      </c>
      <c r="CR98" s="1173" t="e">
        <f t="shared" si="175"/>
        <v>#REF!</v>
      </c>
      <c r="CS98" s="1153" t="e">
        <f t="shared" si="176"/>
        <v>#REF!</v>
      </c>
      <c r="CT98" s="1150" t="e">
        <f t="shared" si="177"/>
        <v>#REF!</v>
      </c>
      <c r="CU98" s="1151" t="e">
        <f t="shared" si="178"/>
        <v>#REF!</v>
      </c>
      <c r="CV98" s="1152" t="e">
        <f t="shared" si="179"/>
        <v>#REF!</v>
      </c>
      <c r="CX98" s="1150"/>
      <c r="CY98" s="1151"/>
      <c r="CZ98" s="1151"/>
      <c r="DA98" s="1152"/>
      <c r="DB98" s="1153"/>
      <c r="DC98" s="1154"/>
      <c r="DD98" s="1150"/>
      <c r="DE98" s="1150"/>
      <c r="DF98" s="1173"/>
      <c r="DG98" s="1150"/>
      <c r="DI98" s="1434"/>
      <c r="DJ98" s="1435"/>
      <c r="DK98" s="1828"/>
      <c r="DL98" s="1434"/>
      <c r="DM98" s="1435"/>
      <c r="DN98" s="1435"/>
    </row>
    <row r="99" spans="1:118" ht="12.75" customHeight="1">
      <c r="A99" s="1130"/>
      <c r="B99" s="3086"/>
      <c r="C99" s="1172" t="s">
        <v>903</v>
      </c>
      <c r="D99" s="1150">
        <v>6.084225</v>
      </c>
      <c r="E99" s="1151">
        <v>4.553064</v>
      </c>
      <c r="F99" s="1151">
        <v>0.63648407000000007</v>
      </c>
      <c r="G99" s="1150">
        <v>5.6658217583332853</v>
      </c>
      <c r="H99" s="1151">
        <v>4.720275</v>
      </c>
      <c r="I99" s="1151">
        <v>0.64124822999999986</v>
      </c>
      <c r="J99" s="1150">
        <v>5.1337235216666901</v>
      </c>
      <c r="K99" s="1151">
        <v>2.9745119999999998</v>
      </c>
      <c r="L99" s="1151">
        <v>0.68996286000000007</v>
      </c>
      <c r="M99" s="1150">
        <v>4.3496485887891092</v>
      </c>
      <c r="N99" s="1151">
        <v>4.6197790000000003</v>
      </c>
      <c r="O99" s="1151">
        <v>0.67709332</v>
      </c>
      <c r="P99" s="1150">
        <v>5.3908246607031707</v>
      </c>
      <c r="Q99" s="1151">
        <v>4.397388139443219</v>
      </c>
      <c r="R99" s="1151">
        <v>0.73606393747127219</v>
      </c>
      <c r="S99" s="1150">
        <v>6.3136932516976074</v>
      </c>
      <c r="T99" s="1195">
        <v>3.0764939999999998</v>
      </c>
      <c r="U99" s="1155">
        <v>0.65263613999999992</v>
      </c>
      <c r="V99" s="1150"/>
      <c r="W99" s="1151"/>
      <c r="X99" s="1151"/>
      <c r="Y99" s="1150">
        <v>9.5710404520279351</v>
      </c>
      <c r="Z99" s="1151">
        <v>8.6383860000000006</v>
      </c>
      <c r="AA99" s="1151">
        <v>0.81380693999999998</v>
      </c>
      <c r="AB99" s="1150"/>
      <c r="AC99" s="1151"/>
      <c r="AD99" s="1151"/>
      <c r="AE99" s="1150"/>
      <c r="AF99" s="1151"/>
      <c r="AG99" s="1151"/>
      <c r="AH99" s="1150"/>
      <c r="AI99" s="1151"/>
      <c r="AJ99" s="1151"/>
      <c r="AK99" s="1150"/>
      <c r="AL99" s="1151"/>
      <c r="AM99" s="1151"/>
      <c r="AN99" s="2061">
        <v>53.847220144916683</v>
      </c>
      <c r="AO99" s="2062">
        <v>40.421632000000002</v>
      </c>
      <c r="AP99" s="2062">
        <v>5.6541957699999985</v>
      </c>
      <c r="AQ99" s="1151">
        <f t="shared" si="161"/>
        <v>44.962191166221679</v>
      </c>
      <c r="AR99" s="1150">
        <v>6.1737229000000564</v>
      </c>
      <c r="AS99" s="1151">
        <v>4.8336990000000002</v>
      </c>
      <c r="AT99" s="1151">
        <v>0.65534277099999938</v>
      </c>
      <c r="AU99" s="1150">
        <v>5.4855025799999595</v>
      </c>
      <c r="AV99" s="1151">
        <v>4.8071890000000002</v>
      </c>
      <c r="AW99" s="1151">
        <v>0.63368720000000012</v>
      </c>
      <c r="AX99" s="1150"/>
      <c r="AY99" s="1151"/>
      <c r="AZ99" s="1151"/>
      <c r="BA99" s="1150">
        <v>4.7809619599999644</v>
      </c>
      <c r="BB99" s="1151">
        <v>4.8636369999999998</v>
      </c>
      <c r="BC99" s="1151">
        <v>0.5692546500000002</v>
      </c>
      <c r="BD99" s="1150">
        <v>6.0754936440379845</v>
      </c>
      <c r="BE99" s="1151">
        <v>4.7734860000000001</v>
      </c>
      <c r="BF99" s="1839">
        <v>0.65701311999999989</v>
      </c>
      <c r="BG99" s="1150">
        <v>6.1887034899999938</v>
      </c>
      <c r="BH99" s="1195">
        <v>3.9278490000000001</v>
      </c>
      <c r="BI99" s="1155">
        <v>0.67829852999999996</v>
      </c>
      <c r="BJ99" s="1150"/>
      <c r="BK99" s="1151"/>
      <c r="BL99" s="1151"/>
      <c r="BM99" s="1150"/>
      <c r="BN99" s="1151"/>
      <c r="BO99" s="1151"/>
      <c r="BP99" s="1150"/>
      <c r="BQ99" s="1151"/>
      <c r="BR99" s="1151"/>
      <c r="BS99" s="1150"/>
      <c r="BT99" s="1151"/>
      <c r="BU99" s="1151"/>
      <c r="BV99" s="1150"/>
      <c r="BW99" s="1151"/>
      <c r="BX99" s="1151"/>
      <c r="BY99" s="1150"/>
      <c r="BZ99" s="1151"/>
      <c r="CA99" s="1151"/>
      <c r="CB99" s="2061">
        <v>33.604671343333337</v>
      </c>
      <c r="CC99" s="2062">
        <v>26.939666000000003</v>
      </c>
      <c r="CD99" s="2062">
        <v>3.8136291599999996</v>
      </c>
      <c r="CE99" s="1151">
        <f t="shared" si="162"/>
        <v>27.774761902733339</v>
      </c>
      <c r="CF99" s="1153">
        <f t="shared" si="163"/>
        <v>7.7713923749166822</v>
      </c>
      <c r="CG99" s="1154">
        <f t="shared" si="164"/>
        <v>2.8513761833333344</v>
      </c>
      <c r="CH99" s="1155">
        <f t="shared" si="165"/>
        <v>-4.9200161915833478</v>
      </c>
      <c r="CI99" s="1154">
        <f t="shared" si="166"/>
        <v>14.432300040748384</v>
      </c>
      <c r="CJ99" s="1154">
        <f t="shared" si="167"/>
        <v>8.485058979453477</v>
      </c>
      <c r="CK99" s="1154">
        <f t="shared" si="168"/>
        <v>-5.9472410612949069</v>
      </c>
      <c r="CL99" s="1150">
        <f t="shared" si="169"/>
        <v>4.5405591662216764</v>
      </c>
      <c r="CM99" s="1157">
        <f t="shared" si="170"/>
        <v>0.835095902733336</v>
      </c>
      <c r="CN99" s="1152">
        <f t="shared" si="171"/>
        <v>-3.7054632634883404</v>
      </c>
      <c r="CO99" s="1150">
        <f t="shared" si="172"/>
        <v>10.098616300605961</v>
      </c>
      <c r="CP99" s="1151">
        <f t="shared" si="173"/>
        <v>3.0066716887000697</v>
      </c>
      <c r="CQ99" s="1152">
        <f t="shared" si="174"/>
        <v>-7.0919446119058911</v>
      </c>
      <c r="CR99" s="1173" t="e">
        <f t="shared" si="175"/>
        <v>#REF!</v>
      </c>
      <c r="CS99" s="1153" t="e">
        <f t="shared" si="176"/>
        <v>#REF!</v>
      </c>
      <c r="CT99" s="1150" t="e">
        <f t="shared" si="177"/>
        <v>#REF!</v>
      </c>
      <c r="CU99" s="1151" t="e">
        <f t="shared" si="178"/>
        <v>#REF!</v>
      </c>
      <c r="CV99" s="1152" t="e">
        <f t="shared" si="179"/>
        <v>#REF!</v>
      </c>
      <c r="CX99" s="1150"/>
      <c r="CY99" s="1151"/>
      <c r="CZ99" s="1151"/>
      <c r="DA99" s="1152"/>
      <c r="DB99" s="1153"/>
      <c r="DC99" s="1154"/>
      <c r="DD99" s="1150"/>
      <c r="DE99" s="1150"/>
      <c r="DF99" s="1173"/>
      <c r="DG99" s="1150"/>
      <c r="DI99" s="1434"/>
      <c r="DJ99" s="1435"/>
      <c r="DK99" s="1828"/>
      <c r="DL99" s="1434"/>
      <c r="DM99" s="1435"/>
      <c r="DN99" s="1435"/>
    </row>
    <row r="100" spans="1:118" ht="12.75" customHeight="1">
      <c r="A100" s="1130"/>
      <c r="B100" s="3086"/>
      <c r="C100" s="1172" t="s">
        <v>904</v>
      </c>
      <c r="D100" s="1150">
        <v>10.869158000000001</v>
      </c>
      <c r="E100" s="1151">
        <v>5.3165459999999998</v>
      </c>
      <c r="F100" s="1151">
        <v>2.7039986199999992</v>
      </c>
      <c r="G100" s="1150">
        <v>10.002082598911706</v>
      </c>
      <c r="H100" s="1151">
        <v>6.9712630000000004</v>
      </c>
      <c r="I100" s="1151">
        <v>2.6030464699999984</v>
      </c>
      <c r="J100" s="1150">
        <v>9.274097659632714</v>
      </c>
      <c r="K100" s="1151">
        <v>6.5634259999999998</v>
      </c>
      <c r="L100" s="1151">
        <v>2.4540010199999989</v>
      </c>
      <c r="M100" s="1150">
        <v>10.296646054754097</v>
      </c>
      <c r="N100" s="1151">
        <v>5.6283570000000003</v>
      </c>
      <c r="O100" s="1151">
        <v>2.9994901600000006</v>
      </c>
      <c r="P100" s="1150">
        <v>10.512605166718458</v>
      </c>
      <c r="Q100" s="1151">
        <v>6.4098464823370289</v>
      </c>
      <c r="R100" s="1151">
        <v>3.0580936052817358</v>
      </c>
      <c r="S100" s="1150">
        <v>12.388787832087996</v>
      </c>
      <c r="T100" s="1195">
        <v>7.6353359999999997</v>
      </c>
      <c r="U100" s="1155">
        <v>2.7401663200000006</v>
      </c>
      <c r="V100" s="1150"/>
      <c r="W100" s="1151"/>
      <c r="X100" s="1151"/>
      <c r="Y100" s="1150">
        <v>17.60067988873158</v>
      </c>
      <c r="Z100" s="1151">
        <v>15.449985</v>
      </c>
      <c r="AA100" s="1151">
        <v>2.7007531299999998</v>
      </c>
      <c r="AB100" s="1150"/>
      <c r="AC100" s="1151"/>
      <c r="AD100" s="1151"/>
      <c r="AE100" s="1150"/>
      <c r="AF100" s="1151"/>
      <c r="AG100" s="1151"/>
      <c r="AH100" s="1150"/>
      <c r="AI100" s="1151"/>
      <c r="AJ100" s="1151"/>
      <c r="AK100" s="1150"/>
      <c r="AL100" s="1151"/>
      <c r="AM100" s="1151"/>
      <c r="AN100" s="2061">
        <v>102.58283286983399</v>
      </c>
      <c r="AO100" s="2062">
        <v>64.133204000000006</v>
      </c>
      <c r="AP100" s="2062">
        <v>23.029910069999993</v>
      </c>
      <c r="AQ100" s="1151">
        <f t="shared" si="161"/>
        <v>73.397952827643962</v>
      </c>
      <c r="AR100" s="1150">
        <v>10.612097586135802</v>
      </c>
      <c r="AS100" s="1151">
        <v>5.7011099999999999</v>
      </c>
      <c r="AT100" s="1151">
        <v>2.510328031999999</v>
      </c>
      <c r="AU100" s="1150">
        <v>9.9685624718065053</v>
      </c>
      <c r="AV100" s="1151">
        <v>7.4819079999999998</v>
      </c>
      <c r="AW100" s="1151">
        <v>2.4660340000000001</v>
      </c>
      <c r="AX100" s="1150"/>
      <c r="AY100" s="1151"/>
      <c r="AZ100" s="1151"/>
      <c r="BA100" s="1150">
        <v>10.092091144760648</v>
      </c>
      <c r="BB100" s="1151">
        <v>5.9055059999999999</v>
      </c>
      <c r="BC100" s="1151">
        <v>2.8289341700000001</v>
      </c>
      <c r="BD100" s="1150">
        <v>11.56931082747875</v>
      </c>
      <c r="BE100" s="1151">
        <v>8.4365430000000003</v>
      </c>
      <c r="BF100" s="1839">
        <v>3.1857239799999966</v>
      </c>
      <c r="BG100" s="1150">
        <v>13.62789871603904</v>
      </c>
      <c r="BH100" s="1195">
        <v>8.4118720000000007</v>
      </c>
      <c r="BI100" s="1155">
        <v>3.3383424100000001</v>
      </c>
      <c r="BJ100" s="1150"/>
      <c r="BK100" s="1151"/>
      <c r="BL100" s="1151"/>
      <c r="BM100" s="1150"/>
      <c r="BN100" s="1151"/>
      <c r="BO100" s="1151"/>
      <c r="BP100" s="1150"/>
      <c r="BQ100" s="1151"/>
      <c r="BR100" s="1151"/>
      <c r="BS100" s="1150"/>
      <c r="BT100" s="1151"/>
      <c r="BU100" s="1151"/>
      <c r="BV100" s="1150"/>
      <c r="BW100" s="1151"/>
      <c r="BX100" s="1151"/>
      <c r="BY100" s="1150"/>
      <c r="BZ100" s="1151"/>
      <c r="CA100" s="1151"/>
      <c r="CB100" s="2061">
        <v>66.375940666356712</v>
      </c>
      <c r="CC100" s="2062">
        <v>43.913895000000004</v>
      </c>
      <c r="CD100" s="2062">
        <v>16.926101719999998</v>
      </c>
      <c r="CE100" s="1151">
        <f t="shared" si="162"/>
        <v>45.467282506375312</v>
      </c>
      <c r="CF100" s="1153">
        <f t="shared" si="163"/>
        <v>15.419718799833994</v>
      </c>
      <c r="CG100" s="1154">
        <f t="shared" si="164"/>
        <v>5.5359439463567099</v>
      </c>
      <c r="CH100" s="1155">
        <f t="shared" si="165"/>
        <v>-9.8837748534772842</v>
      </c>
      <c r="CI100" s="1154">
        <f t="shared" si="166"/>
        <v>15.031480773590911</v>
      </c>
      <c r="CJ100" s="1154">
        <f t="shared" si="167"/>
        <v>8.3402869937218931</v>
      </c>
      <c r="CK100" s="1154">
        <f t="shared" si="168"/>
        <v>-6.6911937798690175</v>
      </c>
      <c r="CL100" s="1150">
        <f t="shared" si="169"/>
        <v>9.264748827643956</v>
      </c>
      <c r="CM100" s="1157">
        <f t="shared" si="170"/>
        <v>1.5533875063753086</v>
      </c>
      <c r="CN100" s="1152">
        <f t="shared" si="171"/>
        <v>-7.7113613212686474</v>
      </c>
      <c r="CO100" s="1150">
        <f t="shared" si="172"/>
        <v>12.62262566014588</v>
      </c>
      <c r="CP100" s="1151">
        <f t="shared" si="173"/>
        <v>3.4164951603551335</v>
      </c>
      <c r="CQ100" s="1152">
        <f t="shared" si="174"/>
        <v>-9.2061304997907474</v>
      </c>
      <c r="CR100" s="1173" t="e">
        <f t="shared" si="175"/>
        <v>#REF!</v>
      </c>
      <c r="CS100" s="1153" t="e">
        <f t="shared" si="176"/>
        <v>#REF!</v>
      </c>
      <c r="CT100" s="1150" t="e">
        <f t="shared" si="177"/>
        <v>#REF!</v>
      </c>
      <c r="CU100" s="1151" t="e">
        <f t="shared" si="178"/>
        <v>#REF!</v>
      </c>
      <c r="CV100" s="1152" t="e">
        <f t="shared" si="179"/>
        <v>#REF!</v>
      </c>
      <c r="CX100" s="1150"/>
      <c r="CY100" s="1151"/>
      <c r="CZ100" s="1151"/>
      <c r="DA100" s="1152"/>
      <c r="DB100" s="1153"/>
      <c r="DC100" s="1154"/>
      <c r="DD100" s="1150"/>
      <c r="DE100" s="1150"/>
      <c r="DF100" s="1173"/>
      <c r="DG100" s="1150"/>
      <c r="DI100" s="1434"/>
      <c r="DJ100" s="1435"/>
      <c r="DK100" s="1828"/>
      <c r="DL100" s="1434"/>
      <c r="DM100" s="1435"/>
      <c r="DN100" s="1435"/>
    </row>
    <row r="101" spans="1:118" ht="12.75" customHeight="1">
      <c r="A101" s="1130"/>
      <c r="B101" s="3086"/>
      <c r="C101" s="1172" t="s">
        <v>905</v>
      </c>
      <c r="D101" s="1150">
        <v>7.458189</v>
      </c>
      <c r="E101" s="1151">
        <v>6.5029979999999998</v>
      </c>
      <c r="F101" s="1151">
        <v>1.13837385</v>
      </c>
      <c r="G101" s="1150">
        <v>6.6669483531049964</v>
      </c>
      <c r="H101" s="1151">
        <v>5.362088</v>
      </c>
      <c r="I101" s="1151">
        <v>1.10254926</v>
      </c>
      <c r="J101" s="1150">
        <v>6.4396912536806372</v>
      </c>
      <c r="K101" s="1151">
        <v>3.2842519999999999</v>
      </c>
      <c r="L101" s="1151">
        <v>1.2263482499999994</v>
      </c>
      <c r="M101" s="1150">
        <v>7.087041919335987</v>
      </c>
      <c r="N101" s="1151">
        <v>6.679583</v>
      </c>
      <c r="O101" s="1151">
        <v>1.5611509800000005</v>
      </c>
      <c r="P101" s="1150">
        <v>7.1056905260652155</v>
      </c>
      <c r="Q101" s="1151">
        <v>5.8426622008559468</v>
      </c>
      <c r="R101" s="1151">
        <v>1.3956291982198286</v>
      </c>
      <c r="S101" s="1150">
        <v>10.600783533419213</v>
      </c>
      <c r="T101" s="1195">
        <v>4.5486769999999996</v>
      </c>
      <c r="U101" s="1155">
        <v>1.4249225800000005</v>
      </c>
      <c r="V101" s="1150"/>
      <c r="W101" s="1151"/>
      <c r="X101" s="1151"/>
      <c r="Y101" s="1150">
        <v>19.102085903419212</v>
      </c>
      <c r="Z101" s="1151">
        <v>13.614875</v>
      </c>
      <c r="AA101" s="1151">
        <v>2.1607558099999999</v>
      </c>
      <c r="AB101" s="1150"/>
      <c r="AC101" s="1151"/>
      <c r="AD101" s="1151"/>
      <c r="AE101" s="1150"/>
      <c r="AF101" s="1151"/>
      <c r="AG101" s="1151"/>
      <c r="AH101" s="1150"/>
      <c r="AI101" s="1151"/>
      <c r="AJ101" s="1151"/>
      <c r="AK101" s="1150"/>
      <c r="AL101" s="1151"/>
      <c r="AM101" s="1151"/>
      <c r="AN101" s="2061">
        <v>85.004094517265983</v>
      </c>
      <c r="AO101" s="2062">
        <v>59.373014999999995</v>
      </c>
      <c r="AP101" s="2062">
        <v>12.252273769999999</v>
      </c>
      <c r="AQ101" s="1151">
        <f t="shared" si="161"/>
        <v>67.651575076230017</v>
      </c>
      <c r="AR101" s="1150">
        <v>7.6195397874157473</v>
      </c>
      <c r="AS101" s="1151">
        <v>7.0105300000000002</v>
      </c>
      <c r="AT101" s="1151">
        <v>1.3348972729999993</v>
      </c>
      <c r="AU101" s="1150">
        <v>6.7589012996272357</v>
      </c>
      <c r="AV101" s="1151">
        <v>5.9253989999999996</v>
      </c>
      <c r="AW101" s="1151">
        <v>1.2809278400000002</v>
      </c>
      <c r="AX101" s="1150"/>
      <c r="AY101" s="1151"/>
      <c r="AZ101" s="1151"/>
      <c r="BA101" s="1150">
        <v>6.9120557584161411</v>
      </c>
      <c r="BB101" s="1151">
        <v>7.3721370000000004</v>
      </c>
      <c r="BC101" s="1151">
        <v>1.5525520999999993</v>
      </c>
      <c r="BD101" s="1150">
        <v>7.7711877388406236</v>
      </c>
      <c r="BE101" s="1151">
        <v>5.8721719999999999</v>
      </c>
      <c r="BF101" s="1839">
        <v>1.7407563400000012</v>
      </c>
      <c r="BG101" s="1150">
        <v>11.965967045007133</v>
      </c>
      <c r="BH101" s="1195">
        <v>5.5853659999999996</v>
      </c>
      <c r="BI101" s="1155">
        <v>1.8983906499999998</v>
      </c>
      <c r="BJ101" s="1150"/>
      <c r="BK101" s="1151"/>
      <c r="BL101" s="1151"/>
      <c r="BM101" s="1150"/>
      <c r="BN101" s="1151"/>
      <c r="BO101" s="1151"/>
      <c r="BP101" s="1150"/>
      <c r="BQ101" s="1151"/>
      <c r="BR101" s="1151"/>
      <c r="BS101" s="1150"/>
      <c r="BT101" s="1151"/>
      <c r="BU101" s="1151"/>
      <c r="BV101" s="1150"/>
      <c r="BW101" s="1151"/>
      <c r="BX101" s="1151"/>
      <c r="BY101" s="1150"/>
      <c r="BZ101" s="1151"/>
      <c r="CA101" s="1151"/>
      <c r="CB101" s="2061">
        <v>47.940280381937718</v>
      </c>
      <c r="CC101" s="2062">
        <v>36.525379000000001</v>
      </c>
      <c r="CD101" s="2062">
        <v>9.0916894999999993</v>
      </c>
      <c r="CE101" s="1151">
        <f t="shared" si="162"/>
        <v>35.972174059021455</v>
      </c>
      <c r="CF101" s="1153">
        <f t="shared" si="163"/>
        <v>13.378805747265989</v>
      </c>
      <c r="CG101" s="1154">
        <f t="shared" si="164"/>
        <v>2.3232118819377181</v>
      </c>
      <c r="CH101" s="1155">
        <f t="shared" si="165"/>
        <v>-11.055593865328271</v>
      </c>
      <c r="CI101" s="1154">
        <f t="shared" si="166"/>
        <v>15.739013306645475</v>
      </c>
      <c r="CJ101" s="1154">
        <f t="shared" si="167"/>
        <v>4.846054014346203</v>
      </c>
      <c r="CK101" s="1154">
        <f t="shared" si="168"/>
        <v>-10.892959292299272</v>
      </c>
      <c r="CL101" s="1150">
        <f t="shared" si="169"/>
        <v>8.278560076230022</v>
      </c>
      <c r="CM101" s="1157">
        <f t="shared" si="170"/>
        <v>-0.55320494097854578</v>
      </c>
      <c r="CN101" s="1152">
        <f t="shared" si="171"/>
        <v>-8.8317650172085678</v>
      </c>
      <c r="CO101" s="1150">
        <f t="shared" si="172"/>
        <v>12.237054446850221</v>
      </c>
      <c r="CP101" s="1151">
        <f t="shared" si="173"/>
        <v>-1.5378690764446792</v>
      </c>
      <c r="CQ101" s="1152">
        <f t="shared" si="174"/>
        <v>-13.7749235232949</v>
      </c>
      <c r="CR101" s="1173" t="e">
        <f t="shared" si="175"/>
        <v>#REF!</v>
      </c>
      <c r="CS101" s="1153" t="e">
        <f t="shared" si="176"/>
        <v>#REF!</v>
      </c>
      <c r="CT101" s="1150" t="e">
        <f t="shared" si="177"/>
        <v>#REF!</v>
      </c>
      <c r="CU101" s="1151" t="e">
        <f t="shared" si="178"/>
        <v>#REF!</v>
      </c>
      <c r="CV101" s="1152" t="e">
        <f t="shared" si="179"/>
        <v>#REF!</v>
      </c>
      <c r="CX101" s="1150"/>
      <c r="CY101" s="1151"/>
      <c r="CZ101" s="1151"/>
      <c r="DA101" s="1152"/>
      <c r="DB101" s="1153"/>
      <c r="DC101" s="1154"/>
      <c r="DD101" s="1150"/>
      <c r="DE101" s="1150"/>
      <c r="DF101" s="1173"/>
      <c r="DG101" s="1150"/>
      <c r="DI101" s="1434"/>
      <c r="DJ101" s="1435"/>
      <c r="DK101" s="1828"/>
      <c r="DL101" s="1434"/>
      <c r="DM101" s="1435"/>
      <c r="DN101" s="1435"/>
    </row>
    <row r="102" spans="1:118" ht="12.75" customHeight="1">
      <c r="A102" s="1130">
        <v>1</v>
      </c>
      <c r="B102" s="3086"/>
      <c r="C102" s="1172" t="s">
        <v>906</v>
      </c>
      <c r="D102" s="1150">
        <v>7.0610929999999996</v>
      </c>
      <c r="E102" s="1151">
        <v>4.8939130000000004</v>
      </c>
      <c r="F102" s="1151">
        <v>1.1707062399999999</v>
      </c>
      <c r="G102" s="1150">
        <v>6.137655156316681</v>
      </c>
      <c r="H102" s="1151">
        <v>5.0088590000000002</v>
      </c>
      <c r="I102" s="1151">
        <v>1.0792226300000001</v>
      </c>
      <c r="J102" s="1150">
        <v>6.4035759366866243</v>
      </c>
      <c r="K102" s="1151">
        <v>4.1877209999999998</v>
      </c>
      <c r="L102" s="1151">
        <v>1.0287371500000002</v>
      </c>
      <c r="M102" s="1150">
        <v>5.7765265733316786</v>
      </c>
      <c r="N102" s="1151">
        <v>4.9942599999999997</v>
      </c>
      <c r="O102" s="1151">
        <v>1.1052901100000003</v>
      </c>
      <c r="P102" s="1150">
        <v>6.462356802518336</v>
      </c>
      <c r="Q102" s="1151">
        <v>5.0211903852594517</v>
      </c>
      <c r="R102" s="1151">
        <v>1.2151855511611909</v>
      </c>
      <c r="S102" s="1150">
        <v>7.7168877260975872</v>
      </c>
      <c r="T102" s="1195">
        <v>3.9398610000000001</v>
      </c>
      <c r="U102" s="1155">
        <v>0.97419436000000015</v>
      </c>
      <c r="V102" s="1150"/>
      <c r="W102" s="1151"/>
      <c r="X102" s="1151"/>
      <c r="Y102" s="1150">
        <v>12.480799598793363</v>
      </c>
      <c r="Z102" s="1151">
        <v>10.303039</v>
      </c>
      <c r="AA102" s="1151">
        <v>1.13571494</v>
      </c>
      <c r="AB102" s="1150"/>
      <c r="AC102" s="1151"/>
      <c r="AD102" s="1151"/>
      <c r="AE102" s="1150"/>
      <c r="AF102" s="1151"/>
      <c r="AG102" s="1151"/>
      <c r="AH102" s="1150"/>
      <c r="AI102" s="1151"/>
      <c r="AJ102" s="1151"/>
      <c r="AK102" s="1150"/>
      <c r="AL102" s="1151"/>
      <c r="AM102" s="1151"/>
      <c r="AN102" s="2061">
        <v>66.166062765400028</v>
      </c>
      <c r="AO102" s="2062">
        <v>46.592675</v>
      </c>
      <c r="AP102" s="2062">
        <v>8.8202606400000008</v>
      </c>
      <c r="AQ102" s="1151">
        <f t="shared" si="161"/>
        <v>53.375838359476028</v>
      </c>
      <c r="AR102" s="1150">
        <v>7.3200597041151783</v>
      </c>
      <c r="AS102" s="1151">
        <v>5.6176250000000003</v>
      </c>
      <c r="AT102" s="1151">
        <v>1.061161467</v>
      </c>
      <c r="AU102" s="1150">
        <v>6.6243773752330464</v>
      </c>
      <c r="AV102" s="1151">
        <v>5.4923830000000002</v>
      </c>
      <c r="AW102" s="1151">
        <v>0.95687998000000007</v>
      </c>
      <c r="AX102" s="1150"/>
      <c r="AY102" s="1151"/>
      <c r="AZ102" s="1151"/>
      <c r="BA102" s="1150">
        <v>6.3551435134900265</v>
      </c>
      <c r="BB102" s="1151">
        <v>5.660984</v>
      </c>
      <c r="BC102" s="1151">
        <v>0.88645507000000023</v>
      </c>
      <c r="BD102" s="1150">
        <v>7.5540646015585224</v>
      </c>
      <c r="BE102" s="1151">
        <v>5.4604200000000001</v>
      </c>
      <c r="BF102" s="1839">
        <v>1.1193168999999996</v>
      </c>
      <c r="BG102" s="1150">
        <v>9.0347303156205196</v>
      </c>
      <c r="BH102" s="1195">
        <v>5.3952010000000001</v>
      </c>
      <c r="BI102" s="1155">
        <v>0.93842409999999987</v>
      </c>
      <c r="BJ102" s="1150"/>
      <c r="BK102" s="1151"/>
      <c r="BL102" s="1151"/>
      <c r="BM102" s="1150"/>
      <c r="BN102" s="1151"/>
      <c r="BO102" s="1151"/>
      <c r="BP102" s="1150"/>
      <c r="BQ102" s="1151"/>
      <c r="BR102" s="1151"/>
      <c r="BS102" s="1150"/>
      <c r="BT102" s="1151"/>
      <c r="BU102" s="1151"/>
      <c r="BV102" s="1150"/>
      <c r="BW102" s="1151"/>
      <c r="BX102" s="1151"/>
      <c r="BY102" s="1150"/>
      <c r="BZ102" s="1151"/>
      <c r="CA102" s="1151"/>
      <c r="CB102" s="2061">
        <v>43.233320455038985</v>
      </c>
      <c r="CC102" s="2062">
        <v>32.916200000000003</v>
      </c>
      <c r="CD102" s="2062">
        <v>5.984098519999999</v>
      </c>
      <c r="CE102" s="1151">
        <f>CB102-(CB102*0.06)-CD102</f>
        <v>34.655222707736648</v>
      </c>
      <c r="CF102" s="1153">
        <f t="shared" si="133"/>
        <v>10.753127125400027</v>
      </c>
      <c r="CG102" s="1154">
        <f t="shared" ref="CG102:CG107" si="180">CB102-CC102-CD102</f>
        <v>4.3330219350389827</v>
      </c>
      <c r="CH102" s="1155">
        <f t="shared" si="135"/>
        <v>-6.4201051903610447</v>
      </c>
      <c r="CI102" s="1154">
        <f t="shared" si="136"/>
        <v>16.2517258485314</v>
      </c>
      <c r="CJ102" s="1154">
        <f t="shared" si="137"/>
        <v>10.022413012540088</v>
      </c>
      <c r="CK102" s="1154">
        <f t="shared" si="138"/>
        <v>-6.2293128359913119</v>
      </c>
      <c r="CL102" s="1150">
        <f>AQ102-AO102</f>
        <v>6.7831633594760277</v>
      </c>
      <c r="CM102" s="1157">
        <f>CE102-CC102</f>
        <v>1.7390227077366447</v>
      </c>
      <c r="CN102" s="1152">
        <f t="shared" si="141"/>
        <v>-5.044140651739383</v>
      </c>
      <c r="CO102" s="1150">
        <f t="shared" si="142"/>
        <v>12.708303172294407</v>
      </c>
      <c r="CP102" s="1151">
        <f t="shared" si="143"/>
        <v>5.0180681924990616</v>
      </c>
      <c r="CQ102" s="1152">
        <f t="shared" si="144"/>
        <v>-7.6902349797953455</v>
      </c>
      <c r="CR102" s="1173" t="e">
        <f t="shared" si="175"/>
        <v>#REF!</v>
      </c>
      <c r="CS102" s="1153" t="e">
        <f t="shared" si="176"/>
        <v>#REF!</v>
      </c>
      <c r="CT102" s="1150" t="e">
        <f>CL102*CR102</f>
        <v>#REF!</v>
      </c>
      <c r="CU102" s="1151" t="e">
        <f>CS102*CM102</f>
        <v>#REF!</v>
      </c>
      <c r="CV102" s="1152" t="e">
        <f t="shared" si="147"/>
        <v>#REF!</v>
      </c>
      <c r="CX102" s="1150"/>
      <c r="CY102" s="1151"/>
      <c r="CZ102" s="1151"/>
      <c r="DA102" s="1152">
        <f t="shared" si="148"/>
        <v>0</v>
      </c>
      <c r="DB102" s="1153">
        <f t="shared" si="149"/>
        <v>0</v>
      </c>
      <c r="DC102" s="1154" t="e">
        <f t="shared" si="150"/>
        <v>#DIV/0!</v>
      </c>
      <c r="DD102" s="1150">
        <f t="shared" si="151"/>
        <v>0</v>
      </c>
      <c r="DE102" s="1150" t="e">
        <f t="shared" si="152"/>
        <v>#DIV/0!</v>
      </c>
      <c r="DF102" s="1173">
        <v>4.8253467224198872</v>
      </c>
      <c r="DG102" s="1150">
        <f t="shared" si="153"/>
        <v>0</v>
      </c>
      <c r="DI102" s="1434"/>
      <c r="DJ102" s="1435"/>
      <c r="DK102" s="1828"/>
      <c r="DL102" s="1434"/>
      <c r="DM102" s="1435"/>
      <c r="DN102" s="1435"/>
    </row>
    <row r="103" spans="1:118" ht="12.75" customHeight="1">
      <c r="A103" s="1160">
        <f>SUM(A93:A102)</f>
        <v>2</v>
      </c>
      <c r="B103" s="3087"/>
      <c r="C103" s="1161" t="s">
        <v>311</v>
      </c>
      <c r="D103" s="1166">
        <f>SUM(D93:D102)</f>
        <v>100.111487</v>
      </c>
      <c r="E103" s="1166">
        <f>SUM(E93:E102)</f>
        <v>62.801758999999997</v>
      </c>
      <c r="F103" s="1166">
        <f>SUM(F93:F102)</f>
        <v>24.39329815000001</v>
      </c>
      <c r="G103" s="1166">
        <v>90.374418000000006</v>
      </c>
      <c r="H103" s="1166">
        <v>64.747234000000006</v>
      </c>
      <c r="I103" s="1166">
        <v>21.804240730000004</v>
      </c>
      <c r="J103" s="1166">
        <f t="shared" ref="J103:O103" si="181">SUM(J93:J102)</f>
        <v>85.660623999999984</v>
      </c>
      <c r="K103" s="1166">
        <f t="shared" si="181"/>
        <v>50.749295000000004</v>
      </c>
      <c r="L103" s="1166">
        <f t="shared" si="181"/>
        <v>21.156120770000008</v>
      </c>
      <c r="M103" s="1166">
        <f t="shared" si="181"/>
        <v>87.490261000000004</v>
      </c>
      <c r="N103" s="1166">
        <f t="shared" si="181"/>
        <v>64.827573999999998</v>
      </c>
      <c r="O103" s="1166">
        <f t="shared" si="181"/>
        <v>24.058127089999999</v>
      </c>
      <c r="P103" s="1162">
        <f t="shared" ref="P103:U103" si="182">SUM(P93:P102)</f>
        <v>93.512892999999991</v>
      </c>
      <c r="Q103" s="1163">
        <f t="shared" si="182"/>
        <v>63.903171</v>
      </c>
      <c r="R103" s="1163">
        <f t="shared" si="182"/>
        <v>25.740238479999999</v>
      </c>
      <c r="S103" s="1165">
        <f t="shared" si="182"/>
        <v>127.28122183000001</v>
      </c>
      <c r="T103" s="1166">
        <f t="shared" si="182"/>
        <v>56.986412999999999</v>
      </c>
      <c r="U103" s="1167">
        <f t="shared" si="182"/>
        <v>27.584418179999989</v>
      </c>
      <c r="V103" s="1166">
        <f t="shared" ref="V103:CD103" si="183">SUM(V93:V102)</f>
        <v>0</v>
      </c>
      <c r="W103" s="1166">
        <f t="shared" si="183"/>
        <v>0</v>
      </c>
      <c r="X103" s="1166">
        <f t="shared" si="183"/>
        <v>0</v>
      </c>
      <c r="Y103" s="1166">
        <f t="shared" si="183"/>
        <v>203.08573300000006</v>
      </c>
      <c r="Z103" s="1166">
        <f t="shared" si="183"/>
        <v>149.87553900000003</v>
      </c>
      <c r="AA103" s="1166">
        <f t="shared" si="183"/>
        <v>32.225255449999999</v>
      </c>
      <c r="AB103" s="1166">
        <f t="shared" si="183"/>
        <v>0</v>
      </c>
      <c r="AC103" s="1166">
        <f t="shared" si="183"/>
        <v>0</v>
      </c>
      <c r="AD103" s="1166">
        <f t="shared" si="183"/>
        <v>0</v>
      </c>
      <c r="AE103" s="1166">
        <v>96.690409000000002</v>
      </c>
      <c r="AF103" s="1166">
        <v>124.25192100000001</v>
      </c>
      <c r="AG103" s="1166">
        <v>26.194114679999998</v>
      </c>
      <c r="AH103" s="1166">
        <f>SUM(AH93:AH102)</f>
        <v>0</v>
      </c>
      <c r="AI103" s="1166">
        <f>SUM(AI93:AI102)</f>
        <v>0</v>
      </c>
      <c r="AJ103" s="1166">
        <f>SUM(AJ93:AJ102)</f>
        <v>0</v>
      </c>
      <c r="AK103" s="1166">
        <f t="shared" si="183"/>
        <v>0</v>
      </c>
      <c r="AL103" s="1166">
        <f t="shared" si="183"/>
        <v>0</v>
      </c>
      <c r="AM103" s="1166">
        <f t="shared" si="183"/>
        <v>0</v>
      </c>
      <c r="AN103" s="1162">
        <f t="shared" si="183"/>
        <v>1025.3679258300001</v>
      </c>
      <c r="AO103" s="1163">
        <f t="shared" si="183"/>
        <v>638.85004000000004</v>
      </c>
      <c r="AP103" s="1163">
        <f t="shared" si="183"/>
        <v>216.99726518</v>
      </c>
      <c r="AQ103" s="1166">
        <f>SUM(AQ93:AQ102)</f>
        <v>746.84858510020001</v>
      </c>
      <c r="AR103" s="1166">
        <f t="shared" si="183"/>
        <v>101.77412200000002</v>
      </c>
      <c r="AS103" s="1166">
        <f t="shared" si="183"/>
        <v>69.26487800000001</v>
      </c>
      <c r="AT103" s="1166">
        <f t="shared" si="183"/>
        <v>23.158142510000008</v>
      </c>
      <c r="AU103" s="1166">
        <f t="shared" si="183"/>
        <v>90.934319000000215</v>
      </c>
      <c r="AV103" s="1166">
        <f t="shared" si="183"/>
        <v>68.703626</v>
      </c>
      <c r="AW103" s="1166">
        <f t="shared" si="183"/>
        <v>21.833737769999999</v>
      </c>
      <c r="AX103" s="1166">
        <f t="shared" si="183"/>
        <v>0</v>
      </c>
      <c r="AY103" s="1166">
        <f t="shared" si="183"/>
        <v>0</v>
      </c>
      <c r="AZ103" s="1166">
        <f t="shared" si="183"/>
        <v>0</v>
      </c>
      <c r="BA103" s="1166">
        <f t="shared" si="183"/>
        <v>89.351176000000095</v>
      </c>
      <c r="BB103" s="1166">
        <f t="shared" si="183"/>
        <v>68.252800000000008</v>
      </c>
      <c r="BC103" s="1166">
        <f t="shared" si="183"/>
        <v>24.298778869999996</v>
      </c>
      <c r="BD103" s="1166">
        <f t="shared" si="183"/>
        <v>103.87139199999986</v>
      </c>
      <c r="BE103" s="1166">
        <f t="shared" si="183"/>
        <v>69.968631999999999</v>
      </c>
      <c r="BF103" s="1166">
        <f t="shared" si="183"/>
        <v>29.500546410000002</v>
      </c>
      <c r="BG103" s="1165">
        <f t="shared" si="183"/>
        <v>141.18135700000011</v>
      </c>
      <c r="BH103" s="1166">
        <f t="shared" si="183"/>
        <v>68.835036000000002</v>
      </c>
      <c r="BI103" s="1167">
        <f t="shared" si="183"/>
        <v>30.120260539999997</v>
      </c>
      <c r="BJ103" s="1166">
        <f>SUM(BJ93:BJ102)</f>
        <v>0</v>
      </c>
      <c r="BK103" s="1166">
        <f>SUM(BK93:BK102)</f>
        <v>0</v>
      </c>
      <c r="BL103" s="1166">
        <f>SUM(BL93:BL102)</f>
        <v>0</v>
      </c>
      <c r="BM103" s="1166">
        <f t="shared" si="183"/>
        <v>0</v>
      </c>
      <c r="BN103" s="1166">
        <f t="shared" si="183"/>
        <v>0</v>
      </c>
      <c r="BO103" s="1166">
        <f t="shared" si="183"/>
        <v>0</v>
      </c>
      <c r="BP103" s="1166">
        <f t="shared" si="183"/>
        <v>0</v>
      </c>
      <c r="BQ103" s="1166">
        <f t="shared" si="183"/>
        <v>0</v>
      </c>
      <c r="BR103" s="1166">
        <f t="shared" si="183"/>
        <v>0</v>
      </c>
      <c r="BS103" s="1166">
        <f t="shared" si="183"/>
        <v>0</v>
      </c>
      <c r="BT103" s="1166">
        <f t="shared" si="183"/>
        <v>0</v>
      </c>
      <c r="BU103" s="1166">
        <f t="shared" si="183"/>
        <v>0</v>
      </c>
      <c r="BV103" s="1166">
        <f t="shared" si="183"/>
        <v>0</v>
      </c>
      <c r="BW103" s="1166">
        <f t="shared" si="183"/>
        <v>0</v>
      </c>
      <c r="BX103" s="1166">
        <f t="shared" si="183"/>
        <v>0</v>
      </c>
      <c r="BY103" s="1166">
        <f t="shared" si="183"/>
        <v>0</v>
      </c>
      <c r="BZ103" s="1166">
        <f t="shared" si="183"/>
        <v>0</v>
      </c>
      <c r="CA103" s="1166">
        <f t="shared" si="183"/>
        <v>0</v>
      </c>
      <c r="CB103" s="1162">
        <f t="shared" si="183"/>
        <v>619.63579400000003</v>
      </c>
      <c r="CC103" s="1163">
        <f t="shared" si="183"/>
        <v>404.49173400000001</v>
      </c>
      <c r="CD103" s="1163">
        <f t="shared" si="183"/>
        <v>152.04605506000001</v>
      </c>
      <c r="CE103" s="1163">
        <f>SUM(CE93:CE102)</f>
        <v>430.41159130000011</v>
      </c>
      <c r="CF103" s="1165">
        <f t="shared" si="133"/>
        <v>169.52062065000007</v>
      </c>
      <c r="CG103" s="1166">
        <f t="shared" si="180"/>
        <v>63.09800494000001</v>
      </c>
      <c r="CH103" s="1167">
        <f t="shared" si="135"/>
        <v>-106.42261571000006</v>
      </c>
      <c r="CI103" s="1166">
        <f t="shared" si="136"/>
        <v>16.53266270375865</v>
      </c>
      <c r="CJ103" s="1166">
        <f t="shared" si="137"/>
        <v>10.183079407449467</v>
      </c>
      <c r="CK103" s="1166">
        <f t="shared" si="138"/>
        <v>-6.3495832963091825</v>
      </c>
      <c r="CL103" s="1162">
        <f>SUM(CL93:CL102)</f>
        <v>107.99854510019998</v>
      </c>
      <c r="CM103" s="1163">
        <f>SUM(CM93:CM102)</f>
        <v>25.919857300000089</v>
      </c>
      <c r="CN103" s="1164">
        <f t="shared" si="141"/>
        <v>-82.078687800199887</v>
      </c>
      <c r="CO103" s="1162">
        <f t="shared" si="142"/>
        <v>14.460567677946459</v>
      </c>
      <c r="CP103" s="1163">
        <f t="shared" si="143"/>
        <v>6.0221094933137511</v>
      </c>
      <c r="CQ103" s="1164">
        <f t="shared" si="144"/>
        <v>-8.438458184632708</v>
      </c>
      <c r="CR103" s="1168" t="e">
        <f t="shared" si="175"/>
        <v>#REF!</v>
      </c>
      <c r="CS103" s="1165" t="e">
        <f t="shared" si="176"/>
        <v>#REF!</v>
      </c>
      <c r="CT103" s="1162" t="e">
        <f>SUM(CT93:CT102)</f>
        <v>#REF!</v>
      </c>
      <c r="CU103" s="1163" t="e">
        <f>SUM(CU93:CU102)</f>
        <v>#REF!</v>
      </c>
      <c r="CV103" s="1164" t="e">
        <f t="shared" si="147"/>
        <v>#REF!</v>
      </c>
      <c r="CX103" s="1162">
        <f>SUM(CX93:CX102)</f>
        <v>0</v>
      </c>
      <c r="CY103" s="1162">
        <f>SUM(CY93:CY102)</f>
        <v>0</v>
      </c>
      <c r="CZ103" s="1162">
        <f>SUM(CZ93:CZ102)</f>
        <v>0</v>
      </c>
      <c r="DA103" s="1162">
        <f>SUM(DA93:DA102)</f>
        <v>0</v>
      </c>
      <c r="DB103" s="1165">
        <f t="shared" si="149"/>
        <v>0</v>
      </c>
      <c r="DC103" s="1166" t="e">
        <f t="shared" si="150"/>
        <v>#DIV/0!</v>
      </c>
      <c r="DD103" s="1162">
        <f t="shared" si="151"/>
        <v>0</v>
      </c>
      <c r="DE103" s="1162" t="e">
        <f t="shared" si="152"/>
        <v>#DIV/0!</v>
      </c>
      <c r="DF103" s="1168">
        <v>4.8253467224198872</v>
      </c>
      <c r="DG103" s="1162">
        <f t="shared" si="153"/>
        <v>0</v>
      </c>
      <c r="DI103" s="1432">
        <f>AN103-ventes_achats_élec!G27</f>
        <v>-1.6999979379761498E-7</v>
      </c>
      <c r="DJ103" s="1433">
        <f>AO103-ventes_achats_élec!D27</f>
        <v>0</v>
      </c>
      <c r="DK103" s="1827">
        <f>AP103-ventes_achats_élec!E27</f>
        <v>0</v>
      </c>
      <c r="DL103" s="1432">
        <f>CB103-ventes_achats_élec!M27</f>
        <v>-456.46719000000007</v>
      </c>
      <c r="DM103" s="1882">
        <f>CC103-ventes_achats_élec!J27</f>
        <v>-278.37640400000004</v>
      </c>
      <c r="DN103" s="1882">
        <f>CD103-ventes_achats_élec!K27</f>
        <v>-71.686421300000006</v>
      </c>
    </row>
    <row r="104" spans="1:118" ht="12.75" customHeight="1">
      <c r="A104" s="1130">
        <v>1</v>
      </c>
      <c r="B104" s="3085" t="s">
        <v>886</v>
      </c>
      <c r="C104" s="1172" t="s">
        <v>894</v>
      </c>
      <c r="D104" s="1150">
        <v>11.53612</v>
      </c>
      <c r="E104" s="1151">
        <v>6.213203</v>
      </c>
      <c r="F104" s="1151">
        <v>2.8186577700000002</v>
      </c>
      <c r="G104" s="1150">
        <v>10.401612999999999</v>
      </c>
      <c r="H104" s="1151">
        <v>7.6445590000000001</v>
      </c>
      <c r="I104" s="1151">
        <v>2.65976086</v>
      </c>
      <c r="J104" s="1150">
        <v>11.370608000000001</v>
      </c>
      <c r="K104" s="1151">
        <v>6.8959979999999996</v>
      </c>
      <c r="L104" s="1151">
        <v>2.8656372400000003</v>
      </c>
      <c r="M104" s="1150">
        <v>9.9347729999999999</v>
      </c>
      <c r="N104" s="1151">
        <v>7.1053839999999999</v>
      </c>
      <c r="O104" s="1151">
        <v>2.55056422</v>
      </c>
      <c r="P104" s="1150">
        <v>9.8311360000000008</v>
      </c>
      <c r="Q104" s="1151">
        <v>6.8441559999999999</v>
      </c>
      <c r="R104" s="1151">
        <v>2.3295552399999999</v>
      </c>
      <c r="S104" s="1150">
        <v>11.409388999999999</v>
      </c>
      <c r="T104" s="1195">
        <v>6.6367099999999999</v>
      </c>
      <c r="U104" s="1155">
        <v>2.5226562899999996</v>
      </c>
      <c r="V104" s="1150">
        <v>18.420943999999999</v>
      </c>
      <c r="W104" s="1151">
        <v>11.274872999999999</v>
      </c>
      <c r="X104" s="1151">
        <v>3.0798376599999995</v>
      </c>
      <c r="Y104" s="1150">
        <v>15.583921999999999</v>
      </c>
      <c r="Z104" s="1151">
        <v>11.549200000000001</v>
      </c>
      <c r="AA104" s="1151">
        <v>2.84638093</v>
      </c>
      <c r="AB104" s="1150"/>
      <c r="AC104" s="1151"/>
      <c r="AD104" s="1151"/>
      <c r="AE104" s="1150"/>
      <c r="AF104" s="1151"/>
      <c r="AG104" s="1151"/>
      <c r="AH104" s="1150"/>
      <c r="AI104" s="1151"/>
      <c r="AJ104" s="1151"/>
      <c r="AK104" s="1150"/>
      <c r="AL104" s="1151"/>
      <c r="AM104" s="1151"/>
      <c r="AN104" s="1150">
        <v>97.794498000000004</v>
      </c>
      <c r="AO104" s="1151">
        <v>64.619845999999995</v>
      </c>
      <c r="AP104" s="1151">
        <v>21.484551759999999</v>
      </c>
      <c r="AQ104" s="1151">
        <f>AN104-(AN104*0.06)-AP104</f>
        <v>70.442276360000008</v>
      </c>
      <c r="AR104" s="1150">
        <v>11.238858</v>
      </c>
      <c r="AS104" s="1151">
        <v>6.5092889999999999</v>
      </c>
      <c r="AT104" s="1151">
        <v>2.6418427599999998</v>
      </c>
      <c r="AU104" s="1150">
        <v>10.400354999999999</v>
      </c>
      <c r="AV104" s="1151">
        <v>7.6319980000000003</v>
      </c>
      <c r="AW104" s="1151">
        <v>2.4302081000000002</v>
      </c>
      <c r="AX104" s="1150"/>
      <c r="AY104" s="1151"/>
      <c r="AZ104" s="1151"/>
      <c r="BA104" s="1150">
        <v>10.129733999999999</v>
      </c>
      <c r="BB104" s="1151">
        <v>7.7751320000000002</v>
      </c>
      <c r="BC104" s="1151">
        <v>2.5787155799999999</v>
      </c>
      <c r="BD104" s="1150">
        <v>10.535634</v>
      </c>
      <c r="BE104" s="1151">
        <v>7.8078909999999997</v>
      </c>
      <c r="BF104" s="1839">
        <v>2.6808902200000002</v>
      </c>
      <c r="BG104" s="1150">
        <v>12.009289000000001</v>
      </c>
      <c r="BH104" s="1195">
        <v>7.3824170000000002</v>
      </c>
      <c r="BI104" s="1155">
        <v>2.5067312000000004</v>
      </c>
      <c r="BJ104" s="1150">
        <v>17.047298999999999</v>
      </c>
      <c r="BK104" s="1151">
        <v>10.815645</v>
      </c>
      <c r="BL104" s="1151">
        <v>2.3283240299999997</v>
      </c>
      <c r="BM104" s="1150"/>
      <c r="BN104" s="1151"/>
      <c r="BO104" s="1151"/>
      <c r="BP104" s="1150"/>
      <c r="BQ104" s="1151"/>
      <c r="BR104" s="1151"/>
      <c r="BS104" s="1150"/>
      <c r="BT104" s="1151"/>
      <c r="BU104" s="1151"/>
      <c r="BV104" s="1150"/>
      <c r="BW104" s="1151"/>
      <c r="BX104" s="1151"/>
      <c r="BY104" s="1150"/>
      <c r="BZ104" s="1151"/>
      <c r="CA104" s="1151"/>
      <c r="CB104" s="1150">
        <v>82.440109000000007</v>
      </c>
      <c r="CC104" s="1151">
        <v>55.819555999999999</v>
      </c>
      <c r="CD104" s="1151">
        <v>17.915579140000002</v>
      </c>
      <c r="CE104" s="1151">
        <f>CB104-(CB104*0.06)-CD104</f>
        <v>59.578123320000003</v>
      </c>
      <c r="CF104" s="1153">
        <f t="shared" si="133"/>
        <v>11.69010024000001</v>
      </c>
      <c r="CG104" s="1154">
        <f t="shared" si="180"/>
        <v>8.7049738600000062</v>
      </c>
      <c r="CH104" s="1155">
        <f t="shared" si="135"/>
        <v>-2.9851263800000041</v>
      </c>
      <c r="CI104" s="1154">
        <f t="shared" si="136"/>
        <v>11.953740219618499</v>
      </c>
      <c r="CJ104" s="1154">
        <f t="shared" si="137"/>
        <v>10.55914889680702</v>
      </c>
      <c r="CK104" s="1154">
        <f t="shared" si="138"/>
        <v>-1.394591322811479</v>
      </c>
      <c r="CL104" s="1150">
        <f>AQ104-AO104</f>
        <v>5.8224303600000127</v>
      </c>
      <c r="CM104" s="1157">
        <f>CE104-CC104</f>
        <v>3.7585673200000045</v>
      </c>
      <c r="CN104" s="1152">
        <f t="shared" si="141"/>
        <v>-2.0638630400000082</v>
      </c>
      <c r="CO104" s="1150">
        <f t="shared" si="142"/>
        <v>8.2655340810454359</v>
      </c>
      <c r="CP104" s="1151">
        <f t="shared" si="143"/>
        <v>6.308636644716664</v>
      </c>
      <c r="CQ104" s="1152">
        <f t="shared" si="144"/>
        <v>-1.9568974363287719</v>
      </c>
      <c r="CR104" s="1173" t="e">
        <f>élec!#REF!/100</f>
        <v>#REF!</v>
      </c>
      <c r="CS104" s="1153" t="e">
        <f>élec!#REF!/100</f>
        <v>#REF!</v>
      </c>
      <c r="CT104" s="1150" t="e">
        <f>CL104*CR104</f>
        <v>#REF!</v>
      </c>
      <c r="CU104" s="1151" t="e">
        <f>CS104*CM104</f>
        <v>#REF!</v>
      </c>
      <c r="CV104" s="1152" t="e">
        <f t="shared" si="147"/>
        <v>#REF!</v>
      </c>
      <c r="CW104" s="83"/>
      <c r="CX104" s="1150"/>
      <c r="CY104" s="1151"/>
      <c r="CZ104" s="1151"/>
      <c r="DA104" s="1152">
        <f t="shared" si="148"/>
        <v>0</v>
      </c>
      <c r="DB104" s="1153">
        <f t="shared" si="149"/>
        <v>0</v>
      </c>
      <c r="DC104" s="1154" t="e">
        <f t="shared" si="150"/>
        <v>#DIV/0!</v>
      </c>
      <c r="DD104" s="1150">
        <f t="shared" si="151"/>
        <v>0</v>
      </c>
      <c r="DE104" s="1150" t="e">
        <f t="shared" si="152"/>
        <v>#DIV/0!</v>
      </c>
      <c r="DF104" s="1173">
        <v>4.5643448950929963</v>
      </c>
      <c r="DG104" s="1150">
        <f t="shared" si="153"/>
        <v>0</v>
      </c>
      <c r="DI104" s="1434"/>
      <c r="DJ104" s="1435"/>
      <c r="DK104" s="1828"/>
      <c r="DL104" s="1434"/>
      <c r="DM104" s="1435"/>
      <c r="DN104" s="1435"/>
    </row>
    <row r="105" spans="1:118" ht="12.75" customHeight="1">
      <c r="A105" s="1130">
        <v>1</v>
      </c>
      <c r="B105" s="3086"/>
      <c r="C105" s="1172" t="s">
        <v>895</v>
      </c>
      <c r="D105" s="1150">
        <v>5.2347029999999997</v>
      </c>
      <c r="E105" s="1151">
        <v>3.5985580000000001</v>
      </c>
      <c r="F105" s="1151">
        <v>1.33156984</v>
      </c>
      <c r="G105" s="1150">
        <v>4.8084309999999997</v>
      </c>
      <c r="H105" s="1151">
        <v>3.54697</v>
      </c>
      <c r="I105" s="1151">
        <v>1.3480823900000001</v>
      </c>
      <c r="J105" s="1150">
        <v>5.1837049999999998</v>
      </c>
      <c r="K105" s="1151">
        <v>2.1286139999999998</v>
      </c>
      <c r="L105" s="1151">
        <v>1.3378192099999999</v>
      </c>
      <c r="M105" s="1150">
        <v>4.4483050000000004</v>
      </c>
      <c r="N105" s="1151">
        <v>3.7846090000000001</v>
      </c>
      <c r="O105" s="1151">
        <v>1.2259820800000001</v>
      </c>
      <c r="P105" s="1150">
        <v>4.6395569999999999</v>
      </c>
      <c r="Q105" s="1151">
        <v>2.7792240000000001</v>
      </c>
      <c r="R105" s="1151">
        <v>1.3714047899999999</v>
      </c>
      <c r="S105" s="1150">
        <v>4.9737309999999999</v>
      </c>
      <c r="T105" s="1195">
        <v>1.789936</v>
      </c>
      <c r="U105" s="1155">
        <v>1.3213614899999999</v>
      </c>
      <c r="V105" s="1150">
        <v>7.2374080000000003</v>
      </c>
      <c r="W105" s="1151">
        <v>4.8108490000000002</v>
      </c>
      <c r="X105" s="1151">
        <v>1.4260298399999998</v>
      </c>
      <c r="Y105" s="1150">
        <v>6.2988229999999996</v>
      </c>
      <c r="Z105" s="1151">
        <v>4.260872</v>
      </c>
      <c r="AA105" s="1151">
        <v>1.4546453599999998</v>
      </c>
      <c r="AB105" s="1150"/>
      <c r="AC105" s="1151"/>
      <c r="AD105" s="1151"/>
      <c r="AE105" s="1150"/>
      <c r="AF105" s="1151"/>
      <c r="AG105" s="1151"/>
      <c r="AH105" s="1150"/>
      <c r="AI105" s="1151"/>
      <c r="AJ105" s="1151"/>
      <c r="AK105" s="1150"/>
      <c r="AL105" s="1151"/>
      <c r="AM105" s="1151"/>
      <c r="AN105" s="1150">
        <v>42.537354000000001</v>
      </c>
      <c r="AO105" s="1151">
        <v>26.947112000000001</v>
      </c>
      <c r="AP105" s="1151">
        <v>10.813288179999999</v>
      </c>
      <c r="AQ105" s="1151">
        <f>AN105-(AN105*0.06)-AP105</f>
        <v>29.171824579999999</v>
      </c>
      <c r="AR105" s="1150">
        <v>5.3113289999999997</v>
      </c>
      <c r="AS105" s="1151">
        <v>3.4146570000000001</v>
      </c>
      <c r="AT105" s="1151">
        <v>1.4602656599999995</v>
      </c>
      <c r="AU105" s="1150">
        <v>5.0304820000000001</v>
      </c>
      <c r="AV105" s="1151">
        <v>3.569089</v>
      </c>
      <c r="AW105" s="1151">
        <v>1.42191603</v>
      </c>
      <c r="AX105" s="1150"/>
      <c r="AY105" s="1151"/>
      <c r="AZ105" s="1151"/>
      <c r="BA105" s="1150">
        <v>4.6878260000000003</v>
      </c>
      <c r="BB105" s="1151">
        <v>3.79366</v>
      </c>
      <c r="BC105" s="1151">
        <v>1.21120925</v>
      </c>
      <c r="BD105" s="1150">
        <v>4.8391089999999997</v>
      </c>
      <c r="BE105" s="1151">
        <v>3.1183160000000001</v>
      </c>
      <c r="BF105" s="1839">
        <v>1.68924235</v>
      </c>
      <c r="BG105" s="1150">
        <v>5.2221270000000004</v>
      </c>
      <c r="BH105" s="1195">
        <v>2.1945039999999998</v>
      </c>
      <c r="BI105" s="1155">
        <v>1.2974999199999999</v>
      </c>
      <c r="BJ105" s="1150">
        <v>7.3905329999999996</v>
      </c>
      <c r="BK105" s="1151">
        <v>5.0155390000000004</v>
      </c>
      <c r="BL105" s="1151">
        <v>1.7524582500000001</v>
      </c>
      <c r="BM105" s="1150"/>
      <c r="BN105" s="1151"/>
      <c r="BO105" s="1151"/>
      <c r="BP105" s="1150"/>
      <c r="BQ105" s="1151"/>
      <c r="BR105" s="1151"/>
      <c r="BS105" s="1150"/>
      <c r="BT105" s="1151"/>
      <c r="BU105" s="1151"/>
      <c r="BV105" s="1150"/>
      <c r="BW105" s="1151"/>
      <c r="BX105" s="1151"/>
      <c r="BY105" s="1150"/>
      <c r="BZ105" s="1151"/>
      <c r="CA105" s="1151"/>
      <c r="CB105" s="1150">
        <v>37.617365999999997</v>
      </c>
      <c r="CC105" s="1151">
        <v>23.667629999999999</v>
      </c>
      <c r="CD105" s="1151">
        <v>10.224221759999999</v>
      </c>
      <c r="CE105" s="1151">
        <f>CB105-(CB105*0.06)-CD105</f>
        <v>25.136102279999996</v>
      </c>
      <c r="CF105" s="1153">
        <f t="shared" si="133"/>
        <v>4.776953820000001</v>
      </c>
      <c r="CG105" s="1154">
        <f t="shared" si="180"/>
        <v>3.725514239999999</v>
      </c>
      <c r="CH105" s="1155">
        <f t="shared" si="135"/>
        <v>-1.051439580000002</v>
      </c>
      <c r="CI105" s="1154">
        <f t="shared" si="136"/>
        <v>11.230021077474637</v>
      </c>
      <c r="CJ105" s="1154">
        <f t="shared" si="137"/>
        <v>9.9037084095680683</v>
      </c>
      <c r="CK105" s="1154">
        <f t="shared" si="138"/>
        <v>-1.3263126679065689</v>
      </c>
      <c r="CL105" s="1150">
        <f>AQ105-AO105</f>
        <v>2.2247125799999985</v>
      </c>
      <c r="CM105" s="1157">
        <f>CE105-CC105</f>
        <v>1.4684722799999967</v>
      </c>
      <c r="CN105" s="1152">
        <f t="shared" si="141"/>
        <v>-0.75624030000000175</v>
      </c>
      <c r="CO105" s="1150">
        <f t="shared" si="142"/>
        <v>7.6262373438418587</v>
      </c>
      <c r="CP105" s="1151">
        <f t="shared" si="143"/>
        <v>5.8420842803795159</v>
      </c>
      <c r="CQ105" s="1152">
        <f t="shared" si="144"/>
        <v>-1.7841530634623428</v>
      </c>
      <c r="CR105" s="1173" t="e">
        <f t="shared" ref="CR105:CS107" si="184">CR104</f>
        <v>#REF!</v>
      </c>
      <c r="CS105" s="1153" t="e">
        <f t="shared" si="184"/>
        <v>#REF!</v>
      </c>
      <c r="CT105" s="1150" t="e">
        <f>CL105*CR105</f>
        <v>#REF!</v>
      </c>
      <c r="CU105" s="1151" t="e">
        <f>CS105*CM105</f>
        <v>#REF!</v>
      </c>
      <c r="CV105" s="1152" t="e">
        <f t="shared" si="147"/>
        <v>#REF!</v>
      </c>
      <c r="CW105" s="83"/>
      <c r="CX105" s="1150"/>
      <c r="CY105" s="1151"/>
      <c r="CZ105" s="1151"/>
      <c r="DA105" s="1152">
        <f t="shared" si="148"/>
        <v>0</v>
      </c>
      <c r="DB105" s="1153">
        <f t="shared" si="149"/>
        <v>0</v>
      </c>
      <c r="DC105" s="1154" t="e">
        <f t="shared" si="150"/>
        <v>#DIV/0!</v>
      </c>
      <c r="DD105" s="1150">
        <f t="shared" si="151"/>
        <v>0</v>
      </c>
      <c r="DE105" s="1150" t="e">
        <f t="shared" si="152"/>
        <v>#DIV/0!</v>
      </c>
      <c r="DF105" s="1173">
        <v>4.5643448950929963</v>
      </c>
      <c r="DG105" s="1150">
        <f t="shared" si="153"/>
        <v>0</v>
      </c>
      <c r="DI105" s="1434"/>
      <c r="DJ105" s="1435"/>
      <c r="DK105" s="1828"/>
      <c r="DL105" s="1434"/>
      <c r="DM105" s="1435"/>
      <c r="DN105" s="1435"/>
    </row>
    <row r="106" spans="1:118" ht="12.75" customHeight="1">
      <c r="A106" s="1130">
        <v>1</v>
      </c>
      <c r="B106" s="3086"/>
      <c r="C106" s="1172" t="s">
        <v>896</v>
      </c>
      <c r="D106" s="1150">
        <v>7.2807029999999999</v>
      </c>
      <c r="E106" s="1151">
        <v>4.5412530000000002</v>
      </c>
      <c r="F106" s="1151">
        <v>2.3204282999999997</v>
      </c>
      <c r="G106" s="1150">
        <v>6.5621660000000004</v>
      </c>
      <c r="H106" s="1151">
        <v>5.047606</v>
      </c>
      <c r="I106" s="1151">
        <v>2.13410769</v>
      </c>
      <c r="J106" s="1150">
        <v>6.616117</v>
      </c>
      <c r="K106" s="1151">
        <v>2.415181</v>
      </c>
      <c r="L106" s="1151">
        <v>2.2499619100000001</v>
      </c>
      <c r="M106" s="1150">
        <v>6.6225199999999997</v>
      </c>
      <c r="N106" s="1151">
        <v>5.1598790000000001</v>
      </c>
      <c r="O106" s="1151">
        <v>2.42270444</v>
      </c>
      <c r="P106" s="1150">
        <v>6.3213100000000004</v>
      </c>
      <c r="Q106" s="1151">
        <v>4.2374450000000001</v>
      </c>
      <c r="R106" s="1151">
        <v>2.0972607000000001</v>
      </c>
      <c r="S106" s="1150">
        <v>7.1496240000000002</v>
      </c>
      <c r="T106" s="1195">
        <v>2.2018010000000001</v>
      </c>
      <c r="U106" s="1155">
        <v>2.0663443699999999</v>
      </c>
      <c r="V106" s="1150">
        <v>10.787095000000001</v>
      </c>
      <c r="W106" s="1151">
        <v>6.0583629999999999</v>
      </c>
      <c r="X106" s="1151">
        <v>2.1025262699999998</v>
      </c>
      <c r="Y106" s="1150">
        <v>9.7159019999999998</v>
      </c>
      <c r="Z106" s="1151">
        <v>7.5923319999999999</v>
      </c>
      <c r="AA106" s="1151">
        <v>2.2928022499999998</v>
      </c>
      <c r="AB106" s="1150"/>
      <c r="AC106" s="1151"/>
      <c r="AD106" s="1151"/>
      <c r="AE106" s="1150"/>
      <c r="AF106" s="1151"/>
      <c r="AG106" s="1151"/>
      <c r="AH106" s="1150"/>
      <c r="AI106" s="1151"/>
      <c r="AJ106" s="1151"/>
      <c r="AK106" s="1150"/>
      <c r="AL106" s="1151"/>
      <c r="AM106" s="1151"/>
      <c r="AN106" s="1150">
        <v>61.172690000000003</v>
      </c>
      <c r="AO106" s="1151">
        <v>37.666159</v>
      </c>
      <c r="AP106" s="1151">
        <v>17.73974097</v>
      </c>
      <c r="AQ106" s="1151">
        <f>AN106-(AN106*0.06)-AP106</f>
        <v>39.762587630000006</v>
      </c>
      <c r="AR106" s="1150">
        <v>6.5673550000000001</v>
      </c>
      <c r="AS106" s="1151">
        <v>4.9890860000000004</v>
      </c>
      <c r="AT106" s="1151">
        <v>1.7355857199999998</v>
      </c>
      <c r="AU106" s="1150">
        <v>6.1127969999999996</v>
      </c>
      <c r="AV106" s="1151">
        <v>4.9173200000000001</v>
      </c>
      <c r="AW106" s="1151">
        <v>1.5181353299999998</v>
      </c>
      <c r="AX106" s="1150"/>
      <c r="AY106" s="1151"/>
      <c r="AZ106" s="1151"/>
      <c r="BA106" s="1150">
        <v>6.62636</v>
      </c>
      <c r="BB106" s="1151">
        <v>5.6034759999999997</v>
      </c>
      <c r="BC106" s="1151">
        <v>2.1625408399999997</v>
      </c>
      <c r="BD106" s="1150">
        <v>6.8981750000000002</v>
      </c>
      <c r="BE106" s="1151">
        <v>4.6977330000000004</v>
      </c>
      <c r="BF106" s="1839">
        <v>2.1982636499999999</v>
      </c>
      <c r="BG106" s="1150">
        <v>7.4665900000000001</v>
      </c>
      <c r="BH106" s="1195">
        <v>2.6216940000000002</v>
      </c>
      <c r="BI106" s="1155">
        <v>1.9596844099999999</v>
      </c>
      <c r="BJ106" s="1150">
        <v>9.6093489999999999</v>
      </c>
      <c r="BK106" s="1151">
        <v>6.1928089999999996</v>
      </c>
      <c r="BL106" s="1151">
        <v>1.3388621599999999</v>
      </c>
      <c r="BM106" s="1150"/>
      <c r="BN106" s="1151"/>
      <c r="BO106" s="1151"/>
      <c r="BP106" s="1150"/>
      <c r="BQ106" s="1151"/>
      <c r="BR106" s="1151"/>
      <c r="BS106" s="1150"/>
      <c r="BT106" s="1151"/>
      <c r="BU106" s="1151"/>
      <c r="BV106" s="1150"/>
      <c r="BW106" s="1151"/>
      <c r="BX106" s="1151"/>
      <c r="BY106" s="1150"/>
      <c r="BZ106" s="1151"/>
      <c r="CA106" s="1151"/>
      <c r="CB106" s="1150">
        <v>50.220332999999997</v>
      </c>
      <c r="CC106" s="1151">
        <v>31.957681999999998</v>
      </c>
      <c r="CD106" s="1151">
        <v>12.97522375</v>
      </c>
      <c r="CE106" s="1151">
        <f>CB106-(CB106*0.06)-CD106</f>
        <v>34.231889269999996</v>
      </c>
      <c r="CF106" s="1153">
        <f t="shared" si="133"/>
        <v>5.7667900300000028</v>
      </c>
      <c r="CG106" s="1154">
        <f t="shared" si="180"/>
        <v>5.2874272499999986</v>
      </c>
      <c r="CH106" s="1155">
        <f t="shared" si="135"/>
        <v>-0.47936278000000421</v>
      </c>
      <c r="CI106" s="1154">
        <f t="shared" si="136"/>
        <v>9.4270662774515923</v>
      </c>
      <c r="CJ106" s="1154">
        <f t="shared" si="137"/>
        <v>10.528459160157301</v>
      </c>
      <c r="CK106" s="1154">
        <f t="shared" si="138"/>
        <v>1.1013928827057082</v>
      </c>
      <c r="CL106" s="1150">
        <f>AQ106-AO106</f>
        <v>2.0964286300000055</v>
      </c>
      <c r="CM106" s="1157">
        <f>CE106-CC106</f>
        <v>2.274207269999998</v>
      </c>
      <c r="CN106" s="1152">
        <f t="shared" si="141"/>
        <v>0.17777863999999255</v>
      </c>
      <c r="CO106" s="1150">
        <f t="shared" si="142"/>
        <v>5.2723646899134291</v>
      </c>
      <c r="CP106" s="1151">
        <f t="shared" si="143"/>
        <v>6.643534197199739</v>
      </c>
      <c r="CQ106" s="1152">
        <f t="shared" si="144"/>
        <v>1.3711695072863099</v>
      </c>
      <c r="CR106" s="1173" t="e">
        <f t="shared" si="184"/>
        <v>#REF!</v>
      </c>
      <c r="CS106" s="1153" t="e">
        <f t="shared" si="184"/>
        <v>#REF!</v>
      </c>
      <c r="CT106" s="1150" t="e">
        <f>CL106*CR106</f>
        <v>#REF!</v>
      </c>
      <c r="CU106" s="1151" t="e">
        <f>CS106*CM106</f>
        <v>#REF!</v>
      </c>
      <c r="CV106" s="1152" t="e">
        <f t="shared" si="147"/>
        <v>#REF!</v>
      </c>
      <c r="CW106" s="83"/>
      <c r="CX106" s="1150"/>
      <c r="CY106" s="1151"/>
      <c r="CZ106" s="1151"/>
      <c r="DA106" s="1152">
        <f t="shared" si="148"/>
        <v>0</v>
      </c>
      <c r="DB106" s="1153">
        <f t="shared" si="149"/>
        <v>0</v>
      </c>
      <c r="DC106" s="1154" t="e">
        <f t="shared" si="150"/>
        <v>#DIV/0!</v>
      </c>
      <c r="DD106" s="1150">
        <f t="shared" si="151"/>
        <v>0</v>
      </c>
      <c r="DE106" s="1150" t="e">
        <f t="shared" si="152"/>
        <v>#DIV/0!</v>
      </c>
      <c r="DF106" s="1173">
        <v>4.5643448950929963</v>
      </c>
      <c r="DG106" s="1150">
        <f t="shared" si="153"/>
        <v>0</v>
      </c>
      <c r="DI106" s="1434"/>
      <c r="DJ106" s="1435"/>
      <c r="DK106" s="1828"/>
      <c r="DL106" s="1434"/>
      <c r="DM106" s="1435"/>
      <c r="DN106" s="1435"/>
    </row>
    <row r="107" spans="1:118" ht="12.75" customHeight="1">
      <c r="A107" s="1160">
        <f>SUM(A104:A106)</f>
        <v>3</v>
      </c>
      <c r="B107" s="3087"/>
      <c r="C107" s="1161" t="s">
        <v>311</v>
      </c>
      <c r="D107" s="1166">
        <f>SUM(D104:D106)</f>
        <v>24.051525999999999</v>
      </c>
      <c r="E107" s="1166">
        <f>SUM(E104:E106)</f>
        <v>14.353014000000002</v>
      </c>
      <c r="F107" s="1166">
        <f>SUM(F104:F106)</f>
        <v>6.4706559099999996</v>
      </c>
      <c r="G107" s="1166">
        <v>21.772210000000001</v>
      </c>
      <c r="H107" s="1166">
        <v>16.239134999999997</v>
      </c>
      <c r="I107" s="1166">
        <v>6.141950940000001</v>
      </c>
      <c r="J107" s="1166">
        <f t="shared" ref="J107:O107" si="185">SUM(J104:J106)</f>
        <v>23.17043</v>
      </c>
      <c r="K107" s="1166">
        <f t="shared" si="185"/>
        <v>11.439793</v>
      </c>
      <c r="L107" s="1166">
        <f t="shared" si="185"/>
        <v>6.4534183600000006</v>
      </c>
      <c r="M107" s="1166">
        <f t="shared" si="185"/>
        <v>21.005597999999999</v>
      </c>
      <c r="N107" s="1166">
        <f t="shared" si="185"/>
        <v>16.049872000000001</v>
      </c>
      <c r="O107" s="1166">
        <f t="shared" si="185"/>
        <v>6.1992507400000001</v>
      </c>
      <c r="P107" s="1162">
        <f t="shared" ref="P107:BO107" si="186">SUM(P104:P106)</f>
        <v>20.792003000000001</v>
      </c>
      <c r="Q107" s="1163">
        <f t="shared" si="186"/>
        <v>13.860825000000002</v>
      </c>
      <c r="R107" s="1163">
        <f t="shared" si="186"/>
        <v>5.7982207300000006</v>
      </c>
      <c r="S107" s="1165">
        <f>SUM(S104:S106)</f>
        <v>23.532743999999997</v>
      </c>
      <c r="T107" s="1166">
        <f>SUM(T104:T106)</f>
        <v>10.628447</v>
      </c>
      <c r="U107" s="1167">
        <f>SUM(U104:U106)</f>
        <v>5.9103621499999992</v>
      </c>
      <c r="V107" s="1166">
        <f t="shared" si="186"/>
        <v>36.445447000000001</v>
      </c>
      <c r="W107" s="1166">
        <f t="shared" si="186"/>
        <v>22.144085</v>
      </c>
      <c r="X107" s="1166">
        <f t="shared" si="186"/>
        <v>6.6083937699999993</v>
      </c>
      <c r="Y107" s="1166">
        <f t="shared" si="186"/>
        <v>31.598647</v>
      </c>
      <c r="Z107" s="1166">
        <f t="shared" si="186"/>
        <v>23.402404000000001</v>
      </c>
      <c r="AA107" s="1166">
        <f t="shared" si="186"/>
        <v>6.5938285399999987</v>
      </c>
      <c r="AB107" s="1166">
        <f t="shared" si="186"/>
        <v>0</v>
      </c>
      <c r="AC107" s="1166">
        <f t="shared" si="186"/>
        <v>0</v>
      </c>
      <c r="AD107" s="1166">
        <f t="shared" si="186"/>
        <v>0</v>
      </c>
      <c r="AE107" s="1166">
        <v>21.409351000000001</v>
      </c>
      <c r="AF107" s="1166">
        <v>19.218102999999999</v>
      </c>
      <c r="AG107" s="1166">
        <v>6.5665293600000005</v>
      </c>
      <c r="AH107" s="1166">
        <f t="shared" si="186"/>
        <v>0</v>
      </c>
      <c r="AI107" s="1166">
        <f t="shared" si="186"/>
        <v>0</v>
      </c>
      <c r="AJ107" s="1166">
        <f t="shared" si="186"/>
        <v>0</v>
      </c>
      <c r="AK107" s="1166">
        <f t="shared" si="186"/>
        <v>0</v>
      </c>
      <c r="AL107" s="1166">
        <f t="shared" si="186"/>
        <v>0</v>
      </c>
      <c r="AM107" s="1166">
        <f t="shared" si="186"/>
        <v>0</v>
      </c>
      <c r="AN107" s="1162">
        <f t="shared" si="186"/>
        <v>201.50454200000001</v>
      </c>
      <c r="AO107" s="1163">
        <f t="shared" si="186"/>
        <v>129.23311699999999</v>
      </c>
      <c r="AP107" s="1163">
        <f t="shared" si="186"/>
        <v>50.037580909999996</v>
      </c>
      <c r="AQ107" s="1166">
        <f t="shared" si="186"/>
        <v>139.37668857000003</v>
      </c>
      <c r="AR107" s="1166">
        <f t="shared" si="186"/>
        <v>23.117542</v>
      </c>
      <c r="AS107" s="1166">
        <f t="shared" si="186"/>
        <v>14.913032000000001</v>
      </c>
      <c r="AT107" s="1166">
        <f t="shared" si="186"/>
        <v>5.8376941399999991</v>
      </c>
      <c r="AU107" s="1166">
        <f t="shared" si="186"/>
        <v>21.543634000000001</v>
      </c>
      <c r="AV107" s="1166">
        <f t="shared" si="186"/>
        <v>16.118407000000001</v>
      </c>
      <c r="AW107" s="1166">
        <f t="shared" si="186"/>
        <v>5.3702594599999998</v>
      </c>
      <c r="AX107" s="1166">
        <f t="shared" si="186"/>
        <v>0</v>
      </c>
      <c r="AY107" s="1166">
        <f t="shared" si="186"/>
        <v>0</v>
      </c>
      <c r="AZ107" s="1166">
        <f t="shared" si="186"/>
        <v>0</v>
      </c>
      <c r="BA107" s="1166">
        <f t="shared" si="186"/>
        <v>21.443919999999999</v>
      </c>
      <c r="BB107" s="1166">
        <f t="shared" si="186"/>
        <v>17.172267999999999</v>
      </c>
      <c r="BC107" s="1166">
        <f t="shared" si="186"/>
        <v>5.9524656699999996</v>
      </c>
      <c r="BD107" s="1166">
        <f t="shared" si="186"/>
        <v>22.272917999999997</v>
      </c>
      <c r="BE107" s="1166">
        <f t="shared" si="186"/>
        <v>15.623940000000001</v>
      </c>
      <c r="BF107" s="1166">
        <f t="shared" si="186"/>
        <v>6.5683962200000003</v>
      </c>
      <c r="BG107" s="1165">
        <f t="shared" si="186"/>
        <v>24.698006000000003</v>
      </c>
      <c r="BH107" s="1166">
        <f t="shared" si="186"/>
        <v>12.198615</v>
      </c>
      <c r="BI107" s="1167">
        <f t="shared" si="186"/>
        <v>5.7639155300000002</v>
      </c>
      <c r="BJ107" s="1166">
        <f t="shared" si="186"/>
        <v>34.047181000000002</v>
      </c>
      <c r="BK107" s="1166">
        <f t="shared" si="186"/>
        <v>22.023993000000001</v>
      </c>
      <c r="BL107" s="1166">
        <f t="shared" si="186"/>
        <v>5.419644439999999</v>
      </c>
      <c r="BM107" s="1166">
        <f t="shared" si="186"/>
        <v>0</v>
      </c>
      <c r="BN107" s="1166">
        <f t="shared" si="186"/>
        <v>0</v>
      </c>
      <c r="BO107" s="1166">
        <f t="shared" si="186"/>
        <v>0</v>
      </c>
      <c r="BP107" s="1166">
        <f t="shared" ref="BP107:CE107" si="187">SUM(BP104:BP106)</f>
        <v>0</v>
      </c>
      <c r="BQ107" s="1166">
        <f t="shared" si="187"/>
        <v>0</v>
      </c>
      <c r="BR107" s="1166">
        <f t="shared" si="187"/>
        <v>0</v>
      </c>
      <c r="BS107" s="1166">
        <f t="shared" si="187"/>
        <v>0</v>
      </c>
      <c r="BT107" s="1166">
        <f t="shared" si="187"/>
        <v>0</v>
      </c>
      <c r="BU107" s="1166">
        <f t="shared" si="187"/>
        <v>0</v>
      </c>
      <c r="BV107" s="1166">
        <f t="shared" si="187"/>
        <v>0</v>
      </c>
      <c r="BW107" s="1166">
        <f t="shared" si="187"/>
        <v>0</v>
      </c>
      <c r="BX107" s="1166">
        <f t="shared" si="187"/>
        <v>0</v>
      </c>
      <c r="BY107" s="1166">
        <f t="shared" si="187"/>
        <v>0</v>
      </c>
      <c r="BZ107" s="1166">
        <f t="shared" si="187"/>
        <v>0</v>
      </c>
      <c r="CA107" s="1166">
        <f t="shared" si="187"/>
        <v>0</v>
      </c>
      <c r="CB107" s="1162">
        <f t="shared" si="187"/>
        <v>170.27780799999999</v>
      </c>
      <c r="CC107" s="1163">
        <f t="shared" si="187"/>
        <v>111.44486799999999</v>
      </c>
      <c r="CD107" s="1163">
        <f t="shared" si="187"/>
        <v>41.115024650000002</v>
      </c>
      <c r="CE107" s="1163">
        <f t="shared" si="187"/>
        <v>118.94611486999999</v>
      </c>
      <c r="CF107" s="1165">
        <f t="shared" si="133"/>
        <v>22.233844090000026</v>
      </c>
      <c r="CG107" s="1166">
        <f t="shared" si="180"/>
        <v>17.717915350000006</v>
      </c>
      <c r="CH107" s="1167">
        <f t="shared" si="135"/>
        <v>-4.515928740000021</v>
      </c>
      <c r="CI107" s="1166">
        <f t="shared" si="136"/>
        <v>11.033917086593524</v>
      </c>
      <c r="CJ107" s="1166">
        <f>(CB107-CC107-CD107)/CB107*100</f>
        <v>10.405299174393885</v>
      </c>
      <c r="CK107" s="1166">
        <f t="shared" si="138"/>
        <v>-0.6286179121996387</v>
      </c>
      <c r="CL107" s="1162">
        <f>SUM(CL104:CL106)</f>
        <v>10.143571570000017</v>
      </c>
      <c r="CM107" s="1163">
        <f>SUM(CM104:CM106)</f>
        <v>7.5012468699999992</v>
      </c>
      <c r="CN107" s="1164">
        <f t="shared" si="141"/>
        <v>-2.6423247000000174</v>
      </c>
      <c r="CO107" s="1162">
        <f t="shared" si="142"/>
        <v>7.2778107114415675</v>
      </c>
      <c r="CP107" s="1163">
        <f t="shared" si="143"/>
        <v>6.306424449590768</v>
      </c>
      <c r="CQ107" s="1164">
        <f t="shared" si="144"/>
        <v>-0.97138626185079957</v>
      </c>
      <c r="CR107" s="1168" t="e">
        <f t="shared" si="184"/>
        <v>#REF!</v>
      </c>
      <c r="CS107" s="1165" t="e">
        <f t="shared" si="184"/>
        <v>#REF!</v>
      </c>
      <c r="CT107" s="1162" t="e">
        <f>SUM(CT104:CT106)</f>
        <v>#REF!</v>
      </c>
      <c r="CU107" s="1163" t="e">
        <f>SUM(CU104:CU106)</f>
        <v>#REF!</v>
      </c>
      <c r="CV107" s="1164" t="e">
        <f t="shared" si="147"/>
        <v>#REF!</v>
      </c>
      <c r="CX107" s="1162">
        <f>SUM(CX104:CX106)</f>
        <v>0</v>
      </c>
      <c r="CY107" s="1162">
        <f>SUM(CY104:CY106)</f>
        <v>0</v>
      </c>
      <c r="CZ107" s="1162">
        <f>SUM(CZ104:CZ106)</f>
        <v>0</v>
      </c>
      <c r="DA107" s="1162">
        <f>SUM(DA104:DA106)</f>
        <v>0</v>
      </c>
      <c r="DB107" s="1165">
        <f t="shared" si="149"/>
        <v>0</v>
      </c>
      <c r="DC107" s="1166" t="e">
        <f t="shared" si="150"/>
        <v>#DIV/0!</v>
      </c>
      <c r="DD107" s="1162">
        <f t="shared" si="151"/>
        <v>0</v>
      </c>
      <c r="DE107" s="1162" t="e">
        <f t="shared" si="152"/>
        <v>#DIV/0!</v>
      </c>
      <c r="DF107" s="1168">
        <v>4.5643448950929963</v>
      </c>
      <c r="DG107" s="1162">
        <f t="shared" si="153"/>
        <v>0</v>
      </c>
      <c r="DI107" s="1432">
        <f>AN107-ventes_achats_élec!G28</f>
        <v>0</v>
      </c>
      <c r="DJ107" s="1433">
        <f>AO107-ventes_achats_élec!D28</f>
        <v>0</v>
      </c>
      <c r="DK107" s="1827">
        <f>AP107-ventes_achats_élec!E28</f>
        <v>0</v>
      </c>
      <c r="DL107" s="1432">
        <f>CB107-ventes_achats_élec!M28</f>
        <v>-32.764584000000013</v>
      </c>
      <c r="DM107" s="1433">
        <f>CC107-ventes_achats_élec!J28</f>
        <v>-25.068065000000018</v>
      </c>
      <c r="DN107" s="1433">
        <f>CD107-ventes_achats_élec!K28</f>
        <v>-5.1736015199999983</v>
      </c>
    </row>
    <row r="108" spans="1:118" ht="14.4" thickBot="1">
      <c r="A108" s="1129"/>
      <c r="B108" s="1178"/>
      <c r="C108" s="1179"/>
      <c r="CF108" s="1180"/>
      <c r="CH108" s="1181"/>
      <c r="CQ108" s="80">
        <f t="shared" si="144"/>
        <v>0</v>
      </c>
      <c r="CV108" s="80">
        <f t="shared" si="147"/>
        <v>0</v>
      </c>
      <c r="DB108" s="1180"/>
      <c r="DI108" s="1436"/>
      <c r="DJ108" s="1436"/>
      <c r="DK108" s="1829"/>
      <c r="DL108" s="1436"/>
      <c r="DM108" s="1436"/>
      <c r="DN108" s="1436"/>
    </row>
    <row r="109" spans="1:118" ht="12.75" customHeight="1" thickBot="1">
      <c r="A109" s="1160" t="e">
        <f>SUM(#REF!+#REF!+#REF!+A107+A103+A92+#REF!+A85+A75+A68+A56+A38+A29+A19)</f>
        <v>#REF!</v>
      </c>
      <c r="B109" s="1178"/>
      <c r="C109" s="1182" t="s">
        <v>643</v>
      </c>
      <c r="D109" s="1187">
        <f t="shared" ref="D109:AI109" si="188">D19+D29+D38+D56+D68+D75+D85+D92+D103+D107</f>
        <v>1043.6982616988887</v>
      </c>
      <c r="E109" s="1187">
        <f t="shared" si="188"/>
        <v>569.38209300000005</v>
      </c>
      <c r="F109" s="1187">
        <f t="shared" si="188"/>
        <v>297.53376929000007</v>
      </c>
      <c r="G109" s="1183">
        <f t="shared" si="188"/>
        <v>981.70090414596075</v>
      </c>
      <c r="H109" s="1184">
        <f t="shared" si="188"/>
        <v>583.54608400000018</v>
      </c>
      <c r="I109" s="1184">
        <f t="shared" si="188"/>
        <v>294.81275350000004</v>
      </c>
      <c r="J109" s="1183">
        <f t="shared" si="188"/>
        <v>933.23215261999985</v>
      </c>
      <c r="K109" s="1184">
        <f t="shared" si="188"/>
        <v>546.80212700000004</v>
      </c>
      <c r="L109" s="1184">
        <f t="shared" si="188"/>
        <v>294.37019727900008</v>
      </c>
      <c r="M109" s="1183">
        <f t="shared" si="188"/>
        <v>915.50644036999995</v>
      </c>
      <c r="N109" s="1184">
        <f t="shared" si="188"/>
        <v>591.91137771822298</v>
      </c>
      <c r="O109" s="1184">
        <f t="shared" si="188"/>
        <v>298.84101348000002</v>
      </c>
      <c r="P109" s="1183">
        <f t="shared" si="188"/>
        <v>935.97514848000014</v>
      </c>
      <c r="Q109" s="1184">
        <f t="shared" si="188"/>
        <v>559.94658100000004</v>
      </c>
      <c r="R109" s="1184">
        <f t="shared" si="188"/>
        <v>312.13856957000002</v>
      </c>
      <c r="S109" s="1187">
        <f t="shared" si="188"/>
        <v>1093.70282187</v>
      </c>
      <c r="T109" s="1187">
        <f t="shared" si="188"/>
        <v>848.97888</v>
      </c>
      <c r="U109" s="1187">
        <f t="shared" si="188"/>
        <v>519.66961918999993</v>
      </c>
      <c r="V109" s="1187">
        <f t="shared" si="188"/>
        <v>1089.6274016000002</v>
      </c>
      <c r="W109" s="1187">
        <f t="shared" si="188"/>
        <v>486.26516099999998</v>
      </c>
      <c r="X109" s="1187">
        <f t="shared" si="188"/>
        <v>211.01586243400001</v>
      </c>
      <c r="Y109" s="1187">
        <f t="shared" si="188"/>
        <v>1690.4368016326023</v>
      </c>
      <c r="Z109" s="1187">
        <f t="shared" si="188"/>
        <v>1076.418396</v>
      </c>
      <c r="AA109" s="1187">
        <f t="shared" si="188"/>
        <v>374.97502063500013</v>
      </c>
      <c r="AB109" s="1187">
        <f t="shared" si="188"/>
        <v>0</v>
      </c>
      <c r="AC109" s="1187">
        <f t="shared" si="188"/>
        <v>0</v>
      </c>
      <c r="AD109" s="1187">
        <f t="shared" si="188"/>
        <v>0</v>
      </c>
      <c r="AE109" s="1187">
        <f t="shared" si="188"/>
        <v>333.21756799999997</v>
      </c>
      <c r="AF109" s="1187">
        <f t="shared" si="188"/>
        <v>348.64101199999999</v>
      </c>
      <c r="AG109" s="1187">
        <f t="shared" si="188"/>
        <v>111.09557345321652</v>
      </c>
      <c r="AH109" s="1187">
        <f t="shared" si="188"/>
        <v>0</v>
      </c>
      <c r="AI109" s="1187">
        <f t="shared" si="188"/>
        <v>0</v>
      </c>
      <c r="AJ109" s="1187">
        <f t="shared" ref="AJ109:BO109" si="189">AJ19+AJ29+AJ38+AJ56+AJ68+AJ75+AJ85+AJ92+AJ103+AJ107</f>
        <v>0</v>
      </c>
      <c r="AK109" s="1187">
        <f t="shared" si="189"/>
        <v>0</v>
      </c>
      <c r="AL109" s="1187">
        <f t="shared" si="189"/>
        <v>0</v>
      </c>
      <c r="AM109" s="1187">
        <f t="shared" si="189"/>
        <v>0</v>
      </c>
      <c r="AN109" s="1187">
        <f t="shared" si="189"/>
        <v>9706.2666888687563</v>
      </c>
      <c r="AO109" s="1187">
        <f t="shared" si="189"/>
        <v>5426.654266718223</v>
      </c>
      <c r="AP109" s="1187">
        <f t="shared" si="189"/>
        <v>2632.5715607289999</v>
      </c>
      <c r="AQ109" s="1187">
        <f t="shared" si="189"/>
        <v>6491.3191268076298</v>
      </c>
      <c r="AR109" s="1187">
        <f t="shared" si="189"/>
        <v>1065.9989742173957</v>
      </c>
      <c r="AS109" s="1187">
        <f t="shared" si="189"/>
        <v>589.44643792910631</v>
      </c>
      <c r="AT109" s="1187">
        <f t="shared" si="189"/>
        <v>313.96294159003918</v>
      </c>
      <c r="AU109" s="1187">
        <f t="shared" si="189"/>
        <v>1007.9586419184762</v>
      </c>
      <c r="AV109" s="1187">
        <f t="shared" si="189"/>
        <v>609.08814455283539</v>
      </c>
      <c r="AW109" s="1187">
        <f t="shared" si="189"/>
        <v>311.82447003999999</v>
      </c>
      <c r="AX109" s="1187">
        <f t="shared" si="189"/>
        <v>0</v>
      </c>
      <c r="AY109" s="1187">
        <f t="shared" si="189"/>
        <v>0</v>
      </c>
      <c r="AZ109" s="1187">
        <f t="shared" si="189"/>
        <v>0</v>
      </c>
      <c r="BA109" s="1187">
        <f t="shared" si="189"/>
        <v>950.36129636438955</v>
      </c>
      <c r="BB109" s="1187">
        <f t="shared" si="189"/>
        <v>628.53068025617972</v>
      </c>
      <c r="BC109" s="1187">
        <f t="shared" si="189"/>
        <v>324.99741901899995</v>
      </c>
      <c r="BD109" s="1187">
        <f t="shared" si="189"/>
        <v>1038.7498546200004</v>
      </c>
      <c r="BE109" s="1187">
        <f t="shared" si="189"/>
        <v>615.19171005933049</v>
      </c>
      <c r="BF109" s="1187">
        <f t="shared" si="189"/>
        <v>345.90398414000009</v>
      </c>
      <c r="BG109" s="1187">
        <f t="shared" si="189"/>
        <v>1282.6942015998695</v>
      </c>
      <c r="BH109" s="1187">
        <f t="shared" si="189"/>
        <v>650.18910299999993</v>
      </c>
      <c r="BI109" s="1187">
        <f t="shared" si="189"/>
        <v>358.55611522800001</v>
      </c>
      <c r="BJ109" s="1187">
        <f t="shared" si="189"/>
        <v>1149.3027149999996</v>
      </c>
      <c r="BK109" s="1187">
        <f t="shared" si="189"/>
        <v>476.07575600000007</v>
      </c>
      <c r="BL109" s="1187">
        <f t="shared" si="189"/>
        <v>225.47640888000001</v>
      </c>
      <c r="BM109" s="1187">
        <f t="shared" si="189"/>
        <v>0</v>
      </c>
      <c r="BN109" s="1187">
        <f t="shared" si="189"/>
        <v>0</v>
      </c>
      <c r="BO109" s="1187">
        <f t="shared" si="189"/>
        <v>0</v>
      </c>
      <c r="BP109" s="1187">
        <f t="shared" ref="BP109:CG109" si="190">BP19+BP29+BP38+BP56+BP68+BP75+BP85+BP92+BP103+BP107</f>
        <v>0</v>
      </c>
      <c r="BQ109" s="1187">
        <f t="shared" si="190"/>
        <v>0</v>
      </c>
      <c r="BR109" s="1187">
        <f t="shared" si="190"/>
        <v>0</v>
      </c>
      <c r="BS109" s="1187">
        <f t="shared" si="190"/>
        <v>0</v>
      </c>
      <c r="BT109" s="1187">
        <f t="shared" si="190"/>
        <v>0</v>
      </c>
      <c r="BU109" s="1187">
        <f t="shared" si="190"/>
        <v>0</v>
      </c>
      <c r="BV109" s="1187">
        <f t="shared" si="190"/>
        <v>0</v>
      </c>
      <c r="BW109" s="1187">
        <f t="shared" si="190"/>
        <v>0</v>
      </c>
      <c r="BX109" s="1187">
        <f t="shared" si="190"/>
        <v>0</v>
      </c>
      <c r="BY109" s="1187">
        <f t="shared" si="190"/>
        <v>0</v>
      </c>
      <c r="BZ109" s="1187">
        <f t="shared" si="190"/>
        <v>0</v>
      </c>
      <c r="CA109" s="1187">
        <f t="shared" si="190"/>
        <v>0</v>
      </c>
      <c r="CB109" s="1187">
        <f t="shared" si="190"/>
        <v>7552.8098522328073</v>
      </c>
      <c r="CC109" s="1187">
        <f t="shared" si="190"/>
        <v>4177.487322735029</v>
      </c>
      <c r="CD109" s="1187">
        <f t="shared" si="190"/>
        <v>2220.144184447</v>
      </c>
      <c r="CE109" s="1187">
        <f t="shared" si="190"/>
        <v>4879.4970766518418</v>
      </c>
      <c r="CF109" s="1186">
        <f t="shared" si="190"/>
        <v>1647.0408614215328</v>
      </c>
      <c r="CG109" s="1187">
        <f t="shared" si="190"/>
        <v>1155.1783450507796</v>
      </c>
      <c r="CH109" s="1188">
        <f>CG109-CF109</f>
        <v>-491.86251637075316</v>
      </c>
      <c r="CI109" s="1187">
        <f>(AN109-AO109-AP109)/AN109*100</f>
        <v>16.968839969237361</v>
      </c>
      <c r="CJ109" s="1187">
        <f>(CB109-CC109-CD109)/CB109*100</f>
        <v>15.294683272203358</v>
      </c>
      <c r="CK109" s="1187">
        <f>CJ109-CI109</f>
        <v>-1.6741566970340038</v>
      </c>
      <c r="CL109" s="1183">
        <f>CL19+CL29+CL38+CL56+CL68+CL75+CL85+CL92+CL103+CL107</f>
        <v>1064.6648600894073</v>
      </c>
      <c r="CM109" s="1184">
        <f>CM19+CM29+CM38+CM56+CM68+CM75+CM85+CM92+CM103+CM107</f>
        <v>702.00975391681175</v>
      </c>
      <c r="CN109" s="1185">
        <f t="shared" si="141"/>
        <v>-362.65510617259554</v>
      </c>
      <c r="CO109" s="1183">
        <f>(CL109/AQ109)*100</f>
        <v>16.401363718086056</v>
      </c>
      <c r="CP109" s="1184">
        <f>(CM109/CE109)*100</f>
        <v>14.386928465966186</v>
      </c>
      <c r="CQ109" s="1185">
        <f t="shared" si="144"/>
        <v>-2.0144352521198705</v>
      </c>
      <c r="CR109" s="1189"/>
      <c r="CS109" s="1821"/>
      <c r="CT109" s="1183" t="e">
        <f>SUM(#REF!,#REF!,#REF!,CT107,CT103,CT92,#REF!,CT85,CT75,CT68,CT56,CT38,CT29,CT19)</f>
        <v>#REF!</v>
      </c>
      <c r="CU109" s="1183" t="e">
        <f>SUM(#REF!,#REF!,#REF!,CU107,CU103,CU92,#REF!,CU85,CU75,CU68,CU56,CU38,CU29,CU19)</f>
        <v>#REF!</v>
      </c>
      <c r="CV109" s="1185" t="e">
        <f t="shared" si="147"/>
        <v>#REF!</v>
      </c>
      <c r="CX109" s="1183" t="e">
        <f>CX19+CX29+CX38+CX56+CX68+CX75+CX85+#REF!+CX92+CX103+CX107+#REF!+#REF!+#REF!</f>
        <v>#REF!</v>
      </c>
      <c r="CY109" s="1183" t="e">
        <f>CY19+CY29+CY38+CY56+CY68+CY75+CY85+#REF!+CY92+CY103+CY107+#REF!+#REF!+#REF!</f>
        <v>#REF!</v>
      </c>
      <c r="CZ109" s="1183" t="e">
        <f>CZ19+CZ29+CZ38+CZ56+CZ68+CZ75+CZ85+#REF!+CZ92+CZ103+CZ107+#REF!+#REF!+#REF!</f>
        <v>#REF!</v>
      </c>
      <c r="DA109" s="1183" t="e">
        <f>DA19+DA29+DA38+DA56+DA68+DA75+DA85+#REF!+DA92+DA103+DA107+#REF!+#REF!+#REF!</f>
        <v>#REF!</v>
      </c>
      <c r="DB109" s="1186" t="e">
        <f>CX109-CY109-CZ109</f>
        <v>#REF!</v>
      </c>
      <c r="DC109" s="1187" t="e">
        <f>(CX109-CY109-CZ109)/CX109*100</f>
        <v>#REF!</v>
      </c>
      <c r="DD109" s="1183" t="e">
        <f>DA109-CY109</f>
        <v>#REF!</v>
      </c>
      <c r="DE109" s="1183" t="e">
        <f>(DD109/DA109)*100</f>
        <v>#REF!</v>
      </c>
      <c r="DF109" s="1189"/>
      <c r="DG109" s="1183" t="e">
        <f>SUM(#REF!,#REF!,#REF!,DG107,DG103,DG92,#REF!,DG85,DG75,DG68,DG56,DG38,DG29,DG19)</f>
        <v>#REF!</v>
      </c>
      <c r="DI109" s="1437">
        <f t="shared" ref="DI109:DN109" si="191">DI19+DI29+DI38+DI56+DI68+DI75+DI85+DI92+DI103+DI107</f>
        <v>3.0632478755478587E-2</v>
      </c>
      <c r="DJ109" s="1437">
        <f t="shared" si="191"/>
        <v>1.3718222930947377E-5</v>
      </c>
      <c r="DK109" s="1437">
        <f t="shared" si="191"/>
        <v>9.4445650001091508E-3</v>
      </c>
      <c r="DL109" s="1437">
        <f t="shared" si="191"/>
        <v>-2696.1701827971906</v>
      </c>
      <c r="DM109" s="1437">
        <f t="shared" si="191"/>
        <v>-1601.1766560662115</v>
      </c>
      <c r="DN109" s="1437">
        <f t="shared" si="191"/>
        <v>-562.10867879000023</v>
      </c>
    </row>
    <row r="110" spans="1:118">
      <c r="DI110" s="1436"/>
      <c r="DJ110" s="1436"/>
      <c r="DK110" s="1829"/>
      <c r="DL110" s="1436"/>
      <c r="DM110" s="1436"/>
      <c r="DN110" s="1436"/>
    </row>
    <row r="111" spans="1:118">
      <c r="CU111" s="83"/>
      <c r="DI111" s="1436"/>
      <c r="DJ111" s="1436"/>
      <c r="DK111" s="1829"/>
      <c r="DL111" s="1436"/>
      <c r="DM111" s="1436"/>
      <c r="DN111" s="1436"/>
    </row>
    <row r="112" spans="1:118">
      <c r="AN112" s="83"/>
      <c r="AO112" s="83"/>
      <c r="AP112" s="83"/>
      <c r="AQ112" s="83"/>
      <c r="AV112" s="83"/>
      <c r="AW112" s="83"/>
      <c r="AY112" s="83"/>
      <c r="AZ112" s="83"/>
      <c r="BB112" s="83"/>
      <c r="BC112" s="83"/>
      <c r="BE112" s="83"/>
      <c r="BF112" s="83"/>
      <c r="BG112" s="83"/>
      <c r="BH112" s="83"/>
      <c r="BI112" s="83"/>
      <c r="DI112" s="1436"/>
      <c r="DJ112" s="1436"/>
      <c r="DK112" s="1829"/>
      <c r="DL112" s="1436"/>
      <c r="DM112" s="1436"/>
      <c r="DN112" s="1436"/>
    </row>
    <row r="113" spans="3:118">
      <c r="C113" s="1178"/>
      <c r="DI113" s="80"/>
      <c r="DJ113" s="80"/>
      <c r="DK113" s="80"/>
      <c r="DL113" s="80"/>
      <c r="DM113" s="80"/>
      <c r="DN113" s="80"/>
    </row>
    <row r="114" spans="3:118">
      <c r="C114" s="1178"/>
      <c r="DI114" s="80"/>
      <c r="DJ114" s="80"/>
      <c r="DK114" s="80"/>
      <c r="DL114" s="80"/>
      <c r="DM114" s="80"/>
      <c r="DN114" s="80"/>
    </row>
    <row r="115" spans="3:118">
      <c r="C115" s="1178"/>
      <c r="DI115" s="80"/>
      <c r="DJ115" s="80"/>
      <c r="DK115" s="80"/>
      <c r="DL115" s="80"/>
      <c r="DM115" s="80"/>
      <c r="DN115" s="80"/>
    </row>
    <row r="116" spans="3:118">
      <c r="C116" s="1178"/>
      <c r="DI116" s="80"/>
      <c r="DJ116" s="80"/>
      <c r="DK116" s="80"/>
      <c r="DL116" s="80"/>
      <c r="DM116" s="80"/>
      <c r="DN116" s="80"/>
    </row>
    <row r="117" spans="3:118">
      <c r="C117" s="1178"/>
      <c r="DI117" s="80"/>
      <c r="DJ117" s="80"/>
      <c r="DK117" s="80"/>
      <c r="DL117" s="80"/>
      <c r="DM117" s="80"/>
      <c r="DN117" s="80"/>
    </row>
    <row r="119" spans="3:118">
      <c r="DI119" s="80"/>
      <c r="DJ119" s="80"/>
      <c r="DK119" s="80"/>
      <c r="DL119" s="80"/>
      <c r="DM119" s="80"/>
      <c r="DN119" s="80"/>
    </row>
    <row r="120" spans="3:118">
      <c r="DI120" s="80"/>
      <c r="DJ120" s="80"/>
      <c r="DK120" s="80"/>
      <c r="DL120" s="80"/>
      <c r="DM120" s="80"/>
      <c r="DN120" s="80"/>
    </row>
    <row r="121" spans="3:118">
      <c r="DI121" s="80"/>
      <c r="DJ121" s="80"/>
      <c r="DK121" s="80"/>
      <c r="DL121" s="80"/>
      <c r="DM121" s="80"/>
      <c r="DN121" s="80"/>
    </row>
    <row r="122" spans="3:118">
      <c r="DI122" s="80"/>
      <c r="DJ122" s="80"/>
      <c r="DK122" s="80"/>
      <c r="DL122" s="80"/>
      <c r="DM122" s="80"/>
      <c r="DN122" s="80"/>
    </row>
    <row r="123" spans="3:118">
      <c r="DI123" s="80"/>
      <c r="DJ123" s="80"/>
      <c r="DK123" s="80"/>
      <c r="DL123" s="80"/>
      <c r="DM123" s="80"/>
      <c r="DN123" s="80"/>
    </row>
    <row r="124" spans="3:118">
      <c r="DI124" s="80"/>
      <c r="DJ124" s="80"/>
      <c r="DK124" s="80"/>
      <c r="DL124" s="80"/>
      <c r="DM124" s="80"/>
      <c r="DN124" s="80"/>
    </row>
    <row r="125" spans="3:118">
      <c r="DI125" s="80"/>
      <c r="DJ125" s="80"/>
      <c r="DK125" s="80"/>
      <c r="DL125" s="80"/>
      <c r="DM125" s="80"/>
      <c r="DN125" s="80"/>
    </row>
    <row r="126" spans="3:118">
      <c r="DI126" s="80"/>
      <c r="DJ126" s="80"/>
      <c r="DK126" s="80"/>
      <c r="DL126" s="80"/>
      <c r="DM126" s="80"/>
      <c r="DN126" s="80"/>
    </row>
    <row r="127" spans="3:118">
      <c r="DI127" s="80"/>
      <c r="DJ127" s="80"/>
      <c r="DK127" s="80"/>
      <c r="DL127" s="80"/>
      <c r="DM127" s="80"/>
      <c r="DN127" s="80"/>
    </row>
  </sheetData>
  <mergeCells count="47">
    <mergeCell ref="B86:B92"/>
    <mergeCell ref="B93:B103"/>
    <mergeCell ref="B104:B107"/>
    <mergeCell ref="AB4:AD4"/>
    <mergeCell ref="B57:B68"/>
    <mergeCell ref="B69:B75"/>
    <mergeCell ref="B76:B85"/>
    <mergeCell ref="B30:B38"/>
    <mergeCell ref="B39:B56"/>
    <mergeCell ref="V4:X4"/>
    <mergeCell ref="Y4:AA4"/>
    <mergeCell ref="D4:F4"/>
    <mergeCell ref="G4:I4"/>
    <mergeCell ref="J4:L4"/>
    <mergeCell ref="M4:O4"/>
    <mergeCell ref="P4:R4"/>
    <mergeCell ref="B20:B29"/>
    <mergeCell ref="CB4:CE4"/>
    <mergeCell ref="CF4:CG4"/>
    <mergeCell ref="CI4:CJ4"/>
    <mergeCell ref="CL4:CM4"/>
    <mergeCell ref="BM4:BO4"/>
    <mergeCell ref="AN4:AQ4"/>
    <mergeCell ref="AR4:AT4"/>
    <mergeCell ref="AU4:AW4"/>
    <mergeCell ref="AX4:AZ4"/>
    <mergeCell ref="BA4:BC4"/>
    <mergeCell ref="BD4:BF4"/>
    <mergeCell ref="S4:U4"/>
    <mergeCell ref="B6:B19"/>
    <mergeCell ref="CO4:CP4"/>
    <mergeCell ref="CX4:DA4"/>
    <mergeCell ref="AK4:AM4"/>
    <mergeCell ref="AH4:AJ4"/>
    <mergeCell ref="AE4:AG4"/>
    <mergeCell ref="BY4:CA4"/>
    <mergeCell ref="BV4:BX4"/>
    <mergeCell ref="BS4:BU4"/>
    <mergeCell ref="BP4:BR4"/>
    <mergeCell ref="BJ4:BL4"/>
    <mergeCell ref="BG4:BI4"/>
    <mergeCell ref="DP38:DR38"/>
    <mergeCell ref="DS38:DU38"/>
    <mergeCell ref="DI4:DK4"/>
    <mergeCell ref="CT4:CU4"/>
    <mergeCell ref="CR4:CS4"/>
    <mergeCell ref="DL4:DN4"/>
  </mergeCells>
  <pageMargins left="0.70866141732283472" right="0.70866141732283472" top="0.74803149606299213" bottom="0.74803149606299213" header="0.31496062992125984" footer="0.31496062992125984"/>
  <pageSetup paperSize="9" scale="55" orientation="landscape" horizontalDpi="4294967294" verticalDpi="4294967294" r:id="rId1"/>
  <colBreaks count="2" manualBreakCount="2">
    <brk id="89" max="1048575" man="1"/>
    <brk id="94" max="1048575" man="1"/>
  </colBreaks>
</worksheet>
</file>

<file path=xl/worksheets/sheet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400-000000000000}">
  <sheetPr>
    <tabColor theme="1" tint="4.9989318521683403E-2"/>
  </sheetPr>
  <dimension ref="A1:V286"/>
  <sheetViews>
    <sheetView showGridLines="0" workbookViewId="0">
      <pane xSplit="3" ySplit="5" topLeftCell="K9" activePane="bottomRight" state="frozen"/>
      <selection pane="topRight" activeCell="D1" sqref="D1"/>
      <selection pane="bottomLeft" activeCell="A6" sqref="A6"/>
      <selection pane="bottomRight" activeCell="P26" sqref="P26"/>
    </sheetView>
  </sheetViews>
  <sheetFormatPr baseColWidth="10" defaultColWidth="11.44140625" defaultRowHeight="13.8"/>
  <cols>
    <col min="1" max="1" width="9" style="80" customWidth="1"/>
    <col min="2" max="2" width="15.33203125" style="80" customWidth="1"/>
    <col min="3" max="3" width="19.6640625" style="80" customWidth="1"/>
    <col min="4" max="5" width="11" style="80" customWidth="1"/>
    <col min="6" max="7" width="11.6640625" style="80" customWidth="1"/>
    <col min="8" max="9" width="10.109375" style="80" customWidth="1"/>
    <col min="10" max="11" width="11.44140625" style="80" customWidth="1"/>
    <col min="12" max="20" width="10.109375" style="80" customWidth="1"/>
    <col min="21" max="21" width="12.109375" style="77" bestFit="1" customWidth="1"/>
    <col min="22" max="22" width="14.88671875" style="77" bestFit="1" customWidth="1"/>
    <col min="23" max="23" width="14.6640625" style="77" bestFit="1" customWidth="1"/>
    <col min="24" max="25" width="13.6640625" style="77" bestFit="1" customWidth="1"/>
    <col min="26" max="27" width="11.88671875" style="77" bestFit="1" customWidth="1"/>
    <col min="28" max="16384" width="11.44140625" style="77"/>
  </cols>
  <sheetData>
    <row r="1" spans="1:22" ht="21">
      <c r="A1" s="1129"/>
      <c r="B1" s="79" t="s">
        <v>443</v>
      </c>
      <c r="H1" s="83"/>
      <c r="I1" s="83"/>
    </row>
    <row r="2" spans="1:22">
      <c r="A2" s="1129"/>
      <c r="B2" s="85"/>
      <c r="H2" s="83"/>
      <c r="I2" s="83"/>
    </row>
    <row r="3" spans="1:22" ht="24" thickBot="1">
      <c r="A3" s="1130"/>
      <c r="B3" s="81"/>
      <c r="H3" s="83"/>
      <c r="I3" s="83"/>
    </row>
    <row r="4" spans="1:22">
      <c r="B4" s="1131"/>
      <c r="C4" s="1132"/>
      <c r="D4" s="1701" t="s">
        <v>442</v>
      </c>
      <c r="E4" s="1702"/>
      <c r="F4" s="1701" t="s">
        <v>439</v>
      </c>
      <c r="G4" s="1702"/>
      <c r="H4" s="1701" t="s">
        <v>436</v>
      </c>
      <c r="I4" s="1702"/>
      <c r="J4" s="1701" t="s">
        <v>437</v>
      </c>
      <c r="K4" s="1702"/>
      <c r="L4" s="1701" t="s">
        <v>811</v>
      </c>
      <c r="M4" s="1702"/>
      <c r="N4" s="1701" t="s">
        <v>812</v>
      </c>
      <c r="O4" s="1702"/>
      <c r="P4" s="1701" t="s">
        <v>813</v>
      </c>
      <c r="Q4" s="1702"/>
      <c r="R4" s="1701" t="s">
        <v>814</v>
      </c>
      <c r="S4" s="1702"/>
      <c r="T4" s="1703" t="s">
        <v>815</v>
      </c>
    </row>
    <row r="5" spans="1:22">
      <c r="A5" s="1135" t="s">
        <v>294</v>
      </c>
      <c r="B5" s="1136" t="s">
        <v>308</v>
      </c>
      <c r="C5" s="1137" t="s">
        <v>100</v>
      </c>
      <c r="D5" s="1138">
        <v>2019</v>
      </c>
      <c r="E5" s="1143">
        <v>2020</v>
      </c>
      <c r="F5" s="1138">
        <v>2019</v>
      </c>
      <c r="G5" s="1140">
        <v>2020</v>
      </c>
      <c r="H5" s="1138">
        <v>2019</v>
      </c>
      <c r="I5" s="1140">
        <v>2020</v>
      </c>
      <c r="J5" s="1138">
        <v>2019</v>
      </c>
      <c r="K5" s="1140">
        <v>2020</v>
      </c>
      <c r="L5" s="1138">
        <v>2019</v>
      </c>
      <c r="M5" s="1140">
        <v>2020</v>
      </c>
      <c r="N5" s="1138">
        <v>2019</v>
      </c>
      <c r="O5" s="1140">
        <v>2020</v>
      </c>
      <c r="P5" s="1138">
        <v>2019</v>
      </c>
      <c r="Q5" s="1140">
        <v>2020</v>
      </c>
      <c r="R5" s="1138">
        <v>2019</v>
      </c>
      <c r="S5" s="1140">
        <v>2020</v>
      </c>
      <c r="T5" s="1145">
        <v>2019</v>
      </c>
    </row>
    <row r="6" spans="1:22">
      <c r="A6" s="1130">
        <v>1</v>
      </c>
      <c r="B6" s="1698" t="s">
        <v>107</v>
      </c>
      <c r="C6" s="1149" t="s">
        <v>108</v>
      </c>
      <c r="D6" s="1150">
        <v>180.90515218591889</v>
      </c>
      <c r="E6" s="1155">
        <v>161.96820357873463</v>
      </c>
      <c r="F6" s="1150">
        <v>88.652944000000005</v>
      </c>
      <c r="G6" s="1152">
        <v>84.129375999999993</v>
      </c>
      <c r="H6" s="1150">
        <v>66.363148002161466</v>
      </c>
      <c r="I6" s="1152">
        <v>56.212716289156994</v>
      </c>
      <c r="J6" s="1150">
        <v>103.68769505260229</v>
      </c>
      <c r="K6" s="1152">
        <f t="shared" ref="K6:K17" si="0">(E6-(E6*0.06)-I6)</f>
        <v>96.037395074853578</v>
      </c>
      <c r="L6" s="1150">
        <v>25.889060183757422</v>
      </c>
      <c r="M6" s="1152">
        <f t="shared" ref="M6:M17" si="1">E6-G6-I6</f>
        <v>21.626111289577644</v>
      </c>
      <c r="N6" s="1150">
        <v>14.310847353397019</v>
      </c>
      <c r="O6" s="1152">
        <f t="shared" ref="O6:O17" si="2">M6/E6*100</f>
        <v>13.352072080656828</v>
      </c>
      <c r="P6" s="1150">
        <v>15.034751052602289</v>
      </c>
      <c r="Q6" s="1152">
        <f t="shared" ref="Q6:Q17" si="3">K6-G6</f>
        <v>11.908019074853584</v>
      </c>
      <c r="R6" s="1150">
        <v>14.500034015583948</v>
      </c>
      <c r="S6" s="1152">
        <f t="shared" ref="S6:S17" si="4">Q6/K6*100</f>
        <v>12.399356589766123</v>
      </c>
      <c r="T6" s="1157">
        <v>69.902930456112202</v>
      </c>
      <c r="U6" s="1782">
        <v>0.13352072080656829</v>
      </c>
      <c r="V6" s="1782">
        <v>0.12399356589766099</v>
      </c>
    </row>
    <row r="7" spans="1:22">
      <c r="A7" s="1130">
        <v>1</v>
      </c>
      <c r="B7" s="1699"/>
      <c r="C7" s="1149" t="s">
        <v>109</v>
      </c>
      <c r="D7" s="1150">
        <v>214.45015854710039</v>
      </c>
      <c r="E7" s="1155">
        <v>213.05135625043221</v>
      </c>
      <c r="F7" s="1150">
        <v>106.255506</v>
      </c>
      <c r="G7" s="1152">
        <v>105.563284</v>
      </c>
      <c r="H7" s="1150">
        <v>81.36360150070405</v>
      </c>
      <c r="I7" s="1152">
        <v>82.574915997142398</v>
      </c>
      <c r="J7" s="1150">
        <v>120.21954753357031</v>
      </c>
      <c r="K7" s="1152">
        <f t="shared" si="0"/>
        <v>117.69335887826387</v>
      </c>
      <c r="L7" s="1150">
        <v>26.83105104639634</v>
      </c>
      <c r="M7" s="1152">
        <f t="shared" si="1"/>
        <v>24.913156253289813</v>
      </c>
      <c r="N7" s="1150">
        <v>12.511555705146913</v>
      </c>
      <c r="O7" s="1152">
        <f t="shared" si="2"/>
        <v>11.693498080343375</v>
      </c>
      <c r="P7" s="1150">
        <v>13.96404153357031</v>
      </c>
      <c r="Q7" s="1152">
        <f t="shared" si="3"/>
        <v>12.130074878263869</v>
      </c>
      <c r="R7" s="1150">
        <v>11.615450082833632</v>
      </c>
      <c r="S7" s="1152">
        <f t="shared" si="4"/>
        <v>10.306507515696458</v>
      </c>
      <c r="T7" s="1157">
        <v>64.924748058164511</v>
      </c>
      <c r="U7" s="1782">
        <v>0.11693498080343374</v>
      </c>
      <c r="V7" s="1782">
        <v>0.10306507515696457</v>
      </c>
    </row>
    <row r="8" spans="1:22">
      <c r="A8" s="1130">
        <v>1</v>
      </c>
      <c r="B8" s="1699"/>
      <c r="C8" s="1149" t="s">
        <v>110</v>
      </c>
      <c r="D8" s="1150">
        <v>207.30502143875782</v>
      </c>
      <c r="E8" s="1155">
        <v>190.21664200138815</v>
      </c>
      <c r="F8" s="1150">
        <v>101.59067199999998</v>
      </c>
      <c r="G8" s="1152">
        <v>98.879445000000004</v>
      </c>
      <c r="H8" s="1150">
        <v>76.047974239581265</v>
      </c>
      <c r="I8" s="1152">
        <v>66.068268337260747</v>
      </c>
      <c r="J8" s="1150">
        <v>118.81874591285109</v>
      </c>
      <c r="K8" s="1152">
        <f t="shared" si="0"/>
        <v>112.73537514404413</v>
      </c>
      <c r="L8" s="1150">
        <v>29.666375199176571</v>
      </c>
      <c r="M8" s="1152">
        <f t="shared" si="1"/>
        <v>25.268928664127401</v>
      </c>
      <c r="N8" s="1150">
        <v>14.310495227410897</v>
      </c>
      <c r="O8" s="1152">
        <f t="shared" si="2"/>
        <v>13.284289112801705</v>
      </c>
      <c r="P8" s="1150">
        <v>17.228073912851102</v>
      </c>
      <c r="Q8" s="1152">
        <f t="shared" si="3"/>
        <v>13.855930144044123</v>
      </c>
      <c r="R8" s="1150">
        <v>14.499457792196546</v>
      </c>
      <c r="S8" s="1152">
        <f t="shared" si="4"/>
        <v>12.290667526799053</v>
      </c>
      <c r="T8" s="1157">
        <v>80.100618121930651</v>
      </c>
      <c r="U8" s="1782">
        <v>0.13284289112801706</v>
      </c>
      <c r="V8" s="1782">
        <v>0.12290667526799032</v>
      </c>
    </row>
    <row r="9" spans="1:22">
      <c r="A9" s="1130">
        <v>1</v>
      </c>
      <c r="B9" s="1699"/>
      <c r="C9" s="1149" t="s">
        <v>111</v>
      </c>
      <c r="D9" s="1150">
        <v>208.24499879467987</v>
      </c>
      <c r="E9" s="1155">
        <v>196.36420377813891</v>
      </c>
      <c r="F9" s="1150">
        <v>95.164193999999981</v>
      </c>
      <c r="G9" s="1152">
        <v>96.551868999999996</v>
      </c>
      <c r="H9" s="1150">
        <v>81.033124999999998</v>
      </c>
      <c r="I9" s="1152">
        <v>72.729983939999997</v>
      </c>
      <c r="J9" s="1150">
        <v>114.71717386699909</v>
      </c>
      <c r="K9" s="1152">
        <f t="shared" si="0"/>
        <v>111.85236761145059</v>
      </c>
      <c r="L9" s="1150">
        <v>32.047679794679894</v>
      </c>
      <c r="M9" s="1152">
        <f t="shared" si="1"/>
        <v>27.082350838138922</v>
      </c>
      <c r="N9" s="1150">
        <v>15.389411500958758</v>
      </c>
      <c r="O9" s="1152">
        <f t="shared" si="2"/>
        <v>13.791898073611103</v>
      </c>
      <c r="P9" s="1150">
        <v>19.55297986699911</v>
      </c>
      <c r="Q9" s="1152">
        <f t="shared" si="3"/>
        <v>15.300498611450593</v>
      </c>
      <c r="R9" s="1150">
        <v>17.044509734582952</v>
      </c>
      <c r="S9" s="1152">
        <f t="shared" si="4"/>
        <v>13.679190649411202</v>
      </c>
      <c r="T9" s="1157">
        <v>90.910091365698122</v>
      </c>
      <c r="U9" s="1782">
        <v>0.13791898073611103</v>
      </c>
      <c r="V9" s="1782">
        <v>0.1367919064941118</v>
      </c>
    </row>
    <row r="10" spans="1:22">
      <c r="A10" s="1130">
        <v>1</v>
      </c>
      <c r="B10" s="1699"/>
      <c r="C10" s="1149" t="s">
        <v>112</v>
      </c>
      <c r="D10" s="1150">
        <v>134.23076696695742</v>
      </c>
      <c r="E10" s="1155">
        <v>128.33630345162265</v>
      </c>
      <c r="F10" s="1150">
        <v>82.435494000000006</v>
      </c>
      <c r="G10" s="1152">
        <v>80.731638000000004</v>
      </c>
      <c r="H10" s="1150">
        <v>28.462081000000001</v>
      </c>
      <c r="I10" s="1152">
        <v>27.552353670000002</v>
      </c>
      <c r="J10" s="1150">
        <v>97.714839948939968</v>
      </c>
      <c r="K10" s="1152">
        <f t="shared" si="0"/>
        <v>93.083771574525286</v>
      </c>
      <c r="L10" s="1150">
        <v>23.333191966957411</v>
      </c>
      <c r="M10" s="1152">
        <f t="shared" si="1"/>
        <v>20.052311781622649</v>
      </c>
      <c r="N10" s="1150">
        <v>17.382894022129193</v>
      </c>
      <c r="O10" s="1152">
        <f t="shared" si="2"/>
        <v>15.624816394358373</v>
      </c>
      <c r="P10" s="1150">
        <v>15.279345948939962</v>
      </c>
      <c r="Q10" s="1152">
        <f t="shared" si="3"/>
        <v>12.352133574525283</v>
      </c>
      <c r="R10" s="1150">
        <v>15.636668859022897</v>
      </c>
      <c r="S10" s="1152">
        <f t="shared" si="4"/>
        <v>13.269910926026288</v>
      </c>
      <c r="T10" s="1157">
        <v>71.040155806155653</v>
      </c>
      <c r="U10" s="1782">
        <v>0.15624816394358373</v>
      </c>
      <c r="V10" s="1782">
        <v>0.13269910926026288</v>
      </c>
    </row>
    <row r="11" spans="1:22">
      <c r="A11" s="1130">
        <v>1</v>
      </c>
      <c r="B11" s="1699"/>
      <c r="C11" s="1149" t="s">
        <v>113</v>
      </c>
      <c r="D11" s="1150">
        <v>270.88849537186508</v>
      </c>
      <c r="E11" s="1155">
        <v>266.20070569162033</v>
      </c>
      <c r="F11" s="1150">
        <v>189.60381000000004</v>
      </c>
      <c r="G11" s="1152">
        <v>186.09600599999999</v>
      </c>
      <c r="H11" s="1150">
        <v>35.345241999999999</v>
      </c>
      <c r="I11" s="1152">
        <v>39.164375339999999</v>
      </c>
      <c r="J11" s="1150">
        <v>219.28994364955315</v>
      </c>
      <c r="K11" s="1152">
        <f t="shared" si="0"/>
        <v>211.06428801012311</v>
      </c>
      <c r="L11" s="1150">
        <v>45.939443371865039</v>
      </c>
      <c r="M11" s="1152">
        <f t="shared" si="1"/>
        <v>40.94032435162034</v>
      </c>
      <c r="N11" s="1150">
        <v>16.958801926527435</v>
      </c>
      <c r="O11" s="1152">
        <f t="shared" si="2"/>
        <v>15.379495048765039</v>
      </c>
      <c r="P11" s="1150">
        <v>29.686133649553113</v>
      </c>
      <c r="Q11" s="1152">
        <f t="shared" si="3"/>
        <v>24.968282010123119</v>
      </c>
      <c r="R11" s="1150">
        <v>13.537389428579758</v>
      </c>
      <c r="S11" s="1152">
        <f t="shared" si="4"/>
        <v>11.82970470538606</v>
      </c>
      <c r="T11" s="1157">
        <v>138.02341846268121</v>
      </c>
      <c r="U11" s="1782">
        <v>0.15379495048765038</v>
      </c>
      <c r="V11" s="1782">
        <v>0.1182970470538606</v>
      </c>
    </row>
    <row r="12" spans="1:22">
      <c r="A12" s="1130">
        <v>1</v>
      </c>
      <c r="B12" s="1699"/>
      <c r="C12" s="1149" t="s">
        <v>65</v>
      </c>
      <c r="D12" s="1150">
        <v>287.00175651450547</v>
      </c>
      <c r="E12" s="1155">
        <v>266.84226610167735</v>
      </c>
      <c r="F12" s="1150">
        <v>160.91138100000001</v>
      </c>
      <c r="G12" s="1152">
        <v>155.67123000000001</v>
      </c>
      <c r="H12" s="1150">
        <v>84.634530999999996</v>
      </c>
      <c r="I12" s="1152">
        <v>74.427971200000002</v>
      </c>
      <c r="J12" s="1150">
        <v>185.14712012363515</v>
      </c>
      <c r="K12" s="1152">
        <f t="shared" si="0"/>
        <v>176.40375893557672</v>
      </c>
      <c r="L12" s="1150">
        <v>41.455844514505472</v>
      </c>
      <c r="M12" s="1152">
        <f t="shared" si="1"/>
        <v>36.743064901677343</v>
      </c>
      <c r="N12" s="1150">
        <v>14.444456723180451</v>
      </c>
      <c r="O12" s="1152">
        <f t="shared" si="2"/>
        <v>13.769582097491556</v>
      </c>
      <c r="P12" s="1150">
        <v>24.235739123635142</v>
      </c>
      <c r="Q12" s="1152">
        <f t="shared" si="3"/>
        <v>20.73252893557671</v>
      </c>
      <c r="R12" s="1150">
        <v>13.089989791605353</v>
      </c>
      <c r="S12" s="1152">
        <f t="shared" si="4"/>
        <v>11.75288387315392</v>
      </c>
      <c r="T12" s="1157">
        <v>112.68222404112987</v>
      </c>
      <c r="U12" s="1782">
        <v>0.13769582097491556</v>
      </c>
      <c r="V12" s="1782">
        <v>0.11752883873153903</v>
      </c>
    </row>
    <row r="13" spans="1:22">
      <c r="A13" s="1130">
        <v>1</v>
      </c>
      <c r="B13" s="1699"/>
      <c r="C13" s="1149" t="s">
        <v>273</v>
      </c>
      <c r="D13" s="1150">
        <v>172.95508234605657</v>
      </c>
      <c r="E13" s="1155">
        <v>158.70868278164966</v>
      </c>
      <c r="F13" s="1150">
        <v>84.756153999999981</v>
      </c>
      <c r="G13" s="1152">
        <v>82.537018000000003</v>
      </c>
      <c r="H13" s="1150">
        <v>63.446118518026758</v>
      </c>
      <c r="I13" s="1152">
        <v>55.148750612236142</v>
      </c>
      <c r="J13" s="1150">
        <v>99.131658887266411</v>
      </c>
      <c r="K13" s="1152">
        <f t="shared" si="0"/>
        <v>94.037411202514534</v>
      </c>
      <c r="L13" s="1150">
        <v>24.752809828029832</v>
      </c>
      <c r="M13" s="1152">
        <f t="shared" si="1"/>
        <v>21.022914169413511</v>
      </c>
      <c r="N13" s="1150">
        <v>14.311698443474047</v>
      </c>
      <c r="O13" s="1152">
        <f t="shared" si="2"/>
        <v>13.246228121202854</v>
      </c>
      <c r="P13" s="1150">
        <v>14.37550488726643</v>
      </c>
      <c r="Q13" s="1152">
        <f t="shared" si="3"/>
        <v>11.50039320251453</v>
      </c>
      <c r="R13" s="1150">
        <v>14.501426737561617</v>
      </c>
      <c r="S13" s="1152">
        <f t="shared" si="4"/>
        <v>12.229593579248823</v>
      </c>
      <c r="T13" s="1157">
        <v>66.837815597362663</v>
      </c>
      <c r="U13" s="1782">
        <v>0.13246228121202855</v>
      </c>
      <c r="V13" s="1782">
        <v>0.12229593579248822</v>
      </c>
    </row>
    <row r="14" spans="1:22">
      <c r="A14" s="1130">
        <v>1</v>
      </c>
      <c r="B14" s="1699"/>
      <c r="C14" s="1149" t="s">
        <v>411</v>
      </c>
      <c r="D14" s="1150">
        <v>228.25881670650915</v>
      </c>
      <c r="E14" s="1155">
        <v>219.92876421837238</v>
      </c>
      <c r="F14" s="1150">
        <v>116.88482999999999</v>
      </c>
      <c r="G14" s="1152">
        <v>119.56578</v>
      </c>
      <c r="H14" s="1150">
        <v>86.273826</v>
      </c>
      <c r="I14" s="1152">
        <v>77.37120809000001</v>
      </c>
      <c r="J14" s="1150">
        <v>128.28946170411859</v>
      </c>
      <c r="K14" s="1152">
        <f t="shared" si="0"/>
        <v>129.36183027527002</v>
      </c>
      <c r="L14" s="1150">
        <v>25.100160706509158</v>
      </c>
      <c r="M14" s="1152">
        <f t="shared" si="1"/>
        <v>22.991776128372365</v>
      </c>
      <c r="N14" s="1150">
        <v>10.996359776447306</v>
      </c>
      <c r="O14" s="1152">
        <f t="shared" si="2"/>
        <v>10.454192388196796</v>
      </c>
      <c r="P14" s="1150">
        <v>11.4046317041186</v>
      </c>
      <c r="Q14" s="1152">
        <f t="shared" si="3"/>
        <v>9.7960502752700194</v>
      </c>
      <c r="R14" s="1150">
        <v>8.8897650302888955</v>
      </c>
      <c r="S14" s="1152">
        <f t="shared" si="4"/>
        <v>7.5725971520539943</v>
      </c>
      <c r="T14" s="1157">
        <v>53.024966898443473</v>
      </c>
      <c r="U14" s="1782">
        <v>0.10454192388196797</v>
      </c>
      <c r="V14" s="1782">
        <v>7.5725971520539948E-2</v>
      </c>
    </row>
    <row r="15" spans="1:22">
      <c r="A15" s="1130">
        <v>1</v>
      </c>
      <c r="B15" s="1699"/>
      <c r="C15" s="1149" t="s">
        <v>412</v>
      </c>
      <c r="D15" s="1150">
        <v>141.3649258567674</v>
      </c>
      <c r="E15" s="1155">
        <v>130.54654097372071</v>
      </c>
      <c r="F15" s="1150">
        <v>69.275356000000002</v>
      </c>
      <c r="G15" s="1152">
        <v>67.916719000000001</v>
      </c>
      <c r="H15" s="1150">
        <v>51.857620240230538</v>
      </c>
      <c r="I15" s="1152">
        <v>45.379906971346117</v>
      </c>
      <c r="J15" s="1150">
        <v>81.025410065130814</v>
      </c>
      <c r="K15" s="1152">
        <f t="shared" si="0"/>
        <v>77.333841543951351</v>
      </c>
      <c r="L15" s="1150">
        <v>20.231949616536859</v>
      </c>
      <c r="M15" s="1152">
        <f t="shared" si="1"/>
        <v>17.249915002374593</v>
      </c>
      <c r="N15" s="1150">
        <v>14.311859532283211</v>
      </c>
      <c r="O15" s="1152">
        <f t="shared" si="2"/>
        <v>13.213613224610093</v>
      </c>
      <c r="P15" s="1150">
        <v>11.750054065130811</v>
      </c>
      <c r="Q15" s="1152">
        <f t="shared" si="3"/>
        <v>9.4171225439513506</v>
      </c>
      <c r="R15" s="1150">
        <v>14.501690340950748</v>
      </c>
      <c r="S15" s="1152">
        <f t="shared" si="4"/>
        <v>12.17723360942737</v>
      </c>
      <c r="T15" s="1157">
        <v>54.630981869715207</v>
      </c>
      <c r="U15" s="1782">
        <v>0.13213613224610093</v>
      </c>
      <c r="V15" s="1782">
        <v>0.12177233609427354</v>
      </c>
    </row>
    <row r="16" spans="1:22">
      <c r="A16" s="1130">
        <v>1</v>
      </c>
      <c r="B16" s="1699"/>
      <c r="C16" s="1149" t="s">
        <v>417</v>
      </c>
      <c r="D16" s="1150">
        <v>91.230850280881938</v>
      </c>
      <c r="E16" s="1155">
        <v>88.972031772642879</v>
      </c>
      <c r="F16" s="1150">
        <v>45.203116999999999</v>
      </c>
      <c r="G16" s="1152">
        <v>43.981431999999998</v>
      </c>
      <c r="H16" s="1150">
        <v>34.613626499295954</v>
      </c>
      <c r="I16" s="1152">
        <v>34.403657362857622</v>
      </c>
      <c r="J16" s="1150">
        <v>51.143372764733066</v>
      </c>
      <c r="K16" s="1152">
        <f t="shared" si="0"/>
        <v>49.230052503426684</v>
      </c>
      <c r="L16" s="1150">
        <v>11.414106781585986</v>
      </c>
      <c r="M16" s="1152">
        <f t="shared" si="1"/>
        <v>10.586942409785259</v>
      </c>
      <c r="N16" s="1150">
        <v>12.511235778735136</v>
      </c>
      <c r="O16" s="1152">
        <f t="shared" si="2"/>
        <v>11.89918022422922</v>
      </c>
      <c r="P16" s="1150">
        <v>5.9402557647330667</v>
      </c>
      <c r="Q16" s="1152">
        <f t="shared" si="3"/>
        <v>5.248620503426686</v>
      </c>
      <c r="R16" s="1150">
        <v>11.61490813689411</v>
      </c>
      <c r="S16" s="1152">
        <f t="shared" si="4"/>
        <v>10.66141561206207</v>
      </c>
      <c r="T16" s="1157">
        <v>27.618766959349351</v>
      </c>
      <c r="U16" s="1782">
        <v>0.11899180224229219</v>
      </c>
      <c r="V16" s="1782">
        <v>0.1066141561206207</v>
      </c>
    </row>
    <row r="17" spans="1:22" ht="15.6">
      <c r="A17" s="1160">
        <f>SUM(A6:A16)</f>
        <v>11</v>
      </c>
      <c r="B17" s="1700"/>
      <c r="C17" s="1161" t="s">
        <v>311</v>
      </c>
      <c r="D17" s="1162">
        <v>2136.83602501</v>
      </c>
      <c r="E17" s="1167">
        <f>SUM(E6:E16)</f>
        <v>2021.1357005999998</v>
      </c>
      <c r="F17" s="1162">
        <v>1140.7334580000002</v>
      </c>
      <c r="G17" s="1167">
        <f>SUM(G6:G16)</f>
        <v>1121.623797</v>
      </c>
      <c r="H17" s="1162">
        <v>689.44089399999996</v>
      </c>
      <c r="I17" s="1167">
        <f>SUM(I6:I16)</f>
        <v>631.03410781000002</v>
      </c>
      <c r="J17" s="1162">
        <v>1319.1849695094002</v>
      </c>
      <c r="K17" s="1164">
        <f t="shared" si="0"/>
        <v>1268.8334507539998</v>
      </c>
      <c r="L17" s="1162">
        <v>306.66167300999984</v>
      </c>
      <c r="M17" s="1164">
        <f t="shared" si="1"/>
        <v>268.47779578999985</v>
      </c>
      <c r="N17" s="1162">
        <v>14.351202872881402</v>
      </c>
      <c r="O17" s="1164">
        <f t="shared" si="2"/>
        <v>13.283511627165796</v>
      </c>
      <c r="P17" s="1162">
        <v>178.45151150939995</v>
      </c>
      <c r="Q17" s="1164">
        <f t="shared" si="3"/>
        <v>147.20965375399987</v>
      </c>
      <c r="R17" s="1162">
        <v>13.527406363321845</v>
      </c>
      <c r="S17" s="1164">
        <f t="shared" si="4"/>
        <v>11.601968222584379</v>
      </c>
      <c r="T17" s="1170">
        <v>829.69671763674307</v>
      </c>
      <c r="U17" s="1732">
        <v>0.13283511627165795</v>
      </c>
      <c r="V17" s="1783">
        <v>0.11601968222584363</v>
      </c>
    </row>
    <row r="18" spans="1:22">
      <c r="A18" s="1130">
        <v>1</v>
      </c>
      <c r="B18" s="1698" t="s">
        <v>114</v>
      </c>
      <c r="C18" s="1172" t="s">
        <v>7</v>
      </c>
      <c r="D18" s="1150">
        <v>108.36196523402029</v>
      </c>
      <c r="E18" s="1155">
        <v>97.298174480198682</v>
      </c>
      <c r="F18" s="1150">
        <v>67.244264999999999</v>
      </c>
      <c r="G18" s="1152">
        <v>62.978489000000003</v>
      </c>
      <c r="H18" s="1150">
        <v>33.185646454050399</v>
      </c>
      <c r="I18" s="1152">
        <v>29.185558808668898</v>
      </c>
      <c r="J18" s="1150">
        <v>68.674600865928667</v>
      </c>
      <c r="K18" s="1152">
        <f t="shared" ref="K18:K36" si="5">(E18-(E18*0.06)-I18)</f>
        <v>62.27472520271786</v>
      </c>
      <c r="L18" s="1150">
        <v>7.9320537799698911</v>
      </c>
      <c r="M18" s="1152">
        <f>E18-G18-I18</f>
        <v>5.1341266715297813</v>
      </c>
      <c r="N18" s="1150">
        <v>7.3199611716525226</v>
      </c>
      <c r="O18" s="1152">
        <f>M18/E18*100</f>
        <v>5.2766937293100353</v>
      </c>
      <c r="P18" s="1150">
        <v>1.4303358659286687</v>
      </c>
      <c r="Q18" s="1152">
        <f>K18-G18</f>
        <v>-0.70376379728214289</v>
      </c>
      <c r="R18" s="1150">
        <v>2.0827727396931941</v>
      </c>
      <c r="S18" s="1152">
        <f>Q18/K18*100</f>
        <v>-1.130095387801773</v>
      </c>
      <c r="T18" s="1151">
        <v>6.642436996414828</v>
      </c>
      <c r="U18" s="1704">
        <v>5.2766937293100389</v>
      </c>
      <c r="V18" s="1705">
        <v>-1.1300953878017514E-2</v>
      </c>
    </row>
    <row r="19" spans="1:22">
      <c r="A19" s="1130">
        <v>1</v>
      </c>
      <c r="B19" s="1699"/>
      <c r="C19" s="1172" t="s">
        <v>115</v>
      </c>
      <c r="D19" s="1150">
        <v>91.301123165106219</v>
      </c>
      <c r="E19" s="1155">
        <v>88.416869000000005</v>
      </c>
      <c r="F19" s="1150">
        <v>54.693919000000001</v>
      </c>
      <c r="G19" s="1152">
        <v>52.611328</v>
      </c>
      <c r="H19" s="1150">
        <v>30.133660999999996</v>
      </c>
      <c r="I19" s="1152">
        <v>29.720216460000003</v>
      </c>
      <c r="J19" s="1150">
        <v>55.689394775199851</v>
      </c>
      <c r="K19" s="1152">
        <f t="shared" si="5"/>
        <v>53.3916404</v>
      </c>
      <c r="L19" s="1150">
        <v>6.4735431651062214</v>
      </c>
      <c r="M19" s="1152">
        <f t="shared" ref="L19:M55" si="6">E19-G19-I19</f>
        <v>6.085324540000002</v>
      </c>
      <c r="N19" s="1150">
        <v>7.0903214995500754</v>
      </c>
      <c r="O19" s="1152">
        <f t="shared" ref="N19:O55" si="7">M19/E19*100</f>
        <v>6.8825379238434712</v>
      </c>
      <c r="P19" s="1150">
        <v>0.99547577519984998</v>
      </c>
      <c r="Q19" s="1152">
        <f t="shared" ref="P19:Q54" si="8">K19-G19</f>
        <v>0.78031239999999968</v>
      </c>
      <c r="R19" s="1150">
        <v>1.7875499980171541</v>
      </c>
      <c r="S19" s="1152">
        <f t="shared" ref="R19:S54" si="9">Q19/K19*100</f>
        <v>1.4614879673185688</v>
      </c>
      <c r="T19" s="1151">
        <v>4.6229597367531685</v>
      </c>
      <c r="U19" s="1704">
        <v>6.8825379238434596</v>
      </c>
      <c r="V19" s="1705">
        <v>1.4614879673185527E-2</v>
      </c>
    </row>
    <row r="20" spans="1:22">
      <c r="A20" s="1130">
        <v>1</v>
      </c>
      <c r="B20" s="1699"/>
      <c r="C20" s="1172" t="s">
        <v>116</v>
      </c>
      <c r="D20" s="1150">
        <v>223.23578095880544</v>
      </c>
      <c r="E20" s="1155">
        <v>219.84899205900007</v>
      </c>
      <c r="F20" s="1150">
        <v>124.07513399999999</v>
      </c>
      <c r="G20" s="1152">
        <v>119.632935</v>
      </c>
      <c r="H20" s="1150">
        <v>78.723722999999993</v>
      </c>
      <c r="I20" s="1152">
        <v>78.433091719999993</v>
      </c>
      <c r="J20" s="1150">
        <v>131.11791110127712</v>
      </c>
      <c r="K20" s="1152">
        <f t="shared" si="5"/>
        <v>128.22496081546007</v>
      </c>
      <c r="L20" s="1150">
        <v>20.436923958805451</v>
      </c>
      <c r="M20" s="1152">
        <f t="shared" si="6"/>
        <v>21.782965339000071</v>
      </c>
      <c r="N20" s="1150">
        <v>9.154860332437817</v>
      </c>
      <c r="O20" s="1152">
        <f t="shared" si="7"/>
        <v>9.9081488320648106</v>
      </c>
      <c r="P20" s="1150">
        <v>7.0427771012771245</v>
      </c>
      <c r="Q20" s="1152">
        <f t="shared" si="8"/>
        <v>8.5920258154600617</v>
      </c>
      <c r="R20" s="1150">
        <v>5.3713310730196087</v>
      </c>
      <c r="S20" s="1152">
        <f t="shared" si="9"/>
        <v>6.7007435688170025</v>
      </c>
      <c r="T20" s="1151">
        <v>32.706446289559338</v>
      </c>
      <c r="U20" s="1704">
        <v>9.9081488320648106</v>
      </c>
      <c r="V20" s="1705">
        <v>6.7007435688170205E-2</v>
      </c>
    </row>
    <row r="21" spans="1:22">
      <c r="A21" s="1130">
        <v>1</v>
      </c>
      <c r="B21" s="1699"/>
      <c r="C21" s="1172" t="s">
        <v>117</v>
      </c>
      <c r="D21" s="1150">
        <v>109.01578783677435</v>
      </c>
      <c r="E21" s="1155">
        <v>100.00872788600002</v>
      </c>
      <c r="F21" s="1150">
        <v>62.223455000000008</v>
      </c>
      <c r="G21" s="1152">
        <v>59.843420000000002</v>
      </c>
      <c r="H21" s="1150">
        <v>28.289360999999996</v>
      </c>
      <c r="I21" s="1152">
        <v>31.571039019999994</v>
      </c>
      <c r="J21" s="1150">
        <v>74.185479566567892</v>
      </c>
      <c r="K21" s="1152">
        <f t="shared" si="5"/>
        <v>62.43716519284002</v>
      </c>
      <c r="L21" s="1150">
        <v>18.502971836774346</v>
      </c>
      <c r="M21" s="1152">
        <f t="shared" si="6"/>
        <v>8.5942688660000215</v>
      </c>
      <c r="N21" s="1150">
        <v>16.972745144472302</v>
      </c>
      <c r="O21" s="1152">
        <f t="shared" si="7"/>
        <v>8.5935188334728458</v>
      </c>
      <c r="P21" s="1150">
        <v>11.962024566567884</v>
      </c>
      <c r="Q21" s="1152">
        <f t="shared" si="8"/>
        <v>2.5937451928400179</v>
      </c>
      <c r="R21" s="1150">
        <v>16.124482360236218</v>
      </c>
      <c r="S21" s="1152">
        <f t="shared" si="9"/>
        <v>4.1541687308017874</v>
      </c>
      <c r="T21" s="1151">
        <v>55.551284440039417</v>
      </c>
      <c r="U21" s="1704">
        <v>8.5935188334728512</v>
      </c>
      <c r="V21" s="1705">
        <v>4.1541687308017987E-2</v>
      </c>
    </row>
    <row r="22" spans="1:22">
      <c r="A22" s="1130">
        <v>1</v>
      </c>
      <c r="B22" s="1699"/>
      <c r="C22" s="1172" t="s">
        <v>118</v>
      </c>
      <c r="D22" s="1150">
        <v>121.59248799195056</v>
      </c>
      <c r="E22" s="1155">
        <v>119.29433629256255</v>
      </c>
      <c r="F22" s="1150">
        <v>75.316141000000002</v>
      </c>
      <c r="G22" s="1152">
        <v>72.366562999999999</v>
      </c>
      <c r="H22" s="1150">
        <v>24.99212</v>
      </c>
      <c r="I22" s="1152">
        <v>29.598071680000007</v>
      </c>
      <c r="J22" s="1150">
        <v>89.30481871243353</v>
      </c>
      <c r="K22" s="1152">
        <f t="shared" si="5"/>
        <v>82.538604435008793</v>
      </c>
      <c r="L22" s="1150">
        <v>21.284226991950561</v>
      </c>
      <c r="M22" s="1152">
        <f t="shared" si="6"/>
        <v>17.329701612562541</v>
      </c>
      <c r="N22" s="1150">
        <v>17.50455751292759</v>
      </c>
      <c r="O22" s="1152">
        <f t="shared" si="7"/>
        <v>14.5268435628515</v>
      </c>
      <c r="P22" s="1150">
        <v>13.988677712433528</v>
      </c>
      <c r="Q22" s="1152">
        <f t="shared" si="8"/>
        <v>10.172041435008794</v>
      </c>
      <c r="R22" s="1150">
        <v>15.663967425406064</v>
      </c>
      <c r="S22" s="1152">
        <f t="shared" si="9"/>
        <v>12.323980402428898</v>
      </c>
      <c r="T22" s="1151">
        <v>64.96300105546392</v>
      </c>
      <c r="U22" s="1704">
        <v>14.526843562851496</v>
      </c>
      <c r="V22" s="1705">
        <v>0.12323980402428883</v>
      </c>
    </row>
    <row r="23" spans="1:22">
      <c r="A23" s="1130">
        <v>1</v>
      </c>
      <c r="B23" s="1699"/>
      <c r="C23" s="1172" t="s">
        <v>310</v>
      </c>
      <c r="D23" s="1150">
        <v>99.814146501077204</v>
      </c>
      <c r="E23" s="1155">
        <v>99.702706277554597</v>
      </c>
      <c r="F23" s="1150">
        <v>44.073707999999996</v>
      </c>
      <c r="G23" s="1152">
        <v>41.916032000000001</v>
      </c>
      <c r="H23" s="1150">
        <v>47.975132000000002</v>
      </c>
      <c r="I23" s="1152">
        <v>51.080281659999997</v>
      </c>
      <c r="J23" s="1150">
        <v>45.850165711012565</v>
      </c>
      <c r="K23" s="1152">
        <f t="shared" si="5"/>
        <v>42.640262240901322</v>
      </c>
      <c r="L23" s="1150">
        <v>7.7653065010772053</v>
      </c>
      <c r="M23" s="1152">
        <f t="shared" si="6"/>
        <v>6.7063926175545987</v>
      </c>
      <c r="N23" s="1150">
        <v>7.7797654674063672</v>
      </c>
      <c r="O23" s="1152">
        <f t="shared" si="7"/>
        <v>6.726389752034609</v>
      </c>
      <c r="P23" s="1150">
        <v>1.7764577110125686</v>
      </c>
      <c r="Q23" s="1152">
        <f t="shared" si="8"/>
        <v>0.7242302409013206</v>
      </c>
      <c r="R23" s="1150">
        <v>3.874484821296706</v>
      </c>
      <c r="S23" s="1152">
        <f t="shared" si="9"/>
        <v>1.6984657289622052</v>
      </c>
      <c r="T23" s="1151">
        <v>8.2498164964457068</v>
      </c>
      <c r="U23" s="1704">
        <v>6.7263897520346143</v>
      </c>
      <c r="V23" s="1705">
        <v>1.698465728962241E-2</v>
      </c>
    </row>
    <row r="24" spans="1:22">
      <c r="A24" s="1130">
        <v>1</v>
      </c>
      <c r="B24" s="1699"/>
      <c r="C24" s="1172" t="s">
        <v>464</v>
      </c>
      <c r="D24" s="1150">
        <v>61.130422116267866</v>
      </c>
      <c r="E24" s="1155">
        <v>61.831684486169024</v>
      </c>
      <c r="F24" s="1150">
        <v>28.383502</v>
      </c>
      <c r="G24" s="1152">
        <v>28.654368999999999</v>
      </c>
      <c r="H24" s="1150">
        <v>25.373507</v>
      </c>
      <c r="I24" s="1152">
        <v>28.330478639999995</v>
      </c>
      <c r="J24" s="1150">
        <v>32.089089789291791</v>
      </c>
      <c r="K24" s="1152">
        <f t="shared" si="5"/>
        <v>29.791304776998885</v>
      </c>
      <c r="L24" s="1150">
        <v>7.3734131162678658</v>
      </c>
      <c r="M24" s="1152">
        <f t="shared" si="6"/>
        <v>4.8468368461690261</v>
      </c>
      <c r="N24" s="1150">
        <v>12.061773599802565</v>
      </c>
      <c r="O24" s="1152">
        <f t="shared" si="7"/>
        <v>7.8387591838181319</v>
      </c>
      <c r="P24" s="1150">
        <v>3.7055877892917906</v>
      </c>
      <c r="Q24" s="1152">
        <f t="shared" si="8"/>
        <v>1.1369357769988859</v>
      </c>
      <c r="R24" s="1150">
        <v>11.547812086986507</v>
      </c>
      <c r="S24" s="1152">
        <f t="shared" si="9"/>
        <v>3.8163342811244885</v>
      </c>
      <c r="T24" s="1151">
        <v>17.208638901796466</v>
      </c>
      <c r="U24" s="1704">
        <v>7.838759183818131</v>
      </c>
      <c r="V24" s="1705">
        <v>3.8163342811244977E-2</v>
      </c>
    </row>
    <row r="25" spans="1:22">
      <c r="A25" s="1130">
        <v>1</v>
      </c>
      <c r="B25" s="1699"/>
      <c r="C25" s="1172" t="s">
        <v>465</v>
      </c>
      <c r="D25" s="1150">
        <v>22.304348219620117</v>
      </c>
      <c r="E25" s="1155">
        <v>21.286394999999999</v>
      </c>
      <c r="F25" s="1150">
        <v>17.606659000000004</v>
      </c>
      <c r="G25" s="1152">
        <v>17.333561</v>
      </c>
      <c r="H25" s="1150">
        <v>1.7603960000000001</v>
      </c>
      <c r="I25" s="1152">
        <v>1.4051601400000002</v>
      </c>
      <c r="J25" s="1150">
        <v>19.20569132644291</v>
      </c>
      <c r="K25" s="1152">
        <f t="shared" si="5"/>
        <v>18.604051160000001</v>
      </c>
      <c r="L25" s="1150">
        <v>2.9372932196201127</v>
      </c>
      <c r="M25" s="1152">
        <f t="shared" si="6"/>
        <v>2.5476738599999988</v>
      </c>
      <c r="N25" s="1150">
        <v>13.169150654832002</v>
      </c>
      <c r="O25" s="1152">
        <f t="shared" si="7"/>
        <v>11.968554844538021</v>
      </c>
      <c r="P25" s="1150">
        <v>1.5990323264429058</v>
      </c>
      <c r="Q25" s="1152">
        <f t="shared" si="8"/>
        <v>1.2704901600000014</v>
      </c>
      <c r="R25" s="1150">
        <v>8.3258253986479271</v>
      </c>
      <c r="S25" s="1152">
        <f t="shared" si="9"/>
        <v>6.8291048496557742</v>
      </c>
      <c r="T25" s="1151">
        <v>7.4258583152646231</v>
      </c>
      <c r="U25" s="1704">
        <v>11.968554844538023</v>
      </c>
      <c r="V25" s="1705">
        <v>6.8291048496557677E-2</v>
      </c>
    </row>
    <row r="26" spans="1:22">
      <c r="A26" s="1130">
        <v>1</v>
      </c>
      <c r="B26" s="1699"/>
      <c r="C26" s="1172" t="s">
        <v>588</v>
      </c>
      <c r="D26" s="1150">
        <v>90.355572656200962</v>
      </c>
      <c r="E26" s="1155">
        <v>83.839945518515165</v>
      </c>
      <c r="F26" s="1150">
        <v>59.183321000000007</v>
      </c>
      <c r="G26" s="1152">
        <v>54.880144999999999</v>
      </c>
      <c r="H26" s="1150">
        <v>18.887242545949604</v>
      </c>
      <c r="I26" s="1152">
        <v>16.651702851331095</v>
      </c>
      <c r="J26" s="1150">
        <v>66.046995750879304</v>
      </c>
      <c r="K26" s="1152">
        <f t="shared" si="5"/>
        <v>62.157845936073159</v>
      </c>
      <c r="L26" s="1150">
        <v>12.285009110251352</v>
      </c>
      <c r="M26" s="1152">
        <f t="shared" si="6"/>
        <v>12.308097667184072</v>
      </c>
      <c r="N26" s="1150">
        <v>13.596293785880013</v>
      </c>
      <c r="O26" s="1152">
        <f t="shared" si="7"/>
        <v>14.680469543561378</v>
      </c>
      <c r="P26" s="1150">
        <v>6.8636747508792979</v>
      </c>
      <c r="Q26" s="1152">
        <f t="shared" si="8"/>
        <v>7.2777009360731597</v>
      </c>
      <c r="R26" s="1150">
        <v>10.39210742721469</v>
      </c>
      <c r="S26" s="1152">
        <f t="shared" si="9"/>
        <v>11.708418827058425</v>
      </c>
      <c r="T26" s="1151">
        <v>31.874700329211095</v>
      </c>
      <c r="U26" s="1704">
        <v>14.680469543561376</v>
      </c>
      <c r="V26" s="1705">
        <v>0.11708418827058417</v>
      </c>
    </row>
    <row r="27" spans="1:22" ht="16.2" thickBot="1">
      <c r="A27" s="1160">
        <f>SUM(A18:A26)</f>
        <v>9</v>
      </c>
      <c r="B27" s="1700"/>
      <c r="C27" s="1161" t="s">
        <v>311</v>
      </c>
      <c r="D27" s="1162">
        <v>927.11163467982306</v>
      </c>
      <c r="E27" s="1167">
        <f>SUM(E18:E26)</f>
        <v>891.52783100000011</v>
      </c>
      <c r="F27" s="1162">
        <v>532.80010400000015</v>
      </c>
      <c r="G27" s="1164">
        <f>SUM(G18:G26)</f>
        <v>510.21684199999993</v>
      </c>
      <c r="H27" s="1162">
        <v>289.32078899999999</v>
      </c>
      <c r="I27" s="1164">
        <f>SUM(I18:I26)</f>
        <v>295.97560098000002</v>
      </c>
      <c r="J27" s="1162">
        <v>582.16414759903364</v>
      </c>
      <c r="K27" s="1164">
        <f>(E27-(E27*0.06)-I27)</f>
        <v>542.06056016000002</v>
      </c>
      <c r="L27" s="1162">
        <v>104.99074167982292</v>
      </c>
      <c r="M27" s="1164">
        <f t="shared" si="6"/>
        <v>85.335388020000153</v>
      </c>
      <c r="N27" s="1162">
        <v>11.324498340060348</v>
      </c>
      <c r="O27" s="1164">
        <f t="shared" si="7"/>
        <v>9.5718142555664247</v>
      </c>
      <c r="P27" s="1162">
        <v>49.364043599033621</v>
      </c>
      <c r="Q27" s="1164">
        <f t="shared" si="8"/>
        <v>31.843718160000094</v>
      </c>
      <c r="R27" s="1162">
        <v>8.4794028973823341</v>
      </c>
      <c r="S27" s="1164">
        <f t="shared" si="9"/>
        <v>5.8745683601479479</v>
      </c>
      <c r="T27" s="1163">
        <v>197.37044223173746</v>
      </c>
      <c r="U27" s="1706">
        <v>9.571814255566407</v>
      </c>
      <c r="V27" s="1707">
        <v>5.8745683601479248E-2</v>
      </c>
    </row>
    <row r="28" spans="1:22">
      <c r="A28" s="1130">
        <v>1</v>
      </c>
      <c r="B28" s="1698" t="s">
        <v>119</v>
      </c>
      <c r="C28" s="1172" t="s">
        <v>8</v>
      </c>
      <c r="D28" s="1150">
        <v>167.18609863376577</v>
      </c>
      <c r="E28" s="1155">
        <v>149.90450747270879</v>
      </c>
      <c r="F28" s="1150">
        <v>100.06507999999999</v>
      </c>
      <c r="G28" s="1152">
        <v>94.222149999999985</v>
      </c>
      <c r="H28" s="1150">
        <v>47.711260000000003</v>
      </c>
      <c r="I28" s="1152">
        <v>43.634956089999996</v>
      </c>
      <c r="J28" s="1150">
        <v>109.44367271573981</v>
      </c>
      <c r="K28" s="1152">
        <f t="shared" si="5"/>
        <v>97.275280934346256</v>
      </c>
      <c r="L28" s="1150">
        <v>19.409758633765769</v>
      </c>
      <c r="M28" s="1152">
        <f t="shared" si="6"/>
        <v>12.047401382708806</v>
      </c>
      <c r="N28" s="1150">
        <v>11.609672569897311</v>
      </c>
      <c r="O28" s="1152">
        <f t="shared" si="7"/>
        <v>8.0367172314028803</v>
      </c>
      <c r="P28" s="1150">
        <v>9.3785927157398135</v>
      </c>
      <c r="Q28" s="1152">
        <f t="shared" si="8"/>
        <v>3.0531309343462709</v>
      </c>
      <c r="R28" s="1150">
        <v>8.5693329573277541</v>
      </c>
      <c r="S28" s="1152">
        <f t="shared" si="9"/>
        <v>3.1386503385242466</v>
      </c>
      <c r="T28" s="1151">
        <v>43.305633499804443</v>
      </c>
      <c r="U28" s="1722">
        <v>8.0367172314028856</v>
      </c>
      <c r="V28" s="1705">
        <v>3.1386503385242466E-2</v>
      </c>
    </row>
    <row r="29" spans="1:22">
      <c r="A29" s="1130">
        <v>1</v>
      </c>
      <c r="B29" s="1699"/>
      <c r="C29" s="1172" t="s">
        <v>120</v>
      </c>
      <c r="D29" s="1150">
        <v>91.079265063595457</v>
      </c>
      <c r="E29" s="1155">
        <v>87.190066299999998</v>
      </c>
      <c r="F29" s="1150">
        <v>64.040046000000004</v>
      </c>
      <c r="G29" s="1152">
        <v>63.075323999999995</v>
      </c>
      <c r="H29" s="1150">
        <v>18.700419</v>
      </c>
      <c r="I29" s="1152">
        <v>17.789929819999998</v>
      </c>
      <c r="J29" s="1150">
        <v>66.914090159779732</v>
      </c>
      <c r="K29" s="1152">
        <f t="shared" si="5"/>
        <v>64.168732501999997</v>
      </c>
      <c r="L29" s="1150">
        <v>8.3388000635954533</v>
      </c>
      <c r="M29" s="1152">
        <f t="shared" si="6"/>
        <v>6.3248124800000056</v>
      </c>
      <c r="N29" s="1150">
        <v>9.1555416677692172</v>
      </c>
      <c r="O29" s="1152">
        <f t="shared" si="7"/>
        <v>7.2540516923543228</v>
      </c>
      <c r="P29" s="1150">
        <v>2.8740441597797286</v>
      </c>
      <c r="Q29" s="1152">
        <f t="shared" si="8"/>
        <v>1.0934085020000026</v>
      </c>
      <c r="R29" s="1150">
        <v>4.2951255152942949</v>
      </c>
      <c r="S29" s="1152">
        <f t="shared" si="9"/>
        <v>1.7039583912085585</v>
      </c>
      <c r="T29" s="1151">
        <v>13.27089327984069</v>
      </c>
      <c r="U29" s="1722">
        <v>7.2540516923543228</v>
      </c>
      <c r="V29" s="1705">
        <v>1.7039583912085585E-2</v>
      </c>
    </row>
    <row r="30" spans="1:22">
      <c r="A30" s="1130">
        <v>1</v>
      </c>
      <c r="B30" s="1699"/>
      <c r="C30" s="1172" t="s">
        <v>66</v>
      </c>
      <c r="D30" s="1150">
        <v>142.17413014770699</v>
      </c>
      <c r="E30" s="1155">
        <v>135.75988800000002</v>
      </c>
      <c r="F30" s="1150">
        <v>86.659035000000003</v>
      </c>
      <c r="G30" s="1152">
        <v>84.240605000000002</v>
      </c>
      <c r="H30" s="1150">
        <v>49.336778000000002</v>
      </c>
      <c r="I30" s="1152">
        <v>44.303579229999997</v>
      </c>
      <c r="J30" s="1150">
        <v>84.306904338844561</v>
      </c>
      <c r="K30" s="1152">
        <f t="shared" si="5"/>
        <v>83.310715490000021</v>
      </c>
      <c r="L30" s="1150">
        <v>6.1783171477069843</v>
      </c>
      <c r="M30" s="1152">
        <f t="shared" si="6"/>
        <v>7.2157037700000188</v>
      </c>
      <c r="N30" s="1150">
        <v>4.3455986973778078</v>
      </c>
      <c r="O30" s="1152">
        <f t="shared" si="7"/>
        <v>5.3150484110593972</v>
      </c>
      <c r="P30" s="1150">
        <v>-2.3521306611554422</v>
      </c>
      <c r="Q30" s="1152">
        <f t="shared" si="8"/>
        <v>-0.9298895099999811</v>
      </c>
      <c r="R30" s="1150">
        <v>-2.7899620791457451</v>
      </c>
      <c r="S30" s="1152">
        <f t="shared" si="9"/>
        <v>-1.116170356395028</v>
      </c>
      <c r="T30" s="1151">
        <v>-10.86095872195205</v>
      </c>
      <c r="U30" s="1722">
        <v>5.3150484110594078</v>
      </c>
      <c r="V30" s="1705">
        <v>-1.1161703563950281E-2</v>
      </c>
    </row>
    <row r="31" spans="1:22">
      <c r="A31" s="1130">
        <v>1</v>
      </c>
      <c r="B31" s="1699"/>
      <c r="C31" s="1172" t="s">
        <v>121</v>
      </c>
      <c r="D31" s="1150">
        <v>113.65392114957737</v>
      </c>
      <c r="E31" s="1155">
        <v>113.64747873000002</v>
      </c>
      <c r="F31" s="1150">
        <v>78.925316999999993</v>
      </c>
      <c r="G31" s="1152">
        <v>79.700759000000005</v>
      </c>
      <c r="H31" s="1150">
        <v>26.288855999999996</v>
      </c>
      <c r="I31" s="1152">
        <v>25.060326089999997</v>
      </c>
      <c r="J31" s="1150">
        <v>80.545829880602739</v>
      </c>
      <c r="K31" s="1152">
        <f t="shared" si="5"/>
        <v>81.768303916200011</v>
      </c>
      <c r="L31" s="1150">
        <v>8.4397481495773832</v>
      </c>
      <c r="M31" s="1152">
        <f t="shared" si="6"/>
        <v>8.8863936400000156</v>
      </c>
      <c r="N31" s="1150">
        <v>7.4258310353146726</v>
      </c>
      <c r="O31" s="1152">
        <f t="shared" si="7"/>
        <v>7.8192615791433617</v>
      </c>
      <c r="P31" s="1150">
        <v>1.620512880602746</v>
      </c>
      <c r="Q31" s="1152">
        <f t="shared" si="8"/>
        <v>2.0675449162000064</v>
      </c>
      <c r="R31" s="1150">
        <v>2.0119140655759788</v>
      </c>
      <c r="S31" s="1152">
        <f t="shared" si="9"/>
        <v>2.5285407880282356</v>
      </c>
      <c r="T31" s="1151">
        <v>7.4827150529010966</v>
      </c>
      <c r="U31" s="1722">
        <v>7.8192615791433679</v>
      </c>
      <c r="V31" s="1705">
        <v>2.5285407880282357E-2</v>
      </c>
    </row>
    <row r="32" spans="1:22">
      <c r="A32" s="1130">
        <v>1</v>
      </c>
      <c r="B32" s="1699"/>
      <c r="C32" s="1172" t="s">
        <v>122</v>
      </c>
      <c r="D32" s="1150">
        <v>56.552916620999788</v>
      </c>
      <c r="E32" s="1155">
        <v>52.842589000000004</v>
      </c>
      <c r="F32" s="1150">
        <v>44.786373999999995</v>
      </c>
      <c r="G32" s="1152">
        <v>43.475755000000007</v>
      </c>
      <c r="H32" s="1150">
        <v>4.9687029999999996</v>
      </c>
      <c r="I32" s="1152">
        <v>4.0681041400000009</v>
      </c>
      <c r="J32" s="1150">
        <v>48.1910386237398</v>
      </c>
      <c r="K32" s="1152">
        <f t="shared" si="5"/>
        <v>45.603929520000001</v>
      </c>
      <c r="L32" s="1150">
        <v>6.7978396209997936</v>
      </c>
      <c r="M32" s="1152">
        <f t="shared" si="6"/>
        <v>5.2987298599999963</v>
      </c>
      <c r="N32" s="1150">
        <v>12.02031659402612</v>
      </c>
      <c r="O32" s="1152">
        <f t="shared" si="7"/>
        <v>10.027385032175459</v>
      </c>
      <c r="P32" s="1150">
        <v>3.4046646237398051</v>
      </c>
      <c r="Q32" s="1152">
        <f t="shared" si="8"/>
        <v>2.1281745199999946</v>
      </c>
      <c r="R32" s="1150">
        <v>7.0649330684120271</v>
      </c>
      <c r="S32" s="1152">
        <f t="shared" si="9"/>
        <v>4.6666472437789928</v>
      </c>
      <c r="T32" s="1151">
        <v>15.721032233117393</v>
      </c>
      <c r="U32" s="1722">
        <v>10.027385032175456</v>
      </c>
      <c r="V32" s="1705">
        <v>4.666647243778993E-2</v>
      </c>
    </row>
    <row r="33" spans="1:22">
      <c r="A33" s="1130">
        <v>1</v>
      </c>
      <c r="B33" s="1699"/>
      <c r="C33" s="1172" t="s">
        <v>123</v>
      </c>
      <c r="D33" s="1150">
        <v>76.375762490110574</v>
      </c>
      <c r="E33" s="1155">
        <v>70.665156379999999</v>
      </c>
      <c r="F33" s="1150">
        <v>59.260659000000004</v>
      </c>
      <c r="G33" s="1152">
        <v>56.537446999999993</v>
      </c>
      <c r="H33" s="1150">
        <v>9.7590260000000004</v>
      </c>
      <c r="I33" s="1152">
        <v>9.88270275</v>
      </c>
      <c r="J33" s="1150">
        <v>62.034190740703941</v>
      </c>
      <c r="K33" s="1152">
        <f t="shared" si="5"/>
        <v>56.542544247200006</v>
      </c>
      <c r="L33" s="1150">
        <v>7.3560774901105699</v>
      </c>
      <c r="M33" s="1152">
        <f t="shared" si="6"/>
        <v>4.245006630000006</v>
      </c>
      <c r="N33" s="1150">
        <v>9.6314291998892489</v>
      </c>
      <c r="O33" s="1152">
        <f t="shared" si="7"/>
        <v>6.0072132398216116</v>
      </c>
      <c r="P33" s="1150">
        <v>2.7735317407039375</v>
      </c>
      <c r="Q33" s="1152">
        <f t="shared" si="8"/>
        <v>5.097247200012589E-3</v>
      </c>
      <c r="R33" s="1150">
        <v>4.4709727129301866</v>
      </c>
      <c r="S33" s="1152">
        <f t="shared" si="9"/>
        <v>9.0148882896528056E-3</v>
      </c>
      <c r="T33" s="1151">
        <v>12.806777381581256</v>
      </c>
      <c r="U33" s="1722">
        <v>6.0072132398216116</v>
      </c>
      <c r="V33" s="1705">
        <v>9.0148882896528055E-5</v>
      </c>
    </row>
    <row r="34" spans="1:22">
      <c r="A34" s="1130">
        <v>1</v>
      </c>
      <c r="B34" s="1699"/>
      <c r="C34" s="1172" t="s">
        <v>428</v>
      </c>
      <c r="D34" s="1150">
        <v>45.793556572611074</v>
      </c>
      <c r="E34" s="1155">
        <v>46.14427091999999</v>
      </c>
      <c r="F34" s="1150">
        <v>26.538271999999999</v>
      </c>
      <c r="G34" s="1152">
        <v>26.431957000000001</v>
      </c>
      <c r="H34" s="1150">
        <v>14.503099999999998</v>
      </c>
      <c r="I34" s="1152">
        <v>15.615682569999997</v>
      </c>
      <c r="J34" s="1150">
        <v>28.542843178254415</v>
      </c>
      <c r="K34" s="1152">
        <f t="shared" si="5"/>
        <v>27.759932094799993</v>
      </c>
      <c r="L34" s="1150">
        <v>4.7521845726110765</v>
      </c>
      <c r="M34" s="1152">
        <f t="shared" si="6"/>
        <v>4.096631349999992</v>
      </c>
      <c r="N34" s="1150">
        <v>10.37740880657725</v>
      </c>
      <c r="O34" s="1152">
        <f t="shared" si="7"/>
        <v>8.8778764260947884</v>
      </c>
      <c r="P34" s="1150">
        <v>2.004571178254416</v>
      </c>
      <c r="Q34" s="1152">
        <f t="shared" si="8"/>
        <v>1.3279750947999922</v>
      </c>
      <c r="R34" s="1150">
        <v>7.0230255820541876</v>
      </c>
      <c r="S34" s="1152">
        <f t="shared" si="9"/>
        <v>4.7837836571968753</v>
      </c>
      <c r="T34" s="1151">
        <v>9.256103490246204</v>
      </c>
      <c r="U34" s="1722">
        <v>8.8778764260947813</v>
      </c>
      <c r="V34" s="1705">
        <v>4.7837836571968752E-2</v>
      </c>
    </row>
    <row r="35" spans="1:22">
      <c r="A35" s="1130">
        <v>1</v>
      </c>
      <c r="B35" s="1699"/>
      <c r="C35" s="1174" t="s">
        <v>559</v>
      </c>
      <c r="D35" s="1150">
        <v>125.79631832163309</v>
      </c>
      <c r="E35" s="1155">
        <v>114.87368502511677</v>
      </c>
      <c r="F35" s="1150">
        <v>78.465196999999989</v>
      </c>
      <c r="G35" s="1152">
        <v>77.604636999999997</v>
      </c>
      <c r="H35" s="1150">
        <v>33.436197</v>
      </c>
      <c r="I35" s="1152">
        <v>28.851212390000001</v>
      </c>
      <c r="J35" s="1150">
        <v>84.812342222335104</v>
      </c>
      <c r="K35" s="1152">
        <f t="shared" si="5"/>
        <v>79.130051533609759</v>
      </c>
      <c r="L35" s="1150">
        <v>13.894924321633106</v>
      </c>
      <c r="M35" s="1152">
        <f t="shared" si="6"/>
        <v>8.4178356351167736</v>
      </c>
      <c r="N35" s="1150">
        <v>11.045573119323642</v>
      </c>
      <c r="O35" s="1152">
        <f t="shared" si="7"/>
        <v>7.3279059806223161</v>
      </c>
      <c r="P35" s="1150">
        <v>6.347145222335115</v>
      </c>
      <c r="Q35" s="1152">
        <f t="shared" si="8"/>
        <v>1.5254145336097622</v>
      </c>
      <c r="R35" s="1150">
        <v>7.4837518408536665</v>
      </c>
      <c r="S35" s="1152">
        <f t="shared" si="9"/>
        <v>1.9277309998488454</v>
      </c>
      <c r="T35" s="1151">
        <v>29.307930635177058</v>
      </c>
      <c r="U35" s="1722">
        <v>7.3279059806223161</v>
      </c>
      <c r="V35" s="1705">
        <v>1.9277309998488455E-2</v>
      </c>
    </row>
    <row r="36" spans="1:22" ht="16.2" thickBot="1">
      <c r="A36" s="1160">
        <f>SUM(A28:A35)</f>
        <v>8</v>
      </c>
      <c r="B36" s="1700"/>
      <c r="C36" s="1161" t="s">
        <v>311</v>
      </c>
      <c r="D36" s="1162">
        <v>818.61196900000016</v>
      </c>
      <c r="E36" s="1167">
        <f>SUM(E28:E35)</f>
        <v>771.02764182782539</v>
      </c>
      <c r="F36" s="1162">
        <v>538.73998000000006</v>
      </c>
      <c r="G36" s="1164">
        <f>SUM(G28:G35)</f>
        <v>525.288634</v>
      </c>
      <c r="H36" s="1162">
        <v>204.70433899999998</v>
      </c>
      <c r="I36" s="1164">
        <f>SUM(I28:I35)</f>
        <v>189.20649307999997</v>
      </c>
      <c r="J36" s="1162">
        <v>564.79091186000016</v>
      </c>
      <c r="K36" s="1164">
        <f t="shared" si="5"/>
        <v>535.55949023815595</v>
      </c>
      <c r="L36" s="1162">
        <v>75.167650000000123</v>
      </c>
      <c r="M36" s="1164">
        <f t="shared" si="6"/>
        <v>56.532514747825417</v>
      </c>
      <c r="N36" s="1162">
        <v>9.1823297052232711</v>
      </c>
      <c r="O36" s="1164">
        <f t="shared" si="7"/>
        <v>7.3320996136801835</v>
      </c>
      <c r="P36" s="1162">
        <v>26.050931860000119</v>
      </c>
      <c r="Q36" s="1164">
        <f t="shared" si="8"/>
        <v>10.270856238155943</v>
      </c>
      <c r="R36" s="1162">
        <v>4.6124913331568624</v>
      </c>
      <c r="S36" s="1164">
        <f t="shared" si="9"/>
        <v>1.9177806434890425</v>
      </c>
      <c r="T36" s="1163">
        <v>120.29012685071609</v>
      </c>
      <c r="U36" s="1723">
        <v>7.3320996136801835</v>
      </c>
      <c r="V36" s="1724">
        <v>1.9177806434890424E-2</v>
      </c>
    </row>
    <row r="37" spans="1:22">
      <c r="A37" s="1130">
        <v>1</v>
      </c>
      <c r="B37" s="1698" t="s">
        <v>124</v>
      </c>
      <c r="C37" s="1172" t="s">
        <v>321</v>
      </c>
      <c r="D37" s="1150">
        <v>116.52670000000001</v>
      </c>
      <c r="E37" s="1155">
        <v>110.266221</v>
      </c>
      <c r="F37" s="1150">
        <v>86.638211999999996</v>
      </c>
      <c r="G37" s="1152">
        <v>83.124949999999998</v>
      </c>
      <c r="H37" s="1150">
        <v>14.542445000000001</v>
      </c>
      <c r="I37" s="1152">
        <v>13.999206969999999</v>
      </c>
      <c r="J37" s="1150">
        <f>(D37-(D37*0.06)-G37)</f>
        <v>26.410148000000007</v>
      </c>
      <c r="K37" s="1152">
        <f t="shared" ref="J37:K42" si="10">(E37-(E37*0.06)-I37)</f>
        <v>89.651040769999994</v>
      </c>
      <c r="L37" s="1150">
        <f t="shared" si="6"/>
        <v>15.346043000000009</v>
      </c>
      <c r="M37" s="1152">
        <f t="shared" si="6"/>
        <v>13.142064030000004</v>
      </c>
      <c r="N37" s="1150">
        <f t="shared" si="7"/>
        <v>13.169550841137703</v>
      </c>
      <c r="O37" s="1152">
        <f t="shared" si="7"/>
        <v>11.91848592507764</v>
      </c>
      <c r="P37" s="1150">
        <f>J37-F37</f>
        <v>-60.228063999999989</v>
      </c>
      <c r="Q37" s="1152">
        <f>K37-G37</f>
        <v>6.5260907699999962</v>
      </c>
      <c r="R37" s="1150">
        <f t="shared" si="9"/>
        <v>-228.04894542809825</v>
      </c>
      <c r="S37" s="1152">
        <f t="shared" si="9"/>
        <v>7.2794367069788963</v>
      </c>
      <c r="T37" s="1151">
        <v>39.029119676504301</v>
      </c>
      <c r="U37" s="1722">
        <v>11.918485925077636</v>
      </c>
      <c r="V37" s="1705">
        <v>7.2794367069788965E-2</v>
      </c>
    </row>
    <row r="38" spans="1:22">
      <c r="A38" s="1130">
        <v>1</v>
      </c>
      <c r="B38" s="1699"/>
      <c r="C38" s="1172" t="s">
        <v>325</v>
      </c>
      <c r="D38" s="1150">
        <v>91.772081999999997</v>
      </c>
      <c r="E38" s="1155">
        <v>82.168386999999996</v>
      </c>
      <c r="F38" s="1150">
        <v>59.762310999999997</v>
      </c>
      <c r="G38" s="1152">
        <v>55.910271999999999</v>
      </c>
      <c r="H38" s="1150">
        <v>18.686975</v>
      </c>
      <c r="I38" s="1152">
        <v>17.46744425</v>
      </c>
      <c r="J38" s="1150">
        <f>(D38-(D38*0.06)-G38)</f>
        <v>30.355485080000001</v>
      </c>
      <c r="K38" s="1152">
        <f t="shared" si="10"/>
        <v>59.770839529999989</v>
      </c>
      <c r="L38" s="1150">
        <f t="shared" si="6"/>
        <v>13.322796</v>
      </c>
      <c r="M38" s="1152">
        <f t="shared" si="6"/>
        <v>8.7906707499999968</v>
      </c>
      <c r="N38" s="1150">
        <f t="shared" si="7"/>
        <v>14.51726462956349</v>
      </c>
      <c r="O38" s="1152">
        <f t="shared" si="7"/>
        <v>10.698361098411239</v>
      </c>
      <c r="P38" s="1150">
        <f t="shared" si="8"/>
        <v>-29.406825919999996</v>
      </c>
      <c r="Q38" s="1152">
        <f t="shared" si="8"/>
        <v>3.8605675299999902</v>
      </c>
      <c r="R38" s="1150">
        <f t="shared" si="9"/>
        <v>-96.874834457430438</v>
      </c>
      <c r="S38" s="1152">
        <f t="shared" si="9"/>
        <v>6.4589481432033535</v>
      </c>
      <c r="T38" s="1151">
        <v>36.515906357978295</v>
      </c>
      <c r="U38" s="1722">
        <v>10.698361098411242</v>
      </c>
      <c r="V38" s="1705">
        <v>6.4589481432033705E-2</v>
      </c>
    </row>
    <row r="39" spans="1:22">
      <c r="A39" s="1130">
        <v>1</v>
      </c>
      <c r="B39" s="1699"/>
      <c r="C39" s="1172" t="s">
        <v>326</v>
      </c>
      <c r="D39" s="1150">
        <v>54.341583999999997</v>
      </c>
      <c r="E39" s="1155">
        <v>52.077790999999998</v>
      </c>
      <c r="F39" s="1150">
        <v>40.950336999999998</v>
      </c>
      <c r="G39" s="1152">
        <v>38.787188</v>
      </c>
      <c r="H39" s="1150">
        <v>10.963298</v>
      </c>
      <c r="I39" s="1152">
        <v>9.8576855300000013</v>
      </c>
      <c r="J39" s="1150">
        <f>(D39-(D39*0.06)-G39)</f>
        <v>12.293900959999995</v>
      </c>
      <c r="K39" s="1152">
        <f t="shared" si="10"/>
        <v>39.095438009999995</v>
      </c>
      <c r="L39" s="1150">
        <f t="shared" si="6"/>
        <v>2.4279489999999999</v>
      </c>
      <c r="M39" s="1152">
        <f t="shared" si="6"/>
        <v>3.432917469999996</v>
      </c>
      <c r="N39" s="1150">
        <f t="shared" si="7"/>
        <v>4.4679393224901212</v>
      </c>
      <c r="O39" s="1152">
        <f t="shared" si="7"/>
        <v>6.5919030052561096</v>
      </c>
      <c r="P39" s="1150">
        <f t="shared" si="8"/>
        <v>-28.656436040000003</v>
      </c>
      <c r="Q39" s="1152">
        <f t="shared" si="8"/>
        <v>0.30825000999999475</v>
      </c>
      <c r="R39" s="1150">
        <f t="shared" si="9"/>
        <v>-233.0947364326255</v>
      </c>
      <c r="S39" s="1152">
        <f t="shared" si="9"/>
        <v>0.78845518988980068</v>
      </c>
      <c r="T39" s="1151">
        <v>-3.8893732125656117</v>
      </c>
      <c r="U39" s="1722">
        <v>6.5919030052561149</v>
      </c>
      <c r="V39" s="1705">
        <v>7.8845518988980862E-3</v>
      </c>
    </row>
    <row r="40" spans="1:22">
      <c r="A40" s="1130">
        <v>1</v>
      </c>
      <c r="B40" s="1699"/>
      <c r="C40" s="1172" t="s">
        <v>569</v>
      </c>
      <c r="D40" s="1150">
        <v>52.067616000000001</v>
      </c>
      <c r="E40" s="1155">
        <v>50.300761999999999</v>
      </c>
      <c r="F40" s="1150">
        <v>37.251246000000002</v>
      </c>
      <c r="G40" s="1152">
        <v>34.894143</v>
      </c>
      <c r="H40" s="1150">
        <v>11.398002999999999</v>
      </c>
      <c r="I40" s="1152">
        <v>11.14173534</v>
      </c>
      <c r="J40" s="1150">
        <f t="shared" si="10"/>
        <v>37.545556040000008</v>
      </c>
      <c r="K40" s="1152">
        <f t="shared" si="10"/>
        <v>36.140980940000006</v>
      </c>
      <c r="L40" s="1150">
        <f t="shared" si="6"/>
        <v>3.4183669999999999</v>
      </c>
      <c r="M40" s="1152">
        <f t="shared" si="6"/>
        <v>4.2648836599999989</v>
      </c>
      <c r="N40" s="1150">
        <f t="shared" si="7"/>
        <v>6.5652458526236339</v>
      </c>
      <c r="O40" s="1152">
        <f t="shared" si="7"/>
        <v>8.4787655105503159</v>
      </c>
      <c r="P40" s="1150">
        <f t="shared" si="8"/>
        <v>0.29431004000000627</v>
      </c>
      <c r="Q40" s="1152">
        <f t="shared" si="8"/>
        <v>1.246837940000006</v>
      </c>
      <c r="R40" s="1150">
        <f t="shared" si="9"/>
        <v>0.78387450085026411</v>
      </c>
      <c r="S40" s="1152">
        <f t="shared" si="9"/>
        <v>3.4499283294771739</v>
      </c>
      <c r="T40" s="1151">
        <v>1.3749168583698714</v>
      </c>
      <c r="U40" s="1722">
        <v>8.4787655105503088</v>
      </c>
      <c r="V40" s="1705">
        <v>3.4499283294771511E-2</v>
      </c>
    </row>
    <row r="41" spans="1:22">
      <c r="A41" s="1130">
        <v>1</v>
      </c>
      <c r="B41" s="1699"/>
      <c r="C41" s="1172" t="s">
        <v>741</v>
      </c>
      <c r="D41" s="1150">
        <v>152.5299574963249</v>
      </c>
      <c r="E41" s="1155">
        <v>141.12358800000001</v>
      </c>
      <c r="F41" s="1150">
        <v>76.999602999999993</v>
      </c>
      <c r="G41" s="1152">
        <v>71.537417000000005</v>
      </c>
      <c r="H41" s="1150">
        <v>49.232619999999997</v>
      </c>
      <c r="I41" s="1152">
        <v>49.354844649999997</v>
      </c>
      <c r="J41" s="1150">
        <f t="shared" si="10"/>
        <v>94.14554004654542</v>
      </c>
      <c r="K41" s="1152">
        <f t="shared" si="10"/>
        <v>83.301328070000011</v>
      </c>
      <c r="L41" s="1150">
        <f t="shared" si="6"/>
        <v>26.297734496324907</v>
      </c>
      <c r="M41" s="1152">
        <f t="shared" si="6"/>
        <v>20.23132635000001</v>
      </c>
      <c r="N41" s="1150">
        <f t="shared" si="7"/>
        <v>17.241029190582797</v>
      </c>
      <c r="O41" s="1152">
        <f t="shared" si="7"/>
        <v>14.335892841670104</v>
      </c>
      <c r="P41" s="1150">
        <f t="shared" si="8"/>
        <v>17.145937046545427</v>
      </c>
      <c r="Q41" s="1152">
        <f t="shared" si="8"/>
        <v>11.763911070000006</v>
      </c>
      <c r="R41" s="1150">
        <f t="shared" si="9"/>
        <v>18.212160701471891</v>
      </c>
      <c r="S41" s="1152">
        <f t="shared" si="9"/>
        <v>14.12211706890738</v>
      </c>
      <c r="T41" s="1151">
        <v>84.034090355875378</v>
      </c>
      <c r="U41" s="1722">
        <v>14.335892841670091</v>
      </c>
      <c r="V41" s="1705">
        <v>0.14122117068907367</v>
      </c>
    </row>
    <row r="42" spans="1:22">
      <c r="A42" s="1130">
        <v>1</v>
      </c>
      <c r="B42" s="1699"/>
      <c r="C42" s="1172" t="s">
        <v>328</v>
      </c>
      <c r="D42" s="1150">
        <v>42.621274</v>
      </c>
      <c r="E42" s="1155">
        <v>40.632800000000003</v>
      </c>
      <c r="F42" s="1150">
        <v>36.630822000000002</v>
      </c>
      <c r="G42" s="1152">
        <v>33.372062</v>
      </c>
      <c r="H42" s="1150">
        <v>2.234178</v>
      </c>
      <c r="I42" s="1152">
        <v>1.9370266299999999</v>
      </c>
      <c r="J42" s="1150">
        <f t="shared" si="10"/>
        <v>37.829819559999997</v>
      </c>
      <c r="K42" s="1152">
        <f t="shared" si="10"/>
        <v>36.257805370000007</v>
      </c>
      <c r="L42" s="1150">
        <f t="shared" si="6"/>
        <v>3.7562739999999977</v>
      </c>
      <c r="M42" s="1152">
        <f t="shared" si="6"/>
        <v>5.3237113700000034</v>
      </c>
      <c r="N42" s="1150">
        <f t="shared" si="7"/>
        <v>8.8131434081487043</v>
      </c>
      <c r="O42" s="1152">
        <f t="shared" si="7"/>
        <v>13.102004710480211</v>
      </c>
      <c r="P42" s="1150">
        <f t="shared" si="8"/>
        <v>1.1989975599999951</v>
      </c>
      <c r="Q42" s="1152">
        <f t="shared" si="8"/>
        <v>2.8857433700000072</v>
      </c>
      <c r="R42" s="1150">
        <f t="shared" si="9"/>
        <v>3.1694509092181224</v>
      </c>
      <c r="S42" s="1152">
        <f t="shared" si="9"/>
        <v>7.9589576383674174</v>
      </c>
      <c r="T42" s="1151">
        <v>5.6013106395839545</v>
      </c>
      <c r="U42" s="1722">
        <v>13.102004710480198</v>
      </c>
      <c r="V42" s="1705">
        <v>7.9589576383673921E-2</v>
      </c>
    </row>
    <row r="43" spans="1:22">
      <c r="A43" s="1130">
        <v>1</v>
      </c>
      <c r="B43" s="1699"/>
      <c r="C43" s="1172" t="s">
        <v>322</v>
      </c>
      <c r="D43" s="1150">
        <v>157.60520299999999</v>
      </c>
      <c r="E43" s="1155">
        <v>153.47866200000001</v>
      </c>
      <c r="F43" s="1150">
        <v>97.245468000000002</v>
      </c>
      <c r="G43" s="1152">
        <v>91.063412999999997</v>
      </c>
      <c r="H43" s="1150">
        <v>49.425161000000003</v>
      </c>
      <c r="I43" s="1152">
        <v>48.308817739999995</v>
      </c>
      <c r="J43" s="1150">
        <f t="shared" ref="J43:K56" si="11">(D43-(D43*0.06)-H43)</f>
        <v>98.723729819999988</v>
      </c>
      <c r="K43" s="1152">
        <f t="shared" si="11"/>
        <v>95.961124540000014</v>
      </c>
      <c r="L43" s="1150">
        <f t="shared" si="6"/>
        <v>10.934573999999984</v>
      </c>
      <c r="M43" s="1152">
        <f t="shared" si="6"/>
        <v>14.106431260000022</v>
      </c>
      <c r="N43" s="1150">
        <f t="shared" si="7"/>
        <v>6.9379524228016658</v>
      </c>
      <c r="O43" s="1152">
        <f t="shared" si="7"/>
        <v>9.1911351559736829</v>
      </c>
      <c r="P43" s="1150">
        <f t="shared" si="8"/>
        <v>1.478261819999986</v>
      </c>
      <c r="Q43" s="1152">
        <f t="shared" si="8"/>
        <v>4.8977115400000173</v>
      </c>
      <c r="R43" s="1150">
        <f t="shared" si="9"/>
        <v>1.4973723366157825</v>
      </c>
      <c r="S43" s="1152">
        <f t="shared" si="9"/>
        <v>5.1038496719142517</v>
      </c>
      <c r="T43" s="1151">
        <v>6.9059387080460573</v>
      </c>
      <c r="U43" s="1722">
        <v>9.1911351559736616</v>
      </c>
      <c r="V43" s="1705">
        <v>5.1038496719142408E-2</v>
      </c>
    </row>
    <row r="44" spans="1:22">
      <c r="A44" s="1130">
        <v>1</v>
      </c>
      <c r="B44" s="1699"/>
      <c r="C44" s="1172" t="s">
        <v>324</v>
      </c>
      <c r="D44" s="1150">
        <v>86.568405999999996</v>
      </c>
      <c r="E44" s="1155">
        <v>79.077482000000003</v>
      </c>
      <c r="F44" s="1150">
        <v>58.675272999999997</v>
      </c>
      <c r="G44" s="1152">
        <v>54.862296000000001</v>
      </c>
      <c r="H44" s="1150">
        <v>20.498080999999999</v>
      </c>
      <c r="I44" s="1152">
        <v>19.403505380000002</v>
      </c>
      <c r="J44" s="1150">
        <f t="shared" si="11"/>
        <v>60.87622064</v>
      </c>
      <c r="K44" s="1152">
        <f t="shared" si="11"/>
        <v>54.929327700000002</v>
      </c>
      <c r="L44" s="1150">
        <f t="shared" si="6"/>
        <v>7.3950519999999997</v>
      </c>
      <c r="M44" s="1152">
        <f t="shared" si="6"/>
        <v>4.8116806200000006</v>
      </c>
      <c r="N44" s="1150">
        <f t="shared" si="7"/>
        <v>8.5424375262263688</v>
      </c>
      <c r="O44" s="1152">
        <f t="shared" si="7"/>
        <v>6.0847671148658984</v>
      </c>
      <c r="P44" s="1150">
        <f t="shared" si="8"/>
        <v>2.2009476400000025</v>
      </c>
      <c r="Q44" s="1152">
        <f t="shared" si="8"/>
        <v>6.7031700000001138E-2</v>
      </c>
      <c r="R44" s="1150">
        <f t="shared" si="9"/>
        <v>3.6154472417327166</v>
      </c>
      <c r="S44" s="1152">
        <f t="shared" si="9"/>
        <v>0.12203262411311314</v>
      </c>
      <c r="T44" s="1151">
        <v>18.074886651723613</v>
      </c>
      <c r="U44" s="1722">
        <v>6.0847671148659046</v>
      </c>
      <c r="V44" s="1705">
        <v>1.2203262411310295E-3</v>
      </c>
    </row>
    <row r="45" spans="1:22">
      <c r="A45" s="1130">
        <v>1</v>
      </c>
      <c r="B45" s="1699"/>
      <c r="C45" s="1172" t="s">
        <v>320</v>
      </c>
      <c r="D45" s="1150">
        <v>149.38039213683012</v>
      </c>
      <c r="E45" s="1155">
        <v>130.49523400000001</v>
      </c>
      <c r="F45" s="1150">
        <v>90.505600000000001</v>
      </c>
      <c r="G45" s="1152">
        <v>80.550676999999993</v>
      </c>
      <c r="H45" s="1150">
        <v>45.242725999999998</v>
      </c>
      <c r="I45" s="1152">
        <v>38.234070619999997</v>
      </c>
      <c r="J45" s="1150">
        <f t="shared" si="11"/>
        <v>95.17484260862031</v>
      </c>
      <c r="K45" s="1152">
        <f t="shared" si="11"/>
        <v>84.431449340000015</v>
      </c>
      <c r="L45" s="1150">
        <f t="shared" si="6"/>
        <v>13.632066136830126</v>
      </c>
      <c r="M45" s="1152">
        <f t="shared" si="6"/>
        <v>11.71048638000002</v>
      </c>
      <c r="N45" s="1150">
        <f t="shared" si="7"/>
        <v>9.1257399594609208</v>
      </c>
      <c r="O45" s="1152">
        <f t="shared" si="7"/>
        <v>8.9738805173528551</v>
      </c>
      <c r="P45" s="1150">
        <f t="shared" si="8"/>
        <v>4.6692426086203085</v>
      </c>
      <c r="Q45" s="1152">
        <f t="shared" si="8"/>
        <v>3.8807723400000214</v>
      </c>
      <c r="R45" s="1150">
        <f t="shared" si="9"/>
        <v>4.9059630472111744</v>
      </c>
      <c r="S45" s="1152">
        <f t="shared" si="9"/>
        <v>4.5963587861347746</v>
      </c>
      <c r="T45" s="1151">
        <v>47.858681871004393</v>
      </c>
      <c r="U45" s="1725">
        <v>8.9738805173528355</v>
      </c>
      <c r="V45" s="1726">
        <v>4.5963587861347535E-2</v>
      </c>
    </row>
    <row r="46" spans="1:22">
      <c r="A46" s="1130">
        <v>1</v>
      </c>
      <c r="B46" s="1699"/>
      <c r="C46" s="1172" t="s">
        <v>816</v>
      </c>
      <c r="D46" s="1150">
        <v>99.937019240000012</v>
      </c>
      <c r="E46" s="1155">
        <v>88.808572999999996</v>
      </c>
      <c r="F46" s="1150">
        <v>53.662207769999995</v>
      </c>
      <c r="G46" s="1152">
        <v>51.024633000000001</v>
      </c>
      <c r="H46" s="1150">
        <v>24.075539853399999</v>
      </c>
      <c r="I46" s="1152">
        <v>22.419810380000001</v>
      </c>
      <c r="J46" s="1150">
        <f t="shared" si="11"/>
        <v>69.865258232200006</v>
      </c>
      <c r="K46" s="1152">
        <f t="shared" si="11"/>
        <v>61.060248239999993</v>
      </c>
      <c r="L46" s="1150">
        <f t="shared" si="6"/>
        <v>22.199271616600019</v>
      </c>
      <c r="M46" s="1152">
        <f t="shared" si="6"/>
        <v>15.364129619999993</v>
      </c>
      <c r="N46" s="1150">
        <f t="shared" si="7"/>
        <v>22.213261697637975</v>
      </c>
      <c r="O46" s="1152">
        <f t="shared" si="7"/>
        <v>17.300277553159191</v>
      </c>
      <c r="P46" s="1150">
        <f t="shared" si="8"/>
        <v>16.203050462200011</v>
      </c>
      <c r="Q46" s="1152">
        <f t="shared" si="8"/>
        <v>10.035615239999991</v>
      </c>
      <c r="R46" s="1150">
        <f t="shared" si="9"/>
        <v>23.191856542415572</v>
      </c>
      <c r="S46" s="1152">
        <f t="shared" si="9"/>
        <v>16.435595218274521</v>
      </c>
      <c r="T46" s="1151">
        <v>96.277542755899802</v>
      </c>
      <c r="U46" s="1725">
        <v>17.300277553159205</v>
      </c>
      <c r="V46" s="1726">
        <v>0.16435595218274537</v>
      </c>
    </row>
    <row r="47" spans="1:22">
      <c r="A47" s="1130">
        <v>1</v>
      </c>
      <c r="B47" s="1699"/>
      <c r="C47" s="1172" t="s">
        <v>817</v>
      </c>
      <c r="D47" s="1150">
        <v>104.95454100000001</v>
      </c>
      <c r="E47" s="1155">
        <v>99.508859000000001</v>
      </c>
      <c r="F47" s="1150">
        <v>70.160725999999997</v>
      </c>
      <c r="G47" s="1152">
        <v>65.443865000000002</v>
      </c>
      <c r="H47" s="1150">
        <v>27.099350999999999</v>
      </c>
      <c r="I47" s="1152">
        <v>27.487234399999998</v>
      </c>
      <c r="J47" s="1150">
        <f t="shared" si="11"/>
        <v>71.557917540000005</v>
      </c>
      <c r="K47" s="1152">
        <f t="shared" si="11"/>
        <v>66.051093059999999</v>
      </c>
      <c r="L47" s="1150">
        <f t="shared" si="6"/>
        <v>7.6944640000000106</v>
      </c>
      <c r="M47" s="1152">
        <f t="shared" si="6"/>
        <v>6.5777596000000003</v>
      </c>
      <c r="N47" s="1150">
        <f t="shared" si="7"/>
        <v>7.331234958190147</v>
      </c>
      <c r="O47" s="1152">
        <f t="shared" si="7"/>
        <v>6.6102251257850329</v>
      </c>
      <c r="P47" s="1150">
        <f t="shared" si="8"/>
        <v>1.3971915400000086</v>
      </c>
      <c r="Q47" s="1152">
        <f t="shared" si="8"/>
        <v>0.60722805999999707</v>
      </c>
      <c r="R47" s="1150">
        <f t="shared" si="9"/>
        <v>1.9525324213340831</v>
      </c>
      <c r="S47" s="1152">
        <f t="shared" si="9"/>
        <v>0.91933082689244616</v>
      </c>
      <c r="T47" s="1151">
        <v>6.5272058089415053</v>
      </c>
      <c r="U47" s="1722">
        <v>6.6102251257850257</v>
      </c>
      <c r="V47" s="1705">
        <v>9.1933082689244286E-3</v>
      </c>
    </row>
    <row r="48" spans="1:22">
      <c r="A48" s="1130">
        <v>1</v>
      </c>
      <c r="B48" s="1699"/>
      <c r="C48" s="1172" t="s">
        <v>323</v>
      </c>
      <c r="D48" s="1150">
        <v>107.198657</v>
      </c>
      <c r="E48" s="1155">
        <v>100.83090799999999</v>
      </c>
      <c r="F48" s="1150">
        <v>65.272426999999993</v>
      </c>
      <c r="G48" s="1152">
        <v>61.180486999999999</v>
      </c>
      <c r="H48" s="1150">
        <v>31.141662</v>
      </c>
      <c r="I48" s="1152">
        <v>29.404788279999998</v>
      </c>
      <c r="J48" s="1150">
        <f t="shared" si="11"/>
        <v>69.625075580000001</v>
      </c>
      <c r="K48" s="1152">
        <f t="shared" si="11"/>
        <v>65.376265240000009</v>
      </c>
      <c r="L48" s="1150">
        <f t="shared" si="6"/>
        <v>10.784568000000004</v>
      </c>
      <c r="M48" s="1152">
        <f t="shared" si="6"/>
        <v>10.245632719999996</v>
      </c>
      <c r="N48" s="1150">
        <f t="shared" si="7"/>
        <v>10.060357379290679</v>
      </c>
      <c r="O48" s="1152">
        <f t="shared" si="7"/>
        <v>10.161202475732933</v>
      </c>
      <c r="P48" s="1150">
        <f t="shared" si="8"/>
        <v>4.3526485800000074</v>
      </c>
      <c r="Q48" s="1152">
        <f t="shared" si="8"/>
        <v>4.1957782400000099</v>
      </c>
      <c r="R48" s="1150">
        <f t="shared" si="9"/>
        <v>6.2515531132153166</v>
      </c>
      <c r="S48" s="1152">
        <f t="shared" si="9"/>
        <v>6.4178922191365135</v>
      </c>
      <c r="T48" s="1151">
        <v>20.33410043096686</v>
      </c>
      <c r="U48" s="1722">
        <v>10.161202475732937</v>
      </c>
      <c r="V48" s="1705">
        <v>6.4178922191364923E-2</v>
      </c>
    </row>
    <row r="49" spans="1:22">
      <c r="A49" s="1130">
        <v>1</v>
      </c>
      <c r="B49" s="1699"/>
      <c r="C49" s="1172" t="s">
        <v>425</v>
      </c>
      <c r="D49" s="1150">
        <v>59.001170999999999</v>
      </c>
      <c r="E49" s="1155">
        <v>52.172117</v>
      </c>
      <c r="F49" s="1150">
        <v>35.644016000000001</v>
      </c>
      <c r="G49" s="1152">
        <v>33.503818000000003</v>
      </c>
      <c r="H49" s="1150">
        <v>11.575773999999999</v>
      </c>
      <c r="I49" s="1152">
        <v>10.623871980000001</v>
      </c>
      <c r="J49" s="1150">
        <f t="shared" si="11"/>
        <v>43.885326739999996</v>
      </c>
      <c r="K49" s="1152">
        <f t="shared" si="11"/>
        <v>38.417918</v>
      </c>
      <c r="L49" s="1150">
        <f t="shared" si="6"/>
        <v>11.781381</v>
      </c>
      <c r="M49" s="1152">
        <f t="shared" si="6"/>
        <v>8.044427019999997</v>
      </c>
      <c r="N49" s="1150">
        <f t="shared" si="7"/>
        <v>19.968046057933325</v>
      </c>
      <c r="O49" s="1152">
        <f t="shared" si="7"/>
        <v>15.419015908440128</v>
      </c>
      <c r="P49" s="1150">
        <f t="shared" si="8"/>
        <v>8.2413107399999959</v>
      </c>
      <c r="Q49" s="1152">
        <f t="shared" si="8"/>
        <v>4.9140999999999977</v>
      </c>
      <c r="R49" s="1150">
        <f t="shared" si="9"/>
        <v>18.779194214106919</v>
      </c>
      <c r="S49" s="1152">
        <f t="shared" si="9"/>
        <v>12.791166871666491</v>
      </c>
      <c r="T49" s="1151">
        <v>38.500613405818541</v>
      </c>
      <c r="U49" s="1722">
        <v>15.419015908440127</v>
      </c>
      <c r="V49" s="1705">
        <v>0.12791166871666496</v>
      </c>
    </row>
    <row r="50" spans="1:22">
      <c r="A50" s="1130">
        <v>1</v>
      </c>
      <c r="B50" s="1699"/>
      <c r="C50" s="1172" t="s">
        <v>818</v>
      </c>
      <c r="D50" s="1150">
        <v>49.789945000000003</v>
      </c>
      <c r="E50" s="1155">
        <v>48.763517999999998</v>
      </c>
      <c r="F50" s="1150">
        <v>35.992206000000003</v>
      </c>
      <c r="G50" s="1152">
        <v>34.689822999999997</v>
      </c>
      <c r="H50" s="1150">
        <v>9.1422410000000003</v>
      </c>
      <c r="I50" s="1152">
        <v>9.2556792999999988</v>
      </c>
      <c r="J50" s="1150">
        <f t="shared" si="11"/>
        <v>37.660307300000007</v>
      </c>
      <c r="K50" s="1152">
        <f t="shared" si="11"/>
        <v>36.582027619999998</v>
      </c>
      <c r="L50" s="1150">
        <f t="shared" si="6"/>
        <v>4.6554979999999997</v>
      </c>
      <c r="M50" s="1152">
        <f t="shared" si="6"/>
        <v>4.8180157000000019</v>
      </c>
      <c r="N50" s="1150">
        <f t="shared" si="7"/>
        <v>9.3502774505977051</v>
      </c>
      <c r="O50" s="1152">
        <f t="shared" si="7"/>
        <v>9.8803693777795161</v>
      </c>
      <c r="P50" s="1150">
        <f t="shared" si="8"/>
        <v>1.6681013000000036</v>
      </c>
      <c r="Q50" s="1152">
        <f t="shared" si="8"/>
        <v>1.8922046200000011</v>
      </c>
      <c r="R50" s="1150">
        <f t="shared" si="9"/>
        <v>4.4293353389604526</v>
      </c>
      <c r="S50" s="1152">
        <f t="shared" si="9"/>
        <v>5.1724979261824773</v>
      </c>
      <c r="T50" s="1151"/>
      <c r="U50" s="1722">
        <v>9.8803693777795178</v>
      </c>
      <c r="V50" s="1705">
        <v>5.1724979261824865E-2</v>
      </c>
    </row>
    <row r="51" spans="1:22">
      <c r="A51" s="1130">
        <v>1</v>
      </c>
      <c r="B51" s="1699"/>
      <c r="C51" s="1172" t="s">
        <v>819</v>
      </c>
      <c r="D51" s="1150">
        <v>34.629202503675089</v>
      </c>
      <c r="E51" s="1155">
        <v>32.618146000000003</v>
      </c>
      <c r="F51" s="1150">
        <v>29.345120999999999</v>
      </c>
      <c r="G51" s="1152">
        <v>27.770880999999999</v>
      </c>
      <c r="H51" s="1150">
        <v>2.364214</v>
      </c>
      <c r="I51" s="1152">
        <v>2.2900116000000001</v>
      </c>
      <c r="J51" s="1150">
        <f t="shared" si="11"/>
        <v>30.187236353454583</v>
      </c>
      <c r="K51" s="1152">
        <f t="shared" si="11"/>
        <v>28.371045640000002</v>
      </c>
      <c r="L51" s="1150">
        <f t="shared" si="6"/>
        <v>2.9198675036750896</v>
      </c>
      <c r="M51" s="1152">
        <f t="shared" si="6"/>
        <v>2.5572534000000036</v>
      </c>
      <c r="N51" s="1150">
        <f t="shared" si="7"/>
        <v>8.431806950694904</v>
      </c>
      <c r="O51" s="1152">
        <f t="shared" si="7"/>
        <v>7.8399716525887255</v>
      </c>
      <c r="P51" s="1150">
        <f t="shared" si="8"/>
        <v>0.84211535345458444</v>
      </c>
      <c r="Q51" s="1152">
        <f t="shared" si="8"/>
        <v>0.60016464000000269</v>
      </c>
      <c r="R51" s="1150">
        <f t="shared" si="9"/>
        <v>2.7896404413920917</v>
      </c>
      <c r="S51" s="1152">
        <f t="shared" si="9"/>
        <v>2.1154124793829863</v>
      </c>
      <c r="T51" s="1151"/>
      <c r="U51" s="1722">
        <v>7.8399716525887104</v>
      </c>
      <c r="V51" s="1705">
        <v>2.1154124793829662E-2</v>
      </c>
    </row>
    <row r="52" spans="1:22">
      <c r="A52" s="1130">
        <v>1</v>
      </c>
      <c r="B52" s="1699"/>
      <c r="C52" s="1172" t="s">
        <v>820</v>
      </c>
      <c r="D52" s="1150">
        <v>31.847125759999997</v>
      </c>
      <c r="E52" s="1155">
        <v>29.713858999999999</v>
      </c>
      <c r="F52" s="1150">
        <v>23.66557023</v>
      </c>
      <c r="G52" s="1152">
        <v>23.828081000000001</v>
      </c>
      <c r="H52" s="1150">
        <v>1.8649341465999996</v>
      </c>
      <c r="I52" s="1152">
        <v>1.9072033599999998</v>
      </c>
      <c r="J52" s="1150">
        <f t="shared" si="11"/>
        <v>28.071364067799998</v>
      </c>
      <c r="K52" s="1152">
        <f t="shared" si="11"/>
        <v>26.023824099999999</v>
      </c>
      <c r="L52" s="1150">
        <f t="shared" si="6"/>
        <v>6.3166213833999976</v>
      </c>
      <c r="M52" s="1152">
        <f t="shared" si="6"/>
        <v>3.9785746399999988</v>
      </c>
      <c r="N52" s="1150">
        <f t="shared" si="7"/>
        <v>19.834196124956669</v>
      </c>
      <c r="O52" s="1152">
        <f t="shared" si="7"/>
        <v>13.389626167371929</v>
      </c>
      <c r="P52" s="1150">
        <f t="shared" si="8"/>
        <v>4.4057938377999974</v>
      </c>
      <c r="Q52" s="1152">
        <f t="shared" si="8"/>
        <v>2.1957430999999978</v>
      </c>
      <c r="R52" s="1150">
        <f t="shared" si="9"/>
        <v>15.694975944734299</v>
      </c>
      <c r="S52" s="1152">
        <f t="shared" si="9"/>
        <v>8.437434450688583</v>
      </c>
      <c r="T52" s="1151"/>
      <c r="U52" s="1725">
        <v>13.389626167371935</v>
      </c>
      <c r="V52" s="1726">
        <v>8.4374344506885954E-2</v>
      </c>
    </row>
    <row r="53" spans="1:22">
      <c r="A53" s="1130">
        <v>1</v>
      </c>
      <c r="B53" s="1699"/>
      <c r="C53" s="1172" t="s">
        <v>424</v>
      </c>
      <c r="D53" s="1150">
        <v>191.78263886316986</v>
      </c>
      <c r="E53" s="1155">
        <v>182.29364899999999</v>
      </c>
      <c r="F53" s="1150">
        <v>86.291492000000005</v>
      </c>
      <c r="G53" s="1152">
        <v>84.682130000000001</v>
      </c>
      <c r="H53" s="1150">
        <v>88.408963999999997</v>
      </c>
      <c r="I53" s="1152">
        <v>83.543857689999996</v>
      </c>
      <c r="J53" s="1150">
        <f t="shared" si="11"/>
        <v>91.866716531379666</v>
      </c>
      <c r="K53" s="1152">
        <f t="shared" si="11"/>
        <v>87.812172369999999</v>
      </c>
      <c r="L53" s="1150">
        <f t="shared" si="6"/>
        <v>17.082182863169862</v>
      </c>
      <c r="M53" s="1152">
        <f t="shared" si="6"/>
        <v>14.067661309999991</v>
      </c>
      <c r="N53" s="1150">
        <f t="shared" si="7"/>
        <v>8.907053821152914</v>
      </c>
      <c r="O53" s="1152">
        <f t="shared" si="7"/>
        <v>7.7170331424985585</v>
      </c>
      <c r="P53" s="1150">
        <f t="shared" si="8"/>
        <v>5.5752245313796607</v>
      </c>
      <c r="Q53" s="1152">
        <f t="shared" si="8"/>
        <v>3.1300423699999982</v>
      </c>
      <c r="R53" s="1150">
        <f t="shared" si="9"/>
        <v>6.0688187647103788</v>
      </c>
      <c r="S53" s="1152">
        <f t="shared" si="9"/>
        <v>3.5644743610389718</v>
      </c>
      <c r="T53" s="1151"/>
      <c r="U53" s="1725">
        <v>7.7170331424985639</v>
      </c>
      <c r="V53" s="1726">
        <v>3.5644743610389794E-2</v>
      </c>
    </row>
    <row r="54" spans="1:22" ht="16.2" thickBot="1">
      <c r="A54" s="1160">
        <f>SUM(A37:A53)</f>
        <v>17</v>
      </c>
      <c r="B54" s="1700"/>
      <c r="C54" s="1161" t="s">
        <v>311</v>
      </c>
      <c r="D54" s="1162">
        <f t="shared" ref="D54:I54" si="12">SUM(D37:D53)</f>
        <v>1582.5535149999998</v>
      </c>
      <c r="E54" s="1167">
        <f t="shared" si="12"/>
        <v>1474.3305559999999</v>
      </c>
      <c r="F54" s="1162">
        <f t="shared" si="12"/>
        <v>984.69263799999976</v>
      </c>
      <c r="G54" s="1164">
        <f t="shared" si="12"/>
        <v>926.226136</v>
      </c>
      <c r="H54" s="1162">
        <f t="shared" si="12"/>
        <v>417.89616699999999</v>
      </c>
      <c r="I54" s="1164">
        <f t="shared" si="12"/>
        <v>396.63679409999997</v>
      </c>
      <c r="J54" s="1162">
        <f>(D54-(D54*0.06)-H54)</f>
        <v>1069.7041371</v>
      </c>
      <c r="K54" s="1164">
        <f>(E54-(E54*0.06)-I54)</f>
        <v>989.23392853999997</v>
      </c>
      <c r="L54" s="1162">
        <f t="shared" si="6"/>
        <v>179.96471000000008</v>
      </c>
      <c r="M54" s="1164">
        <f t="shared" si="6"/>
        <v>151.46762589999992</v>
      </c>
      <c r="N54" s="1162">
        <f t="shared" si="7"/>
        <v>11.371793010108735</v>
      </c>
      <c r="O54" s="1164">
        <f t="shared" si="7"/>
        <v>10.273654390705033</v>
      </c>
      <c r="P54" s="1162">
        <f t="shared" si="8"/>
        <v>85.011499100000265</v>
      </c>
      <c r="Q54" s="1164">
        <f>K54-G54</f>
        <v>63.007792539999969</v>
      </c>
      <c r="R54" s="1162">
        <f t="shared" si="9"/>
        <v>7.9471973746375308</v>
      </c>
      <c r="S54" s="1164">
        <f>Q54/K54*100</f>
        <v>6.3693521544486975</v>
      </c>
      <c r="T54" s="1163">
        <v>397.14494030814694</v>
      </c>
      <c r="U54" s="1723">
        <v>10.273654390705028</v>
      </c>
      <c r="V54" s="1724">
        <v>6.3693521544486958E-2</v>
      </c>
    </row>
    <row r="55" spans="1:22">
      <c r="A55" s="1130">
        <v>1</v>
      </c>
      <c r="B55" s="1698" t="s">
        <v>126</v>
      </c>
      <c r="C55" s="1172" t="s">
        <v>821</v>
      </c>
      <c r="D55" s="1150">
        <v>362.49155694249743</v>
      </c>
      <c r="E55" s="1155">
        <v>106.9013568</v>
      </c>
      <c r="F55" s="1150">
        <v>206.39165583030945</v>
      </c>
      <c r="G55" s="1152">
        <v>68.215545000000006</v>
      </c>
      <c r="H55" s="1150">
        <v>80.254380351450521</v>
      </c>
      <c r="I55" s="1152">
        <v>21.94415025</v>
      </c>
      <c r="J55" s="1150">
        <v>260.48768317449708</v>
      </c>
      <c r="K55" s="1152">
        <f t="shared" si="11"/>
        <v>78.543125142000008</v>
      </c>
      <c r="L55" s="1150">
        <v>75.845520760737458</v>
      </c>
      <c r="M55" s="1152">
        <f t="shared" si="6"/>
        <v>16.741661549999996</v>
      </c>
      <c r="N55" s="1150">
        <v>20.923389609532052</v>
      </c>
      <c r="O55" s="1152">
        <f t="shared" si="7"/>
        <v>15.660850386886761</v>
      </c>
      <c r="P55" s="1150">
        <v>54.096027344187632</v>
      </c>
      <c r="Q55" s="1152">
        <f>K55-G55</f>
        <v>10.327580142000002</v>
      </c>
      <c r="R55" s="1150">
        <v>20.767211211268464</v>
      </c>
      <c r="S55" s="1152">
        <f>Q55/K55*100</f>
        <v>13.148929487244773</v>
      </c>
      <c r="T55" s="1151">
        <v>239.97849579368179</v>
      </c>
      <c r="U55" s="1727">
        <v>15.660850386886763</v>
      </c>
      <c r="V55" s="1705">
        <v>0.13148929487244759</v>
      </c>
    </row>
    <row r="56" spans="1:22">
      <c r="A56" s="1130">
        <v>1</v>
      </c>
      <c r="B56" s="1699"/>
      <c r="C56" s="1172" t="s">
        <v>822</v>
      </c>
      <c r="D56" s="1150">
        <v>264.93934250065831</v>
      </c>
      <c r="E56" s="1155">
        <v>205.383939</v>
      </c>
      <c r="F56" s="1150">
        <v>139.89252264516159</v>
      </c>
      <c r="G56" s="1152">
        <v>108.21501000000001</v>
      </c>
      <c r="H56" s="1150">
        <v>90.180295573211239</v>
      </c>
      <c r="I56" s="1152">
        <v>71.954125370000014</v>
      </c>
      <c r="J56" s="1150">
        <v>158.86268637740756</v>
      </c>
      <c r="K56" s="1152">
        <f t="shared" si="11"/>
        <v>121.10677729</v>
      </c>
      <c r="L56" s="1150">
        <v>34.866524282285482</v>
      </c>
      <c r="M56" s="1152">
        <f t="shared" ref="M56:M80" si="13">E56-G56-I56</f>
        <v>25.214803629999977</v>
      </c>
      <c r="N56" s="1150">
        <v>13.160191292540421</v>
      </c>
      <c r="O56" s="1152">
        <f t="shared" ref="O56:O80" si="14">M56/E56*100</f>
        <v>12.276911112314375</v>
      </c>
      <c r="P56" s="1150">
        <v>18.970163732245965</v>
      </c>
      <c r="Q56" s="1152">
        <f t="shared" ref="Q56:Q80" si="15">K56-G56</f>
        <v>12.89176728999999</v>
      </c>
      <c r="R56" s="1150">
        <v>11.941233127066004</v>
      </c>
      <c r="S56" s="1152">
        <f t="shared" ref="S56:S80" si="16">Q56/K56*100</f>
        <v>10.644959413897711</v>
      </c>
      <c r="T56" s="1151">
        <v>84.15463354562543</v>
      </c>
      <c r="U56" s="1727">
        <v>12.276911112314384</v>
      </c>
      <c r="V56" s="1705">
        <v>0.10644959413897702</v>
      </c>
    </row>
    <row r="57" spans="1:22">
      <c r="A57" s="1130">
        <v>1</v>
      </c>
      <c r="B57" s="1699"/>
      <c r="C57" s="1172" t="s">
        <v>823</v>
      </c>
      <c r="D57" s="1150">
        <v>119.2492570273359</v>
      </c>
      <c r="E57" s="1155">
        <v>111.68587687500001</v>
      </c>
      <c r="F57" s="1150">
        <v>81.887926144317873</v>
      </c>
      <c r="G57" s="1152">
        <v>80.039201000000006</v>
      </c>
      <c r="H57" s="1150">
        <v>15.294181785017672</v>
      </c>
      <c r="I57" s="1152">
        <v>11.650036609999999</v>
      </c>
      <c r="J57" s="1150">
        <v>96.800119820678077</v>
      </c>
      <c r="K57" s="1152">
        <f t="shared" ref="K57:K80" si="17">(E57-(E57*0.06)-I57)</f>
        <v>93.334687652500008</v>
      </c>
      <c r="L57" s="1150">
        <v>22.067149098000357</v>
      </c>
      <c r="M57" s="1152">
        <f t="shared" si="13"/>
        <v>19.996639264999999</v>
      </c>
      <c r="N57" s="1150">
        <v>18.505062126250255</v>
      </c>
      <c r="O57" s="1152">
        <f t="shared" si="14"/>
        <v>17.904358030317876</v>
      </c>
      <c r="P57" s="1150">
        <v>14.912193676360204</v>
      </c>
      <c r="Q57" s="1152">
        <f t="shared" si="15"/>
        <v>13.295486652500003</v>
      </c>
      <c r="R57" s="1150">
        <v>15.405139687827862</v>
      </c>
      <c r="S57" s="1152">
        <f t="shared" si="16"/>
        <v>14.244957568188612</v>
      </c>
      <c r="T57" s="1151">
        <v>66.15283936966361</v>
      </c>
      <c r="U57" s="1727">
        <v>17.90435803031788</v>
      </c>
      <c r="V57" s="1705">
        <v>0.14244957568188615</v>
      </c>
    </row>
    <row r="58" spans="1:22">
      <c r="A58" s="1130">
        <v>1</v>
      </c>
      <c r="B58" s="1699"/>
      <c r="C58" s="1172" t="s">
        <v>824</v>
      </c>
      <c r="D58" s="1150">
        <v>81.537278328006792</v>
      </c>
      <c r="E58" s="1155">
        <v>86.093494000000007</v>
      </c>
      <c r="F58" s="1150">
        <v>57.763758895890895</v>
      </c>
      <c r="G58" s="1152">
        <v>60.936408</v>
      </c>
      <c r="H58" s="1150">
        <v>15.446258023983757</v>
      </c>
      <c r="I58" s="1152">
        <v>14.972755400000002</v>
      </c>
      <c r="J58" s="1150">
        <v>61.198783604342623</v>
      </c>
      <c r="K58" s="1152">
        <f t="shared" si="17"/>
        <v>65.95512896000001</v>
      </c>
      <c r="L58" s="1150">
        <v>8.3272614081321397</v>
      </c>
      <c r="M58" s="1152">
        <f t="shared" si="13"/>
        <v>10.184330600000004</v>
      </c>
      <c r="N58" s="1150">
        <v>10.212827284513192</v>
      </c>
      <c r="O58" s="1152">
        <f t="shared" si="14"/>
        <v>11.829384691948968</v>
      </c>
      <c r="P58" s="1150">
        <v>3.4350247084517278</v>
      </c>
      <c r="Q58" s="1152">
        <f t="shared" si="15"/>
        <v>5.0187209600000102</v>
      </c>
      <c r="R58" s="1150">
        <v>5.6128970318422819</v>
      </c>
      <c r="S58" s="1152">
        <f t="shared" si="16"/>
        <v>7.6092959548964387</v>
      </c>
      <c r="T58" s="1151">
        <v>15.238310519616125</v>
      </c>
      <c r="U58" s="1727">
        <v>11.829384691948958</v>
      </c>
      <c r="V58" s="1705">
        <v>7.6092959548964154E-2</v>
      </c>
    </row>
    <row r="59" spans="1:22">
      <c r="A59" s="1130">
        <v>1</v>
      </c>
      <c r="B59" s="1699"/>
      <c r="C59" s="1172" t="s">
        <v>825</v>
      </c>
      <c r="D59" s="1150">
        <v>48.143198667122519</v>
      </c>
      <c r="E59" s="1155">
        <v>122.3548888</v>
      </c>
      <c r="F59" s="1150">
        <v>32.698618671617183</v>
      </c>
      <c r="G59" s="1152">
        <v>72.258418000000006</v>
      </c>
      <c r="H59" s="1150">
        <v>8.1000710060493635</v>
      </c>
      <c r="I59" s="1152">
        <v>32.333243250000002</v>
      </c>
      <c r="J59" s="1150">
        <v>37.154535741045805</v>
      </c>
      <c r="K59" s="1152">
        <f t="shared" si="17"/>
        <v>82.680352221999982</v>
      </c>
      <c r="L59" s="1150">
        <v>7.3445089894559725</v>
      </c>
      <c r="M59" s="1152">
        <f t="shared" si="13"/>
        <v>17.763227549999989</v>
      </c>
      <c r="N59" s="1150">
        <v>15.255548432164339</v>
      </c>
      <c r="O59" s="1152">
        <f t="shared" si="14"/>
        <v>14.517791421506313</v>
      </c>
      <c r="P59" s="1150">
        <v>4.4559170694286223</v>
      </c>
      <c r="Q59" s="1152">
        <f t="shared" si="15"/>
        <v>10.421934221999976</v>
      </c>
      <c r="R59" s="1150">
        <v>11.992928940048705</v>
      </c>
      <c r="S59" s="1152">
        <f t="shared" si="16"/>
        <v>12.605091707902591</v>
      </c>
      <c r="T59" s="1151">
        <v>19.767149792705904</v>
      </c>
      <c r="U59" s="1727">
        <v>14.51779142150632</v>
      </c>
      <c r="V59" s="1705">
        <v>0.12605091707902621</v>
      </c>
    </row>
    <row r="60" spans="1:22">
      <c r="A60" s="1130">
        <v>1</v>
      </c>
      <c r="B60" s="1699"/>
      <c r="C60" s="1172" t="s">
        <v>826</v>
      </c>
      <c r="D60" s="1150">
        <v>47.816166114609203</v>
      </c>
      <c r="E60" s="1155">
        <v>47.537737</v>
      </c>
      <c r="F60" s="1150">
        <v>29.931796558508125</v>
      </c>
      <c r="G60" s="1152">
        <v>38.402472000000003</v>
      </c>
      <c r="H60" s="1150">
        <v>12.559369339075889</v>
      </c>
      <c r="I60" s="1152">
        <v>6.9708744799999991</v>
      </c>
      <c r="J60" s="1150">
        <v>32.387826808656769</v>
      </c>
      <c r="K60" s="1152">
        <f t="shared" si="17"/>
        <v>37.714598299999999</v>
      </c>
      <c r="L60" s="1150">
        <v>5.3250002170251882</v>
      </c>
      <c r="M60" s="1152">
        <f t="shared" si="13"/>
        <v>2.1643905199999978</v>
      </c>
      <c r="N60" s="1150">
        <v>11.136401451052865</v>
      </c>
      <c r="O60" s="1152">
        <f t="shared" si="14"/>
        <v>4.5529944347161448</v>
      </c>
      <c r="P60" s="1150">
        <v>2.4560302501486433</v>
      </c>
      <c r="Q60" s="1152">
        <f t="shared" si="15"/>
        <v>-0.68787370000000436</v>
      </c>
      <c r="R60" s="1150">
        <v>7.5831894021743507</v>
      </c>
      <c r="S60" s="1152">
        <f t="shared" si="16"/>
        <v>-1.823892420988624</v>
      </c>
      <c r="T60" s="1151">
        <v>10.89533694044502</v>
      </c>
      <c r="U60" s="1727">
        <v>4.5529944347161564</v>
      </c>
      <c r="V60" s="1705">
        <v>-1.8238924209886001E-2</v>
      </c>
    </row>
    <row r="61" spans="1:22">
      <c r="A61" s="1130">
        <v>1</v>
      </c>
      <c r="B61" s="1699"/>
      <c r="C61" s="1172" t="s">
        <v>827</v>
      </c>
      <c r="D61" s="1150">
        <v>75.05737541976994</v>
      </c>
      <c r="E61" s="1155">
        <v>51.325322999999997</v>
      </c>
      <c r="F61" s="1150">
        <v>42.873988254194927</v>
      </c>
      <c r="G61" s="1152">
        <v>33.006036000000002</v>
      </c>
      <c r="H61" s="1150">
        <v>24.685454921211527</v>
      </c>
      <c r="I61" s="1152">
        <v>14.20308771</v>
      </c>
      <c r="J61" s="1150">
        <v>45.868477973372208</v>
      </c>
      <c r="K61" s="1152">
        <f t="shared" si="17"/>
        <v>34.042715909999998</v>
      </c>
      <c r="L61" s="1150">
        <v>7.4979322443634864</v>
      </c>
      <c r="M61" s="1152">
        <f t="shared" si="13"/>
        <v>4.1161992899999955</v>
      </c>
      <c r="N61" s="1150">
        <v>9.9896008918912287</v>
      </c>
      <c r="O61" s="1152">
        <f t="shared" si="14"/>
        <v>8.0198215021462129</v>
      </c>
      <c r="P61" s="1150">
        <v>2.994489719177281</v>
      </c>
      <c r="Q61" s="1152">
        <f t="shared" si="15"/>
        <v>1.0366799099999966</v>
      </c>
      <c r="R61" s="1150">
        <v>6.5284261686547715</v>
      </c>
      <c r="S61" s="1152">
        <f t="shared" si="16"/>
        <v>3.0452326798505327</v>
      </c>
      <c r="T61" s="1151">
        <v>13.284027936203342</v>
      </c>
      <c r="U61" s="1727">
        <v>8.01982150214622</v>
      </c>
      <c r="V61" s="1705">
        <v>3.0452326798505323E-2</v>
      </c>
    </row>
    <row r="62" spans="1:22">
      <c r="A62" s="1130">
        <v>1</v>
      </c>
      <c r="B62" s="1699"/>
      <c r="C62" s="1172" t="s">
        <v>828</v>
      </c>
      <c r="D62" s="1150"/>
      <c r="E62" s="1155">
        <v>90.626766125000003</v>
      </c>
      <c r="F62" s="1150"/>
      <c r="G62" s="1152">
        <v>53.426062999999999</v>
      </c>
      <c r="H62" s="1150"/>
      <c r="I62" s="1152">
        <v>30.088966170000006</v>
      </c>
      <c r="J62" s="1150"/>
      <c r="K62" s="1152">
        <f t="shared" si="17"/>
        <v>55.100193987499992</v>
      </c>
      <c r="L62" s="1150"/>
      <c r="M62" s="1152">
        <f t="shared" si="13"/>
        <v>7.1117369549999978</v>
      </c>
      <c r="N62" s="1150"/>
      <c r="O62" s="1152">
        <f t="shared" si="14"/>
        <v>7.8472809514033601</v>
      </c>
      <c r="P62" s="1150"/>
      <c r="Q62" s="1152">
        <f t="shared" si="15"/>
        <v>1.6741309874999928</v>
      </c>
      <c r="R62" s="1150"/>
      <c r="S62" s="1152">
        <f t="shared" si="16"/>
        <v>3.0383395526334906</v>
      </c>
      <c r="T62" s="1151"/>
      <c r="U62" s="1727">
        <v>7.8472809514033601</v>
      </c>
      <c r="V62" s="1705">
        <v>3.038339552633498E-2</v>
      </c>
    </row>
    <row r="63" spans="1:22">
      <c r="A63" s="1130">
        <v>1</v>
      </c>
      <c r="B63" s="1699"/>
      <c r="C63" s="1172" t="s">
        <v>829</v>
      </c>
      <c r="D63" s="1150"/>
      <c r="E63" s="1155">
        <v>121.61469240000001</v>
      </c>
      <c r="F63" s="1150"/>
      <c r="G63" s="1152">
        <v>57.753456</v>
      </c>
      <c r="H63" s="1150"/>
      <c r="I63" s="1152">
        <v>18.752633840000001</v>
      </c>
      <c r="J63" s="1150"/>
      <c r="K63" s="1152">
        <f t="shared" si="17"/>
        <v>95.565177016000007</v>
      </c>
      <c r="L63" s="1150"/>
      <c r="M63" s="1152">
        <f t="shared" si="13"/>
        <v>45.108602560000008</v>
      </c>
      <c r="N63" s="1150"/>
      <c r="O63" s="1152">
        <f t="shared" si="14"/>
        <v>37.091408669303192</v>
      </c>
      <c r="P63" s="1150"/>
      <c r="Q63" s="1152">
        <f t="shared" si="15"/>
        <v>37.811721016000007</v>
      </c>
      <c r="R63" s="1150"/>
      <c r="S63" s="1152">
        <f t="shared" si="16"/>
        <v>39.566421783187174</v>
      </c>
      <c r="T63" s="1151"/>
      <c r="U63" s="1727">
        <v>37.091408669303185</v>
      </c>
      <c r="V63" s="1705">
        <v>0.39566421783187167</v>
      </c>
    </row>
    <row r="64" spans="1:22">
      <c r="A64" s="1130">
        <v>1</v>
      </c>
      <c r="B64" s="1699"/>
      <c r="C64" s="1172" t="s">
        <v>830</v>
      </c>
      <c r="D64" s="1150"/>
      <c r="E64" s="1155">
        <v>71.895900999999995</v>
      </c>
      <c r="F64" s="1150"/>
      <c r="G64" s="1152">
        <v>38.498849</v>
      </c>
      <c r="H64" s="1150"/>
      <c r="I64" s="1152">
        <v>20.413276309999997</v>
      </c>
      <c r="J64" s="1150"/>
      <c r="K64" s="1152">
        <f t="shared" si="17"/>
        <v>47.168870630000001</v>
      </c>
      <c r="L64" s="1150"/>
      <c r="M64" s="1152">
        <f t="shared" si="13"/>
        <v>12.983775689999998</v>
      </c>
      <c r="N64" s="1150"/>
      <c r="O64" s="1152">
        <f t="shared" si="14"/>
        <v>18.059132035913979</v>
      </c>
      <c r="P64" s="1150"/>
      <c r="Q64" s="1152">
        <f t="shared" si="15"/>
        <v>8.6700216300000008</v>
      </c>
      <c r="R64" s="1150"/>
      <c r="S64" s="1152">
        <f t="shared" si="16"/>
        <v>18.380812417598477</v>
      </c>
      <c r="T64" s="1151"/>
      <c r="U64" s="1727">
        <v>18.059132035913976</v>
      </c>
      <c r="V64" s="1705">
        <v>0.18380812417598466</v>
      </c>
    </row>
    <row r="65" spans="1:22">
      <c r="A65" s="1130">
        <v>1</v>
      </c>
      <c r="B65" s="1699"/>
      <c r="C65" s="1172" t="s">
        <v>831</v>
      </c>
      <c r="D65" s="1150"/>
      <c r="E65" s="1155">
        <v>14.588141999999999</v>
      </c>
      <c r="F65" s="1150"/>
      <c r="G65" s="1152">
        <v>8.5701260000000001</v>
      </c>
      <c r="H65" s="1150"/>
      <c r="I65" s="1152">
        <v>2.6123473600000002</v>
      </c>
      <c r="J65" s="1150"/>
      <c r="K65" s="1152">
        <f t="shared" si="17"/>
        <v>11.100506119999999</v>
      </c>
      <c r="L65" s="1150"/>
      <c r="M65" s="1152">
        <f t="shared" si="13"/>
        <v>3.4056686399999991</v>
      </c>
      <c r="N65" s="1150"/>
      <c r="O65" s="1152">
        <f t="shared" si="14"/>
        <v>23.345458523779104</v>
      </c>
      <c r="P65" s="1150"/>
      <c r="Q65" s="1152">
        <f t="shared" si="15"/>
        <v>2.5303801199999985</v>
      </c>
      <c r="R65" s="1150"/>
      <c r="S65" s="1152">
        <f t="shared" si="16"/>
        <v>22.79517791932895</v>
      </c>
      <c r="T65" s="1151"/>
      <c r="U65" s="1727">
        <v>23.345458523779111</v>
      </c>
      <c r="V65" s="1705">
        <v>0.22795177919328968</v>
      </c>
    </row>
    <row r="66" spans="1:22" ht="16.2" thickBot="1">
      <c r="A66" s="1160">
        <f>SUM(A55:A65)</f>
        <v>11</v>
      </c>
      <c r="B66" s="1700"/>
      <c r="C66" s="1161" t="s">
        <v>311</v>
      </c>
      <c r="D66" s="1162">
        <v>999.23417500000028</v>
      </c>
      <c r="E66" s="1167">
        <f>SUM(E55:E65)</f>
        <v>1030.0081170000001</v>
      </c>
      <c r="F66" s="1162">
        <v>591.44026700000006</v>
      </c>
      <c r="G66" s="1164">
        <f>SUM(G55:G65)</f>
        <v>619.32158399999992</v>
      </c>
      <c r="H66" s="1162">
        <v>246.52001099999995</v>
      </c>
      <c r="I66" s="1164">
        <f>SUM(I55:I65)</f>
        <v>245.89549674999998</v>
      </c>
      <c r="J66" s="1162">
        <v>692.7601135000001</v>
      </c>
      <c r="K66" s="1164">
        <f t="shared" si="17"/>
        <v>722.31213323000009</v>
      </c>
      <c r="L66" s="1162">
        <v>161.27389700000026</v>
      </c>
      <c r="M66" s="1164">
        <f t="shared" si="13"/>
        <v>164.79103625000019</v>
      </c>
      <c r="N66" s="1162">
        <v>16.139749923985558</v>
      </c>
      <c r="O66" s="1164">
        <f t="shared" si="14"/>
        <v>15.999003651541145</v>
      </c>
      <c r="P66" s="1162">
        <v>101.31984650000007</v>
      </c>
      <c r="Q66" s="1164">
        <f t="shared" si="15"/>
        <v>102.99054923000017</v>
      </c>
      <c r="R66" s="1162">
        <v>14.62553119406752</v>
      </c>
      <c r="S66" s="1164">
        <f t="shared" si="16"/>
        <v>14.258454827479095</v>
      </c>
      <c r="T66" s="1163">
        <v>449.47079389794118</v>
      </c>
      <c r="U66" s="1723">
        <v>15.999003651541127</v>
      </c>
      <c r="V66" s="1724">
        <v>0.14258454827479075</v>
      </c>
    </row>
    <row r="67" spans="1:22">
      <c r="A67" s="1130">
        <v>1</v>
      </c>
      <c r="B67" s="1698" t="s">
        <v>130</v>
      </c>
      <c r="C67" s="1172" t="s">
        <v>48</v>
      </c>
      <c r="D67" s="1150">
        <v>61.894237180000005</v>
      </c>
      <c r="E67" s="1155">
        <v>66.141034536999996</v>
      </c>
      <c r="F67" s="1150">
        <v>39.122402999999998</v>
      </c>
      <c r="G67" s="1152">
        <v>41.472420999999997</v>
      </c>
      <c r="H67" s="1150">
        <v>21.315892000000002</v>
      </c>
      <c r="I67" s="1152">
        <v>22.338547370000004</v>
      </c>
      <c r="J67" s="1150">
        <v>36.864690949199996</v>
      </c>
      <c r="K67" s="1152">
        <f t="shared" si="17"/>
        <v>39.834025094779989</v>
      </c>
      <c r="L67" s="1150">
        <v>1.4559421800000045</v>
      </c>
      <c r="M67" s="1152">
        <f t="shared" si="13"/>
        <v>2.3300661669999947</v>
      </c>
      <c r="N67" s="1150">
        <v>2.3523065253488022</v>
      </c>
      <c r="O67" s="1152">
        <f t="shared" si="14"/>
        <v>3.5228752971750557</v>
      </c>
      <c r="P67" s="1150">
        <v>-2.2577120508000021</v>
      </c>
      <c r="Q67" s="1152">
        <f t="shared" si="15"/>
        <v>-1.6383959052200083</v>
      </c>
      <c r="R67" s="1150">
        <v>-6.1243211123379755</v>
      </c>
      <c r="S67" s="1152">
        <f t="shared" si="16"/>
        <v>-4.1130563665651518</v>
      </c>
      <c r="T67" s="1151">
        <v>-10.015566178991646</v>
      </c>
      <c r="U67" s="1722">
        <v>3.5228752971750605</v>
      </c>
      <c r="V67" s="1731">
        <v>-4.1130563665651515E-2</v>
      </c>
    </row>
    <row r="68" spans="1:22">
      <c r="A68" s="1130">
        <v>1</v>
      </c>
      <c r="B68" s="1699"/>
      <c r="C68" s="1172" t="s">
        <v>131</v>
      </c>
      <c r="D68" s="1150">
        <v>56.652678360000003</v>
      </c>
      <c r="E68" s="1155">
        <v>66.64445400000001</v>
      </c>
      <c r="F68" s="1150">
        <v>33.978470000000002</v>
      </c>
      <c r="G68" s="1152">
        <v>39.10669</v>
      </c>
      <c r="H68" s="1150">
        <v>18.704876000000002</v>
      </c>
      <c r="I68" s="1152">
        <v>20.665775639999996</v>
      </c>
      <c r="J68" s="1150">
        <v>34.548641658400001</v>
      </c>
      <c r="K68" s="1152">
        <f t="shared" si="17"/>
        <v>41.980011120000015</v>
      </c>
      <c r="L68" s="1150">
        <v>3.9693323599999992</v>
      </c>
      <c r="M68" s="1152">
        <f t="shared" si="13"/>
        <v>6.8719883600000138</v>
      </c>
      <c r="N68" s="1150">
        <v>7.0064337201797198</v>
      </c>
      <c r="O68" s="1152">
        <f t="shared" si="14"/>
        <v>10.311418201430554</v>
      </c>
      <c r="P68" s="1150">
        <v>0.57017165839999961</v>
      </c>
      <c r="Q68" s="1152">
        <f t="shared" si="15"/>
        <v>2.8733211200000142</v>
      </c>
      <c r="R68" s="1150">
        <v>1.6503446475192192</v>
      </c>
      <c r="S68" s="1152">
        <f t="shared" si="16"/>
        <v>6.8444982346160295</v>
      </c>
      <c r="T68" s="1151">
        <v>2.5293712615242994</v>
      </c>
      <c r="U68" s="1722">
        <v>10.311418201430559</v>
      </c>
      <c r="V68" s="1731">
        <v>6.8444982346160296E-2</v>
      </c>
    </row>
    <row r="69" spans="1:22">
      <c r="A69" s="1130">
        <v>1</v>
      </c>
      <c r="B69" s="1699"/>
      <c r="C69" s="1172" t="s">
        <v>393</v>
      </c>
      <c r="D69" s="1150">
        <v>86.398014000000003</v>
      </c>
      <c r="E69" s="1155">
        <v>84.687205999999989</v>
      </c>
      <c r="F69" s="1150">
        <v>39.823553000000011</v>
      </c>
      <c r="G69" s="1152">
        <v>40.012715</v>
      </c>
      <c r="H69" s="1150">
        <v>46.701052000000004</v>
      </c>
      <c r="I69" s="1152">
        <v>49.013758730000006</v>
      </c>
      <c r="J69" s="1150">
        <v>34.513081159999999</v>
      </c>
      <c r="K69" s="1152">
        <f t="shared" si="17"/>
        <v>30.592214909999981</v>
      </c>
      <c r="L69" s="1150">
        <v>-0.12659100000001189</v>
      </c>
      <c r="M69" s="1152">
        <f t="shared" si="13"/>
        <v>-4.3392677300000173</v>
      </c>
      <c r="N69" s="1150">
        <v>-0.14652072905288296</v>
      </c>
      <c r="O69" s="1152">
        <f t="shared" si="14"/>
        <v>-5.1238763621508756</v>
      </c>
      <c r="P69" s="1150">
        <v>-5.3104718400000124</v>
      </c>
      <c r="Q69" s="1152">
        <f t="shared" si="15"/>
        <v>-9.4205000900000186</v>
      </c>
      <c r="R69" s="1150">
        <v>-15.386837864116137</v>
      </c>
      <c r="S69" s="1152">
        <f t="shared" si="16"/>
        <v>-30.793782397627723</v>
      </c>
      <c r="T69" s="1151">
        <v>-23.558089321596675</v>
      </c>
      <c r="U69" s="1722">
        <v>-5.1238763621508756</v>
      </c>
      <c r="V69" s="1731">
        <v>-0.30793782397627723</v>
      </c>
    </row>
    <row r="70" spans="1:22" ht="16.2" thickBot="1">
      <c r="A70" s="1160">
        <f>SUM(A67:A69)</f>
        <v>3</v>
      </c>
      <c r="B70" s="1700"/>
      <c r="C70" s="1161" t="s">
        <v>311</v>
      </c>
      <c r="D70" s="1162">
        <v>204.94492954000003</v>
      </c>
      <c r="E70" s="1167">
        <v>217.472694537</v>
      </c>
      <c r="F70" s="1162">
        <v>112.92442600000001</v>
      </c>
      <c r="G70" s="1164">
        <v>120.591826</v>
      </c>
      <c r="H70" s="1162">
        <v>86.721820000000008</v>
      </c>
      <c r="I70" s="1164">
        <v>92.018081740000014</v>
      </c>
      <c r="J70" s="1162">
        <v>105.9264137676</v>
      </c>
      <c r="K70" s="1164">
        <f t="shared" si="17"/>
        <v>112.40625112477997</v>
      </c>
      <c r="L70" s="1162">
        <v>5.2986835400000132</v>
      </c>
      <c r="M70" s="1164">
        <f t="shared" si="13"/>
        <v>4.8627867969999841</v>
      </c>
      <c r="N70" s="1162">
        <v>2.5854182154654604</v>
      </c>
      <c r="O70" s="1164">
        <f t="shared" si="14"/>
        <v>2.2360447629312135</v>
      </c>
      <c r="P70" s="1162">
        <v>-6.9980122324000149</v>
      </c>
      <c r="Q70" s="1164">
        <f t="shared" si="15"/>
        <v>-8.185574875220027</v>
      </c>
      <c r="R70" s="1162">
        <v>-6.6064846184196186</v>
      </c>
      <c r="S70" s="1164">
        <f t="shared" si="16"/>
        <v>-7.2821349287179604</v>
      </c>
      <c r="T70" s="1163">
        <v>-31.044284239064023</v>
      </c>
      <c r="U70" s="1730">
        <v>2.2360447629312135</v>
      </c>
      <c r="V70" s="1729">
        <v>-7.2821349287179607E-2</v>
      </c>
    </row>
    <row r="71" spans="1:22">
      <c r="A71" s="1130">
        <v>1</v>
      </c>
      <c r="B71" s="1698" t="s">
        <v>564</v>
      </c>
      <c r="C71" s="1177" t="s">
        <v>274</v>
      </c>
      <c r="D71" s="1150">
        <v>221.08091903761837</v>
      </c>
      <c r="E71" s="1155">
        <v>204.60320909027899</v>
      </c>
      <c r="F71" s="1150">
        <v>157.64555900000002</v>
      </c>
      <c r="G71" s="1152">
        <v>150.75184300000001</v>
      </c>
      <c r="H71" s="1150">
        <v>36.746646999999996</v>
      </c>
      <c r="I71" s="1152">
        <v>28.046268919999999</v>
      </c>
      <c r="J71" s="1150">
        <v>171.06941689536129</v>
      </c>
      <c r="K71" s="1152">
        <f t="shared" si="17"/>
        <v>164.28074762486227</v>
      </c>
      <c r="L71" s="1150">
        <v>26.688713037618356</v>
      </c>
      <c r="M71" s="1152">
        <f t="shared" si="13"/>
        <v>25.805097170278987</v>
      </c>
      <c r="N71" s="1150">
        <v>12.071920613409924</v>
      </c>
      <c r="O71" s="1152">
        <f t="shared" si="14"/>
        <v>12.612264140438171</v>
      </c>
      <c r="P71" s="1150">
        <v>13.423857895361266</v>
      </c>
      <c r="Q71" s="1152">
        <f t="shared" si="15"/>
        <v>13.528904624862264</v>
      </c>
      <c r="R71" s="1150">
        <v>7.8470238216643313</v>
      </c>
      <c r="S71" s="1152">
        <f t="shared" si="16"/>
        <v>8.2352343901890048</v>
      </c>
      <c r="T71" s="1151">
        <v>65.184632737459481</v>
      </c>
      <c r="U71" s="1735">
        <v>0.1261226414043817</v>
      </c>
      <c r="V71" s="1734">
        <v>8.2352343901890048</v>
      </c>
    </row>
    <row r="72" spans="1:22">
      <c r="A72" s="1130">
        <v>1</v>
      </c>
      <c r="B72" s="1699"/>
      <c r="C72" s="1177" t="s">
        <v>128</v>
      </c>
      <c r="D72" s="1150">
        <v>311.13932824416901</v>
      </c>
      <c r="E72" s="1155">
        <v>280.62055443924197</v>
      </c>
      <c r="F72" s="1150">
        <v>181.72887299999999</v>
      </c>
      <c r="G72" s="1152">
        <v>171.44779300000002</v>
      </c>
      <c r="H72" s="1150">
        <v>88.81986999999998</v>
      </c>
      <c r="I72" s="1152">
        <v>60.590839029999998</v>
      </c>
      <c r="J72" s="1150">
        <v>203.65109854951891</v>
      </c>
      <c r="K72" s="1152">
        <f t="shared" si="17"/>
        <v>203.19248214288746</v>
      </c>
      <c r="L72" s="1150">
        <v>40.590585244169034</v>
      </c>
      <c r="M72" s="1152">
        <f t="shared" si="13"/>
        <v>48.581922409241955</v>
      </c>
      <c r="N72" s="1150">
        <v>13.045790602310248</v>
      </c>
      <c r="O72" s="1152">
        <f t="shared" si="14"/>
        <v>17.312317875760087</v>
      </c>
      <c r="P72" s="1150">
        <v>21.922225549518913</v>
      </c>
      <c r="Q72" s="1152">
        <f t="shared" si="15"/>
        <v>31.744689142887438</v>
      </c>
      <c r="R72" s="1150">
        <v>10.764599702951468</v>
      </c>
      <c r="S72" s="1152">
        <f t="shared" si="16"/>
        <v>15.622964397159233</v>
      </c>
      <c r="T72" s="1151">
        <v>106.45167971622689</v>
      </c>
      <c r="U72" s="1735">
        <v>0.17312317875760086</v>
      </c>
      <c r="V72" s="1734">
        <v>15.622964397159233</v>
      </c>
    </row>
    <row r="73" spans="1:22">
      <c r="A73" s="1130">
        <v>1</v>
      </c>
      <c r="B73" s="1699"/>
      <c r="C73" s="1177" t="s">
        <v>129</v>
      </c>
      <c r="D73" s="1150">
        <v>429.56798877933466</v>
      </c>
      <c r="E73" s="1155">
        <v>399.36994390934751</v>
      </c>
      <c r="F73" s="1150">
        <v>122.09148900000002</v>
      </c>
      <c r="G73" s="1152">
        <v>119.53250000000001</v>
      </c>
      <c r="H73" s="1150">
        <v>275.93825800000002</v>
      </c>
      <c r="I73" s="1152">
        <v>253.73781527999998</v>
      </c>
      <c r="J73" s="1150">
        <v>127.85565145257453</v>
      </c>
      <c r="K73" s="1152">
        <f t="shared" si="17"/>
        <v>121.66993199478671</v>
      </c>
      <c r="L73" s="1150">
        <v>31.538241779334612</v>
      </c>
      <c r="M73" s="1152">
        <f t="shared" si="13"/>
        <v>26.099628629347507</v>
      </c>
      <c r="N73" s="1150">
        <v>7.3418510231532954</v>
      </c>
      <c r="O73" s="1152">
        <f t="shared" si="14"/>
        <v>6.535201015345268</v>
      </c>
      <c r="P73" s="1150">
        <v>5.7641624525745101</v>
      </c>
      <c r="Q73" s="1152">
        <f t="shared" si="15"/>
        <v>2.1374319947866951</v>
      </c>
      <c r="R73" s="1150">
        <v>4.5083360704728879</v>
      </c>
      <c r="S73" s="1152">
        <f t="shared" si="16"/>
        <v>1.7567462722657554</v>
      </c>
      <c r="T73" s="1151">
        <v>27.990076730472662</v>
      </c>
      <c r="U73" s="1735">
        <v>6.5352010153452683E-2</v>
      </c>
      <c r="V73" s="1734">
        <v>1.7567462722657554</v>
      </c>
    </row>
    <row r="74" spans="1:22">
      <c r="A74" s="1130">
        <v>1</v>
      </c>
      <c r="B74" s="1699"/>
      <c r="C74" s="1177" t="s">
        <v>394</v>
      </c>
      <c r="D74" s="1150">
        <v>277.80966456343327</v>
      </c>
      <c r="E74" s="1155">
        <v>312.52197356113169</v>
      </c>
      <c r="F74" s="1150">
        <v>169.292067</v>
      </c>
      <c r="G74" s="1152">
        <v>185.371397</v>
      </c>
      <c r="H74" s="1150">
        <v>68.090027000000006</v>
      </c>
      <c r="I74" s="1152">
        <v>100.95126723999999</v>
      </c>
      <c r="J74" s="1150">
        <v>193.05105768962727</v>
      </c>
      <c r="K74" s="1152">
        <f t="shared" si="17"/>
        <v>192.81938790746381</v>
      </c>
      <c r="L74" s="1150">
        <v>40.427570563433264</v>
      </c>
      <c r="M74" s="1152">
        <f t="shared" si="13"/>
        <v>26.199309321131693</v>
      </c>
      <c r="N74" s="1150">
        <v>14.552254914156268</v>
      </c>
      <c r="O74" s="1152">
        <f t="shared" si="14"/>
        <v>8.3831895154747933</v>
      </c>
      <c r="P74" s="1150">
        <v>23.758990689627268</v>
      </c>
      <c r="Q74" s="1152">
        <f t="shared" si="15"/>
        <v>7.4479909074638044</v>
      </c>
      <c r="R74" s="1150">
        <v>12.307102055781098</v>
      </c>
      <c r="S74" s="1152">
        <f t="shared" si="16"/>
        <v>3.8626773937474477</v>
      </c>
      <c r="T74" s="1151">
        <v>115.37078941004336</v>
      </c>
      <c r="U74" s="1735">
        <v>8.3831895154747926E-2</v>
      </c>
      <c r="V74" s="1734">
        <v>3.8626773937474477</v>
      </c>
    </row>
    <row r="75" spans="1:22">
      <c r="A75" s="1130">
        <v>1</v>
      </c>
      <c r="B75" s="1699"/>
      <c r="C75" s="1177" t="s">
        <v>565</v>
      </c>
      <c r="D75" s="1150">
        <v>220.64548553303121</v>
      </c>
      <c r="E75" s="1155">
        <v>225.3344236200835</v>
      </c>
      <c r="F75" s="1150">
        <v>177.66463700000003</v>
      </c>
      <c r="G75" s="1152">
        <v>172.52870000000001</v>
      </c>
      <c r="H75" s="1150">
        <v>37.562821999999997</v>
      </c>
      <c r="I75" s="1152">
        <v>38.298380050000006</v>
      </c>
      <c r="J75" s="1150">
        <v>169.84393440104935</v>
      </c>
      <c r="K75" s="1152">
        <f t="shared" si="17"/>
        <v>173.51597815287846</v>
      </c>
      <c r="L75" s="1150">
        <v>5.4180265330311812</v>
      </c>
      <c r="M75" s="1152">
        <f t="shared" si="13"/>
        <v>14.507343570083478</v>
      </c>
      <c r="N75" s="1150">
        <v>2.4555347325336907</v>
      </c>
      <c r="O75" s="1152">
        <f t="shared" si="14"/>
        <v>6.4381390721477292</v>
      </c>
      <c r="P75" s="1150">
        <v>-7.8207025989506747</v>
      </c>
      <c r="Q75" s="1152">
        <f t="shared" si="15"/>
        <v>0.98727815287844578</v>
      </c>
      <c r="R75" s="1150">
        <v>-4.604640505137966</v>
      </c>
      <c r="S75" s="1152">
        <f t="shared" si="16"/>
        <v>0.5689839998530809</v>
      </c>
      <c r="T75" s="1151">
        <v>-37.976387312447407</v>
      </c>
      <c r="U75" s="1735">
        <v>6.4381390721477291E-2</v>
      </c>
      <c r="V75" s="1734">
        <v>0.5689839998530809</v>
      </c>
    </row>
    <row r="76" spans="1:22">
      <c r="A76" s="1130">
        <v>1</v>
      </c>
      <c r="B76" s="1699"/>
      <c r="C76" s="1177" t="s">
        <v>566</v>
      </c>
      <c r="D76" s="1150">
        <v>159.86756695641208</v>
      </c>
      <c r="E76" s="1155">
        <v>173.8236963415855</v>
      </c>
      <c r="F76" s="1150">
        <v>125.967567</v>
      </c>
      <c r="G76" s="1152">
        <v>120.924846</v>
      </c>
      <c r="H76" s="1150">
        <v>33.770598</v>
      </c>
      <c r="I76" s="1152">
        <v>38.330111540000004</v>
      </c>
      <c r="J76" s="1150">
        <v>116.50491493902734</v>
      </c>
      <c r="K76" s="1152">
        <f t="shared" si="17"/>
        <v>125.06416302109038</v>
      </c>
      <c r="L76" s="1150">
        <v>0.12940195641207453</v>
      </c>
      <c r="M76" s="1152">
        <f t="shared" si="13"/>
        <v>14.568738801585496</v>
      </c>
      <c r="N76" s="1150">
        <v>8.0943219988677248E-2</v>
      </c>
      <c r="O76" s="1152">
        <f t="shared" si="14"/>
        <v>8.381330686327189</v>
      </c>
      <c r="P76" s="1150">
        <v>-9.4626520609726583</v>
      </c>
      <c r="Q76" s="1152">
        <f t="shared" si="15"/>
        <v>4.1393170210903776</v>
      </c>
      <c r="R76" s="1150">
        <v>-8.1221054630398406</v>
      </c>
      <c r="S76" s="1152">
        <f t="shared" si="16"/>
        <v>3.30975470598427</v>
      </c>
      <c r="T76" s="1151">
        <v>-45.949495601410845</v>
      </c>
      <c r="U76" s="1735">
        <v>8.3813306863271889E-2</v>
      </c>
      <c r="V76" s="1734">
        <v>3.30975470598427</v>
      </c>
    </row>
    <row r="77" spans="1:22">
      <c r="A77" s="1130">
        <v>1</v>
      </c>
      <c r="B77" s="1699"/>
      <c r="C77" s="1177" t="s">
        <v>567</v>
      </c>
      <c r="D77" s="1150">
        <v>144.36500520162761</v>
      </c>
      <c r="E77" s="1155">
        <v>129.55169129661041</v>
      </c>
      <c r="F77" s="1150">
        <v>58.462768999999994</v>
      </c>
      <c r="G77" s="1152">
        <v>55.790267</v>
      </c>
      <c r="H77" s="1150">
        <v>62.837651000000008</v>
      </c>
      <c r="I77" s="1152">
        <v>62.455624160000006</v>
      </c>
      <c r="J77" s="1150">
        <v>72.865453889529945</v>
      </c>
      <c r="K77" s="1152">
        <f t="shared" si="17"/>
        <v>59.322965658813779</v>
      </c>
      <c r="L77" s="1150">
        <v>23.064585201627608</v>
      </c>
      <c r="M77" s="1152">
        <f t="shared" si="13"/>
        <v>11.305800136610408</v>
      </c>
      <c r="N77" s="1150">
        <v>15.976576296599317</v>
      </c>
      <c r="O77" s="1152">
        <f t="shared" si="14"/>
        <v>8.7268641755711389</v>
      </c>
      <c r="P77" s="1150">
        <v>14.402684889529951</v>
      </c>
      <c r="Q77" s="1152">
        <f t="shared" si="15"/>
        <v>3.5326986588137785</v>
      </c>
      <c r="R77" s="1150">
        <v>19.766136242512964</v>
      </c>
      <c r="S77" s="1152">
        <f t="shared" si="16"/>
        <v>5.9550270617479075</v>
      </c>
      <c r="T77" s="1151">
        <v>69.937698407980719</v>
      </c>
      <c r="U77" s="1735">
        <v>8.726864175571139E-2</v>
      </c>
      <c r="V77" s="1734">
        <v>5.9550270617479075</v>
      </c>
    </row>
    <row r="78" spans="1:22">
      <c r="A78" s="1130">
        <v>1</v>
      </c>
      <c r="B78" s="1699"/>
      <c r="C78" s="1177" t="s">
        <v>555</v>
      </c>
      <c r="D78" s="1150">
        <v>85.592624411006057</v>
      </c>
      <c r="E78" s="1155">
        <v>86.964316131227363</v>
      </c>
      <c r="F78" s="1150">
        <v>72.863343999999998</v>
      </c>
      <c r="G78" s="1152">
        <v>73.888833000000005</v>
      </c>
      <c r="H78" s="1150">
        <v>5.330921</v>
      </c>
      <c r="I78" s="1152">
        <v>5.7347031199999998</v>
      </c>
      <c r="J78" s="1150">
        <v>75.126145946345687</v>
      </c>
      <c r="K78" s="1152">
        <f t="shared" si="17"/>
        <v>76.011754043353719</v>
      </c>
      <c r="L78" s="1150">
        <v>7.3983594110060587</v>
      </c>
      <c r="M78" s="1152">
        <f t="shared" si="13"/>
        <v>7.3407800112273582</v>
      </c>
      <c r="N78" s="1150">
        <v>8.6436880069011295</v>
      </c>
      <c r="O78" s="1152">
        <f t="shared" si="14"/>
        <v>8.4411403869953645</v>
      </c>
      <c r="P78" s="1150">
        <v>2.2628019463456894</v>
      </c>
      <c r="Q78" s="1152">
        <f t="shared" si="15"/>
        <v>2.1229210433537133</v>
      </c>
      <c r="R78" s="1150">
        <v>3.0120032351476662</v>
      </c>
      <c r="S78" s="1152">
        <f t="shared" si="16"/>
        <v>2.7928852189661271</v>
      </c>
      <c r="T78" s="1151">
        <v>10.987892972341593</v>
      </c>
      <c r="U78" s="1735">
        <v>8.4411403869953647E-2</v>
      </c>
      <c r="V78" s="1734">
        <v>2.7928852189661271</v>
      </c>
    </row>
    <row r="79" spans="1:22">
      <c r="A79" s="1130">
        <v>1</v>
      </c>
      <c r="B79" s="1699"/>
      <c r="C79" s="1177" t="s">
        <v>568</v>
      </c>
      <c r="D79" s="1150">
        <v>44.111071273367841</v>
      </c>
      <c r="E79" s="1155">
        <v>38.542521610493203</v>
      </c>
      <c r="F79" s="1150">
        <v>36.522445319999996</v>
      </c>
      <c r="G79" s="1152">
        <v>34.787042</v>
      </c>
      <c r="H79" s="1150">
        <v>6.2799040000000002</v>
      </c>
      <c r="I79" s="1152">
        <v>5.6851555099999995</v>
      </c>
      <c r="J79" s="1150">
        <v>35.184502996965769</v>
      </c>
      <c r="K79" s="1152">
        <f t="shared" si="17"/>
        <v>30.544814803863609</v>
      </c>
      <c r="L79" s="1150">
        <v>1.3087219533678454</v>
      </c>
      <c r="M79" s="1152">
        <f t="shared" si="13"/>
        <v>-1.9296758995067957</v>
      </c>
      <c r="N79" s="1150">
        <v>2.9668786442690389</v>
      </c>
      <c r="O79" s="1152">
        <f t="shared" si="14"/>
        <v>-5.0066155997988497</v>
      </c>
      <c r="P79" s="1150">
        <v>-1.3379423230342269</v>
      </c>
      <c r="Q79" s="1152">
        <f t="shared" si="15"/>
        <v>-4.2422271961363904</v>
      </c>
      <c r="R79" s="1150">
        <v>-3.8026466457394839</v>
      </c>
      <c r="S79" s="1152">
        <f t="shared" si="16"/>
        <v>-13.888534677250005</v>
      </c>
      <c r="T79" s="1151">
        <v>-6.4968863370511976</v>
      </c>
      <c r="U79" s="1735">
        <v>-5.0066155997988498E-2</v>
      </c>
      <c r="V79" s="1734">
        <v>-13.888534677250005</v>
      </c>
    </row>
    <row r="80" spans="1:22" ht="15.6">
      <c r="A80" s="1160">
        <f>SUM(A71:A79)</f>
        <v>9</v>
      </c>
      <c r="B80" s="1700"/>
      <c r="C80" s="1161" t="s">
        <v>311</v>
      </c>
      <c r="D80" s="1162">
        <v>1894.1796539999998</v>
      </c>
      <c r="E80" s="1167">
        <f>SUM(E71:E79)</f>
        <v>1851.3323300000002</v>
      </c>
      <c r="F80" s="1162">
        <v>1102.2387503200002</v>
      </c>
      <c r="G80" s="1167">
        <f>SUM(G71:G79)</f>
        <v>1085.0232209999999</v>
      </c>
      <c r="H80" s="1162">
        <v>615.37669800000003</v>
      </c>
      <c r="I80" s="1167">
        <f>SUM(I71:I79)</f>
        <v>593.83016484999985</v>
      </c>
      <c r="J80" s="1162">
        <v>1165.1521767600004</v>
      </c>
      <c r="K80" s="1164">
        <f t="shared" si="17"/>
        <v>1146.4222253500004</v>
      </c>
      <c r="L80" s="1162">
        <v>176.56420567999953</v>
      </c>
      <c r="M80" s="1164">
        <f t="shared" si="13"/>
        <v>172.47894415000042</v>
      </c>
      <c r="N80" s="1162">
        <v>9.3214075711954383</v>
      </c>
      <c r="O80" s="1164">
        <f t="shared" si="14"/>
        <v>9.3164766452277323</v>
      </c>
      <c r="P80" s="1162">
        <v>62.913426440000038</v>
      </c>
      <c r="Q80" s="1164">
        <f t="shared" si="15"/>
        <v>61.399004350000496</v>
      </c>
      <c r="R80" s="1162">
        <v>5.3995888000610091</v>
      </c>
      <c r="S80" s="1164">
        <f t="shared" si="16"/>
        <v>5.3557060385195783</v>
      </c>
      <c r="T80" s="1163">
        <v>305.5000007236153</v>
      </c>
      <c r="U80" s="1732">
        <v>9.3164766452277115E-2</v>
      </c>
      <c r="V80" s="1733">
        <v>5.3557060385195783</v>
      </c>
    </row>
    <row r="81" spans="1:22">
      <c r="A81" s="1130">
        <v>1</v>
      </c>
      <c r="B81" s="1698" t="s">
        <v>132</v>
      </c>
      <c r="C81" s="1172" t="s">
        <v>595</v>
      </c>
      <c r="D81" s="1150">
        <v>662.66656908535219</v>
      </c>
      <c r="E81" s="1155">
        <v>492.24276200000003</v>
      </c>
      <c r="F81" s="1150">
        <v>446.19015599999994</v>
      </c>
      <c r="G81" s="1152">
        <v>115.49354000000001</v>
      </c>
      <c r="H81" s="1150">
        <v>166.524102</v>
      </c>
      <c r="I81" s="1152">
        <v>67.919739820000004</v>
      </c>
      <c r="J81" s="1150">
        <v>456.38247294023108</v>
      </c>
      <c r="K81" s="1152">
        <f>(E81-(E81*0.06)-I81-I82)</f>
        <v>330.98806614</v>
      </c>
      <c r="L81" s="1150">
        <v>49.95231108535225</v>
      </c>
      <c r="M81" s="1152">
        <f>E81-G81-I81-G82-I82</f>
        <v>26.868876860000022</v>
      </c>
      <c r="N81" s="1150">
        <v>7.5380762235069589</v>
      </c>
      <c r="O81" s="1152">
        <f t="shared" ref="N81:O101" si="18">M81/E81*100</f>
        <v>5.4584605268406206</v>
      </c>
      <c r="P81" s="1150">
        <v>10.192316940231137</v>
      </c>
      <c r="Q81" s="1152">
        <f>K81-G81-G82</f>
        <v>-2.6656888599999888</v>
      </c>
      <c r="R81" s="1150">
        <v>2.2332840423444451</v>
      </c>
      <c r="S81" s="1152">
        <f>Q81/K81*100</f>
        <v>-0.80537310335305756</v>
      </c>
      <c r="T81" s="1151">
        <v>39.661922226526144</v>
      </c>
      <c r="U81" s="1747">
        <v>5.4584605268406229E-2</v>
      </c>
      <c r="V81" s="1746">
        <v>-8.0537310335305756E-3</v>
      </c>
    </row>
    <row r="82" spans="1:22">
      <c r="A82" s="1130">
        <v>1</v>
      </c>
      <c r="B82" s="1699"/>
      <c r="C82" s="1172" t="s">
        <v>516</v>
      </c>
      <c r="D82" s="1150">
        <v>166.08701995508358</v>
      </c>
      <c r="E82" s="1155"/>
      <c r="F82" s="1150">
        <v>63.100878999999992</v>
      </c>
      <c r="G82" s="1152">
        <v>218.16021499999999</v>
      </c>
      <c r="H82" s="1150">
        <v>89.707918000000006</v>
      </c>
      <c r="I82" s="1152">
        <v>63.800390319999998</v>
      </c>
      <c r="J82" s="1150">
        <v>66.413880757778543</v>
      </c>
      <c r="K82" s="1152"/>
      <c r="L82" s="1150">
        <v>13.278222955083578</v>
      </c>
      <c r="M82" s="1152"/>
      <c r="N82" s="1150">
        <v>7.9947385163961213</v>
      </c>
      <c r="O82" s="1152"/>
      <c r="P82" s="1150">
        <v>3.3130017577785509</v>
      </c>
      <c r="Q82" s="1152"/>
      <c r="R82" s="1150">
        <v>4.9884176620570759</v>
      </c>
      <c r="S82" s="1152"/>
      <c r="T82" s="1151">
        <v>12.892065545439902</v>
      </c>
      <c r="U82" s="1745"/>
      <c r="V82" s="1746"/>
    </row>
    <row r="83" spans="1:22">
      <c r="A83" s="1130">
        <v>1</v>
      </c>
      <c r="B83" s="1699"/>
      <c r="C83" s="1172" t="s">
        <v>517</v>
      </c>
      <c r="D83" s="1150">
        <v>248.61657929842573</v>
      </c>
      <c r="E83" s="1155">
        <v>120.45552000000001</v>
      </c>
      <c r="F83" s="1150">
        <v>190.06826700000002</v>
      </c>
      <c r="G83" s="1152">
        <v>96.501278999999997</v>
      </c>
      <c r="H83" s="1150">
        <v>22.169504000000003</v>
      </c>
      <c r="I83" s="1152">
        <v>9.3232734100000005</v>
      </c>
      <c r="J83" s="1150">
        <v>211.5300805405202</v>
      </c>
      <c r="K83" s="1152">
        <f t="shared" ref="J83:K101" si="19">(E83-(E83*0.06)-I83)</f>
        <v>103.90491539000001</v>
      </c>
      <c r="L83" s="1150">
        <v>36.37880829842571</v>
      </c>
      <c r="M83" s="1152">
        <f t="shared" ref="L83:M101" si="20">E83-G83-I83</f>
        <v>14.63096759000001</v>
      </c>
      <c r="N83" s="1150">
        <v>14.632494904838417</v>
      </c>
      <c r="O83" s="1152">
        <f t="shared" si="18"/>
        <v>12.146365388651354</v>
      </c>
      <c r="P83" s="1150">
        <v>21.461813540520183</v>
      </c>
      <c r="Q83" s="1152">
        <f t="shared" ref="P83:Q101" si="21">K83-G83</f>
        <v>7.4036363900000168</v>
      </c>
      <c r="R83" s="1150">
        <v>10.1459865593012</v>
      </c>
      <c r="S83" s="1152">
        <f t="shared" ref="R83:S101" si="22">Q83/K83*100</f>
        <v>7.1253957160842418</v>
      </c>
      <c r="T83" s="1151">
        <v>83.515532775908127</v>
      </c>
      <c r="U83" s="1728">
        <v>0.12146365388651353</v>
      </c>
      <c r="V83" s="1750">
        <v>7.1253957160842415E-2</v>
      </c>
    </row>
    <row r="84" spans="1:22">
      <c r="A84" s="1130">
        <v>1</v>
      </c>
      <c r="B84" s="1699"/>
      <c r="C84" s="1172" t="s">
        <v>454</v>
      </c>
      <c r="D84" s="1150">
        <v>148.9674519585746</v>
      </c>
      <c r="E84" s="1155">
        <v>193.920513</v>
      </c>
      <c r="F84" s="1150">
        <v>124.14416099999998</v>
      </c>
      <c r="G84" s="1152">
        <v>160.43470000000002</v>
      </c>
      <c r="H84" s="1150">
        <v>8.499388999999999</v>
      </c>
      <c r="I84" s="1152">
        <v>13.459325250000003</v>
      </c>
      <c r="J84" s="1150">
        <v>131.53001584106011</v>
      </c>
      <c r="K84" s="1152">
        <f t="shared" si="19"/>
        <v>168.82595696999999</v>
      </c>
      <c r="L84" s="1150">
        <v>16.323901958574616</v>
      </c>
      <c r="M84" s="1152">
        <f t="shared" si="20"/>
        <v>20.026487749999976</v>
      </c>
      <c r="N84" s="1150">
        <v>10.958032606420646</v>
      </c>
      <c r="O84" s="1152">
        <f t="shared" si="18"/>
        <v>10.327163145448145</v>
      </c>
      <c r="P84" s="1150">
        <v>7.385854841060123</v>
      </c>
      <c r="Q84" s="1152">
        <f t="shared" si="21"/>
        <v>8.3912569699999722</v>
      </c>
      <c r="R84" s="1150">
        <v>5.6153379088657109</v>
      </c>
      <c r="S84" s="1152">
        <f t="shared" si="22"/>
        <v>4.9703594877244388</v>
      </c>
      <c r="T84" s="1151">
        <v>28.740982251666036</v>
      </c>
      <c r="U84" s="1728">
        <v>0.10327163145448144</v>
      </c>
      <c r="V84" s="1750">
        <v>4.9703594877244385E-2</v>
      </c>
    </row>
    <row r="85" spans="1:22">
      <c r="A85" s="1130">
        <v>1</v>
      </c>
      <c r="B85" s="1699"/>
      <c r="C85" s="1172" t="s">
        <v>455</v>
      </c>
      <c r="D85" s="1150">
        <v>696.40408179227813</v>
      </c>
      <c r="E85" s="1155">
        <v>324.88352900000001</v>
      </c>
      <c r="F85" s="1150">
        <v>526.71669199999997</v>
      </c>
      <c r="G85" s="1152">
        <v>252.85405900000001</v>
      </c>
      <c r="H85" s="1150">
        <v>97.231753000000012</v>
      </c>
      <c r="I85" s="1152">
        <v>41.86866096</v>
      </c>
      <c r="J85" s="1150">
        <v>557.38808388474138</v>
      </c>
      <c r="K85" s="1152">
        <f t="shared" si="19"/>
        <v>263.52185630000002</v>
      </c>
      <c r="L85" s="1150">
        <v>72.455636792278156</v>
      </c>
      <c r="M85" s="1152">
        <f t="shared" si="20"/>
        <v>30.160809040000004</v>
      </c>
      <c r="N85" s="1150">
        <v>10.404252170062676</v>
      </c>
      <c r="O85" s="1152">
        <f t="shared" si="18"/>
        <v>9.2835759119078034</v>
      </c>
      <c r="P85" s="1150">
        <v>30.671391884741411</v>
      </c>
      <c r="Q85" s="1152">
        <f t="shared" si="21"/>
        <v>10.667797300000018</v>
      </c>
      <c r="R85" s="1150">
        <v>5.5026996040130181</v>
      </c>
      <c r="S85" s="1152">
        <f t="shared" si="22"/>
        <v>4.0481641446300092</v>
      </c>
      <c r="T85" s="1151">
        <v>119.35327037468792</v>
      </c>
      <c r="U85" s="1728">
        <v>9.2835759119078029E-2</v>
      </c>
      <c r="V85" s="1750">
        <v>4.0481641446300093E-2</v>
      </c>
    </row>
    <row r="86" spans="1:22">
      <c r="A86" s="1130">
        <v>1</v>
      </c>
      <c r="B86" s="1699"/>
      <c r="C86" s="1172" t="s">
        <v>832</v>
      </c>
      <c r="D86" s="1150">
        <v>286.39208676161286</v>
      </c>
      <c r="E86" s="1155">
        <v>263.03174100000001</v>
      </c>
      <c r="F86" s="1150">
        <v>193.23473200000001</v>
      </c>
      <c r="G86" s="1152">
        <v>203.39507899999998</v>
      </c>
      <c r="H86" s="1150">
        <v>30.213781999999998</v>
      </c>
      <c r="I86" s="1152">
        <v>31.309959470000003</v>
      </c>
      <c r="J86" s="1150">
        <v>238.9947795559161</v>
      </c>
      <c r="K86" s="1152">
        <f t="shared" si="19"/>
        <v>215.93987707000002</v>
      </c>
      <c r="L86" s="1150">
        <v>62.943572761612856</v>
      </c>
      <c r="M86" s="1152">
        <f t="shared" si="20"/>
        <v>28.326702530000027</v>
      </c>
      <c r="N86" s="1150">
        <v>21.978111711587147</v>
      </c>
      <c r="O86" s="1152">
        <f t="shared" si="18"/>
        <v>10.769309598266327</v>
      </c>
      <c r="P86" s="1150">
        <v>45.760047555916088</v>
      </c>
      <c r="Q86" s="1152">
        <f t="shared" si="21"/>
        <v>12.544798070000041</v>
      </c>
      <c r="R86" s="1150">
        <v>19.14688163521576</v>
      </c>
      <c r="S86" s="1152">
        <f t="shared" si="22"/>
        <v>5.809393911034535</v>
      </c>
      <c r="T86" s="1151">
        <v>178.06858419806196</v>
      </c>
      <c r="U86" s="1728">
        <v>0.10769309598266327</v>
      </c>
      <c r="V86" s="1750">
        <v>5.8093939110345348E-2</v>
      </c>
    </row>
    <row r="87" spans="1:22">
      <c r="A87" s="1130">
        <v>1</v>
      </c>
      <c r="B87" s="1699"/>
      <c r="C87" s="1172" t="s">
        <v>833</v>
      </c>
      <c r="D87" s="1150">
        <v>143.60892514867297</v>
      </c>
      <c r="E87" s="1155">
        <v>178.94413599999999</v>
      </c>
      <c r="F87" s="1150">
        <v>134.44442100000001</v>
      </c>
      <c r="G87" s="1152">
        <v>63.642330000000001</v>
      </c>
      <c r="H87" s="1150">
        <v>20.548598000000002</v>
      </c>
      <c r="I87" s="1152">
        <v>107.37639925000001</v>
      </c>
      <c r="J87" s="1150">
        <v>114.44379163975259</v>
      </c>
      <c r="K87" s="1152">
        <f t="shared" si="19"/>
        <v>60.831088589999993</v>
      </c>
      <c r="L87" s="1150">
        <v>-11.384093851327041</v>
      </c>
      <c r="M87" s="1152">
        <f t="shared" si="20"/>
        <v>7.9254067499999792</v>
      </c>
      <c r="N87" s="1150">
        <v>-7.9271492628619793</v>
      </c>
      <c r="O87" s="1152">
        <f t="shared" si="18"/>
        <v>4.4289837751374987</v>
      </c>
      <c r="P87" s="1150">
        <v>-20.000629360247416</v>
      </c>
      <c r="Q87" s="1152">
        <f t="shared" si="21"/>
        <v>-2.811241410000008</v>
      </c>
      <c r="R87" s="1150">
        <v>-17.476377769102243</v>
      </c>
      <c r="S87" s="1152">
        <f t="shared" si="22"/>
        <v>-4.6213892849225573</v>
      </c>
      <c r="T87" s="1151">
        <v>-77.829546590779287</v>
      </c>
      <c r="U87" s="1728">
        <v>4.4289837751374989E-2</v>
      </c>
      <c r="V87" s="1750">
        <v>-4.6213892849225571E-2</v>
      </c>
    </row>
    <row r="88" spans="1:22">
      <c r="A88" s="1130">
        <v>1</v>
      </c>
      <c r="B88" s="1699"/>
      <c r="C88" s="1172" t="s">
        <v>834</v>
      </c>
      <c r="D88" s="1150"/>
      <c r="E88" s="1155">
        <v>184.39603299999999</v>
      </c>
      <c r="F88" s="1150"/>
      <c r="G88" s="1152">
        <v>139.481675</v>
      </c>
      <c r="H88" s="1150"/>
      <c r="I88" s="1152">
        <v>21.364574380000001</v>
      </c>
      <c r="J88" s="1150"/>
      <c r="K88" s="1152">
        <f t="shared" si="19"/>
        <v>151.96769663999999</v>
      </c>
      <c r="L88" s="1150"/>
      <c r="M88" s="1152">
        <f t="shared" si="20"/>
        <v>23.549783619999992</v>
      </c>
      <c r="N88" s="1150"/>
      <c r="O88" s="1152">
        <f t="shared" si="18"/>
        <v>12.771307081210361</v>
      </c>
      <c r="P88" s="1150"/>
      <c r="Q88" s="1152">
        <f t="shared" si="21"/>
        <v>12.48602163999999</v>
      </c>
      <c r="R88" s="1150"/>
      <c r="S88" s="1152">
        <f t="shared" si="22"/>
        <v>8.216234052410778</v>
      </c>
      <c r="T88" s="1151"/>
      <c r="U88" s="1728">
        <v>0.12771307081210362</v>
      </c>
      <c r="V88" s="1750">
        <v>8.2162340524107785E-2</v>
      </c>
    </row>
    <row r="89" spans="1:22">
      <c r="A89" s="1130">
        <v>1</v>
      </c>
      <c r="B89" s="1699"/>
      <c r="C89" s="1172" t="s">
        <v>456</v>
      </c>
      <c r="D89" s="1150"/>
      <c r="E89" s="1155">
        <v>225.22323499999999</v>
      </c>
      <c r="F89" s="1150"/>
      <c r="G89" s="1152">
        <v>162.22032400000001</v>
      </c>
      <c r="H89" s="1150"/>
      <c r="I89" s="1152">
        <v>47.031685810000006</v>
      </c>
      <c r="J89" s="1150"/>
      <c r="K89" s="1152">
        <f t="shared" si="19"/>
        <v>164.67815508999999</v>
      </c>
      <c r="L89" s="1150"/>
      <c r="M89" s="1152">
        <f t="shared" si="20"/>
        <v>15.971225189999977</v>
      </c>
      <c r="N89" s="1150"/>
      <c r="O89" s="1152">
        <f t="shared" si="18"/>
        <v>7.0912866472235772</v>
      </c>
      <c r="P89" s="1150"/>
      <c r="Q89" s="1152">
        <f t="shared" si="21"/>
        <v>2.4578310899999849</v>
      </c>
      <c r="R89" s="1150"/>
      <c r="S89" s="1152">
        <f t="shared" si="22"/>
        <v>1.4925058449050086</v>
      </c>
      <c r="T89" s="1151"/>
      <c r="U89" s="1728">
        <v>7.0912866472235769E-2</v>
      </c>
      <c r="V89" s="1750">
        <v>1.4925058449050087E-2</v>
      </c>
    </row>
    <row r="90" spans="1:22">
      <c r="A90" s="1130">
        <v>1</v>
      </c>
      <c r="B90" s="1699"/>
      <c r="C90" s="1172" t="s">
        <v>453</v>
      </c>
      <c r="D90" s="1150"/>
      <c r="E90" s="1155">
        <v>173.89525800000001</v>
      </c>
      <c r="F90" s="1150"/>
      <c r="G90" s="1152">
        <v>142.07412300000001</v>
      </c>
      <c r="H90" s="1150"/>
      <c r="I90" s="1152">
        <v>9.4323383499999984</v>
      </c>
      <c r="J90" s="1150"/>
      <c r="K90" s="1152">
        <f t="shared" si="19"/>
        <v>154.02920417000001</v>
      </c>
      <c r="L90" s="1150"/>
      <c r="M90" s="1152">
        <f t="shared" si="20"/>
        <v>22.38879665</v>
      </c>
      <c r="N90" s="1150"/>
      <c r="O90" s="1152">
        <f t="shared" si="18"/>
        <v>12.874874742127815</v>
      </c>
      <c r="P90" s="1150"/>
      <c r="Q90" s="1152">
        <f t="shared" si="21"/>
        <v>11.95508117</v>
      </c>
      <c r="R90" s="1150"/>
      <c r="S90" s="1152">
        <f t="shared" si="22"/>
        <v>7.7615678367105856</v>
      </c>
      <c r="T90" s="1151"/>
      <c r="U90" s="1728">
        <v>0.12874874742127815</v>
      </c>
      <c r="V90" s="1750">
        <v>7.7615678367105853E-2</v>
      </c>
    </row>
    <row r="91" spans="1:22">
      <c r="A91" s="1130">
        <v>1</v>
      </c>
      <c r="B91" s="1699"/>
      <c r="C91" s="1172" t="s">
        <v>835</v>
      </c>
      <c r="D91" s="1150"/>
      <c r="E91" s="1155">
        <v>155.36050499999999</v>
      </c>
      <c r="F91" s="1150"/>
      <c r="G91" s="1152">
        <v>111.232229</v>
      </c>
      <c r="H91" s="1150"/>
      <c r="I91" s="1152">
        <v>25.832632669999999</v>
      </c>
      <c r="J91" s="1150"/>
      <c r="K91" s="1152">
        <f t="shared" si="19"/>
        <v>120.20624202999998</v>
      </c>
      <c r="L91" s="1150"/>
      <c r="M91" s="1152">
        <f t="shared" si="20"/>
        <v>18.295643329999987</v>
      </c>
      <c r="N91" s="1150"/>
      <c r="O91" s="1152">
        <f t="shared" si="18"/>
        <v>11.776251197175233</v>
      </c>
      <c r="P91" s="1150"/>
      <c r="Q91" s="1152">
        <f t="shared" si="21"/>
        <v>8.9740130299999805</v>
      </c>
      <c r="R91" s="1150"/>
      <c r="S91" s="1152">
        <f t="shared" si="22"/>
        <v>7.4655133364541308</v>
      </c>
      <c r="T91" s="1151"/>
      <c r="U91" s="1728">
        <v>0.11776251197175233</v>
      </c>
      <c r="V91" s="1750">
        <v>7.4655133364541312E-2</v>
      </c>
    </row>
    <row r="92" spans="1:22">
      <c r="A92" s="1130">
        <v>1</v>
      </c>
      <c r="B92" s="1699"/>
      <c r="C92" s="1172" t="s">
        <v>661</v>
      </c>
      <c r="D92" s="1150"/>
      <c r="E92" s="1155">
        <v>116.955828</v>
      </c>
      <c r="F92" s="1150"/>
      <c r="G92" s="1152">
        <v>97.474845999999999</v>
      </c>
      <c r="H92" s="1150"/>
      <c r="I92" s="1152">
        <v>12.19748448</v>
      </c>
      <c r="J92" s="1150"/>
      <c r="K92" s="1152">
        <f t="shared" si="19"/>
        <v>97.740993840000002</v>
      </c>
      <c r="L92" s="1150"/>
      <c r="M92" s="1152">
        <f t="shared" si="20"/>
        <v>7.2834975199999974</v>
      </c>
      <c r="N92" s="1150"/>
      <c r="O92" s="1152">
        <f t="shared" si="18"/>
        <v>6.2275626999964446</v>
      </c>
      <c r="P92" s="1150"/>
      <c r="Q92" s="1152">
        <f t="shared" si="21"/>
        <v>0.26614784000000213</v>
      </c>
      <c r="R92" s="1150"/>
      <c r="S92" s="1152">
        <f t="shared" si="22"/>
        <v>0.2722990932910716</v>
      </c>
      <c r="T92" s="1151"/>
      <c r="U92" s="1728">
        <v>6.2275626999964445E-2</v>
      </c>
      <c r="V92" s="1750">
        <v>2.7229909329107159E-3</v>
      </c>
    </row>
    <row r="93" spans="1:22" ht="15.6">
      <c r="A93" s="1160">
        <f>SUM(A81:A92)</f>
        <v>12</v>
      </c>
      <c r="B93" s="1700"/>
      <c r="C93" s="1161" t="s">
        <v>311</v>
      </c>
      <c r="D93" s="1162">
        <v>2352.742714</v>
      </c>
      <c r="E93" s="1167">
        <f>SUM(E81:E92)</f>
        <v>2429.30906</v>
      </c>
      <c r="F93" s="1162">
        <v>1677.8993079999998</v>
      </c>
      <c r="G93" s="1164">
        <f>SUM(G81:G92)</f>
        <v>1762.964399</v>
      </c>
      <c r="H93" s="1162">
        <v>434.89504600000009</v>
      </c>
      <c r="I93" s="1164">
        <f>SUM(I81:I92)</f>
        <v>450.9164641700001</v>
      </c>
      <c r="J93" s="1162">
        <v>1776.68310516</v>
      </c>
      <c r="K93" s="1164">
        <f t="shared" si="19"/>
        <v>1832.63405223</v>
      </c>
      <c r="L93" s="1162">
        <v>239.94836000000009</v>
      </c>
      <c r="M93" s="1164">
        <f t="shared" si="20"/>
        <v>215.42819682999999</v>
      </c>
      <c r="N93" s="1162">
        <v>10.19866552225141</v>
      </c>
      <c r="O93" s="1164">
        <f t="shared" si="18"/>
        <v>8.8678793644312996</v>
      </c>
      <c r="P93" s="1162">
        <v>98.783797160000077</v>
      </c>
      <c r="Q93" s="1164">
        <f t="shared" si="21"/>
        <v>69.669653229999994</v>
      </c>
      <c r="R93" s="1162">
        <v>5.5600121863659</v>
      </c>
      <c r="S93" s="1164">
        <f t="shared" si="22"/>
        <v>3.8016129376851873</v>
      </c>
      <c r="T93" s="1163">
        <v>384.40281078151082</v>
      </c>
      <c r="U93" s="1749">
        <v>8.8678793644312996</v>
      </c>
      <c r="V93" s="1748">
        <v>3.8016129376851872E-2</v>
      </c>
    </row>
    <row r="94" spans="1:22">
      <c r="A94" s="1130">
        <v>1</v>
      </c>
      <c r="B94" s="1698" t="s">
        <v>133</v>
      </c>
      <c r="C94" s="1172" t="s">
        <v>172</v>
      </c>
      <c r="D94" s="1675">
        <v>402.76400000000001</v>
      </c>
      <c r="E94" s="1709">
        <v>401.28999999999996</v>
      </c>
      <c r="F94" s="1675">
        <v>239.20999999999998</v>
      </c>
      <c r="G94" s="1677">
        <v>243.78588199999999</v>
      </c>
      <c r="H94" s="1675">
        <v>103.1</v>
      </c>
      <c r="I94" s="1677">
        <v>112.59531065999998</v>
      </c>
      <c r="J94" s="1675">
        <f t="shared" si="19"/>
        <v>275.49815999999998</v>
      </c>
      <c r="K94" s="1677">
        <f t="shared" si="19"/>
        <v>264.61728933999996</v>
      </c>
      <c r="L94" s="1675">
        <f t="shared" si="20"/>
        <v>60.454000000000036</v>
      </c>
      <c r="M94" s="1677">
        <f t="shared" si="20"/>
        <v>44.908807339999996</v>
      </c>
      <c r="N94" s="1675">
        <f t="shared" si="18"/>
        <v>15.009782403591194</v>
      </c>
      <c r="O94" s="1677">
        <f t="shared" si="18"/>
        <v>11.191110503625806</v>
      </c>
      <c r="P94" s="1675">
        <f t="shared" si="21"/>
        <v>36.288160000000005</v>
      </c>
      <c r="Q94" s="1677">
        <f t="shared" si="21"/>
        <v>20.83140733999997</v>
      </c>
      <c r="R94" s="1675">
        <f t="shared" si="22"/>
        <v>13.171833888110182</v>
      </c>
      <c r="S94" s="1677">
        <f t="shared" si="22"/>
        <v>7.8722775038460284</v>
      </c>
      <c r="T94" s="1676">
        <v>197.67138092269076</v>
      </c>
      <c r="U94" s="1747">
        <v>11.19111050362581</v>
      </c>
      <c r="V94" s="1744">
        <v>7.8722775038460285E-2</v>
      </c>
    </row>
    <row r="95" spans="1:22">
      <c r="A95" s="1130">
        <v>1</v>
      </c>
      <c r="B95" s="1699"/>
      <c r="C95" s="1172" t="s">
        <v>173</v>
      </c>
      <c r="D95" s="1678"/>
      <c r="E95" s="1710"/>
      <c r="F95" s="1678"/>
      <c r="G95" s="1680"/>
      <c r="H95" s="1678"/>
      <c r="I95" s="1680"/>
      <c r="J95" s="1678"/>
      <c r="K95" s="1680"/>
      <c r="L95" s="1678"/>
      <c r="M95" s="1680"/>
      <c r="N95" s="1678"/>
      <c r="O95" s="1680"/>
      <c r="P95" s="1678"/>
      <c r="Q95" s="1680"/>
      <c r="R95" s="1678"/>
      <c r="S95" s="1680"/>
      <c r="T95" s="1679"/>
      <c r="U95" s="1743"/>
      <c r="V95" s="1742"/>
    </row>
    <row r="96" spans="1:22">
      <c r="A96" s="1130">
        <v>1</v>
      </c>
      <c r="B96" s="1699"/>
      <c r="C96" s="1172" t="s">
        <v>429</v>
      </c>
      <c r="D96" s="1678"/>
      <c r="E96" s="1710"/>
      <c r="F96" s="1678"/>
      <c r="G96" s="1680"/>
      <c r="H96" s="1678"/>
      <c r="I96" s="1680"/>
      <c r="J96" s="1678"/>
      <c r="K96" s="1680"/>
      <c r="L96" s="1678"/>
      <c r="M96" s="1680"/>
      <c r="N96" s="1678"/>
      <c r="O96" s="1680"/>
      <c r="P96" s="1678"/>
      <c r="Q96" s="1680"/>
      <c r="R96" s="1678"/>
      <c r="S96" s="1680"/>
      <c r="T96" s="1679"/>
      <c r="U96" s="1745"/>
      <c r="V96" s="1741"/>
    </row>
    <row r="97" spans="1:22">
      <c r="A97" s="1130">
        <v>1</v>
      </c>
      <c r="B97" s="1699"/>
      <c r="C97" s="1172" t="s">
        <v>662</v>
      </c>
      <c r="D97" s="1681">
        <v>102.49</v>
      </c>
      <c r="E97" s="1711">
        <v>106.188</v>
      </c>
      <c r="F97" s="1681">
        <v>49.756187999999995</v>
      </c>
      <c r="G97" s="1683">
        <v>53.776120999999996</v>
      </c>
      <c r="H97" s="1681">
        <v>41.420434289999989</v>
      </c>
      <c r="I97" s="1683">
        <v>31.580066329999998</v>
      </c>
      <c r="J97" s="1681">
        <f t="shared" si="19"/>
        <v>54.920165710000006</v>
      </c>
      <c r="K97" s="1683">
        <f t="shared" si="19"/>
        <v>68.23665367000001</v>
      </c>
      <c r="L97" s="1681">
        <f t="shared" si="20"/>
        <v>11.313377710000012</v>
      </c>
      <c r="M97" s="1683">
        <f t="shared" si="20"/>
        <v>20.831812670000009</v>
      </c>
      <c r="N97" s="1681">
        <f t="shared" si="18"/>
        <v>11.038518596936299</v>
      </c>
      <c r="O97" s="1683">
        <f t="shared" si="18"/>
        <v>19.617859522733273</v>
      </c>
      <c r="P97" s="1681">
        <f t="shared" si="21"/>
        <v>5.1639777100000117</v>
      </c>
      <c r="Q97" s="1683">
        <f t="shared" si="21"/>
        <v>14.460532670000013</v>
      </c>
      <c r="R97" s="1681">
        <f t="shared" si="22"/>
        <v>9.4026987050036173</v>
      </c>
      <c r="S97" s="1683">
        <f t="shared" si="22"/>
        <v>21.191737713183805</v>
      </c>
      <c r="T97" s="1682">
        <v>0</v>
      </c>
      <c r="U97" s="1722">
        <v>19.617859522733269</v>
      </c>
      <c r="V97" s="1705">
        <v>0.21191737713183806</v>
      </c>
    </row>
    <row r="98" spans="1:22">
      <c r="A98" s="1130">
        <v>1</v>
      </c>
      <c r="B98" s="1699"/>
      <c r="C98" s="1172" t="s">
        <v>676</v>
      </c>
      <c r="D98" s="1150">
        <v>222.71999999999997</v>
      </c>
      <c r="E98" s="1155">
        <v>220.827281</v>
      </c>
      <c r="F98" s="1150">
        <v>35.339145000000002</v>
      </c>
      <c r="G98" s="1152">
        <v>34.010128000000009</v>
      </c>
      <c r="H98" s="1150">
        <v>181.97420531</v>
      </c>
      <c r="I98" s="1152">
        <v>183.64154995999999</v>
      </c>
      <c r="J98" s="1150">
        <f t="shared" si="19"/>
        <v>27.382594689999962</v>
      </c>
      <c r="K98" s="1152">
        <f t="shared" si="19"/>
        <v>23.936094179999998</v>
      </c>
      <c r="L98" s="1150">
        <f t="shared" si="20"/>
        <v>5.4066496899999663</v>
      </c>
      <c r="M98" s="1152">
        <f t="shared" si="20"/>
        <v>3.1756030399999986</v>
      </c>
      <c r="N98" s="1150">
        <f t="shared" si="18"/>
        <v>2.4275546381106174</v>
      </c>
      <c r="O98" s="1152">
        <f t="shared" si="18"/>
        <v>1.438048336065868</v>
      </c>
      <c r="P98" s="1150">
        <f t="shared" si="21"/>
        <v>-7.9565503100000399</v>
      </c>
      <c r="Q98" s="1152">
        <f t="shared" si="21"/>
        <v>-10.074033820000011</v>
      </c>
      <c r="R98" s="1150">
        <f t="shared" si="22"/>
        <v>-29.056962643886141</v>
      </c>
      <c r="S98" s="1152">
        <f t="shared" si="22"/>
        <v>-42.087208314953294</v>
      </c>
      <c r="T98" s="1151">
        <v>-31.725032577260109</v>
      </c>
      <c r="U98" s="1722">
        <v>1.438048336065868</v>
      </c>
      <c r="V98" s="1705">
        <v>-0.42087208314953295</v>
      </c>
    </row>
    <row r="99" spans="1:22">
      <c r="A99" s="1130">
        <v>1</v>
      </c>
      <c r="B99" s="1699"/>
      <c r="C99" s="1172" t="s">
        <v>677</v>
      </c>
      <c r="D99" s="1150">
        <v>135.72</v>
      </c>
      <c r="E99" s="1155">
        <v>143.555003</v>
      </c>
      <c r="F99" s="1150">
        <v>97.507300000000015</v>
      </c>
      <c r="G99" s="1152">
        <v>106.55127599999999</v>
      </c>
      <c r="H99" s="1150">
        <v>23.266142669999997</v>
      </c>
      <c r="I99" s="1152">
        <v>23.807976509999996</v>
      </c>
      <c r="J99" s="1150">
        <f t="shared" si="19"/>
        <v>104.31065733</v>
      </c>
      <c r="K99" s="1152">
        <f t="shared" si="19"/>
        <v>111.13372630999999</v>
      </c>
      <c r="L99" s="1150">
        <f t="shared" si="20"/>
        <v>14.946557329999987</v>
      </c>
      <c r="M99" s="1152">
        <f t="shared" si="20"/>
        <v>13.195750490000016</v>
      </c>
      <c r="N99" s="1150">
        <f t="shared" si="18"/>
        <v>11.01278907309165</v>
      </c>
      <c r="O99" s="1152">
        <f t="shared" si="18"/>
        <v>9.1921216357746971</v>
      </c>
      <c r="P99" s="1150">
        <f t="shared" si="21"/>
        <v>6.803357329999983</v>
      </c>
      <c r="Q99" s="1152">
        <f t="shared" si="21"/>
        <v>4.5824503099999987</v>
      </c>
      <c r="R99" s="1150">
        <f t="shared" si="22"/>
        <v>6.5222073219965431</v>
      </c>
      <c r="S99" s="1152">
        <f t="shared" si="22"/>
        <v>4.1233660223158219</v>
      </c>
      <c r="T99" s="1151">
        <v>23.06352987556253</v>
      </c>
      <c r="U99" s="1722">
        <v>9.1921216357747024</v>
      </c>
      <c r="V99" s="1705">
        <v>4.1233660223158219E-2</v>
      </c>
    </row>
    <row r="100" spans="1:22" ht="16.2" thickBot="1">
      <c r="A100" s="1160">
        <f>SUM(A94:A99)</f>
        <v>6</v>
      </c>
      <c r="B100" s="1700"/>
      <c r="C100" s="1161" t="s">
        <v>311</v>
      </c>
      <c r="D100" s="1162">
        <f t="shared" ref="D100:I100" si="23">SUM(D94:D99)</f>
        <v>863.69399999999996</v>
      </c>
      <c r="E100" s="1167">
        <f t="shared" si="23"/>
        <v>871.86028399999987</v>
      </c>
      <c r="F100" s="1162">
        <f t="shared" si="23"/>
        <v>421.81263300000001</v>
      </c>
      <c r="G100" s="1167">
        <f t="shared" si="23"/>
        <v>438.12340699999999</v>
      </c>
      <c r="H100" s="1162">
        <f t="shared" si="23"/>
        <v>349.76078226999999</v>
      </c>
      <c r="I100" s="1167">
        <f t="shared" si="23"/>
        <v>351.62490345999998</v>
      </c>
      <c r="J100" s="1162">
        <f t="shared" si="19"/>
        <v>462.11157772999996</v>
      </c>
      <c r="K100" s="1164">
        <f t="shared" si="19"/>
        <v>467.92376349999989</v>
      </c>
      <c r="L100" s="1162">
        <f t="shared" si="20"/>
        <v>92.120584729999962</v>
      </c>
      <c r="M100" s="1164">
        <f t="shared" si="20"/>
        <v>82.111973539999894</v>
      </c>
      <c r="N100" s="1162">
        <f t="shared" si="18"/>
        <v>10.665882214071184</v>
      </c>
      <c r="O100" s="1164">
        <f t="shared" si="18"/>
        <v>9.4180197271148902</v>
      </c>
      <c r="P100" s="1162">
        <f t="shared" si="21"/>
        <v>40.29894472999996</v>
      </c>
      <c r="Q100" s="1164">
        <f t="shared" si="21"/>
        <v>29.800356499999907</v>
      </c>
      <c r="R100" s="1162">
        <f t="shared" si="22"/>
        <v>8.7206091931212359</v>
      </c>
      <c r="S100" s="1164">
        <f t="shared" si="22"/>
        <v>6.3686349838481568</v>
      </c>
      <c r="T100" s="1163">
        <v>189.00987822099316</v>
      </c>
      <c r="U100" s="1723">
        <v>9.4180197271148902</v>
      </c>
      <c r="V100" s="1724">
        <v>6.3686349838481565E-2</v>
      </c>
    </row>
    <row r="101" spans="1:22">
      <c r="A101" s="1130">
        <v>1</v>
      </c>
      <c r="B101" s="1698" t="s">
        <v>134</v>
      </c>
      <c r="C101" s="1172" t="s">
        <v>11</v>
      </c>
      <c r="D101" s="1150">
        <v>311.01674062059334</v>
      </c>
      <c r="E101" s="1155">
        <v>330.56418400000001</v>
      </c>
      <c r="F101" s="1150">
        <v>200.17004700000001</v>
      </c>
      <c r="G101" s="1152">
        <v>217.448937</v>
      </c>
      <c r="H101" s="1150">
        <v>80.556553000000008</v>
      </c>
      <c r="I101" s="1152">
        <v>74.700436458000013</v>
      </c>
      <c r="J101" s="1150">
        <v>211.79918318335774</v>
      </c>
      <c r="K101" s="1152">
        <f t="shared" si="19"/>
        <v>236.02989650199999</v>
      </c>
      <c r="L101" s="1150">
        <v>30.29014062059332</v>
      </c>
      <c r="M101" s="1152">
        <f t="shared" si="20"/>
        <v>38.414810541999998</v>
      </c>
      <c r="N101" s="1150">
        <v>9.7390708166233431</v>
      </c>
      <c r="O101" s="1152">
        <f t="shared" si="18"/>
        <v>11.620983881907785</v>
      </c>
      <c r="P101" s="1150">
        <v>11.62913618335773</v>
      </c>
      <c r="Q101" s="1152">
        <f t="shared" si="21"/>
        <v>18.580959501999985</v>
      </c>
      <c r="R101" s="1150">
        <v>5.490642602379733</v>
      </c>
      <c r="S101" s="1152">
        <f t="shared" si="22"/>
        <v>7.8722906620613378</v>
      </c>
      <c r="T101" s="1151">
        <v>56.114614166939738</v>
      </c>
      <c r="U101" s="1722">
        <v>11.620983881907785</v>
      </c>
      <c r="V101" s="1705">
        <v>7.8722906620613375E-2</v>
      </c>
    </row>
    <row r="102" spans="1:22">
      <c r="A102" s="1130">
        <v>1</v>
      </c>
      <c r="B102" s="1699"/>
      <c r="C102" s="1172" t="s">
        <v>135</v>
      </c>
      <c r="D102" s="1150">
        <v>148.46339237940663</v>
      </c>
      <c r="E102" s="1155">
        <v>154.79500000000002</v>
      </c>
      <c r="F102" s="1150">
        <v>106.742482</v>
      </c>
      <c r="G102" s="1152">
        <v>112.89674699999999</v>
      </c>
      <c r="H102" s="1150">
        <v>26.926860999999999</v>
      </c>
      <c r="I102" s="1152">
        <v>24.451859492000001</v>
      </c>
      <c r="J102" s="1150">
        <v>112.62872783664224</v>
      </c>
      <c r="K102" s="1152">
        <f t="shared" ref="K102:K139" si="24">(E102-(E102*0.06)-I102)</f>
        <v>121.05544050800002</v>
      </c>
      <c r="L102" s="1150">
        <v>14.794049379406633</v>
      </c>
      <c r="M102" s="1152">
        <f t="shared" ref="M102:M139" si="25">E102-G102-I102</f>
        <v>17.446393508000025</v>
      </c>
      <c r="N102" s="1150">
        <v>9.9647792915842857</v>
      </c>
      <c r="O102" s="1152">
        <f t="shared" ref="O102:O139" si="26">M102/E102*100</f>
        <v>11.270644082819228</v>
      </c>
      <c r="P102" s="1150">
        <v>5.8862458366422459</v>
      </c>
      <c r="Q102" s="1152">
        <f t="shared" ref="Q102:Q141" si="27">K102-G102</f>
        <v>8.1586935080000274</v>
      </c>
      <c r="R102" s="1150">
        <v>5.2262384115531448</v>
      </c>
      <c r="S102" s="1152">
        <f t="shared" ref="S102:S141" si="28">Q102/K102*100</f>
        <v>6.7396339014278803</v>
      </c>
      <c r="T102" s="1151">
        <v>28.403177055199368</v>
      </c>
      <c r="U102" s="1722">
        <v>11.27064408281923</v>
      </c>
      <c r="V102" s="1705">
        <v>6.73963390142788E-2</v>
      </c>
    </row>
    <row r="103" spans="1:22" ht="16.2" thickBot="1">
      <c r="A103" s="1160">
        <f>SUM(A101:A102)</f>
        <v>2</v>
      </c>
      <c r="B103" s="1700"/>
      <c r="C103" s="1161" t="s">
        <v>311</v>
      </c>
      <c r="D103" s="1162">
        <v>459.48013299999997</v>
      </c>
      <c r="E103" s="1167">
        <f>SUM(E101:E102)</f>
        <v>485.35918400000003</v>
      </c>
      <c r="F103" s="1162">
        <v>306.91252900000001</v>
      </c>
      <c r="G103" s="1164">
        <f>SUM(G101:G102)</f>
        <v>330.34568400000001</v>
      </c>
      <c r="H103" s="1162">
        <v>107.48341400000001</v>
      </c>
      <c r="I103" s="1164">
        <f>SUM(I101:I102)</f>
        <v>99.15229595000001</v>
      </c>
      <c r="J103" s="1162">
        <v>324.42791102000001</v>
      </c>
      <c r="K103" s="1164">
        <f t="shared" si="24"/>
        <v>357.08533701000005</v>
      </c>
      <c r="L103" s="1162">
        <v>45.08418999999995</v>
      </c>
      <c r="M103" s="1164">
        <f t="shared" si="25"/>
        <v>55.861204050000012</v>
      </c>
      <c r="N103" s="1162">
        <v>9.8119998585444712</v>
      </c>
      <c r="O103" s="1164">
        <f t="shared" si="26"/>
        <v>11.509250446160303</v>
      </c>
      <c r="P103" s="1162">
        <v>17.515382019999976</v>
      </c>
      <c r="Q103" s="1164">
        <f t="shared" si="27"/>
        <v>26.73965301000004</v>
      </c>
      <c r="R103" s="1162">
        <v>5.3988517710858126</v>
      </c>
      <c r="S103" s="1164">
        <f t="shared" si="28"/>
        <v>7.4883088826610669</v>
      </c>
      <c r="T103" s="1163">
        <v>84.51779122213911</v>
      </c>
      <c r="U103" s="1723">
        <v>11.509250446160307</v>
      </c>
      <c r="V103" s="1724">
        <v>7.4883088826610669E-2</v>
      </c>
    </row>
    <row r="104" spans="1:22">
      <c r="A104" s="1130">
        <v>1</v>
      </c>
      <c r="B104" s="1698" t="s">
        <v>136</v>
      </c>
      <c r="C104" s="1172" t="s">
        <v>457</v>
      </c>
      <c r="D104" s="1150">
        <v>417.32788307156437</v>
      </c>
      <c r="E104" s="1155">
        <v>399.77536785332831</v>
      </c>
      <c r="F104" s="1150">
        <v>323.67579999999998</v>
      </c>
      <c r="G104" s="1152">
        <v>318.30998699999998</v>
      </c>
      <c r="H104" s="1150">
        <v>56.165689999999991</v>
      </c>
      <c r="I104" s="1152">
        <v>49.919895090000004</v>
      </c>
      <c r="J104" s="1150">
        <v>336.12252008727052</v>
      </c>
      <c r="K104" s="1152">
        <f t="shared" si="24"/>
        <v>325.86895069212858</v>
      </c>
      <c r="L104" s="1150">
        <v>37.4863930715644</v>
      </c>
      <c r="M104" s="1152">
        <f t="shared" si="25"/>
        <v>31.545485763328323</v>
      </c>
      <c r="N104" s="1150">
        <v>8.9824798658699123</v>
      </c>
      <c r="O104" s="1152">
        <f t="shared" si="26"/>
        <v>7.8908027607398497</v>
      </c>
      <c r="P104" s="1150">
        <v>12.446720087270535</v>
      </c>
      <c r="Q104" s="1152">
        <f t="shared" si="27"/>
        <v>7.5589636921286001</v>
      </c>
      <c r="R104" s="1150">
        <v>3.7030306937002857</v>
      </c>
      <c r="S104" s="1152">
        <f t="shared" si="28"/>
        <v>2.3196329923651078</v>
      </c>
      <c r="T104" s="1151">
        <v>56.811123290984717</v>
      </c>
      <c r="U104" s="1722">
        <v>7.8908027607398328</v>
      </c>
      <c r="V104" s="1705">
        <v>2.3196329923650894E-2</v>
      </c>
    </row>
    <row r="105" spans="1:22">
      <c r="A105" s="1130">
        <v>1</v>
      </c>
      <c r="B105" s="1699"/>
      <c r="C105" s="1172" t="s">
        <v>458</v>
      </c>
      <c r="D105" s="1150">
        <v>217.04046725026473</v>
      </c>
      <c r="E105" s="1155">
        <v>218.15879049223264</v>
      </c>
      <c r="F105" s="1150">
        <v>150.37438299999999</v>
      </c>
      <c r="G105" s="1152">
        <v>155.61882199999999</v>
      </c>
      <c r="H105" s="1150">
        <v>37.589942000000001</v>
      </c>
      <c r="I105" s="1152">
        <v>36.9648672</v>
      </c>
      <c r="J105" s="1150">
        <v>166.42809721524884</v>
      </c>
      <c r="K105" s="1152">
        <f t="shared" si="24"/>
        <v>168.10439586269871</v>
      </c>
      <c r="L105" s="1150">
        <v>29.076142250264731</v>
      </c>
      <c r="M105" s="1152">
        <f t="shared" si="25"/>
        <v>25.575101292232645</v>
      </c>
      <c r="N105" s="1150">
        <v>13.39664562034768</v>
      </c>
      <c r="O105" s="1152">
        <f t="shared" si="26"/>
        <v>11.723158729715832</v>
      </c>
      <c r="P105" s="1150">
        <v>16.053714215248846</v>
      </c>
      <c r="Q105" s="1152">
        <f t="shared" si="27"/>
        <v>12.485573862698715</v>
      </c>
      <c r="R105" s="1150">
        <v>9.646036026288197</v>
      </c>
      <c r="S105" s="1152">
        <f t="shared" si="28"/>
        <v>7.4272738667086706</v>
      </c>
      <c r="T105" s="1151">
        <v>73.274688525652934</v>
      </c>
      <c r="U105" s="1722">
        <v>11.723158729715841</v>
      </c>
      <c r="V105" s="1705">
        <v>7.4272738667086488E-2</v>
      </c>
    </row>
    <row r="106" spans="1:22">
      <c r="A106" s="1130">
        <v>1</v>
      </c>
      <c r="B106" s="1699"/>
      <c r="C106" s="1172" t="s">
        <v>137</v>
      </c>
      <c r="D106" s="1150">
        <v>135.37845522554366</v>
      </c>
      <c r="E106" s="1155">
        <v>133.00899216570085</v>
      </c>
      <c r="F106" s="1150">
        <v>107.336484</v>
      </c>
      <c r="G106" s="1152">
        <v>107.206941</v>
      </c>
      <c r="H106" s="1150">
        <v>15.605539</v>
      </c>
      <c r="I106" s="1152">
        <v>14.65299532</v>
      </c>
      <c r="J106" s="1150">
        <v>111.65020891201104</v>
      </c>
      <c r="K106" s="1152">
        <f t="shared" si="24"/>
        <v>110.37545731575879</v>
      </c>
      <c r="L106" s="1150">
        <v>12.436432225543662</v>
      </c>
      <c r="M106" s="1152">
        <f t="shared" si="25"/>
        <v>11.149055845700845</v>
      </c>
      <c r="N106" s="1150">
        <v>9.186419068546968</v>
      </c>
      <c r="O106" s="1152">
        <f t="shared" si="26"/>
        <v>8.3821820345886824</v>
      </c>
      <c r="P106" s="1150">
        <v>4.3137249120110397</v>
      </c>
      <c r="Q106" s="1152">
        <f t="shared" si="27"/>
        <v>3.1685163157587937</v>
      </c>
      <c r="R106" s="1150">
        <v>3.8636066641044868</v>
      </c>
      <c r="S106" s="1152">
        <f t="shared" si="28"/>
        <v>2.8706710647588958</v>
      </c>
      <c r="T106" s="1151">
        <v>19.689328280973072</v>
      </c>
      <c r="U106" s="1722">
        <v>8.3821820345886842</v>
      </c>
      <c r="V106" s="1705">
        <v>2.8706710647588968E-2</v>
      </c>
    </row>
    <row r="107" spans="1:22">
      <c r="A107" s="1130">
        <v>1</v>
      </c>
      <c r="B107" s="1699"/>
      <c r="C107" s="1172" t="s">
        <v>459</v>
      </c>
      <c r="D107" s="1150">
        <v>344.81048880879052</v>
      </c>
      <c r="E107" s="1155">
        <v>353.63975671487157</v>
      </c>
      <c r="F107" s="1150">
        <v>272.43593100000004</v>
      </c>
      <c r="G107" s="1152">
        <v>280.80410599999999</v>
      </c>
      <c r="H107" s="1150">
        <v>39.421545000000002</v>
      </c>
      <c r="I107" s="1152">
        <v>39.900577960000007</v>
      </c>
      <c r="J107" s="1150">
        <v>284.7003144802631</v>
      </c>
      <c r="K107" s="1152">
        <f t="shared" si="24"/>
        <v>292.52079335197925</v>
      </c>
      <c r="L107" s="1150">
        <v>32.953012808790483</v>
      </c>
      <c r="M107" s="1152">
        <f t="shared" si="25"/>
        <v>32.93507275487157</v>
      </c>
      <c r="N107" s="1150">
        <v>9.5568475665089423</v>
      </c>
      <c r="O107" s="1152">
        <f t="shared" si="26"/>
        <v>9.31317028968156</v>
      </c>
      <c r="P107" s="1150">
        <v>12.264383480263064</v>
      </c>
      <c r="Q107" s="1152">
        <f t="shared" si="27"/>
        <v>11.71668735197926</v>
      </c>
      <c r="R107" s="1150">
        <v>4.3078222455259327</v>
      </c>
      <c r="S107" s="1152">
        <f t="shared" si="28"/>
        <v>4.0054203387452914</v>
      </c>
      <c r="T107" s="1151">
        <v>55.978876129601588</v>
      </c>
      <c r="U107" s="1722">
        <v>9.3131702896815529</v>
      </c>
      <c r="V107" s="1705">
        <v>4.0054203387452893E-2</v>
      </c>
    </row>
    <row r="108" spans="1:22">
      <c r="A108" s="1130">
        <v>1</v>
      </c>
      <c r="B108" s="1699"/>
      <c r="C108" s="1172" t="s">
        <v>460</v>
      </c>
      <c r="D108" s="1150">
        <v>204.36980274318054</v>
      </c>
      <c r="E108" s="1155">
        <v>200.5250666843844</v>
      </c>
      <c r="F108" s="1150">
        <v>128.597196</v>
      </c>
      <c r="G108" s="1152">
        <v>124.075543</v>
      </c>
      <c r="H108" s="1150">
        <v>48.277553999999995</v>
      </c>
      <c r="I108" s="1152">
        <v>50.509909019999995</v>
      </c>
      <c r="J108" s="1150">
        <v>143.83006057858972</v>
      </c>
      <c r="K108" s="1152">
        <f t="shared" si="24"/>
        <v>137.98365366332132</v>
      </c>
      <c r="L108" s="1150">
        <v>27.495052743180551</v>
      </c>
      <c r="M108" s="1152">
        <f t="shared" si="25"/>
        <v>25.939614664384408</v>
      </c>
      <c r="N108" s="1150">
        <v>13.453578940785082</v>
      </c>
      <c r="O108" s="1152">
        <f t="shared" si="26"/>
        <v>12.935846422239051</v>
      </c>
      <c r="P108" s="1150">
        <v>15.232864578589727</v>
      </c>
      <c r="Q108" s="1152">
        <f t="shared" si="27"/>
        <v>13.908110663321324</v>
      </c>
      <c r="R108" s="1150">
        <v>10.590876842651669</v>
      </c>
      <c r="S108" s="1152">
        <f t="shared" si="28"/>
        <v>10.079534998585391</v>
      </c>
      <c r="T108" s="1151">
        <v>69.528047676928949</v>
      </c>
      <c r="U108" s="1722">
        <v>12.935846422239058</v>
      </c>
      <c r="V108" s="1705">
        <v>0.10079534998585424</v>
      </c>
    </row>
    <row r="109" spans="1:22">
      <c r="A109" s="1130">
        <v>1</v>
      </c>
      <c r="B109" s="1699"/>
      <c r="C109" s="1172" t="s">
        <v>138</v>
      </c>
      <c r="D109" s="1150">
        <v>235.08555222407585</v>
      </c>
      <c r="E109" s="1155">
        <v>235.71402847307203</v>
      </c>
      <c r="F109" s="1150">
        <v>192.888881</v>
      </c>
      <c r="G109" s="1152">
        <v>198.41137699999999</v>
      </c>
      <c r="H109" s="1150">
        <v>16.114093</v>
      </c>
      <c r="I109" s="1152">
        <v>15.362647519999998</v>
      </c>
      <c r="J109" s="1150">
        <v>204.8663260906313</v>
      </c>
      <c r="K109" s="1152">
        <f t="shared" si="24"/>
        <v>206.20853924468773</v>
      </c>
      <c r="L109" s="1150">
        <v>26.082578224075856</v>
      </c>
      <c r="M109" s="1152">
        <f t="shared" si="25"/>
        <v>21.940003953072051</v>
      </c>
      <c r="N109" s="1150">
        <v>11.094930325286343</v>
      </c>
      <c r="O109" s="1152">
        <f t="shared" si="26"/>
        <v>9.3078906228860596</v>
      </c>
      <c r="P109" s="1150">
        <v>11.977445090631306</v>
      </c>
      <c r="Q109" s="1152">
        <f t="shared" si="27"/>
        <v>7.7971622446877404</v>
      </c>
      <c r="R109" s="1150">
        <v>5.8464684358778296</v>
      </c>
      <c r="S109" s="1152">
        <f t="shared" si="28"/>
        <v>3.7812024047343655</v>
      </c>
      <c r="T109" s="1151">
        <v>54.669190355679675</v>
      </c>
      <c r="U109" s="1722">
        <v>9.3078906228860454</v>
      </c>
      <c r="V109" s="1705">
        <v>3.7812024047343497E-2</v>
      </c>
    </row>
    <row r="110" spans="1:22">
      <c r="A110" s="1130">
        <v>1</v>
      </c>
      <c r="B110" s="1699"/>
      <c r="C110" s="1172" t="s">
        <v>461</v>
      </c>
      <c r="D110" s="1150">
        <v>214.68468051671638</v>
      </c>
      <c r="E110" s="1155">
        <v>224.80997438724071</v>
      </c>
      <c r="F110" s="1150">
        <v>173.941405</v>
      </c>
      <c r="G110" s="1152">
        <v>185.22655800000001</v>
      </c>
      <c r="H110" s="1150">
        <v>20.956049999999998</v>
      </c>
      <c r="I110" s="1152">
        <v>19.987220690000001</v>
      </c>
      <c r="J110" s="1150">
        <v>180.8475496857134</v>
      </c>
      <c r="K110" s="1152">
        <f t="shared" si="24"/>
        <v>191.33415523400629</v>
      </c>
      <c r="L110" s="1150">
        <v>19.787225516716383</v>
      </c>
      <c r="M110" s="1152">
        <f t="shared" si="25"/>
        <v>19.596195697240702</v>
      </c>
      <c r="N110" s="1150">
        <v>9.216878199735195</v>
      </c>
      <c r="O110" s="1152">
        <f t="shared" si="26"/>
        <v>8.7167821404070676</v>
      </c>
      <c r="P110" s="1150">
        <v>6.9061446857134001</v>
      </c>
      <c r="Q110" s="1152">
        <f t="shared" si="27"/>
        <v>6.1075972340062776</v>
      </c>
      <c r="R110" s="1150">
        <v>3.8187659704072683</v>
      </c>
      <c r="S110" s="1152">
        <f t="shared" si="28"/>
        <v>3.1921102777162496</v>
      </c>
      <c r="T110" s="1151">
        <v>31.522026241009584</v>
      </c>
      <c r="U110" s="1722">
        <v>8.7167821404070711</v>
      </c>
      <c r="V110" s="1705">
        <v>3.1921102777162383E-2</v>
      </c>
    </row>
    <row r="111" spans="1:22">
      <c r="A111" s="1130">
        <v>1</v>
      </c>
      <c r="B111" s="1699"/>
      <c r="C111" s="1174" t="s">
        <v>561</v>
      </c>
      <c r="D111" s="1150">
        <v>156.11897549703505</v>
      </c>
      <c r="E111" s="1155">
        <v>157.15895125908139</v>
      </c>
      <c r="F111" s="1150">
        <v>122.440488</v>
      </c>
      <c r="G111" s="1152">
        <v>123.257372</v>
      </c>
      <c r="H111" s="1150">
        <v>16.223116999999998</v>
      </c>
      <c r="I111" s="1152">
        <v>16.231700119999999</v>
      </c>
      <c r="J111" s="1150">
        <v>130.52871996721294</v>
      </c>
      <c r="K111" s="1152">
        <f t="shared" si="24"/>
        <v>131.49771406353651</v>
      </c>
      <c r="L111" s="1150">
        <v>17.455370497035052</v>
      </c>
      <c r="M111" s="1152">
        <f t="shared" si="25"/>
        <v>17.669879139081388</v>
      </c>
      <c r="N111" s="1150">
        <v>11.180812864972047</v>
      </c>
      <c r="O111" s="1152">
        <f t="shared" si="26"/>
        <v>11.24331703509019</v>
      </c>
      <c r="P111" s="1150">
        <v>8.0882319672129341</v>
      </c>
      <c r="Q111" s="1152">
        <f t="shared" si="27"/>
        <v>8.2403420635365023</v>
      </c>
      <c r="R111" s="1150">
        <v>6.1965151954639479</v>
      </c>
      <c r="S111" s="1152">
        <f t="shared" si="28"/>
        <v>6.2665287546785562</v>
      </c>
      <c r="T111" s="1151">
        <v>36.917480289876337</v>
      </c>
      <c r="U111" s="1722">
        <v>11.243317035090191</v>
      </c>
      <c r="V111" s="1705">
        <v>6.2665287546785506E-2</v>
      </c>
    </row>
    <row r="112" spans="1:22">
      <c r="A112" s="1130">
        <v>1</v>
      </c>
      <c r="B112" s="1699"/>
      <c r="C112" s="1174" t="s">
        <v>562</v>
      </c>
      <c r="D112" s="1150">
        <v>127.76089983456266</v>
      </c>
      <c r="E112" s="1155">
        <v>126.88981610404772</v>
      </c>
      <c r="F112" s="1150">
        <v>108.984438</v>
      </c>
      <c r="G112" s="1152">
        <v>109.688428</v>
      </c>
      <c r="H112" s="1150">
        <v>7.259081000000001</v>
      </c>
      <c r="I112" s="1152">
        <v>6.9197900099999989</v>
      </c>
      <c r="J112" s="1150">
        <v>112.83616484448891</v>
      </c>
      <c r="K112" s="1152">
        <f t="shared" si="24"/>
        <v>112.35663712780486</v>
      </c>
      <c r="L112" s="1150">
        <v>11.517380834562665</v>
      </c>
      <c r="M112" s="1152">
        <f t="shared" si="25"/>
        <v>10.281598094047723</v>
      </c>
      <c r="N112" s="1150">
        <v>9.0147931405277362</v>
      </c>
      <c r="O112" s="1152">
        <f t="shared" si="26"/>
        <v>8.1027764163650211</v>
      </c>
      <c r="P112" s="1150">
        <v>3.8517268444889083</v>
      </c>
      <c r="Q112" s="1152">
        <f t="shared" si="27"/>
        <v>2.6682091278048574</v>
      </c>
      <c r="R112" s="1150">
        <v>3.4135570362546157</v>
      </c>
      <c r="S112" s="1152">
        <f t="shared" si="28"/>
        <v>2.3747677004339218</v>
      </c>
      <c r="T112" s="1151">
        <v>17.580609759935605</v>
      </c>
      <c r="U112" s="1722">
        <v>8.1027764163650229</v>
      </c>
      <c r="V112" s="1705">
        <v>2.3747677004339246E-2</v>
      </c>
    </row>
    <row r="113" spans="1:22" ht="16.2" thickBot="1">
      <c r="A113" s="1160">
        <f>SUM(A104:A112)</f>
        <v>9</v>
      </c>
      <c r="B113" s="1700"/>
      <c r="C113" s="1161" t="s">
        <v>311</v>
      </c>
      <c r="D113" s="1162">
        <v>2052.5772051717336</v>
      </c>
      <c r="E113" s="1167">
        <f>SUM(E104:E112)</f>
        <v>2049.6807441339597</v>
      </c>
      <c r="F113" s="1162">
        <v>1580.6750059999999</v>
      </c>
      <c r="G113" s="1167">
        <f>SUM(G104:G112)</f>
        <v>1602.599134</v>
      </c>
      <c r="H113" s="1162">
        <v>257.61261100000002</v>
      </c>
      <c r="I113" s="1167">
        <f>SUM(I104:I112)</f>
        <v>250.44960293</v>
      </c>
      <c r="J113" s="1162">
        <v>1671.8099618614297</v>
      </c>
      <c r="K113" s="1164">
        <f t="shared" si="24"/>
        <v>1676.250296555922</v>
      </c>
      <c r="L113" s="1162">
        <v>214.28958817173361</v>
      </c>
      <c r="M113" s="1164">
        <f t="shared" si="25"/>
        <v>196.63200720395966</v>
      </c>
      <c r="N113" s="1162">
        <v>10.440025721410299</v>
      </c>
      <c r="O113" s="1164">
        <f t="shared" si="26"/>
        <v>9.5932992377816131</v>
      </c>
      <c r="P113" s="1162">
        <v>91.134955861429759</v>
      </c>
      <c r="Q113" s="1164">
        <f t="shared" si="27"/>
        <v>73.651162555921928</v>
      </c>
      <c r="R113" s="1162">
        <v>5.4512748422648531</v>
      </c>
      <c r="S113" s="1164">
        <f t="shared" si="28"/>
        <v>4.3938045951280662</v>
      </c>
      <c r="T113" s="1163">
        <v>415.97137055064252</v>
      </c>
      <c r="U113" s="1723">
        <v>9.5932992377816042</v>
      </c>
      <c r="V113" s="1724">
        <v>4.3938045951280584E-2</v>
      </c>
    </row>
    <row r="114" spans="1:22">
      <c r="A114" s="1130">
        <v>1</v>
      </c>
      <c r="B114" s="1698" t="s">
        <v>139</v>
      </c>
      <c r="C114" s="1172" t="s">
        <v>12</v>
      </c>
      <c r="D114" s="1150">
        <v>150.71594748052377</v>
      </c>
      <c r="E114" s="1155">
        <v>148.66622430000001</v>
      </c>
      <c r="F114" s="1150">
        <v>115.805881</v>
      </c>
      <c r="G114" s="1152">
        <v>113.73403999999998</v>
      </c>
      <c r="H114" s="1150">
        <v>22.195235999999998</v>
      </c>
      <c r="I114" s="1152">
        <v>25.244969940000001</v>
      </c>
      <c r="J114" s="1150">
        <v>119.47775463169233</v>
      </c>
      <c r="K114" s="1152">
        <f t="shared" si="24"/>
        <v>114.50128090200002</v>
      </c>
      <c r="L114" s="1150">
        <v>12.714830480523769</v>
      </c>
      <c r="M114" s="1152">
        <f t="shared" si="25"/>
        <v>9.6872143600000307</v>
      </c>
      <c r="N114" s="1150">
        <v>8.4362873956432782</v>
      </c>
      <c r="O114" s="1152">
        <f t="shared" si="26"/>
        <v>6.5160828598510596</v>
      </c>
      <c r="P114" s="1150">
        <v>3.6718736316923355</v>
      </c>
      <c r="Q114" s="1152">
        <f t="shared" si="27"/>
        <v>0.76724090200004014</v>
      </c>
      <c r="R114" s="1150">
        <v>3.0732697002981211</v>
      </c>
      <c r="S114" s="1152">
        <f t="shared" si="28"/>
        <v>0.67007189435436132</v>
      </c>
      <c r="T114" s="1151">
        <v>17.541545778996564</v>
      </c>
      <c r="U114" s="1740">
        <v>6.5160828598510592E-2</v>
      </c>
      <c r="V114" s="1739">
        <v>6.7007189435433672E-3</v>
      </c>
    </row>
    <row r="115" spans="1:22">
      <c r="A115" s="1130">
        <v>1</v>
      </c>
      <c r="B115" s="1699"/>
      <c r="C115" s="1172" t="s">
        <v>140</v>
      </c>
      <c r="D115" s="1150">
        <v>89.294491468872025</v>
      </c>
      <c r="E115" s="1155">
        <v>85.975623000000013</v>
      </c>
      <c r="F115" s="1150">
        <v>68.456117000000006</v>
      </c>
      <c r="G115" s="1152">
        <v>66.61675799999999</v>
      </c>
      <c r="H115" s="1150">
        <v>12.275156000000001</v>
      </c>
      <c r="I115" s="1152">
        <v>13.353355860000002</v>
      </c>
      <c r="J115" s="1150">
        <v>71.661665980739713</v>
      </c>
      <c r="K115" s="1152">
        <f t="shared" si="24"/>
        <v>67.463729760000007</v>
      </c>
      <c r="L115" s="1150">
        <v>8.5632184688720177</v>
      </c>
      <c r="M115" s="1152">
        <f t="shared" si="25"/>
        <v>6.0055091400000205</v>
      </c>
      <c r="N115" s="1150">
        <v>9.589861959018096</v>
      </c>
      <c r="O115" s="1152">
        <f t="shared" si="26"/>
        <v>6.9851301222906166</v>
      </c>
      <c r="P115" s="1150">
        <v>3.2055489807397066</v>
      </c>
      <c r="Q115" s="1152">
        <f t="shared" si="27"/>
        <v>0.84697176000001662</v>
      </c>
      <c r="R115" s="1150">
        <v>4.4731711674150194</v>
      </c>
      <c r="S115" s="1152">
        <f t="shared" si="28"/>
        <v>1.2554475760724921</v>
      </c>
      <c r="T115" s="1151">
        <v>15.313785231368453</v>
      </c>
      <c r="U115" s="1740">
        <v>6.985130122290617E-2</v>
      </c>
      <c r="V115" s="1739">
        <v>1.2554475760724921E-2</v>
      </c>
    </row>
    <row r="116" spans="1:22">
      <c r="A116" s="1130">
        <v>1</v>
      </c>
      <c r="B116" s="1699"/>
      <c r="C116" s="1172" t="s">
        <v>141</v>
      </c>
      <c r="D116" s="1150">
        <v>152.66692700063794</v>
      </c>
      <c r="E116" s="1155">
        <v>162.05597999999992</v>
      </c>
      <c r="F116" s="1150">
        <v>101.045338</v>
      </c>
      <c r="G116" s="1152">
        <v>101.54528799999999</v>
      </c>
      <c r="H116" s="1150">
        <v>39.353296000000007</v>
      </c>
      <c r="I116" s="1152">
        <v>50.733778199999996</v>
      </c>
      <c r="J116" s="1150">
        <v>104.15361538059966</v>
      </c>
      <c r="K116" s="1152">
        <f t="shared" si="24"/>
        <v>101.59884299999993</v>
      </c>
      <c r="L116" s="1150">
        <v>12.268293000637932</v>
      </c>
      <c r="M116" s="1152">
        <f t="shared" si="25"/>
        <v>9.7769137999999387</v>
      </c>
      <c r="N116" s="1150">
        <v>8.0359860787573645</v>
      </c>
      <c r="O116" s="1152">
        <f t="shared" si="26"/>
        <v>6.0330472223240044</v>
      </c>
      <c r="P116" s="1150">
        <v>3.1082773805996595</v>
      </c>
      <c r="Q116" s="1152">
        <f t="shared" si="27"/>
        <v>5.3554999999946062E-2</v>
      </c>
      <c r="R116" s="1150">
        <v>2.9843201978552036</v>
      </c>
      <c r="S116" s="1152">
        <f t="shared" si="28"/>
        <v>5.2712214449081966E-2</v>
      </c>
      <c r="T116" s="1151">
        <v>14.849092162378911</v>
      </c>
      <c r="U116" s="1740">
        <v>6.0330472223240041E-2</v>
      </c>
      <c r="V116" s="1739">
        <v>5.2712214449081969E-4</v>
      </c>
    </row>
    <row r="117" spans="1:22">
      <c r="A117" s="1130">
        <v>1</v>
      </c>
      <c r="B117" s="1699"/>
      <c r="C117" s="1172" t="s">
        <v>261</v>
      </c>
      <c r="D117" s="1150">
        <v>146.92964941527902</v>
      </c>
      <c r="E117" s="1155">
        <v>129.59628600000002</v>
      </c>
      <c r="F117" s="1150">
        <v>72.599273999999994</v>
      </c>
      <c r="G117" s="1152">
        <v>71.027298999999985</v>
      </c>
      <c r="H117" s="1150">
        <v>54.944167999999991</v>
      </c>
      <c r="I117" s="1152">
        <v>48.039291250000005</v>
      </c>
      <c r="J117" s="1150">
        <v>83.16970245036228</v>
      </c>
      <c r="K117" s="1152">
        <f t="shared" si="24"/>
        <v>73.781217590000011</v>
      </c>
      <c r="L117" s="1150">
        <v>19.386207415279031</v>
      </c>
      <c r="M117" s="1152">
        <f t="shared" si="25"/>
        <v>10.52969575000003</v>
      </c>
      <c r="N117" s="1150">
        <v>13.194210625580574</v>
      </c>
      <c r="O117" s="1152">
        <f t="shared" si="26"/>
        <v>8.1249980805777327</v>
      </c>
      <c r="P117" s="1150">
        <v>10.570428450362286</v>
      </c>
      <c r="Q117" s="1152">
        <f t="shared" si="27"/>
        <v>2.7539185900000263</v>
      </c>
      <c r="R117" s="1150">
        <v>12.709470082174429</v>
      </c>
      <c r="S117" s="1152">
        <f t="shared" si="28"/>
        <v>3.7325469542986789</v>
      </c>
      <c r="T117" s="1151">
        <v>50.497831125026615</v>
      </c>
      <c r="U117" s="1740">
        <v>8.1249980805777319E-2</v>
      </c>
      <c r="V117" s="1739">
        <v>3.7325469542986787E-2</v>
      </c>
    </row>
    <row r="118" spans="1:22">
      <c r="A118" s="1130">
        <v>1</v>
      </c>
      <c r="B118" s="1699"/>
      <c r="C118" s="1172" t="s">
        <v>262</v>
      </c>
      <c r="D118" s="1150">
        <v>172.26283282065958</v>
      </c>
      <c r="E118" s="1155">
        <v>183.85196099999999</v>
      </c>
      <c r="F118" s="1150">
        <v>97.034551999999991</v>
      </c>
      <c r="G118" s="1152">
        <v>97.771417</v>
      </c>
      <c r="H118" s="1150">
        <v>54.087300000000013</v>
      </c>
      <c r="I118" s="1152">
        <v>56.436421360000004</v>
      </c>
      <c r="J118" s="1150">
        <v>107.83976285141999</v>
      </c>
      <c r="K118" s="1152">
        <f t="shared" si="24"/>
        <v>116.38442197999998</v>
      </c>
      <c r="L118" s="1150">
        <v>21.140980820659578</v>
      </c>
      <c r="M118" s="1152">
        <f t="shared" si="25"/>
        <v>29.644122639999985</v>
      </c>
      <c r="N118" s="1150">
        <v>12.272514316927063</v>
      </c>
      <c r="O118" s="1152">
        <f t="shared" si="26"/>
        <v>16.12390886600333</v>
      </c>
      <c r="P118" s="1150">
        <v>10.80521085142</v>
      </c>
      <c r="Q118" s="1152">
        <f t="shared" si="27"/>
        <v>18.613004979999985</v>
      </c>
      <c r="R118" s="1150">
        <v>10.01969085031025</v>
      </c>
      <c r="S118" s="1152">
        <f t="shared" si="28"/>
        <v>15.992694437403769</v>
      </c>
      <c r="T118" s="1151">
        <v>51.619450943505626</v>
      </c>
      <c r="U118" s="1740">
        <v>0.16123908866003331</v>
      </c>
      <c r="V118" s="1739">
        <v>0.15992694437403768</v>
      </c>
    </row>
    <row r="119" spans="1:22">
      <c r="A119" s="1130">
        <v>1</v>
      </c>
      <c r="B119" s="1699"/>
      <c r="C119" s="1172" t="s">
        <v>67</v>
      </c>
      <c r="D119" s="1150">
        <v>59.021516813438495</v>
      </c>
      <c r="E119" s="1155">
        <v>57.811892000000007</v>
      </c>
      <c r="F119" s="1150">
        <v>42.174374999999998</v>
      </c>
      <c r="G119" s="1152">
        <v>40.356522999999996</v>
      </c>
      <c r="H119" s="1150">
        <v>14.034276999999999</v>
      </c>
      <c r="I119" s="1152">
        <v>14.5084476</v>
      </c>
      <c r="J119" s="1150">
        <v>41.445948804632181</v>
      </c>
      <c r="K119" s="1152">
        <f t="shared" si="24"/>
        <v>39.834730880000009</v>
      </c>
      <c r="L119" s="1150">
        <v>2.8128648134384981</v>
      </c>
      <c r="M119" s="1152">
        <f t="shared" si="25"/>
        <v>2.9469214000000115</v>
      </c>
      <c r="N119" s="1150">
        <v>4.765829421717001</v>
      </c>
      <c r="O119" s="1152">
        <f t="shared" si="26"/>
        <v>5.0974311652004243</v>
      </c>
      <c r="P119" s="1150">
        <v>-0.72842619536781683</v>
      </c>
      <c r="Q119" s="1152">
        <f t="shared" si="27"/>
        <v>-0.52179211999998643</v>
      </c>
      <c r="R119" s="1150">
        <v>-1.757532922702459</v>
      </c>
      <c r="S119" s="1152">
        <f t="shared" si="28"/>
        <v>-1.3098924191853014</v>
      </c>
      <c r="T119" s="1151">
        <v>-3.4798913945128631</v>
      </c>
      <c r="U119" s="1740">
        <v>5.0974311652004244E-2</v>
      </c>
      <c r="V119" s="1738">
        <v>-1.3098924191853014E-2</v>
      </c>
    </row>
    <row r="120" spans="1:22">
      <c r="A120" s="1130">
        <v>1</v>
      </c>
      <c r="B120" s="1699"/>
      <c r="C120" s="1172" t="s">
        <v>413</v>
      </c>
      <c r="D120" s="1150">
        <v>89.989994051665533</v>
      </c>
      <c r="E120" s="1155">
        <v>80.152177000000009</v>
      </c>
      <c r="F120" s="1150">
        <v>48.76615000000001</v>
      </c>
      <c r="G120" s="1152">
        <v>46.994780999999996</v>
      </c>
      <c r="H120" s="1150">
        <v>17.996841</v>
      </c>
      <c r="I120" s="1152">
        <v>17.51674234</v>
      </c>
      <c r="J120" s="1150">
        <v>66.593753408565604</v>
      </c>
      <c r="K120" s="1152">
        <f t="shared" si="24"/>
        <v>57.826304040000004</v>
      </c>
      <c r="L120" s="1150">
        <v>23.227003051665523</v>
      </c>
      <c r="M120" s="1152">
        <f t="shared" si="25"/>
        <v>15.640653660000012</v>
      </c>
      <c r="N120" s="1150">
        <v>25.810650724490898</v>
      </c>
      <c r="O120" s="1152">
        <f t="shared" si="26"/>
        <v>19.513697874981002</v>
      </c>
      <c r="P120" s="1150">
        <v>17.827603408565594</v>
      </c>
      <c r="Q120" s="1152">
        <f t="shared" si="27"/>
        <v>10.831523040000008</v>
      </c>
      <c r="R120" s="1150">
        <v>26.770684179925684</v>
      </c>
      <c r="S120" s="1152">
        <f t="shared" si="28"/>
        <v>18.731134939053952</v>
      </c>
      <c r="T120" s="1151">
        <v>85.167343075751987</v>
      </c>
      <c r="U120" s="1740">
        <v>0.19513697874981001</v>
      </c>
      <c r="V120" s="1739">
        <v>0.18731134939053951</v>
      </c>
    </row>
    <row r="121" spans="1:22">
      <c r="A121" s="1130">
        <v>1</v>
      </c>
      <c r="B121" s="1699"/>
      <c r="C121" s="1174" t="s">
        <v>519</v>
      </c>
      <c r="D121" s="1150">
        <v>31.248285188923628</v>
      </c>
      <c r="E121" s="1155">
        <v>29.358908</v>
      </c>
      <c r="F121" s="1150">
        <v>24.885099000000004</v>
      </c>
      <c r="G121" s="1152">
        <v>24.457252999999994</v>
      </c>
      <c r="H121" s="1150">
        <v>5.572868999999999</v>
      </c>
      <c r="I121" s="1152">
        <v>2.1051994000000001</v>
      </c>
      <c r="J121" s="1150">
        <v>23.800519077588213</v>
      </c>
      <c r="K121" s="1152">
        <f t="shared" si="24"/>
        <v>25.492174119999998</v>
      </c>
      <c r="L121" s="1150">
        <v>0.79031718892362512</v>
      </c>
      <c r="M121" s="1152">
        <f t="shared" si="25"/>
        <v>2.7964556000000051</v>
      </c>
      <c r="N121" s="1150">
        <v>2.5291537892254121</v>
      </c>
      <c r="O121" s="1152">
        <f t="shared" si="26"/>
        <v>9.5250668042558164</v>
      </c>
      <c r="P121" s="1150">
        <v>-1.0845799224117911</v>
      </c>
      <c r="Q121" s="1152">
        <f t="shared" si="27"/>
        <v>1.0349211200000035</v>
      </c>
      <c r="R121" s="1150">
        <v>-4.5569591103291822</v>
      </c>
      <c r="S121" s="1152">
        <f t="shared" si="28"/>
        <v>4.0597601253164655</v>
      </c>
      <c r="T121" s="1151">
        <v>-5.1813352713879794</v>
      </c>
      <c r="U121" s="1740">
        <v>9.5250668042558162E-2</v>
      </c>
      <c r="V121" s="1739">
        <v>4.0597601253164653E-2</v>
      </c>
    </row>
    <row r="122" spans="1:22" ht="15.6">
      <c r="A122" s="1160">
        <f>SUM(A114:A121)</f>
        <v>8</v>
      </c>
      <c r="B122" s="1700"/>
      <c r="C122" s="1161" t="s">
        <v>311</v>
      </c>
      <c r="D122" s="1385">
        <v>892.12964424000006</v>
      </c>
      <c r="E122" s="1712">
        <f>SUM(E114:E121)</f>
        <v>877.46905130000005</v>
      </c>
      <c r="F122" s="1162">
        <v>570.76678599999991</v>
      </c>
      <c r="G122" s="1164">
        <f>SUM(G114:G121)</f>
        <v>562.50335899999993</v>
      </c>
      <c r="H122" s="1162">
        <v>220.45914300000001</v>
      </c>
      <c r="I122" s="1164">
        <f>SUM(I114:I121)</f>
        <v>227.93820595000003</v>
      </c>
      <c r="J122" s="1162">
        <v>618.14272258559993</v>
      </c>
      <c r="K122" s="1164">
        <f t="shared" si="24"/>
        <v>596.88270227200007</v>
      </c>
      <c r="L122" s="1162">
        <v>100.90371524000014</v>
      </c>
      <c r="M122" s="1164">
        <f t="shared" si="25"/>
        <v>87.027486350000089</v>
      </c>
      <c r="N122" s="1162">
        <v>11.310431829216864</v>
      </c>
      <c r="O122" s="1164">
        <f t="shared" si="26"/>
        <v>9.9180120621993364</v>
      </c>
      <c r="P122" s="1162">
        <v>47.375936585599973</v>
      </c>
      <c r="Q122" s="1164">
        <f t="shared" si="27"/>
        <v>34.379343272000142</v>
      </c>
      <c r="R122" s="1162">
        <v>7.6642391561989776</v>
      </c>
      <c r="S122" s="1164">
        <f t="shared" si="28"/>
        <v>5.7598156457101419</v>
      </c>
      <c r="T122" s="1163">
        <v>226.32782165112729</v>
      </c>
      <c r="U122" s="1737">
        <v>9.918012062199337E-2</v>
      </c>
      <c r="V122" s="1736">
        <v>5.7598156457101236E-2</v>
      </c>
    </row>
    <row r="123" spans="1:22">
      <c r="A123" s="1130">
        <v>1</v>
      </c>
      <c r="B123" s="1698" t="s">
        <v>397</v>
      </c>
      <c r="C123" s="1172" t="s">
        <v>397</v>
      </c>
      <c r="D123" s="1150">
        <v>130.44041648352393</v>
      </c>
      <c r="E123" s="1155">
        <v>119.01554299853915</v>
      </c>
      <c r="F123" s="1150">
        <v>70.641944386948282</v>
      </c>
      <c r="G123" s="1152">
        <v>63.752305175282231</v>
      </c>
      <c r="H123" s="1150">
        <v>43.276349429651972</v>
      </c>
      <c r="I123" s="1152">
        <v>38.926148627777245</v>
      </c>
      <c r="J123" s="1150">
        <v>79.337642064860532</v>
      </c>
      <c r="K123" s="1152">
        <f t="shared" si="24"/>
        <v>72.948461790849564</v>
      </c>
      <c r="L123" s="1150">
        <v>16.522122666923678</v>
      </c>
      <c r="M123" s="1152">
        <f t="shared" si="25"/>
        <v>16.33708919547967</v>
      </c>
      <c r="N123" s="1150">
        <v>12.666413610393986</v>
      </c>
      <c r="O123" s="1152">
        <f t="shared" si="26"/>
        <v>13.726853471298451</v>
      </c>
      <c r="P123" s="1150">
        <v>8.6956976779122499</v>
      </c>
      <c r="Q123" s="1152">
        <f t="shared" si="27"/>
        <v>9.1961566155673324</v>
      </c>
      <c r="R123" s="1150">
        <v>10.960368182864947</v>
      </c>
      <c r="S123" s="1152">
        <f t="shared" si="28"/>
        <v>12.606374952680458</v>
      </c>
      <c r="T123" s="1151">
        <v>41.408809274418665</v>
      </c>
      <c r="U123" s="1722">
        <v>18.915378769985988</v>
      </c>
      <c r="V123" s="1752">
        <v>0.19324049803752461</v>
      </c>
    </row>
    <row r="124" spans="1:22">
      <c r="A124" s="1130">
        <v>1</v>
      </c>
      <c r="B124" s="1699"/>
      <c r="C124" s="1172" t="s">
        <v>400</v>
      </c>
      <c r="D124" s="1150">
        <v>235.80780054724593</v>
      </c>
      <c r="E124" s="1155">
        <v>211.55001662572008</v>
      </c>
      <c r="F124" s="1150">
        <v>111.14240422815159</v>
      </c>
      <c r="G124" s="1152">
        <v>109.69748286247501</v>
      </c>
      <c r="H124" s="1150">
        <v>49.70588063768102</v>
      </c>
      <c r="I124" s="1152">
        <v>48.02617811060496</v>
      </c>
      <c r="J124" s="1150">
        <v>171.95345187673016</v>
      </c>
      <c r="K124" s="1152">
        <f t="shared" si="24"/>
        <v>150.83083751757192</v>
      </c>
      <c r="L124" s="1150">
        <v>74.959515681413322</v>
      </c>
      <c r="M124" s="1152">
        <f t="shared" si="25"/>
        <v>53.826355652640103</v>
      </c>
      <c r="N124" s="1150">
        <v>31.788395255565177</v>
      </c>
      <c r="O124" s="1152">
        <f t="shared" si="26"/>
        <v>25.443796465339506</v>
      </c>
      <c r="P124" s="1150">
        <v>60.811047648578565</v>
      </c>
      <c r="Q124" s="1152">
        <f t="shared" si="27"/>
        <v>41.133354655096909</v>
      </c>
      <c r="R124" s="1150">
        <v>35.364830996340068</v>
      </c>
      <c r="S124" s="1152">
        <f t="shared" si="28"/>
        <v>27.27118362006366</v>
      </c>
      <c r="T124" s="1151">
        <v>289.58148812530351</v>
      </c>
      <c r="U124" s="1722">
        <v>8.7463691165096549</v>
      </c>
      <c r="V124" s="1752">
        <v>4.2770489114093098E-2</v>
      </c>
    </row>
    <row r="125" spans="1:22">
      <c r="A125" s="1130">
        <v>1</v>
      </c>
      <c r="B125" s="1699"/>
      <c r="C125" s="1172" t="s">
        <v>401</v>
      </c>
      <c r="D125" s="1150">
        <v>99.789967061240048</v>
      </c>
      <c r="E125" s="1155">
        <v>92.245601632394639</v>
      </c>
      <c r="F125" s="1150">
        <v>55.916487349804008</v>
      </c>
      <c r="G125" s="1152">
        <v>54.526415294338008</v>
      </c>
      <c r="H125" s="1150">
        <v>24.811874062451988</v>
      </c>
      <c r="I125" s="1152">
        <v>22.964549625617185</v>
      </c>
      <c r="J125" s="1150">
        <v>68.990694975113655</v>
      </c>
      <c r="K125" s="1152">
        <f t="shared" si="24"/>
        <v>63.746315908833779</v>
      </c>
      <c r="L125" s="1150">
        <v>19.061605648984052</v>
      </c>
      <c r="M125" s="1152">
        <f t="shared" si="25"/>
        <v>14.754636712439446</v>
      </c>
      <c r="N125" s="1150">
        <v>19.10172556454112</v>
      </c>
      <c r="O125" s="1152">
        <f t="shared" si="26"/>
        <v>15.994948757814747</v>
      </c>
      <c r="P125" s="1150">
        <v>13.074207625309647</v>
      </c>
      <c r="Q125" s="1152">
        <f t="shared" si="27"/>
        <v>9.2199006144957707</v>
      </c>
      <c r="R125" s="1150">
        <v>18.950682595712042</v>
      </c>
      <c r="S125" s="1152">
        <f t="shared" si="28"/>
        <v>14.463425035701716</v>
      </c>
      <c r="T125" s="1151">
        <v>62.259221746607345</v>
      </c>
      <c r="U125" s="1722">
        <v>10.394854512270458</v>
      </c>
      <c r="V125" s="1752">
        <v>7.3143974640405104E-2</v>
      </c>
    </row>
    <row r="126" spans="1:22">
      <c r="A126" s="1130">
        <v>1</v>
      </c>
      <c r="B126" s="1699"/>
      <c r="C126" s="1172" t="s">
        <v>402</v>
      </c>
      <c r="D126" s="1150">
        <v>332.9550143178198</v>
      </c>
      <c r="E126" s="1155">
        <v>320.69630540532421</v>
      </c>
      <c r="F126" s="1150">
        <v>190.73552458326944</v>
      </c>
      <c r="G126" s="1152">
        <v>171.75235114159875</v>
      </c>
      <c r="H126" s="1150">
        <v>100.49320325527823</v>
      </c>
      <c r="I126" s="1152">
        <v>90.897860215149251</v>
      </c>
      <c r="J126" s="1150">
        <v>212.48451020347238</v>
      </c>
      <c r="K126" s="1152">
        <f t="shared" si="24"/>
        <v>210.5566668658555</v>
      </c>
      <c r="L126" s="1150">
        <v>41.726286479272133</v>
      </c>
      <c r="M126" s="1152">
        <f t="shared" si="25"/>
        <v>58.046094048576208</v>
      </c>
      <c r="N126" s="1150">
        <v>12.532109349595983</v>
      </c>
      <c r="O126" s="1152">
        <f t="shared" si="26"/>
        <v>18.100019573101239</v>
      </c>
      <c r="P126" s="1150">
        <v>21.748985620202944</v>
      </c>
      <c r="Q126" s="1152">
        <f t="shared" si="27"/>
        <v>38.804315724256753</v>
      </c>
      <c r="R126" s="1150">
        <v>10.235562864971381</v>
      </c>
      <c r="S126" s="1152">
        <f t="shared" si="28"/>
        <v>18.429393047420707</v>
      </c>
      <c r="T126" s="1151">
        <v>103.56841173844522</v>
      </c>
      <c r="U126" s="1722">
        <v>5.5020828782813096</v>
      </c>
      <c r="V126" s="1752">
        <v>-6.9244604221084154E-3</v>
      </c>
    </row>
    <row r="127" spans="1:22">
      <c r="A127" s="1130">
        <v>1</v>
      </c>
      <c r="B127" s="1699"/>
      <c r="C127" s="1172" t="s">
        <v>403</v>
      </c>
      <c r="D127" s="1150">
        <v>58.802597518085449</v>
      </c>
      <c r="E127" s="1155">
        <v>58.626786134066933</v>
      </c>
      <c r="F127" s="1150">
        <v>40.552310379021996</v>
      </c>
      <c r="G127" s="1152">
        <v>40.822031309765336</v>
      </c>
      <c r="H127" s="1150">
        <v>12.538774961184068</v>
      </c>
      <c r="I127" s="1152">
        <v>10.824768160867055</v>
      </c>
      <c r="J127" s="1150">
        <v>42.735666705816257</v>
      </c>
      <c r="K127" s="1152">
        <f t="shared" si="24"/>
        <v>44.284410805155858</v>
      </c>
      <c r="L127" s="1150">
        <v>5.7115121778793849</v>
      </c>
      <c r="M127" s="1152">
        <f t="shared" si="25"/>
        <v>6.9799866634345413</v>
      </c>
      <c r="N127" s="1150">
        <v>9.7130270072214753</v>
      </c>
      <c r="O127" s="1152">
        <f t="shared" si="26"/>
        <v>11.905797884729351</v>
      </c>
      <c r="P127" s="1150">
        <v>2.1833563267942608</v>
      </c>
      <c r="Q127" s="1152">
        <f t="shared" si="27"/>
        <v>3.4623794953905218</v>
      </c>
      <c r="R127" s="1150">
        <v>5.1089792089217827</v>
      </c>
      <c r="S127" s="1152">
        <f t="shared" si="28"/>
        <v>7.8185064053904281</v>
      </c>
      <c r="T127" s="1151">
        <v>10.397116949450506</v>
      </c>
      <c r="U127" s="1722">
        <v>6.2463444932400449</v>
      </c>
      <c r="V127" s="1752">
        <v>3.6827528796094717E-3</v>
      </c>
    </row>
    <row r="128" spans="1:22" ht="14.4" thickBot="1">
      <c r="A128" s="1130">
        <v>1</v>
      </c>
      <c r="B128" s="1699"/>
      <c r="C128" s="1172" t="s">
        <v>404</v>
      </c>
      <c r="D128" s="1150">
        <v>136.04983747208485</v>
      </c>
      <c r="E128" s="1155">
        <v>131.68777020395521</v>
      </c>
      <c r="F128" s="1150">
        <v>89.436907072804701</v>
      </c>
      <c r="G128" s="1152">
        <v>84.400279216540667</v>
      </c>
      <c r="H128" s="1150">
        <v>37.528423653752725</v>
      </c>
      <c r="I128" s="1152">
        <v>29.834599779984313</v>
      </c>
      <c r="J128" s="1150">
        <v>90.358423570007034</v>
      </c>
      <c r="K128" s="1152">
        <f t="shared" si="24"/>
        <v>93.951904211733577</v>
      </c>
      <c r="L128" s="1150">
        <v>9.0845067455274204</v>
      </c>
      <c r="M128" s="1152">
        <f t="shared" si="25"/>
        <v>17.45289120743023</v>
      </c>
      <c r="N128" s="1150">
        <v>6.6773374480446623</v>
      </c>
      <c r="O128" s="1152">
        <f t="shared" si="26"/>
        <v>13.253236181613193</v>
      </c>
      <c r="P128" s="1150">
        <v>0.92151649720233308</v>
      </c>
      <c r="Q128" s="1152">
        <f t="shared" si="27"/>
        <v>9.5516249951929098</v>
      </c>
      <c r="R128" s="1150">
        <v>1.0198456998183123</v>
      </c>
      <c r="S128" s="1152">
        <f t="shared" si="28"/>
        <v>10.166504953073655</v>
      </c>
      <c r="T128" s="1151">
        <v>4.3882506371867498</v>
      </c>
      <c r="U128" s="1723">
        <v>10.60336517847076</v>
      </c>
      <c r="V128" s="1753">
        <v>7.300128842716809E-2</v>
      </c>
    </row>
    <row r="129" spans="1:22" ht="15.6">
      <c r="A129" s="1160">
        <f>SUM(A123:A128)</f>
        <v>6</v>
      </c>
      <c r="B129" s="1700"/>
      <c r="C129" s="1161" t="s">
        <v>311</v>
      </c>
      <c r="D129" s="1162">
        <v>993.84563340000011</v>
      </c>
      <c r="E129" s="1167">
        <f>SUM(E123:E128)</f>
        <v>933.82202300000017</v>
      </c>
      <c r="F129" s="1162">
        <v>558.42557799999997</v>
      </c>
      <c r="G129" s="1167">
        <f>SUM(G123:G128)</f>
        <v>524.95086500000002</v>
      </c>
      <c r="H129" s="1162">
        <v>268.35450600000001</v>
      </c>
      <c r="I129" s="1167">
        <f>SUM(I123:I128)</f>
        <v>241.47410452</v>
      </c>
      <c r="J129" s="1162">
        <v>665.86038939600007</v>
      </c>
      <c r="K129" s="1164">
        <f t="shared" si="24"/>
        <v>636.31859710000015</v>
      </c>
      <c r="L129" s="1162">
        <v>167.06554940000012</v>
      </c>
      <c r="M129" s="1164">
        <f t="shared" si="25"/>
        <v>167.39705348000015</v>
      </c>
      <c r="N129" s="1162">
        <v>16.810009903495754</v>
      </c>
      <c r="O129" s="1164">
        <f t="shared" si="26"/>
        <v>17.926012597370509</v>
      </c>
      <c r="P129" s="1162">
        <v>107.43481139600001</v>
      </c>
      <c r="Q129" s="1164">
        <f t="shared" si="27"/>
        <v>111.36773210000013</v>
      </c>
      <c r="R129" s="1162">
        <v>16.134735314928975</v>
      </c>
      <c r="S129" s="1164">
        <f t="shared" si="28"/>
        <v>17.501882328687969</v>
      </c>
      <c r="T129" s="1163">
        <v>511.60329847141196</v>
      </c>
    </row>
    <row r="130" spans="1:22" s="430" customFormat="1">
      <c r="A130" s="1135">
        <v>1</v>
      </c>
      <c r="B130" s="1698" t="s">
        <v>399</v>
      </c>
      <c r="C130" s="1757" t="s">
        <v>399</v>
      </c>
      <c r="D130" s="1673">
        <v>233.96489202684086</v>
      </c>
      <c r="E130" s="1758">
        <v>220.54474774667668</v>
      </c>
      <c r="F130" s="1673">
        <v>97.983998642810619</v>
      </c>
      <c r="G130" s="1759">
        <v>91.580250905949484</v>
      </c>
      <c r="H130" s="1673">
        <v>98.6080806148546</v>
      </c>
      <c r="I130" s="1759">
        <v>99.488174690067353</v>
      </c>
      <c r="J130" s="1673">
        <v>121.31891789037581</v>
      </c>
      <c r="K130" s="1759">
        <f t="shared" si="24"/>
        <v>107.82388819180872</v>
      </c>
      <c r="L130" s="1673">
        <v>37.372812769175653</v>
      </c>
      <c r="M130" s="1759">
        <f t="shared" si="25"/>
        <v>29.476322150659826</v>
      </c>
      <c r="N130" s="1673">
        <v>15.973684105087091</v>
      </c>
      <c r="O130" s="1759">
        <f t="shared" si="26"/>
        <v>13.365234244669965</v>
      </c>
      <c r="P130" s="1673">
        <v>23.334919247565196</v>
      </c>
      <c r="Q130" s="1759">
        <f t="shared" si="27"/>
        <v>16.243637285859236</v>
      </c>
      <c r="R130" s="1673">
        <v>19.234361510420584</v>
      </c>
      <c r="S130" s="1759">
        <f t="shared" si="28"/>
        <v>15.064970813298171</v>
      </c>
      <c r="T130" s="1674">
        <v>111.09774529069826</v>
      </c>
      <c r="U130" s="1722">
        <v>14.662484731036512</v>
      </c>
      <c r="V130" s="1754">
        <v>0.17552774852947431</v>
      </c>
    </row>
    <row r="131" spans="1:22" s="430" customFormat="1">
      <c r="A131" s="1135">
        <v>1</v>
      </c>
      <c r="B131" s="1699"/>
      <c r="C131" s="1757" t="s">
        <v>405</v>
      </c>
      <c r="D131" s="1673">
        <v>146.46657391124586</v>
      </c>
      <c r="E131" s="1758">
        <v>144.63824550882623</v>
      </c>
      <c r="F131" s="1673">
        <v>88.404650940030251</v>
      </c>
      <c r="G131" s="1759">
        <v>89.429997695385936</v>
      </c>
      <c r="H131" s="1673">
        <v>37.995254907194081</v>
      </c>
      <c r="I131" s="1759">
        <v>35.866315257931134</v>
      </c>
      <c r="J131" s="1673">
        <v>99.683324569377035</v>
      </c>
      <c r="K131" s="1759">
        <f t="shared" si="24"/>
        <v>100.09363552036551</v>
      </c>
      <c r="L131" s="1673">
        <v>20.066668064021528</v>
      </c>
      <c r="M131" s="1759">
        <f t="shared" si="25"/>
        <v>19.34193255550916</v>
      </c>
      <c r="N131" s="1673">
        <v>13.700510313145781</v>
      </c>
      <c r="O131" s="1759">
        <f t="shared" si="26"/>
        <v>13.372626643434266</v>
      </c>
      <c r="P131" s="1673">
        <v>11.278673629346784</v>
      </c>
      <c r="Q131" s="1759">
        <f t="shared" si="27"/>
        <v>10.663637824979574</v>
      </c>
      <c r="R131" s="1673">
        <v>11.314503883241892</v>
      </c>
      <c r="S131" s="1759">
        <f t="shared" si="28"/>
        <v>10.653662212928515</v>
      </c>
      <c r="T131" s="1674">
        <v>53.697859281035569</v>
      </c>
      <c r="U131" s="1722">
        <v>14.870951681803509</v>
      </c>
      <c r="V131" s="1754">
        <v>0.1277198743929695</v>
      </c>
    </row>
    <row r="132" spans="1:22" s="430" customFormat="1">
      <c r="A132" s="1135">
        <v>1</v>
      </c>
      <c r="B132" s="1699"/>
      <c r="C132" s="1757" t="s">
        <v>406</v>
      </c>
      <c r="D132" s="1673">
        <v>139.65130415531078</v>
      </c>
      <c r="E132" s="1758">
        <v>135.7046771730667</v>
      </c>
      <c r="F132" s="1673">
        <v>85.214935209284334</v>
      </c>
      <c r="G132" s="1759">
        <v>74.901124231558697</v>
      </c>
      <c r="H132" s="1673">
        <v>26.513588897118638</v>
      </c>
      <c r="I132" s="1759">
        <v>32.122069839247928</v>
      </c>
      <c r="J132" s="1673">
        <v>104.75863700887351</v>
      </c>
      <c r="K132" s="1759">
        <f t="shared" si="24"/>
        <v>95.440326703434764</v>
      </c>
      <c r="L132" s="1673">
        <v>27.922780048907811</v>
      </c>
      <c r="M132" s="1759">
        <f t="shared" si="25"/>
        <v>28.681483102260074</v>
      </c>
      <c r="N132" s="1673">
        <v>19.994643242181237</v>
      </c>
      <c r="O132" s="1759">
        <f t="shared" si="26"/>
        <v>21.135220760064183</v>
      </c>
      <c r="P132" s="1673">
        <v>19.543701799589172</v>
      </c>
      <c r="Q132" s="1759">
        <f t="shared" si="27"/>
        <v>20.539202471876067</v>
      </c>
      <c r="R132" s="1673">
        <v>18.655933637179469</v>
      </c>
      <c r="S132" s="1759">
        <f t="shared" si="28"/>
        <v>21.520465385348363</v>
      </c>
      <c r="T132" s="1674">
        <v>93.047727379415377</v>
      </c>
      <c r="U132" s="1722">
        <v>22.488431425165032</v>
      </c>
      <c r="V132" s="1754">
        <v>0.23364157473394609</v>
      </c>
    </row>
    <row r="133" spans="1:22" s="430" customFormat="1">
      <c r="A133" s="1135">
        <v>1</v>
      </c>
      <c r="B133" s="1699"/>
      <c r="C133" s="1757" t="s">
        <v>407</v>
      </c>
      <c r="D133" s="1673">
        <v>162.48333688820532</v>
      </c>
      <c r="E133" s="1758">
        <v>150.08212098456264</v>
      </c>
      <c r="F133" s="1673">
        <v>69.406595075213687</v>
      </c>
      <c r="G133" s="1759">
        <v>65.08670172817456</v>
      </c>
      <c r="H133" s="1673">
        <v>68.354271140376014</v>
      </c>
      <c r="I133" s="1759">
        <v>64.473297651029043</v>
      </c>
      <c r="J133" s="1673">
        <v>84.380065534536996</v>
      </c>
      <c r="K133" s="1759">
        <f t="shared" si="24"/>
        <v>76.60389607445984</v>
      </c>
      <c r="L133" s="1673">
        <v>24.722470672615614</v>
      </c>
      <c r="M133" s="1759">
        <f t="shared" si="25"/>
        <v>20.522121605359033</v>
      </c>
      <c r="N133" s="1673">
        <v>15.215388326019925</v>
      </c>
      <c r="O133" s="1759">
        <f t="shared" si="26"/>
        <v>13.673928293877141</v>
      </c>
      <c r="P133" s="1673">
        <v>14.973470459323309</v>
      </c>
      <c r="Q133" s="1759">
        <f t="shared" si="27"/>
        <v>11.517194346285279</v>
      </c>
      <c r="R133" s="1673">
        <v>17.745270004791148</v>
      </c>
      <c r="S133" s="1759">
        <f t="shared" si="28"/>
        <v>15.034737051873234</v>
      </c>
      <c r="T133" s="1674">
        <v>71.288817825297173</v>
      </c>
      <c r="U133" s="1722">
        <v>14.986277498741297</v>
      </c>
      <c r="V133" s="1754">
        <v>0.17455657055843829</v>
      </c>
    </row>
    <row r="134" spans="1:22" s="430" customFormat="1">
      <c r="A134" s="1135">
        <v>1</v>
      </c>
      <c r="B134" s="1699"/>
      <c r="C134" s="1757" t="s">
        <v>618</v>
      </c>
      <c r="D134" s="1673">
        <v>189.13106464944735</v>
      </c>
      <c r="E134" s="1758">
        <v>216.48099384611189</v>
      </c>
      <c r="F134" s="1673">
        <v>112.45858489579568</v>
      </c>
      <c r="G134" s="1759">
        <v>104.90747376559938</v>
      </c>
      <c r="H134" s="1673">
        <v>48.558386214743948</v>
      </c>
      <c r="I134" s="1759">
        <v>73.303368962972002</v>
      </c>
      <c r="J134" s="1673">
        <v>129.22481455573654</v>
      </c>
      <c r="K134" s="1759">
        <f t="shared" si="24"/>
        <v>130.18876525237317</v>
      </c>
      <c r="L134" s="1673">
        <v>28.114093538907724</v>
      </c>
      <c r="M134" s="1759">
        <f t="shared" si="25"/>
        <v>38.270151117540507</v>
      </c>
      <c r="N134" s="1673">
        <v>14.864873515631572</v>
      </c>
      <c r="O134" s="1759">
        <f t="shared" si="26"/>
        <v>17.6782961116417</v>
      </c>
      <c r="P134" s="1673">
        <v>16.766229659940862</v>
      </c>
      <c r="Q134" s="1759">
        <f t="shared" si="27"/>
        <v>25.281291486773796</v>
      </c>
      <c r="R134" s="1673">
        <v>12.974466024642151</v>
      </c>
      <c r="S134" s="1759">
        <f t="shared" si="28"/>
        <v>19.418950197250563</v>
      </c>
      <c r="T134" s="1674">
        <v>96.590389001731381</v>
      </c>
      <c r="U134" s="1722">
        <v>19.000149650289899</v>
      </c>
      <c r="V134" s="1754">
        <v>0.21493209997376084</v>
      </c>
    </row>
    <row r="135" spans="1:22" s="430" customFormat="1">
      <c r="A135" s="1135">
        <v>1</v>
      </c>
      <c r="B135" s="1699"/>
      <c r="C135" s="1757" t="s">
        <v>408</v>
      </c>
      <c r="D135" s="1673">
        <v>98.011910416904854</v>
      </c>
      <c r="E135" s="1758">
        <v>89.568387091412191</v>
      </c>
      <c r="F135" s="1673">
        <v>57.187922230576085</v>
      </c>
      <c r="G135" s="1759">
        <v>54.7840728343024</v>
      </c>
      <c r="H135" s="1673">
        <v>25.461931448467279</v>
      </c>
      <c r="I135" s="1759">
        <v>23.032633273469116</v>
      </c>
      <c r="J135" s="1673">
        <v>66.669264343423279</v>
      </c>
      <c r="K135" s="1759">
        <f t="shared" si="24"/>
        <v>61.161650592458344</v>
      </c>
      <c r="L135" s="1673">
        <v>15.36205673786149</v>
      </c>
      <c r="M135" s="1759">
        <f t="shared" si="25"/>
        <v>11.751680983640675</v>
      </c>
      <c r="N135" s="1673">
        <v>15.673663203295627</v>
      </c>
      <c r="O135" s="1759">
        <f t="shared" si="26"/>
        <v>13.120344538131606</v>
      </c>
      <c r="P135" s="1673">
        <v>9.4813421128471944</v>
      </c>
      <c r="Q135" s="1759">
        <f t="shared" si="27"/>
        <v>6.3775777581559439</v>
      </c>
      <c r="R135" s="1673">
        <v>14.221459027967361</v>
      </c>
      <c r="S135" s="1759">
        <f t="shared" si="28"/>
        <v>10.427412760083921</v>
      </c>
      <c r="T135" s="1674">
        <v>45.140748930467261</v>
      </c>
      <c r="U135" s="1722">
        <v>14.614655802207594</v>
      </c>
      <c r="V135" s="1754">
        <v>0.12567366823663983</v>
      </c>
    </row>
    <row r="136" spans="1:22" s="430" customFormat="1">
      <c r="A136" s="1135">
        <v>1</v>
      </c>
      <c r="B136" s="1699"/>
      <c r="C136" s="1757" t="s">
        <v>654</v>
      </c>
      <c r="D136" s="1673">
        <v>92.723098061166709</v>
      </c>
      <c r="E136" s="1758">
        <v>78.539254776010722</v>
      </c>
      <c r="F136" s="1673">
        <v>50.151878955311211</v>
      </c>
      <c r="G136" s="1759">
        <v>49.407867642110915</v>
      </c>
      <c r="H136" s="1673">
        <v>26.744187381494278</v>
      </c>
      <c r="I136" s="1759">
        <v>18.115566706808181</v>
      </c>
      <c r="J136" s="1673">
        <v>60.415524796002423</v>
      </c>
      <c r="K136" s="1759">
        <f t="shared" si="24"/>
        <v>55.711332782641904</v>
      </c>
      <c r="L136" s="1673">
        <v>15.82703172436122</v>
      </c>
      <c r="M136" s="1759">
        <f t="shared" si="25"/>
        <v>11.015820427091626</v>
      </c>
      <c r="N136" s="1673">
        <v>17.069136013898706</v>
      </c>
      <c r="O136" s="1759">
        <f t="shared" si="26"/>
        <v>14.025878471228292</v>
      </c>
      <c r="P136" s="1673">
        <v>10.263645840691211</v>
      </c>
      <c r="Q136" s="1759">
        <f t="shared" si="27"/>
        <v>6.3034651405309887</v>
      </c>
      <c r="R136" s="1673">
        <v>16.988424540459071</v>
      </c>
      <c r="S136" s="1759">
        <f t="shared" si="28"/>
        <v>11.314511474934545</v>
      </c>
      <c r="T136" s="1674">
        <v>59.128949348524145</v>
      </c>
      <c r="U136" s="1722">
        <v>15.52820618970053</v>
      </c>
      <c r="V136" s="1754">
        <v>0.13387907658555964</v>
      </c>
    </row>
    <row r="137" spans="1:22" s="430" customFormat="1">
      <c r="A137" s="1135">
        <v>1</v>
      </c>
      <c r="B137" s="1699"/>
      <c r="C137" s="1757" t="s">
        <v>409</v>
      </c>
      <c r="D137" s="1673">
        <v>368.99405144006403</v>
      </c>
      <c r="E137" s="1758">
        <v>321.72900505215227</v>
      </c>
      <c r="F137" s="1673">
        <v>156.15059455376633</v>
      </c>
      <c r="G137" s="1759">
        <v>146.94575247447185</v>
      </c>
      <c r="H137" s="1673">
        <v>136.51066791132101</v>
      </c>
      <c r="I137" s="1759">
        <v>124.09961409255067</v>
      </c>
      <c r="J137" s="1673">
        <v>210.34374044233917</v>
      </c>
      <c r="K137" s="1759">
        <f t="shared" si="24"/>
        <v>178.32565065647248</v>
      </c>
      <c r="L137" s="1673">
        <v>76.332788974976694</v>
      </c>
      <c r="M137" s="1759">
        <f t="shared" si="25"/>
        <v>50.683638485129762</v>
      </c>
      <c r="N137" s="1673">
        <v>20.686726161864829</v>
      </c>
      <c r="O137" s="1759">
        <f t="shared" si="26"/>
        <v>15.753518547982312</v>
      </c>
      <c r="P137" s="1673">
        <v>54.193145888572843</v>
      </c>
      <c r="Q137" s="1759">
        <f t="shared" si="27"/>
        <v>31.37989818200063</v>
      </c>
      <c r="R137" s="1673">
        <v>25.764087761588812</v>
      </c>
      <c r="S137" s="1759">
        <f t="shared" si="28"/>
        <v>17.596962672773891</v>
      </c>
      <c r="T137" s="1674">
        <v>258.01401987103645</v>
      </c>
      <c r="U137" s="1722">
        <v>17.067449803824953</v>
      </c>
      <c r="V137" s="1754">
        <v>0.19826422943014507</v>
      </c>
    </row>
    <row r="138" spans="1:22" s="430" customFormat="1">
      <c r="A138" s="1135">
        <v>1</v>
      </c>
      <c r="B138" s="1699"/>
      <c r="C138" s="1757" t="s">
        <v>410</v>
      </c>
      <c r="D138" s="1673">
        <v>173.74828345081423</v>
      </c>
      <c r="E138" s="1758">
        <v>167.13871794213122</v>
      </c>
      <c r="F138" s="1673">
        <v>99.883656497211803</v>
      </c>
      <c r="G138" s="1759">
        <v>92.894320722446494</v>
      </c>
      <c r="H138" s="1673">
        <v>47.26314948443013</v>
      </c>
      <c r="I138" s="1759">
        <v>42.609692505924635</v>
      </c>
      <c r="J138" s="1673">
        <v>116.06023695933524</v>
      </c>
      <c r="K138" s="1759">
        <f t="shared" si="24"/>
        <v>114.50070235967871</v>
      </c>
      <c r="L138" s="1673">
        <v>26.601477469172295</v>
      </c>
      <c r="M138" s="1759">
        <f t="shared" si="25"/>
        <v>31.634704713760094</v>
      </c>
      <c r="N138" s="1673">
        <v>15.310354117370494</v>
      </c>
      <c r="O138" s="1759">
        <f t="shared" si="26"/>
        <v>18.927215131991765</v>
      </c>
      <c r="P138" s="1673">
        <v>16.176580462123439</v>
      </c>
      <c r="Q138" s="1759">
        <f t="shared" si="27"/>
        <v>21.606381637232218</v>
      </c>
      <c r="R138" s="1673">
        <v>13.938090155538225</v>
      </c>
      <c r="S138" s="1759">
        <f t="shared" si="28"/>
        <v>18.87008655139995</v>
      </c>
      <c r="T138" s="1674">
        <v>77.016834589774575</v>
      </c>
      <c r="U138" s="1722">
        <v>20.30681773385253</v>
      </c>
      <c r="V138" s="1754">
        <v>0.20804747960038228</v>
      </c>
    </row>
    <row r="139" spans="1:22" s="430" customFormat="1" ht="16.2" thickBot="1">
      <c r="A139" s="1760">
        <f>SUM(A130:A138)</f>
        <v>9</v>
      </c>
      <c r="B139" s="1700"/>
      <c r="C139" s="1761" t="s">
        <v>311</v>
      </c>
      <c r="D139" s="1762">
        <v>1605.1745149999997</v>
      </c>
      <c r="E139" s="1763">
        <f>SUM(E130:E138)</f>
        <v>1524.4261501209508</v>
      </c>
      <c r="F139" s="1762">
        <v>816.84281699999997</v>
      </c>
      <c r="G139" s="1763">
        <f>SUM(G130:G138)</f>
        <v>769.93756199999973</v>
      </c>
      <c r="H139" s="1762">
        <v>516.00951800000007</v>
      </c>
      <c r="I139" s="1763">
        <f>SUM(I130:I138)</f>
        <v>513.11073298000008</v>
      </c>
      <c r="J139" s="1762">
        <v>992.85452609999993</v>
      </c>
      <c r="K139" s="1764">
        <f t="shared" si="24"/>
        <v>919.84984813369363</v>
      </c>
      <c r="L139" s="1762">
        <v>272.32217999999966</v>
      </c>
      <c r="M139" s="1764">
        <f t="shared" si="25"/>
        <v>241.37785514095094</v>
      </c>
      <c r="N139" s="1762">
        <v>16.965269349544819</v>
      </c>
      <c r="O139" s="1764">
        <f t="shared" si="26"/>
        <v>15.834014335282795</v>
      </c>
      <c r="P139" s="1762">
        <v>176.01170909999999</v>
      </c>
      <c r="Q139" s="1764">
        <f t="shared" si="27"/>
        <v>149.9122861336939</v>
      </c>
      <c r="R139" s="1762">
        <v>17.727844762050484</v>
      </c>
      <c r="S139" s="1764">
        <f t="shared" si="28"/>
        <v>16.297473597224013</v>
      </c>
      <c r="T139" s="1765">
        <v>865.02309151798022</v>
      </c>
      <c r="U139" s="1755">
        <v>17.194998451957385</v>
      </c>
      <c r="V139" s="1756">
        <v>0.18447744094274901</v>
      </c>
    </row>
    <row r="140" spans="1:22" ht="14.4" thickBot="1">
      <c r="B140" s="1178"/>
      <c r="C140" s="1179"/>
      <c r="D140" s="1180"/>
      <c r="E140" s="1766">
        <f>SUM(E5:E139)</f>
        <v>36877.522735039456</v>
      </c>
      <c r="F140" s="1180"/>
      <c r="G140" s="1766">
        <f>SUM(G5:G139)</f>
        <v>23819.432900000003</v>
      </c>
      <c r="I140" s="1766">
        <f>SUM(I5:I139)</f>
        <v>11178.526098540002</v>
      </c>
    </row>
    <row r="141" spans="1:22" ht="16.2" thickBot="1">
      <c r="A141" s="1160">
        <f>SUM(A139,A129,A122,A113,A103,A100,A93,A80,A70,A66,A54,A36,A27,A17)</f>
        <v>120</v>
      </c>
      <c r="B141" s="1178"/>
      <c r="C141" s="1182" t="s">
        <v>643</v>
      </c>
      <c r="D141" s="1186">
        <v>17783.953775991959</v>
      </c>
      <c r="E141" s="1188">
        <f>E140</f>
        <v>36877.522735039456</v>
      </c>
      <c r="F141" s="1186">
        <v>10936.909505350723</v>
      </c>
      <c r="G141" s="1188">
        <f>G140</f>
        <v>23819.432900000003</v>
      </c>
      <c r="H141" s="1187">
        <v>4704.5509689961</v>
      </c>
      <c r="I141" s="1188">
        <f>I140</f>
        <v>11178.526098540002</v>
      </c>
      <c r="J141" s="1187">
        <v>12012.365580436346</v>
      </c>
      <c r="K141" s="1187">
        <f>(E141-(E141*0.06)-I141)</f>
        <v>23486.345272397084</v>
      </c>
      <c r="L141" s="1187">
        <v>2142.4933016451382</v>
      </c>
      <c r="M141" s="1187">
        <f>E141-G141-I141</f>
        <v>1879.5637364994509</v>
      </c>
      <c r="N141" s="1187">
        <v>12.047339577194956</v>
      </c>
      <c r="O141" s="1187">
        <f>M141/E141*100</f>
        <v>5.096773310951197</v>
      </c>
      <c r="P141" s="1184">
        <v>1075.4560750856213</v>
      </c>
      <c r="Q141" s="1184">
        <f t="shared" si="27"/>
        <v>-333.08762760291938</v>
      </c>
      <c r="R141" s="1184">
        <v>8.9529083000698648</v>
      </c>
      <c r="S141" s="1184">
        <f t="shared" si="28"/>
        <v>-1.4182182188830756</v>
      </c>
      <c r="T141" s="1184">
        <v>4945.284799825642</v>
      </c>
    </row>
    <row r="156" spans="3:3">
      <c r="C156" s="1172" t="s">
        <v>12</v>
      </c>
    </row>
    <row r="157" spans="3:3">
      <c r="C157" s="1172" t="s">
        <v>140</v>
      </c>
    </row>
    <row r="158" spans="3:3">
      <c r="C158" s="1172" t="s">
        <v>141</v>
      </c>
    </row>
    <row r="159" spans="3:3">
      <c r="C159" s="1172" t="s">
        <v>261</v>
      </c>
    </row>
    <row r="160" spans="3:3">
      <c r="C160" s="1172" t="s">
        <v>262</v>
      </c>
    </row>
    <row r="161" spans="3:16">
      <c r="C161" s="1172" t="s">
        <v>67</v>
      </c>
    </row>
    <row r="162" spans="3:16">
      <c r="C162" s="1172" t="s">
        <v>413</v>
      </c>
    </row>
    <row r="163" spans="3:16">
      <c r="C163" s="1174" t="s">
        <v>519</v>
      </c>
    </row>
    <row r="164" spans="3:16">
      <c r="C164" s="1161" t="s">
        <v>311</v>
      </c>
    </row>
    <row r="173" spans="3:16">
      <c r="C173" s="1172" t="s">
        <v>444</v>
      </c>
      <c r="L173" s="1190"/>
      <c r="M173" s="1190"/>
      <c r="N173" s="1190"/>
      <c r="O173" s="1708"/>
      <c r="P173" s="80" t="e">
        <v>#REF!</v>
      </c>
    </row>
    <row r="174" spans="3:16">
      <c r="C174" s="1172" t="s">
        <v>445</v>
      </c>
      <c r="L174" s="1190"/>
      <c r="M174" s="1190"/>
      <c r="N174" s="1190"/>
      <c r="O174" s="1708"/>
      <c r="P174" s="80" t="e">
        <v>#REF!</v>
      </c>
    </row>
    <row r="175" spans="3:16">
      <c r="C175" s="1172" t="s">
        <v>446</v>
      </c>
      <c r="L175" s="1190"/>
      <c r="M175" s="1190"/>
      <c r="N175" s="1190"/>
      <c r="O175" s="1708"/>
      <c r="P175" s="80" t="e">
        <v>#REF!</v>
      </c>
    </row>
    <row r="176" spans="3:16">
      <c r="C176" s="1172" t="s">
        <v>569</v>
      </c>
      <c r="L176" s="1190"/>
      <c r="M176" s="1190"/>
      <c r="N176" s="1190"/>
      <c r="O176" s="1708"/>
      <c r="P176" s="80" t="e">
        <v>#REF!</v>
      </c>
    </row>
    <row r="177" spans="3:16">
      <c r="C177" s="1172" t="s">
        <v>448</v>
      </c>
      <c r="L177" s="1190"/>
      <c r="M177" s="1190"/>
      <c r="N177" s="1190"/>
      <c r="O177" s="1708"/>
      <c r="P177" s="80" t="e">
        <v>#REF!</v>
      </c>
    </row>
    <row r="178" spans="3:16">
      <c r="C178" s="1172" t="s">
        <v>449</v>
      </c>
      <c r="L178" s="1190"/>
      <c r="M178" s="1190"/>
      <c r="N178" s="1190"/>
      <c r="O178" s="1708"/>
      <c r="P178" s="80" t="e">
        <v>#REF!</v>
      </c>
    </row>
    <row r="179" spans="3:16">
      <c r="C179" s="1172" t="s">
        <v>322</v>
      </c>
      <c r="L179" s="1190"/>
      <c r="M179" s="1190"/>
      <c r="N179" s="1190"/>
      <c r="O179" s="1708"/>
      <c r="P179" s="80" t="e">
        <v>#REF!</v>
      </c>
    </row>
    <row r="180" spans="3:16">
      <c r="C180" s="1172" t="s">
        <v>585</v>
      </c>
      <c r="L180" s="1191"/>
      <c r="M180" s="1191"/>
      <c r="N180" s="1191"/>
      <c r="O180" s="1708"/>
      <c r="P180" s="80" t="e">
        <v>#REF!</v>
      </c>
    </row>
    <row r="181" spans="3:16">
      <c r="C181" s="1192" t="s">
        <v>570</v>
      </c>
      <c r="L181" s="1193"/>
      <c r="M181" s="1193"/>
      <c r="N181" s="1193"/>
      <c r="O181" s="1708"/>
      <c r="P181" s="80" t="e">
        <v>#REF!</v>
      </c>
    </row>
    <row r="182" spans="3:16">
      <c r="C182" s="1172" t="s">
        <v>586</v>
      </c>
      <c r="L182" s="1191"/>
      <c r="M182" s="1191"/>
      <c r="N182" s="1191"/>
      <c r="O182" s="1708"/>
      <c r="P182" s="80" t="e">
        <v>#REF!</v>
      </c>
    </row>
    <row r="183" spans="3:16">
      <c r="C183" s="1192" t="s">
        <v>571</v>
      </c>
      <c r="L183" s="1193"/>
      <c r="M183" s="1193"/>
      <c r="N183" s="1193"/>
      <c r="O183" s="1708"/>
      <c r="P183" s="80" t="e">
        <v>#REF!</v>
      </c>
    </row>
    <row r="184" spans="3:16">
      <c r="C184" s="1172" t="s">
        <v>450</v>
      </c>
      <c r="L184" s="1190"/>
      <c r="M184" s="1190"/>
      <c r="N184" s="1190"/>
      <c r="O184" s="1708"/>
      <c r="P184" s="80" t="e">
        <v>#REF!</v>
      </c>
    </row>
    <row r="185" spans="3:16">
      <c r="C185" s="1172" t="s">
        <v>451</v>
      </c>
      <c r="L185" s="1190"/>
      <c r="M185" s="1190"/>
      <c r="N185" s="1190"/>
      <c r="O185" s="1708"/>
      <c r="P185" s="80" t="e">
        <v>#REF!</v>
      </c>
    </row>
    <row r="186" spans="3:16">
      <c r="C186" s="1172" t="s">
        <v>452</v>
      </c>
      <c r="L186" s="1190"/>
      <c r="M186" s="1190"/>
      <c r="N186" s="1190"/>
      <c r="O186" s="1708"/>
      <c r="P186" s="80" t="e">
        <v>#REF!</v>
      </c>
    </row>
    <row r="187" spans="3:16">
      <c r="C187" s="1172" t="s">
        <v>572</v>
      </c>
      <c r="L187" s="1190"/>
      <c r="M187" s="1190"/>
      <c r="N187" s="1190"/>
      <c r="O187" s="1708"/>
      <c r="P187" s="80" t="e">
        <v>#REF!</v>
      </c>
    </row>
    <row r="188" spans="3:16">
      <c r="L188" s="1194"/>
      <c r="M188" s="1194"/>
      <c r="N188" s="1194"/>
      <c r="O188" s="1194"/>
    </row>
    <row r="191" spans="3:16">
      <c r="C191" s="1172" t="s">
        <v>444</v>
      </c>
    </row>
    <row r="192" spans="3:16">
      <c r="C192" s="1172" t="s">
        <v>445</v>
      </c>
    </row>
    <row r="193" spans="3:3">
      <c r="C193" s="1172" t="s">
        <v>446</v>
      </c>
    </row>
    <row r="194" spans="3:3">
      <c r="C194" s="1172" t="s">
        <v>569</v>
      </c>
    </row>
    <row r="195" spans="3:3">
      <c r="C195" s="1172" t="s">
        <v>448</v>
      </c>
    </row>
    <row r="196" spans="3:3">
      <c r="C196" s="1172" t="s">
        <v>449</v>
      </c>
    </row>
    <row r="197" spans="3:3">
      <c r="C197" s="1172" t="s">
        <v>322</v>
      </c>
    </row>
    <row r="198" spans="3:3">
      <c r="C198" s="1172" t="s">
        <v>585</v>
      </c>
    </row>
    <row r="199" spans="3:3">
      <c r="C199" s="1192" t="s">
        <v>570</v>
      </c>
    </row>
    <row r="200" spans="3:3">
      <c r="C200" s="1172" t="s">
        <v>586</v>
      </c>
    </row>
    <row r="201" spans="3:3">
      <c r="C201" s="1192" t="s">
        <v>571</v>
      </c>
    </row>
    <row r="202" spans="3:3">
      <c r="C202" s="1172" t="s">
        <v>450</v>
      </c>
    </row>
    <row r="203" spans="3:3">
      <c r="C203" s="1172" t="s">
        <v>451</v>
      </c>
    </row>
    <row r="204" spans="3:3">
      <c r="C204" s="1172" t="s">
        <v>452</v>
      </c>
    </row>
    <row r="205" spans="3:3">
      <c r="C205" s="1172" t="s">
        <v>572</v>
      </c>
    </row>
    <row r="209" spans="3:3">
      <c r="C209" s="80">
        <v>15.192080573992429</v>
      </c>
    </row>
    <row r="210" spans="3:3">
      <c r="C210" s="80">
        <v>15.192080573992429</v>
      </c>
    </row>
    <row r="211" spans="3:3">
      <c r="C211" s="80">
        <v>30.384161147984859</v>
      </c>
    </row>
    <row r="214" spans="3:3">
      <c r="C214" s="80">
        <v>42.473357197649975</v>
      </c>
    </row>
    <row r="215" spans="3:3">
      <c r="C215" s="80">
        <v>42.473357197649975</v>
      </c>
    </row>
    <row r="216" spans="3:3">
      <c r="C216" s="80">
        <v>84.946714395299949</v>
      </c>
    </row>
    <row r="219" spans="3:3">
      <c r="C219" s="80">
        <v>16.226955</v>
      </c>
    </row>
    <row r="220" spans="3:3">
      <c r="C220" s="80">
        <v>16.226955</v>
      </c>
    </row>
    <row r="221" spans="3:3">
      <c r="C221" s="80">
        <v>32.45391</v>
      </c>
    </row>
    <row r="223" spans="3:3">
      <c r="C223" s="80">
        <v>41.542873499999999</v>
      </c>
    </row>
    <row r="224" spans="3:3">
      <c r="C224" s="80">
        <v>41.542873499999999</v>
      </c>
    </row>
    <row r="225" spans="3:3">
      <c r="C225" s="80">
        <v>83.085746999999998</v>
      </c>
    </row>
    <row r="245" spans="3:3">
      <c r="C245" s="1172" t="s">
        <v>12</v>
      </c>
    </row>
    <row r="246" spans="3:3">
      <c r="C246" s="1172" t="s">
        <v>140</v>
      </c>
    </row>
    <row r="247" spans="3:3">
      <c r="C247" s="1172" t="s">
        <v>141</v>
      </c>
    </row>
    <row r="248" spans="3:3">
      <c r="C248" s="1172" t="s">
        <v>261</v>
      </c>
    </row>
    <row r="249" spans="3:3">
      <c r="C249" s="1172" t="s">
        <v>262</v>
      </c>
    </row>
    <row r="250" spans="3:3">
      <c r="C250" s="1172" t="s">
        <v>67</v>
      </c>
    </row>
    <row r="251" spans="3:3">
      <c r="C251" s="1172" t="s">
        <v>413</v>
      </c>
    </row>
    <row r="252" spans="3:3">
      <c r="C252" s="1172" t="s">
        <v>519</v>
      </c>
    </row>
    <row r="281" spans="1:3">
      <c r="A281" s="80">
        <v>47.565502478056857</v>
      </c>
      <c r="B281" s="80">
        <v>21.176863332424695</v>
      </c>
      <c r="C281" s="80">
        <v>18.835300463779696</v>
      </c>
    </row>
    <row r="282" spans="1:3">
      <c r="A282" s="80">
        <v>75.237278233716694</v>
      </c>
      <c r="B282" s="80">
        <v>35.776438183045613</v>
      </c>
      <c r="C282" s="80">
        <v>15.060069591396655</v>
      </c>
    </row>
    <row r="283" spans="1:3">
      <c r="A283" s="80">
        <v>39.824298999999996</v>
      </c>
      <c r="B283" s="80">
        <v>20.016124416795492</v>
      </c>
      <c r="C283" s="80">
        <v>6.6606290971304229</v>
      </c>
    </row>
    <row r="284" spans="1:3">
      <c r="A284" s="80">
        <v>90.9562748449612</v>
      </c>
      <c r="B284" s="80">
        <v>55.216144094995776</v>
      </c>
      <c r="C284" s="80">
        <v>27.97449364339802</v>
      </c>
    </row>
    <row r="285" spans="1:3">
      <c r="A285" s="80">
        <v>28.830476999999988</v>
      </c>
      <c r="B285" s="80">
        <v>16.84544971856484</v>
      </c>
      <c r="C285" s="80">
        <v>4.0521670999375861</v>
      </c>
    </row>
    <row r="286" spans="1:3">
      <c r="A286" s="80">
        <v>49.015292269786976</v>
      </c>
      <c r="B286" s="80">
        <v>29.294655254173581</v>
      </c>
      <c r="C286" s="80">
        <v>13.858369104357598</v>
      </c>
    </row>
  </sheetData>
  <pageMargins left="0.7" right="0.7" top="0.75" bottom="0.75" header="0.3" footer="0.3"/>
  <pageSetup paperSize="9" orientation="portrait" horizontalDpi="300" verticalDpi="300" r:id="rId1"/>
</worksheet>
</file>

<file path=xl/worksheets/sheet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500-000000000000}">
  <sheetPr codeName="Feuil20">
    <tabColor indexed="26"/>
  </sheetPr>
  <dimension ref="A1:EY446"/>
  <sheetViews>
    <sheetView showGridLines="0" topLeftCell="A229" zoomScale="70" zoomScaleNormal="70" zoomScaleSheetLayoutView="70" workbookViewId="0">
      <pane xSplit="1" topLeftCell="Z1" activePane="topRight" state="frozen"/>
      <selection activeCell="A256" sqref="A256"/>
      <selection pane="topRight" activeCell="AY241" sqref="AY241:AY250"/>
    </sheetView>
  </sheetViews>
  <sheetFormatPr baseColWidth="10" defaultColWidth="11.44140625" defaultRowHeight="13.8"/>
  <cols>
    <col min="1" max="1" width="32.33203125" style="117" customWidth="1"/>
    <col min="2" max="2" width="17.109375" style="117" customWidth="1"/>
    <col min="3" max="3" width="15.88671875" style="117" customWidth="1"/>
    <col min="4" max="4" width="16.44140625" style="117" customWidth="1"/>
    <col min="5" max="5" width="14.44140625" style="117" customWidth="1"/>
    <col min="6" max="6" width="16.5546875" style="117" customWidth="1"/>
    <col min="7" max="7" width="12.109375" style="117" customWidth="1"/>
    <col min="8" max="8" width="16.33203125" style="117" customWidth="1"/>
    <col min="9" max="9" width="16.6640625" style="117" customWidth="1"/>
    <col min="10" max="10" width="15.5546875" style="117" customWidth="1"/>
    <col min="11" max="11" width="15.88671875" style="117" bestFit="1" customWidth="1"/>
    <col min="12" max="12" width="17.44140625" style="117" customWidth="1"/>
    <col min="13" max="13" width="19.44140625" style="117" customWidth="1"/>
    <col min="14" max="14" width="16" style="117" customWidth="1"/>
    <col min="15" max="15" width="11.88671875" style="117" customWidth="1"/>
    <col min="16" max="16" width="15.5546875" style="117" customWidth="1"/>
    <col min="17" max="17" width="16" style="117" customWidth="1"/>
    <col min="18" max="18" width="16.33203125" style="117" customWidth="1"/>
    <col min="19" max="19" width="18" style="117" customWidth="1"/>
    <col min="20" max="20" width="16.6640625" style="117" customWidth="1"/>
    <col min="21" max="21" width="16.88671875" style="117" customWidth="1"/>
    <col min="22" max="22" width="17.109375" style="117" customWidth="1"/>
    <col min="23" max="23" width="15.109375" style="117" customWidth="1"/>
    <col min="24" max="24" width="15.44140625" style="117" customWidth="1"/>
    <col min="25" max="25" width="17.109375" style="117" customWidth="1"/>
    <col min="26" max="26" width="19.44140625" style="117" customWidth="1"/>
    <col min="27" max="27" width="16.109375" style="117" customWidth="1"/>
    <col min="28" max="28" width="15.88671875" style="117" customWidth="1"/>
    <col min="29" max="29" width="16.33203125" style="117" customWidth="1"/>
    <col min="30" max="30" width="18" style="117" customWidth="1"/>
    <col min="31" max="31" width="12.5546875" style="117" customWidth="1"/>
    <col min="32" max="32" width="15.44140625" style="117" customWidth="1"/>
    <col min="33" max="33" width="17.88671875" style="117" customWidth="1"/>
    <col min="34" max="34" width="17.109375" style="117" hidden="1" customWidth="1"/>
    <col min="35" max="35" width="11.44140625" style="117" hidden="1" customWidth="1"/>
    <col min="36" max="36" width="15.33203125" style="117" hidden="1" customWidth="1"/>
    <col min="37" max="37" width="14.33203125" style="117" hidden="1" customWidth="1"/>
    <col min="38" max="38" width="17.44140625" style="117" hidden="1" customWidth="1"/>
    <col min="39" max="39" width="13.109375" style="117" hidden="1" customWidth="1"/>
    <col min="40" max="40" width="15.88671875" style="117" hidden="1" customWidth="1"/>
    <col min="41" max="41" width="14" style="117" hidden="1" customWidth="1"/>
    <col min="42" max="42" width="16.5546875" style="1091" hidden="1" customWidth="1"/>
    <col min="43" max="43" width="18.44140625" style="117" hidden="1" customWidth="1"/>
    <col min="44" max="44" width="16" style="117" hidden="1" customWidth="1"/>
    <col min="45" max="45" width="14" style="117" hidden="1" customWidth="1"/>
    <col min="46" max="46" width="17.44140625" style="117" hidden="1" customWidth="1"/>
    <col min="47" max="47" width="12.109375" style="117" hidden="1" customWidth="1"/>
    <col min="48" max="48" width="17.109375" style="117" hidden="1" customWidth="1"/>
    <col min="49" max="49" width="13.5546875" style="117" hidden="1" customWidth="1"/>
    <col min="50" max="50" width="22.44140625" style="117" bestFit="1" customWidth="1"/>
    <col min="51" max="51" width="18.44140625" style="117" customWidth="1"/>
    <col min="52" max="52" width="21.44140625" style="117" bestFit="1" customWidth="1"/>
    <col min="53" max="53" width="21.33203125" style="117" customWidth="1"/>
    <col min="54" max="54" width="18.109375" style="117" bestFit="1" customWidth="1"/>
    <col min="55" max="55" width="11.33203125" style="117" customWidth="1"/>
    <col min="56" max="56" width="11.88671875" style="117" bestFit="1" customWidth="1"/>
    <col min="57" max="58" width="12.44140625" style="117" customWidth="1"/>
    <col min="59" max="59" width="9.33203125" style="117" customWidth="1"/>
    <col min="60" max="16384" width="11.44140625" style="117"/>
  </cols>
  <sheetData>
    <row r="1" spans="1:62" ht="18">
      <c r="A1" s="486" t="s">
        <v>84</v>
      </c>
      <c r="B1" s="487"/>
      <c r="C1" s="487"/>
      <c r="D1" s="487"/>
      <c r="E1" s="487"/>
      <c r="F1" s="487"/>
      <c r="G1" s="487"/>
      <c r="H1" s="487"/>
      <c r="I1" s="487"/>
      <c r="J1" s="487"/>
      <c r="K1" s="487"/>
      <c r="L1" s="487"/>
      <c r="M1" s="487"/>
      <c r="N1" s="487"/>
      <c r="O1" s="487"/>
      <c r="P1" s="487"/>
      <c r="Q1" s="487"/>
    </row>
    <row r="2" spans="1:62" ht="18.600000000000001" thickBot="1">
      <c r="A2" s="489">
        <v>2023</v>
      </c>
      <c r="B2" s="487"/>
      <c r="C2" s="487"/>
      <c r="D2" s="487"/>
      <c r="E2" s="487"/>
      <c r="F2" s="487"/>
      <c r="G2" s="487"/>
      <c r="H2" s="487"/>
      <c r="I2" s="487"/>
      <c r="J2" s="487"/>
      <c r="K2" s="487"/>
      <c r="L2" s="487"/>
      <c r="M2" s="487"/>
      <c r="N2" s="487"/>
      <c r="O2" s="487"/>
      <c r="P2" s="487"/>
      <c r="Q2" s="487"/>
      <c r="V2" s="395">
        <f>V6-R6</f>
        <v>510</v>
      </c>
    </row>
    <row r="3" spans="1:62">
      <c r="A3" s="2834" t="s">
        <v>308</v>
      </c>
      <c r="B3" s="2827" t="s">
        <v>71</v>
      </c>
      <c r="C3" s="2828"/>
      <c r="D3" s="2828"/>
      <c r="E3" s="3091"/>
      <c r="F3" s="2829" t="s">
        <v>72</v>
      </c>
      <c r="G3" s="2830"/>
      <c r="H3" s="2830"/>
      <c r="I3" s="3095"/>
      <c r="J3" s="2817" t="s">
        <v>73</v>
      </c>
      <c r="K3" s="2818"/>
      <c r="L3" s="2818"/>
      <c r="M3" s="3094"/>
      <c r="N3" s="2819" t="s">
        <v>74</v>
      </c>
      <c r="O3" s="2820"/>
      <c r="P3" s="2820"/>
      <c r="Q3" s="3090"/>
      <c r="R3" s="2821" t="s">
        <v>75</v>
      </c>
      <c r="S3" s="2822"/>
      <c r="T3" s="2822"/>
      <c r="U3" s="3093"/>
      <c r="V3" s="2823" t="s">
        <v>76</v>
      </c>
      <c r="W3" s="2824"/>
      <c r="X3" s="2824"/>
      <c r="Y3" s="3089"/>
      <c r="Z3" s="2827" t="s">
        <v>77</v>
      </c>
      <c r="AA3" s="2828"/>
      <c r="AB3" s="2828"/>
      <c r="AC3" s="3091"/>
      <c r="AD3" s="2829" t="s">
        <v>78</v>
      </c>
      <c r="AE3" s="2830"/>
      <c r="AF3" s="2830"/>
      <c r="AG3" s="3095"/>
      <c r="AH3" s="2817" t="s">
        <v>79</v>
      </c>
      <c r="AI3" s="2818"/>
      <c r="AJ3" s="2818"/>
      <c r="AK3" s="3094"/>
      <c r="AL3" s="2819" t="s">
        <v>80</v>
      </c>
      <c r="AM3" s="2820"/>
      <c r="AN3" s="2820"/>
      <c r="AO3" s="3090"/>
      <c r="AP3" s="2821" t="s">
        <v>81</v>
      </c>
      <c r="AQ3" s="2822"/>
      <c r="AR3" s="2822"/>
      <c r="AS3" s="3093"/>
      <c r="AT3" s="2823" t="s">
        <v>82</v>
      </c>
      <c r="AU3" s="2824"/>
      <c r="AV3" s="2824"/>
      <c r="AW3" s="3089"/>
      <c r="BD3" s="396">
        <v>44896</v>
      </c>
    </row>
    <row r="4" spans="1:62">
      <c r="A4" s="2835"/>
      <c r="B4" s="402" t="s">
        <v>17</v>
      </c>
      <c r="C4" s="403" t="s">
        <v>18</v>
      </c>
      <c r="D4" s="403" t="s">
        <v>52</v>
      </c>
      <c r="E4" s="404" t="s">
        <v>19</v>
      </c>
      <c r="F4" s="402" t="s">
        <v>17</v>
      </c>
      <c r="G4" s="403" t="s">
        <v>18</v>
      </c>
      <c r="H4" s="403" t="s">
        <v>52</v>
      </c>
      <c r="I4" s="404" t="s">
        <v>19</v>
      </c>
      <c r="J4" s="402" t="s">
        <v>17</v>
      </c>
      <c r="K4" s="403" t="s">
        <v>18</v>
      </c>
      <c r="L4" s="403" t="s">
        <v>52</v>
      </c>
      <c r="M4" s="404" t="s">
        <v>19</v>
      </c>
      <c r="N4" s="402" t="s">
        <v>17</v>
      </c>
      <c r="O4" s="403" t="s">
        <v>18</v>
      </c>
      <c r="P4" s="403" t="s">
        <v>52</v>
      </c>
      <c r="Q4" s="404" t="s">
        <v>19</v>
      </c>
      <c r="R4" s="402" t="s">
        <v>17</v>
      </c>
      <c r="S4" s="403" t="s">
        <v>18</v>
      </c>
      <c r="T4" s="403" t="s">
        <v>52</v>
      </c>
      <c r="U4" s="404" t="s">
        <v>19</v>
      </c>
      <c r="V4" s="402" t="s">
        <v>17</v>
      </c>
      <c r="W4" s="403" t="s">
        <v>18</v>
      </c>
      <c r="X4" s="403" t="s">
        <v>52</v>
      </c>
      <c r="Y4" s="404" t="s">
        <v>19</v>
      </c>
      <c r="Z4" s="402" t="s">
        <v>17</v>
      </c>
      <c r="AA4" s="403" t="s">
        <v>18</v>
      </c>
      <c r="AB4" s="403" t="s">
        <v>52</v>
      </c>
      <c r="AC4" s="404" t="s">
        <v>19</v>
      </c>
      <c r="AD4" s="402" t="s">
        <v>17</v>
      </c>
      <c r="AE4" s="403" t="s">
        <v>18</v>
      </c>
      <c r="AF4" s="403" t="s">
        <v>52</v>
      </c>
      <c r="AG4" s="404" t="s">
        <v>19</v>
      </c>
      <c r="AH4" s="402" t="s">
        <v>17</v>
      </c>
      <c r="AI4" s="403" t="s">
        <v>18</v>
      </c>
      <c r="AJ4" s="403" t="s">
        <v>52</v>
      </c>
      <c r="AK4" s="404" t="s">
        <v>19</v>
      </c>
      <c r="AL4" s="402" t="s">
        <v>17</v>
      </c>
      <c r="AM4" s="403" t="s">
        <v>18</v>
      </c>
      <c r="AN4" s="403" t="s">
        <v>52</v>
      </c>
      <c r="AO4" s="404" t="s">
        <v>19</v>
      </c>
      <c r="AP4" s="1107" t="s">
        <v>17</v>
      </c>
      <c r="AQ4" s="403" t="s">
        <v>18</v>
      </c>
      <c r="AR4" s="403" t="s">
        <v>52</v>
      </c>
      <c r="AS4" s="404" t="s">
        <v>19</v>
      </c>
      <c r="AT4" s="402" t="s">
        <v>17</v>
      </c>
      <c r="AU4" s="403" t="s">
        <v>18</v>
      </c>
      <c r="AV4" s="403" t="s">
        <v>52</v>
      </c>
      <c r="AW4" s="404" t="s">
        <v>19</v>
      </c>
      <c r="AY4" s="117" t="s">
        <v>265</v>
      </c>
      <c r="AZ4" s="117" t="s">
        <v>266</v>
      </c>
    </row>
    <row r="5" spans="1:62">
      <c r="A5" s="397" t="s">
        <v>6</v>
      </c>
      <c r="B5" s="398">
        <v>353724</v>
      </c>
      <c r="C5" s="399">
        <v>9188</v>
      </c>
      <c r="D5" s="400">
        <f t="shared" ref="D5:D14" si="0">C5+B5</f>
        <v>362912</v>
      </c>
      <c r="E5" s="401">
        <v>2874</v>
      </c>
      <c r="F5" s="398">
        <v>356192</v>
      </c>
      <c r="G5" s="399">
        <v>9215</v>
      </c>
      <c r="H5" s="400">
        <f t="shared" ref="H5:H14" si="1">G5+F5</f>
        <v>365407</v>
      </c>
      <c r="I5" s="401">
        <v>2877</v>
      </c>
      <c r="J5" s="405">
        <v>358097</v>
      </c>
      <c r="K5" s="406">
        <v>9241</v>
      </c>
      <c r="L5" s="400">
        <f t="shared" ref="L5:L14" si="2">K5+J5</f>
        <v>367338</v>
      </c>
      <c r="M5" s="407">
        <v>2883</v>
      </c>
      <c r="N5" s="405">
        <v>358866</v>
      </c>
      <c r="O5" s="406">
        <v>9260</v>
      </c>
      <c r="P5" s="400">
        <f t="shared" ref="P5:P14" si="3">O5+N5</f>
        <v>368126</v>
      </c>
      <c r="Q5" s="407">
        <v>2888</v>
      </c>
      <c r="R5" s="398">
        <v>360841</v>
      </c>
      <c r="S5" s="399">
        <v>9284</v>
      </c>
      <c r="T5" s="400">
        <f t="shared" ref="T5:T14" si="4">S5+R5</f>
        <v>370125</v>
      </c>
      <c r="U5" s="401">
        <v>2892</v>
      </c>
      <c r="V5" s="398">
        <v>363893</v>
      </c>
      <c r="W5" s="399">
        <v>9300</v>
      </c>
      <c r="X5" s="400">
        <f t="shared" ref="X5:X14" si="5">W5+V5</f>
        <v>373193</v>
      </c>
      <c r="Y5" s="401">
        <v>2897</v>
      </c>
      <c r="Z5" s="398">
        <v>365598</v>
      </c>
      <c r="AA5" s="399">
        <v>9323</v>
      </c>
      <c r="AB5" s="400">
        <f>AA5+Z5</f>
        <v>374921</v>
      </c>
      <c r="AC5" s="401">
        <v>2904</v>
      </c>
      <c r="AD5" s="398">
        <v>366122</v>
      </c>
      <c r="AE5" s="399">
        <v>9331</v>
      </c>
      <c r="AF5" s="400">
        <f t="shared" ref="AF5:AF14" si="6">AE5+AD5</f>
        <v>375453</v>
      </c>
      <c r="AG5" s="401">
        <v>2910</v>
      </c>
      <c r="AH5" s="398"/>
      <c r="AI5" s="399"/>
      <c r="AJ5" s="400">
        <f t="shared" ref="AJ5:AJ14" si="7">AI5+AH5</f>
        <v>0</v>
      </c>
      <c r="AK5" s="401"/>
      <c r="AL5" s="398"/>
      <c r="AM5" s="399"/>
      <c r="AN5" s="400">
        <f t="shared" ref="AN5:AN14" si="8">AM5+AL5</f>
        <v>0</v>
      </c>
      <c r="AO5" s="401"/>
      <c r="AP5" s="1246"/>
      <c r="AQ5" s="399"/>
      <c r="AR5" s="400">
        <f t="shared" ref="AR5:AR14" si="9">AQ5+AP5</f>
        <v>0</v>
      </c>
      <c r="AS5" s="401"/>
      <c r="AT5" s="398"/>
      <c r="AU5" s="399"/>
      <c r="AV5" s="400">
        <f t="shared" ref="AV5:AV14" si="10">AU5+AT5</f>
        <v>0</v>
      </c>
      <c r="AW5" s="401"/>
      <c r="AY5" s="395">
        <f>AF5</f>
        <v>375453</v>
      </c>
      <c r="AZ5" s="395">
        <f>AG5</f>
        <v>2910</v>
      </c>
      <c r="BA5" s="395">
        <f>AB5+AC5+gaz!X5+gaz!Y5</f>
        <v>610841</v>
      </c>
      <c r="BC5" s="397" t="s">
        <v>6</v>
      </c>
      <c r="BD5" s="398">
        <v>353233</v>
      </c>
      <c r="BE5" s="399">
        <v>9185</v>
      </c>
      <c r="BF5" s="400">
        <v>362418</v>
      </c>
      <c r="BG5" s="401">
        <v>2875</v>
      </c>
      <c r="BI5" s="395"/>
      <c r="BJ5" s="395"/>
    </row>
    <row r="6" spans="1:62">
      <c r="A6" s="397" t="s">
        <v>7</v>
      </c>
      <c r="B6" s="398">
        <v>219546</v>
      </c>
      <c r="C6" s="399">
        <v>7533</v>
      </c>
      <c r="D6" s="400">
        <f t="shared" si="0"/>
        <v>227079</v>
      </c>
      <c r="E6" s="401">
        <v>1335</v>
      </c>
      <c r="F6" s="398">
        <v>220742</v>
      </c>
      <c r="G6" s="399">
        <v>7543</v>
      </c>
      <c r="H6" s="400">
        <f t="shared" si="1"/>
        <v>228285</v>
      </c>
      <c r="I6" s="401">
        <v>1344</v>
      </c>
      <c r="J6" s="398">
        <v>222125</v>
      </c>
      <c r="K6" s="399">
        <v>7526</v>
      </c>
      <c r="L6" s="400">
        <f t="shared" si="2"/>
        <v>229651</v>
      </c>
      <c r="M6" s="408">
        <v>1351</v>
      </c>
      <c r="N6" s="398">
        <v>222926</v>
      </c>
      <c r="O6" s="399">
        <v>7583</v>
      </c>
      <c r="P6" s="400">
        <f t="shared" si="3"/>
        <v>230509</v>
      </c>
      <c r="Q6" s="407">
        <v>1354</v>
      </c>
      <c r="R6" s="398">
        <v>223767</v>
      </c>
      <c r="S6" s="399">
        <v>7617</v>
      </c>
      <c r="T6" s="400">
        <f t="shared" si="4"/>
        <v>231384</v>
      </c>
      <c r="U6" s="401">
        <v>1346</v>
      </c>
      <c r="V6" s="398">
        <v>224277</v>
      </c>
      <c r="W6" s="399">
        <v>7632</v>
      </c>
      <c r="X6" s="400">
        <f t="shared" si="5"/>
        <v>231909</v>
      </c>
      <c r="Y6" s="401">
        <v>1346</v>
      </c>
      <c r="Z6" s="398">
        <v>224683</v>
      </c>
      <c r="AA6" s="399">
        <v>7645</v>
      </c>
      <c r="AB6" s="400">
        <f t="shared" ref="AB6:AB14" si="11">AA6+Z6</f>
        <v>232328</v>
      </c>
      <c r="AC6" s="401">
        <v>1357</v>
      </c>
      <c r="AD6" s="398">
        <v>225320</v>
      </c>
      <c r="AE6" s="399">
        <v>7679</v>
      </c>
      <c r="AF6" s="400">
        <f t="shared" si="6"/>
        <v>232999</v>
      </c>
      <c r="AG6" s="401">
        <v>1358</v>
      </c>
      <c r="AH6" s="398"/>
      <c r="AI6" s="399"/>
      <c r="AJ6" s="400">
        <f t="shared" si="7"/>
        <v>0</v>
      </c>
      <c r="AK6" s="401"/>
      <c r="AL6" s="398"/>
      <c r="AM6" s="399"/>
      <c r="AN6" s="400">
        <f t="shared" si="8"/>
        <v>0</v>
      </c>
      <c r="AO6" s="401"/>
      <c r="AP6" s="1246"/>
      <c r="AQ6" s="399"/>
      <c r="AR6" s="400">
        <f t="shared" si="9"/>
        <v>0</v>
      </c>
      <c r="AS6" s="401"/>
      <c r="AT6" s="398"/>
      <c r="AU6" s="399"/>
      <c r="AV6" s="400">
        <f t="shared" si="10"/>
        <v>0</v>
      </c>
      <c r="AW6" s="401"/>
      <c r="AY6" s="395">
        <f t="shared" ref="AY6:AY15" si="12">AF6</f>
        <v>232999</v>
      </c>
      <c r="AZ6" s="395">
        <f t="shared" ref="AZ6:AZ15" si="13">AG6</f>
        <v>1358</v>
      </c>
      <c r="BA6" s="395">
        <f>AB6+AC6+gaz!X6+gaz!Y6</f>
        <v>396556</v>
      </c>
      <c r="BC6" s="397" t="s">
        <v>7</v>
      </c>
      <c r="BD6" s="398">
        <v>219269</v>
      </c>
      <c r="BE6" s="399">
        <v>7530</v>
      </c>
      <c r="BF6" s="400">
        <v>226799</v>
      </c>
      <c r="BG6" s="401">
        <v>1335</v>
      </c>
      <c r="BI6" s="395"/>
      <c r="BJ6" s="395"/>
    </row>
    <row r="7" spans="1:62">
      <c r="A7" s="397" t="s">
        <v>8</v>
      </c>
      <c r="B7" s="398">
        <v>220731</v>
      </c>
      <c r="C7" s="399">
        <v>10819</v>
      </c>
      <c r="D7" s="400">
        <f t="shared" si="0"/>
        <v>231550</v>
      </c>
      <c r="E7" s="401">
        <v>1107</v>
      </c>
      <c r="F7" s="398">
        <v>221607</v>
      </c>
      <c r="G7" s="399">
        <v>10854</v>
      </c>
      <c r="H7" s="400">
        <f t="shared" si="1"/>
        <v>232461</v>
      </c>
      <c r="I7" s="401">
        <v>1110</v>
      </c>
      <c r="J7" s="409">
        <v>222436</v>
      </c>
      <c r="K7" s="410">
        <v>10882</v>
      </c>
      <c r="L7" s="400">
        <f t="shared" si="2"/>
        <v>233318</v>
      </c>
      <c r="M7" s="408">
        <v>1113</v>
      </c>
      <c r="N7" s="398">
        <v>223230</v>
      </c>
      <c r="O7" s="399">
        <v>10912</v>
      </c>
      <c r="P7" s="400">
        <f t="shared" si="3"/>
        <v>234142</v>
      </c>
      <c r="Q7" s="401">
        <v>1115</v>
      </c>
      <c r="R7" s="398">
        <v>223762</v>
      </c>
      <c r="S7" s="399">
        <v>10906</v>
      </c>
      <c r="T7" s="400">
        <f t="shared" si="4"/>
        <v>234668</v>
      </c>
      <c r="U7" s="401">
        <v>1117</v>
      </c>
      <c r="V7" s="398">
        <v>224433</v>
      </c>
      <c r="W7" s="399">
        <v>10955</v>
      </c>
      <c r="X7" s="400">
        <f t="shared" si="5"/>
        <v>235388</v>
      </c>
      <c r="Y7" s="401">
        <v>1120</v>
      </c>
      <c r="Z7" s="398">
        <v>225033</v>
      </c>
      <c r="AA7" s="399">
        <v>10992</v>
      </c>
      <c r="AB7" s="400">
        <f t="shared" si="11"/>
        <v>236025</v>
      </c>
      <c r="AC7" s="401">
        <v>1125</v>
      </c>
      <c r="AD7" s="398">
        <v>226118</v>
      </c>
      <c r="AE7" s="399">
        <v>11010</v>
      </c>
      <c r="AF7" s="400">
        <f t="shared" si="6"/>
        <v>237128</v>
      </c>
      <c r="AG7" s="401">
        <v>1131</v>
      </c>
      <c r="AH7" s="398"/>
      <c r="AI7" s="399"/>
      <c r="AJ7" s="400">
        <f t="shared" si="7"/>
        <v>0</v>
      </c>
      <c r="AK7" s="401"/>
      <c r="AL7" s="398"/>
      <c r="AM7" s="399"/>
      <c r="AN7" s="400">
        <f t="shared" si="8"/>
        <v>0</v>
      </c>
      <c r="AO7" s="401"/>
      <c r="AP7" s="1246"/>
      <c r="AQ7" s="399"/>
      <c r="AR7" s="400">
        <f t="shared" si="9"/>
        <v>0</v>
      </c>
      <c r="AS7" s="401"/>
      <c r="AT7" s="398"/>
      <c r="AU7" s="399"/>
      <c r="AV7" s="400">
        <f t="shared" si="10"/>
        <v>0</v>
      </c>
      <c r="AW7" s="401"/>
      <c r="AY7" s="395">
        <f t="shared" si="12"/>
        <v>237128</v>
      </c>
      <c r="AZ7" s="395">
        <f t="shared" si="13"/>
        <v>1131</v>
      </c>
      <c r="BA7" s="395">
        <f>AB7+AC7+gaz!X7+gaz!Y7</f>
        <v>383840</v>
      </c>
      <c r="BC7" s="397" t="s">
        <v>8</v>
      </c>
      <c r="BD7" s="398">
        <v>219422</v>
      </c>
      <c r="BE7" s="399">
        <v>10781</v>
      </c>
      <c r="BF7" s="400">
        <v>230203</v>
      </c>
      <c r="BG7" s="401">
        <v>1104</v>
      </c>
      <c r="BI7" s="395"/>
      <c r="BJ7" s="395"/>
    </row>
    <row r="8" spans="1:62">
      <c r="A8" s="397" t="s">
        <v>4</v>
      </c>
      <c r="B8" s="398">
        <v>446156</v>
      </c>
      <c r="C8" s="399">
        <v>11503</v>
      </c>
      <c r="D8" s="400">
        <f t="shared" si="0"/>
        <v>457659</v>
      </c>
      <c r="E8" s="401">
        <v>1523</v>
      </c>
      <c r="F8" s="398">
        <v>447403</v>
      </c>
      <c r="G8" s="399">
        <v>11527</v>
      </c>
      <c r="H8" s="400">
        <f t="shared" si="1"/>
        <v>458930</v>
      </c>
      <c r="I8" s="401">
        <v>1526</v>
      </c>
      <c r="J8" s="409">
        <v>448911</v>
      </c>
      <c r="K8" s="410">
        <v>11542</v>
      </c>
      <c r="L8" s="400">
        <f t="shared" si="2"/>
        <v>460453</v>
      </c>
      <c r="M8" s="408">
        <v>1530</v>
      </c>
      <c r="N8" s="398">
        <v>450210</v>
      </c>
      <c r="O8" s="399">
        <v>11557</v>
      </c>
      <c r="P8" s="400">
        <f t="shared" si="3"/>
        <v>461767</v>
      </c>
      <c r="Q8" s="401">
        <v>1539</v>
      </c>
      <c r="R8" s="398">
        <v>450957</v>
      </c>
      <c r="S8" s="399">
        <v>11566</v>
      </c>
      <c r="T8" s="400">
        <f t="shared" si="4"/>
        <v>462523</v>
      </c>
      <c r="U8" s="401">
        <v>1543</v>
      </c>
      <c r="V8" s="398">
        <v>451201</v>
      </c>
      <c r="W8" s="399">
        <v>11575</v>
      </c>
      <c r="X8" s="400">
        <f t="shared" si="5"/>
        <v>462776</v>
      </c>
      <c r="Y8" s="401">
        <v>1545</v>
      </c>
      <c r="Z8" s="416">
        <v>452066</v>
      </c>
      <c r="AA8" s="416">
        <v>11592</v>
      </c>
      <c r="AB8" s="400">
        <f t="shared" si="11"/>
        <v>463658</v>
      </c>
      <c r="AC8" s="416">
        <v>1549</v>
      </c>
      <c r="AD8" s="398">
        <v>454028</v>
      </c>
      <c r="AE8" s="399">
        <v>11628</v>
      </c>
      <c r="AF8" s="400">
        <f t="shared" si="6"/>
        <v>465656</v>
      </c>
      <c r="AG8" s="401">
        <v>1551</v>
      </c>
      <c r="AH8" s="398"/>
      <c r="AI8" s="399"/>
      <c r="AJ8" s="400">
        <f t="shared" si="7"/>
        <v>0</v>
      </c>
      <c r="AK8" s="401"/>
      <c r="AL8" s="398"/>
      <c r="AM8" s="399"/>
      <c r="AN8" s="400">
        <f t="shared" si="8"/>
        <v>0</v>
      </c>
      <c r="AO8" s="401"/>
      <c r="AP8" s="1246"/>
      <c r="AQ8" s="399"/>
      <c r="AR8" s="400">
        <f t="shared" si="9"/>
        <v>0</v>
      </c>
      <c r="AS8" s="401"/>
      <c r="AT8" s="398"/>
      <c r="AU8" s="399"/>
      <c r="AV8" s="400">
        <f t="shared" si="10"/>
        <v>0</v>
      </c>
      <c r="AW8" s="401"/>
      <c r="AY8" s="395">
        <f t="shared" si="12"/>
        <v>465656</v>
      </c>
      <c r="AZ8" s="395">
        <f t="shared" si="13"/>
        <v>1551</v>
      </c>
      <c r="BA8" s="395">
        <f>AB8+AC8+gaz!X8+gaz!Y8</f>
        <v>770701</v>
      </c>
      <c r="BC8" s="397" t="s">
        <v>4</v>
      </c>
      <c r="BD8" s="398">
        <v>445258</v>
      </c>
      <c r="BE8" s="399">
        <v>11485</v>
      </c>
      <c r="BF8" s="400">
        <v>456743</v>
      </c>
      <c r="BG8" s="401">
        <v>1521</v>
      </c>
      <c r="BI8" s="395"/>
      <c r="BJ8" s="395"/>
    </row>
    <row r="9" spans="1:62">
      <c r="A9" s="397" t="s">
        <v>3</v>
      </c>
      <c r="B9" s="398">
        <v>226827</v>
      </c>
      <c r="C9" s="399">
        <v>6607</v>
      </c>
      <c r="D9" s="400">
        <f t="shared" si="0"/>
        <v>233434</v>
      </c>
      <c r="E9" s="401">
        <v>1665</v>
      </c>
      <c r="F9" s="398">
        <v>227554</v>
      </c>
      <c r="G9" s="399">
        <v>6615</v>
      </c>
      <c r="H9" s="400">
        <f t="shared" si="1"/>
        <v>234169</v>
      </c>
      <c r="I9" s="401">
        <v>1683</v>
      </c>
      <c r="J9" s="405">
        <v>228279</v>
      </c>
      <c r="K9" s="406">
        <v>6626</v>
      </c>
      <c r="L9" s="400">
        <f t="shared" si="2"/>
        <v>234905</v>
      </c>
      <c r="M9" s="407">
        <v>1711</v>
      </c>
      <c r="N9" s="398">
        <v>228808</v>
      </c>
      <c r="O9" s="399">
        <v>6638</v>
      </c>
      <c r="P9" s="400">
        <f t="shared" si="3"/>
        <v>235446</v>
      </c>
      <c r="Q9" s="401">
        <v>1731</v>
      </c>
      <c r="R9" s="398">
        <v>229165</v>
      </c>
      <c r="S9" s="399">
        <v>6643</v>
      </c>
      <c r="T9" s="400">
        <f t="shared" si="4"/>
        <v>235808</v>
      </c>
      <c r="U9" s="401">
        <v>1751</v>
      </c>
      <c r="V9" s="398">
        <v>229518</v>
      </c>
      <c r="W9" s="399">
        <v>6651</v>
      </c>
      <c r="X9" s="400">
        <f t="shared" si="5"/>
        <v>236169</v>
      </c>
      <c r="Y9" s="401">
        <v>1764</v>
      </c>
      <c r="Z9" s="398">
        <v>229733</v>
      </c>
      <c r="AA9" s="399">
        <v>6661</v>
      </c>
      <c r="AB9" s="400">
        <f t="shared" si="11"/>
        <v>236394</v>
      </c>
      <c r="AC9" s="401">
        <v>1781</v>
      </c>
      <c r="AD9" s="398">
        <v>230335</v>
      </c>
      <c r="AE9" s="399">
        <v>6662</v>
      </c>
      <c r="AF9" s="400">
        <f t="shared" si="6"/>
        <v>236997</v>
      </c>
      <c r="AG9" s="401">
        <v>1801</v>
      </c>
      <c r="AH9" s="398"/>
      <c r="AI9" s="399"/>
      <c r="AJ9" s="400">
        <f t="shared" si="7"/>
        <v>0</v>
      </c>
      <c r="AK9" s="401"/>
      <c r="AL9" s="398"/>
      <c r="AM9" s="399"/>
      <c r="AN9" s="400">
        <f t="shared" si="8"/>
        <v>0</v>
      </c>
      <c r="AO9" s="401"/>
      <c r="AP9" s="1246"/>
      <c r="AQ9" s="399"/>
      <c r="AR9" s="400">
        <f t="shared" si="9"/>
        <v>0</v>
      </c>
      <c r="AS9" s="401"/>
      <c r="AT9" s="398"/>
      <c r="AU9" s="399"/>
      <c r="AV9" s="400">
        <f t="shared" si="10"/>
        <v>0</v>
      </c>
      <c r="AW9" s="401"/>
      <c r="AY9" s="395">
        <f t="shared" si="12"/>
        <v>236997</v>
      </c>
      <c r="AZ9" s="395">
        <f t="shared" si="13"/>
        <v>1801</v>
      </c>
      <c r="BA9" s="395">
        <f>AB9+AC9+gaz!X9+gaz!Y9</f>
        <v>430784</v>
      </c>
      <c r="BC9" s="397" t="s">
        <v>3</v>
      </c>
      <c r="BD9" s="398">
        <v>226133</v>
      </c>
      <c r="BE9" s="399">
        <v>6603</v>
      </c>
      <c r="BF9" s="400">
        <v>232736</v>
      </c>
      <c r="BG9" s="401">
        <v>1656</v>
      </c>
      <c r="BI9" s="395"/>
      <c r="BJ9" s="395"/>
    </row>
    <row r="10" spans="1:62">
      <c r="A10" s="397" t="s">
        <v>397</v>
      </c>
      <c r="B10" s="398">
        <v>216683</v>
      </c>
      <c r="C10" s="399">
        <v>6323</v>
      </c>
      <c r="D10" s="400">
        <f t="shared" si="0"/>
        <v>223006</v>
      </c>
      <c r="E10" s="401">
        <v>1296</v>
      </c>
      <c r="F10" s="398">
        <v>217767</v>
      </c>
      <c r="G10" s="399">
        <v>6332</v>
      </c>
      <c r="H10" s="400">
        <f t="shared" si="1"/>
        <v>224099</v>
      </c>
      <c r="I10" s="401">
        <v>1300</v>
      </c>
      <c r="J10" s="411">
        <v>218766</v>
      </c>
      <c r="K10" s="410">
        <v>6389</v>
      </c>
      <c r="L10" s="400">
        <f t="shared" si="2"/>
        <v>225155</v>
      </c>
      <c r="M10" s="408">
        <v>1297</v>
      </c>
      <c r="N10" s="398">
        <v>219783</v>
      </c>
      <c r="O10" s="399">
        <v>6410</v>
      </c>
      <c r="P10" s="400">
        <f t="shared" si="3"/>
        <v>226193</v>
      </c>
      <c r="Q10" s="401">
        <v>1293</v>
      </c>
      <c r="R10" s="398">
        <v>220467</v>
      </c>
      <c r="S10" s="399">
        <v>6429</v>
      </c>
      <c r="T10" s="400">
        <f t="shared" si="4"/>
        <v>226896</v>
      </c>
      <c r="U10" s="401">
        <v>1293</v>
      </c>
      <c r="V10" s="398">
        <v>221684</v>
      </c>
      <c r="W10" s="399">
        <v>6461</v>
      </c>
      <c r="X10" s="400">
        <f t="shared" si="5"/>
        <v>228145</v>
      </c>
      <c r="Y10" s="401">
        <v>1297</v>
      </c>
      <c r="Z10" s="398">
        <v>222707</v>
      </c>
      <c r="AA10" s="399">
        <v>6488</v>
      </c>
      <c r="AB10" s="400">
        <f t="shared" si="11"/>
        <v>229195</v>
      </c>
      <c r="AC10" s="401">
        <v>1297</v>
      </c>
      <c r="AD10" s="398">
        <v>223268</v>
      </c>
      <c r="AE10" s="399">
        <v>6526</v>
      </c>
      <c r="AF10" s="400">
        <f t="shared" si="6"/>
        <v>229794</v>
      </c>
      <c r="AG10" s="401">
        <v>1303</v>
      </c>
      <c r="AH10" s="398"/>
      <c r="AI10" s="399"/>
      <c r="AJ10" s="400">
        <f t="shared" si="7"/>
        <v>0</v>
      </c>
      <c r="AK10" s="401"/>
      <c r="AL10" s="398"/>
      <c r="AM10" s="399"/>
      <c r="AN10" s="400">
        <f t="shared" si="8"/>
        <v>0</v>
      </c>
      <c r="AO10" s="401"/>
      <c r="AP10" s="1246"/>
      <c r="AQ10" s="399"/>
      <c r="AR10" s="400">
        <f t="shared" si="9"/>
        <v>0</v>
      </c>
      <c r="AS10" s="401"/>
      <c r="AT10" s="398"/>
      <c r="AU10" s="399"/>
      <c r="AV10" s="400">
        <f t="shared" si="10"/>
        <v>0</v>
      </c>
      <c r="AW10" s="401"/>
      <c r="AY10" s="395">
        <f t="shared" si="12"/>
        <v>229794</v>
      </c>
      <c r="AZ10" s="395">
        <f t="shared" si="13"/>
        <v>1303</v>
      </c>
      <c r="BA10" s="395">
        <f>AB10+AC10+gaz!X10+gaz!Y10</f>
        <v>350766</v>
      </c>
      <c r="BC10" s="397" t="s">
        <v>397</v>
      </c>
      <c r="BD10" s="398">
        <v>215619</v>
      </c>
      <c r="BE10" s="399">
        <v>6317</v>
      </c>
      <c r="BF10" s="400">
        <v>221936</v>
      </c>
      <c r="BG10" s="401">
        <v>1301</v>
      </c>
      <c r="BI10" s="395"/>
      <c r="BJ10" s="395"/>
    </row>
    <row r="11" spans="1:62">
      <c r="A11" s="397" t="s">
        <v>399</v>
      </c>
      <c r="B11" s="398">
        <v>305215</v>
      </c>
      <c r="C11" s="399">
        <v>7657</v>
      </c>
      <c r="D11" s="400">
        <f t="shared" si="0"/>
        <v>312872</v>
      </c>
      <c r="E11" s="401">
        <v>1552</v>
      </c>
      <c r="F11" s="398">
        <v>305881</v>
      </c>
      <c r="G11" s="399">
        <v>7698</v>
      </c>
      <c r="H11" s="400">
        <f t="shared" si="1"/>
        <v>313579</v>
      </c>
      <c r="I11" s="401">
        <v>1557</v>
      </c>
      <c r="J11" s="409">
        <v>306922</v>
      </c>
      <c r="K11" s="410">
        <v>7716</v>
      </c>
      <c r="L11" s="400">
        <f t="shared" si="2"/>
        <v>314638</v>
      </c>
      <c r="M11" s="408">
        <v>1558</v>
      </c>
      <c r="N11" s="398">
        <v>308602</v>
      </c>
      <c r="O11" s="399">
        <v>7729</v>
      </c>
      <c r="P11" s="400">
        <f t="shared" si="3"/>
        <v>316331</v>
      </c>
      <c r="Q11" s="401">
        <v>1559</v>
      </c>
      <c r="R11" s="398">
        <v>309165</v>
      </c>
      <c r="S11" s="399">
        <v>7748</v>
      </c>
      <c r="T11" s="400">
        <f t="shared" si="4"/>
        <v>316913</v>
      </c>
      <c r="U11" s="401">
        <v>1558</v>
      </c>
      <c r="V11" s="398">
        <v>309815</v>
      </c>
      <c r="W11" s="399">
        <v>7780</v>
      </c>
      <c r="X11" s="400">
        <f t="shared" si="5"/>
        <v>317595</v>
      </c>
      <c r="Y11" s="401">
        <v>1560</v>
      </c>
      <c r="Z11" s="398">
        <v>312023</v>
      </c>
      <c r="AA11" s="399">
        <v>7800</v>
      </c>
      <c r="AB11" s="400">
        <f t="shared" si="11"/>
        <v>319823</v>
      </c>
      <c r="AC11" s="401">
        <v>1563</v>
      </c>
      <c r="AD11" s="398">
        <v>313255</v>
      </c>
      <c r="AE11" s="399">
        <v>7806</v>
      </c>
      <c r="AF11" s="400">
        <f t="shared" si="6"/>
        <v>321061</v>
      </c>
      <c r="AG11" s="401">
        <v>1563</v>
      </c>
      <c r="AH11" s="398"/>
      <c r="AI11" s="399"/>
      <c r="AJ11" s="400">
        <f t="shared" si="7"/>
        <v>0</v>
      </c>
      <c r="AK11" s="401"/>
      <c r="AL11" s="398"/>
      <c r="AM11" s="399"/>
      <c r="AN11" s="400">
        <f t="shared" si="8"/>
        <v>0</v>
      </c>
      <c r="AO11" s="401"/>
      <c r="AP11" s="1246"/>
      <c r="AQ11" s="399"/>
      <c r="AR11" s="400">
        <f t="shared" si="9"/>
        <v>0</v>
      </c>
      <c r="AS11" s="401"/>
      <c r="AT11" s="398"/>
      <c r="AU11" s="399"/>
      <c r="AV11" s="400">
        <f t="shared" si="10"/>
        <v>0</v>
      </c>
      <c r="AW11" s="401"/>
      <c r="AY11" s="395">
        <f t="shared" si="12"/>
        <v>321061</v>
      </c>
      <c r="AZ11" s="395">
        <f t="shared" si="13"/>
        <v>1563</v>
      </c>
      <c r="BA11" s="395">
        <f>AB11+AC11+gaz!X11+gaz!Y11</f>
        <v>492550</v>
      </c>
      <c r="BC11" s="397" t="s">
        <v>399</v>
      </c>
      <c r="BD11" s="398">
        <v>304011</v>
      </c>
      <c r="BE11" s="399">
        <v>7654</v>
      </c>
      <c r="BF11" s="400">
        <v>311665</v>
      </c>
      <c r="BG11" s="401">
        <v>1550</v>
      </c>
      <c r="BI11" s="395"/>
      <c r="BJ11" s="395"/>
    </row>
    <row r="12" spans="1:62">
      <c r="A12" s="397" t="s">
        <v>883</v>
      </c>
      <c r="B12" s="398">
        <v>218268</v>
      </c>
      <c r="C12" s="399">
        <v>6975</v>
      </c>
      <c r="D12" s="400">
        <f t="shared" si="0"/>
        <v>225243</v>
      </c>
      <c r="E12" s="401">
        <v>1424</v>
      </c>
      <c r="F12" s="398">
        <v>218701</v>
      </c>
      <c r="G12" s="399">
        <v>6982</v>
      </c>
      <c r="H12" s="400">
        <f t="shared" si="1"/>
        <v>225683</v>
      </c>
      <c r="I12" s="401">
        <v>1425</v>
      </c>
      <c r="J12" s="409">
        <v>219181</v>
      </c>
      <c r="K12" s="413">
        <v>6979</v>
      </c>
      <c r="L12" s="400">
        <f t="shared" si="2"/>
        <v>226160</v>
      </c>
      <c r="M12" s="414">
        <v>1431</v>
      </c>
      <c r="N12" s="398">
        <v>220305</v>
      </c>
      <c r="O12" s="416">
        <v>6982</v>
      </c>
      <c r="P12" s="400">
        <f t="shared" si="3"/>
        <v>227287</v>
      </c>
      <c r="Q12" s="401">
        <v>1433</v>
      </c>
      <c r="R12" s="398">
        <v>220873</v>
      </c>
      <c r="S12" s="399">
        <v>6997</v>
      </c>
      <c r="T12" s="400">
        <f t="shared" si="4"/>
        <v>227870</v>
      </c>
      <c r="U12" s="401">
        <v>1437</v>
      </c>
      <c r="V12" s="398">
        <v>221553</v>
      </c>
      <c r="W12" s="399">
        <v>7013</v>
      </c>
      <c r="X12" s="400">
        <f t="shared" si="5"/>
        <v>228566</v>
      </c>
      <c r="Y12" s="401">
        <v>1452</v>
      </c>
      <c r="Z12" s="398">
        <v>222265</v>
      </c>
      <c r="AA12" s="399">
        <v>7036</v>
      </c>
      <c r="AB12" s="400">
        <f t="shared" si="11"/>
        <v>229301</v>
      </c>
      <c r="AC12" s="401">
        <v>1462</v>
      </c>
      <c r="AD12" s="398">
        <v>223163</v>
      </c>
      <c r="AE12" s="399">
        <v>7062</v>
      </c>
      <c r="AF12" s="400">
        <f t="shared" si="6"/>
        <v>230225</v>
      </c>
      <c r="AG12" s="401">
        <v>1463</v>
      </c>
      <c r="AH12" s="398"/>
      <c r="AI12" s="399"/>
      <c r="AJ12" s="400">
        <f t="shared" si="7"/>
        <v>0</v>
      </c>
      <c r="AK12" s="401"/>
      <c r="AL12" s="398"/>
      <c r="AM12" s="399"/>
      <c r="AN12" s="400">
        <f t="shared" si="8"/>
        <v>0</v>
      </c>
      <c r="AO12" s="401"/>
      <c r="AP12" s="1246"/>
      <c r="AQ12" s="399"/>
      <c r="AR12" s="400">
        <f t="shared" si="9"/>
        <v>0</v>
      </c>
      <c r="AS12" s="401"/>
      <c r="AT12" s="398"/>
      <c r="AU12" s="399"/>
      <c r="AV12" s="400">
        <f t="shared" si="10"/>
        <v>0</v>
      </c>
      <c r="AW12" s="401"/>
      <c r="AY12" s="395">
        <f t="shared" si="12"/>
        <v>230225</v>
      </c>
      <c r="AZ12" s="395">
        <f t="shared" si="13"/>
        <v>1463</v>
      </c>
      <c r="BA12" s="395">
        <f>AB12+AC12+gaz!X12+gaz!Y12</f>
        <v>351499</v>
      </c>
      <c r="BC12" s="397" t="s">
        <v>883</v>
      </c>
      <c r="BD12" s="398">
        <v>217564</v>
      </c>
      <c r="BE12" s="399">
        <v>6968</v>
      </c>
      <c r="BF12" s="400">
        <v>224532</v>
      </c>
      <c r="BG12" s="401">
        <v>1417</v>
      </c>
      <c r="BI12" s="395"/>
      <c r="BJ12" s="395"/>
    </row>
    <row r="13" spans="1:62">
      <c r="A13" s="397" t="s">
        <v>884</v>
      </c>
      <c r="B13" s="398">
        <v>289457</v>
      </c>
      <c r="C13" s="399">
        <v>8115</v>
      </c>
      <c r="D13" s="400">
        <f t="shared" si="0"/>
        <v>297572</v>
      </c>
      <c r="E13" s="401">
        <v>1646</v>
      </c>
      <c r="F13" s="398">
        <v>290311</v>
      </c>
      <c r="G13" s="399">
        <v>8127</v>
      </c>
      <c r="H13" s="400">
        <f t="shared" si="1"/>
        <v>298438</v>
      </c>
      <c r="I13" s="401">
        <v>1654</v>
      </c>
      <c r="J13" s="398">
        <v>292222</v>
      </c>
      <c r="K13" s="399">
        <v>8147</v>
      </c>
      <c r="L13" s="400">
        <f t="shared" si="2"/>
        <v>300369</v>
      </c>
      <c r="M13" s="408">
        <v>1660</v>
      </c>
      <c r="N13" s="398">
        <v>293753</v>
      </c>
      <c r="O13" s="399">
        <v>8290</v>
      </c>
      <c r="P13" s="400">
        <f t="shared" si="3"/>
        <v>302043</v>
      </c>
      <c r="Q13" s="401">
        <v>1667</v>
      </c>
      <c r="R13" s="398">
        <v>295281</v>
      </c>
      <c r="S13" s="399">
        <v>8291</v>
      </c>
      <c r="T13" s="400">
        <f t="shared" si="4"/>
        <v>303572</v>
      </c>
      <c r="U13" s="401">
        <v>1669</v>
      </c>
      <c r="V13" s="398">
        <v>296138</v>
      </c>
      <c r="W13" s="399">
        <v>8316</v>
      </c>
      <c r="X13" s="400">
        <f t="shared" si="5"/>
        <v>304454</v>
      </c>
      <c r="Y13" s="401">
        <v>1673</v>
      </c>
      <c r="Z13" s="398">
        <v>296769</v>
      </c>
      <c r="AA13" s="399">
        <v>8357</v>
      </c>
      <c r="AB13" s="400">
        <f t="shared" si="11"/>
        <v>305126</v>
      </c>
      <c r="AC13" s="401">
        <v>1677</v>
      </c>
      <c r="AD13" s="398">
        <v>297484</v>
      </c>
      <c r="AE13" s="399">
        <v>8382</v>
      </c>
      <c r="AF13" s="400">
        <f t="shared" si="6"/>
        <v>305866</v>
      </c>
      <c r="AG13" s="401">
        <v>1686</v>
      </c>
      <c r="AH13" s="398"/>
      <c r="AI13" s="399"/>
      <c r="AJ13" s="400">
        <f t="shared" si="7"/>
        <v>0</v>
      </c>
      <c r="AK13" s="401"/>
      <c r="AL13" s="398"/>
      <c r="AM13" s="399"/>
      <c r="AN13" s="400">
        <f t="shared" si="8"/>
        <v>0</v>
      </c>
      <c r="AO13" s="401"/>
      <c r="AP13" s="1246"/>
      <c r="AQ13" s="399"/>
      <c r="AR13" s="400">
        <f t="shared" si="9"/>
        <v>0</v>
      </c>
      <c r="AS13" s="401"/>
      <c r="AT13" s="398"/>
      <c r="AU13" s="399"/>
      <c r="AV13" s="400">
        <f t="shared" si="10"/>
        <v>0</v>
      </c>
      <c r="AW13" s="401"/>
      <c r="AY13" s="395">
        <f t="shared" si="12"/>
        <v>305866</v>
      </c>
      <c r="AZ13" s="395">
        <f t="shared" si="13"/>
        <v>1686</v>
      </c>
      <c r="BA13" s="395">
        <f>AB13+AC13+gaz!X13+gaz!Y13</f>
        <v>459499</v>
      </c>
      <c r="BC13" s="397" t="s">
        <v>884</v>
      </c>
      <c r="BD13" s="398">
        <v>288780</v>
      </c>
      <c r="BE13" s="399">
        <v>8114</v>
      </c>
      <c r="BF13" s="400">
        <v>296894</v>
      </c>
      <c r="BG13" s="401">
        <v>1645</v>
      </c>
      <c r="BI13" s="395"/>
      <c r="BJ13" s="395"/>
    </row>
    <row r="14" spans="1:62" ht="14.4" thickBot="1">
      <c r="A14" s="397" t="s">
        <v>885</v>
      </c>
      <c r="B14" s="398">
        <v>81968</v>
      </c>
      <c r="C14" s="399">
        <v>3214</v>
      </c>
      <c r="D14" s="400">
        <f t="shared" si="0"/>
        <v>85182</v>
      </c>
      <c r="E14" s="401">
        <v>262</v>
      </c>
      <c r="F14" s="398">
        <v>82441</v>
      </c>
      <c r="G14" s="399">
        <v>3229</v>
      </c>
      <c r="H14" s="400">
        <f t="shared" si="1"/>
        <v>85670</v>
      </c>
      <c r="I14" s="401">
        <v>264</v>
      </c>
      <c r="J14" s="409">
        <v>83419</v>
      </c>
      <c r="K14" s="410">
        <v>3303</v>
      </c>
      <c r="L14" s="400">
        <f t="shared" si="2"/>
        <v>86722</v>
      </c>
      <c r="M14" s="408">
        <v>263</v>
      </c>
      <c r="N14" s="416">
        <v>83837</v>
      </c>
      <c r="O14" s="416">
        <v>3284</v>
      </c>
      <c r="P14" s="400">
        <f t="shared" si="3"/>
        <v>87121</v>
      </c>
      <c r="Q14" s="401">
        <v>265</v>
      </c>
      <c r="R14" s="398">
        <v>84602</v>
      </c>
      <c r="S14" s="399">
        <v>3293</v>
      </c>
      <c r="T14" s="400">
        <f t="shared" si="4"/>
        <v>87895</v>
      </c>
      <c r="U14" s="401">
        <v>267</v>
      </c>
      <c r="V14" s="398">
        <v>85230</v>
      </c>
      <c r="W14" s="399">
        <v>3325</v>
      </c>
      <c r="X14" s="400">
        <f t="shared" si="5"/>
        <v>88555</v>
      </c>
      <c r="Y14" s="401">
        <v>266</v>
      </c>
      <c r="Z14" s="416">
        <v>85280</v>
      </c>
      <c r="AA14" s="416">
        <v>3328</v>
      </c>
      <c r="AB14" s="400">
        <f t="shared" si="11"/>
        <v>88608</v>
      </c>
      <c r="AC14" s="416">
        <v>266</v>
      </c>
      <c r="AD14" s="398">
        <v>85360</v>
      </c>
      <c r="AE14" s="399">
        <v>3340</v>
      </c>
      <c r="AF14" s="400">
        <f t="shared" si="6"/>
        <v>88700</v>
      </c>
      <c r="AG14" s="401">
        <v>266</v>
      </c>
      <c r="AH14" s="398"/>
      <c r="AI14" s="399"/>
      <c r="AJ14" s="400">
        <f t="shared" si="7"/>
        <v>0</v>
      </c>
      <c r="AK14" s="401"/>
      <c r="AL14" s="398"/>
      <c r="AM14" s="399"/>
      <c r="AN14" s="400">
        <f t="shared" si="8"/>
        <v>0</v>
      </c>
      <c r="AO14" s="401"/>
      <c r="AP14" s="1246"/>
      <c r="AQ14" s="399"/>
      <c r="AR14" s="400">
        <f t="shared" si="9"/>
        <v>0</v>
      </c>
      <c r="AS14" s="401"/>
      <c r="AT14" s="398"/>
      <c r="AU14" s="399"/>
      <c r="AV14" s="400">
        <f t="shared" si="10"/>
        <v>0</v>
      </c>
      <c r="AW14" s="401"/>
      <c r="AY14" s="395">
        <f t="shared" si="12"/>
        <v>88700</v>
      </c>
      <c r="AZ14" s="395">
        <f t="shared" si="13"/>
        <v>266</v>
      </c>
      <c r="BA14" s="395">
        <f>AB14+AC14+gaz!X14+gaz!Y14</f>
        <v>152784</v>
      </c>
      <c r="BC14" s="397" t="s">
        <v>885</v>
      </c>
      <c r="BD14" s="398">
        <v>81975</v>
      </c>
      <c r="BE14" s="399">
        <v>3209</v>
      </c>
      <c r="BF14" s="400">
        <v>85184</v>
      </c>
      <c r="BG14" s="401">
        <v>262</v>
      </c>
      <c r="BI14" s="395"/>
      <c r="BJ14" s="395"/>
    </row>
    <row r="15" spans="1:62" ht="14.4" thickBot="1">
      <c r="A15" s="418" t="s">
        <v>16</v>
      </c>
      <c r="B15" s="417">
        <f t="shared" ref="B15:AW15" si="14">SUM(B5:B14)</f>
        <v>2578575</v>
      </c>
      <c r="C15" s="417">
        <f t="shared" si="14"/>
        <v>77934</v>
      </c>
      <c r="D15" s="417">
        <f t="shared" si="14"/>
        <v>2656509</v>
      </c>
      <c r="E15" s="417">
        <f t="shared" si="14"/>
        <v>14684</v>
      </c>
      <c r="F15" s="417">
        <f t="shared" si="14"/>
        <v>2588599</v>
      </c>
      <c r="G15" s="417">
        <f t="shared" si="14"/>
        <v>78122</v>
      </c>
      <c r="H15" s="417">
        <f t="shared" si="14"/>
        <v>2666721</v>
      </c>
      <c r="I15" s="417">
        <f t="shared" si="14"/>
        <v>14740</v>
      </c>
      <c r="J15" s="417">
        <f t="shared" si="14"/>
        <v>2600358</v>
      </c>
      <c r="K15" s="417">
        <f t="shared" si="14"/>
        <v>78351</v>
      </c>
      <c r="L15" s="417">
        <f t="shared" si="14"/>
        <v>2678709</v>
      </c>
      <c r="M15" s="417">
        <f t="shared" si="14"/>
        <v>14797</v>
      </c>
      <c r="N15" s="417">
        <f t="shared" si="14"/>
        <v>2610320</v>
      </c>
      <c r="O15" s="417">
        <f t="shared" si="14"/>
        <v>78645</v>
      </c>
      <c r="P15" s="417">
        <f t="shared" si="14"/>
        <v>2688965</v>
      </c>
      <c r="Q15" s="417">
        <f t="shared" si="14"/>
        <v>14844</v>
      </c>
      <c r="R15" s="417">
        <f t="shared" si="14"/>
        <v>2618880</v>
      </c>
      <c r="S15" s="417">
        <f t="shared" si="14"/>
        <v>78774</v>
      </c>
      <c r="T15" s="417">
        <f t="shared" si="14"/>
        <v>2697654</v>
      </c>
      <c r="U15" s="417">
        <f t="shared" si="14"/>
        <v>14873</v>
      </c>
      <c r="V15" s="417">
        <f t="shared" si="14"/>
        <v>2627742</v>
      </c>
      <c r="W15" s="417">
        <f t="shared" si="14"/>
        <v>79008</v>
      </c>
      <c r="X15" s="417">
        <f t="shared" si="14"/>
        <v>2706750</v>
      </c>
      <c r="Y15" s="417">
        <f t="shared" si="14"/>
        <v>14920</v>
      </c>
      <c r="Z15" s="417">
        <f t="shared" si="14"/>
        <v>2636157</v>
      </c>
      <c r="AA15" s="417">
        <f t="shared" si="14"/>
        <v>79222</v>
      </c>
      <c r="AB15" s="417">
        <f t="shared" si="14"/>
        <v>2715379</v>
      </c>
      <c r="AC15" s="417">
        <f t="shared" si="14"/>
        <v>14981</v>
      </c>
      <c r="AD15" s="417">
        <f t="shared" si="14"/>
        <v>2644453</v>
      </c>
      <c r="AE15" s="417">
        <f t="shared" si="14"/>
        <v>79426</v>
      </c>
      <c r="AF15" s="417">
        <f t="shared" si="14"/>
        <v>2723879</v>
      </c>
      <c r="AG15" s="417">
        <f t="shared" si="14"/>
        <v>15032</v>
      </c>
      <c r="AH15" s="417">
        <f t="shared" si="14"/>
        <v>0</v>
      </c>
      <c r="AI15" s="417">
        <f t="shared" si="14"/>
        <v>0</v>
      </c>
      <c r="AJ15" s="417">
        <f t="shared" si="14"/>
        <v>0</v>
      </c>
      <c r="AK15" s="417">
        <f t="shared" si="14"/>
        <v>0</v>
      </c>
      <c r="AL15" s="417">
        <f t="shared" si="14"/>
        <v>0</v>
      </c>
      <c r="AM15" s="417">
        <f t="shared" si="14"/>
        <v>0</v>
      </c>
      <c r="AN15" s="417">
        <f t="shared" si="14"/>
        <v>0</v>
      </c>
      <c r="AO15" s="417">
        <f t="shared" si="14"/>
        <v>0</v>
      </c>
      <c r="AP15" s="803">
        <f t="shared" si="14"/>
        <v>0</v>
      </c>
      <c r="AQ15" s="417">
        <f t="shared" si="14"/>
        <v>0</v>
      </c>
      <c r="AR15" s="417">
        <f t="shared" si="14"/>
        <v>0</v>
      </c>
      <c r="AS15" s="417">
        <f t="shared" si="14"/>
        <v>0</v>
      </c>
      <c r="AT15" s="417">
        <f t="shared" si="14"/>
        <v>0</v>
      </c>
      <c r="AU15" s="419">
        <f t="shared" si="14"/>
        <v>0</v>
      </c>
      <c r="AV15" s="419">
        <f t="shared" si="14"/>
        <v>0</v>
      </c>
      <c r="AW15" s="420">
        <f t="shared" si="14"/>
        <v>0</v>
      </c>
      <c r="AY15" s="395">
        <f t="shared" si="12"/>
        <v>2723879</v>
      </c>
      <c r="AZ15" s="395">
        <f t="shared" si="13"/>
        <v>15032</v>
      </c>
      <c r="BA15" s="395">
        <f>AB15+AC15+gaz!X15+gaz!Y15</f>
        <v>4399820</v>
      </c>
      <c r="BB15" s="395"/>
      <c r="BD15" s="398">
        <f>SUM(BD5:BD14)</f>
        <v>2571264</v>
      </c>
      <c r="BE15" s="399">
        <f>SUM(BE5:BE14)</f>
        <v>77846</v>
      </c>
      <c r="BF15" s="400">
        <f>SUM(BF5:BF14)</f>
        <v>2649110</v>
      </c>
      <c r="BG15" s="401">
        <f>SUM(BG5:BG14)</f>
        <v>14666</v>
      </c>
      <c r="BI15" s="395"/>
      <c r="BJ15" s="395"/>
    </row>
    <row r="16" spans="1:62">
      <c r="A16" s="487"/>
      <c r="B16" s="487"/>
      <c r="C16" s="487"/>
      <c r="D16" s="487"/>
      <c r="E16" s="487"/>
      <c r="F16" s="487"/>
      <c r="G16" s="487"/>
      <c r="H16" s="487"/>
      <c r="I16" s="487"/>
      <c r="J16" s="487"/>
      <c r="K16" s="487"/>
      <c r="L16" s="487"/>
      <c r="M16" s="487"/>
      <c r="N16" s="487"/>
      <c r="O16" s="487"/>
      <c r="P16" s="487"/>
      <c r="Q16" s="487"/>
      <c r="AC16" s="624"/>
      <c r="AT16" s="395"/>
      <c r="AU16" s="395"/>
      <c r="AV16" s="395"/>
      <c r="AW16" s="395"/>
      <c r="AY16" s="395"/>
      <c r="AZ16" s="395"/>
    </row>
    <row r="17" spans="1:155" ht="18.600000000000001" thickBot="1">
      <c r="A17" s="489">
        <v>2024</v>
      </c>
      <c r="B17" s="487"/>
      <c r="C17" s="487"/>
      <c r="D17" s="487"/>
      <c r="E17" s="487"/>
      <c r="F17" s="487"/>
      <c r="G17" s="487"/>
      <c r="H17" s="487"/>
      <c r="I17" s="487"/>
      <c r="J17" s="487"/>
      <c r="K17" s="487"/>
      <c r="L17" s="487"/>
      <c r="M17" s="487"/>
      <c r="N17" s="623"/>
      <c r="O17" s="487"/>
      <c r="P17" s="487"/>
      <c r="Q17" s="487"/>
      <c r="AD17" s="395"/>
      <c r="AE17" s="395"/>
      <c r="AF17" s="395"/>
      <c r="AG17" s="395"/>
      <c r="AH17" s="395"/>
      <c r="AI17" s="395"/>
      <c r="AJ17" s="395"/>
      <c r="AK17" s="395"/>
      <c r="AL17" s="395"/>
      <c r="AM17" s="395"/>
      <c r="AN17" s="395"/>
      <c r="AO17" s="395"/>
      <c r="AP17" s="395"/>
      <c r="AQ17" s="395"/>
      <c r="AR17" s="395"/>
      <c r="AS17" s="395"/>
      <c r="AT17" s="395"/>
      <c r="AU17" s="395"/>
      <c r="AV17" s="395"/>
      <c r="AW17" s="395"/>
      <c r="BD17" s="396">
        <v>45261</v>
      </c>
      <c r="BI17" s="395"/>
      <c r="BJ17" s="395"/>
    </row>
    <row r="18" spans="1:155">
      <c r="A18" s="2834" t="s">
        <v>308</v>
      </c>
      <c r="B18" s="2827" t="s">
        <v>71</v>
      </c>
      <c r="C18" s="2828"/>
      <c r="D18" s="2828"/>
      <c r="E18" s="3091"/>
      <c r="F18" s="2829" t="s">
        <v>72</v>
      </c>
      <c r="G18" s="2830"/>
      <c r="H18" s="2830"/>
      <c r="I18" s="3095"/>
      <c r="J18" s="2817" t="s">
        <v>73</v>
      </c>
      <c r="K18" s="2818"/>
      <c r="L18" s="2818"/>
      <c r="M18" s="3094"/>
      <c r="N18" s="2819" t="s">
        <v>74</v>
      </c>
      <c r="O18" s="2820"/>
      <c r="P18" s="2820"/>
      <c r="Q18" s="3090"/>
      <c r="R18" s="2821" t="s">
        <v>75</v>
      </c>
      <c r="S18" s="2822"/>
      <c r="T18" s="2822"/>
      <c r="U18" s="3093"/>
      <c r="V18" s="2823" t="s">
        <v>76</v>
      </c>
      <c r="W18" s="2824"/>
      <c r="X18" s="2824"/>
      <c r="Y18" s="3089"/>
      <c r="Z18" s="2827" t="s">
        <v>77</v>
      </c>
      <c r="AA18" s="2828"/>
      <c r="AB18" s="2828"/>
      <c r="AC18" s="3091"/>
      <c r="AD18" s="2829" t="s">
        <v>78</v>
      </c>
      <c r="AE18" s="2830"/>
      <c r="AF18" s="2830"/>
      <c r="AG18" s="3095"/>
      <c r="AH18" s="2817" t="s">
        <v>79</v>
      </c>
      <c r="AI18" s="2818"/>
      <c r="AJ18" s="2818"/>
      <c r="AK18" s="3094"/>
      <c r="AL18" s="2819" t="s">
        <v>80</v>
      </c>
      <c r="AM18" s="2820"/>
      <c r="AN18" s="2820"/>
      <c r="AO18" s="3090"/>
      <c r="AP18" s="2821" t="s">
        <v>81</v>
      </c>
      <c r="AQ18" s="2822"/>
      <c r="AR18" s="2822"/>
      <c r="AS18" s="3093"/>
      <c r="AT18" s="2832" t="s">
        <v>82</v>
      </c>
      <c r="AU18" s="2833"/>
      <c r="AV18" s="2833"/>
      <c r="AW18" s="3092"/>
      <c r="BD18" s="625" t="s">
        <v>82</v>
      </c>
      <c r="BE18" s="626"/>
      <c r="BF18" s="626"/>
      <c r="BG18" s="627"/>
    </row>
    <row r="19" spans="1:155">
      <c r="A19" s="2835"/>
      <c r="B19" s="402" t="s">
        <v>17</v>
      </c>
      <c r="C19" s="403" t="s">
        <v>18</v>
      </c>
      <c r="D19" s="403" t="s">
        <v>52</v>
      </c>
      <c r="E19" s="404" t="s">
        <v>19</v>
      </c>
      <c r="F19" s="402" t="s">
        <v>17</v>
      </c>
      <c r="G19" s="403" t="s">
        <v>18</v>
      </c>
      <c r="H19" s="403" t="s">
        <v>52</v>
      </c>
      <c r="I19" s="404" t="s">
        <v>19</v>
      </c>
      <c r="J19" s="402" t="s">
        <v>17</v>
      </c>
      <c r="K19" s="403" t="s">
        <v>18</v>
      </c>
      <c r="L19" s="403" t="s">
        <v>52</v>
      </c>
      <c r="M19" s="404" t="s">
        <v>19</v>
      </c>
      <c r="N19" s="402" t="s">
        <v>17</v>
      </c>
      <c r="O19" s="403" t="s">
        <v>18</v>
      </c>
      <c r="P19" s="403" t="s">
        <v>52</v>
      </c>
      <c r="Q19" s="404" t="s">
        <v>19</v>
      </c>
      <c r="R19" s="402" t="s">
        <v>17</v>
      </c>
      <c r="S19" s="403" t="s">
        <v>18</v>
      </c>
      <c r="T19" s="403" t="s">
        <v>52</v>
      </c>
      <c r="U19" s="404" t="s">
        <v>19</v>
      </c>
      <c r="V19" s="402" t="s">
        <v>17</v>
      </c>
      <c r="W19" s="403" t="s">
        <v>18</v>
      </c>
      <c r="X19" s="403" t="s">
        <v>52</v>
      </c>
      <c r="Y19" s="404" t="s">
        <v>19</v>
      </c>
      <c r="Z19" s="402" t="s">
        <v>17</v>
      </c>
      <c r="AA19" s="403" t="s">
        <v>18</v>
      </c>
      <c r="AB19" s="403" t="s">
        <v>52</v>
      </c>
      <c r="AC19" s="404" t="s">
        <v>19</v>
      </c>
      <c r="AD19" s="402" t="s">
        <v>17</v>
      </c>
      <c r="AE19" s="403" t="s">
        <v>18</v>
      </c>
      <c r="AF19" s="403" t="s">
        <v>52</v>
      </c>
      <c r="AG19" s="404" t="s">
        <v>19</v>
      </c>
      <c r="AH19" s="402" t="s">
        <v>17</v>
      </c>
      <c r="AI19" s="403" t="s">
        <v>18</v>
      </c>
      <c r="AJ19" s="403" t="s">
        <v>52</v>
      </c>
      <c r="AK19" s="404" t="s">
        <v>19</v>
      </c>
      <c r="AL19" s="402" t="s">
        <v>17</v>
      </c>
      <c r="AM19" s="403" t="s">
        <v>18</v>
      </c>
      <c r="AN19" s="403" t="s">
        <v>52</v>
      </c>
      <c r="AO19" s="404" t="s">
        <v>19</v>
      </c>
      <c r="AP19" s="1107" t="s">
        <v>17</v>
      </c>
      <c r="AQ19" s="403" t="s">
        <v>18</v>
      </c>
      <c r="AR19" s="403" t="s">
        <v>52</v>
      </c>
      <c r="AS19" s="404" t="s">
        <v>19</v>
      </c>
      <c r="AT19" s="402" t="s">
        <v>17</v>
      </c>
      <c r="AU19" s="403" t="s">
        <v>18</v>
      </c>
      <c r="AV19" s="403" t="s">
        <v>52</v>
      </c>
      <c r="AW19" s="404" t="s">
        <v>19</v>
      </c>
      <c r="AY19" s="117" t="s">
        <v>265</v>
      </c>
      <c r="AZ19" s="117" t="s">
        <v>266</v>
      </c>
      <c r="BD19" s="628" t="s">
        <v>17</v>
      </c>
      <c r="BE19" s="629" t="s">
        <v>18</v>
      </c>
      <c r="BF19" s="629" t="s">
        <v>52</v>
      </c>
      <c r="BG19" s="630" t="s">
        <v>19</v>
      </c>
      <c r="BI19" s="395"/>
      <c r="BJ19" s="395"/>
    </row>
    <row r="20" spans="1:155" ht="12.75" customHeight="1">
      <c r="A20" s="397" t="s">
        <v>6</v>
      </c>
      <c r="B20" s="398">
        <f>'Feuil-saisie'!B406</f>
        <v>372198</v>
      </c>
      <c r="C20" s="399">
        <f>'Feuil-saisie'!C406</f>
        <v>9777</v>
      </c>
      <c r="D20" s="400">
        <f t="shared" ref="D20:D29" si="15">C20+B20</f>
        <v>381975</v>
      </c>
      <c r="E20" s="401">
        <f>'Feuil-saisie'!E406</f>
        <v>2947</v>
      </c>
      <c r="F20" s="398">
        <f>'Feuil-saisie'!L406</f>
        <v>375166</v>
      </c>
      <c r="G20" s="399">
        <f>'Feuil-saisie'!M406</f>
        <v>9932</v>
      </c>
      <c r="H20" s="400">
        <f t="shared" ref="H20:H29" si="16">G20+F20</f>
        <v>385098</v>
      </c>
      <c r="I20" s="401">
        <f>'Feuil-saisie'!O406</f>
        <v>2960</v>
      </c>
      <c r="J20" s="398">
        <f>'Feuil-saisie'!V406</f>
        <v>376224</v>
      </c>
      <c r="K20" s="399">
        <f>'Feuil-saisie'!W406</f>
        <v>9978</v>
      </c>
      <c r="L20" s="400">
        <f>J20+K20</f>
        <v>386202</v>
      </c>
      <c r="M20" s="401">
        <f>'Feuil-saisie'!Y406</f>
        <v>2972</v>
      </c>
      <c r="N20" s="398">
        <f>'Feuil-saisie'!AF406</f>
        <v>377679</v>
      </c>
      <c r="O20" s="399">
        <f>'Feuil-saisie'!AG406</f>
        <v>10019</v>
      </c>
      <c r="P20" s="400">
        <f>O20+N20</f>
        <v>387698</v>
      </c>
      <c r="Q20" s="407">
        <f>'Feuil-saisie'!AI406</f>
        <v>2988</v>
      </c>
      <c r="R20" s="398">
        <f>'Feuil-saisie'!AP406</f>
        <v>378760</v>
      </c>
      <c r="S20" s="399">
        <f>'Feuil-saisie'!AQ406</f>
        <v>10169</v>
      </c>
      <c r="T20" s="400">
        <f>S20+R20</f>
        <v>388929</v>
      </c>
      <c r="U20" s="401">
        <f>'Feuil-saisie'!AS406</f>
        <v>2993</v>
      </c>
      <c r="V20" s="398">
        <f>'Feuil-saisie'!AZ406</f>
        <v>379839</v>
      </c>
      <c r="W20" s="399">
        <f>'Feuil-saisie'!BA406</f>
        <v>10245</v>
      </c>
      <c r="X20" s="400">
        <f>W20+V20</f>
        <v>390084</v>
      </c>
      <c r="Y20" s="401">
        <f>'Feuil-saisie'!BC406</f>
        <v>2997</v>
      </c>
      <c r="Z20" s="398">
        <f>'Feuil-saisie'!BJ406</f>
        <v>380986</v>
      </c>
      <c r="AA20" s="399">
        <f>'Feuil-saisie'!BK406</f>
        <v>10251</v>
      </c>
      <c r="AB20" s="400">
        <f>Z20+AA20</f>
        <v>391237</v>
      </c>
      <c r="AC20" s="401">
        <f>'Feuil-saisie'!BM406</f>
        <v>3001</v>
      </c>
      <c r="AD20" s="398">
        <f>'Feuil-saisie'!BT406</f>
        <v>382407</v>
      </c>
      <c r="AE20" s="399">
        <f>'Feuil-saisie'!BU406</f>
        <v>10271</v>
      </c>
      <c r="AF20" s="400">
        <f>AD20+AE20</f>
        <v>392678</v>
      </c>
      <c r="AG20" s="401">
        <f>'Feuil-saisie'!BW406</f>
        <v>3006</v>
      </c>
      <c r="AH20" s="398">
        <f>'Feuil-saisie'!CD406</f>
        <v>0</v>
      </c>
      <c r="AI20" s="399">
        <f>'Feuil-saisie'!CE406</f>
        <v>0</v>
      </c>
      <c r="AJ20" s="400">
        <f>SUM(AH20:AI20)</f>
        <v>0</v>
      </c>
      <c r="AK20" s="401">
        <f>'Feuil-saisie'!CG406</f>
        <v>0</v>
      </c>
      <c r="AL20" s="398">
        <f>'Feuil-saisie'!CN406</f>
        <v>0</v>
      </c>
      <c r="AM20" s="398">
        <f>'Feuil-saisie'!CO406</f>
        <v>0</v>
      </c>
      <c r="AN20" s="400">
        <f>AM20+AL20</f>
        <v>0</v>
      </c>
      <c r="AO20" s="401">
        <f>'Feuil-saisie'!CQ406</f>
        <v>0</v>
      </c>
      <c r="AP20" s="1116">
        <f>'Feuil-saisie'!CX406</f>
        <v>0</v>
      </c>
      <c r="AQ20" s="399">
        <f>'Feuil-saisie'!CY406</f>
        <v>0</v>
      </c>
      <c r="AR20" s="400">
        <f>AQ20+AP20</f>
        <v>0</v>
      </c>
      <c r="AS20" s="401">
        <f>'Feuil-saisie'!DA406</f>
        <v>0</v>
      </c>
      <c r="AT20" s="398">
        <f>'Feuil-saisie'!DH406</f>
        <v>0</v>
      </c>
      <c r="AU20" s="399">
        <f>'Feuil-saisie'!DI406</f>
        <v>0</v>
      </c>
      <c r="AV20" s="400">
        <f>AU20+AT20</f>
        <v>0</v>
      </c>
      <c r="AW20" s="401">
        <f>'Feuil-saisie'!DK406</f>
        <v>0</v>
      </c>
      <c r="AY20" s="395">
        <f>AF20</f>
        <v>392678</v>
      </c>
      <c r="AZ20" s="395">
        <f>AG20</f>
        <v>3006</v>
      </c>
      <c r="BA20" s="395">
        <f>AB20+AC20+gaz!X20+gaz!Y20</f>
        <v>643691</v>
      </c>
      <c r="BC20" s="397" t="s">
        <v>6</v>
      </c>
      <c r="BD20" s="398">
        <v>370354</v>
      </c>
      <c r="BE20" s="399">
        <v>9733</v>
      </c>
      <c r="BF20" s="400">
        <v>380087</v>
      </c>
      <c r="BG20" s="401">
        <v>2944</v>
      </c>
    </row>
    <row r="21" spans="1:155" s="412" customFormat="1" ht="12.75" customHeight="1">
      <c r="A21" s="397" t="s">
        <v>7</v>
      </c>
      <c r="B21" s="398">
        <f>'Feuil-saisie'!B407</f>
        <v>229614</v>
      </c>
      <c r="C21" s="399">
        <f>'Feuil-saisie'!C407</f>
        <v>7695</v>
      </c>
      <c r="D21" s="400">
        <f t="shared" si="15"/>
        <v>237309</v>
      </c>
      <c r="E21" s="401">
        <f>'Feuil-saisie'!E407</f>
        <v>1383</v>
      </c>
      <c r="F21" s="398">
        <f>'Feuil-saisie'!L407</f>
        <v>230948</v>
      </c>
      <c r="G21" s="399">
        <f>'Feuil-saisie'!M407</f>
        <v>7721</v>
      </c>
      <c r="H21" s="400">
        <f t="shared" si="16"/>
        <v>238669</v>
      </c>
      <c r="I21" s="401">
        <f>'Feuil-saisie'!O407</f>
        <v>1386</v>
      </c>
      <c r="J21" s="398">
        <f>'Feuil-saisie'!V407</f>
        <v>231931</v>
      </c>
      <c r="K21" s="399">
        <f>'Feuil-saisie'!W407</f>
        <v>7731</v>
      </c>
      <c r="L21" s="400">
        <f t="shared" ref="L21:L29" si="17">J21+K21</f>
        <v>239662</v>
      </c>
      <c r="M21" s="401">
        <f>'Feuil-saisie'!Y407</f>
        <v>1398</v>
      </c>
      <c r="N21" s="398">
        <f>'Feuil-saisie'!AF407</f>
        <v>232719</v>
      </c>
      <c r="O21" s="399">
        <f>'Feuil-saisie'!AG407</f>
        <v>7756</v>
      </c>
      <c r="P21" s="400">
        <f t="shared" ref="P21:P29" si="18">O21+N21</f>
        <v>240475</v>
      </c>
      <c r="Q21" s="407">
        <f>'Feuil-saisie'!AI407</f>
        <v>1407</v>
      </c>
      <c r="R21" s="398">
        <f>'Feuil-saisie'!AP407</f>
        <v>233533</v>
      </c>
      <c r="S21" s="399">
        <f>'Feuil-saisie'!AQ407</f>
        <v>7771</v>
      </c>
      <c r="T21" s="400">
        <f>S21+R21</f>
        <v>241304</v>
      </c>
      <c r="U21" s="401">
        <f>'Feuil-saisie'!AS407</f>
        <v>1414</v>
      </c>
      <c r="V21" s="398">
        <f>'Feuil-saisie'!AZ407</f>
        <v>234611</v>
      </c>
      <c r="W21" s="399">
        <f>'Feuil-saisie'!BA407</f>
        <v>7787</v>
      </c>
      <c r="X21" s="400">
        <f t="shared" ref="X21:X29" si="19">W21+V21</f>
        <v>242398</v>
      </c>
      <c r="Y21" s="401">
        <f>'Feuil-saisie'!BC407</f>
        <v>1426</v>
      </c>
      <c r="Z21" s="398">
        <f>'Feuil-saisie'!BJ407</f>
        <v>235360</v>
      </c>
      <c r="AA21" s="399">
        <f>'Feuil-saisie'!BK407</f>
        <v>7851</v>
      </c>
      <c r="AB21" s="400">
        <f t="shared" ref="AB21:AB29" si="20">Z21+AA21</f>
        <v>243211</v>
      </c>
      <c r="AC21" s="401">
        <f>'Feuil-saisie'!BM407</f>
        <v>1432</v>
      </c>
      <c r="AD21" s="398">
        <f>'Feuil-saisie'!BT407</f>
        <v>236483</v>
      </c>
      <c r="AE21" s="399">
        <f>'Feuil-saisie'!BU407</f>
        <v>7886</v>
      </c>
      <c r="AF21" s="400">
        <f t="shared" ref="AF21:AF29" si="21">AD21+AE21</f>
        <v>244369</v>
      </c>
      <c r="AG21" s="401">
        <f>'Feuil-saisie'!BW407</f>
        <v>1440</v>
      </c>
      <c r="AH21" s="398">
        <f>'Feuil-saisie'!CD407</f>
        <v>0</v>
      </c>
      <c r="AI21" s="399">
        <f>'Feuil-saisie'!CE407</f>
        <v>0</v>
      </c>
      <c r="AJ21" s="400">
        <f t="shared" ref="AJ21:AJ29" si="22">SUM(AH21:AI21)</f>
        <v>0</v>
      </c>
      <c r="AK21" s="401">
        <f>'Feuil-saisie'!CG407</f>
        <v>0</v>
      </c>
      <c r="AL21" s="398">
        <f>'Feuil-saisie'!CN407</f>
        <v>0</v>
      </c>
      <c r="AM21" s="398">
        <f>'Feuil-saisie'!CO407</f>
        <v>0</v>
      </c>
      <c r="AN21" s="400">
        <f t="shared" ref="AN21:AN29" si="23">AM21+AL21</f>
        <v>0</v>
      </c>
      <c r="AO21" s="401">
        <f>'Feuil-saisie'!CQ407</f>
        <v>0</v>
      </c>
      <c r="AP21" s="1116">
        <f>'Feuil-saisie'!CX407</f>
        <v>0</v>
      </c>
      <c r="AQ21" s="399">
        <f>'Feuil-saisie'!CY407</f>
        <v>0</v>
      </c>
      <c r="AR21" s="400">
        <f t="shared" ref="AR21:AR29" si="24">AQ21+AP21</f>
        <v>0</v>
      </c>
      <c r="AS21" s="401">
        <f>'Feuil-saisie'!DA407</f>
        <v>0</v>
      </c>
      <c r="AT21" s="398">
        <f>'Feuil-saisie'!DH407</f>
        <v>0</v>
      </c>
      <c r="AU21" s="399">
        <f>'Feuil-saisie'!DI407</f>
        <v>0</v>
      </c>
      <c r="AV21" s="400">
        <f t="shared" ref="AV21:AV29" si="25">AU21+AT21</f>
        <v>0</v>
      </c>
      <c r="AW21" s="401">
        <f>'Feuil-saisie'!DK407</f>
        <v>0</v>
      </c>
      <c r="AX21" s="117"/>
      <c r="AY21" s="395">
        <f t="shared" ref="AY21:AY29" si="26">AF21</f>
        <v>244369</v>
      </c>
      <c r="AZ21" s="395">
        <f t="shared" ref="AZ21:AZ29" si="27">AG21</f>
        <v>1440</v>
      </c>
      <c r="BA21" s="395">
        <f>AB21+AC21+gaz!X21+gaz!Y21</f>
        <v>416166</v>
      </c>
      <c r="BB21" s="117"/>
      <c r="BC21" s="397" t="s">
        <v>7</v>
      </c>
      <c r="BD21" s="398">
        <v>228714</v>
      </c>
      <c r="BE21" s="399">
        <v>7793</v>
      </c>
      <c r="BF21" s="400">
        <v>236507</v>
      </c>
      <c r="BG21" s="401">
        <v>1383</v>
      </c>
      <c r="BH21" s="117"/>
      <c r="BI21" s="395"/>
      <c r="BJ21" s="395"/>
      <c r="BK21" s="117"/>
      <c r="BL21" s="117"/>
      <c r="BM21" s="117"/>
      <c r="BN21" s="117"/>
      <c r="BO21" s="117"/>
      <c r="BP21" s="117"/>
      <c r="BQ21" s="117"/>
      <c r="BR21" s="117"/>
      <c r="BS21" s="117"/>
      <c r="BT21" s="117"/>
      <c r="BU21" s="117"/>
      <c r="BV21" s="117"/>
      <c r="BW21" s="117"/>
      <c r="BX21" s="117"/>
      <c r="BY21" s="117"/>
      <c r="BZ21" s="117"/>
      <c r="CA21" s="117"/>
      <c r="CB21" s="117"/>
      <c r="CC21" s="117"/>
      <c r="CD21" s="117"/>
      <c r="CE21" s="117"/>
      <c r="CF21" s="117"/>
      <c r="CG21" s="117"/>
      <c r="CH21" s="117"/>
      <c r="CI21" s="117"/>
      <c r="CJ21" s="117"/>
      <c r="CK21" s="117"/>
      <c r="CL21" s="117"/>
      <c r="CM21" s="117"/>
      <c r="CN21" s="117"/>
      <c r="CO21" s="117"/>
      <c r="CP21" s="117"/>
      <c r="CQ21" s="117"/>
      <c r="CR21" s="117"/>
      <c r="CS21" s="117"/>
      <c r="CT21" s="117"/>
      <c r="CU21" s="117"/>
      <c r="CV21" s="117"/>
      <c r="CW21" s="117"/>
      <c r="CX21" s="117"/>
      <c r="CY21" s="117"/>
      <c r="CZ21" s="117"/>
      <c r="DA21" s="117"/>
      <c r="DB21" s="117"/>
      <c r="DC21" s="117"/>
      <c r="DD21" s="117"/>
      <c r="DE21" s="117"/>
      <c r="DF21" s="117"/>
      <c r="DG21" s="117"/>
      <c r="DH21" s="117"/>
      <c r="DI21" s="117"/>
      <c r="DJ21" s="117"/>
      <c r="DK21" s="117"/>
      <c r="DL21" s="117"/>
      <c r="DM21" s="117"/>
      <c r="DN21" s="117"/>
      <c r="DO21" s="117"/>
      <c r="DP21" s="117"/>
      <c r="DQ21" s="117"/>
      <c r="DR21" s="117"/>
      <c r="DS21" s="117"/>
      <c r="DT21" s="117"/>
      <c r="DU21" s="117"/>
      <c r="DV21" s="117"/>
      <c r="DW21" s="117"/>
      <c r="DX21" s="117"/>
      <c r="DY21" s="117"/>
      <c r="DZ21" s="117"/>
      <c r="EA21" s="117"/>
      <c r="EB21" s="117"/>
      <c r="EC21" s="117"/>
      <c r="ED21" s="117"/>
      <c r="EE21" s="117"/>
      <c r="EF21" s="117"/>
      <c r="EG21" s="117"/>
      <c r="EH21" s="117"/>
      <c r="EI21" s="117"/>
      <c r="EJ21" s="117"/>
      <c r="EK21" s="117"/>
      <c r="EL21" s="117"/>
      <c r="EM21" s="117"/>
      <c r="EN21" s="117"/>
      <c r="EO21" s="117"/>
      <c r="EP21" s="117"/>
      <c r="EQ21" s="117"/>
      <c r="ER21" s="117"/>
      <c r="ES21" s="117"/>
      <c r="ET21" s="117"/>
      <c r="EU21" s="117"/>
      <c r="EV21" s="117"/>
      <c r="EW21" s="117"/>
      <c r="EX21" s="117"/>
      <c r="EY21" s="117"/>
    </row>
    <row r="22" spans="1:155">
      <c r="A22" s="397" t="s">
        <v>8</v>
      </c>
      <c r="B22" s="398">
        <f>'Feuil-saisie'!B408</f>
        <v>231304</v>
      </c>
      <c r="C22" s="399">
        <f>'Feuil-saisie'!C408</f>
        <v>11223</v>
      </c>
      <c r="D22" s="400">
        <f t="shared" si="15"/>
        <v>242527</v>
      </c>
      <c r="E22" s="401">
        <f>'Feuil-saisie'!E408</f>
        <v>1163</v>
      </c>
      <c r="F22" s="398">
        <f>'Feuil-saisie'!L408</f>
        <v>232704</v>
      </c>
      <c r="G22" s="399">
        <f>'Feuil-saisie'!M408</f>
        <v>11263</v>
      </c>
      <c r="H22" s="400">
        <f t="shared" si="16"/>
        <v>243967</v>
      </c>
      <c r="I22" s="401">
        <f>'Feuil-saisie'!O408</f>
        <v>1169</v>
      </c>
      <c r="J22" s="398">
        <f>'Feuil-saisie'!V408</f>
        <v>233717</v>
      </c>
      <c r="K22" s="399">
        <f>'Feuil-saisie'!W408</f>
        <v>11313</v>
      </c>
      <c r="L22" s="400">
        <f t="shared" si="17"/>
        <v>245030</v>
      </c>
      <c r="M22" s="401">
        <f>'Feuil-saisie'!Y408</f>
        <v>1169</v>
      </c>
      <c r="N22" s="398">
        <f>'Feuil-saisie'!AF408</f>
        <v>233936</v>
      </c>
      <c r="O22" s="399">
        <f>'Feuil-saisie'!AG408</f>
        <v>11373</v>
      </c>
      <c r="P22" s="400">
        <f t="shared" si="18"/>
        <v>245309</v>
      </c>
      <c r="Q22" s="407">
        <f>'Feuil-saisie'!AI408</f>
        <v>1169</v>
      </c>
      <c r="R22" s="398">
        <f>'Feuil-saisie'!AP408</f>
        <v>234559</v>
      </c>
      <c r="S22" s="399">
        <f>'Feuil-saisie'!AQ408</f>
        <v>11359</v>
      </c>
      <c r="T22" s="400">
        <f t="shared" ref="T22:T29" si="28">S22+R22</f>
        <v>245918</v>
      </c>
      <c r="U22" s="401">
        <f>'Feuil-saisie'!AS408</f>
        <v>1179</v>
      </c>
      <c r="V22" s="398">
        <f>'Feuil-saisie'!AZ408</f>
        <v>235459</v>
      </c>
      <c r="W22" s="399">
        <f>'Feuil-saisie'!BA408</f>
        <v>11413</v>
      </c>
      <c r="X22" s="400">
        <f t="shared" si="19"/>
        <v>246872</v>
      </c>
      <c r="Y22" s="401">
        <f>'Feuil-saisie'!BC408</f>
        <v>1188</v>
      </c>
      <c r="Z22" s="398">
        <f>'Feuil-saisie'!BJ408</f>
        <v>236247</v>
      </c>
      <c r="AA22" s="399">
        <f>'Feuil-saisie'!BK408</f>
        <v>11451</v>
      </c>
      <c r="AB22" s="400">
        <f t="shared" si="20"/>
        <v>247698</v>
      </c>
      <c r="AC22" s="401">
        <f>'Feuil-saisie'!BM408</f>
        <v>1196</v>
      </c>
      <c r="AD22" s="398">
        <f>'Feuil-saisie'!BT408</f>
        <v>237385</v>
      </c>
      <c r="AE22" s="399">
        <f>'Feuil-saisie'!BU408</f>
        <v>11521</v>
      </c>
      <c r="AF22" s="400">
        <f t="shared" si="21"/>
        <v>248906</v>
      </c>
      <c r="AG22" s="401">
        <f>'Feuil-saisie'!BW408</f>
        <v>1199</v>
      </c>
      <c r="AH22" s="398">
        <f>'Feuil-saisie'!CD408</f>
        <v>0</v>
      </c>
      <c r="AI22" s="399">
        <f>'Feuil-saisie'!CE408</f>
        <v>0</v>
      </c>
      <c r="AJ22" s="400">
        <f t="shared" si="22"/>
        <v>0</v>
      </c>
      <c r="AK22" s="401">
        <f>'Feuil-saisie'!CG408</f>
        <v>0</v>
      </c>
      <c r="AL22" s="398">
        <f>'Feuil-saisie'!CN408</f>
        <v>0</v>
      </c>
      <c r="AM22" s="398">
        <f>'Feuil-saisie'!CO408</f>
        <v>0</v>
      </c>
      <c r="AN22" s="400">
        <f t="shared" si="23"/>
        <v>0</v>
      </c>
      <c r="AO22" s="401">
        <f>'Feuil-saisie'!CQ408</f>
        <v>0</v>
      </c>
      <c r="AP22" s="1116">
        <f>'Feuil-saisie'!CX408</f>
        <v>0</v>
      </c>
      <c r="AQ22" s="399">
        <f>'Feuil-saisie'!CY408</f>
        <v>0</v>
      </c>
      <c r="AR22" s="400">
        <f t="shared" si="24"/>
        <v>0</v>
      </c>
      <c r="AS22" s="401">
        <f>'Feuil-saisie'!DA408</f>
        <v>0</v>
      </c>
      <c r="AT22" s="398">
        <f>'Feuil-saisie'!DH408</f>
        <v>0</v>
      </c>
      <c r="AU22" s="399">
        <f>'Feuil-saisie'!DI408</f>
        <v>0</v>
      </c>
      <c r="AV22" s="400">
        <f t="shared" si="25"/>
        <v>0</v>
      </c>
      <c r="AW22" s="401">
        <f>'Feuil-saisie'!DK408</f>
        <v>0</v>
      </c>
      <c r="AY22" s="395">
        <f t="shared" si="26"/>
        <v>248906</v>
      </c>
      <c r="AZ22" s="395">
        <f t="shared" si="27"/>
        <v>1199</v>
      </c>
      <c r="BA22" s="395">
        <f>AB22+AC22+gaz!X22+gaz!Y22</f>
        <v>410401</v>
      </c>
      <c r="BC22" s="397" t="s">
        <v>8</v>
      </c>
      <c r="BD22" s="398">
        <v>230699</v>
      </c>
      <c r="BE22" s="399">
        <v>11196</v>
      </c>
      <c r="BF22" s="400">
        <v>241895</v>
      </c>
      <c r="BG22" s="401">
        <v>1156</v>
      </c>
    </row>
    <row r="23" spans="1:155">
      <c r="A23" s="397" t="s">
        <v>4</v>
      </c>
      <c r="B23" s="398">
        <f>'Feuil-saisie'!B409</f>
        <v>460208</v>
      </c>
      <c r="C23" s="399">
        <f>'Feuil-saisie'!C409</f>
        <v>11977</v>
      </c>
      <c r="D23" s="400">
        <f t="shared" si="15"/>
        <v>472185</v>
      </c>
      <c r="E23" s="401">
        <f>'Feuil-saisie'!E409</f>
        <v>1570</v>
      </c>
      <c r="F23" s="398">
        <f>'Feuil-saisie'!L409</f>
        <v>461221</v>
      </c>
      <c r="G23" s="399">
        <f>'Feuil-saisie'!M409</f>
        <v>11984</v>
      </c>
      <c r="H23" s="400">
        <f t="shared" si="16"/>
        <v>473205</v>
      </c>
      <c r="I23" s="401">
        <f>'Feuil-saisie'!O409</f>
        <v>1572</v>
      </c>
      <c r="J23" s="398">
        <f>'Feuil-saisie'!V409</f>
        <v>462342</v>
      </c>
      <c r="K23" s="399">
        <f>'Feuil-saisie'!W409</f>
        <v>12025</v>
      </c>
      <c r="L23" s="400">
        <f t="shared" si="17"/>
        <v>474367</v>
      </c>
      <c r="M23" s="401">
        <f>'Feuil-saisie'!Y409</f>
        <v>1574</v>
      </c>
      <c r="N23" s="398">
        <f>'Feuil-saisie'!AF409</f>
        <v>464588</v>
      </c>
      <c r="O23" s="399">
        <f>'Feuil-saisie'!AG409</f>
        <v>12097</v>
      </c>
      <c r="P23" s="400">
        <f t="shared" si="18"/>
        <v>476685</v>
      </c>
      <c r="Q23" s="407">
        <f>'Feuil-saisie'!AI409</f>
        <v>1577</v>
      </c>
      <c r="R23" s="398">
        <f>'Feuil-saisie'!AP409</f>
        <v>466424</v>
      </c>
      <c r="S23" s="399">
        <f>'Feuil-saisie'!AQ409</f>
        <v>12147</v>
      </c>
      <c r="T23" s="400">
        <f t="shared" si="28"/>
        <v>478571</v>
      </c>
      <c r="U23" s="401">
        <f>'Feuil-saisie'!AS409</f>
        <v>1577</v>
      </c>
      <c r="V23" s="398">
        <f>'Feuil-saisie'!AZ409</f>
        <v>467806</v>
      </c>
      <c r="W23" s="399">
        <f>'Feuil-saisie'!BA409</f>
        <v>12175</v>
      </c>
      <c r="X23" s="400">
        <f t="shared" si="19"/>
        <v>479981</v>
      </c>
      <c r="Y23" s="401">
        <f>'Feuil-saisie'!BC409</f>
        <v>1578</v>
      </c>
      <c r="Z23" s="398">
        <f>'Feuil-saisie'!BJ409</f>
        <v>469386</v>
      </c>
      <c r="AA23" s="399">
        <f>'Feuil-saisie'!BK409</f>
        <v>12187</v>
      </c>
      <c r="AB23" s="400">
        <f t="shared" si="20"/>
        <v>481573</v>
      </c>
      <c r="AC23" s="401">
        <f>'Feuil-saisie'!BM409</f>
        <v>1581</v>
      </c>
      <c r="AD23" s="398">
        <f>'Feuil-saisie'!BT409</f>
        <v>470865</v>
      </c>
      <c r="AE23" s="399">
        <f>'Feuil-saisie'!BU409</f>
        <v>12221</v>
      </c>
      <c r="AF23" s="400">
        <f t="shared" si="21"/>
        <v>483086</v>
      </c>
      <c r="AG23" s="401">
        <f>'Feuil-saisie'!BW409</f>
        <v>1582</v>
      </c>
      <c r="AH23" s="398">
        <f>'Feuil-saisie'!CD409</f>
        <v>0</v>
      </c>
      <c r="AI23" s="399">
        <f>'Feuil-saisie'!CE409</f>
        <v>0</v>
      </c>
      <c r="AJ23" s="400">
        <f t="shared" si="22"/>
        <v>0</v>
      </c>
      <c r="AK23" s="401">
        <f>'Feuil-saisie'!CG409</f>
        <v>0</v>
      </c>
      <c r="AL23" s="398">
        <f>'Feuil-saisie'!CN409</f>
        <v>0</v>
      </c>
      <c r="AM23" s="398">
        <f>'Feuil-saisie'!CO409</f>
        <v>0</v>
      </c>
      <c r="AN23" s="400">
        <f t="shared" si="23"/>
        <v>0</v>
      </c>
      <c r="AO23" s="401">
        <f>'Feuil-saisie'!CQ409</f>
        <v>0</v>
      </c>
      <c r="AP23" s="1116">
        <f>'Feuil-saisie'!CX409</f>
        <v>0</v>
      </c>
      <c r="AQ23" s="399">
        <f>'Feuil-saisie'!CY409</f>
        <v>0</v>
      </c>
      <c r="AR23" s="400">
        <f t="shared" si="24"/>
        <v>0</v>
      </c>
      <c r="AS23" s="401">
        <f>'Feuil-saisie'!DA409</f>
        <v>0</v>
      </c>
      <c r="AT23" s="398">
        <f>'Feuil-saisie'!DH409</f>
        <v>0</v>
      </c>
      <c r="AU23" s="399">
        <f>'Feuil-saisie'!DI409</f>
        <v>0</v>
      </c>
      <c r="AV23" s="400">
        <f t="shared" si="25"/>
        <v>0</v>
      </c>
      <c r="AW23" s="401">
        <f>'Feuil-saisie'!DK409</f>
        <v>0</v>
      </c>
      <c r="AY23" s="395">
        <f t="shared" si="26"/>
        <v>483086</v>
      </c>
      <c r="AZ23" s="395">
        <f t="shared" si="27"/>
        <v>1582</v>
      </c>
      <c r="BA23" s="395">
        <f>AB23+AC23+gaz!X23+gaz!Y23</f>
        <v>803784</v>
      </c>
      <c r="BC23" s="397" t="s">
        <v>4</v>
      </c>
      <c r="BD23" s="398">
        <v>458513</v>
      </c>
      <c r="BE23" s="399">
        <v>11912</v>
      </c>
      <c r="BF23" s="400">
        <v>470425</v>
      </c>
      <c r="BG23" s="401">
        <v>1564</v>
      </c>
      <c r="BI23" s="395"/>
      <c r="BJ23" s="395"/>
    </row>
    <row r="24" spans="1:155">
      <c r="A24" s="397" t="s">
        <v>3</v>
      </c>
      <c r="B24" s="398">
        <f>'Feuil-saisie'!B410</f>
        <v>233169</v>
      </c>
      <c r="C24" s="399">
        <f>'Feuil-saisie'!C410</f>
        <v>6694</v>
      </c>
      <c r="D24" s="400">
        <f t="shared" si="15"/>
        <v>239863</v>
      </c>
      <c r="E24" s="401">
        <f>'Feuil-saisie'!E410</f>
        <v>1913</v>
      </c>
      <c r="F24" s="398">
        <f>'Feuil-saisie'!L410</f>
        <v>233670</v>
      </c>
      <c r="G24" s="399">
        <f>'Feuil-saisie'!M410</f>
        <v>6720</v>
      </c>
      <c r="H24" s="400">
        <f t="shared" si="16"/>
        <v>240390</v>
      </c>
      <c r="I24" s="401">
        <f>'Feuil-saisie'!O410</f>
        <v>1941</v>
      </c>
      <c r="J24" s="398">
        <f>'Feuil-saisie'!V410</f>
        <v>234276</v>
      </c>
      <c r="K24" s="399">
        <f>'Feuil-saisie'!W410</f>
        <v>6752</v>
      </c>
      <c r="L24" s="400">
        <f t="shared" si="17"/>
        <v>241028</v>
      </c>
      <c r="M24" s="401">
        <f>'Feuil-saisie'!Y410</f>
        <v>1976</v>
      </c>
      <c r="N24" s="398">
        <f>'Feuil-saisie'!AF410</f>
        <v>234898</v>
      </c>
      <c r="O24" s="399">
        <f>'Feuil-saisie'!AG410</f>
        <v>6762</v>
      </c>
      <c r="P24" s="400">
        <f t="shared" si="18"/>
        <v>241660</v>
      </c>
      <c r="Q24" s="407">
        <f>'Feuil-saisie'!AI410</f>
        <v>1995</v>
      </c>
      <c r="R24" s="398">
        <f>'Feuil-saisie'!AP410</f>
        <v>235501</v>
      </c>
      <c r="S24" s="399">
        <f>'Feuil-saisie'!AQ410</f>
        <v>6793</v>
      </c>
      <c r="T24" s="400">
        <f t="shared" si="28"/>
        <v>242294</v>
      </c>
      <c r="U24" s="401">
        <f>'Feuil-saisie'!AS410</f>
        <v>2012</v>
      </c>
      <c r="V24" s="398">
        <f>'Feuil-saisie'!AZ410</f>
        <v>236259</v>
      </c>
      <c r="W24" s="399">
        <f>'Feuil-saisie'!BA410</f>
        <v>6801</v>
      </c>
      <c r="X24" s="400">
        <f t="shared" si="19"/>
        <v>243060</v>
      </c>
      <c r="Y24" s="401">
        <f>'Feuil-saisie'!BC410</f>
        <v>2030</v>
      </c>
      <c r="Z24" s="398">
        <f>'Feuil-saisie'!BJ410</f>
        <v>236997</v>
      </c>
      <c r="AA24" s="399">
        <f>'Feuil-saisie'!BK410</f>
        <v>6945</v>
      </c>
      <c r="AB24" s="400">
        <f t="shared" si="20"/>
        <v>243942</v>
      </c>
      <c r="AC24" s="401">
        <f>'Feuil-saisie'!BM410</f>
        <v>2050</v>
      </c>
      <c r="AD24" s="398">
        <f>'Feuil-saisie'!BT410</f>
        <v>237759</v>
      </c>
      <c r="AE24" s="399">
        <f>'Feuil-saisie'!BU410</f>
        <v>6961</v>
      </c>
      <c r="AF24" s="400">
        <f t="shared" si="21"/>
        <v>244720</v>
      </c>
      <c r="AG24" s="401">
        <f>'Feuil-saisie'!BW410</f>
        <v>2068</v>
      </c>
      <c r="AH24" s="398">
        <f>'Feuil-saisie'!CD410</f>
        <v>0</v>
      </c>
      <c r="AI24" s="399">
        <f>'Feuil-saisie'!CE410</f>
        <v>0</v>
      </c>
      <c r="AJ24" s="400">
        <f t="shared" si="22"/>
        <v>0</v>
      </c>
      <c r="AK24" s="401">
        <f>'Feuil-saisie'!CG410</f>
        <v>0</v>
      </c>
      <c r="AL24" s="398">
        <f>'Feuil-saisie'!CN410</f>
        <v>0</v>
      </c>
      <c r="AM24" s="398">
        <f>'Feuil-saisie'!CO410</f>
        <v>0</v>
      </c>
      <c r="AN24" s="400">
        <f t="shared" si="23"/>
        <v>0</v>
      </c>
      <c r="AO24" s="401">
        <f>'Feuil-saisie'!CQ410</f>
        <v>0</v>
      </c>
      <c r="AP24" s="1116">
        <f>'Feuil-saisie'!CX410</f>
        <v>0</v>
      </c>
      <c r="AQ24" s="399">
        <f>'Feuil-saisie'!CY410</f>
        <v>0</v>
      </c>
      <c r="AR24" s="400">
        <f t="shared" si="24"/>
        <v>0</v>
      </c>
      <c r="AS24" s="401">
        <f>'Feuil-saisie'!DA410</f>
        <v>0</v>
      </c>
      <c r="AT24" s="398">
        <f>'Feuil-saisie'!DH410</f>
        <v>0</v>
      </c>
      <c r="AU24" s="399">
        <f>'Feuil-saisie'!DI410</f>
        <v>0</v>
      </c>
      <c r="AV24" s="400">
        <f t="shared" si="25"/>
        <v>0</v>
      </c>
      <c r="AW24" s="401">
        <f>'Feuil-saisie'!DK410</f>
        <v>0</v>
      </c>
      <c r="AY24" s="395">
        <f t="shared" si="26"/>
        <v>244720</v>
      </c>
      <c r="AZ24" s="395">
        <f t="shared" si="27"/>
        <v>2068</v>
      </c>
      <c r="BA24" s="395">
        <f>AB24+AC24+gaz!X24+gaz!Y24</f>
        <v>444608</v>
      </c>
      <c r="BC24" s="397" t="s">
        <v>3</v>
      </c>
      <c r="BD24" s="398">
        <v>232775</v>
      </c>
      <c r="BE24" s="399">
        <v>6686</v>
      </c>
      <c r="BF24" s="400">
        <v>239461</v>
      </c>
      <c r="BG24" s="401">
        <v>1885</v>
      </c>
    </row>
    <row r="25" spans="1:155">
      <c r="A25" s="397" t="s">
        <v>397</v>
      </c>
      <c r="B25" s="398">
        <f>'Feuil-saisie'!B411</f>
        <v>227460</v>
      </c>
      <c r="C25" s="399">
        <f>'Feuil-saisie'!C411</f>
        <v>6807</v>
      </c>
      <c r="D25" s="400">
        <f t="shared" si="15"/>
        <v>234267</v>
      </c>
      <c r="E25" s="401">
        <f>'Feuil-saisie'!E411</f>
        <v>1320</v>
      </c>
      <c r="F25" s="398">
        <f>'Feuil-saisie'!L411</f>
        <v>228011</v>
      </c>
      <c r="G25" s="399">
        <f>'Feuil-saisie'!M411</f>
        <v>6821</v>
      </c>
      <c r="H25" s="400">
        <f t="shared" si="16"/>
        <v>234832</v>
      </c>
      <c r="I25" s="401">
        <f>'Feuil-saisie'!O411</f>
        <v>1323</v>
      </c>
      <c r="J25" s="398">
        <f>'Feuil-saisie'!V411</f>
        <v>228722</v>
      </c>
      <c r="K25" s="399">
        <f>'Feuil-saisie'!W411</f>
        <v>6847</v>
      </c>
      <c r="L25" s="400">
        <f t="shared" si="17"/>
        <v>235569</v>
      </c>
      <c r="M25" s="401">
        <f>'Feuil-saisie'!Y411</f>
        <v>1329</v>
      </c>
      <c r="N25" s="398">
        <f>'Feuil-saisie'!AF411</f>
        <v>229511</v>
      </c>
      <c r="O25" s="399">
        <f>'Feuil-saisie'!AG411</f>
        <v>6868</v>
      </c>
      <c r="P25" s="400">
        <f t="shared" si="18"/>
        <v>236379</v>
      </c>
      <c r="Q25" s="407">
        <f>'Feuil-saisie'!AI411</f>
        <v>1331</v>
      </c>
      <c r="R25" s="398">
        <f>'Feuil-saisie'!AP411</f>
        <v>230177</v>
      </c>
      <c r="S25" s="399">
        <f>'Feuil-saisie'!AQ411</f>
        <v>6799</v>
      </c>
      <c r="T25" s="400">
        <f t="shared" si="28"/>
        <v>236976</v>
      </c>
      <c r="U25" s="401">
        <f>'Feuil-saisie'!AS411</f>
        <v>1341</v>
      </c>
      <c r="V25" s="398">
        <f>'Feuil-saisie'!AZ411</f>
        <v>230065</v>
      </c>
      <c r="W25" s="399">
        <f>'Feuil-saisie'!BA411</f>
        <v>6837</v>
      </c>
      <c r="X25" s="400">
        <f t="shared" si="19"/>
        <v>236902</v>
      </c>
      <c r="Y25" s="401">
        <f>'Feuil-saisie'!BC411</f>
        <v>1351</v>
      </c>
      <c r="Z25" s="398">
        <f>'Feuil-saisie'!BJ411</f>
        <v>230681</v>
      </c>
      <c r="AA25" s="399">
        <f>'Feuil-saisie'!BK411</f>
        <v>6900</v>
      </c>
      <c r="AB25" s="400">
        <f t="shared" si="20"/>
        <v>237581</v>
      </c>
      <c r="AC25" s="401">
        <f>'Feuil-saisie'!BM411</f>
        <v>1362</v>
      </c>
      <c r="AD25" s="398">
        <f>'Feuil-saisie'!BT411</f>
        <v>231369</v>
      </c>
      <c r="AE25" s="399">
        <f>'Feuil-saisie'!BU411</f>
        <v>6926</v>
      </c>
      <c r="AF25" s="400">
        <f t="shared" si="21"/>
        <v>238295</v>
      </c>
      <c r="AG25" s="401">
        <f>'Feuil-saisie'!BW411</f>
        <v>1362</v>
      </c>
      <c r="AH25" s="398">
        <f>'Feuil-saisie'!CD411</f>
        <v>0</v>
      </c>
      <c r="AI25" s="399">
        <f>'Feuil-saisie'!CE411</f>
        <v>0</v>
      </c>
      <c r="AJ25" s="400">
        <f t="shared" si="22"/>
        <v>0</v>
      </c>
      <c r="AK25" s="401">
        <f>'Feuil-saisie'!CG411</f>
        <v>0</v>
      </c>
      <c r="AL25" s="398">
        <f>'Feuil-saisie'!CN411</f>
        <v>0</v>
      </c>
      <c r="AM25" s="398">
        <f>'Feuil-saisie'!CO411</f>
        <v>0</v>
      </c>
      <c r="AN25" s="400">
        <f t="shared" si="23"/>
        <v>0</v>
      </c>
      <c r="AO25" s="401">
        <f>'Feuil-saisie'!CQ411</f>
        <v>0</v>
      </c>
      <c r="AP25" s="1116">
        <f>'Feuil-saisie'!CX411</f>
        <v>0</v>
      </c>
      <c r="AQ25" s="399">
        <f>'Feuil-saisie'!CY411</f>
        <v>0</v>
      </c>
      <c r="AR25" s="400">
        <f t="shared" si="24"/>
        <v>0</v>
      </c>
      <c r="AS25" s="401">
        <f>'Feuil-saisie'!DA411</f>
        <v>0</v>
      </c>
      <c r="AT25" s="398">
        <f>'Feuil-saisie'!DH411</f>
        <v>0</v>
      </c>
      <c r="AU25" s="399">
        <f>'Feuil-saisie'!DI411</f>
        <v>0</v>
      </c>
      <c r="AV25" s="400">
        <f t="shared" si="25"/>
        <v>0</v>
      </c>
      <c r="AW25" s="401">
        <f>'Feuil-saisie'!DK411</f>
        <v>0</v>
      </c>
      <c r="AY25" s="395">
        <f t="shared" si="26"/>
        <v>238295</v>
      </c>
      <c r="AZ25" s="395">
        <f t="shared" si="27"/>
        <v>1362</v>
      </c>
      <c r="BA25" s="395">
        <f>AB25+AC25+gaz!X25+gaz!Y25</f>
        <v>368391</v>
      </c>
      <c r="BC25" s="397" t="s">
        <v>397</v>
      </c>
      <c r="BD25" s="398">
        <v>226991</v>
      </c>
      <c r="BE25" s="399">
        <v>6733</v>
      </c>
      <c r="BF25" s="400">
        <v>233724</v>
      </c>
      <c r="BG25" s="401">
        <v>1319</v>
      </c>
      <c r="BI25" s="395"/>
      <c r="BJ25" s="395"/>
    </row>
    <row r="26" spans="1:155">
      <c r="A26" s="397" t="s">
        <v>399</v>
      </c>
      <c r="B26" s="398">
        <f>'Feuil-saisie'!B412</f>
        <v>318768</v>
      </c>
      <c r="C26" s="399">
        <f>'Feuil-saisie'!C412</f>
        <v>7994</v>
      </c>
      <c r="D26" s="400">
        <f t="shared" si="15"/>
        <v>326762</v>
      </c>
      <c r="E26" s="401">
        <f>'Feuil-saisie'!E412</f>
        <v>1587</v>
      </c>
      <c r="F26" s="398">
        <f>'Feuil-saisie'!L412</f>
        <v>320066</v>
      </c>
      <c r="G26" s="399">
        <f>'Feuil-saisie'!M412</f>
        <v>8032</v>
      </c>
      <c r="H26" s="400">
        <f t="shared" si="16"/>
        <v>328098</v>
      </c>
      <c r="I26" s="401">
        <f>'Feuil-saisie'!O412</f>
        <v>1590</v>
      </c>
      <c r="J26" s="398">
        <f>'Feuil-saisie'!V412</f>
        <v>322467</v>
      </c>
      <c r="K26" s="399">
        <f>'Feuil-saisie'!W412</f>
        <v>8060</v>
      </c>
      <c r="L26" s="400">
        <f t="shared" si="17"/>
        <v>330527</v>
      </c>
      <c r="M26" s="401">
        <f>'Feuil-saisie'!Y412</f>
        <v>1595</v>
      </c>
      <c r="N26" s="398">
        <f>'Feuil-saisie'!AF412</f>
        <v>323840</v>
      </c>
      <c r="O26" s="399">
        <f>'Feuil-saisie'!AG412</f>
        <v>8091</v>
      </c>
      <c r="P26" s="400">
        <f t="shared" si="18"/>
        <v>331931</v>
      </c>
      <c r="Q26" s="407">
        <f>'Feuil-saisie'!AI412</f>
        <v>1599</v>
      </c>
      <c r="R26" s="398">
        <f>'Feuil-saisie'!AP412</f>
        <v>325562</v>
      </c>
      <c r="S26" s="399">
        <f>'Feuil-saisie'!AQ412</f>
        <v>8086</v>
      </c>
      <c r="T26" s="400">
        <f t="shared" si="28"/>
        <v>333648</v>
      </c>
      <c r="U26" s="401">
        <f>'Feuil-saisie'!AS412</f>
        <v>1602</v>
      </c>
      <c r="V26" s="398">
        <f>'Feuil-saisie'!AZ412</f>
        <v>326953</v>
      </c>
      <c r="W26" s="399">
        <f>'Feuil-saisie'!BA412</f>
        <v>8126</v>
      </c>
      <c r="X26" s="400">
        <f t="shared" si="19"/>
        <v>335079</v>
      </c>
      <c r="Y26" s="401">
        <f>'Feuil-saisie'!BC412</f>
        <v>1607</v>
      </c>
      <c r="Z26" s="398">
        <f>'Feuil-saisie'!BJ412</f>
        <v>327962</v>
      </c>
      <c r="AA26" s="399">
        <f>'Feuil-saisie'!BK412</f>
        <v>8197</v>
      </c>
      <c r="AB26" s="400">
        <f t="shared" si="20"/>
        <v>336159</v>
      </c>
      <c r="AC26" s="401">
        <f>'Feuil-saisie'!BM412</f>
        <v>1609</v>
      </c>
      <c r="AD26" s="398">
        <f>'Feuil-saisie'!BT412</f>
        <v>329286</v>
      </c>
      <c r="AE26" s="399">
        <f>'Feuil-saisie'!BU412</f>
        <v>8213</v>
      </c>
      <c r="AF26" s="400">
        <f t="shared" si="21"/>
        <v>337499</v>
      </c>
      <c r="AG26" s="401">
        <f>'Feuil-saisie'!BW412</f>
        <v>1621</v>
      </c>
      <c r="AH26" s="398">
        <f>'Feuil-saisie'!CD412</f>
        <v>0</v>
      </c>
      <c r="AI26" s="399">
        <f>'Feuil-saisie'!CE412</f>
        <v>0</v>
      </c>
      <c r="AJ26" s="400">
        <f t="shared" si="22"/>
        <v>0</v>
      </c>
      <c r="AK26" s="401">
        <f>'Feuil-saisie'!CG412</f>
        <v>0</v>
      </c>
      <c r="AL26" s="398">
        <f>'Feuil-saisie'!CN412</f>
        <v>0</v>
      </c>
      <c r="AM26" s="398">
        <f>'Feuil-saisie'!CO412</f>
        <v>0</v>
      </c>
      <c r="AN26" s="400">
        <f t="shared" si="23"/>
        <v>0</v>
      </c>
      <c r="AO26" s="401">
        <f>'Feuil-saisie'!CQ412</f>
        <v>0</v>
      </c>
      <c r="AP26" s="1116">
        <f>'Feuil-saisie'!CX412</f>
        <v>0</v>
      </c>
      <c r="AQ26" s="399">
        <f>'Feuil-saisie'!CY412</f>
        <v>0</v>
      </c>
      <c r="AR26" s="400">
        <f t="shared" si="24"/>
        <v>0</v>
      </c>
      <c r="AS26" s="401">
        <f>'Feuil-saisie'!DA412</f>
        <v>0</v>
      </c>
      <c r="AT26" s="398">
        <f>'Feuil-saisie'!DH412</f>
        <v>0</v>
      </c>
      <c r="AU26" s="399">
        <f>'Feuil-saisie'!DI412</f>
        <v>0</v>
      </c>
      <c r="AV26" s="400">
        <f>AU26+AT26</f>
        <v>0</v>
      </c>
      <c r="AW26" s="401">
        <f>'Feuil-saisie'!DK412</f>
        <v>0</v>
      </c>
      <c r="AY26" s="395">
        <f t="shared" si="26"/>
        <v>337499</v>
      </c>
      <c r="AZ26" s="395">
        <f t="shared" si="27"/>
        <v>1621</v>
      </c>
      <c r="BA26" s="395">
        <f>AB26+AC26+gaz!X26+gaz!Y26</f>
        <v>524547</v>
      </c>
      <c r="BC26" s="397" t="s">
        <v>399</v>
      </c>
      <c r="BD26" s="398">
        <v>318223</v>
      </c>
      <c r="BE26" s="399">
        <v>7947</v>
      </c>
      <c r="BF26" s="400">
        <v>326170</v>
      </c>
      <c r="BG26" s="401">
        <v>1585</v>
      </c>
    </row>
    <row r="27" spans="1:155">
      <c r="A27" s="397" t="s">
        <v>883</v>
      </c>
      <c r="B27" s="398">
        <f>'Feuil-saisie'!B413</f>
        <v>227167</v>
      </c>
      <c r="C27" s="399">
        <f>'Feuil-saisie'!C413</f>
        <v>7182</v>
      </c>
      <c r="D27" s="400">
        <f t="shared" si="15"/>
        <v>234349</v>
      </c>
      <c r="E27" s="401">
        <f>'Feuil-saisie'!E413</f>
        <v>1489</v>
      </c>
      <c r="F27" s="398">
        <f>'Feuil-saisie'!L413</f>
        <v>227926</v>
      </c>
      <c r="G27" s="399">
        <f>'Feuil-saisie'!M413</f>
        <v>7194</v>
      </c>
      <c r="H27" s="400">
        <f t="shared" si="16"/>
        <v>235120</v>
      </c>
      <c r="I27" s="401">
        <f>'Feuil-saisie'!O413</f>
        <v>1498</v>
      </c>
      <c r="J27" s="398">
        <f>'Feuil-saisie'!V413</f>
        <v>228640</v>
      </c>
      <c r="K27" s="399">
        <f>'Feuil-saisie'!W413</f>
        <v>7212</v>
      </c>
      <c r="L27" s="400">
        <f t="shared" si="17"/>
        <v>235852</v>
      </c>
      <c r="M27" s="401">
        <f>'Feuil-saisie'!Y413</f>
        <v>1503</v>
      </c>
      <c r="N27" s="398">
        <f>'Feuil-saisie'!AF413</f>
        <v>229093</v>
      </c>
      <c r="O27" s="399">
        <f>'Feuil-saisie'!AG413</f>
        <v>7228</v>
      </c>
      <c r="P27" s="400">
        <f t="shared" si="18"/>
        <v>236321</v>
      </c>
      <c r="Q27" s="407">
        <f>'Feuil-saisie'!AI413</f>
        <v>1510</v>
      </c>
      <c r="R27" s="398">
        <f>'Feuil-saisie'!AP413</f>
        <v>230011</v>
      </c>
      <c r="S27" s="399">
        <f>'Feuil-saisie'!AQ413</f>
        <v>7246</v>
      </c>
      <c r="T27" s="400">
        <f t="shared" si="28"/>
        <v>237257</v>
      </c>
      <c r="U27" s="401">
        <f>'Feuil-saisie'!AS413</f>
        <v>1520</v>
      </c>
      <c r="V27" s="398">
        <f>'Feuil-saisie'!AZ413</f>
        <v>230568</v>
      </c>
      <c r="W27" s="399">
        <f>'Feuil-saisie'!BA413</f>
        <v>7260</v>
      </c>
      <c r="X27" s="400">
        <f t="shared" si="19"/>
        <v>237828</v>
      </c>
      <c r="Y27" s="401">
        <f>'Feuil-saisie'!BC413</f>
        <v>1526</v>
      </c>
      <c r="Z27" s="398">
        <f>'Feuil-saisie'!BJ413</f>
        <v>231402</v>
      </c>
      <c r="AA27" s="399">
        <f>'Feuil-saisie'!BK413</f>
        <v>7303</v>
      </c>
      <c r="AB27" s="400">
        <f t="shared" si="20"/>
        <v>238705</v>
      </c>
      <c r="AC27" s="401">
        <f>'Feuil-saisie'!BM413</f>
        <v>1534</v>
      </c>
      <c r="AD27" s="398">
        <f>'Feuil-saisie'!BT413</f>
        <v>231890</v>
      </c>
      <c r="AE27" s="399">
        <f>'Feuil-saisie'!BU413</f>
        <v>7330</v>
      </c>
      <c r="AF27" s="400">
        <f t="shared" si="21"/>
        <v>239220</v>
      </c>
      <c r="AG27" s="401">
        <f>'Feuil-saisie'!BW413</f>
        <v>1547</v>
      </c>
      <c r="AH27" s="398">
        <f>'Feuil-saisie'!CD413</f>
        <v>0</v>
      </c>
      <c r="AI27" s="399">
        <f>'Feuil-saisie'!CE413</f>
        <v>0</v>
      </c>
      <c r="AJ27" s="400">
        <f t="shared" si="22"/>
        <v>0</v>
      </c>
      <c r="AK27" s="401">
        <f>'Feuil-saisie'!CG413</f>
        <v>0</v>
      </c>
      <c r="AL27" s="398">
        <f>'Feuil-saisie'!CN413</f>
        <v>0</v>
      </c>
      <c r="AM27" s="398">
        <f>'Feuil-saisie'!CO413</f>
        <v>0</v>
      </c>
      <c r="AN27" s="400">
        <f t="shared" si="23"/>
        <v>0</v>
      </c>
      <c r="AO27" s="401">
        <f>'Feuil-saisie'!CQ413</f>
        <v>0</v>
      </c>
      <c r="AP27" s="1116">
        <f>'Feuil-saisie'!CX413</f>
        <v>0</v>
      </c>
      <c r="AQ27" s="399">
        <f>'Feuil-saisie'!CY413</f>
        <v>0</v>
      </c>
      <c r="AR27" s="400">
        <f t="shared" si="24"/>
        <v>0</v>
      </c>
      <c r="AS27" s="401">
        <f>'Feuil-saisie'!DA413</f>
        <v>0</v>
      </c>
      <c r="AT27" s="398">
        <f>'Feuil-saisie'!DH413</f>
        <v>0</v>
      </c>
      <c r="AU27" s="399">
        <f>'Feuil-saisie'!DI413</f>
        <v>0</v>
      </c>
      <c r="AV27" s="400">
        <f t="shared" si="25"/>
        <v>0</v>
      </c>
      <c r="AW27" s="401">
        <f>'Feuil-saisie'!DK413</f>
        <v>0</v>
      </c>
      <c r="AY27" s="395">
        <f t="shared" si="26"/>
        <v>239220</v>
      </c>
      <c r="AZ27" s="395">
        <f t="shared" si="27"/>
        <v>1547</v>
      </c>
      <c r="BA27" s="395">
        <f>AB27+AC27+gaz!X27+gaz!Y27</f>
        <v>369083</v>
      </c>
      <c r="BC27" s="397" t="s">
        <v>883</v>
      </c>
      <c r="BD27" s="398">
        <v>226898</v>
      </c>
      <c r="BE27" s="399">
        <v>7151</v>
      </c>
      <c r="BF27" s="400">
        <v>234049</v>
      </c>
      <c r="BG27" s="401">
        <v>1484</v>
      </c>
      <c r="BI27" s="395"/>
      <c r="BJ27" s="395"/>
    </row>
    <row r="28" spans="1:155">
      <c r="A28" s="397" t="s">
        <v>884</v>
      </c>
      <c r="B28" s="398">
        <f>'Feuil-saisie'!B414</f>
        <v>301223</v>
      </c>
      <c r="C28" s="399">
        <f>'Feuil-saisie'!C414</f>
        <v>8386</v>
      </c>
      <c r="D28" s="400">
        <f t="shared" si="15"/>
        <v>309609</v>
      </c>
      <c r="E28" s="401">
        <f>'Feuil-saisie'!E414</f>
        <v>1700</v>
      </c>
      <c r="F28" s="398">
        <f>'Feuil-saisie'!L414</f>
        <v>301651</v>
      </c>
      <c r="G28" s="399">
        <f>'Feuil-saisie'!M414</f>
        <v>8422</v>
      </c>
      <c r="H28" s="400">
        <f t="shared" si="16"/>
        <v>310073</v>
      </c>
      <c r="I28" s="401">
        <f>'Feuil-saisie'!O414</f>
        <v>1703</v>
      </c>
      <c r="J28" s="398">
        <f>'Feuil-saisie'!V414</f>
        <v>303470</v>
      </c>
      <c r="K28" s="399">
        <f>'Feuil-saisie'!W414</f>
        <v>8491</v>
      </c>
      <c r="L28" s="400">
        <f t="shared" si="17"/>
        <v>311961</v>
      </c>
      <c r="M28" s="401">
        <f>'Feuil-saisie'!Y414</f>
        <v>1708</v>
      </c>
      <c r="N28" s="398">
        <f>'Feuil-saisie'!AF414</f>
        <v>304087</v>
      </c>
      <c r="O28" s="399">
        <f>'Feuil-saisie'!AG414</f>
        <v>8512</v>
      </c>
      <c r="P28" s="400">
        <f t="shared" si="18"/>
        <v>312599</v>
      </c>
      <c r="Q28" s="407">
        <f>'Feuil-saisie'!AI414</f>
        <v>1717</v>
      </c>
      <c r="R28" s="398">
        <f>'Feuil-saisie'!AP414</f>
        <v>304773</v>
      </c>
      <c r="S28" s="399">
        <f>'Feuil-saisie'!AQ414</f>
        <v>8541</v>
      </c>
      <c r="T28" s="400">
        <f t="shared" si="28"/>
        <v>313314</v>
      </c>
      <c r="U28" s="401">
        <f>'Feuil-saisie'!AS414</f>
        <v>1727</v>
      </c>
      <c r="V28" s="398">
        <f>'Feuil-saisie'!AZ414</f>
        <v>305596</v>
      </c>
      <c r="W28" s="399">
        <f>'Feuil-saisie'!BA414</f>
        <v>8566</v>
      </c>
      <c r="X28" s="400">
        <f t="shared" si="19"/>
        <v>314162</v>
      </c>
      <c r="Y28" s="401">
        <f>'Feuil-saisie'!BC414</f>
        <v>1729</v>
      </c>
      <c r="Z28" s="398">
        <f>'Feuil-saisie'!BJ414</f>
        <v>306574</v>
      </c>
      <c r="AA28" s="399">
        <f>'Feuil-saisie'!BK414</f>
        <v>8592</v>
      </c>
      <c r="AB28" s="400">
        <f t="shared" si="20"/>
        <v>315166</v>
      </c>
      <c r="AC28" s="401">
        <f>'Feuil-saisie'!BM414</f>
        <v>1734</v>
      </c>
      <c r="AD28" s="398">
        <f>'Feuil-saisie'!BT414</f>
        <v>307946</v>
      </c>
      <c r="AE28" s="399">
        <f>'Feuil-saisie'!BU414</f>
        <v>8622</v>
      </c>
      <c r="AF28" s="400">
        <f t="shared" si="21"/>
        <v>316568</v>
      </c>
      <c r="AG28" s="401">
        <f>'Feuil-saisie'!BW414</f>
        <v>1739</v>
      </c>
      <c r="AH28" s="398">
        <f>'Feuil-saisie'!CD414</f>
        <v>0</v>
      </c>
      <c r="AI28" s="399">
        <f>'Feuil-saisie'!CE414</f>
        <v>0</v>
      </c>
      <c r="AJ28" s="400">
        <f t="shared" si="22"/>
        <v>0</v>
      </c>
      <c r="AK28" s="401">
        <f>'Feuil-saisie'!CG414</f>
        <v>0</v>
      </c>
      <c r="AL28" s="398">
        <f>'Feuil-saisie'!CN414</f>
        <v>0</v>
      </c>
      <c r="AM28" s="398">
        <f>'Feuil-saisie'!CO414</f>
        <v>0</v>
      </c>
      <c r="AN28" s="400">
        <f t="shared" si="23"/>
        <v>0</v>
      </c>
      <c r="AO28" s="401">
        <f>'Feuil-saisie'!CQ414</f>
        <v>0</v>
      </c>
      <c r="AP28" s="1116">
        <f>'Feuil-saisie'!CX414</f>
        <v>0</v>
      </c>
      <c r="AQ28" s="399">
        <f>'Feuil-saisie'!CY414</f>
        <v>0</v>
      </c>
      <c r="AR28" s="400">
        <f t="shared" si="24"/>
        <v>0</v>
      </c>
      <c r="AS28" s="401">
        <f>'Feuil-saisie'!DA414</f>
        <v>0</v>
      </c>
      <c r="AT28" s="398">
        <f>'Feuil-saisie'!DH414</f>
        <v>0</v>
      </c>
      <c r="AU28" s="399">
        <f>'Feuil-saisie'!DI414</f>
        <v>0</v>
      </c>
      <c r="AV28" s="400">
        <f t="shared" si="25"/>
        <v>0</v>
      </c>
      <c r="AW28" s="401">
        <f>'Feuil-saisie'!DK414</f>
        <v>0</v>
      </c>
      <c r="AY28" s="395">
        <f t="shared" si="26"/>
        <v>316568</v>
      </c>
      <c r="AZ28" s="395">
        <f t="shared" si="27"/>
        <v>1739</v>
      </c>
      <c r="BA28" s="395">
        <f>AB28+AC28+gaz!X28+gaz!Y28</f>
        <v>480957</v>
      </c>
      <c r="BC28" s="397" t="s">
        <v>884</v>
      </c>
      <c r="BD28" s="398">
        <v>300641</v>
      </c>
      <c r="BE28" s="399">
        <v>8411</v>
      </c>
      <c r="BF28" s="400">
        <v>309052</v>
      </c>
      <c r="BG28" s="401">
        <v>1698</v>
      </c>
    </row>
    <row r="29" spans="1:155" ht="14.4" thickBot="1">
      <c r="A29" s="397" t="s">
        <v>885</v>
      </c>
      <c r="B29" s="398">
        <f>'Feuil-saisie'!B415</f>
        <v>86477</v>
      </c>
      <c r="C29" s="399">
        <f>'Feuil-saisie'!C415</f>
        <v>3322</v>
      </c>
      <c r="D29" s="400">
        <f t="shared" si="15"/>
        <v>89799</v>
      </c>
      <c r="E29" s="401">
        <f>'Feuil-saisie'!E415</f>
        <v>267</v>
      </c>
      <c r="F29" s="398">
        <f>'Feuil-saisie'!L415</f>
        <v>86798</v>
      </c>
      <c r="G29" s="399">
        <f>'Feuil-saisie'!M415</f>
        <v>3348</v>
      </c>
      <c r="H29" s="400">
        <f t="shared" si="16"/>
        <v>90146</v>
      </c>
      <c r="I29" s="401">
        <f>'Feuil-saisie'!O415</f>
        <v>267</v>
      </c>
      <c r="J29" s="398">
        <f>'Feuil-saisie'!V415</f>
        <v>87745</v>
      </c>
      <c r="K29" s="399">
        <f>'Feuil-saisie'!W415</f>
        <v>3407</v>
      </c>
      <c r="L29" s="400">
        <f t="shared" si="17"/>
        <v>91152</v>
      </c>
      <c r="M29" s="401">
        <f>'Feuil-saisie'!Y415</f>
        <v>267</v>
      </c>
      <c r="N29" s="398">
        <f>'Feuil-saisie'!AF415</f>
        <v>88558</v>
      </c>
      <c r="O29" s="399">
        <f>'Feuil-saisie'!AG415</f>
        <v>3438</v>
      </c>
      <c r="P29" s="400">
        <f t="shared" si="18"/>
        <v>91996</v>
      </c>
      <c r="Q29" s="407">
        <f>'Feuil-saisie'!AI415</f>
        <v>267</v>
      </c>
      <c r="R29" s="398">
        <f>'Feuil-saisie'!AP415</f>
        <v>89469</v>
      </c>
      <c r="S29" s="399">
        <f>'Feuil-saisie'!AQ415</f>
        <v>3448</v>
      </c>
      <c r="T29" s="400">
        <f t="shared" si="28"/>
        <v>92917</v>
      </c>
      <c r="U29" s="401">
        <f>'Feuil-saisie'!AS415</f>
        <v>266</v>
      </c>
      <c r="V29" s="398">
        <f>'Feuil-saisie'!AZ415</f>
        <v>89736</v>
      </c>
      <c r="W29" s="399">
        <f>'Feuil-saisie'!BA415</f>
        <v>3467</v>
      </c>
      <c r="X29" s="400">
        <f t="shared" si="19"/>
        <v>93203</v>
      </c>
      <c r="Y29" s="401">
        <f>'Feuil-saisie'!BC415</f>
        <v>268</v>
      </c>
      <c r="Z29" s="398">
        <f>'Feuil-saisie'!BJ415</f>
        <v>90034</v>
      </c>
      <c r="AA29" s="399">
        <f>'Feuil-saisie'!BK415</f>
        <v>3482</v>
      </c>
      <c r="AB29" s="400">
        <f t="shared" si="20"/>
        <v>93516</v>
      </c>
      <c r="AC29" s="401">
        <f>'Feuil-saisie'!BM415</f>
        <v>267</v>
      </c>
      <c r="AD29" s="398">
        <f>'Feuil-saisie'!BT415</f>
        <v>90262</v>
      </c>
      <c r="AE29" s="399">
        <f>'Feuil-saisie'!BU415</f>
        <v>3495</v>
      </c>
      <c r="AF29" s="400">
        <f t="shared" si="21"/>
        <v>93757</v>
      </c>
      <c r="AG29" s="401">
        <f>'Feuil-saisie'!BW415</f>
        <v>267</v>
      </c>
      <c r="AH29" s="398">
        <f>'Feuil-saisie'!CD415</f>
        <v>0</v>
      </c>
      <c r="AI29" s="399">
        <f>'Feuil-saisie'!CE415</f>
        <v>0</v>
      </c>
      <c r="AJ29" s="400">
        <f t="shared" si="22"/>
        <v>0</v>
      </c>
      <c r="AK29" s="401">
        <f>'Feuil-saisie'!CG415</f>
        <v>0</v>
      </c>
      <c r="AL29" s="398">
        <f>'Feuil-saisie'!CN415</f>
        <v>0</v>
      </c>
      <c r="AM29" s="398">
        <f>'Feuil-saisie'!CO415</f>
        <v>0</v>
      </c>
      <c r="AN29" s="400">
        <f t="shared" si="23"/>
        <v>0</v>
      </c>
      <c r="AO29" s="401">
        <f>'Feuil-saisie'!CQ415</f>
        <v>0</v>
      </c>
      <c r="AP29" s="1116">
        <f>'Feuil-saisie'!CX415</f>
        <v>0</v>
      </c>
      <c r="AQ29" s="399">
        <f>'Feuil-saisie'!CY415</f>
        <v>0</v>
      </c>
      <c r="AR29" s="400">
        <f t="shared" si="24"/>
        <v>0</v>
      </c>
      <c r="AS29" s="401">
        <f>'Feuil-saisie'!DA415</f>
        <v>0</v>
      </c>
      <c r="AT29" s="398">
        <f>'Feuil-saisie'!DH415</f>
        <v>0</v>
      </c>
      <c r="AU29" s="399">
        <f>'Feuil-saisie'!DI415</f>
        <v>0</v>
      </c>
      <c r="AV29" s="400">
        <f t="shared" si="25"/>
        <v>0</v>
      </c>
      <c r="AW29" s="401">
        <f>'Feuil-saisie'!DK415</f>
        <v>0</v>
      </c>
      <c r="AY29" s="395">
        <f t="shared" si="26"/>
        <v>93757</v>
      </c>
      <c r="AZ29" s="395">
        <f t="shared" si="27"/>
        <v>267</v>
      </c>
      <c r="BA29" s="395">
        <f>AB29+AC29+gaz!X29+gaz!Y29</f>
        <v>163812</v>
      </c>
      <c r="BC29" s="397" t="s">
        <v>885</v>
      </c>
      <c r="BD29" s="398">
        <v>86232</v>
      </c>
      <c r="BE29" s="399">
        <v>3320</v>
      </c>
      <c r="BF29" s="400">
        <v>89552</v>
      </c>
      <c r="BG29" s="401">
        <v>266</v>
      </c>
      <c r="BI29" s="395"/>
      <c r="BJ29" s="395"/>
    </row>
    <row r="30" spans="1:155" ht="14.4" thickBot="1">
      <c r="A30" s="418" t="s">
        <v>16</v>
      </c>
      <c r="B30" s="417">
        <f t="shared" ref="B30:AW30" si="29">SUM(B20:B29)</f>
        <v>2687588</v>
      </c>
      <c r="C30" s="419">
        <f t="shared" si="29"/>
        <v>81057</v>
      </c>
      <c r="D30" s="419">
        <f t="shared" si="29"/>
        <v>2768645</v>
      </c>
      <c r="E30" s="420">
        <f t="shared" si="29"/>
        <v>15339</v>
      </c>
      <c r="F30" s="417">
        <f t="shared" si="29"/>
        <v>2698161</v>
      </c>
      <c r="G30" s="419">
        <f t="shared" si="29"/>
        <v>81437</v>
      </c>
      <c r="H30" s="419">
        <f t="shared" si="29"/>
        <v>2779598</v>
      </c>
      <c r="I30" s="420">
        <f t="shared" si="29"/>
        <v>15409</v>
      </c>
      <c r="J30" s="417">
        <f t="shared" si="29"/>
        <v>2709534</v>
      </c>
      <c r="K30" s="419">
        <f t="shared" si="29"/>
        <v>81816</v>
      </c>
      <c r="L30" s="419">
        <f t="shared" si="29"/>
        <v>2791350</v>
      </c>
      <c r="M30" s="420">
        <f t="shared" si="29"/>
        <v>15491</v>
      </c>
      <c r="N30" s="417">
        <f t="shared" si="29"/>
        <v>2718909</v>
      </c>
      <c r="O30" s="419">
        <f t="shared" si="29"/>
        <v>82144</v>
      </c>
      <c r="P30" s="419">
        <f t="shared" si="29"/>
        <v>2801053</v>
      </c>
      <c r="Q30" s="420">
        <f t="shared" si="29"/>
        <v>15560</v>
      </c>
      <c r="R30" s="417">
        <f t="shared" si="29"/>
        <v>2728769</v>
      </c>
      <c r="S30" s="419">
        <f t="shared" si="29"/>
        <v>82359</v>
      </c>
      <c r="T30" s="419">
        <f t="shared" si="29"/>
        <v>2811128</v>
      </c>
      <c r="U30" s="420">
        <f t="shared" si="29"/>
        <v>15631</v>
      </c>
      <c r="V30" s="417">
        <f t="shared" si="29"/>
        <v>2736892</v>
      </c>
      <c r="W30" s="419">
        <f t="shared" si="29"/>
        <v>82677</v>
      </c>
      <c r="X30" s="419">
        <f t="shared" si="29"/>
        <v>2819569</v>
      </c>
      <c r="Y30" s="420">
        <f t="shared" si="29"/>
        <v>15700</v>
      </c>
      <c r="Z30" s="417">
        <f t="shared" si="29"/>
        <v>2745629</v>
      </c>
      <c r="AA30" s="419">
        <f t="shared" si="29"/>
        <v>83159</v>
      </c>
      <c r="AB30" s="419">
        <f t="shared" si="29"/>
        <v>2828788</v>
      </c>
      <c r="AC30" s="420">
        <f t="shared" si="29"/>
        <v>15766</v>
      </c>
      <c r="AD30" s="417">
        <f t="shared" si="29"/>
        <v>2755652</v>
      </c>
      <c r="AE30" s="419">
        <f t="shared" si="29"/>
        <v>83446</v>
      </c>
      <c r="AF30" s="419">
        <f t="shared" si="29"/>
        <v>2839098</v>
      </c>
      <c r="AG30" s="420">
        <f t="shared" si="29"/>
        <v>15831</v>
      </c>
      <c r="AH30" s="417">
        <f t="shared" si="29"/>
        <v>0</v>
      </c>
      <c r="AI30" s="419">
        <f t="shared" si="29"/>
        <v>0</v>
      </c>
      <c r="AJ30" s="419">
        <f t="shared" si="29"/>
        <v>0</v>
      </c>
      <c r="AK30" s="420">
        <f t="shared" si="29"/>
        <v>0</v>
      </c>
      <c r="AL30" s="417">
        <f t="shared" si="29"/>
        <v>0</v>
      </c>
      <c r="AM30" s="419">
        <f t="shared" si="29"/>
        <v>0</v>
      </c>
      <c r="AN30" s="419">
        <f t="shared" si="29"/>
        <v>0</v>
      </c>
      <c r="AO30" s="420">
        <f t="shared" si="29"/>
        <v>0</v>
      </c>
      <c r="AP30" s="1117">
        <f t="shared" si="29"/>
        <v>0</v>
      </c>
      <c r="AQ30" s="419">
        <f t="shared" si="29"/>
        <v>0</v>
      </c>
      <c r="AR30" s="419">
        <f t="shared" si="29"/>
        <v>0</v>
      </c>
      <c r="AS30" s="420">
        <f t="shared" si="29"/>
        <v>0</v>
      </c>
      <c r="AT30" s="417">
        <f t="shared" si="29"/>
        <v>0</v>
      </c>
      <c r="AU30" s="419">
        <f t="shared" si="29"/>
        <v>0</v>
      </c>
      <c r="AV30" s="419">
        <f t="shared" si="29"/>
        <v>0</v>
      </c>
      <c r="AW30" s="420">
        <f t="shared" si="29"/>
        <v>0</v>
      </c>
      <c r="AY30" s="395">
        <f>AF30</f>
        <v>2839098</v>
      </c>
      <c r="AZ30" s="395">
        <f>AG30</f>
        <v>15831</v>
      </c>
      <c r="BA30" s="395">
        <f>AB30+AC30+gaz!X30+gaz!Y30</f>
        <v>4625440</v>
      </c>
      <c r="BD30" s="398">
        <f>SUM(BD20:BD29)</f>
        <v>2680040</v>
      </c>
      <c r="BE30" s="399">
        <f>SUM(BE20:BE29)</f>
        <v>80882</v>
      </c>
      <c r="BF30" s="400">
        <f>SUM(BF20:BF29)</f>
        <v>2760922</v>
      </c>
      <c r="BG30" s="401">
        <f>SUM(BG20:BG29)</f>
        <v>15284</v>
      </c>
    </row>
    <row r="31" spans="1:155" s="487" customFormat="1">
      <c r="A31" s="483"/>
      <c r="B31" s="631"/>
      <c r="C31" s="631"/>
      <c r="D31" s="483"/>
      <c r="E31" s="631"/>
      <c r="F31" s="483"/>
      <c r="G31" s="483"/>
      <c r="H31" s="483"/>
      <c r="I31" s="483"/>
      <c r="J31" s="483"/>
      <c r="K31" s="483"/>
      <c r="L31" s="483"/>
      <c r="M31" s="483"/>
      <c r="N31" s="483"/>
      <c r="O31" s="483"/>
      <c r="P31" s="483"/>
      <c r="Q31" s="483"/>
      <c r="R31" s="483"/>
      <c r="S31" s="483"/>
      <c r="T31" s="483"/>
      <c r="U31" s="483"/>
      <c r="V31" s="483"/>
      <c r="W31" s="483"/>
      <c r="X31" s="483"/>
      <c r="Y31" s="483"/>
      <c r="Z31" s="483"/>
      <c r="AA31" s="483"/>
      <c r="AB31" s="483"/>
      <c r="AC31" s="483"/>
      <c r="AD31" s="483"/>
      <c r="AE31" s="483"/>
      <c r="AF31" s="631">
        <f>AJ30+AK30</f>
        <v>0</v>
      </c>
      <c r="AG31" s="483"/>
      <c r="AH31" s="483"/>
      <c r="AI31" s="483"/>
      <c r="AJ31" s="483"/>
      <c r="AK31" s="483"/>
      <c r="AL31" s="483"/>
      <c r="AM31" s="483"/>
      <c r="AN31" s="483"/>
      <c r="AO31" s="483"/>
      <c r="AP31" s="1110"/>
      <c r="AQ31" s="483"/>
      <c r="AR31" s="631">
        <f>AR30+AS30</f>
        <v>0</v>
      </c>
      <c r="AS31" s="483"/>
      <c r="AT31" s="1276"/>
      <c r="AU31" s="1276"/>
      <c r="AV31" s="632"/>
      <c r="AW31" s="632"/>
      <c r="AX31" s="483"/>
      <c r="AY31" s="631"/>
      <c r="AZ31" s="483"/>
      <c r="BA31" s="483"/>
      <c r="BD31" s="623"/>
      <c r="BI31" s="395"/>
      <c r="BJ31" s="395"/>
    </row>
    <row r="32" spans="1:155">
      <c r="A32" s="424"/>
      <c r="B32" s="424"/>
      <c r="C32" s="424"/>
      <c r="D32" s="424"/>
      <c r="E32" s="424"/>
      <c r="F32" s="424"/>
      <c r="G32" s="424"/>
      <c r="H32" s="424"/>
      <c r="I32" s="424"/>
      <c r="J32" s="424"/>
      <c r="K32" s="424"/>
      <c r="L32" s="424"/>
      <c r="M32" s="424"/>
      <c r="N32" s="424"/>
      <c r="O32" s="424"/>
      <c r="P32" s="424"/>
      <c r="Q32" s="424"/>
      <c r="R32" s="424"/>
      <c r="S32" s="424"/>
      <c r="T32" s="424"/>
      <c r="U32" s="424"/>
      <c r="V32" s="424"/>
      <c r="W32" s="424"/>
      <c r="X32" s="632">
        <f>L30+X62+T62+P62</f>
        <v>2819569</v>
      </c>
      <c r="Y32" s="424"/>
      <c r="Z32" s="425"/>
      <c r="AA32" s="424"/>
      <c r="AB32" s="424"/>
      <c r="AC32" s="424"/>
      <c r="AD32" s="424"/>
      <c r="AE32" s="424"/>
      <c r="AF32" s="424"/>
      <c r="AG32" s="483"/>
      <c r="AH32" s="424"/>
      <c r="AI32" s="424"/>
      <c r="AJ32" s="424"/>
      <c r="AK32" s="424"/>
      <c r="AL32" s="424"/>
      <c r="AM32" s="424"/>
      <c r="AN32" s="424"/>
      <c r="AO32" s="424"/>
      <c r="AP32" s="1111"/>
      <c r="AQ32" s="424"/>
      <c r="AR32" s="1104">
        <v>2265942</v>
      </c>
      <c r="AS32" s="424"/>
      <c r="AT32" s="632"/>
      <c r="AU32" s="1276"/>
      <c r="AV32" s="1276"/>
      <c r="AW32" s="632"/>
      <c r="AX32" s="427"/>
      <c r="AY32" s="424"/>
      <c r="AZ32" s="424"/>
      <c r="BA32" s="424"/>
      <c r="BF32" s="395"/>
    </row>
    <row r="33" spans="1:73" ht="18">
      <c r="A33" s="393" t="s">
        <v>644</v>
      </c>
      <c r="AR33" s="1105">
        <f>AR32-AR31</f>
        <v>2265942</v>
      </c>
      <c r="AT33" s="1277"/>
      <c r="AU33" s="1277"/>
      <c r="AV33" s="1277"/>
      <c r="AW33" s="1277"/>
      <c r="BF33" s="395"/>
      <c r="BI33" s="395"/>
      <c r="BJ33" s="395"/>
    </row>
    <row r="34" spans="1:73" ht="18.600000000000001" thickBot="1">
      <c r="A34" s="394">
        <f>A2</f>
        <v>2023</v>
      </c>
      <c r="U34" s="395">
        <f>U37+Q37+M37+I37+E37</f>
        <v>17</v>
      </c>
    </row>
    <row r="35" spans="1:73">
      <c r="A35" s="2815" t="s">
        <v>308</v>
      </c>
      <c r="B35" s="2827" t="s">
        <v>71</v>
      </c>
      <c r="C35" s="2828"/>
      <c r="D35" s="2828"/>
      <c r="E35" s="3091"/>
      <c r="F35" s="2829" t="s">
        <v>72</v>
      </c>
      <c r="G35" s="2830"/>
      <c r="H35" s="2830"/>
      <c r="I35" s="3095"/>
      <c r="J35" s="2817" t="s">
        <v>73</v>
      </c>
      <c r="K35" s="2818"/>
      <c r="L35" s="2818"/>
      <c r="M35" s="3094"/>
      <c r="N35" s="2819" t="s">
        <v>74</v>
      </c>
      <c r="O35" s="2820"/>
      <c r="P35" s="2820"/>
      <c r="Q35" s="3090"/>
      <c r="R35" s="2821" t="s">
        <v>75</v>
      </c>
      <c r="S35" s="2822"/>
      <c r="T35" s="2822"/>
      <c r="U35" s="3093"/>
      <c r="V35" s="2823" t="s">
        <v>76</v>
      </c>
      <c r="W35" s="2824"/>
      <c r="X35" s="2824"/>
      <c r="Y35" s="3089"/>
      <c r="Z35" s="2827" t="s">
        <v>77</v>
      </c>
      <c r="AA35" s="2828"/>
      <c r="AB35" s="2828"/>
      <c r="AC35" s="3091"/>
      <c r="AD35" s="2829" t="s">
        <v>78</v>
      </c>
      <c r="AE35" s="2830"/>
      <c r="AF35" s="2830"/>
      <c r="AG35" s="3095"/>
      <c r="AH35" s="2817" t="s">
        <v>79</v>
      </c>
      <c r="AI35" s="2818"/>
      <c r="AJ35" s="2818"/>
      <c r="AK35" s="3094"/>
      <c r="AL35" s="2819" t="s">
        <v>80</v>
      </c>
      <c r="AM35" s="2820"/>
      <c r="AN35" s="2820"/>
      <c r="AO35" s="3090"/>
      <c r="AP35" s="2821" t="s">
        <v>81</v>
      </c>
      <c r="AQ35" s="2822"/>
      <c r="AR35" s="2822"/>
      <c r="AS35" s="3093"/>
      <c r="AT35" s="2823" t="s">
        <v>82</v>
      </c>
      <c r="AU35" s="2824"/>
      <c r="AV35" s="2824"/>
      <c r="AW35" s="3089"/>
      <c r="AX35" s="2825" t="s">
        <v>83</v>
      </c>
      <c r="AY35" s="2826"/>
      <c r="AZ35" s="2826"/>
      <c r="BA35" s="3088"/>
      <c r="BB35" s="634"/>
      <c r="BF35" s="430"/>
      <c r="BG35" s="430"/>
      <c r="BH35" s="430"/>
      <c r="BI35" s="395"/>
      <c r="BJ35" s="395"/>
      <c r="BK35" s="430"/>
      <c r="BL35" s="430"/>
      <c r="BM35" s="430"/>
      <c r="BN35" s="430"/>
      <c r="BO35" s="430"/>
      <c r="BP35" s="430"/>
      <c r="BQ35" s="430"/>
      <c r="BR35" s="430"/>
      <c r="BS35" s="430"/>
      <c r="BT35" s="430"/>
      <c r="BU35" s="430"/>
    </row>
    <row r="36" spans="1:73" ht="14.4" thickBot="1">
      <c r="A36" s="2816"/>
      <c r="B36" s="402" t="s">
        <v>17</v>
      </c>
      <c r="C36" s="403" t="s">
        <v>18</v>
      </c>
      <c r="D36" s="403" t="s">
        <v>52</v>
      </c>
      <c r="E36" s="404" t="s">
        <v>19</v>
      </c>
      <c r="F36" s="402" t="s">
        <v>17</v>
      </c>
      <c r="G36" s="403" t="s">
        <v>18</v>
      </c>
      <c r="H36" s="403" t="s">
        <v>52</v>
      </c>
      <c r="I36" s="404" t="s">
        <v>19</v>
      </c>
      <c r="J36" s="402" t="s">
        <v>17</v>
      </c>
      <c r="K36" s="403" t="s">
        <v>18</v>
      </c>
      <c r="L36" s="403" t="s">
        <v>52</v>
      </c>
      <c r="M36" s="404" t="s">
        <v>19</v>
      </c>
      <c r="N36" s="402" t="s">
        <v>17</v>
      </c>
      <c r="O36" s="403" t="s">
        <v>18</v>
      </c>
      <c r="P36" s="403" t="s">
        <v>52</v>
      </c>
      <c r="Q36" s="404" t="s">
        <v>19</v>
      </c>
      <c r="R36" s="402" t="s">
        <v>17</v>
      </c>
      <c r="S36" s="403" t="s">
        <v>18</v>
      </c>
      <c r="T36" s="403" t="s">
        <v>52</v>
      </c>
      <c r="U36" s="404" t="s">
        <v>19</v>
      </c>
      <c r="V36" s="402" t="s">
        <v>17</v>
      </c>
      <c r="W36" s="403" t="s">
        <v>18</v>
      </c>
      <c r="X36" s="403" t="s">
        <v>52</v>
      </c>
      <c r="Y36" s="404" t="s">
        <v>19</v>
      </c>
      <c r="Z36" s="402" t="s">
        <v>17</v>
      </c>
      <c r="AA36" s="403" t="s">
        <v>18</v>
      </c>
      <c r="AB36" s="403" t="s">
        <v>52</v>
      </c>
      <c r="AC36" s="404" t="s">
        <v>19</v>
      </c>
      <c r="AD36" s="402" t="s">
        <v>17</v>
      </c>
      <c r="AE36" s="403" t="s">
        <v>18</v>
      </c>
      <c r="AF36" s="403" t="s">
        <v>52</v>
      </c>
      <c r="AG36" s="404" t="s">
        <v>19</v>
      </c>
      <c r="AH36" s="402" t="s">
        <v>17</v>
      </c>
      <c r="AI36" s="403" t="s">
        <v>18</v>
      </c>
      <c r="AJ36" s="403" t="s">
        <v>52</v>
      </c>
      <c r="AK36" s="404" t="s">
        <v>19</v>
      </c>
      <c r="AL36" s="402" t="s">
        <v>17</v>
      </c>
      <c r="AM36" s="403" t="s">
        <v>18</v>
      </c>
      <c r="AN36" s="403" t="s">
        <v>52</v>
      </c>
      <c r="AO36" s="404" t="s">
        <v>19</v>
      </c>
      <c r="AP36" s="1107" t="s">
        <v>17</v>
      </c>
      <c r="AQ36" s="403" t="s">
        <v>18</v>
      </c>
      <c r="AR36" s="403" t="s">
        <v>52</v>
      </c>
      <c r="AS36" s="404" t="s">
        <v>19</v>
      </c>
      <c r="AT36" s="402" t="s">
        <v>17</v>
      </c>
      <c r="AU36" s="403" t="s">
        <v>18</v>
      </c>
      <c r="AV36" s="403" t="s">
        <v>52</v>
      </c>
      <c r="AW36" s="404" t="s">
        <v>19</v>
      </c>
      <c r="AX36" s="403" t="s">
        <v>17</v>
      </c>
      <c r="AY36" s="403" t="s">
        <v>18</v>
      </c>
      <c r="AZ36" s="403" t="s">
        <v>52</v>
      </c>
      <c r="BA36" s="431" t="s">
        <v>19</v>
      </c>
      <c r="BC36" s="117" t="s">
        <v>342</v>
      </c>
      <c r="BD36" s="117" t="s">
        <v>176</v>
      </c>
      <c r="BE36" s="117" t="s">
        <v>177</v>
      </c>
    </row>
    <row r="37" spans="1:73" ht="14.4" thickBot="1">
      <c r="A37" s="397" t="s">
        <v>6</v>
      </c>
      <c r="B37" s="398">
        <f t="shared" ref="B37:B46" si="30">B5-BD5</f>
        <v>491</v>
      </c>
      <c r="C37" s="399">
        <f t="shared" ref="C37:C46" si="31">C5-BE5</f>
        <v>3</v>
      </c>
      <c r="D37" s="400">
        <f>+B37+C37</f>
        <v>494</v>
      </c>
      <c r="E37" s="401">
        <f t="shared" ref="E37:E46" si="32">E5-BG5</f>
        <v>-1</v>
      </c>
      <c r="F37" s="398">
        <f t="shared" ref="F37:F46" si="33">F5-B5</f>
        <v>2468</v>
      </c>
      <c r="G37" s="398">
        <f t="shared" ref="G37:G46" si="34">G5-C5</f>
        <v>27</v>
      </c>
      <c r="H37" s="400">
        <f>+F37+G37</f>
        <v>2495</v>
      </c>
      <c r="I37" s="401">
        <f t="shared" ref="I37:I46" si="35">I5-E5</f>
        <v>3</v>
      </c>
      <c r="J37" s="398">
        <f t="shared" ref="J37:J46" si="36">J5-F5</f>
        <v>1905</v>
      </c>
      <c r="K37" s="398">
        <f t="shared" ref="K37:K46" si="37">K5-G5</f>
        <v>26</v>
      </c>
      <c r="L37" s="400">
        <f>+J37+K37</f>
        <v>1931</v>
      </c>
      <c r="M37" s="401">
        <f t="shared" ref="M37:M46" si="38">M5-I5</f>
        <v>6</v>
      </c>
      <c r="N37" s="398">
        <f t="shared" ref="N37:N46" si="39">N5-J5</f>
        <v>769</v>
      </c>
      <c r="O37" s="398">
        <f t="shared" ref="O37:O46" si="40">O5-K5</f>
        <v>19</v>
      </c>
      <c r="P37" s="400">
        <f>+N37+O37</f>
        <v>788</v>
      </c>
      <c r="Q37" s="401">
        <f t="shared" ref="Q37:Q46" si="41">Q5-M5</f>
        <v>5</v>
      </c>
      <c r="R37" s="398">
        <f t="shared" ref="R37:R46" si="42">R5-N5</f>
        <v>1975</v>
      </c>
      <c r="S37" s="399">
        <f t="shared" ref="S37:S46" si="43">S5-O5</f>
        <v>24</v>
      </c>
      <c r="T37" s="400">
        <f>+R37+S37</f>
        <v>1999</v>
      </c>
      <c r="U37" s="401">
        <f t="shared" ref="U37:U46" si="44">U5-Q5</f>
        <v>4</v>
      </c>
      <c r="V37" s="398">
        <f t="shared" ref="V37:V42" si="45">V5-R5</f>
        <v>3052</v>
      </c>
      <c r="W37" s="399">
        <f t="shared" ref="W37:W46" si="46">W5-S5</f>
        <v>16</v>
      </c>
      <c r="X37" s="400">
        <f>+V37+W37</f>
        <v>3068</v>
      </c>
      <c r="Y37" s="401">
        <f t="shared" ref="Y37:Y46" si="47">Y5-U5</f>
        <v>5</v>
      </c>
      <c r="Z37" s="398">
        <f t="shared" ref="Z37:Z42" si="48">Z5-V5</f>
        <v>1705</v>
      </c>
      <c r="AA37" s="399">
        <f t="shared" ref="AA37:AA46" si="49">AA5-W5</f>
        <v>23</v>
      </c>
      <c r="AB37" s="400">
        <f>+Z37+AA37</f>
        <v>1728</v>
      </c>
      <c r="AC37" s="401">
        <f t="shared" ref="AC37:AC46" si="50">AC5-Y5</f>
        <v>7</v>
      </c>
      <c r="AD37" s="398">
        <f t="shared" ref="AD37:AD42" si="51">AD5-Z5</f>
        <v>524</v>
      </c>
      <c r="AE37" s="399">
        <f t="shared" ref="AE37:AE46" si="52">AE5-AA5</f>
        <v>8</v>
      </c>
      <c r="AF37" s="400">
        <f>+AD37+AE37</f>
        <v>532</v>
      </c>
      <c r="AG37" s="401">
        <f t="shared" ref="AG37:AG46" si="53">AG5-AC5</f>
        <v>6</v>
      </c>
      <c r="AH37" s="398"/>
      <c r="AI37" s="399"/>
      <c r="AJ37" s="400">
        <f>+AH37+AI37</f>
        <v>0</v>
      </c>
      <c r="AK37" s="401"/>
      <c r="AL37" s="398">
        <f t="shared" ref="AL37:AL42" si="54">AL5-AH5</f>
        <v>0</v>
      </c>
      <c r="AM37" s="399">
        <f t="shared" ref="AM37:AM46" si="55">AM5-AI5</f>
        <v>0</v>
      </c>
      <c r="AN37" s="400">
        <f>+AL37+AM37</f>
        <v>0</v>
      </c>
      <c r="AO37" s="401">
        <f t="shared" ref="AO37:AO46" si="56">AO5-AK5</f>
        <v>0</v>
      </c>
      <c r="AP37" s="398">
        <f t="shared" ref="AP37:AP42" si="57">AP5-AL5</f>
        <v>0</v>
      </c>
      <c r="AQ37" s="399">
        <f t="shared" ref="AQ37:AQ46" si="58">AQ5-AM5</f>
        <v>0</v>
      </c>
      <c r="AR37" s="400">
        <f>+AP37+AQ37</f>
        <v>0</v>
      </c>
      <c r="AS37" s="401">
        <f t="shared" ref="AS37:AS46" si="59">AS5-AO5</f>
        <v>0</v>
      </c>
      <c r="AT37" s="398">
        <f t="shared" ref="AT37:AT42" si="60">AT5-AP5</f>
        <v>0</v>
      </c>
      <c r="AU37" s="399">
        <f t="shared" ref="AU37:AU46" si="61">AU5-AQ5</f>
        <v>0</v>
      </c>
      <c r="AV37" s="400">
        <f>+AT37+AU37</f>
        <v>0</v>
      </c>
      <c r="AW37" s="401">
        <f t="shared" ref="AW37:AW46" si="62">AW5-AS5</f>
        <v>0</v>
      </c>
      <c r="AX37" s="432">
        <f>B37+F37+J37+N37+R37+V37+Z37+AD37+AH37+AL37+AP37+AT37</f>
        <v>12889</v>
      </c>
      <c r="AY37" s="432">
        <f t="shared" ref="AY37:AY46" si="63">C37+G37+K37+O37+S37+W37+AA37+AE37+AI37+AM37+AQ37+AU37</f>
        <v>146</v>
      </c>
      <c r="AZ37" s="432">
        <f>AX37+AY37</f>
        <v>13035</v>
      </c>
      <c r="BA37" s="432">
        <f t="shared" ref="BA37:BA46" si="64">E37+I37+M37+Q37+U37+Y37+AC37+AG37+AK37+AO37+AS37+AW37</f>
        <v>35</v>
      </c>
      <c r="BC37" s="395">
        <f>AF37+AG37</f>
        <v>538</v>
      </c>
      <c r="BD37" s="395">
        <f>AF37</f>
        <v>532</v>
      </c>
      <c r="BE37" s="395">
        <f>AG37</f>
        <v>6</v>
      </c>
      <c r="BI37" s="395"/>
      <c r="BJ37" s="395"/>
    </row>
    <row r="38" spans="1:73" ht="14.4" thickBot="1">
      <c r="A38" s="397" t="s">
        <v>7</v>
      </c>
      <c r="B38" s="398">
        <f t="shared" si="30"/>
        <v>277</v>
      </c>
      <c r="C38" s="399">
        <f t="shared" si="31"/>
        <v>3</v>
      </c>
      <c r="D38" s="400">
        <f>+B38+C38</f>
        <v>280</v>
      </c>
      <c r="E38" s="401">
        <f t="shared" si="32"/>
        <v>0</v>
      </c>
      <c r="F38" s="398">
        <f t="shared" si="33"/>
        <v>1196</v>
      </c>
      <c r="G38" s="398">
        <f t="shared" si="34"/>
        <v>10</v>
      </c>
      <c r="H38" s="400">
        <f>+F38+G38</f>
        <v>1206</v>
      </c>
      <c r="I38" s="401">
        <f t="shared" si="35"/>
        <v>9</v>
      </c>
      <c r="J38" s="398">
        <f t="shared" si="36"/>
        <v>1383</v>
      </c>
      <c r="K38" s="398">
        <f t="shared" si="37"/>
        <v>-17</v>
      </c>
      <c r="L38" s="400">
        <f>+J38+K38</f>
        <v>1366</v>
      </c>
      <c r="M38" s="401">
        <f t="shared" si="38"/>
        <v>7</v>
      </c>
      <c r="N38" s="398">
        <f t="shared" si="39"/>
        <v>801</v>
      </c>
      <c r="O38" s="398">
        <f t="shared" si="40"/>
        <v>57</v>
      </c>
      <c r="P38" s="400">
        <f>+N38+O38</f>
        <v>858</v>
      </c>
      <c r="Q38" s="401">
        <f t="shared" si="41"/>
        <v>3</v>
      </c>
      <c r="R38" s="398">
        <f t="shared" si="42"/>
        <v>841</v>
      </c>
      <c r="S38" s="399">
        <f t="shared" si="43"/>
        <v>34</v>
      </c>
      <c r="T38" s="400">
        <f>+R38+S38</f>
        <v>875</v>
      </c>
      <c r="U38" s="401">
        <f t="shared" si="44"/>
        <v>-8</v>
      </c>
      <c r="V38" s="398">
        <f t="shared" si="45"/>
        <v>510</v>
      </c>
      <c r="W38" s="399">
        <f t="shared" si="46"/>
        <v>15</v>
      </c>
      <c r="X38" s="400">
        <f>+V38+W38</f>
        <v>525</v>
      </c>
      <c r="Y38" s="401">
        <f t="shared" si="47"/>
        <v>0</v>
      </c>
      <c r="Z38" s="398">
        <f t="shared" si="48"/>
        <v>406</v>
      </c>
      <c r="AA38" s="399">
        <f t="shared" si="49"/>
        <v>13</v>
      </c>
      <c r="AB38" s="400">
        <f>+Z38+AA38</f>
        <v>419</v>
      </c>
      <c r="AC38" s="401">
        <f t="shared" si="50"/>
        <v>11</v>
      </c>
      <c r="AD38" s="398">
        <f t="shared" si="51"/>
        <v>637</v>
      </c>
      <c r="AE38" s="399">
        <f t="shared" si="52"/>
        <v>34</v>
      </c>
      <c r="AF38" s="400">
        <f>+AD38+AE38</f>
        <v>671</v>
      </c>
      <c r="AG38" s="401">
        <f t="shared" si="53"/>
        <v>1</v>
      </c>
      <c r="AH38" s="398"/>
      <c r="AI38" s="399"/>
      <c r="AJ38" s="400">
        <f>+AH38+AI38</f>
        <v>0</v>
      </c>
      <c r="AK38" s="401"/>
      <c r="AL38" s="398">
        <f t="shared" si="54"/>
        <v>0</v>
      </c>
      <c r="AM38" s="399">
        <f t="shared" si="55"/>
        <v>0</v>
      </c>
      <c r="AN38" s="400">
        <f>+AL38+AM38</f>
        <v>0</v>
      </c>
      <c r="AO38" s="401">
        <f t="shared" si="56"/>
        <v>0</v>
      </c>
      <c r="AP38" s="398">
        <f t="shared" si="57"/>
        <v>0</v>
      </c>
      <c r="AQ38" s="399">
        <f t="shared" si="58"/>
        <v>0</v>
      </c>
      <c r="AR38" s="400">
        <f>+AP38+AQ38</f>
        <v>0</v>
      </c>
      <c r="AS38" s="401">
        <f t="shared" si="59"/>
        <v>0</v>
      </c>
      <c r="AT38" s="398">
        <f t="shared" si="60"/>
        <v>0</v>
      </c>
      <c r="AU38" s="399">
        <f t="shared" si="61"/>
        <v>0</v>
      </c>
      <c r="AV38" s="400">
        <f>+AT38+AU38</f>
        <v>0</v>
      </c>
      <c r="AW38" s="401">
        <f t="shared" si="62"/>
        <v>0</v>
      </c>
      <c r="AX38" s="432">
        <f t="shared" ref="AX38:AX46" si="65">B38+F38+J38+N38+R38+V38+Z38+AD38+AH38+AL38+AP38+AT38</f>
        <v>6051</v>
      </c>
      <c r="AY38" s="432">
        <f t="shared" si="63"/>
        <v>149</v>
      </c>
      <c r="AZ38" s="432">
        <f t="shared" ref="AZ38:AZ46" si="66">AX38+AY38</f>
        <v>6200</v>
      </c>
      <c r="BA38" s="432">
        <f t="shared" si="64"/>
        <v>23</v>
      </c>
      <c r="BC38" s="395">
        <f t="shared" ref="BC38:BC47" si="67">AF38+AG38</f>
        <v>672</v>
      </c>
      <c r="BD38" s="395">
        <f t="shared" ref="BD38:BD47" si="68">AF38</f>
        <v>671</v>
      </c>
      <c r="BE38" s="395">
        <f t="shared" ref="BE38:BE47" si="69">AG38</f>
        <v>1</v>
      </c>
    </row>
    <row r="39" spans="1:73" ht="14.4" thickBot="1">
      <c r="A39" s="397" t="s">
        <v>8</v>
      </c>
      <c r="B39" s="398">
        <f t="shared" si="30"/>
        <v>1309</v>
      </c>
      <c r="C39" s="399">
        <f t="shared" si="31"/>
        <v>38</v>
      </c>
      <c r="D39" s="400">
        <f>+B39+C39</f>
        <v>1347</v>
      </c>
      <c r="E39" s="401">
        <f t="shared" si="32"/>
        <v>3</v>
      </c>
      <c r="F39" s="398">
        <f t="shared" si="33"/>
        <v>876</v>
      </c>
      <c r="G39" s="398">
        <f t="shared" si="34"/>
        <v>35</v>
      </c>
      <c r="H39" s="400">
        <f>+F39+G39</f>
        <v>911</v>
      </c>
      <c r="I39" s="401">
        <f t="shared" si="35"/>
        <v>3</v>
      </c>
      <c r="J39" s="398">
        <f t="shared" si="36"/>
        <v>829</v>
      </c>
      <c r="K39" s="398">
        <f t="shared" si="37"/>
        <v>28</v>
      </c>
      <c r="L39" s="400">
        <f>+J39+K39</f>
        <v>857</v>
      </c>
      <c r="M39" s="401">
        <f t="shared" si="38"/>
        <v>3</v>
      </c>
      <c r="N39" s="398">
        <f t="shared" si="39"/>
        <v>794</v>
      </c>
      <c r="O39" s="398">
        <f t="shared" si="40"/>
        <v>30</v>
      </c>
      <c r="P39" s="400">
        <f>+N39+O39</f>
        <v>824</v>
      </c>
      <c r="Q39" s="401">
        <f t="shared" si="41"/>
        <v>2</v>
      </c>
      <c r="R39" s="398">
        <f t="shared" si="42"/>
        <v>532</v>
      </c>
      <c r="S39" s="399">
        <f t="shared" si="43"/>
        <v>-6</v>
      </c>
      <c r="T39" s="400">
        <f>+R39+S39</f>
        <v>526</v>
      </c>
      <c r="U39" s="401">
        <f t="shared" si="44"/>
        <v>2</v>
      </c>
      <c r="V39" s="398">
        <f t="shared" si="45"/>
        <v>671</v>
      </c>
      <c r="W39" s="399">
        <f t="shared" si="46"/>
        <v>49</v>
      </c>
      <c r="X39" s="400">
        <f>+V39+W39</f>
        <v>720</v>
      </c>
      <c r="Y39" s="401">
        <f t="shared" si="47"/>
        <v>3</v>
      </c>
      <c r="Z39" s="398">
        <f t="shared" si="48"/>
        <v>600</v>
      </c>
      <c r="AA39" s="399">
        <f t="shared" si="49"/>
        <v>37</v>
      </c>
      <c r="AB39" s="400">
        <f>+Z39+AA39</f>
        <v>637</v>
      </c>
      <c r="AC39" s="401">
        <f t="shared" si="50"/>
        <v>5</v>
      </c>
      <c r="AD39" s="398">
        <f t="shared" si="51"/>
        <v>1085</v>
      </c>
      <c r="AE39" s="399">
        <f t="shared" si="52"/>
        <v>18</v>
      </c>
      <c r="AF39" s="400">
        <f>+AD39+AE39</f>
        <v>1103</v>
      </c>
      <c r="AG39" s="401">
        <f t="shared" si="53"/>
        <v>6</v>
      </c>
      <c r="AH39" s="398"/>
      <c r="AI39" s="399"/>
      <c r="AJ39" s="400">
        <f>+AH39+AI39</f>
        <v>0</v>
      </c>
      <c r="AK39" s="401"/>
      <c r="AL39" s="398">
        <f t="shared" si="54"/>
        <v>0</v>
      </c>
      <c r="AM39" s="399">
        <f t="shared" si="55"/>
        <v>0</v>
      </c>
      <c r="AN39" s="400">
        <f>+AL39+AM39</f>
        <v>0</v>
      </c>
      <c r="AO39" s="401">
        <f t="shared" si="56"/>
        <v>0</v>
      </c>
      <c r="AP39" s="398">
        <f t="shared" si="57"/>
        <v>0</v>
      </c>
      <c r="AQ39" s="399">
        <f t="shared" si="58"/>
        <v>0</v>
      </c>
      <c r="AR39" s="400">
        <f>+AP39+AQ39</f>
        <v>0</v>
      </c>
      <c r="AS39" s="401">
        <f t="shared" si="59"/>
        <v>0</v>
      </c>
      <c r="AT39" s="398">
        <f t="shared" si="60"/>
        <v>0</v>
      </c>
      <c r="AU39" s="399">
        <f t="shared" si="61"/>
        <v>0</v>
      </c>
      <c r="AV39" s="400">
        <f>+AT39+AU39</f>
        <v>0</v>
      </c>
      <c r="AW39" s="401">
        <f t="shared" si="62"/>
        <v>0</v>
      </c>
      <c r="AX39" s="432">
        <f t="shared" si="65"/>
        <v>6696</v>
      </c>
      <c r="AY39" s="432">
        <f t="shared" si="63"/>
        <v>229</v>
      </c>
      <c r="AZ39" s="432">
        <f t="shared" si="66"/>
        <v>6925</v>
      </c>
      <c r="BA39" s="432">
        <f t="shared" si="64"/>
        <v>27</v>
      </c>
      <c r="BC39" s="395">
        <f t="shared" si="67"/>
        <v>1109</v>
      </c>
      <c r="BD39" s="395">
        <f t="shared" si="68"/>
        <v>1103</v>
      </c>
      <c r="BE39" s="395">
        <f t="shared" si="69"/>
        <v>6</v>
      </c>
    </row>
    <row r="40" spans="1:73" ht="14.4" thickBot="1">
      <c r="A40" s="397" t="s">
        <v>4</v>
      </c>
      <c r="B40" s="398">
        <f t="shared" si="30"/>
        <v>898</v>
      </c>
      <c r="C40" s="399">
        <f t="shared" si="31"/>
        <v>18</v>
      </c>
      <c r="D40" s="400">
        <f t="shared" ref="D40:D46" si="70">+B40+C40</f>
        <v>916</v>
      </c>
      <c r="E40" s="401">
        <f t="shared" si="32"/>
        <v>2</v>
      </c>
      <c r="F40" s="398">
        <f t="shared" si="33"/>
        <v>1247</v>
      </c>
      <c r="G40" s="398">
        <f t="shared" si="34"/>
        <v>24</v>
      </c>
      <c r="H40" s="400">
        <f t="shared" ref="H40:H46" si="71">+F40+G40</f>
        <v>1271</v>
      </c>
      <c r="I40" s="401">
        <f t="shared" si="35"/>
        <v>3</v>
      </c>
      <c r="J40" s="398">
        <f t="shared" si="36"/>
        <v>1508</v>
      </c>
      <c r="K40" s="398">
        <f t="shared" si="37"/>
        <v>15</v>
      </c>
      <c r="L40" s="400">
        <f t="shared" ref="L40:L46" si="72">+J40+K40</f>
        <v>1523</v>
      </c>
      <c r="M40" s="401">
        <f t="shared" si="38"/>
        <v>4</v>
      </c>
      <c r="N40" s="398">
        <f t="shared" si="39"/>
        <v>1299</v>
      </c>
      <c r="O40" s="398">
        <f t="shared" si="40"/>
        <v>15</v>
      </c>
      <c r="P40" s="400">
        <f t="shared" ref="P40:P46" si="73">+N40+O40</f>
        <v>1314</v>
      </c>
      <c r="Q40" s="401">
        <f t="shared" si="41"/>
        <v>9</v>
      </c>
      <c r="R40" s="398">
        <f t="shared" si="42"/>
        <v>747</v>
      </c>
      <c r="S40" s="399">
        <f t="shared" si="43"/>
        <v>9</v>
      </c>
      <c r="T40" s="400">
        <f t="shared" ref="T40:T46" si="74">+R40+S40</f>
        <v>756</v>
      </c>
      <c r="U40" s="401">
        <f t="shared" si="44"/>
        <v>4</v>
      </c>
      <c r="V40" s="398">
        <f t="shared" si="45"/>
        <v>244</v>
      </c>
      <c r="W40" s="399">
        <f t="shared" si="46"/>
        <v>9</v>
      </c>
      <c r="X40" s="400">
        <f t="shared" ref="X40:X46" si="75">+V40+W40</f>
        <v>253</v>
      </c>
      <c r="Y40" s="401">
        <f t="shared" si="47"/>
        <v>2</v>
      </c>
      <c r="Z40" s="398">
        <f t="shared" si="48"/>
        <v>865</v>
      </c>
      <c r="AA40" s="399">
        <f t="shared" si="49"/>
        <v>17</v>
      </c>
      <c r="AB40" s="400">
        <f t="shared" ref="AB40:AB46" si="76">+Z40+AA40</f>
        <v>882</v>
      </c>
      <c r="AC40" s="401">
        <f t="shared" si="50"/>
        <v>4</v>
      </c>
      <c r="AD40" s="398">
        <f t="shared" si="51"/>
        <v>1962</v>
      </c>
      <c r="AE40" s="399">
        <f t="shared" si="52"/>
        <v>36</v>
      </c>
      <c r="AF40" s="400">
        <f t="shared" ref="AF40:AF46" si="77">+AD40+AE40</f>
        <v>1998</v>
      </c>
      <c r="AG40" s="401">
        <f t="shared" si="53"/>
        <v>2</v>
      </c>
      <c r="AH40" s="398"/>
      <c r="AI40" s="399"/>
      <c r="AJ40" s="400">
        <f t="shared" ref="AJ40:AJ46" si="78">+AH40+AI40</f>
        <v>0</v>
      </c>
      <c r="AK40" s="401"/>
      <c r="AL40" s="398">
        <f t="shared" si="54"/>
        <v>0</v>
      </c>
      <c r="AM40" s="399">
        <f t="shared" si="55"/>
        <v>0</v>
      </c>
      <c r="AN40" s="400">
        <f t="shared" ref="AN40:AN46" si="79">+AL40+AM40</f>
        <v>0</v>
      </c>
      <c r="AO40" s="401">
        <f t="shared" si="56"/>
        <v>0</v>
      </c>
      <c r="AP40" s="398">
        <f t="shared" si="57"/>
        <v>0</v>
      </c>
      <c r="AQ40" s="399">
        <f t="shared" si="58"/>
        <v>0</v>
      </c>
      <c r="AR40" s="400">
        <f t="shared" ref="AR40:AR46" si="80">+AP40+AQ40</f>
        <v>0</v>
      </c>
      <c r="AS40" s="401">
        <f t="shared" si="59"/>
        <v>0</v>
      </c>
      <c r="AT40" s="398">
        <f t="shared" si="60"/>
        <v>0</v>
      </c>
      <c r="AU40" s="399">
        <f t="shared" si="61"/>
        <v>0</v>
      </c>
      <c r="AV40" s="400">
        <f t="shared" ref="AV40:AV46" si="81">+AT40+AU40</f>
        <v>0</v>
      </c>
      <c r="AW40" s="401">
        <f t="shared" si="62"/>
        <v>0</v>
      </c>
      <c r="AX40" s="432">
        <f t="shared" si="65"/>
        <v>8770</v>
      </c>
      <c r="AY40" s="432">
        <f t="shared" si="63"/>
        <v>143</v>
      </c>
      <c r="AZ40" s="432">
        <f t="shared" si="66"/>
        <v>8913</v>
      </c>
      <c r="BA40" s="432">
        <f t="shared" si="64"/>
        <v>30</v>
      </c>
      <c r="BC40" s="395">
        <f t="shared" si="67"/>
        <v>2000</v>
      </c>
      <c r="BD40" s="395">
        <f t="shared" si="68"/>
        <v>1998</v>
      </c>
      <c r="BE40" s="395">
        <f t="shared" si="69"/>
        <v>2</v>
      </c>
    </row>
    <row r="41" spans="1:73" ht="14.4" thickBot="1">
      <c r="A41" s="397" t="s">
        <v>3</v>
      </c>
      <c r="B41" s="398">
        <f t="shared" si="30"/>
        <v>694</v>
      </c>
      <c r="C41" s="399">
        <f t="shared" si="31"/>
        <v>4</v>
      </c>
      <c r="D41" s="400">
        <f t="shared" si="70"/>
        <v>698</v>
      </c>
      <c r="E41" s="401">
        <f t="shared" si="32"/>
        <v>9</v>
      </c>
      <c r="F41" s="398">
        <f t="shared" si="33"/>
        <v>727</v>
      </c>
      <c r="G41" s="398">
        <f t="shared" si="34"/>
        <v>8</v>
      </c>
      <c r="H41" s="400">
        <f t="shared" si="71"/>
        <v>735</v>
      </c>
      <c r="I41" s="401">
        <f t="shared" si="35"/>
        <v>18</v>
      </c>
      <c r="J41" s="398">
        <f t="shared" si="36"/>
        <v>725</v>
      </c>
      <c r="K41" s="398">
        <f t="shared" si="37"/>
        <v>11</v>
      </c>
      <c r="L41" s="400">
        <f t="shared" si="72"/>
        <v>736</v>
      </c>
      <c r="M41" s="401">
        <f t="shared" si="38"/>
        <v>28</v>
      </c>
      <c r="N41" s="398">
        <f t="shared" si="39"/>
        <v>529</v>
      </c>
      <c r="O41" s="398">
        <f t="shared" si="40"/>
        <v>12</v>
      </c>
      <c r="P41" s="400">
        <f t="shared" si="73"/>
        <v>541</v>
      </c>
      <c r="Q41" s="401">
        <f t="shared" si="41"/>
        <v>20</v>
      </c>
      <c r="R41" s="398">
        <f t="shared" si="42"/>
        <v>357</v>
      </c>
      <c r="S41" s="399">
        <f t="shared" si="43"/>
        <v>5</v>
      </c>
      <c r="T41" s="400">
        <f t="shared" si="74"/>
        <v>362</v>
      </c>
      <c r="U41" s="401">
        <f t="shared" si="44"/>
        <v>20</v>
      </c>
      <c r="V41" s="398">
        <f t="shared" si="45"/>
        <v>353</v>
      </c>
      <c r="W41" s="399">
        <f t="shared" si="46"/>
        <v>8</v>
      </c>
      <c r="X41" s="400">
        <f t="shared" si="75"/>
        <v>361</v>
      </c>
      <c r="Y41" s="401">
        <f t="shared" si="47"/>
        <v>13</v>
      </c>
      <c r="Z41" s="398">
        <f t="shared" si="48"/>
        <v>215</v>
      </c>
      <c r="AA41" s="399">
        <f t="shared" si="49"/>
        <v>10</v>
      </c>
      <c r="AB41" s="400">
        <f t="shared" si="76"/>
        <v>225</v>
      </c>
      <c r="AC41" s="401">
        <f t="shared" si="50"/>
        <v>17</v>
      </c>
      <c r="AD41" s="398">
        <f t="shared" si="51"/>
        <v>602</v>
      </c>
      <c r="AE41" s="399">
        <f t="shared" si="52"/>
        <v>1</v>
      </c>
      <c r="AF41" s="400">
        <f t="shared" si="77"/>
        <v>603</v>
      </c>
      <c r="AG41" s="401">
        <f t="shared" si="53"/>
        <v>20</v>
      </c>
      <c r="AH41" s="398"/>
      <c r="AI41" s="399"/>
      <c r="AJ41" s="400">
        <f t="shared" si="78"/>
        <v>0</v>
      </c>
      <c r="AK41" s="401"/>
      <c r="AL41" s="398">
        <f t="shared" si="54"/>
        <v>0</v>
      </c>
      <c r="AM41" s="399">
        <f t="shared" si="55"/>
        <v>0</v>
      </c>
      <c r="AN41" s="400">
        <f t="shared" si="79"/>
        <v>0</v>
      </c>
      <c r="AO41" s="401">
        <f t="shared" si="56"/>
        <v>0</v>
      </c>
      <c r="AP41" s="398">
        <f t="shared" si="57"/>
        <v>0</v>
      </c>
      <c r="AQ41" s="399">
        <f t="shared" si="58"/>
        <v>0</v>
      </c>
      <c r="AR41" s="400">
        <f t="shared" si="80"/>
        <v>0</v>
      </c>
      <c r="AS41" s="401">
        <f t="shared" si="59"/>
        <v>0</v>
      </c>
      <c r="AT41" s="398">
        <f t="shared" si="60"/>
        <v>0</v>
      </c>
      <c r="AU41" s="399">
        <f t="shared" si="61"/>
        <v>0</v>
      </c>
      <c r="AV41" s="400">
        <f t="shared" si="81"/>
        <v>0</v>
      </c>
      <c r="AW41" s="401">
        <f t="shared" si="62"/>
        <v>0</v>
      </c>
      <c r="AX41" s="432">
        <f t="shared" si="65"/>
        <v>4202</v>
      </c>
      <c r="AY41" s="432">
        <f t="shared" si="63"/>
        <v>59</v>
      </c>
      <c r="AZ41" s="432">
        <f t="shared" si="66"/>
        <v>4261</v>
      </c>
      <c r="BA41" s="432">
        <f t="shared" si="64"/>
        <v>145</v>
      </c>
      <c r="BC41" s="395">
        <f t="shared" si="67"/>
        <v>623</v>
      </c>
      <c r="BD41" s="395">
        <f t="shared" si="68"/>
        <v>603</v>
      </c>
      <c r="BE41" s="395">
        <f t="shared" si="69"/>
        <v>20</v>
      </c>
    </row>
    <row r="42" spans="1:73" ht="14.4" thickBot="1">
      <c r="A42" s="397" t="s">
        <v>397</v>
      </c>
      <c r="B42" s="398">
        <f t="shared" si="30"/>
        <v>1064</v>
      </c>
      <c r="C42" s="399">
        <f t="shared" si="31"/>
        <v>6</v>
      </c>
      <c r="D42" s="400">
        <f t="shared" si="70"/>
        <v>1070</v>
      </c>
      <c r="E42" s="401">
        <f t="shared" si="32"/>
        <v>-5</v>
      </c>
      <c r="F42" s="398">
        <f t="shared" si="33"/>
        <v>1084</v>
      </c>
      <c r="G42" s="398">
        <f t="shared" si="34"/>
        <v>9</v>
      </c>
      <c r="H42" s="400">
        <f t="shared" si="71"/>
        <v>1093</v>
      </c>
      <c r="I42" s="401">
        <f t="shared" si="35"/>
        <v>4</v>
      </c>
      <c r="J42" s="398">
        <f t="shared" si="36"/>
        <v>999</v>
      </c>
      <c r="K42" s="398">
        <f t="shared" si="37"/>
        <v>57</v>
      </c>
      <c r="L42" s="400">
        <f t="shared" si="72"/>
        <v>1056</v>
      </c>
      <c r="M42" s="401">
        <f t="shared" si="38"/>
        <v>-3</v>
      </c>
      <c r="N42" s="398">
        <f t="shared" si="39"/>
        <v>1017</v>
      </c>
      <c r="O42" s="398">
        <f t="shared" si="40"/>
        <v>21</v>
      </c>
      <c r="P42" s="400">
        <f t="shared" si="73"/>
        <v>1038</v>
      </c>
      <c r="Q42" s="401">
        <f t="shared" si="41"/>
        <v>-4</v>
      </c>
      <c r="R42" s="398">
        <f t="shared" si="42"/>
        <v>684</v>
      </c>
      <c r="S42" s="399">
        <f t="shared" si="43"/>
        <v>19</v>
      </c>
      <c r="T42" s="400">
        <f t="shared" si="74"/>
        <v>703</v>
      </c>
      <c r="U42" s="401">
        <f t="shared" si="44"/>
        <v>0</v>
      </c>
      <c r="V42" s="398">
        <f t="shared" si="45"/>
        <v>1217</v>
      </c>
      <c r="W42" s="399">
        <f t="shared" si="46"/>
        <v>32</v>
      </c>
      <c r="X42" s="400">
        <f t="shared" si="75"/>
        <v>1249</v>
      </c>
      <c r="Y42" s="401">
        <f t="shared" si="47"/>
        <v>4</v>
      </c>
      <c r="Z42" s="398">
        <f t="shared" si="48"/>
        <v>1023</v>
      </c>
      <c r="AA42" s="399">
        <f t="shared" si="49"/>
        <v>27</v>
      </c>
      <c r="AB42" s="400">
        <f t="shared" si="76"/>
        <v>1050</v>
      </c>
      <c r="AC42" s="401">
        <f t="shared" si="50"/>
        <v>0</v>
      </c>
      <c r="AD42" s="398">
        <f t="shared" si="51"/>
        <v>561</v>
      </c>
      <c r="AE42" s="399">
        <f t="shared" si="52"/>
        <v>38</v>
      </c>
      <c r="AF42" s="400">
        <f t="shared" si="77"/>
        <v>599</v>
      </c>
      <c r="AG42" s="401">
        <f t="shared" si="53"/>
        <v>6</v>
      </c>
      <c r="AH42" s="398"/>
      <c r="AI42" s="399"/>
      <c r="AJ42" s="400">
        <f t="shared" si="78"/>
        <v>0</v>
      </c>
      <c r="AK42" s="401"/>
      <c r="AL42" s="398">
        <f t="shared" si="54"/>
        <v>0</v>
      </c>
      <c r="AM42" s="399">
        <f t="shared" si="55"/>
        <v>0</v>
      </c>
      <c r="AN42" s="400">
        <f t="shared" si="79"/>
        <v>0</v>
      </c>
      <c r="AO42" s="401">
        <f t="shared" si="56"/>
        <v>0</v>
      </c>
      <c r="AP42" s="398">
        <f t="shared" si="57"/>
        <v>0</v>
      </c>
      <c r="AQ42" s="399">
        <f t="shared" si="58"/>
        <v>0</v>
      </c>
      <c r="AR42" s="400">
        <f t="shared" si="80"/>
        <v>0</v>
      </c>
      <c r="AS42" s="401">
        <f t="shared" si="59"/>
        <v>0</v>
      </c>
      <c r="AT42" s="398">
        <f t="shared" si="60"/>
        <v>0</v>
      </c>
      <c r="AU42" s="399">
        <f t="shared" si="61"/>
        <v>0</v>
      </c>
      <c r="AV42" s="400">
        <f t="shared" si="81"/>
        <v>0</v>
      </c>
      <c r="AW42" s="401">
        <f t="shared" si="62"/>
        <v>0</v>
      </c>
      <c r="AX42" s="432">
        <f t="shared" si="65"/>
        <v>7649</v>
      </c>
      <c r="AY42" s="432">
        <f t="shared" si="63"/>
        <v>209</v>
      </c>
      <c r="AZ42" s="432">
        <f t="shared" si="66"/>
        <v>7858</v>
      </c>
      <c r="BA42" s="432">
        <f t="shared" si="64"/>
        <v>2</v>
      </c>
      <c r="BC42" s="395">
        <f t="shared" si="67"/>
        <v>605</v>
      </c>
      <c r="BD42" s="395">
        <f t="shared" si="68"/>
        <v>599</v>
      </c>
      <c r="BE42" s="395">
        <f t="shared" si="69"/>
        <v>6</v>
      </c>
    </row>
    <row r="43" spans="1:73" ht="14.4" thickBot="1">
      <c r="A43" s="397" t="s">
        <v>399</v>
      </c>
      <c r="B43" s="398">
        <f t="shared" si="30"/>
        <v>1204</v>
      </c>
      <c r="C43" s="399">
        <f t="shared" si="31"/>
        <v>3</v>
      </c>
      <c r="D43" s="400">
        <f t="shared" si="70"/>
        <v>1207</v>
      </c>
      <c r="E43" s="401">
        <f t="shared" si="32"/>
        <v>2</v>
      </c>
      <c r="F43" s="398">
        <f t="shared" si="33"/>
        <v>666</v>
      </c>
      <c r="G43" s="398">
        <f t="shared" si="34"/>
        <v>41</v>
      </c>
      <c r="H43" s="400">
        <f t="shared" si="71"/>
        <v>707</v>
      </c>
      <c r="I43" s="401">
        <f t="shared" si="35"/>
        <v>5</v>
      </c>
      <c r="J43" s="398">
        <f t="shared" si="36"/>
        <v>1041</v>
      </c>
      <c r="K43" s="398">
        <f t="shared" si="37"/>
        <v>18</v>
      </c>
      <c r="L43" s="400">
        <f t="shared" si="72"/>
        <v>1059</v>
      </c>
      <c r="M43" s="401">
        <f t="shared" si="38"/>
        <v>1</v>
      </c>
      <c r="N43" s="398">
        <f t="shared" si="39"/>
        <v>1680</v>
      </c>
      <c r="O43" s="398">
        <f t="shared" si="40"/>
        <v>13</v>
      </c>
      <c r="P43" s="400">
        <f t="shared" si="73"/>
        <v>1693</v>
      </c>
      <c r="Q43" s="401">
        <f t="shared" si="41"/>
        <v>1</v>
      </c>
      <c r="R43" s="398">
        <f t="shared" si="42"/>
        <v>563</v>
      </c>
      <c r="S43" s="399">
        <f t="shared" si="43"/>
        <v>19</v>
      </c>
      <c r="T43" s="400">
        <f t="shared" si="74"/>
        <v>582</v>
      </c>
      <c r="U43" s="401">
        <f t="shared" si="44"/>
        <v>-1</v>
      </c>
      <c r="V43" s="398">
        <f>V11-R11</f>
        <v>650</v>
      </c>
      <c r="W43" s="399">
        <f t="shared" si="46"/>
        <v>32</v>
      </c>
      <c r="X43" s="400">
        <f t="shared" si="75"/>
        <v>682</v>
      </c>
      <c r="Y43" s="401">
        <f t="shared" si="47"/>
        <v>2</v>
      </c>
      <c r="Z43" s="398">
        <f>Z11-V11</f>
        <v>2208</v>
      </c>
      <c r="AA43" s="399">
        <f t="shared" si="49"/>
        <v>20</v>
      </c>
      <c r="AB43" s="400">
        <f t="shared" si="76"/>
        <v>2228</v>
      </c>
      <c r="AC43" s="401">
        <f t="shared" si="50"/>
        <v>3</v>
      </c>
      <c r="AD43" s="398">
        <f>AD11-Z11</f>
        <v>1232</v>
      </c>
      <c r="AE43" s="399">
        <f t="shared" si="52"/>
        <v>6</v>
      </c>
      <c r="AF43" s="400">
        <f t="shared" si="77"/>
        <v>1238</v>
      </c>
      <c r="AG43" s="401">
        <f t="shared" si="53"/>
        <v>0</v>
      </c>
      <c r="AH43" s="398"/>
      <c r="AI43" s="399"/>
      <c r="AJ43" s="400">
        <f t="shared" si="78"/>
        <v>0</v>
      </c>
      <c r="AK43" s="401"/>
      <c r="AL43" s="398">
        <f>AL11-AH11</f>
        <v>0</v>
      </c>
      <c r="AM43" s="399">
        <f t="shared" si="55"/>
        <v>0</v>
      </c>
      <c r="AN43" s="400">
        <f t="shared" si="79"/>
        <v>0</v>
      </c>
      <c r="AO43" s="401">
        <f t="shared" si="56"/>
        <v>0</v>
      </c>
      <c r="AP43" s="398">
        <f>AP11-AL11</f>
        <v>0</v>
      </c>
      <c r="AQ43" s="399">
        <f t="shared" si="58"/>
        <v>0</v>
      </c>
      <c r="AR43" s="400">
        <f t="shared" si="80"/>
        <v>0</v>
      </c>
      <c r="AS43" s="401">
        <f t="shared" si="59"/>
        <v>0</v>
      </c>
      <c r="AT43" s="398">
        <f>AT11-AP11</f>
        <v>0</v>
      </c>
      <c r="AU43" s="399">
        <f t="shared" si="61"/>
        <v>0</v>
      </c>
      <c r="AV43" s="400">
        <f t="shared" si="81"/>
        <v>0</v>
      </c>
      <c r="AW43" s="401">
        <f t="shared" si="62"/>
        <v>0</v>
      </c>
      <c r="AX43" s="432">
        <f t="shared" si="65"/>
        <v>9244</v>
      </c>
      <c r="AY43" s="432">
        <f t="shared" si="63"/>
        <v>152</v>
      </c>
      <c r="AZ43" s="432">
        <f t="shared" si="66"/>
        <v>9396</v>
      </c>
      <c r="BA43" s="432">
        <f t="shared" si="64"/>
        <v>13</v>
      </c>
      <c r="BC43" s="395">
        <f t="shared" si="67"/>
        <v>1238</v>
      </c>
      <c r="BD43" s="395">
        <f t="shared" si="68"/>
        <v>1238</v>
      </c>
      <c r="BE43" s="395">
        <f t="shared" si="69"/>
        <v>0</v>
      </c>
    </row>
    <row r="44" spans="1:73" ht="14.4" thickBot="1">
      <c r="A44" s="397" t="s">
        <v>883</v>
      </c>
      <c r="B44" s="398">
        <f t="shared" si="30"/>
        <v>704</v>
      </c>
      <c r="C44" s="399">
        <f t="shared" si="31"/>
        <v>7</v>
      </c>
      <c r="D44" s="400">
        <f t="shared" si="70"/>
        <v>711</v>
      </c>
      <c r="E44" s="401">
        <f t="shared" si="32"/>
        <v>7</v>
      </c>
      <c r="F44" s="398">
        <f t="shared" si="33"/>
        <v>433</v>
      </c>
      <c r="G44" s="398">
        <f t="shared" si="34"/>
        <v>7</v>
      </c>
      <c r="H44" s="400">
        <f t="shared" si="71"/>
        <v>440</v>
      </c>
      <c r="I44" s="401">
        <f t="shared" si="35"/>
        <v>1</v>
      </c>
      <c r="J44" s="398">
        <f t="shared" si="36"/>
        <v>480</v>
      </c>
      <c r="K44" s="398">
        <f t="shared" si="37"/>
        <v>-3</v>
      </c>
      <c r="L44" s="400">
        <f t="shared" si="72"/>
        <v>477</v>
      </c>
      <c r="M44" s="401">
        <f t="shared" si="38"/>
        <v>6</v>
      </c>
      <c r="N44" s="398">
        <f t="shared" si="39"/>
        <v>1124</v>
      </c>
      <c r="O44" s="398">
        <f t="shared" si="40"/>
        <v>3</v>
      </c>
      <c r="P44" s="400">
        <f t="shared" si="73"/>
        <v>1127</v>
      </c>
      <c r="Q44" s="401">
        <f t="shared" si="41"/>
        <v>2</v>
      </c>
      <c r="R44" s="398">
        <f t="shared" si="42"/>
        <v>568</v>
      </c>
      <c r="S44" s="399">
        <f t="shared" si="43"/>
        <v>15</v>
      </c>
      <c r="T44" s="400">
        <f t="shared" si="74"/>
        <v>583</v>
      </c>
      <c r="U44" s="401">
        <f t="shared" si="44"/>
        <v>4</v>
      </c>
      <c r="V44" s="398">
        <f>V12-R12</f>
        <v>680</v>
      </c>
      <c r="W44" s="399">
        <f t="shared" si="46"/>
        <v>16</v>
      </c>
      <c r="X44" s="400">
        <f t="shared" si="75"/>
        <v>696</v>
      </c>
      <c r="Y44" s="401">
        <f t="shared" si="47"/>
        <v>15</v>
      </c>
      <c r="Z44" s="398">
        <f>Z12-V12</f>
        <v>712</v>
      </c>
      <c r="AA44" s="399">
        <f t="shared" si="49"/>
        <v>23</v>
      </c>
      <c r="AB44" s="400">
        <f t="shared" si="76"/>
        <v>735</v>
      </c>
      <c r="AC44" s="401">
        <f t="shared" si="50"/>
        <v>10</v>
      </c>
      <c r="AD44" s="398">
        <f>AD12-Z12</f>
        <v>898</v>
      </c>
      <c r="AE44" s="399">
        <f t="shared" si="52"/>
        <v>26</v>
      </c>
      <c r="AF44" s="400">
        <f t="shared" si="77"/>
        <v>924</v>
      </c>
      <c r="AG44" s="401">
        <f t="shared" si="53"/>
        <v>1</v>
      </c>
      <c r="AH44" s="398"/>
      <c r="AI44" s="399"/>
      <c r="AJ44" s="400">
        <f t="shared" si="78"/>
        <v>0</v>
      </c>
      <c r="AK44" s="401"/>
      <c r="AL44" s="398">
        <f>AL12-AH12</f>
        <v>0</v>
      </c>
      <c r="AM44" s="399">
        <f t="shared" si="55"/>
        <v>0</v>
      </c>
      <c r="AN44" s="400">
        <f t="shared" si="79"/>
        <v>0</v>
      </c>
      <c r="AO44" s="401">
        <f t="shared" si="56"/>
        <v>0</v>
      </c>
      <c r="AP44" s="398">
        <f>AP12-AL12</f>
        <v>0</v>
      </c>
      <c r="AQ44" s="399">
        <f t="shared" si="58"/>
        <v>0</v>
      </c>
      <c r="AR44" s="400">
        <f t="shared" si="80"/>
        <v>0</v>
      </c>
      <c r="AS44" s="401">
        <f t="shared" si="59"/>
        <v>0</v>
      </c>
      <c r="AT44" s="398">
        <f>AT12-AP12</f>
        <v>0</v>
      </c>
      <c r="AU44" s="399">
        <f t="shared" si="61"/>
        <v>0</v>
      </c>
      <c r="AV44" s="400">
        <f t="shared" si="81"/>
        <v>0</v>
      </c>
      <c r="AW44" s="401">
        <f t="shared" si="62"/>
        <v>0</v>
      </c>
      <c r="AX44" s="432">
        <f t="shared" si="65"/>
        <v>5599</v>
      </c>
      <c r="AY44" s="432">
        <f t="shared" si="63"/>
        <v>94</v>
      </c>
      <c r="AZ44" s="432">
        <f t="shared" si="66"/>
        <v>5693</v>
      </c>
      <c r="BA44" s="432">
        <f t="shared" si="64"/>
        <v>46</v>
      </c>
      <c r="BC44" s="395">
        <f t="shared" si="67"/>
        <v>925</v>
      </c>
      <c r="BD44" s="395">
        <f t="shared" si="68"/>
        <v>924</v>
      </c>
      <c r="BE44" s="395">
        <f t="shared" si="69"/>
        <v>1</v>
      </c>
    </row>
    <row r="45" spans="1:73" ht="14.4" thickBot="1">
      <c r="A45" s="397" t="s">
        <v>884</v>
      </c>
      <c r="B45" s="398">
        <f t="shared" si="30"/>
        <v>677</v>
      </c>
      <c r="C45" s="399">
        <f t="shared" si="31"/>
        <v>1</v>
      </c>
      <c r="D45" s="400">
        <f t="shared" si="70"/>
        <v>678</v>
      </c>
      <c r="E45" s="401">
        <f t="shared" si="32"/>
        <v>1</v>
      </c>
      <c r="F45" s="398">
        <f t="shared" si="33"/>
        <v>854</v>
      </c>
      <c r="G45" s="398">
        <f t="shared" si="34"/>
        <v>12</v>
      </c>
      <c r="H45" s="400">
        <f t="shared" si="71"/>
        <v>866</v>
      </c>
      <c r="I45" s="401">
        <f t="shared" si="35"/>
        <v>8</v>
      </c>
      <c r="J45" s="398">
        <f t="shared" si="36"/>
        <v>1911</v>
      </c>
      <c r="K45" s="398">
        <f t="shared" si="37"/>
        <v>20</v>
      </c>
      <c r="L45" s="400">
        <f t="shared" si="72"/>
        <v>1931</v>
      </c>
      <c r="M45" s="401">
        <f t="shared" si="38"/>
        <v>6</v>
      </c>
      <c r="N45" s="398">
        <f t="shared" si="39"/>
        <v>1531</v>
      </c>
      <c r="O45" s="398">
        <f t="shared" si="40"/>
        <v>143</v>
      </c>
      <c r="P45" s="400">
        <f t="shared" si="73"/>
        <v>1674</v>
      </c>
      <c r="Q45" s="401">
        <f t="shared" si="41"/>
        <v>7</v>
      </c>
      <c r="R45" s="398">
        <f t="shared" si="42"/>
        <v>1528</v>
      </c>
      <c r="S45" s="399">
        <f t="shared" si="43"/>
        <v>1</v>
      </c>
      <c r="T45" s="400">
        <f t="shared" si="74"/>
        <v>1529</v>
      </c>
      <c r="U45" s="401">
        <f t="shared" si="44"/>
        <v>2</v>
      </c>
      <c r="V45" s="398">
        <f>V13-R13</f>
        <v>857</v>
      </c>
      <c r="W45" s="399">
        <f t="shared" si="46"/>
        <v>25</v>
      </c>
      <c r="X45" s="400">
        <f t="shared" si="75"/>
        <v>882</v>
      </c>
      <c r="Y45" s="401">
        <f t="shared" si="47"/>
        <v>4</v>
      </c>
      <c r="Z45" s="398">
        <f>Z13-V13</f>
        <v>631</v>
      </c>
      <c r="AA45" s="399">
        <f t="shared" si="49"/>
        <v>41</v>
      </c>
      <c r="AB45" s="400">
        <f t="shared" si="76"/>
        <v>672</v>
      </c>
      <c r="AC45" s="401">
        <f t="shared" si="50"/>
        <v>4</v>
      </c>
      <c r="AD45" s="398">
        <f>AD13-Z13</f>
        <v>715</v>
      </c>
      <c r="AE45" s="399">
        <f t="shared" si="52"/>
        <v>25</v>
      </c>
      <c r="AF45" s="400">
        <f t="shared" si="77"/>
        <v>740</v>
      </c>
      <c r="AG45" s="401">
        <f t="shared" si="53"/>
        <v>9</v>
      </c>
      <c r="AH45" s="398"/>
      <c r="AI45" s="399"/>
      <c r="AJ45" s="400">
        <f t="shared" si="78"/>
        <v>0</v>
      </c>
      <c r="AK45" s="401"/>
      <c r="AL45" s="398">
        <f>AL13-AH13</f>
        <v>0</v>
      </c>
      <c r="AM45" s="399">
        <f t="shared" si="55"/>
        <v>0</v>
      </c>
      <c r="AN45" s="400">
        <f t="shared" si="79"/>
        <v>0</v>
      </c>
      <c r="AO45" s="401">
        <f t="shared" si="56"/>
        <v>0</v>
      </c>
      <c r="AP45" s="398">
        <f>AP13-AL13</f>
        <v>0</v>
      </c>
      <c r="AQ45" s="399">
        <f t="shared" si="58"/>
        <v>0</v>
      </c>
      <c r="AR45" s="400">
        <f t="shared" si="80"/>
        <v>0</v>
      </c>
      <c r="AS45" s="401">
        <f t="shared" si="59"/>
        <v>0</v>
      </c>
      <c r="AT45" s="398">
        <f>AT13-AP13</f>
        <v>0</v>
      </c>
      <c r="AU45" s="399">
        <f t="shared" si="61"/>
        <v>0</v>
      </c>
      <c r="AV45" s="400">
        <f t="shared" si="81"/>
        <v>0</v>
      </c>
      <c r="AW45" s="401">
        <f t="shared" si="62"/>
        <v>0</v>
      </c>
      <c r="AX45" s="432">
        <f t="shared" si="65"/>
        <v>8704</v>
      </c>
      <c r="AY45" s="432">
        <f t="shared" si="63"/>
        <v>268</v>
      </c>
      <c r="AZ45" s="432">
        <f t="shared" si="66"/>
        <v>8972</v>
      </c>
      <c r="BA45" s="432">
        <f t="shared" si="64"/>
        <v>41</v>
      </c>
      <c r="BC45" s="395">
        <f t="shared" si="67"/>
        <v>749</v>
      </c>
      <c r="BD45" s="395">
        <f t="shared" si="68"/>
        <v>740</v>
      </c>
      <c r="BE45" s="395">
        <f t="shared" si="69"/>
        <v>9</v>
      </c>
    </row>
    <row r="46" spans="1:73" ht="14.4" thickBot="1">
      <c r="A46" s="397" t="s">
        <v>885</v>
      </c>
      <c r="B46" s="398">
        <f t="shared" si="30"/>
        <v>-7</v>
      </c>
      <c r="C46" s="399">
        <f t="shared" si="31"/>
        <v>5</v>
      </c>
      <c r="D46" s="400">
        <f t="shared" si="70"/>
        <v>-2</v>
      </c>
      <c r="E46" s="401">
        <f t="shared" si="32"/>
        <v>0</v>
      </c>
      <c r="F46" s="398">
        <f t="shared" si="33"/>
        <v>473</v>
      </c>
      <c r="G46" s="398">
        <f t="shared" si="34"/>
        <v>15</v>
      </c>
      <c r="H46" s="400">
        <f t="shared" si="71"/>
        <v>488</v>
      </c>
      <c r="I46" s="401">
        <f t="shared" si="35"/>
        <v>2</v>
      </c>
      <c r="J46" s="398">
        <f t="shared" si="36"/>
        <v>978</v>
      </c>
      <c r="K46" s="398">
        <f t="shared" si="37"/>
        <v>74</v>
      </c>
      <c r="L46" s="400">
        <f t="shared" si="72"/>
        <v>1052</v>
      </c>
      <c r="M46" s="401">
        <f t="shared" si="38"/>
        <v>-1</v>
      </c>
      <c r="N46" s="398">
        <f t="shared" si="39"/>
        <v>418</v>
      </c>
      <c r="O46" s="398">
        <f t="shared" si="40"/>
        <v>-19</v>
      </c>
      <c r="P46" s="400">
        <f t="shared" si="73"/>
        <v>399</v>
      </c>
      <c r="Q46" s="401">
        <f t="shared" si="41"/>
        <v>2</v>
      </c>
      <c r="R46" s="398">
        <f t="shared" si="42"/>
        <v>765</v>
      </c>
      <c r="S46" s="399">
        <f t="shared" si="43"/>
        <v>9</v>
      </c>
      <c r="T46" s="400">
        <f t="shared" si="74"/>
        <v>774</v>
      </c>
      <c r="U46" s="401">
        <f t="shared" si="44"/>
        <v>2</v>
      </c>
      <c r="V46" s="398">
        <f>V14-R14</f>
        <v>628</v>
      </c>
      <c r="W46" s="399">
        <f t="shared" si="46"/>
        <v>32</v>
      </c>
      <c r="X46" s="400">
        <f t="shared" si="75"/>
        <v>660</v>
      </c>
      <c r="Y46" s="401">
        <f t="shared" si="47"/>
        <v>-1</v>
      </c>
      <c r="Z46" s="398">
        <f>Z14-V14</f>
        <v>50</v>
      </c>
      <c r="AA46" s="399">
        <f t="shared" si="49"/>
        <v>3</v>
      </c>
      <c r="AB46" s="400">
        <f t="shared" si="76"/>
        <v>53</v>
      </c>
      <c r="AC46" s="401">
        <f t="shared" si="50"/>
        <v>0</v>
      </c>
      <c r="AD46" s="398">
        <f>AD14-Z14</f>
        <v>80</v>
      </c>
      <c r="AE46" s="399">
        <f t="shared" si="52"/>
        <v>12</v>
      </c>
      <c r="AF46" s="400">
        <f t="shared" si="77"/>
        <v>92</v>
      </c>
      <c r="AG46" s="401">
        <f t="shared" si="53"/>
        <v>0</v>
      </c>
      <c r="AH46" s="398"/>
      <c r="AI46" s="399"/>
      <c r="AJ46" s="400">
        <f t="shared" si="78"/>
        <v>0</v>
      </c>
      <c r="AK46" s="401"/>
      <c r="AL46" s="398">
        <f>AL14-AH14</f>
        <v>0</v>
      </c>
      <c r="AM46" s="399">
        <f t="shared" si="55"/>
        <v>0</v>
      </c>
      <c r="AN46" s="400">
        <f t="shared" si="79"/>
        <v>0</v>
      </c>
      <c r="AO46" s="401">
        <f t="shared" si="56"/>
        <v>0</v>
      </c>
      <c r="AP46" s="398">
        <f>AP14-AL14</f>
        <v>0</v>
      </c>
      <c r="AQ46" s="399">
        <f t="shared" si="58"/>
        <v>0</v>
      </c>
      <c r="AR46" s="400">
        <f t="shared" si="80"/>
        <v>0</v>
      </c>
      <c r="AS46" s="401">
        <f t="shared" si="59"/>
        <v>0</v>
      </c>
      <c r="AT46" s="398">
        <f>AT14-AP14</f>
        <v>0</v>
      </c>
      <c r="AU46" s="399">
        <f t="shared" si="61"/>
        <v>0</v>
      </c>
      <c r="AV46" s="400">
        <f t="shared" si="81"/>
        <v>0</v>
      </c>
      <c r="AW46" s="401">
        <f t="shared" si="62"/>
        <v>0</v>
      </c>
      <c r="AX46" s="432">
        <f t="shared" si="65"/>
        <v>3385</v>
      </c>
      <c r="AY46" s="432">
        <f t="shared" si="63"/>
        <v>131</v>
      </c>
      <c r="AZ46" s="432">
        <f t="shared" si="66"/>
        <v>3516</v>
      </c>
      <c r="BA46" s="432">
        <f t="shared" si="64"/>
        <v>4</v>
      </c>
      <c r="BC46" s="395">
        <f t="shared" si="67"/>
        <v>92</v>
      </c>
      <c r="BD46" s="395">
        <f t="shared" si="68"/>
        <v>92</v>
      </c>
      <c r="BE46" s="395">
        <f t="shared" si="69"/>
        <v>0</v>
      </c>
    </row>
    <row r="47" spans="1:73" ht="14.4" thickBot="1">
      <c r="A47" s="433" t="s">
        <v>16</v>
      </c>
      <c r="B47" s="417">
        <f t="shared" ref="B47:AG47" si="82">SUM(B37:B46)</f>
        <v>7311</v>
      </c>
      <c r="C47" s="419">
        <f t="shared" si="82"/>
        <v>88</v>
      </c>
      <c r="D47" s="419">
        <f t="shared" si="82"/>
        <v>7399</v>
      </c>
      <c r="E47" s="420">
        <f t="shared" si="82"/>
        <v>18</v>
      </c>
      <c r="F47" s="417">
        <f t="shared" si="82"/>
        <v>10024</v>
      </c>
      <c r="G47" s="419">
        <f t="shared" si="82"/>
        <v>188</v>
      </c>
      <c r="H47" s="419">
        <f t="shared" si="82"/>
        <v>10212</v>
      </c>
      <c r="I47" s="420">
        <f t="shared" si="82"/>
        <v>56</v>
      </c>
      <c r="J47" s="417">
        <f t="shared" si="82"/>
        <v>11759</v>
      </c>
      <c r="K47" s="419">
        <f t="shared" si="82"/>
        <v>229</v>
      </c>
      <c r="L47" s="419">
        <f t="shared" si="82"/>
        <v>11988</v>
      </c>
      <c r="M47" s="420">
        <f t="shared" si="82"/>
        <v>57</v>
      </c>
      <c r="N47" s="417">
        <f t="shared" si="82"/>
        <v>9962</v>
      </c>
      <c r="O47" s="419">
        <f t="shared" si="82"/>
        <v>294</v>
      </c>
      <c r="P47" s="419">
        <f t="shared" si="82"/>
        <v>10256</v>
      </c>
      <c r="Q47" s="420">
        <f t="shared" si="82"/>
        <v>47</v>
      </c>
      <c r="R47" s="417">
        <f t="shared" si="82"/>
        <v>8560</v>
      </c>
      <c r="S47" s="419">
        <f t="shared" si="82"/>
        <v>129</v>
      </c>
      <c r="T47" s="419">
        <f t="shared" si="82"/>
        <v>8689</v>
      </c>
      <c r="U47" s="420">
        <f t="shared" si="82"/>
        <v>29</v>
      </c>
      <c r="V47" s="417">
        <f t="shared" si="82"/>
        <v>8862</v>
      </c>
      <c r="W47" s="419">
        <f t="shared" si="82"/>
        <v>234</v>
      </c>
      <c r="X47" s="419">
        <f t="shared" si="82"/>
        <v>9096</v>
      </c>
      <c r="Y47" s="420">
        <f t="shared" si="82"/>
        <v>47</v>
      </c>
      <c r="Z47" s="417">
        <f t="shared" si="82"/>
        <v>8415</v>
      </c>
      <c r="AA47" s="419">
        <f t="shared" si="82"/>
        <v>214</v>
      </c>
      <c r="AB47" s="419">
        <f t="shared" si="82"/>
        <v>8629</v>
      </c>
      <c r="AC47" s="420">
        <f t="shared" si="82"/>
        <v>61</v>
      </c>
      <c r="AD47" s="417">
        <f t="shared" si="82"/>
        <v>8296</v>
      </c>
      <c r="AE47" s="419">
        <f t="shared" si="82"/>
        <v>204</v>
      </c>
      <c r="AF47" s="419">
        <f t="shared" si="82"/>
        <v>8500</v>
      </c>
      <c r="AG47" s="420">
        <f t="shared" si="82"/>
        <v>51</v>
      </c>
      <c r="AH47" s="417">
        <f t="shared" ref="AH47:BA47" si="83">SUM(AH37:AH46)</f>
        <v>0</v>
      </c>
      <c r="AI47" s="419">
        <f t="shared" si="83"/>
        <v>0</v>
      </c>
      <c r="AJ47" s="419">
        <f t="shared" si="83"/>
        <v>0</v>
      </c>
      <c r="AK47" s="420">
        <f t="shared" si="83"/>
        <v>0</v>
      </c>
      <c r="AL47" s="417">
        <f t="shared" si="83"/>
        <v>0</v>
      </c>
      <c r="AM47" s="419">
        <f t="shared" si="83"/>
        <v>0</v>
      </c>
      <c r="AN47" s="419">
        <f t="shared" si="83"/>
        <v>0</v>
      </c>
      <c r="AO47" s="420">
        <f t="shared" si="83"/>
        <v>0</v>
      </c>
      <c r="AP47" s="417">
        <f t="shared" si="83"/>
        <v>0</v>
      </c>
      <c r="AQ47" s="419">
        <f t="shared" si="83"/>
        <v>0</v>
      </c>
      <c r="AR47" s="419">
        <f t="shared" si="83"/>
        <v>0</v>
      </c>
      <c r="AS47" s="420">
        <f t="shared" si="83"/>
        <v>0</v>
      </c>
      <c r="AT47" s="417">
        <f t="shared" si="83"/>
        <v>0</v>
      </c>
      <c r="AU47" s="419">
        <f t="shared" si="83"/>
        <v>0</v>
      </c>
      <c r="AV47" s="419">
        <f t="shared" si="83"/>
        <v>0</v>
      </c>
      <c r="AW47" s="420">
        <f t="shared" si="83"/>
        <v>0</v>
      </c>
      <c r="AX47" s="434">
        <f t="shared" si="83"/>
        <v>73189</v>
      </c>
      <c r="AY47" s="434">
        <f t="shared" si="83"/>
        <v>1580</v>
      </c>
      <c r="AZ47" s="434">
        <f t="shared" si="83"/>
        <v>74769</v>
      </c>
      <c r="BA47" s="434">
        <f t="shared" si="83"/>
        <v>366</v>
      </c>
      <c r="BC47" s="395">
        <f t="shared" si="67"/>
        <v>8551</v>
      </c>
      <c r="BD47" s="395">
        <f t="shared" si="68"/>
        <v>8500</v>
      </c>
      <c r="BE47" s="395">
        <f t="shared" si="69"/>
        <v>51</v>
      </c>
    </row>
    <row r="48" spans="1:73">
      <c r="L48" s="117">
        <f>L47+H47+D47</f>
        <v>29599</v>
      </c>
      <c r="M48" s="395">
        <f>M47+I47+E47</f>
        <v>131</v>
      </c>
      <c r="P48" s="395">
        <f>P47+T47+X47</f>
        <v>28041</v>
      </c>
      <c r="Q48" s="395">
        <f>Q47+U47+Y47</f>
        <v>123</v>
      </c>
      <c r="AB48" s="395"/>
      <c r="AJ48" s="1243">
        <f>AJ47+AF47+AB47</f>
        <v>17129</v>
      </c>
      <c r="AK48" s="1243">
        <f>AK47+AG47+AC47</f>
        <v>112</v>
      </c>
      <c r="AV48" s="446">
        <f>AN47+AR47+AV47</f>
        <v>0</v>
      </c>
      <c r="AW48" s="446">
        <f>AO47+AS47+AW47</f>
        <v>0</v>
      </c>
      <c r="BC48" s="395"/>
    </row>
    <row r="49" spans="1:73" ht="18.600000000000001" thickBot="1">
      <c r="A49" s="394">
        <f>A17</f>
        <v>2024</v>
      </c>
      <c r="Q49" s="395">
        <f>Q52+P52</f>
        <v>1512</v>
      </c>
      <c r="AZ49" s="395">
        <f>BA52+AZ52</f>
        <v>12653</v>
      </c>
    </row>
    <row r="50" spans="1:73">
      <c r="A50" s="2815" t="s">
        <v>308</v>
      </c>
      <c r="B50" s="2827" t="s">
        <v>71</v>
      </c>
      <c r="C50" s="2828"/>
      <c r="D50" s="2828"/>
      <c r="E50" s="3091"/>
      <c r="F50" s="2829" t="s">
        <v>72</v>
      </c>
      <c r="G50" s="2830"/>
      <c r="H50" s="2830"/>
      <c r="I50" s="3095"/>
      <c r="J50" s="2817" t="s">
        <v>73</v>
      </c>
      <c r="K50" s="2818"/>
      <c r="L50" s="2818"/>
      <c r="M50" s="3094"/>
      <c r="N50" s="2819" t="s">
        <v>74</v>
      </c>
      <c r="O50" s="2820"/>
      <c r="P50" s="2820"/>
      <c r="Q50" s="3090"/>
      <c r="R50" s="2821" t="s">
        <v>75</v>
      </c>
      <c r="S50" s="2822"/>
      <c r="T50" s="2822"/>
      <c r="U50" s="3093"/>
      <c r="V50" s="2823" t="s">
        <v>76</v>
      </c>
      <c r="W50" s="2824"/>
      <c r="X50" s="2824"/>
      <c r="Y50" s="3089"/>
      <c r="Z50" s="2827" t="s">
        <v>77</v>
      </c>
      <c r="AA50" s="2828"/>
      <c r="AB50" s="2828"/>
      <c r="AC50" s="3091"/>
      <c r="AD50" s="2829" t="s">
        <v>78</v>
      </c>
      <c r="AE50" s="2830"/>
      <c r="AF50" s="2830"/>
      <c r="AG50" s="3095"/>
      <c r="AH50" s="2817" t="s">
        <v>79</v>
      </c>
      <c r="AI50" s="2818"/>
      <c r="AJ50" s="2818"/>
      <c r="AK50" s="3094"/>
      <c r="AL50" s="2819" t="s">
        <v>80</v>
      </c>
      <c r="AM50" s="2820"/>
      <c r="AN50" s="2820"/>
      <c r="AO50" s="3090"/>
      <c r="AP50" s="2821" t="s">
        <v>81</v>
      </c>
      <c r="AQ50" s="2822"/>
      <c r="AR50" s="2822"/>
      <c r="AS50" s="3093"/>
      <c r="AT50" s="2823" t="s">
        <v>82</v>
      </c>
      <c r="AU50" s="2824"/>
      <c r="AV50" s="2824"/>
      <c r="AW50" s="3089"/>
      <c r="AX50" s="2825" t="s">
        <v>83</v>
      </c>
      <c r="AY50" s="2826"/>
      <c r="AZ50" s="2826"/>
      <c r="BA50" s="3088"/>
      <c r="BB50" s="634"/>
      <c r="BO50" s="430"/>
      <c r="BP50" s="430"/>
      <c r="BQ50" s="430"/>
      <c r="BR50" s="430"/>
      <c r="BS50" s="430"/>
      <c r="BT50" s="430"/>
      <c r="BU50" s="430"/>
    </row>
    <row r="51" spans="1:73" ht="14.4" thickBot="1">
      <c r="A51" s="2816"/>
      <c r="B51" s="402" t="s">
        <v>17</v>
      </c>
      <c r="C51" s="403" t="s">
        <v>18</v>
      </c>
      <c r="D51" s="403" t="s">
        <v>52</v>
      </c>
      <c r="E51" s="404" t="s">
        <v>19</v>
      </c>
      <c r="F51" s="402" t="s">
        <v>17</v>
      </c>
      <c r="G51" s="403" t="s">
        <v>18</v>
      </c>
      <c r="H51" s="403" t="s">
        <v>52</v>
      </c>
      <c r="I51" s="404" t="s">
        <v>19</v>
      </c>
      <c r="J51" s="402" t="s">
        <v>17</v>
      </c>
      <c r="K51" s="403" t="s">
        <v>18</v>
      </c>
      <c r="L51" s="403" t="s">
        <v>52</v>
      </c>
      <c r="M51" s="404" t="s">
        <v>19</v>
      </c>
      <c r="N51" s="402" t="s">
        <v>17</v>
      </c>
      <c r="O51" s="403" t="s">
        <v>18</v>
      </c>
      <c r="P51" s="403" t="s">
        <v>52</v>
      </c>
      <c r="Q51" s="404" t="s">
        <v>19</v>
      </c>
      <c r="R51" s="402" t="s">
        <v>17</v>
      </c>
      <c r="S51" s="403" t="s">
        <v>18</v>
      </c>
      <c r="T51" s="403" t="s">
        <v>52</v>
      </c>
      <c r="U51" s="404" t="s">
        <v>19</v>
      </c>
      <c r="V51" s="402" t="s">
        <v>17</v>
      </c>
      <c r="W51" s="403" t="s">
        <v>18</v>
      </c>
      <c r="X51" s="403" t="s">
        <v>52</v>
      </c>
      <c r="Y51" s="404" t="s">
        <v>19</v>
      </c>
      <c r="Z51" s="402" t="s">
        <v>17</v>
      </c>
      <c r="AA51" s="403" t="s">
        <v>18</v>
      </c>
      <c r="AB51" s="403" t="s">
        <v>52</v>
      </c>
      <c r="AC51" s="404" t="s">
        <v>19</v>
      </c>
      <c r="AD51" s="402" t="s">
        <v>17</v>
      </c>
      <c r="AE51" s="403" t="s">
        <v>18</v>
      </c>
      <c r="AF51" s="403" t="s">
        <v>52</v>
      </c>
      <c r="AG51" s="404" t="s">
        <v>19</v>
      </c>
      <c r="AH51" s="402" t="s">
        <v>17</v>
      </c>
      <c r="AI51" s="403" t="s">
        <v>18</v>
      </c>
      <c r="AJ51" s="403" t="s">
        <v>52</v>
      </c>
      <c r="AK51" s="404" t="s">
        <v>19</v>
      </c>
      <c r="AL51" s="402" t="s">
        <v>17</v>
      </c>
      <c r="AM51" s="403" t="s">
        <v>18</v>
      </c>
      <c r="AN51" s="403" t="s">
        <v>52</v>
      </c>
      <c r="AO51" s="404" t="s">
        <v>19</v>
      </c>
      <c r="AP51" s="1107" t="s">
        <v>17</v>
      </c>
      <c r="AQ51" s="403" t="s">
        <v>18</v>
      </c>
      <c r="AR51" s="403" t="s">
        <v>52</v>
      </c>
      <c r="AS51" s="404" t="s">
        <v>19</v>
      </c>
      <c r="AT51" s="402" t="s">
        <v>17</v>
      </c>
      <c r="AU51" s="403" t="s">
        <v>18</v>
      </c>
      <c r="AV51" s="403" t="s">
        <v>52</v>
      </c>
      <c r="AW51" s="404" t="s">
        <v>19</v>
      </c>
      <c r="AX51" s="403" t="s">
        <v>17</v>
      </c>
      <c r="AY51" s="403" t="s">
        <v>18</v>
      </c>
      <c r="AZ51" s="403" t="s">
        <v>52</v>
      </c>
      <c r="BA51" s="431" t="s">
        <v>19</v>
      </c>
      <c r="BB51" s="435"/>
      <c r="BC51" s="117" t="s">
        <v>342</v>
      </c>
      <c r="BD51" s="117" t="s">
        <v>176</v>
      </c>
      <c r="BE51" s="117" t="s">
        <v>177</v>
      </c>
    </row>
    <row r="52" spans="1:73" ht="14.4" thickBot="1">
      <c r="A52" s="397" t="s">
        <v>6</v>
      </c>
      <c r="B52" s="398">
        <f t="shared" ref="B52:B61" si="84">B20-BD20</f>
        <v>1844</v>
      </c>
      <c r="C52" s="399">
        <f t="shared" ref="C52:C61" si="85">C20-BE20</f>
        <v>44</v>
      </c>
      <c r="D52" s="400">
        <f>+B52+C52</f>
        <v>1888</v>
      </c>
      <c r="E52" s="401">
        <f t="shared" ref="E52:E61" si="86">E20-BG20</f>
        <v>3</v>
      </c>
      <c r="F52" s="398">
        <f t="shared" ref="F52:F61" si="87">F20-B20</f>
        <v>2968</v>
      </c>
      <c r="G52" s="398">
        <f t="shared" ref="G52:G61" si="88">G20-C20</f>
        <v>155</v>
      </c>
      <c r="H52" s="400">
        <f>+F52+G52</f>
        <v>3123</v>
      </c>
      <c r="I52" s="401">
        <f t="shared" ref="I52:I61" si="89">I20-E20</f>
        <v>13</v>
      </c>
      <c r="J52" s="398">
        <f t="shared" ref="J52:J61" si="90">J20-F20</f>
        <v>1058</v>
      </c>
      <c r="K52" s="398">
        <f t="shared" ref="K52:K61" si="91">K20-G20</f>
        <v>46</v>
      </c>
      <c r="L52" s="400">
        <f>+J52+K52</f>
        <v>1104</v>
      </c>
      <c r="M52" s="401">
        <f t="shared" ref="M52:M61" si="92">M20-I20</f>
        <v>12</v>
      </c>
      <c r="N52" s="398">
        <f t="shared" ref="N52:N61" si="93">N20-J20</f>
        <v>1455</v>
      </c>
      <c r="O52" s="398">
        <f t="shared" ref="O52:O61" si="94">O20-K20</f>
        <v>41</v>
      </c>
      <c r="P52" s="400">
        <f>+N52+O52</f>
        <v>1496</v>
      </c>
      <c r="Q52" s="401">
        <f t="shared" ref="Q52:Q61" si="95">Q20-M20</f>
        <v>16</v>
      </c>
      <c r="R52" s="398">
        <f t="shared" ref="R52:R61" si="96">R20-N20</f>
        <v>1081</v>
      </c>
      <c r="S52" s="399">
        <f t="shared" ref="S52:S61" si="97">S20-O20</f>
        <v>150</v>
      </c>
      <c r="T52" s="400">
        <f>+R52+S52</f>
        <v>1231</v>
      </c>
      <c r="U52" s="401">
        <f t="shared" ref="U52:U61" si="98">U20-Q20</f>
        <v>5</v>
      </c>
      <c r="V52" s="398">
        <f t="shared" ref="V52:V57" si="99">V20-R20</f>
        <v>1079</v>
      </c>
      <c r="W52" s="399">
        <f t="shared" ref="W52:W61" si="100">W20-S20</f>
        <v>76</v>
      </c>
      <c r="X52" s="400">
        <f>+V52+W52</f>
        <v>1155</v>
      </c>
      <c r="Y52" s="401">
        <f t="shared" ref="Y52:Y61" si="101">Y20-U20</f>
        <v>4</v>
      </c>
      <c r="Z52" s="398">
        <f t="shared" ref="Z52:Z57" si="102">Z20-V20</f>
        <v>1147</v>
      </c>
      <c r="AA52" s="399">
        <f t="shared" ref="AA52:AA61" si="103">AA20-W20</f>
        <v>6</v>
      </c>
      <c r="AB52" s="400">
        <f>+Z52+AA52</f>
        <v>1153</v>
      </c>
      <c r="AC52" s="401">
        <f t="shared" ref="AC52:AC61" si="104">AC20-Y20</f>
        <v>4</v>
      </c>
      <c r="AD52" s="398">
        <f t="shared" ref="AD52:AD57" si="105">AD20-Z20</f>
        <v>1421</v>
      </c>
      <c r="AE52" s="399">
        <f t="shared" ref="AE52:AE61" si="106">AE20-AA20</f>
        <v>20</v>
      </c>
      <c r="AF52" s="400">
        <f>+AD52+AE52</f>
        <v>1441</v>
      </c>
      <c r="AG52" s="401">
        <f t="shared" ref="AG52:AG61" si="107">AG20-AC20</f>
        <v>5</v>
      </c>
      <c r="AH52" s="398"/>
      <c r="AI52" s="399"/>
      <c r="AJ52" s="400">
        <f>+AH52+AI52</f>
        <v>0</v>
      </c>
      <c r="AK52" s="401"/>
      <c r="AL52" s="398">
        <f t="shared" ref="AL52:AL57" si="108">AL20-AH20</f>
        <v>0</v>
      </c>
      <c r="AM52" s="399">
        <f t="shared" ref="AM52:AM61" si="109">AM20-AI20</f>
        <v>0</v>
      </c>
      <c r="AN52" s="400">
        <f>+AL52+AM52</f>
        <v>0</v>
      </c>
      <c r="AO52" s="401">
        <f t="shared" ref="AO52:AO61" si="110">AO20-AK20</f>
        <v>0</v>
      </c>
      <c r="AP52" s="398">
        <f t="shared" ref="AP52:AP57" si="111">AP20-AL20</f>
        <v>0</v>
      </c>
      <c r="AQ52" s="399">
        <f t="shared" ref="AQ52:AQ61" si="112">AQ20-AM20</f>
        <v>0</v>
      </c>
      <c r="AR52" s="400">
        <f>+AP52+AQ52</f>
        <v>0</v>
      </c>
      <c r="AS52" s="401">
        <f t="shared" ref="AS52:AS61" si="113">AS20-AO20</f>
        <v>0</v>
      </c>
      <c r="AT52" s="398">
        <f t="shared" ref="AT52:AT57" si="114">AT20-AP20</f>
        <v>0</v>
      </c>
      <c r="AU52" s="399">
        <f t="shared" ref="AU52:AU61" si="115">AU20-AQ20</f>
        <v>0</v>
      </c>
      <c r="AV52" s="400">
        <f>+AT52+AU52</f>
        <v>0</v>
      </c>
      <c r="AW52" s="401">
        <f t="shared" ref="AW52:AW61" si="116">AW20-AS20</f>
        <v>0</v>
      </c>
      <c r="AX52" s="432">
        <f t="shared" ref="AX52:AX61" si="117">B52+F52+J52+N52+R52+V52+Z52+AD52+AH52+AL52+AP52+AT52</f>
        <v>12053</v>
      </c>
      <c r="AY52" s="432">
        <f t="shared" ref="AY52:AY61" si="118">C52+G52+K52+O52+S52+W52+AA52+AE52+AI52+AM52+AQ52+AU52</f>
        <v>538</v>
      </c>
      <c r="AZ52" s="432">
        <f>AX52+AY52</f>
        <v>12591</v>
      </c>
      <c r="BA52" s="432">
        <f t="shared" ref="BA52:BA61" si="119">E52+I52+M52+Q52+U52+Y52+AC52+AG52+AK52+AO52+AS52+AW52</f>
        <v>62</v>
      </c>
      <c r="BB52" s="435"/>
      <c r="BC52" s="395">
        <f>AF52+AG52</f>
        <v>1446</v>
      </c>
      <c r="BD52" s="395">
        <f>AF52</f>
        <v>1441</v>
      </c>
      <c r="BE52" s="395">
        <f>AG52</f>
        <v>5</v>
      </c>
    </row>
    <row r="53" spans="1:73" ht="14.4" thickBot="1">
      <c r="A53" s="397" t="s">
        <v>7</v>
      </c>
      <c r="B53" s="398">
        <f t="shared" si="84"/>
        <v>900</v>
      </c>
      <c r="C53" s="399">
        <f t="shared" si="85"/>
        <v>-98</v>
      </c>
      <c r="D53" s="400">
        <f>+B53+C53</f>
        <v>802</v>
      </c>
      <c r="E53" s="401">
        <f t="shared" si="86"/>
        <v>0</v>
      </c>
      <c r="F53" s="398">
        <f t="shared" si="87"/>
        <v>1334</v>
      </c>
      <c r="G53" s="398">
        <f t="shared" si="88"/>
        <v>26</v>
      </c>
      <c r="H53" s="400">
        <f>+F53+G53</f>
        <v>1360</v>
      </c>
      <c r="I53" s="401">
        <f t="shared" si="89"/>
        <v>3</v>
      </c>
      <c r="J53" s="398">
        <f t="shared" si="90"/>
        <v>983</v>
      </c>
      <c r="K53" s="398">
        <f t="shared" si="91"/>
        <v>10</v>
      </c>
      <c r="L53" s="400">
        <f>+J53+K53</f>
        <v>993</v>
      </c>
      <c r="M53" s="401">
        <f t="shared" si="92"/>
        <v>12</v>
      </c>
      <c r="N53" s="398">
        <f t="shared" si="93"/>
        <v>788</v>
      </c>
      <c r="O53" s="398">
        <f t="shared" si="94"/>
        <v>25</v>
      </c>
      <c r="P53" s="400">
        <f>+N53+O53</f>
        <v>813</v>
      </c>
      <c r="Q53" s="401">
        <f t="shared" si="95"/>
        <v>9</v>
      </c>
      <c r="R53" s="398">
        <f t="shared" si="96"/>
        <v>814</v>
      </c>
      <c r="S53" s="399">
        <f t="shared" si="97"/>
        <v>15</v>
      </c>
      <c r="T53" s="400">
        <f>+R53+S53</f>
        <v>829</v>
      </c>
      <c r="U53" s="401">
        <f t="shared" si="98"/>
        <v>7</v>
      </c>
      <c r="V53" s="398">
        <f t="shared" si="99"/>
        <v>1078</v>
      </c>
      <c r="W53" s="399">
        <f t="shared" si="100"/>
        <v>16</v>
      </c>
      <c r="X53" s="400">
        <f>+V53+W53</f>
        <v>1094</v>
      </c>
      <c r="Y53" s="401">
        <f t="shared" si="101"/>
        <v>12</v>
      </c>
      <c r="Z53" s="398">
        <f t="shared" si="102"/>
        <v>749</v>
      </c>
      <c r="AA53" s="399">
        <f t="shared" si="103"/>
        <v>64</v>
      </c>
      <c r="AB53" s="400">
        <f>+Z53+AA53</f>
        <v>813</v>
      </c>
      <c r="AC53" s="401">
        <f t="shared" si="104"/>
        <v>6</v>
      </c>
      <c r="AD53" s="398">
        <f t="shared" si="105"/>
        <v>1123</v>
      </c>
      <c r="AE53" s="399">
        <f t="shared" si="106"/>
        <v>35</v>
      </c>
      <c r="AF53" s="400">
        <f>+AD53+AE53</f>
        <v>1158</v>
      </c>
      <c r="AG53" s="401">
        <f t="shared" si="107"/>
        <v>8</v>
      </c>
      <c r="AH53" s="398"/>
      <c r="AI53" s="399"/>
      <c r="AJ53" s="400">
        <f>+AH53+AI53</f>
        <v>0</v>
      </c>
      <c r="AK53" s="401"/>
      <c r="AL53" s="398">
        <f t="shared" si="108"/>
        <v>0</v>
      </c>
      <c r="AM53" s="399">
        <f t="shared" si="109"/>
        <v>0</v>
      </c>
      <c r="AN53" s="400">
        <f>+AL53+AM53</f>
        <v>0</v>
      </c>
      <c r="AO53" s="401">
        <f t="shared" si="110"/>
        <v>0</v>
      </c>
      <c r="AP53" s="398">
        <f t="shared" si="111"/>
        <v>0</v>
      </c>
      <c r="AQ53" s="399">
        <f t="shared" si="112"/>
        <v>0</v>
      </c>
      <c r="AR53" s="400">
        <f>+AP53+AQ53</f>
        <v>0</v>
      </c>
      <c r="AS53" s="401">
        <f t="shared" si="113"/>
        <v>0</v>
      </c>
      <c r="AT53" s="398">
        <f t="shared" si="114"/>
        <v>0</v>
      </c>
      <c r="AU53" s="399">
        <f t="shared" si="115"/>
        <v>0</v>
      </c>
      <c r="AV53" s="400">
        <f>+AT53+AU53</f>
        <v>0</v>
      </c>
      <c r="AW53" s="401">
        <f t="shared" si="116"/>
        <v>0</v>
      </c>
      <c r="AX53" s="432">
        <f>B53+F53+J53+N53+R53+V53+Z53+AD53+AH53+AL53+AP53+AT53</f>
        <v>7769</v>
      </c>
      <c r="AY53" s="432">
        <f t="shared" si="118"/>
        <v>93</v>
      </c>
      <c r="AZ53" s="432">
        <f t="shared" ref="AZ53:AZ61" si="120">AX53+AY53</f>
        <v>7862</v>
      </c>
      <c r="BA53" s="432">
        <f t="shared" si="119"/>
        <v>57</v>
      </c>
      <c r="BB53" s="435"/>
      <c r="BC53" s="395">
        <f t="shared" ref="BC53:BC62" si="121">AF53+AG53</f>
        <v>1166</v>
      </c>
      <c r="BD53" s="395">
        <f t="shared" ref="BD53:BD62" si="122">AF53</f>
        <v>1158</v>
      </c>
      <c r="BE53" s="395">
        <f t="shared" ref="BE53:BE62" si="123">AG53</f>
        <v>8</v>
      </c>
    </row>
    <row r="54" spans="1:73" ht="14.4" thickBot="1">
      <c r="A54" s="397" t="s">
        <v>8</v>
      </c>
      <c r="B54" s="398">
        <f t="shared" si="84"/>
        <v>605</v>
      </c>
      <c r="C54" s="399">
        <f t="shared" si="85"/>
        <v>27</v>
      </c>
      <c r="D54" s="400">
        <f>+B54+C54</f>
        <v>632</v>
      </c>
      <c r="E54" s="401">
        <f t="shared" si="86"/>
        <v>7</v>
      </c>
      <c r="F54" s="398">
        <f t="shared" si="87"/>
        <v>1400</v>
      </c>
      <c r="G54" s="398">
        <f t="shared" si="88"/>
        <v>40</v>
      </c>
      <c r="H54" s="400">
        <f>+F54+G54</f>
        <v>1440</v>
      </c>
      <c r="I54" s="401">
        <f t="shared" si="89"/>
        <v>6</v>
      </c>
      <c r="J54" s="398">
        <f t="shared" si="90"/>
        <v>1013</v>
      </c>
      <c r="K54" s="398">
        <f t="shared" si="91"/>
        <v>50</v>
      </c>
      <c r="L54" s="400">
        <f>+J54+K54</f>
        <v>1063</v>
      </c>
      <c r="M54" s="401">
        <f t="shared" si="92"/>
        <v>0</v>
      </c>
      <c r="N54" s="398">
        <f t="shared" si="93"/>
        <v>219</v>
      </c>
      <c r="O54" s="398">
        <f t="shared" si="94"/>
        <v>60</v>
      </c>
      <c r="P54" s="400">
        <f>+N54+O54</f>
        <v>279</v>
      </c>
      <c r="Q54" s="401">
        <f t="shared" si="95"/>
        <v>0</v>
      </c>
      <c r="R54" s="398">
        <f t="shared" si="96"/>
        <v>623</v>
      </c>
      <c r="S54" s="399">
        <f t="shared" si="97"/>
        <v>-14</v>
      </c>
      <c r="T54" s="400">
        <f>+R54+S54</f>
        <v>609</v>
      </c>
      <c r="U54" s="401">
        <f t="shared" si="98"/>
        <v>10</v>
      </c>
      <c r="V54" s="398">
        <f t="shared" si="99"/>
        <v>900</v>
      </c>
      <c r="W54" s="399">
        <f t="shared" si="100"/>
        <v>54</v>
      </c>
      <c r="X54" s="400">
        <f>+V54+W54</f>
        <v>954</v>
      </c>
      <c r="Y54" s="401">
        <f t="shared" si="101"/>
        <v>9</v>
      </c>
      <c r="Z54" s="398">
        <f t="shared" si="102"/>
        <v>788</v>
      </c>
      <c r="AA54" s="399">
        <f t="shared" si="103"/>
        <v>38</v>
      </c>
      <c r="AB54" s="400">
        <f>+Z54+AA54</f>
        <v>826</v>
      </c>
      <c r="AC54" s="401">
        <f t="shared" si="104"/>
        <v>8</v>
      </c>
      <c r="AD54" s="398">
        <f t="shared" si="105"/>
        <v>1138</v>
      </c>
      <c r="AE54" s="399">
        <f t="shared" si="106"/>
        <v>70</v>
      </c>
      <c r="AF54" s="400">
        <f>+AD54+AE54</f>
        <v>1208</v>
      </c>
      <c r="AG54" s="401">
        <f t="shared" si="107"/>
        <v>3</v>
      </c>
      <c r="AH54" s="398"/>
      <c r="AI54" s="399"/>
      <c r="AJ54" s="400">
        <f>+AH54+AI54</f>
        <v>0</v>
      </c>
      <c r="AK54" s="401"/>
      <c r="AL54" s="398">
        <f t="shared" si="108"/>
        <v>0</v>
      </c>
      <c r="AM54" s="399">
        <f t="shared" si="109"/>
        <v>0</v>
      </c>
      <c r="AN54" s="400">
        <f>+AL54+AM54</f>
        <v>0</v>
      </c>
      <c r="AO54" s="401">
        <f t="shared" si="110"/>
        <v>0</v>
      </c>
      <c r="AP54" s="398">
        <f t="shared" si="111"/>
        <v>0</v>
      </c>
      <c r="AQ54" s="399">
        <f t="shared" si="112"/>
        <v>0</v>
      </c>
      <c r="AR54" s="400">
        <f>+AP54+AQ54</f>
        <v>0</v>
      </c>
      <c r="AS54" s="401">
        <f t="shared" si="113"/>
        <v>0</v>
      </c>
      <c r="AT54" s="398">
        <f t="shared" si="114"/>
        <v>0</v>
      </c>
      <c r="AU54" s="399">
        <f t="shared" si="115"/>
        <v>0</v>
      </c>
      <c r="AV54" s="400">
        <f>+AT54+AU54</f>
        <v>0</v>
      </c>
      <c r="AW54" s="401">
        <f t="shared" si="116"/>
        <v>0</v>
      </c>
      <c r="AX54" s="432">
        <f t="shared" si="117"/>
        <v>6686</v>
      </c>
      <c r="AY54" s="432">
        <f t="shared" si="118"/>
        <v>325</v>
      </c>
      <c r="AZ54" s="432">
        <f t="shared" si="120"/>
        <v>7011</v>
      </c>
      <c r="BA54" s="432">
        <f t="shared" si="119"/>
        <v>43</v>
      </c>
      <c r="BB54" s="1521"/>
      <c r="BC54" s="395">
        <f t="shared" si="121"/>
        <v>1211</v>
      </c>
      <c r="BD54" s="395">
        <f t="shared" si="122"/>
        <v>1208</v>
      </c>
      <c r="BE54" s="395">
        <f t="shared" si="123"/>
        <v>3</v>
      </c>
    </row>
    <row r="55" spans="1:73" ht="14.4" thickBot="1">
      <c r="A55" s="397" t="s">
        <v>4</v>
      </c>
      <c r="B55" s="398">
        <f t="shared" si="84"/>
        <v>1695</v>
      </c>
      <c r="C55" s="399">
        <f t="shared" si="85"/>
        <v>65</v>
      </c>
      <c r="D55" s="400">
        <f t="shared" ref="D55:D61" si="124">+B55+C55</f>
        <v>1760</v>
      </c>
      <c r="E55" s="401">
        <f t="shared" si="86"/>
        <v>6</v>
      </c>
      <c r="F55" s="398">
        <f t="shared" si="87"/>
        <v>1013</v>
      </c>
      <c r="G55" s="398">
        <f t="shared" si="88"/>
        <v>7</v>
      </c>
      <c r="H55" s="400">
        <f t="shared" ref="H55:H61" si="125">+F55+G55</f>
        <v>1020</v>
      </c>
      <c r="I55" s="401">
        <f t="shared" si="89"/>
        <v>2</v>
      </c>
      <c r="J55" s="398">
        <f t="shared" si="90"/>
        <v>1121</v>
      </c>
      <c r="K55" s="398">
        <f t="shared" si="91"/>
        <v>41</v>
      </c>
      <c r="L55" s="400">
        <f t="shared" ref="L55:L61" si="126">+J55+K55</f>
        <v>1162</v>
      </c>
      <c r="M55" s="401">
        <f t="shared" si="92"/>
        <v>2</v>
      </c>
      <c r="N55" s="398">
        <f t="shared" si="93"/>
        <v>2246</v>
      </c>
      <c r="O55" s="398">
        <f t="shared" si="94"/>
        <v>72</v>
      </c>
      <c r="P55" s="400">
        <f t="shared" ref="P55:P61" si="127">+N55+O55</f>
        <v>2318</v>
      </c>
      <c r="Q55" s="401">
        <f t="shared" si="95"/>
        <v>3</v>
      </c>
      <c r="R55" s="398">
        <f t="shared" si="96"/>
        <v>1836</v>
      </c>
      <c r="S55" s="399">
        <f t="shared" si="97"/>
        <v>50</v>
      </c>
      <c r="T55" s="400">
        <f t="shared" ref="T55:T61" si="128">+R55+S55</f>
        <v>1886</v>
      </c>
      <c r="U55" s="401">
        <f t="shared" si="98"/>
        <v>0</v>
      </c>
      <c r="V55" s="398">
        <f t="shared" si="99"/>
        <v>1382</v>
      </c>
      <c r="W55" s="399">
        <f t="shared" si="100"/>
        <v>28</v>
      </c>
      <c r="X55" s="400">
        <f t="shared" ref="X55:X61" si="129">+V55+W55</f>
        <v>1410</v>
      </c>
      <c r="Y55" s="401">
        <f t="shared" si="101"/>
        <v>1</v>
      </c>
      <c r="Z55" s="398">
        <f t="shared" si="102"/>
        <v>1580</v>
      </c>
      <c r="AA55" s="399">
        <f t="shared" si="103"/>
        <v>12</v>
      </c>
      <c r="AB55" s="400">
        <f t="shared" ref="AB55:AB61" si="130">+Z55+AA55</f>
        <v>1592</v>
      </c>
      <c r="AC55" s="401">
        <f t="shared" si="104"/>
        <v>3</v>
      </c>
      <c r="AD55" s="398">
        <f t="shared" si="105"/>
        <v>1479</v>
      </c>
      <c r="AE55" s="399">
        <f t="shared" si="106"/>
        <v>34</v>
      </c>
      <c r="AF55" s="400">
        <f t="shared" ref="AF55:AF61" si="131">+AD55+AE55</f>
        <v>1513</v>
      </c>
      <c r="AG55" s="401">
        <f t="shared" si="107"/>
        <v>1</v>
      </c>
      <c r="AH55" s="398"/>
      <c r="AI55" s="399"/>
      <c r="AJ55" s="400">
        <f t="shared" ref="AJ55:AJ61" si="132">+AH55+AI55</f>
        <v>0</v>
      </c>
      <c r="AK55" s="401"/>
      <c r="AL55" s="398">
        <f t="shared" si="108"/>
        <v>0</v>
      </c>
      <c r="AM55" s="399">
        <f t="shared" si="109"/>
        <v>0</v>
      </c>
      <c r="AN55" s="400">
        <f t="shared" ref="AN55:AN61" si="133">+AL55+AM55</f>
        <v>0</v>
      </c>
      <c r="AO55" s="401">
        <f t="shared" si="110"/>
        <v>0</v>
      </c>
      <c r="AP55" s="398">
        <f t="shared" si="111"/>
        <v>0</v>
      </c>
      <c r="AQ55" s="399">
        <f t="shared" si="112"/>
        <v>0</v>
      </c>
      <c r="AR55" s="400">
        <f t="shared" ref="AR55:AR61" si="134">+AP55+AQ55</f>
        <v>0</v>
      </c>
      <c r="AS55" s="401">
        <f t="shared" si="113"/>
        <v>0</v>
      </c>
      <c r="AT55" s="398">
        <f t="shared" si="114"/>
        <v>0</v>
      </c>
      <c r="AU55" s="399">
        <f t="shared" si="115"/>
        <v>0</v>
      </c>
      <c r="AV55" s="400">
        <f t="shared" ref="AV55:AV61" si="135">+AT55+AU55</f>
        <v>0</v>
      </c>
      <c r="AW55" s="401">
        <f t="shared" si="116"/>
        <v>0</v>
      </c>
      <c r="AX55" s="432">
        <f t="shared" si="117"/>
        <v>12352</v>
      </c>
      <c r="AY55" s="432">
        <f t="shared" si="118"/>
        <v>309</v>
      </c>
      <c r="AZ55" s="432">
        <f t="shared" si="120"/>
        <v>12661</v>
      </c>
      <c r="BA55" s="432">
        <f t="shared" si="119"/>
        <v>18</v>
      </c>
      <c r="BB55" s="435"/>
      <c r="BC55" s="395">
        <f t="shared" si="121"/>
        <v>1514</v>
      </c>
      <c r="BD55" s="395">
        <f t="shared" si="122"/>
        <v>1513</v>
      </c>
      <c r="BE55" s="395">
        <f t="shared" si="123"/>
        <v>1</v>
      </c>
    </row>
    <row r="56" spans="1:73" ht="14.4" thickBot="1">
      <c r="A56" s="397" t="s">
        <v>3</v>
      </c>
      <c r="B56" s="398">
        <f t="shared" si="84"/>
        <v>394</v>
      </c>
      <c r="C56" s="399">
        <f t="shared" si="85"/>
        <v>8</v>
      </c>
      <c r="D56" s="400">
        <f t="shared" si="124"/>
        <v>402</v>
      </c>
      <c r="E56" s="401">
        <f t="shared" si="86"/>
        <v>28</v>
      </c>
      <c r="F56" s="398">
        <f t="shared" si="87"/>
        <v>501</v>
      </c>
      <c r="G56" s="398">
        <f t="shared" si="88"/>
        <v>26</v>
      </c>
      <c r="H56" s="400">
        <f t="shared" si="125"/>
        <v>527</v>
      </c>
      <c r="I56" s="401">
        <f t="shared" si="89"/>
        <v>28</v>
      </c>
      <c r="J56" s="398">
        <f t="shared" si="90"/>
        <v>606</v>
      </c>
      <c r="K56" s="398">
        <f t="shared" si="91"/>
        <v>32</v>
      </c>
      <c r="L56" s="400">
        <f t="shared" si="126"/>
        <v>638</v>
      </c>
      <c r="M56" s="401">
        <f t="shared" si="92"/>
        <v>35</v>
      </c>
      <c r="N56" s="398">
        <f t="shared" si="93"/>
        <v>622</v>
      </c>
      <c r="O56" s="398">
        <f t="shared" si="94"/>
        <v>10</v>
      </c>
      <c r="P56" s="400">
        <f t="shared" si="127"/>
        <v>632</v>
      </c>
      <c r="Q56" s="401">
        <f t="shared" si="95"/>
        <v>19</v>
      </c>
      <c r="R56" s="398">
        <f t="shared" si="96"/>
        <v>603</v>
      </c>
      <c r="S56" s="399">
        <f t="shared" si="97"/>
        <v>31</v>
      </c>
      <c r="T56" s="400">
        <f t="shared" si="128"/>
        <v>634</v>
      </c>
      <c r="U56" s="401">
        <f t="shared" si="98"/>
        <v>17</v>
      </c>
      <c r="V56" s="398">
        <f t="shared" si="99"/>
        <v>758</v>
      </c>
      <c r="W56" s="399">
        <f t="shared" si="100"/>
        <v>8</v>
      </c>
      <c r="X56" s="400">
        <f t="shared" si="129"/>
        <v>766</v>
      </c>
      <c r="Y56" s="401">
        <f t="shared" si="101"/>
        <v>18</v>
      </c>
      <c r="Z56" s="398">
        <f t="shared" si="102"/>
        <v>738</v>
      </c>
      <c r="AA56" s="399">
        <f t="shared" si="103"/>
        <v>144</v>
      </c>
      <c r="AB56" s="400">
        <f t="shared" si="130"/>
        <v>882</v>
      </c>
      <c r="AC56" s="401">
        <f t="shared" si="104"/>
        <v>20</v>
      </c>
      <c r="AD56" s="398">
        <f t="shared" si="105"/>
        <v>762</v>
      </c>
      <c r="AE56" s="399">
        <f t="shared" si="106"/>
        <v>16</v>
      </c>
      <c r="AF56" s="400">
        <f t="shared" si="131"/>
        <v>778</v>
      </c>
      <c r="AG56" s="401">
        <f t="shared" si="107"/>
        <v>18</v>
      </c>
      <c r="AH56" s="398"/>
      <c r="AI56" s="399"/>
      <c r="AJ56" s="400">
        <f t="shared" si="132"/>
        <v>0</v>
      </c>
      <c r="AK56" s="401"/>
      <c r="AL56" s="398">
        <f t="shared" si="108"/>
        <v>0</v>
      </c>
      <c r="AM56" s="399">
        <f t="shared" si="109"/>
        <v>0</v>
      </c>
      <c r="AN56" s="400">
        <f t="shared" si="133"/>
        <v>0</v>
      </c>
      <c r="AO56" s="401">
        <f t="shared" si="110"/>
        <v>0</v>
      </c>
      <c r="AP56" s="398">
        <f t="shared" si="111"/>
        <v>0</v>
      </c>
      <c r="AQ56" s="399">
        <f t="shared" si="112"/>
        <v>0</v>
      </c>
      <c r="AR56" s="400">
        <f t="shared" si="134"/>
        <v>0</v>
      </c>
      <c r="AS56" s="401">
        <f t="shared" si="113"/>
        <v>0</v>
      </c>
      <c r="AT56" s="398">
        <f t="shared" si="114"/>
        <v>0</v>
      </c>
      <c r="AU56" s="399">
        <f t="shared" si="115"/>
        <v>0</v>
      </c>
      <c r="AV56" s="400">
        <f t="shared" si="135"/>
        <v>0</v>
      </c>
      <c r="AW56" s="401">
        <f t="shared" si="116"/>
        <v>0</v>
      </c>
      <c r="AX56" s="432">
        <f t="shared" si="117"/>
        <v>4984</v>
      </c>
      <c r="AY56" s="432">
        <f t="shared" si="118"/>
        <v>275</v>
      </c>
      <c r="AZ56" s="432">
        <f t="shared" si="120"/>
        <v>5259</v>
      </c>
      <c r="BA56" s="432">
        <f t="shared" si="119"/>
        <v>183</v>
      </c>
      <c r="BB56" s="435"/>
      <c r="BC56" s="395">
        <f t="shared" si="121"/>
        <v>796</v>
      </c>
      <c r="BD56" s="395">
        <f t="shared" si="122"/>
        <v>778</v>
      </c>
      <c r="BE56" s="395">
        <f t="shared" si="123"/>
        <v>18</v>
      </c>
    </row>
    <row r="57" spans="1:73" ht="13.95" customHeight="1" thickBot="1">
      <c r="A57" s="397" t="s">
        <v>397</v>
      </c>
      <c r="B57" s="398">
        <f t="shared" si="84"/>
        <v>469</v>
      </c>
      <c r="C57" s="399">
        <f t="shared" si="85"/>
        <v>74</v>
      </c>
      <c r="D57" s="400">
        <f t="shared" si="124"/>
        <v>543</v>
      </c>
      <c r="E57" s="401">
        <f t="shared" si="86"/>
        <v>1</v>
      </c>
      <c r="F57" s="398">
        <f t="shared" si="87"/>
        <v>551</v>
      </c>
      <c r="G57" s="398">
        <f t="shared" si="88"/>
        <v>14</v>
      </c>
      <c r="H57" s="400">
        <f t="shared" si="125"/>
        <v>565</v>
      </c>
      <c r="I57" s="401">
        <f t="shared" si="89"/>
        <v>3</v>
      </c>
      <c r="J57" s="398">
        <f t="shared" si="90"/>
        <v>711</v>
      </c>
      <c r="K57" s="398">
        <f t="shared" si="91"/>
        <v>26</v>
      </c>
      <c r="L57" s="400">
        <f t="shared" si="126"/>
        <v>737</v>
      </c>
      <c r="M57" s="401">
        <f t="shared" si="92"/>
        <v>6</v>
      </c>
      <c r="N57" s="398">
        <f t="shared" si="93"/>
        <v>789</v>
      </c>
      <c r="O57" s="398">
        <f t="shared" si="94"/>
        <v>21</v>
      </c>
      <c r="P57" s="400">
        <f t="shared" si="127"/>
        <v>810</v>
      </c>
      <c r="Q57" s="401">
        <f t="shared" si="95"/>
        <v>2</v>
      </c>
      <c r="R57" s="398">
        <f t="shared" si="96"/>
        <v>666</v>
      </c>
      <c r="S57" s="399">
        <f t="shared" si="97"/>
        <v>-69</v>
      </c>
      <c r="T57" s="400">
        <f t="shared" si="128"/>
        <v>597</v>
      </c>
      <c r="U57" s="401">
        <f t="shared" si="98"/>
        <v>10</v>
      </c>
      <c r="V57" s="398">
        <f t="shared" si="99"/>
        <v>-112</v>
      </c>
      <c r="W57" s="399">
        <f t="shared" si="100"/>
        <v>38</v>
      </c>
      <c r="X57" s="400">
        <f t="shared" si="129"/>
        <v>-74</v>
      </c>
      <c r="Y57" s="401">
        <f t="shared" si="101"/>
        <v>10</v>
      </c>
      <c r="Z57" s="398">
        <f t="shared" si="102"/>
        <v>616</v>
      </c>
      <c r="AA57" s="399">
        <f t="shared" si="103"/>
        <v>63</v>
      </c>
      <c r="AB57" s="400">
        <f t="shared" si="130"/>
        <v>679</v>
      </c>
      <c r="AC57" s="401">
        <f t="shared" si="104"/>
        <v>11</v>
      </c>
      <c r="AD57" s="398">
        <f t="shared" si="105"/>
        <v>688</v>
      </c>
      <c r="AE57" s="399">
        <f t="shared" si="106"/>
        <v>26</v>
      </c>
      <c r="AF57" s="400">
        <f t="shared" si="131"/>
        <v>714</v>
      </c>
      <c r="AG57" s="401">
        <f t="shared" si="107"/>
        <v>0</v>
      </c>
      <c r="AH57" s="398"/>
      <c r="AI57" s="399"/>
      <c r="AJ57" s="400">
        <f t="shared" si="132"/>
        <v>0</v>
      </c>
      <c r="AK57" s="401"/>
      <c r="AL57" s="398">
        <f t="shared" si="108"/>
        <v>0</v>
      </c>
      <c r="AM57" s="399">
        <f t="shared" si="109"/>
        <v>0</v>
      </c>
      <c r="AN57" s="400">
        <f t="shared" si="133"/>
        <v>0</v>
      </c>
      <c r="AO57" s="401">
        <f t="shared" si="110"/>
        <v>0</v>
      </c>
      <c r="AP57" s="398">
        <f t="shared" si="111"/>
        <v>0</v>
      </c>
      <c r="AQ57" s="399">
        <f t="shared" si="112"/>
        <v>0</v>
      </c>
      <c r="AR57" s="400">
        <f t="shared" si="134"/>
        <v>0</v>
      </c>
      <c r="AS57" s="401">
        <f t="shared" si="113"/>
        <v>0</v>
      </c>
      <c r="AT57" s="398">
        <f t="shared" si="114"/>
        <v>0</v>
      </c>
      <c r="AU57" s="399">
        <f t="shared" si="115"/>
        <v>0</v>
      </c>
      <c r="AV57" s="400">
        <f t="shared" si="135"/>
        <v>0</v>
      </c>
      <c r="AW57" s="401">
        <f t="shared" si="116"/>
        <v>0</v>
      </c>
      <c r="AX57" s="432">
        <f t="shared" si="117"/>
        <v>4378</v>
      </c>
      <c r="AY57" s="432">
        <f t="shared" si="118"/>
        <v>193</v>
      </c>
      <c r="AZ57" s="432">
        <f t="shared" si="120"/>
        <v>4571</v>
      </c>
      <c r="BA57" s="432">
        <f t="shared" si="119"/>
        <v>43</v>
      </c>
      <c r="BB57" s="435"/>
      <c r="BC57" s="395">
        <f t="shared" si="121"/>
        <v>714</v>
      </c>
      <c r="BD57" s="395">
        <f t="shared" si="122"/>
        <v>714</v>
      </c>
      <c r="BE57" s="395">
        <f t="shared" si="123"/>
        <v>0</v>
      </c>
    </row>
    <row r="58" spans="1:73" ht="14.4" thickBot="1">
      <c r="A58" s="397" t="s">
        <v>399</v>
      </c>
      <c r="B58" s="398">
        <f t="shared" si="84"/>
        <v>545</v>
      </c>
      <c r="C58" s="399">
        <f t="shared" si="85"/>
        <v>47</v>
      </c>
      <c r="D58" s="400">
        <f>+B58+C58</f>
        <v>592</v>
      </c>
      <c r="E58" s="401">
        <f t="shared" si="86"/>
        <v>2</v>
      </c>
      <c r="F58" s="398">
        <f t="shared" si="87"/>
        <v>1298</v>
      </c>
      <c r="G58" s="398">
        <f t="shared" si="88"/>
        <v>38</v>
      </c>
      <c r="H58" s="400">
        <f t="shared" si="125"/>
        <v>1336</v>
      </c>
      <c r="I58" s="401">
        <f t="shared" si="89"/>
        <v>3</v>
      </c>
      <c r="J58" s="398">
        <f t="shared" si="90"/>
        <v>2401</v>
      </c>
      <c r="K58" s="398">
        <f t="shared" si="91"/>
        <v>28</v>
      </c>
      <c r="L58" s="400">
        <f t="shared" si="126"/>
        <v>2429</v>
      </c>
      <c r="M58" s="401">
        <f t="shared" si="92"/>
        <v>5</v>
      </c>
      <c r="N58" s="398">
        <f t="shared" si="93"/>
        <v>1373</v>
      </c>
      <c r="O58" s="398">
        <f t="shared" si="94"/>
        <v>31</v>
      </c>
      <c r="P58" s="400">
        <f t="shared" si="127"/>
        <v>1404</v>
      </c>
      <c r="Q58" s="401">
        <f t="shared" si="95"/>
        <v>4</v>
      </c>
      <c r="R58" s="398">
        <f t="shared" si="96"/>
        <v>1722</v>
      </c>
      <c r="S58" s="399">
        <f t="shared" si="97"/>
        <v>-5</v>
      </c>
      <c r="T58" s="400">
        <f t="shared" si="128"/>
        <v>1717</v>
      </c>
      <c r="U58" s="401">
        <f t="shared" si="98"/>
        <v>3</v>
      </c>
      <c r="V58" s="398">
        <f>V26-R26</f>
        <v>1391</v>
      </c>
      <c r="W58" s="399">
        <f t="shared" si="100"/>
        <v>40</v>
      </c>
      <c r="X58" s="400">
        <f t="shared" si="129"/>
        <v>1431</v>
      </c>
      <c r="Y58" s="401">
        <f t="shared" si="101"/>
        <v>5</v>
      </c>
      <c r="Z58" s="398">
        <f>Z26-V26</f>
        <v>1009</v>
      </c>
      <c r="AA58" s="399">
        <f t="shared" si="103"/>
        <v>71</v>
      </c>
      <c r="AB58" s="400">
        <f t="shared" si="130"/>
        <v>1080</v>
      </c>
      <c r="AC58" s="401">
        <f t="shared" si="104"/>
        <v>2</v>
      </c>
      <c r="AD58" s="398">
        <f>AD26-Z26</f>
        <v>1324</v>
      </c>
      <c r="AE58" s="399">
        <f t="shared" si="106"/>
        <v>16</v>
      </c>
      <c r="AF58" s="400">
        <f t="shared" si="131"/>
        <v>1340</v>
      </c>
      <c r="AG58" s="401">
        <f t="shared" si="107"/>
        <v>12</v>
      </c>
      <c r="AH58" s="398"/>
      <c r="AI58" s="399"/>
      <c r="AJ58" s="400">
        <f t="shared" si="132"/>
        <v>0</v>
      </c>
      <c r="AK58" s="401"/>
      <c r="AL58" s="398">
        <f>AL26-AH26</f>
        <v>0</v>
      </c>
      <c r="AM58" s="399">
        <f t="shared" si="109"/>
        <v>0</v>
      </c>
      <c r="AN58" s="400">
        <f t="shared" si="133"/>
        <v>0</v>
      </c>
      <c r="AO58" s="401">
        <f t="shared" si="110"/>
        <v>0</v>
      </c>
      <c r="AP58" s="398">
        <f>AP26-AL26</f>
        <v>0</v>
      </c>
      <c r="AQ58" s="399">
        <f t="shared" si="112"/>
        <v>0</v>
      </c>
      <c r="AR58" s="400">
        <f t="shared" si="134"/>
        <v>0</v>
      </c>
      <c r="AS58" s="401">
        <f t="shared" si="113"/>
        <v>0</v>
      </c>
      <c r="AT58" s="398">
        <f>AT26-AP26</f>
        <v>0</v>
      </c>
      <c r="AU58" s="399">
        <f t="shared" si="115"/>
        <v>0</v>
      </c>
      <c r="AV58" s="400">
        <f t="shared" si="135"/>
        <v>0</v>
      </c>
      <c r="AW58" s="401">
        <f t="shared" si="116"/>
        <v>0</v>
      </c>
      <c r="AX58" s="432">
        <f t="shared" si="117"/>
        <v>11063</v>
      </c>
      <c r="AY58" s="432">
        <f t="shared" si="118"/>
        <v>266</v>
      </c>
      <c r="AZ58" s="432">
        <f t="shared" si="120"/>
        <v>11329</v>
      </c>
      <c r="BA58" s="432">
        <f t="shared" si="119"/>
        <v>36</v>
      </c>
      <c r="BB58" s="435"/>
      <c r="BC58" s="395">
        <f t="shared" si="121"/>
        <v>1352</v>
      </c>
      <c r="BD58" s="395">
        <f t="shared" si="122"/>
        <v>1340</v>
      </c>
      <c r="BE58" s="395">
        <f t="shared" si="123"/>
        <v>12</v>
      </c>
    </row>
    <row r="59" spans="1:73" ht="14.4" thickBot="1">
      <c r="A59" s="397" t="s">
        <v>883</v>
      </c>
      <c r="B59" s="398">
        <f t="shared" si="84"/>
        <v>269</v>
      </c>
      <c r="C59" s="399">
        <f t="shared" si="85"/>
        <v>31</v>
      </c>
      <c r="D59" s="400">
        <f t="shared" si="124"/>
        <v>300</v>
      </c>
      <c r="E59" s="401">
        <f t="shared" si="86"/>
        <v>5</v>
      </c>
      <c r="F59" s="398">
        <f t="shared" si="87"/>
        <v>759</v>
      </c>
      <c r="G59" s="398">
        <f t="shared" si="88"/>
        <v>12</v>
      </c>
      <c r="H59" s="400">
        <f t="shared" si="125"/>
        <v>771</v>
      </c>
      <c r="I59" s="401">
        <f t="shared" si="89"/>
        <v>9</v>
      </c>
      <c r="J59" s="398">
        <f t="shared" si="90"/>
        <v>714</v>
      </c>
      <c r="K59" s="398">
        <f t="shared" si="91"/>
        <v>18</v>
      </c>
      <c r="L59" s="400">
        <f t="shared" si="126"/>
        <v>732</v>
      </c>
      <c r="M59" s="401">
        <f t="shared" si="92"/>
        <v>5</v>
      </c>
      <c r="N59" s="398">
        <f t="shared" si="93"/>
        <v>453</v>
      </c>
      <c r="O59" s="398">
        <f t="shared" si="94"/>
        <v>16</v>
      </c>
      <c r="P59" s="400">
        <f t="shared" si="127"/>
        <v>469</v>
      </c>
      <c r="Q59" s="401">
        <f t="shared" si="95"/>
        <v>7</v>
      </c>
      <c r="R59" s="398">
        <f t="shared" si="96"/>
        <v>918</v>
      </c>
      <c r="S59" s="399">
        <f t="shared" si="97"/>
        <v>18</v>
      </c>
      <c r="T59" s="400">
        <f t="shared" si="128"/>
        <v>936</v>
      </c>
      <c r="U59" s="401">
        <f t="shared" si="98"/>
        <v>10</v>
      </c>
      <c r="V59" s="398">
        <f>V27-R27</f>
        <v>557</v>
      </c>
      <c r="W59" s="399">
        <f t="shared" si="100"/>
        <v>14</v>
      </c>
      <c r="X59" s="400">
        <f t="shared" si="129"/>
        <v>571</v>
      </c>
      <c r="Y59" s="401">
        <f t="shared" si="101"/>
        <v>6</v>
      </c>
      <c r="Z59" s="398">
        <f>Z27-V27</f>
        <v>834</v>
      </c>
      <c r="AA59" s="399">
        <f t="shared" si="103"/>
        <v>43</v>
      </c>
      <c r="AB59" s="400">
        <f t="shared" si="130"/>
        <v>877</v>
      </c>
      <c r="AC59" s="401">
        <f t="shared" si="104"/>
        <v>8</v>
      </c>
      <c r="AD59" s="398">
        <f>AD27-Z27</f>
        <v>488</v>
      </c>
      <c r="AE59" s="399">
        <f t="shared" si="106"/>
        <v>27</v>
      </c>
      <c r="AF59" s="400">
        <f t="shared" si="131"/>
        <v>515</v>
      </c>
      <c r="AG59" s="401">
        <f t="shared" si="107"/>
        <v>13</v>
      </c>
      <c r="AH59" s="398"/>
      <c r="AI59" s="399"/>
      <c r="AJ59" s="400">
        <f t="shared" si="132"/>
        <v>0</v>
      </c>
      <c r="AK59" s="401"/>
      <c r="AL59" s="398">
        <f>AL27-AH27</f>
        <v>0</v>
      </c>
      <c r="AM59" s="399">
        <f t="shared" si="109"/>
        <v>0</v>
      </c>
      <c r="AN59" s="400">
        <f t="shared" si="133"/>
        <v>0</v>
      </c>
      <c r="AO59" s="401">
        <f t="shared" si="110"/>
        <v>0</v>
      </c>
      <c r="AP59" s="398">
        <f>AP27-AL27</f>
        <v>0</v>
      </c>
      <c r="AQ59" s="399">
        <f t="shared" si="112"/>
        <v>0</v>
      </c>
      <c r="AR59" s="400">
        <f t="shared" si="134"/>
        <v>0</v>
      </c>
      <c r="AS59" s="401">
        <f t="shared" si="113"/>
        <v>0</v>
      </c>
      <c r="AT59" s="398">
        <f>AT27-AP27</f>
        <v>0</v>
      </c>
      <c r="AU59" s="399">
        <f t="shared" si="115"/>
        <v>0</v>
      </c>
      <c r="AV59" s="400">
        <f t="shared" si="135"/>
        <v>0</v>
      </c>
      <c r="AW59" s="401">
        <f t="shared" si="116"/>
        <v>0</v>
      </c>
      <c r="AX59" s="432">
        <f t="shared" si="117"/>
        <v>4992</v>
      </c>
      <c r="AY59" s="432">
        <f t="shared" si="118"/>
        <v>179</v>
      </c>
      <c r="AZ59" s="432">
        <f t="shared" si="120"/>
        <v>5171</v>
      </c>
      <c r="BA59" s="432">
        <f t="shared" si="119"/>
        <v>63</v>
      </c>
      <c r="BB59" s="435"/>
      <c r="BC59" s="395">
        <f t="shared" si="121"/>
        <v>528</v>
      </c>
      <c r="BD59" s="395">
        <f t="shared" si="122"/>
        <v>515</v>
      </c>
      <c r="BE59" s="395">
        <f t="shared" si="123"/>
        <v>13</v>
      </c>
    </row>
    <row r="60" spans="1:73" ht="14.4" thickBot="1">
      <c r="A60" s="397" t="s">
        <v>884</v>
      </c>
      <c r="B60" s="398">
        <f t="shared" si="84"/>
        <v>582</v>
      </c>
      <c r="C60" s="399">
        <f t="shared" si="85"/>
        <v>-25</v>
      </c>
      <c r="D60" s="400">
        <f t="shared" si="124"/>
        <v>557</v>
      </c>
      <c r="E60" s="401">
        <f t="shared" si="86"/>
        <v>2</v>
      </c>
      <c r="F60" s="398">
        <f t="shared" si="87"/>
        <v>428</v>
      </c>
      <c r="G60" s="398">
        <f t="shared" si="88"/>
        <v>36</v>
      </c>
      <c r="H60" s="400">
        <f t="shared" si="125"/>
        <v>464</v>
      </c>
      <c r="I60" s="401">
        <f t="shared" si="89"/>
        <v>3</v>
      </c>
      <c r="J60" s="398">
        <f t="shared" si="90"/>
        <v>1819</v>
      </c>
      <c r="K60" s="398">
        <f t="shared" si="91"/>
        <v>69</v>
      </c>
      <c r="L60" s="400">
        <f t="shared" si="126"/>
        <v>1888</v>
      </c>
      <c r="M60" s="401">
        <f t="shared" si="92"/>
        <v>5</v>
      </c>
      <c r="N60" s="398">
        <f t="shared" si="93"/>
        <v>617</v>
      </c>
      <c r="O60" s="398">
        <f t="shared" si="94"/>
        <v>21</v>
      </c>
      <c r="P60" s="400">
        <f t="shared" si="127"/>
        <v>638</v>
      </c>
      <c r="Q60" s="401">
        <f t="shared" si="95"/>
        <v>9</v>
      </c>
      <c r="R60" s="398">
        <f t="shared" si="96"/>
        <v>686</v>
      </c>
      <c r="S60" s="399">
        <f t="shared" si="97"/>
        <v>29</v>
      </c>
      <c r="T60" s="400">
        <f t="shared" si="128"/>
        <v>715</v>
      </c>
      <c r="U60" s="401">
        <f t="shared" si="98"/>
        <v>10</v>
      </c>
      <c r="V60" s="398">
        <f>V28-R28</f>
        <v>823</v>
      </c>
      <c r="W60" s="399">
        <f t="shared" si="100"/>
        <v>25</v>
      </c>
      <c r="X60" s="400">
        <f t="shared" si="129"/>
        <v>848</v>
      </c>
      <c r="Y60" s="401">
        <f t="shared" si="101"/>
        <v>2</v>
      </c>
      <c r="Z60" s="398">
        <f>Z28-V28</f>
        <v>978</v>
      </c>
      <c r="AA60" s="399">
        <f t="shared" si="103"/>
        <v>26</v>
      </c>
      <c r="AB60" s="400">
        <f t="shared" si="130"/>
        <v>1004</v>
      </c>
      <c r="AC60" s="401">
        <f t="shared" si="104"/>
        <v>5</v>
      </c>
      <c r="AD60" s="398">
        <f>AD28-Z28</f>
        <v>1372</v>
      </c>
      <c r="AE60" s="399">
        <f t="shared" si="106"/>
        <v>30</v>
      </c>
      <c r="AF60" s="400">
        <f t="shared" si="131"/>
        <v>1402</v>
      </c>
      <c r="AG60" s="401">
        <f t="shared" si="107"/>
        <v>5</v>
      </c>
      <c r="AH60" s="398"/>
      <c r="AI60" s="399"/>
      <c r="AJ60" s="400">
        <f t="shared" si="132"/>
        <v>0</v>
      </c>
      <c r="AK60" s="401"/>
      <c r="AL60" s="398">
        <f>AL28-AH28</f>
        <v>0</v>
      </c>
      <c r="AM60" s="399">
        <f t="shared" si="109"/>
        <v>0</v>
      </c>
      <c r="AN60" s="400">
        <f t="shared" si="133"/>
        <v>0</v>
      </c>
      <c r="AO60" s="401">
        <f t="shared" si="110"/>
        <v>0</v>
      </c>
      <c r="AP60" s="398">
        <f>AP28-AL28</f>
        <v>0</v>
      </c>
      <c r="AQ60" s="399">
        <f t="shared" si="112"/>
        <v>0</v>
      </c>
      <c r="AR60" s="400">
        <f t="shared" si="134"/>
        <v>0</v>
      </c>
      <c r="AS60" s="401">
        <f t="shared" si="113"/>
        <v>0</v>
      </c>
      <c r="AT60" s="398">
        <f>AT28-AP28</f>
        <v>0</v>
      </c>
      <c r="AU60" s="399">
        <f t="shared" si="115"/>
        <v>0</v>
      </c>
      <c r="AV60" s="400">
        <f t="shared" si="135"/>
        <v>0</v>
      </c>
      <c r="AW60" s="401">
        <f t="shared" si="116"/>
        <v>0</v>
      </c>
      <c r="AX60" s="432">
        <f t="shared" si="117"/>
        <v>7305</v>
      </c>
      <c r="AY60" s="432">
        <f t="shared" si="118"/>
        <v>211</v>
      </c>
      <c r="AZ60" s="432">
        <f t="shared" si="120"/>
        <v>7516</v>
      </c>
      <c r="BA60" s="432">
        <f t="shared" si="119"/>
        <v>41</v>
      </c>
      <c r="BB60" s="435"/>
      <c r="BC60" s="395">
        <f t="shared" si="121"/>
        <v>1407</v>
      </c>
      <c r="BD60" s="395">
        <f t="shared" si="122"/>
        <v>1402</v>
      </c>
      <c r="BE60" s="395">
        <f t="shared" si="123"/>
        <v>5</v>
      </c>
    </row>
    <row r="61" spans="1:73" ht="14.4" thickBot="1">
      <c r="A61" s="397" t="s">
        <v>885</v>
      </c>
      <c r="B61" s="398">
        <f t="shared" si="84"/>
        <v>245</v>
      </c>
      <c r="C61" s="399">
        <f t="shared" si="85"/>
        <v>2</v>
      </c>
      <c r="D61" s="400">
        <f t="shared" si="124"/>
        <v>247</v>
      </c>
      <c r="E61" s="401">
        <f t="shared" si="86"/>
        <v>1</v>
      </c>
      <c r="F61" s="398">
        <f t="shared" si="87"/>
        <v>321</v>
      </c>
      <c r="G61" s="398">
        <f t="shared" si="88"/>
        <v>26</v>
      </c>
      <c r="H61" s="400">
        <f t="shared" si="125"/>
        <v>347</v>
      </c>
      <c r="I61" s="401">
        <f t="shared" si="89"/>
        <v>0</v>
      </c>
      <c r="J61" s="398">
        <f t="shared" si="90"/>
        <v>947</v>
      </c>
      <c r="K61" s="398">
        <f t="shared" si="91"/>
        <v>59</v>
      </c>
      <c r="L61" s="400">
        <f t="shared" si="126"/>
        <v>1006</v>
      </c>
      <c r="M61" s="401">
        <f t="shared" si="92"/>
        <v>0</v>
      </c>
      <c r="N61" s="398">
        <f t="shared" si="93"/>
        <v>813</v>
      </c>
      <c r="O61" s="398">
        <f t="shared" si="94"/>
        <v>31</v>
      </c>
      <c r="P61" s="400">
        <f t="shared" si="127"/>
        <v>844</v>
      </c>
      <c r="Q61" s="401">
        <f t="shared" si="95"/>
        <v>0</v>
      </c>
      <c r="R61" s="398">
        <f t="shared" si="96"/>
        <v>911</v>
      </c>
      <c r="S61" s="399">
        <f t="shared" si="97"/>
        <v>10</v>
      </c>
      <c r="T61" s="400">
        <f t="shared" si="128"/>
        <v>921</v>
      </c>
      <c r="U61" s="401">
        <f t="shared" si="98"/>
        <v>-1</v>
      </c>
      <c r="V61" s="398">
        <f>V29-R29</f>
        <v>267</v>
      </c>
      <c r="W61" s="399">
        <f t="shared" si="100"/>
        <v>19</v>
      </c>
      <c r="X61" s="400">
        <f t="shared" si="129"/>
        <v>286</v>
      </c>
      <c r="Y61" s="401">
        <f t="shared" si="101"/>
        <v>2</v>
      </c>
      <c r="Z61" s="398">
        <f>Z29-V29</f>
        <v>298</v>
      </c>
      <c r="AA61" s="399">
        <f t="shared" si="103"/>
        <v>15</v>
      </c>
      <c r="AB61" s="400">
        <f t="shared" si="130"/>
        <v>313</v>
      </c>
      <c r="AC61" s="401">
        <f t="shared" si="104"/>
        <v>-1</v>
      </c>
      <c r="AD61" s="398">
        <f>AD29-Z29</f>
        <v>228</v>
      </c>
      <c r="AE61" s="399">
        <f t="shared" si="106"/>
        <v>13</v>
      </c>
      <c r="AF61" s="400">
        <f t="shared" si="131"/>
        <v>241</v>
      </c>
      <c r="AG61" s="401">
        <f t="shared" si="107"/>
        <v>0</v>
      </c>
      <c r="AH61" s="398"/>
      <c r="AI61" s="399"/>
      <c r="AJ61" s="400">
        <f t="shared" si="132"/>
        <v>0</v>
      </c>
      <c r="AK61" s="401"/>
      <c r="AL61" s="398">
        <f>AL29-AH29</f>
        <v>0</v>
      </c>
      <c r="AM61" s="399">
        <f t="shared" si="109"/>
        <v>0</v>
      </c>
      <c r="AN61" s="400">
        <f t="shared" si="133"/>
        <v>0</v>
      </c>
      <c r="AO61" s="401">
        <f t="shared" si="110"/>
        <v>0</v>
      </c>
      <c r="AP61" s="398">
        <f>AP29-AL29</f>
        <v>0</v>
      </c>
      <c r="AQ61" s="399">
        <f t="shared" si="112"/>
        <v>0</v>
      </c>
      <c r="AR61" s="400">
        <f t="shared" si="134"/>
        <v>0</v>
      </c>
      <c r="AS61" s="401">
        <f t="shared" si="113"/>
        <v>0</v>
      </c>
      <c r="AT61" s="398">
        <f>AT29-AP29</f>
        <v>0</v>
      </c>
      <c r="AU61" s="399">
        <f t="shared" si="115"/>
        <v>0</v>
      </c>
      <c r="AV61" s="400">
        <f t="shared" si="135"/>
        <v>0</v>
      </c>
      <c r="AW61" s="401">
        <f t="shared" si="116"/>
        <v>0</v>
      </c>
      <c r="AX61" s="432">
        <f t="shared" si="117"/>
        <v>4030</v>
      </c>
      <c r="AY61" s="432">
        <f t="shared" si="118"/>
        <v>175</v>
      </c>
      <c r="AZ61" s="432">
        <f t="shared" si="120"/>
        <v>4205</v>
      </c>
      <c r="BA61" s="432">
        <f t="shared" si="119"/>
        <v>1</v>
      </c>
      <c r="BB61" s="435"/>
      <c r="BC61" s="395">
        <f t="shared" si="121"/>
        <v>241</v>
      </c>
      <c r="BD61" s="395">
        <f t="shared" si="122"/>
        <v>241</v>
      </c>
      <c r="BE61" s="395">
        <f t="shared" si="123"/>
        <v>0</v>
      </c>
    </row>
    <row r="62" spans="1:73" ht="14.4" thickBot="1">
      <c r="A62" s="433" t="s">
        <v>16</v>
      </c>
      <c r="B62" s="417">
        <f t="shared" ref="B62:AG62" si="136">SUM(B52:B61)</f>
        <v>7548</v>
      </c>
      <c r="C62" s="419">
        <f t="shared" si="136"/>
        <v>175</v>
      </c>
      <c r="D62" s="419">
        <f t="shared" si="136"/>
        <v>7723</v>
      </c>
      <c r="E62" s="420">
        <f t="shared" si="136"/>
        <v>55</v>
      </c>
      <c r="F62" s="417">
        <f t="shared" si="136"/>
        <v>10573</v>
      </c>
      <c r="G62" s="419">
        <f t="shared" si="136"/>
        <v>380</v>
      </c>
      <c r="H62" s="419">
        <f t="shared" si="136"/>
        <v>10953</v>
      </c>
      <c r="I62" s="420">
        <f t="shared" si="136"/>
        <v>70</v>
      </c>
      <c r="J62" s="417">
        <f t="shared" si="136"/>
        <v>11373</v>
      </c>
      <c r="K62" s="419">
        <f t="shared" si="136"/>
        <v>379</v>
      </c>
      <c r="L62" s="419">
        <f t="shared" si="136"/>
        <v>11752</v>
      </c>
      <c r="M62" s="420">
        <f t="shared" si="136"/>
        <v>82</v>
      </c>
      <c r="N62" s="417">
        <f t="shared" si="136"/>
        <v>9375</v>
      </c>
      <c r="O62" s="419">
        <f t="shared" si="136"/>
        <v>328</v>
      </c>
      <c r="P62" s="419">
        <f t="shared" si="136"/>
        <v>9703</v>
      </c>
      <c r="Q62" s="420">
        <f t="shared" si="136"/>
        <v>69</v>
      </c>
      <c r="R62" s="417">
        <f t="shared" si="136"/>
        <v>9860</v>
      </c>
      <c r="S62" s="419">
        <f t="shared" si="136"/>
        <v>215</v>
      </c>
      <c r="T62" s="419">
        <f t="shared" si="136"/>
        <v>10075</v>
      </c>
      <c r="U62" s="420">
        <f t="shared" si="136"/>
        <v>71</v>
      </c>
      <c r="V62" s="417">
        <f t="shared" si="136"/>
        <v>8123</v>
      </c>
      <c r="W62" s="419">
        <f t="shared" si="136"/>
        <v>318</v>
      </c>
      <c r="X62" s="419">
        <f t="shared" si="136"/>
        <v>8441</v>
      </c>
      <c r="Y62" s="420">
        <f t="shared" si="136"/>
        <v>69</v>
      </c>
      <c r="Z62" s="417">
        <f t="shared" si="136"/>
        <v>8737</v>
      </c>
      <c r="AA62" s="419">
        <f t="shared" si="136"/>
        <v>482</v>
      </c>
      <c r="AB62" s="419">
        <f t="shared" si="136"/>
        <v>9219</v>
      </c>
      <c r="AC62" s="420">
        <f t="shared" si="136"/>
        <v>66</v>
      </c>
      <c r="AD62" s="417">
        <f t="shared" si="136"/>
        <v>10023</v>
      </c>
      <c r="AE62" s="419">
        <f t="shared" si="136"/>
        <v>287</v>
      </c>
      <c r="AF62" s="419">
        <f t="shared" si="136"/>
        <v>10310</v>
      </c>
      <c r="AG62" s="420">
        <f t="shared" si="136"/>
        <v>65</v>
      </c>
      <c r="AH62" s="417">
        <f t="shared" ref="AH62:BA62" si="137">SUM(AH52:AH61)</f>
        <v>0</v>
      </c>
      <c r="AI62" s="419">
        <f t="shared" si="137"/>
        <v>0</v>
      </c>
      <c r="AJ62" s="419">
        <f t="shared" si="137"/>
        <v>0</v>
      </c>
      <c r="AK62" s="420">
        <f t="shared" si="137"/>
        <v>0</v>
      </c>
      <c r="AL62" s="417">
        <f t="shared" si="137"/>
        <v>0</v>
      </c>
      <c r="AM62" s="419">
        <f t="shared" si="137"/>
        <v>0</v>
      </c>
      <c r="AN62" s="419">
        <f t="shared" si="137"/>
        <v>0</v>
      </c>
      <c r="AO62" s="420">
        <f t="shared" si="137"/>
        <v>0</v>
      </c>
      <c r="AP62" s="417">
        <f t="shared" si="137"/>
        <v>0</v>
      </c>
      <c r="AQ62" s="419">
        <f t="shared" si="137"/>
        <v>0</v>
      </c>
      <c r="AR62" s="419">
        <f t="shared" si="137"/>
        <v>0</v>
      </c>
      <c r="AS62" s="420">
        <f t="shared" si="137"/>
        <v>0</v>
      </c>
      <c r="AT62" s="417">
        <f t="shared" si="137"/>
        <v>0</v>
      </c>
      <c r="AU62" s="419">
        <f t="shared" si="137"/>
        <v>0</v>
      </c>
      <c r="AV62" s="419">
        <f t="shared" si="137"/>
        <v>0</v>
      </c>
      <c r="AW62" s="420">
        <f t="shared" si="137"/>
        <v>0</v>
      </c>
      <c r="AX62" s="434">
        <f t="shared" si="137"/>
        <v>75612</v>
      </c>
      <c r="AY62" s="434">
        <f t="shared" si="137"/>
        <v>2564</v>
      </c>
      <c r="AZ62" s="434">
        <f t="shared" si="137"/>
        <v>78176</v>
      </c>
      <c r="BA62" s="434">
        <f t="shared" si="137"/>
        <v>547</v>
      </c>
      <c r="BB62" s="435"/>
      <c r="BC62" s="395">
        <f t="shared" si="121"/>
        <v>10375</v>
      </c>
      <c r="BD62" s="395">
        <f t="shared" si="122"/>
        <v>10310</v>
      </c>
      <c r="BE62" s="395">
        <f t="shared" si="123"/>
        <v>65</v>
      </c>
    </row>
    <row r="63" spans="1:73">
      <c r="L63" s="395">
        <f>L62+H62+D62</f>
        <v>30428</v>
      </c>
      <c r="M63" s="395">
        <f>M62+I62+E62</f>
        <v>207</v>
      </c>
      <c r="P63" s="395">
        <f>P62+T62+X62</f>
        <v>28219</v>
      </c>
      <c r="Q63" s="395">
        <f>Q62+U62+Y62</f>
        <v>209</v>
      </c>
      <c r="X63" s="395">
        <f>X62+T62+P62</f>
        <v>28219</v>
      </c>
      <c r="Y63" s="395">
        <f>Y62+U62+Q62</f>
        <v>209</v>
      </c>
      <c r="AB63" s="395"/>
      <c r="AC63" s="395"/>
      <c r="AJ63" s="1243">
        <f>AJ62+AF62+AB62</f>
        <v>19529</v>
      </c>
      <c r="AK63" s="1243">
        <f>AK62+AG62+AC62</f>
        <v>131</v>
      </c>
      <c r="AO63" s="395">
        <f>AO52+AS52+AW52</f>
        <v>0</v>
      </c>
      <c r="AV63" s="446">
        <f>AN62+AR62+AV62</f>
        <v>0</v>
      </c>
      <c r="AW63" s="446">
        <f>AO62+AS62+AW62</f>
        <v>0</v>
      </c>
      <c r="AZ63" s="395">
        <f>AZ62-6860</f>
        <v>71316</v>
      </c>
      <c r="BA63" s="395">
        <f>126+203</f>
        <v>329</v>
      </c>
    </row>
    <row r="64" spans="1:73">
      <c r="AZ64" s="395"/>
    </row>
    <row r="65" spans="1:56" ht="18">
      <c r="A65" s="393" t="s">
        <v>861</v>
      </c>
      <c r="AR65" s="1105">
        <f>AR64-AR63</f>
        <v>0</v>
      </c>
      <c r="AT65" s="1277"/>
      <c r="AU65" s="1277"/>
      <c r="AV65" s="1277"/>
      <c r="AW65" s="1277"/>
    </row>
    <row r="66" spans="1:56" ht="18.600000000000001" thickBot="1">
      <c r="A66" s="394">
        <f>A34</f>
        <v>2023</v>
      </c>
      <c r="U66" s="395">
        <f>U69+Q69+M69+I69+E69</f>
        <v>11</v>
      </c>
    </row>
    <row r="67" spans="1:56">
      <c r="A67" s="2815" t="s">
        <v>308</v>
      </c>
      <c r="B67" s="2827" t="s">
        <v>71</v>
      </c>
      <c r="C67" s="2828"/>
      <c r="D67" s="2828"/>
      <c r="E67" s="3091"/>
      <c r="F67" s="2829" t="s">
        <v>72</v>
      </c>
      <c r="G67" s="2830"/>
      <c r="H67" s="2830"/>
      <c r="I67" s="3095"/>
      <c r="J67" s="2817" t="s">
        <v>73</v>
      </c>
      <c r="K67" s="2818"/>
      <c r="L67" s="2818"/>
      <c r="M67" s="3094"/>
      <c r="N67" s="2819" t="s">
        <v>74</v>
      </c>
      <c r="O67" s="2820"/>
      <c r="P67" s="2820"/>
      <c r="Q67" s="3090"/>
      <c r="R67" s="2821" t="s">
        <v>75</v>
      </c>
      <c r="S67" s="2822"/>
      <c r="T67" s="2822"/>
      <c r="U67" s="3093"/>
      <c r="V67" s="2823" t="s">
        <v>76</v>
      </c>
      <c r="W67" s="2824"/>
      <c r="X67" s="2824"/>
      <c r="Y67" s="3089"/>
      <c r="Z67" s="2827" t="s">
        <v>77</v>
      </c>
      <c r="AA67" s="2828"/>
      <c r="AB67" s="2828"/>
      <c r="AC67" s="3091"/>
      <c r="AD67" s="2829" t="s">
        <v>78</v>
      </c>
      <c r="AE67" s="2830"/>
      <c r="AF67" s="2830"/>
      <c r="AG67" s="3095"/>
      <c r="AH67" s="2817" t="s">
        <v>79</v>
      </c>
      <c r="AI67" s="2818"/>
      <c r="AJ67" s="2818"/>
      <c r="AK67" s="3094"/>
      <c r="AL67" s="2819" t="s">
        <v>80</v>
      </c>
      <c r="AM67" s="2820"/>
      <c r="AN67" s="2820"/>
      <c r="AO67" s="3090"/>
      <c r="AP67" s="2821" t="s">
        <v>81</v>
      </c>
      <c r="AQ67" s="2822"/>
      <c r="AR67" s="2822"/>
      <c r="AS67" s="3093"/>
      <c r="AT67" s="2823" t="s">
        <v>82</v>
      </c>
      <c r="AU67" s="2824"/>
      <c r="AV67" s="2824"/>
      <c r="AW67" s="3089"/>
      <c r="AX67" s="2825" t="s">
        <v>83</v>
      </c>
      <c r="AY67" s="2826"/>
      <c r="AZ67" s="2826"/>
      <c r="BA67" s="3088"/>
    </row>
    <row r="68" spans="1:56" ht="14.4" thickBot="1">
      <c r="A68" s="2816"/>
      <c r="B68" s="402" t="s">
        <v>17</v>
      </c>
      <c r="C68" s="403" t="s">
        <v>18</v>
      </c>
      <c r="D68" s="403" t="s">
        <v>52</v>
      </c>
      <c r="E68" s="404" t="s">
        <v>19</v>
      </c>
      <c r="F68" s="402" t="s">
        <v>17</v>
      </c>
      <c r="G68" s="403" t="s">
        <v>18</v>
      </c>
      <c r="H68" s="403" t="s">
        <v>52</v>
      </c>
      <c r="I68" s="404" t="s">
        <v>19</v>
      </c>
      <c r="J68" s="402" t="s">
        <v>17</v>
      </c>
      <c r="K68" s="403" t="s">
        <v>18</v>
      </c>
      <c r="L68" s="403" t="s">
        <v>52</v>
      </c>
      <c r="M68" s="404" t="s">
        <v>19</v>
      </c>
      <c r="N68" s="402" t="s">
        <v>17</v>
      </c>
      <c r="O68" s="403" t="s">
        <v>18</v>
      </c>
      <c r="P68" s="403" t="s">
        <v>52</v>
      </c>
      <c r="Q68" s="404" t="s">
        <v>19</v>
      </c>
      <c r="R68" s="402" t="s">
        <v>17</v>
      </c>
      <c r="S68" s="403" t="s">
        <v>18</v>
      </c>
      <c r="T68" s="403" t="s">
        <v>52</v>
      </c>
      <c r="U68" s="404" t="s">
        <v>19</v>
      </c>
      <c r="V68" s="402" t="s">
        <v>17</v>
      </c>
      <c r="W68" s="403" t="s">
        <v>18</v>
      </c>
      <c r="X68" s="403" t="s">
        <v>52</v>
      </c>
      <c r="Y68" s="404" t="s">
        <v>19</v>
      </c>
      <c r="Z68" s="402" t="s">
        <v>17</v>
      </c>
      <c r="AA68" s="403" t="s">
        <v>18</v>
      </c>
      <c r="AB68" s="403" t="s">
        <v>52</v>
      </c>
      <c r="AC68" s="404" t="s">
        <v>19</v>
      </c>
      <c r="AD68" s="402" t="s">
        <v>17</v>
      </c>
      <c r="AE68" s="403" t="s">
        <v>18</v>
      </c>
      <c r="AF68" s="403" t="s">
        <v>52</v>
      </c>
      <c r="AG68" s="404" t="s">
        <v>19</v>
      </c>
      <c r="AH68" s="402" t="s">
        <v>17</v>
      </c>
      <c r="AI68" s="403" t="s">
        <v>18</v>
      </c>
      <c r="AJ68" s="403" t="s">
        <v>52</v>
      </c>
      <c r="AK68" s="404" t="s">
        <v>19</v>
      </c>
      <c r="AL68" s="402" t="s">
        <v>17</v>
      </c>
      <c r="AM68" s="403" t="s">
        <v>18</v>
      </c>
      <c r="AN68" s="403" t="s">
        <v>52</v>
      </c>
      <c r="AO68" s="404" t="s">
        <v>19</v>
      </c>
      <c r="AP68" s="1107" t="s">
        <v>17</v>
      </c>
      <c r="AQ68" s="403" t="s">
        <v>18</v>
      </c>
      <c r="AR68" s="403" t="s">
        <v>52</v>
      </c>
      <c r="AS68" s="404" t="s">
        <v>19</v>
      </c>
      <c r="AT68" s="402" t="s">
        <v>17</v>
      </c>
      <c r="AU68" s="403" t="s">
        <v>18</v>
      </c>
      <c r="AV68" s="403" t="s">
        <v>52</v>
      </c>
      <c r="AW68" s="404" t="s">
        <v>19</v>
      </c>
      <c r="AX68" s="403" t="s">
        <v>17</v>
      </c>
      <c r="AY68" s="403" t="s">
        <v>18</v>
      </c>
      <c r="AZ68" s="403" t="s">
        <v>52</v>
      </c>
      <c r="BA68" s="431" t="s">
        <v>19</v>
      </c>
      <c r="BC68" s="117" t="s">
        <v>265</v>
      </c>
      <c r="BD68" s="117" t="s">
        <v>266</v>
      </c>
    </row>
    <row r="69" spans="1:56" ht="14.4" thickBot="1">
      <c r="A69" s="397" t="s">
        <v>6</v>
      </c>
      <c r="B69" s="398">
        <v>127</v>
      </c>
      <c r="C69" s="399">
        <v>6</v>
      </c>
      <c r="D69" s="400">
        <f>B69+C69</f>
        <v>133</v>
      </c>
      <c r="E69" s="401">
        <v>1</v>
      </c>
      <c r="F69" s="398">
        <v>167</v>
      </c>
      <c r="G69" s="398">
        <v>0</v>
      </c>
      <c r="H69" s="400">
        <f>F69+G69</f>
        <v>167</v>
      </c>
      <c r="I69" s="401">
        <v>5</v>
      </c>
      <c r="J69" s="398">
        <v>138</v>
      </c>
      <c r="K69" s="398">
        <v>0</v>
      </c>
      <c r="L69" s="400">
        <f>J69+K69</f>
        <v>138</v>
      </c>
      <c r="M69" s="401">
        <v>0</v>
      </c>
      <c r="N69" s="398">
        <v>90</v>
      </c>
      <c r="O69" s="398">
        <v>1</v>
      </c>
      <c r="P69" s="400">
        <f>N69+O69</f>
        <v>91</v>
      </c>
      <c r="Q69" s="401">
        <v>3</v>
      </c>
      <c r="R69" s="398">
        <v>433</v>
      </c>
      <c r="S69" s="399">
        <v>7</v>
      </c>
      <c r="T69" s="400">
        <f>R69+S69</f>
        <v>440</v>
      </c>
      <c r="U69" s="401">
        <v>2</v>
      </c>
      <c r="V69" s="398">
        <v>321</v>
      </c>
      <c r="W69" s="399">
        <v>0</v>
      </c>
      <c r="X69" s="400">
        <f>V69+W69</f>
        <v>321</v>
      </c>
      <c r="Y69" s="401">
        <v>2</v>
      </c>
      <c r="Z69" s="2047">
        <v>369</v>
      </c>
      <c r="AA69" s="2048">
        <v>0</v>
      </c>
      <c r="AB69" s="400">
        <f>Z69+AA69</f>
        <v>369</v>
      </c>
      <c r="AC69" s="401">
        <v>1</v>
      </c>
      <c r="AD69" s="398">
        <v>492</v>
      </c>
      <c r="AE69" s="399">
        <v>0</v>
      </c>
      <c r="AF69" s="400">
        <f>AD69+AE69</f>
        <v>492</v>
      </c>
      <c r="AG69" s="401">
        <v>2</v>
      </c>
      <c r="AH69" s="398"/>
      <c r="AI69" s="399"/>
      <c r="AJ69" s="400">
        <f>AH69+AI69</f>
        <v>0</v>
      </c>
      <c r="AK69" s="401"/>
      <c r="AL69" s="398"/>
      <c r="AM69" s="399"/>
      <c r="AN69" s="400">
        <f>AL69+AM69</f>
        <v>0</v>
      </c>
      <c r="AO69" s="401"/>
      <c r="AP69" s="398"/>
      <c r="AQ69" s="399"/>
      <c r="AR69" s="400">
        <f>AP69+AQ69</f>
        <v>0</v>
      </c>
      <c r="AS69" s="401"/>
      <c r="AT69" s="398"/>
      <c r="AU69" s="399"/>
      <c r="AV69" s="400">
        <f>AT69+AU69</f>
        <v>0</v>
      </c>
      <c r="AW69" s="401"/>
      <c r="AX69" s="432">
        <f t="shared" ref="AX69:AX78" si="138">B69+F69+J69+N69+R69+V69+Z69+AD69+AH69+AL69+AP69+AT69</f>
        <v>2137</v>
      </c>
      <c r="AY69" s="432">
        <f>C69+G69+K69+O69+S69+W69+AA69+AE69+AI69+AM69+AQ69+AU69</f>
        <v>14</v>
      </c>
      <c r="AZ69" s="432">
        <f>D69+H69+L69+P69+T69+X69+AB69+AF69+AJ69+AN69+AR69+AV69</f>
        <v>2151</v>
      </c>
      <c r="BA69" s="432">
        <f t="shared" ref="BA69:BA78" si="139">E69+I69+M69+Q69+U69+Y69+AC69+AG69+AK69+AO69+AS69+AW69</f>
        <v>16</v>
      </c>
      <c r="BC69" s="395">
        <f>AF69</f>
        <v>492</v>
      </c>
      <c r="BD69" s="395">
        <f>AG69</f>
        <v>2</v>
      </c>
    </row>
    <row r="70" spans="1:56" ht="14.4" thickBot="1">
      <c r="A70" s="397" t="s">
        <v>7</v>
      </c>
      <c r="B70" s="398">
        <v>138</v>
      </c>
      <c r="C70" s="399">
        <v>7</v>
      </c>
      <c r="D70" s="400">
        <f t="shared" ref="D70:D78" si="140">B70+C70</f>
        <v>145</v>
      </c>
      <c r="E70" s="401">
        <v>0</v>
      </c>
      <c r="F70" s="398">
        <v>191</v>
      </c>
      <c r="G70" s="398">
        <v>7</v>
      </c>
      <c r="H70" s="400">
        <f t="shared" ref="H70:H78" si="141">F70+G70</f>
        <v>198</v>
      </c>
      <c r="I70" s="401">
        <v>0</v>
      </c>
      <c r="J70" s="398">
        <v>360</v>
      </c>
      <c r="K70" s="398">
        <v>68</v>
      </c>
      <c r="L70" s="400">
        <f t="shared" ref="L70:L78" si="142">J70+K70</f>
        <v>428</v>
      </c>
      <c r="M70" s="401">
        <v>2</v>
      </c>
      <c r="N70" s="398">
        <v>156</v>
      </c>
      <c r="O70" s="398">
        <v>35</v>
      </c>
      <c r="P70" s="400">
        <f t="shared" ref="P70:P78" si="143">N70+O70</f>
        <v>191</v>
      </c>
      <c r="Q70" s="401">
        <v>0</v>
      </c>
      <c r="R70" s="398">
        <v>346</v>
      </c>
      <c r="S70" s="399">
        <v>5</v>
      </c>
      <c r="T70" s="400">
        <f t="shared" ref="T70:T78" si="144">R70+S70</f>
        <v>351</v>
      </c>
      <c r="U70" s="401">
        <v>8</v>
      </c>
      <c r="V70" s="398">
        <v>436</v>
      </c>
      <c r="W70" s="399">
        <v>7</v>
      </c>
      <c r="X70" s="400">
        <f t="shared" ref="X70:X78" si="145">V70+W70</f>
        <v>443</v>
      </c>
      <c r="Y70" s="401">
        <v>0</v>
      </c>
      <c r="Z70" s="2047">
        <v>606</v>
      </c>
      <c r="AA70" s="2048">
        <v>1</v>
      </c>
      <c r="AB70" s="400">
        <f t="shared" ref="AB70:AB78" si="146">Z70+AA70</f>
        <v>607</v>
      </c>
      <c r="AC70" s="401">
        <v>0</v>
      </c>
      <c r="AD70" s="398">
        <v>755</v>
      </c>
      <c r="AE70" s="399">
        <v>0</v>
      </c>
      <c r="AF70" s="400">
        <f t="shared" ref="AF70:AF78" si="147">AD70+AE70</f>
        <v>755</v>
      </c>
      <c r="AG70" s="401">
        <v>0</v>
      </c>
      <c r="AH70" s="398"/>
      <c r="AI70" s="399"/>
      <c r="AJ70" s="400">
        <f t="shared" ref="AJ70:AJ78" si="148">AH70+AI70</f>
        <v>0</v>
      </c>
      <c r="AK70" s="401"/>
      <c r="AL70" s="398"/>
      <c r="AM70" s="399"/>
      <c r="AN70" s="400">
        <f t="shared" ref="AN70:AN78" si="149">AL70+AM70</f>
        <v>0</v>
      </c>
      <c r="AO70" s="401"/>
      <c r="AP70" s="398"/>
      <c r="AQ70" s="399"/>
      <c r="AR70" s="400">
        <f t="shared" ref="AR70:AR78" si="150">AP70+AQ70</f>
        <v>0</v>
      </c>
      <c r="AS70" s="401"/>
      <c r="AT70" s="398"/>
      <c r="AU70" s="399"/>
      <c r="AV70" s="400">
        <f t="shared" ref="AV70:AV78" si="151">AT70+AU70</f>
        <v>0</v>
      </c>
      <c r="AW70" s="401"/>
      <c r="AX70" s="432">
        <f t="shared" si="138"/>
        <v>2988</v>
      </c>
      <c r="AY70" s="432">
        <f t="shared" ref="AY70:AY78" si="152">C70+G70+K70+O70+S70+W70+AA70+AE70+AI70+AM70+AQ70+AU70</f>
        <v>130</v>
      </c>
      <c r="AZ70" s="432">
        <f t="shared" ref="AZ70:AZ78" si="153">D70+H70+L70+P70+T70+X70+AB70+AF70+AJ70+AN70+AR70+AV70</f>
        <v>3118</v>
      </c>
      <c r="BA70" s="432">
        <f>E70+I70+M70+Q70+U70+Y70+AC70+AG70+AK70+AO70+AS70+AW70</f>
        <v>10</v>
      </c>
      <c r="BC70" s="395">
        <f t="shared" ref="BC70:BC79" si="154">AF70</f>
        <v>755</v>
      </c>
      <c r="BD70" s="395">
        <f t="shared" ref="BD70:BD79" si="155">AG70</f>
        <v>0</v>
      </c>
    </row>
    <row r="71" spans="1:56" ht="14.4" thickBot="1">
      <c r="A71" s="397" t="s">
        <v>8</v>
      </c>
      <c r="B71" s="398">
        <v>121</v>
      </c>
      <c r="C71" s="399">
        <v>5</v>
      </c>
      <c r="D71" s="400">
        <f t="shared" si="140"/>
        <v>126</v>
      </c>
      <c r="E71" s="401">
        <v>1</v>
      </c>
      <c r="F71" s="398">
        <v>109</v>
      </c>
      <c r="G71" s="398">
        <v>2</v>
      </c>
      <c r="H71" s="400">
        <f t="shared" si="141"/>
        <v>111</v>
      </c>
      <c r="I71" s="401">
        <v>1</v>
      </c>
      <c r="J71" s="398">
        <v>176</v>
      </c>
      <c r="K71" s="398">
        <v>2</v>
      </c>
      <c r="L71" s="400">
        <f t="shared" si="142"/>
        <v>178</v>
      </c>
      <c r="M71" s="401">
        <v>0</v>
      </c>
      <c r="N71" s="398">
        <v>68</v>
      </c>
      <c r="O71" s="398">
        <v>0</v>
      </c>
      <c r="P71" s="400">
        <f t="shared" si="143"/>
        <v>68</v>
      </c>
      <c r="Q71" s="401">
        <v>0</v>
      </c>
      <c r="R71" s="398">
        <v>221</v>
      </c>
      <c r="S71" s="399">
        <v>9</v>
      </c>
      <c r="T71" s="400">
        <f t="shared" si="144"/>
        <v>230</v>
      </c>
      <c r="U71" s="401">
        <v>0</v>
      </c>
      <c r="V71" s="398">
        <v>178</v>
      </c>
      <c r="W71" s="399">
        <v>4</v>
      </c>
      <c r="X71" s="400">
        <f t="shared" si="145"/>
        <v>182</v>
      </c>
      <c r="Y71" s="401">
        <v>0</v>
      </c>
      <c r="Z71" s="2047">
        <v>252</v>
      </c>
      <c r="AA71" s="2048">
        <v>1</v>
      </c>
      <c r="AB71" s="400">
        <f t="shared" si="146"/>
        <v>253</v>
      </c>
      <c r="AC71" s="401">
        <v>1</v>
      </c>
      <c r="AD71" s="398">
        <v>167</v>
      </c>
      <c r="AE71" s="399">
        <v>2</v>
      </c>
      <c r="AF71" s="400">
        <f t="shared" si="147"/>
        <v>169</v>
      </c>
      <c r="AG71" s="401">
        <v>0</v>
      </c>
      <c r="AH71" s="398"/>
      <c r="AI71" s="399"/>
      <c r="AJ71" s="400">
        <f t="shared" si="148"/>
        <v>0</v>
      </c>
      <c r="AK71" s="401"/>
      <c r="AL71" s="398"/>
      <c r="AM71" s="399"/>
      <c r="AN71" s="400">
        <f t="shared" si="149"/>
        <v>0</v>
      </c>
      <c r="AO71" s="401"/>
      <c r="AP71" s="398"/>
      <c r="AQ71" s="399"/>
      <c r="AR71" s="400">
        <f t="shared" si="150"/>
        <v>0</v>
      </c>
      <c r="AS71" s="401"/>
      <c r="AT71" s="398"/>
      <c r="AU71" s="399"/>
      <c r="AV71" s="400">
        <f t="shared" si="151"/>
        <v>0</v>
      </c>
      <c r="AW71" s="401"/>
      <c r="AX71" s="432">
        <f t="shared" si="138"/>
        <v>1292</v>
      </c>
      <c r="AY71" s="432">
        <f t="shared" si="152"/>
        <v>25</v>
      </c>
      <c r="AZ71" s="432">
        <f t="shared" si="153"/>
        <v>1317</v>
      </c>
      <c r="BA71" s="432">
        <f t="shared" si="139"/>
        <v>3</v>
      </c>
      <c r="BC71" s="395">
        <f t="shared" si="154"/>
        <v>169</v>
      </c>
      <c r="BD71" s="395">
        <f t="shared" si="155"/>
        <v>0</v>
      </c>
    </row>
    <row r="72" spans="1:56" ht="14.4" thickBot="1">
      <c r="A72" s="397" t="s">
        <v>4</v>
      </c>
      <c r="B72" s="398">
        <v>347</v>
      </c>
      <c r="C72" s="399">
        <v>5</v>
      </c>
      <c r="D72" s="400">
        <f t="shared" si="140"/>
        <v>352</v>
      </c>
      <c r="E72" s="401">
        <v>2</v>
      </c>
      <c r="F72" s="398">
        <v>370</v>
      </c>
      <c r="G72" s="398">
        <v>1</v>
      </c>
      <c r="H72" s="400">
        <f t="shared" si="141"/>
        <v>371</v>
      </c>
      <c r="I72" s="401">
        <v>1</v>
      </c>
      <c r="J72" s="398">
        <v>293</v>
      </c>
      <c r="K72" s="398">
        <v>14</v>
      </c>
      <c r="L72" s="400">
        <f t="shared" si="142"/>
        <v>307</v>
      </c>
      <c r="M72" s="401">
        <v>0</v>
      </c>
      <c r="N72" s="398">
        <v>212</v>
      </c>
      <c r="O72" s="398">
        <v>4</v>
      </c>
      <c r="P72" s="400">
        <f t="shared" si="143"/>
        <v>216</v>
      </c>
      <c r="Q72" s="401">
        <v>0</v>
      </c>
      <c r="R72" s="398">
        <v>897</v>
      </c>
      <c r="S72" s="399">
        <v>10</v>
      </c>
      <c r="T72" s="400">
        <f t="shared" si="144"/>
        <v>907</v>
      </c>
      <c r="U72" s="401">
        <v>4</v>
      </c>
      <c r="V72" s="398">
        <v>1101</v>
      </c>
      <c r="W72" s="399">
        <v>2</v>
      </c>
      <c r="X72" s="400">
        <f t="shared" si="145"/>
        <v>1103</v>
      </c>
      <c r="Y72" s="401">
        <v>2</v>
      </c>
      <c r="Z72" s="2047">
        <v>798</v>
      </c>
      <c r="AA72" s="2048">
        <v>13</v>
      </c>
      <c r="AB72" s="400">
        <f t="shared" si="146"/>
        <v>811</v>
      </c>
      <c r="AC72" s="401">
        <v>2</v>
      </c>
      <c r="AD72" s="398">
        <v>697</v>
      </c>
      <c r="AE72" s="399">
        <v>7</v>
      </c>
      <c r="AF72" s="400">
        <f t="shared" si="147"/>
        <v>704</v>
      </c>
      <c r="AG72" s="401">
        <v>2</v>
      </c>
      <c r="AH72" s="398"/>
      <c r="AI72" s="399"/>
      <c r="AJ72" s="400">
        <f t="shared" si="148"/>
        <v>0</v>
      </c>
      <c r="AK72" s="401"/>
      <c r="AL72" s="398"/>
      <c r="AM72" s="399"/>
      <c r="AN72" s="400">
        <f t="shared" si="149"/>
        <v>0</v>
      </c>
      <c r="AO72" s="401"/>
      <c r="AP72" s="398"/>
      <c r="AQ72" s="399"/>
      <c r="AR72" s="400">
        <f t="shared" si="150"/>
        <v>0</v>
      </c>
      <c r="AS72" s="401"/>
      <c r="AT72" s="398"/>
      <c r="AU72" s="399"/>
      <c r="AV72" s="400">
        <f t="shared" si="151"/>
        <v>0</v>
      </c>
      <c r="AW72" s="401"/>
      <c r="AX72" s="432">
        <f t="shared" si="138"/>
        <v>4715</v>
      </c>
      <c r="AY72" s="432">
        <f t="shared" si="152"/>
        <v>56</v>
      </c>
      <c r="AZ72" s="432">
        <f>D72+H72+L72+P72+T72+X72+AB72+AF72+AJ72+AN72+AR72+AV72</f>
        <v>4771</v>
      </c>
      <c r="BA72" s="432">
        <f t="shared" si="139"/>
        <v>13</v>
      </c>
      <c r="BC72" s="395">
        <f t="shared" si="154"/>
        <v>704</v>
      </c>
      <c r="BD72" s="395">
        <f t="shared" si="155"/>
        <v>2</v>
      </c>
    </row>
    <row r="73" spans="1:56" ht="14.4" thickBot="1">
      <c r="A73" s="397" t="s">
        <v>3</v>
      </c>
      <c r="B73" s="398">
        <v>35</v>
      </c>
      <c r="C73" s="399">
        <v>0</v>
      </c>
      <c r="D73" s="400">
        <f t="shared" si="140"/>
        <v>35</v>
      </c>
      <c r="E73" s="401">
        <v>0</v>
      </c>
      <c r="F73" s="398">
        <v>28</v>
      </c>
      <c r="G73" s="398">
        <v>4</v>
      </c>
      <c r="H73" s="400">
        <f t="shared" si="141"/>
        <v>32</v>
      </c>
      <c r="I73" s="401">
        <v>0</v>
      </c>
      <c r="J73" s="398">
        <v>35</v>
      </c>
      <c r="K73" s="398">
        <v>7</v>
      </c>
      <c r="L73" s="400">
        <f t="shared" si="142"/>
        <v>42</v>
      </c>
      <c r="M73" s="401">
        <v>0</v>
      </c>
      <c r="N73" s="398">
        <v>21</v>
      </c>
      <c r="O73" s="398">
        <v>3</v>
      </c>
      <c r="P73" s="400">
        <f t="shared" si="143"/>
        <v>24</v>
      </c>
      <c r="Q73" s="401">
        <v>1</v>
      </c>
      <c r="R73" s="398">
        <v>221</v>
      </c>
      <c r="S73" s="399">
        <v>1</v>
      </c>
      <c r="T73" s="400">
        <f t="shared" si="144"/>
        <v>222</v>
      </c>
      <c r="U73" s="401">
        <v>1</v>
      </c>
      <c r="V73" s="398">
        <v>230</v>
      </c>
      <c r="W73" s="399">
        <v>7</v>
      </c>
      <c r="X73" s="400">
        <f t="shared" si="145"/>
        <v>237</v>
      </c>
      <c r="Y73" s="401">
        <v>2</v>
      </c>
      <c r="Z73" s="2047">
        <v>421</v>
      </c>
      <c r="AA73" s="2048">
        <v>5</v>
      </c>
      <c r="AB73" s="400">
        <f t="shared" si="146"/>
        <v>426</v>
      </c>
      <c r="AC73" s="401">
        <v>1</v>
      </c>
      <c r="AD73" s="398">
        <v>174</v>
      </c>
      <c r="AE73" s="399">
        <v>10</v>
      </c>
      <c r="AF73" s="400">
        <f t="shared" si="147"/>
        <v>184</v>
      </c>
      <c r="AG73" s="401">
        <v>1</v>
      </c>
      <c r="AH73" s="398"/>
      <c r="AI73" s="399"/>
      <c r="AJ73" s="400">
        <f t="shared" si="148"/>
        <v>0</v>
      </c>
      <c r="AK73" s="401"/>
      <c r="AL73" s="398"/>
      <c r="AM73" s="399"/>
      <c r="AN73" s="400">
        <f t="shared" si="149"/>
        <v>0</v>
      </c>
      <c r="AO73" s="401"/>
      <c r="AP73" s="398"/>
      <c r="AQ73" s="399"/>
      <c r="AR73" s="400">
        <f t="shared" si="150"/>
        <v>0</v>
      </c>
      <c r="AS73" s="401"/>
      <c r="AT73" s="398"/>
      <c r="AU73" s="399"/>
      <c r="AV73" s="400">
        <f t="shared" si="151"/>
        <v>0</v>
      </c>
      <c r="AW73" s="401"/>
      <c r="AX73" s="432">
        <f t="shared" si="138"/>
        <v>1165</v>
      </c>
      <c r="AY73" s="432">
        <f t="shared" si="152"/>
        <v>37</v>
      </c>
      <c r="AZ73" s="432">
        <f t="shared" si="153"/>
        <v>1202</v>
      </c>
      <c r="BA73" s="432">
        <f t="shared" si="139"/>
        <v>6</v>
      </c>
      <c r="BC73" s="395">
        <f t="shared" si="154"/>
        <v>184</v>
      </c>
      <c r="BD73" s="395">
        <f t="shared" si="155"/>
        <v>1</v>
      </c>
    </row>
    <row r="74" spans="1:56" ht="14.4" thickBot="1">
      <c r="A74" s="397" t="s">
        <v>397</v>
      </c>
      <c r="B74" s="398">
        <v>57</v>
      </c>
      <c r="C74" s="399">
        <v>0</v>
      </c>
      <c r="D74" s="400">
        <f t="shared" si="140"/>
        <v>57</v>
      </c>
      <c r="E74" s="401">
        <v>8</v>
      </c>
      <c r="F74" s="398">
        <v>65</v>
      </c>
      <c r="G74" s="398">
        <v>1</v>
      </c>
      <c r="H74" s="400">
        <f t="shared" si="141"/>
        <v>66</v>
      </c>
      <c r="I74" s="401">
        <v>1</v>
      </c>
      <c r="J74" s="398">
        <v>65</v>
      </c>
      <c r="K74" s="398">
        <v>3</v>
      </c>
      <c r="L74" s="400">
        <f t="shared" si="142"/>
        <v>68</v>
      </c>
      <c r="M74" s="401">
        <v>3</v>
      </c>
      <c r="N74" s="398">
        <v>72</v>
      </c>
      <c r="O74" s="398">
        <v>7</v>
      </c>
      <c r="P74" s="400">
        <f t="shared" si="143"/>
        <v>79</v>
      </c>
      <c r="Q74" s="401">
        <v>7</v>
      </c>
      <c r="R74" s="398">
        <v>166</v>
      </c>
      <c r="S74" s="399">
        <v>3</v>
      </c>
      <c r="T74" s="400">
        <f t="shared" si="144"/>
        <v>169</v>
      </c>
      <c r="U74" s="401">
        <v>1</v>
      </c>
      <c r="V74" s="398">
        <v>131</v>
      </c>
      <c r="W74" s="399">
        <v>7</v>
      </c>
      <c r="X74" s="400">
        <f t="shared" si="145"/>
        <v>138</v>
      </c>
      <c r="Y74" s="401">
        <v>0</v>
      </c>
      <c r="Z74" s="2047">
        <v>81</v>
      </c>
      <c r="AA74" s="2048">
        <v>0</v>
      </c>
      <c r="AB74" s="400">
        <f t="shared" si="146"/>
        <v>81</v>
      </c>
      <c r="AC74" s="401">
        <v>1</v>
      </c>
      <c r="AD74" s="398">
        <v>362</v>
      </c>
      <c r="AE74" s="399">
        <v>0</v>
      </c>
      <c r="AF74" s="400">
        <f t="shared" si="147"/>
        <v>362</v>
      </c>
      <c r="AG74" s="401">
        <v>1</v>
      </c>
      <c r="AH74" s="398"/>
      <c r="AI74" s="399"/>
      <c r="AJ74" s="400">
        <f t="shared" si="148"/>
        <v>0</v>
      </c>
      <c r="AK74" s="401"/>
      <c r="AL74" s="398"/>
      <c r="AM74" s="399"/>
      <c r="AN74" s="400">
        <f t="shared" si="149"/>
        <v>0</v>
      </c>
      <c r="AO74" s="401"/>
      <c r="AP74" s="398"/>
      <c r="AQ74" s="399"/>
      <c r="AR74" s="400">
        <f t="shared" si="150"/>
        <v>0</v>
      </c>
      <c r="AS74" s="401"/>
      <c r="AT74" s="398"/>
      <c r="AU74" s="399"/>
      <c r="AV74" s="400">
        <f t="shared" si="151"/>
        <v>0</v>
      </c>
      <c r="AW74" s="401"/>
      <c r="AX74" s="432">
        <f t="shared" si="138"/>
        <v>999</v>
      </c>
      <c r="AY74" s="432">
        <f t="shared" si="152"/>
        <v>21</v>
      </c>
      <c r="AZ74" s="432">
        <f t="shared" si="153"/>
        <v>1020</v>
      </c>
      <c r="BA74" s="432">
        <f t="shared" si="139"/>
        <v>22</v>
      </c>
      <c r="BC74" s="395">
        <f t="shared" si="154"/>
        <v>362</v>
      </c>
      <c r="BD74" s="395">
        <f t="shared" si="155"/>
        <v>1</v>
      </c>
    </row>
    <row r="75" spans="1:56" ht="14.4" thickBot="1">
      <c r="A75" s="397" t="s">
        <v>399</v>
      </c>
      <c r="B75" s="398">
        <v>93</v>
      </c>
      <c r="C75" s="399">
        <v>0</v>
      </c>
      <c r="D75" s="400">
        <f t="shared" si="140"/>
        <v>93</v>
      </c>
      <c r="E75" s="401">
        <v>1</v>
      </c>
      <c r="F75" s="398">
        <v>107</v>
      </c>
      <c r="G75" s="398">
        <v>12</v>
      </c>
      <c r="H75" s="400">
        <f t="shared" si="141"/>
        <v>119</v>
      </c>
      <c r="I75" s="401">
        <v>1</v>
      </c>
      <c r="J75" s="398">
        <v>149</v>
      </c>
      <c r="K75" s="398">
        <v>0</v>
      </c>
      <c r="L75" s="400">
        <f t="shared" si="142"/>
        <v>149</v>
      </c>
      <c r="M75" s="401">
        <v>1</v>
      </c>
      <c r="N75" s="398">
        <v>141</v>
      </c>
      <c r="O75" s="398">
        <v>2</v>
      </c>
      <c r="P75" s="400">
        <f t="shared" si="143"/>
        <v>143</v>
      </c>
      <c r="Q75" s="401">
        <v>1</v>
      </c>
      <c r="R75" s="398">
        <v>394</v>
      </c>
      <c r="S75" s="399">
        <v>2</v>
      </c>
      <c r="T75" s="400">
        <f t="shared" si="144"/>
        <v>396</v>
      </c>
      <c r="U75" s="401">
        <v>6</v>
      </c>
      <c r="V75" s="398">
        <v>383</v>
      </c>
      <c r="W75" s="399">
        <v>0</v>
      </c>
      <c r="X75" s="400">
        <f t="shared" si="145"/>
        <v>383</v>
      </c>
      <c r="Y75" s="401">
        <v>0</v>
      </c>
      <c r="Z75" s="2047">
        <v>184</v>
      </c>
      <c r="AA75" s="2048">
        <v>1</v>
      </c>
      <c r="AB75" s="400">
        <f t="shared" si="146"/>
        <v>185</v>
      </c>
      <c r="AC75" s="401">
        <v>0</v>
      </c>
      <c r="AD75" s="398">
        <v>400</v>
      </c>
      <c r="AE75" s="399">
        <v>3</v>
      </c>
      <c r="AF75" s="400">
        <f t="shared" si="147"/>
        <v>403</v>
      </c>
      <c r="AG75" s="401">
        <v>3</v>
      </c>
      <c r="AH75" s="398"/>
      <c r="AI75" s="399"/>
      <c r="AJ75" s="400">
        <f t="shared" si="148"/>
        <v>0</v>
      </c>
      <c r="AK75" s="401"/>
      <c r="AL75" s="398"/>
      <c r="AM75" s="399"/>
      <c r="AN75" s="400">
        <f t="shared" si="149"/>
        <v>0</v>
      </c>
      <c r="AO75" s="401"/>
      <c r="AP75" s="398"/>
      <c r="AQ75" s="399"/>
      <c r="AR75" s="400">
        <f t="shared" si="150"/>
        <v>0</v>
      </c>
      <c r="AS75" s="401"/>
      <c r="AT75" s="398"/>
      <c r="AU75" s="399"/>
      <c r="AV75" s="400">
        <f t="shared" si="151"/>
        <v>0</v>
      </c>
      <c r="AW75" s="401"/>
      <c r="AX75" s="432">
        <f t="shared" si="138"/>
        <v>1851</v>
      </c>
      <c r="AY75" s="432">
        <f t="shared" si="152"/>
        <v>20</v>
      </c>
      <c r="AZ75" s="432">
        <f t="shared" si="153"/>
        <v>1871</v>
      </c>
      <c r="BA75" s="432">
        <f t="shared" si="139"/>
        <v>13</v>
      </c>
      <c r="BC75" s="395">
        <f t="shared" si="154"/>
        <v>403</v>
      </c>
      <c r="BD75" s="395">
        <f t="shared" si="155"/>
        <v>3</v>
      </c>
    </row>
    <row r="76" spans="1:56" ht="14.4" thickBot="1">
      <c r="A76" s="397" t="s">
        <v>883</v>
      </c>
      <c r="B76" s="398">
        <v>74</v>
      </c>
      <c r="C76" s="399">
        <v>0</v>
      </c>
      <c r="D76" s="400">
        <f t="shared" si="140"/>
        <v>74</v>
      </c>
      <c r="E76" s="401">
        <v>0</v>
      </c>
      <c r="F76" s="398">
        <v>220</v>
      </c>
      <c r="G76" s="398">
        <v>21</v>
      </c>
      <c r="H76" s="400">
        <f t="shared" si="141"/>
        <v>241</v>
      </c>
      <c r="I76" s="401">
        <v>0</v>
      </c>
      <c r="J76" s="398">
        <v>241</v>
      </c>
      <c r="K76" s="398">
        <v>20</v>
      </c>
      <c r="L76" s="400">
        <f t="shared" si="142"/>
        <v>261</v>
      </c>
      <c r="M76" s="401">
        <v>4</v>
      </c>
      <c r="N76" s="398">
        <v>125</v>
      </c>
      <c r="O76" s="398">
        <v>18</v>
      </c>
      <c r="P76" s="400">
        <f t="shared" si="143"/>
        <v>143</v>
      </c>
      <c r="Q76" s="401">
        <v>2</v>
      </c>
      <c r="R76" s="398">
        <v>254</v>
      </c>
      <c r="S76" s="399">
        <v>0</v>
      </c>
      <c r="T76" s="400">
        <f t="shared" si="144"/>
        <v>254</v>
      </c>
      <c r="U76" s="401">
        <v>2</v>
      </c>
      <c r="V76" s="398">
        <v>323</v>
      </c>
      <c r="W76" s="399">
        <v>1</v>
      </c>
      <c r="X76" s="400">
        <f t="shared" si="145"/>
        <v>324</v>
      </c>
      <c r="Y76" s="401">
        <v>0</v>
      </c>
      <c r="Z76" s="398">
        <v>165</v>
      </c>
      <c r="AA76" s="399">
        <v>0</v>
      </c>
      <c r="AB76" s="400">
        <f t="shared" si="146"/>
        <v>165</v>
      </c>
      <c r="AC76" s="401">
        <v>0</v>
      </c>
      <c r="AD76" s="398">
        <v>120</v>
      </c>
      <c r="AE76" s="399">
        <v>0</v>
      </c>
      <c r="AF76" s="400">
        <f t="shared" si="147"/>
        <v>120</v>
      </c>
      <c r="AG76" s="401">
        <v>2</v>
      </c>
      <c r="AH76" s="398"/>
      <c r="AI76" s="399"/>
      <c r="AJ76" s="400">
        <f t="shared" si="148"/>
        <v>0</v>
      </c>
      <c r="AK76" s="401"/>
      <c r="AL76" s="398"/>
      <c r="AM76" s="399"/>
      <c r="AN76" s="400">
        <f t="shared" si="149"/>
        <v>0</v>
      </c>
      <c r="AO76" s="401"/>
      <c r="AP76" s="398"/>
      <c r="AQ76" s="399"/>
      <c r="AR76" s="400">
        <f t="shared" si="150"/>
        <v>0</v>
      </c>
      <c r="AS76" s="401"/>
      <c r="AT76" s="398"/>
      <c r="AU76" s="399"/>
      <c r="AV76" s="400">
        <f t="shared" si="151"/>
        <v>0</v>
      </c>
      <c r="AW76" s="401"/>
      <c r="AX76" s="432">
        <f t="shared" si="138"/>
        <v>1522</v>
      </c>
      <c r="AY76" s="432">
        <f t="shared" si="152"/>
        <v>60</v>
      </c>
      <c r="AZ76" s="432">
        <f t="shared" si="153"/>
        <v>1582</v>
      </c>
      <c r="BA76" s="432">
        <f t="shared" si="139"/>
        <v>10</v>
      </c>
      <c r="BC76" s="395">
        <f t="shared" si="154"/>
        <v>120</v>
      </c>
      <c r="BD76" s="395">
        <f t="shared" si="155"/>
        <v>2</v>
      </c>
    </row>
    <row r="77" spans="1:56" ht="14.4" thickBot="1">
      <c r="A77" s="397" t="s">
        <v>884</v>
      </c>
      <c r="B77" s="398">
        <v>196</v>
      </c>
      <c r="C77" s="399">
        <v>6</v>
      </c>
      <c r="D77" s="400">
        <f t="shared" si="140"/>
        <v>202</v>
      </c>
      <c r="E77" s="401">
        <v>0</v>
      </c>
      <c r="F77" s="398">
        <v>219</v>
      </c>
      <c r="G77" s="398">
        <v>3</v>
      </c>
      <c r="H77" s="400">
        <f t="shared" si="141"/>
        <v>222</v>
      </c>
      <c r="I77" s="401">
        <v>1</v>
      </c>
      <c r="J77" s="398">
        <v>135</v>
      </c>
      <c r="K77" s="398">
        <v>13</v>
      </c>
      <c r="L77" s="400">
        <f t="shared" si="142"/>
        <v>148</v>
      </c>
      <c r="M77" s="401">
        <v>4</v>
      </c>
      <c r="N77" s="398">
        <v>186</v>
      </c>
      <c r="O77" s="398">
        <v>2</v>
      </c>
      <c r="P77" s="400">
        <f t="shared" si="143"/>
        <v>188</v>
      </c>
      <c r="Q77" s="401">
        <v>3</v>
      </c>
      <c r="R77" s="398">
        <v>564</v>
      </c>
      <c r="S77" s="399">
        <v>25</v>
      </c>
      <c r="T77" s="400">
        <f t="shared" si="144"/>
        <v>589</v>
      </c>
      <c r="U77" s="401">
        <v>1</v>
      </c>
      <c r="V77" s="398">
        <v>483</v>
      </c>
      <c r="W77" s="399">
        <v>26</v>
      </c>
      <c r="X77" s="400">
        <f t="shared" si="145"/>
        <v>509</v>
      </c>
      <c r="Y77" s="401">
        <v>0</v>
      </c>
      <c r="Z77" s="398">
        <v>264</v>
      </c>
      <c r="AA77" s="399">
        <v>3</v>
      </c>
      <c r="AB77" s="400">
        <f t="shared" si="146"/>
        <v>267</v>
      </c>
      <c r="AC77" s="401">
        <v>0</v>
      </c>
      <c r="AD77" s="398">
        <v>474</v>
      </c>
      <c r="AE77" s="399">
        <v>4</v>
      </c>
      <c r="AF77" s="400">
        <f t="shared" si="147"/>
        <v>478</v>
      </c>
      <c r="AG77" s="401">
        <v>0</v>
      </c>
      <c r="AH77" s="398"/>
      <c r="AI77" s="399"/>
      <c r="AJ77" s="400">
        <f t="shared" si="148"/>
        <v>0</v>
      </c>
      <c r="AK77" s="401"/>
      <c r="AL77" s="398"/>
      <c r="AM77" s="399"/>
      <c r="AN77" s="400">
        <f t="shared" si="149"/>
        <v>0</v>
      </c>
      <c r="AO77" s="401"/>
      <c r="AP77" s="398"/>
      <c r="AQ77" s="399"/>
      <c r="AR77" s="400">
        <f t="shared" si="150"/>
        <v>0</v>
      </c>
      <c r="AS77" s="401"/>
      <c r="AT77" s="398"/>
      <c r="AU77" s="399"/>
      <c r="AV77" s="400">
        <f t="shared" si="151"/>
        <v>0</v>
      </c>
      <c r="AW77" s="401"/>
      <c r="AX77" s="432">
        <f t="shared" si="138"/>
        <v>2521</v>
      </c>
      <c r="AY77" s="432">
        <f t="shared" si="152"/>
        <v>82</v>
      </c>
      <c r="AZ77" s="432">
        <f t="shared" si="153"/>
        <v>2603</v>
      </c>
      <c r="BA77" s="432">
        <f t="shared" si="139"/>
        <v>9</v>
      </c>
      <c r="BC77" s="395">
        <f t="shared" si="154"/>
        <v>478</v>
      </c>
      <c r="BD77" s="395">
        <f t="shared" si="155"/>
        <v>0</v>
      </c>
    </row>
    <row r="78" spans="1:56" ht="14.4" thickBot="1">
      <c r="A78" s="397" t="s">
        <v>885</v>
      </c>
      <c r="B78" s="398">
        <v>125</v>
      </c>
      <c r="C78" s="399">
        <v>1</v>
      </c>
      <c r="D78" s="400">
        <f t="shared" si="140"/>
        <v>126</v>
      </c>
      <c r="E78" s="401">
        <v>1</v>
      </c>
      <c r="F78" s="398">
        <v>118</v>
      </c>
      <c r="G78" s="398">
        <v>2</v>
      </c>
      <c r="H78" s="400">
        <f t="shared" si="141"/>
        <v>120</v>
      </c>
      <c r="I78" s="401">
        <v>0</v>
      </c>
      <c r="J78" s="398">
        <v>109</v>
      </c>
      <c r="K78" s="398">
        <v>7</v>
      </c>
      <c r="L78" s="400">
        <f t="shared" si="142"/>
        <v>116</v>
      </c>
      <c r="M78" s="401">
        <v>1</v>
      </c>
      <c r="N78" s="398">
        <v>50</v>
      </c>
      <c r="O78" s="398">
        <v>1</v>
      </c>
      <c r="P78" s="400">
        <f t="shared" si="143"/>
        <v>51</v>
      </c>
      <c r="Q78" s="401">
        <v>0</v>
      </c>
      <c r="R78" s="398">
        <v>146</v>
      </c>
      <c r="S78" s="399">
        <v>1</v>
      </c>
      <c r="T78" s="400">
        <f t="shared" si="144"/>
        <v>147</v>
      </c>
      <c r="U78" s="401">
        <v>0</v>
      </c>
      <c r="V78" s="398">
        <v>238</v>
      </c>
      <c r="W78" s="399">
        <v>0</v>
      </c>
      <c r="X78" s="400">
        <f t="shared" si="145"/>
        <v>238</v>
      </c>
      <c r="Y78" s="401">
        <v>1</v>
      </c>
      <c r="Z78" s="398">
        <v>218</v>
      </c>
      <c r="AA78" s="399">
        <v>6</v>
      </c>
      <c r="AB78" s="400">
        <f t="shared" si="146"/>
        <v>224</v>
      </c>
      <c r="AC78" s="401">
        <v>0</v>
      </c>
      <c r="AD78" s="398">
        <v>233</v>
      </c>
      <c r="AE78" s="399">
        <v>0</v>
      </c>
      <c r="AF78" s="400">
        <f t="shared" si="147"/>
        <v>233</v>
      </c>
      <c r="AG78" s="401">
        <v>0</v>
      </c>
      <c r="AH78" s="398"/>
      <c r="AI78" s="399"/>
      <c r="AJ78" s="400">
        <f t="shared" si="148"/>
        <v>0</v>
      </c>
      <c r="AK78" s="401"/>
      <c r="AL78" s="398"/>
      <c r="AM78" s="399"/>
      <c r="AN78" s="400">
        <f t="shared" si="149"/>
        <v>0</v>
      </c>
      <c r="AO78" s="401"/>
      <c r="AP78" s="398"/>
      <c r="AQ78" s="399"/>
      <c r="AR78" s="400">
        <f t="shared" si="150"/>
        <v>0</v>
      </c>
      <c r="AS78" s="401"/>
      <c r="AT78" s="398"/>
      <c r="AU78" s="399"/>
      <c r="AV78" s="400">
        <f t="shared" si="151"/>
        <v>0</v>
      </c>
      <c r="AW78" s="401"/>
      <c r="AX78" s="432">
        <f t="shared" si="138"/>
        <v>1237</v>
      </c>
      <c r="AY78" s="432">
        <f t="shared" si="152"/>
        <v>18</v>
      </c>
      <c r="AZ78" s="432">
        <f t="shared" si="153"/>
        <v>1255</v>
      </c>
      <c r="BA78" s="432">
        <f t="shared" si="139"/>
        <v>3</v>
      </c>
      <c r="BC78" s="395">
        <f t="shared" si="154"/>
        <v>233</v>
      </c>
      <c r="BD78" s="395">
        <f t="shared" si="155"/>
        <v>0</v>
      </c>
    </row>
    <row r="79" spans="1:56" ht="14.4" thickBot="1">
      <c r="A79" s="433" t="s">
        <v>16</v>
      </c>
      <c r="B79" s="417">
        <f t="shared" ref="B79:AG79" si="156">SUM(B69:B78)</f>
        <v>1313</v>
      </c>
      <c r="C79" s="419">
        <f t="shared" si="156"/>
        <v>30</v>
      </c>
      <c r="D79" s="419">
        <f t="shared" si="156"/>
        <v>1343</v>
      </c>
      <c r="E79" s="420">
        <f t="shared" si="156"/>
        <v>14</v>
      </c>
      <c r="F79" s="417">
        <f t="shared" si="156"/>
        <v>1594</v>
      </c>
      <c r="G79" s="419">
        <f t="shared" si="156"/>
        <v>53</v>
      </c>
      <c r="H79" s="419">
        <f t="shared" si="156"/>
        <v>1647</v>
      </c>
      <c r="I79" s="420">
        <f t="shared" si="156"/>
        <v>10</v>
      </c>
      <c r="J79" s="417">
        <f t="shared" si="156"/>
        <v>1701</v>
      </c>
      <c r="K79" s="419">
        <f t="shared" si="156"/>
        <v>134</v>
      </c>
      <c r="L79" s="419">
        <f t="shared" si="156"/>
        <v>1835</v>
      </c>
      <c r="M79" s="420">
        <f t="shared" si="156"/>
        <v>15</v>
      </c>
      <c r="N79" s="417">
        <f t="shared" si="156"/>
        <v>1121</v>
      </c>
      <c r="O79" s="419">
        <f t="shared" si="156"/>
        <v>73</v>
      </c>
      <c r="P79" s="419">
        <f t="shared" si="156"/>
        <v>1194</v>
      </c>
      <c r="Q79" s="420">
        <f t="shared" si="156"/>
        <v>17</v>
      </c>
      <c r="R79" s="417">
        <f t="shared" si="156"/>
        <v>3642</v>
      </c>
      <c r="S79" s="419">
        <f t="shared" si="156"/>
        <v>63</v>
      </c>
      <c r="T79" s="419">
        <f t="shared" si="156"/>
        <v>3705</v>
      </c>
      <c r="U79" s="420">
        <f t="shared" si="156"/>
        <v>25</v>
      </c>
      <c r="V79" s="417">
        <f t="shared" si="156"/>
        <v>3824</v>
      </c>
      <c r="W79" s="419">
        <f t="shared" si="156"/>
        <v>54</v>
      </c>
      <c r="X79" s="419">
        <f t="shared" si="156"/>
        <v>3878</v>
      </c>
      <c r="Y79" s="420">
        <f t="shared" si="156"/>
        <v>7</v>
      </c>
      <c r="Z79" s="417">
        <f t="shared" si="156"/>
        <v>3358</v>
      </c>
      <c r="AA79" s="419">
        <f t="shared" si="156"/>
        <v>30</v>
      </c>
      <c r="AB79" s="419">
        <f t="shared" si="156"/>
        <v>3388</v>
      </c>
      <c r="AC79" s="420">
        <f t="shared" si="156"/>
        <v>6</v>
      </c>
      <c r="AD79" s="417">
        <f t="shared" si="156"/>
        <v>3874</v>
      </c>
      <c r="AE79" s="419">
        <f t="shared" si="156"/>
        <v>26</v>
      </c>
      <c r="AF79" s="419">
        <f t="shared" si="156"/>
        <v>3900</v>
      </c>
      <c r="AG79" s="420">
        <f t="shared" si="156"/>
        <v>11</v>
      </c>
      <c r="AH79" s="417">
        <f t="shared" ref="AH79:BA79" si="157">SUM(AH69:AH78)</f>
        <v>0</v>
      </c>
      <c r="AI79" s="419">
        <f t="shared" si="157"/>
        <v>0</v>
      </c>
      <c r="AJ79" s="419">
        <f t="shared" si="157"/>
        <v>0</v>
      </c>
      <c r="AK79" s="420">
        <f t="shared" si="157"/>
        <v>0</v>
      </c>
      <c r="AL79" s="417">
        <f t="shared" si="157"/>
        <v>0</v>
      </c>
      <c r="AM79" s="419">
        <f t="shared" si="157"/>
        <v>0</v>
      </c>
      <c r="AN79" s="419">
        <f t="shared" si="157"/>
        <v>0</v>
      </c>
      <c r="AO79" s="420">
        <f t="shared" si="157"/>
        <v>0</v>
      </c>
      <c r="AP79" s="417">
        <f t="shared" si="157"/>
        <v>0</v>
      </c>
      <c r="AQ79" s="419">
        <f t="shared" si="157"/>
        <v>0</v>
      </c>
      <c r="AR79" s="419">
        <f t="shared" si="157"/>
        <v>0</v>
      </c>
      <c r="AS79" s="420">
        <f t="shared" si="157"/>
        <v>0</v>
      </c>
      <c r="AT79" s="417">
        <f t="shared" si="157"/>
        <v>0</v>
      </c>
      <c r="AU79" s="419">
        <f t="shared" si="157"/>
        <v>0</v>
      </c>
      <c r="AV79" s="419">
        <f t="shared" si="157"/>
        <v>0</v>
      </c>
      <c r="AW79" s="420">
        <f t="shared" si="157"/>
        <v>0</v>
      </c>
      <c r="AX79" s="434">
        <f t="shared" si="157"/>
        <v>20427</v>
      </c>
      <c r="AY79" s="434">
        <f t="shared" si="157"/>
        <v>463</v>
      </c>
      <c r="AZ79" s="434">
        <f t="shared" si="157"/>
        <v>20890</v>
      </c>
      <c r="BA79" s="434">
        <f t="shared" si="157"/>
        <v>105</v>
      </c>
      <c r="BC79" s="395">
        <f t="shared" si="154"/>
        <v>3900</v>
      </c>
      <c r="BD79" s="395">
        <f t="shared" si="155"/>
        <v>11</v>
      </c>
    </row>
    <row r="80" spans="1:56">
      <c r="L80" s="117">
        <f>L79+H79+D79</f>
        <v>4825</v>
      </c>
      <c r="M80" s="395">
        <f>M79+I79+E79</f>
        <v>39</v>
      </c>
      <c r="P80" s="395">
        <f>P79+T79+X79</f>
        <v>8777</v>
      </c>
      <c r="Q80" s="395">
        <f>Q79+U79+Y79</f>
        <v>49</v>
      </c>
      <c r="AB80" s="395"/>
      <c r="AJ80" s="1243">
        <f>AJ79+AF79+AB79</f>
        <v>7288</v>
      </c>
      <c r="AK80" s="1243">
        <f>AK79+AG79+AC79</f>
        <v>17</v>
      </c>
      <c r="AV80" s="446">
        <f>AN79+AR79+AV79</f>
        <v>0</v>
      </c>
      <c r="AW80" s="446">
        <f>AO79+AS79+AW79</f>
        <v>0</v>
      </c>
      <c r="BC80" s="395"/>
      <c r="BD80" s="395"/>
    </row>
    <row r="81" spans="1:56" ht="18.600000000000001" thickBot="1">
      <c r="A81" s="394">
        <f>A49</f>
        <v>2024</v>
      </c>
      <c r="Q81" s="395">
        <f>Q84+P84</f>
        <v>862</v>
      </c>
      <c r="AZ81" s="395">
        <f>BA84+AZ84</f>
        <v>4977</v>
      </c>
    </row>
    <row r="82" spans="1:56">
      <c r="A82" s="2815" t="s">
        <v>308</v>
      </c>
      <c r="B82" s="2827" t="s">
        <v>71</v>
      </c>
      <c r="C82" s="2828"/>
      <c r="D82" s="2828"/>
      <c r="E82" s="3091"/>
      <c r="F82" s="2829" t="s">
        <v>72</v>
      </c>
      <c r="G82" s="2830"/>
      <c r="H82" s="2830"/>
      <c r="I82" s="3095"/>
      <c r="J82" s="2817" t="s">
        <v>73</v>
      </c>
      <c r="K82" s="2818"/>
      <c r="L82" s="2818"/>
      <c r="M82" s="3094"/>
      <c r="N82" s="2819" t="s">
        <v>74</v>
      </c>
      <c r="O82" s="2820"/>
      <c r="P82" s="2820"/>
      <c r="Q82" s="3090"/>
      <c r="R82" s="2821" t="s">
        <v>75</v>
      </c>
      <c r="S82" s="2822"/>
      <c r="T82" s="2822"/>
      <c r="U82" s="3093"/>
      <c r="V82" s="2823" t="s">
        <v>76</v>
      </c>
      <c r="W82" s="2824"/>
      <c r="X82" s="2824"/>
      <c r="Y82" s="3089"/>
      <c r="Z82" s="2827" t="s">
        <v>77</v>
      </c>
      <c r="AA82" s="2828"/>
      <c r="AB82" s="2828"/>
      <c r="AC82" s="3091"/>
      <c r="AD82" s="2829" t="s">
        <v>78</v>
      </c>
      <c r="AE82" s="2830"/>
      <c r="AF82" s="2830"/>
      <c r="AG82" s="3095"/>
      <c r="AH82" s="2817" t="s">
        <v>79</v>
      </c>
      <c r="AI82" s="2818"/>
      <c r="AJ82" s="2818"/>
      <c r="AK82" s="3094"/>
      <c r="AL82" s="2819" t="s">
        <v>80</v>
      </c>
      <c r="AM82" s="2820"/>
      <c r="AN82" s="2820"/>
      <c r="AO82" s="3090"/>
      <c r="AP82" s="2821" t="s">
        <v>81</v>
      </c>
      <c r="AQ82" s="2822"/>
      <c r="AR82" s="2822"/>
      <c r="AS82" s="3093"/>
      <c r="AT82" s="2823" t="s">
        <v>82</v>
      </c>
      <c r="AU82" s="2824"/>
      <c r="AV82" s="2824"/>
      <c r="AW82" s="3089"/>
      <c r="AX82" s="2825" t="s">
        <v>83</v>
      </c>
      <c r="AY82" s="2826"/>
      <c r="AZ82" s="2826"/>
      <c r="BA82" s="3088"/>
    </row>
    <row r="83" spans="1:56" ht="14.4" thickBot="1">
      <c r="A83" s="2816"/>
      <c r="B83" s="402" t="s">
        <v>17</v>
      </c>
      <c r="C83" s="403" t="s">
        <v>18</v>
      </c>
      <c r="D83" s="403" t="s">
        <v>52</v>
      </c>
      <c r="E83" s="404" t="s">
        <v>19</v>
      </c>
      <c r="F83" s="402" t="s">
        <v>17</v>
      </c>
      <c r="G83" s="403" t="s">
        <v>18</v>
      </c>
      <c r="H83" s="403" t="s">
        <v>52</v>
      </c>
      <c r="I83" s="404" t="s">
        <v>19</v>
      </c>
      <c r="J83" s="402" t="s">
        <v>17</v>
      </c>
      <c r="K83" s="403" t="s">
        <v>18</v>
      </c>
      <c r="L83" s="403" t="s">
        <v>52</v>
      </c>
      <c r="M83" s="404" t="s">
        <v>19</v>
      </c>
      <c r="N83" s="402" t="s">
        <v>17</v>
      </c>
      <c r="O83" s="403" t="s">
        <v>18</v>
      </c>
      <c r="P83" s="403" t="s">
        <v>52</v>
      </c>
      <c r="Q83" s="404" t="s">
        <v>19</v>
      </c>
      <c r="R83" s="402" t="s">
        <v>17</v>
      </c>
      <c r="S83" s="403" t="s">
        <v>18</v>
      </c>
      <c r="T83" s="403" t="s">
        <v>52</v>
      </c>
      <c r="U83" s="404" t="s">
        <v>19</v>
      </c>
      <c r="V83" s="402" t="s">
        <v>17</v>
      </c>
      <c r="W83" s="403" t="s">
        <v>18</v>
      </c>
      <c r="X83" s="403" t="s">
        <v>52</v>
      </c>
      <c r="Y83" s="404" t="s">
        <v>19</v>
      </c>
      <c r="Z83" s="402" t="s">
        <v>17</v>
      </c>
      <c r="AA83" s="403" t="s">
        <v>18</v>
      </c>
      <c r="AB83" s="403" t="s">
        <v>52</v>
      </c>
      <c r="AC83" s="404" t="s">
        <v>19</v>
      </c>
      <c r="AD83" s="402" t="s">
        <v>17</v>
      </c>
      <c r="AE83" s="403" t="s">
        <v>18</v>
      </c>
      <c r="AF83" s="403" t="s">
        <v>52</v>
      </c>
      <c r="AG83" s="404" t="s">
        <v>19</v>
      </c>
      <c r="AH83" s="402" t="s">
        <v>17</v>
      </c>
      <c r="AI83" s="403" t="s">
        <v>18</v>
      </c>
      <c r="AJ83" s="403" t="s">
        <v>52</v>
      </c>
      <c r="AK83" s="404" t="s">
        <v>19</v>
      </c>
      <c r="AL83" s="402" t="s">
        <v>17</v>
      </c>
      <c r="AM83" s="403" t="s">
        <v>18</v>
      </c>
      <c r="AN83" s="403" t="s">
        <v>52</v>
      </c>
      <c r="AO83" s="404" t="s">
        <v>19</v>
      </c>
      <c r="AP83" s="1107" t="s">
        <v>17</v>
      </c>
      <c r="AQ83" s="403" t="s">
        <v>18</v>
      </c>
      <c r="AR83" s="403" t="s">
        <v>52</v>
      </c>
      <c r="AS83" s="404" t="s">
        <v>19</v>
      </c>
      <c r="AT83" s="402" t="s">
        <v>17</v>
      </c>
      <c r="AU83" s="403" t="s">
        <v>18</v>
      </c>
      <c r="AV83" s="403" t="s">
        <v>52</v>
      </c>
      <c r="AW83" s="404" t="s">
        <v>19</v>
      </c>
      <c r="AX83" s="403" t="s">
        <v>17</v>
      </c>
      <c r="AY83" s="403" t="s">
        <v>18</v>
      </c>
      <c r="AZ83" s="403" t="s">
        <v>52</v>
      </c>
      <c r="BA83" s="431" t="s">
        <v>19</v>
      </c>
      <c r="BC83" s="117" t="s">
        <v>265</v>
      </c>
      <c r="BD83" s="117" t="s">
        <v>266</v>
      </c>
    </row>
    <row r="84" spans="1:56" ht="14.4" thickBot="1">
      <c r="A84" s="397" t="s">
        <v>6</v>
      </c>
      <c r="B84" s="398">
        <f>'Feuil-saisie'!B421</f>
        <v>324</v>
      </c>
      <c r="C84" s="399">
        <f>'Feuil-saisie'!C421</f>
        <v>3</v>
      </c>
      <c r="D84" s="400">
        <f t="shared" ref="D84:D90" si="158">+B84+C84</f>
        <v>327</v>
      </c>
      <c r="E84" s="401">
        <f>'Feuil-saisie'!E421</f>
        <v>1</v>
      </c>
      <c r="F84" s="398">
        <f>'Feuil-saisie'!L421</f>
        <v>334</v>
      </c>
      <c r="G84" s="398">
        <f>'Feuil-saisie'!M421</f>
        <v>2</v>
      </c>
      <c r="H84" s="400">
        <f>+F84+G84</f>
        <v>336</v>
      </c>
      <c r="I84" s="401">
        <f>'Feuil-saisie'!O421</f>
        <v>0</v>
      </c>
      <c r="J84" s="398">
        <f>'Feuil-saisie'!V421</f>
        <v>1134</v>
      </c>
      <c r="K84" s="398">
        <f>'Feuil-saisie'!W421</f>
        <v>0</v>
      </c>
      <c r="L84" s="400">
        <f>+J84+K84</f>
        <v>1134</v>
      </c>
      <c r="M84" s="401">
        <f>'Feuil-saisie'!Y421</f>
        <v>0</v>
      </c>
      <c r="N84" s="398">
        <f>'Feuil-saisie'!AF421</f>
        <v>860</v>
      </c>
      <c r="O84" s="398">
        <f>'Feuil-saisie'!AG421</f>
        <v>2</v>
      </c>
      <c r="P84" s="400">
        <f>+N84+O84</f>
        <v>862</v>
      </c>
      <c r="Q84" s="401">
        <f>'Feuil-saisie'!AI421</f>
        <v>0</v>
      </c>
      <c r="R84" s="398">
        <f>'Feuil-saisie'!AP421</f>
        <v>947</v>
      </c>
      <c r="S84" s="399">
        <f>'Feuil-saisie'!AQ421</f>
        <v>3</v>
      </c>
      <c r="T84" s="400">
        <f>+R84+S84</f>
        <v>950</v>
      </c>
      <c r="U84" s="401">
        <f>'Feuil-saisie'!AS421</f>
        <v>0</v>
      </c>
      <c r="V84" s="398">
        <f>'Feuil-saisie'!AZ421</f>
        <v>556</v>
      </c>
      <c r="W84" s="399">
        <f>'Feuil-saisie'!BA421</f>
        <v>0</v>
      </c>
      <c r="X84" s="400">
        <f>+V84+W84</f>
        <v>556</v>
      </c>
      <c r="Y84" s="401">
        <f>'Feuil-saisie'!BC421</f>
        <v>0</v>
      </c>
      <c r="Z84" s="398">
        <f>'Feuil-saisie'!BJ421</f>
        <v>193</v>
      </c>
      <c r="AA84" s="399">
        <f>'Feuil-saisie'!BK421</f>
        <v>1</v>
      </c>
      <c r="AB84" s="400">
        <f>+Z84+AA84</f>
        <v>194</v>
      </c>
      <c r="AC84" s="401">
        <f>'Feuil-saisie'!BM421</f>
        <v>2</v>
      </c>
      <c r="AD84" s="398">
        <f>'Feuil-saisie'!BT421</f>
        <v>615</v>
      </c>
      <c r="AE84" s="399">
        <f>'Feuil-saisie'!BU421</f>
        <v>0</v>
      </c>
      <c r="AF84" s="400">
        <f>+AD84+AE84</f>
        <v>615</v>
      </c>
      <c r="AG84" s="401">
        <f>'Feuil-saisie'!BW421</f>
        <v>0</v>
      </c>
      <c r="AH84" s="398">
        <f>'Feuil-saisie'!CD421</f>
        <v>0</v>
      </c>
      <c r="AI84" s="399">
        <f>'Feuil-saisie'!CE421</f>
        <v>0</v>
      </c>
      <c r="AJ84" s="400">
        <f>+AH84+AI84</f>
        <v>0</v>
      </c>
      <c r="AK84" s="401">
        <f>'Feuil-saisie'!CG421</f>
        <v>0</v>
      </c>
      <c r="AL84" s="398">
        <f>'Feuil-saisie'!CN421</f>
        <v>0</v>
      </c>
      <c r="AM84" s="399">
        <f>'Feuil-saisie'!CO421</f>
        <v>0</v>
      </c>
      <c r="AN84" s="400">
        <f>+AL84+AM84</f>
        <v>0</v>
      </c>
      <c r="AO84" s="401">
        <f>'Feuil-saisie'!CQ421</f>
        <v>0</v>
      </c>
      <c r="AP84" s="398">
        <f>'Feuil-saisie'!CX421</f>
        <v>0</v>
      </c>
      <c r="AQ84" s="399">
        <f>'Feuil-saisie'!CY421</f>
        <v>0</v>
      </c>
      <c r="AR84" s="400">
        <f>+AP84+AQ84</f>
        <v>0</v>
      </c>
      <c r="AS84" s="401">
        <f>'Feuil-saisie'!DA421</f>
        <v>0</v>
      </c>
      <c r="AT84" s="398">
        <f>'Feuil-saisie'!DH421</f>
        <v>0</v>
      </c>
      <c r="AU84" s="399">
        <f>'Feuil-saisie'!DI421</f>
        <v>0</v>
      </c>
      <c r="AV84" s="400">
        <f>+AT84+AU84</f>
        <v>0</v>
      </c>
      <c r="AW84" s="401">
        <f>'Feuil-saisie'!DK421</f>
        <v>0</v>
      </c>
      <c r="AX84" s="432">
        <f>B84+F84+J84+N84+R84+V84+Z84+AD84+AH84+AL84+AP84+AT84</f>
        <v>4963</v>
      </c>
      <c r="AY84" s="432">
        <f t="shared" ref="AY84:AY93" si="159">C84+G84+K84+O84+S84+W84+AA84+AE84+AI84+AM84+AQ84+AU84</f>
        <v>11</v>
      </c>
      <c r="AZ84" s="432">
        <f>AX84+AY84</f>
        <v>4974</v>
      </c>
      <c r="BA84" s="432">
        <f t="shared" ref="BA84:BA93" si="160">E84+I84+M84+Q84+U84+Y84+AC84+AG84+AK84+AO84+AS84+AW84</f>
        <v>3</v>
      </c>
      <c r="BC84" s="395">
        <f>AF84</f>
        <v>615</v>
      </c>
      <c r="BD84" s="395">
        <f>AG84</f>
        <v>0</v>
      </c>
    </row>
    <row r="85" spans="1:56" ht="14.4" thickBot="1">
      <c r="A85" s="397" t="s">
        <v>7</v>
      </c>
      <c r="B85" s="398">
        <f>'Feuil-saisie'!B422</f>
        <v>151</v>
      </c>
      <c r="C85" s="399">
        <f>'Feuil-saisie'!C422</f>
        <v>126</v>
      </c>
      <c r="D85" s="400">
        <f t="shared" si="158"/>
        <v>277</v>
      </c>
      <c r="E85" s="401">
        <f>'Feuil-saisie'!E422</f>
        <v>0</v>
      </c>
      <c r="F85" s="398">
        <f>'Feuil-saisie'!L422</f>
        <v>172</v>
      </c>
      <c r="G85" s="398">
        <f>'Feuil-saisie'!M422</f>
        <v>13</v>
      </c>
      <c r="H85" s="400">
        <f>+F85+G85</f>
        <v>185</v>
      </c>
      <c r="I85" s="401">
        <f>'Feuil-saisie'!O422</f>
        <v>0</v>
      </c>
      <c r="J85" s="398">
        <f>'Feuil-saisie'!V422</f>
        <v>156</v>
      </c>
      <c r="K85" s="398">
        <f>'Feuil-saisie'!W422</f>
        <v>9</v>
      </c>
      <c r="L85" s="400">
        <f>+J85+K85</f>
        <v>165</v>
      </c>
      <c r="M85" s="401">
        <f>'Feuil-saisie'!Y422</f>
        <v>0</v>
      </c>
      <c r="N85" s="398">
        <f>'Feuil-saisie'!AF422</f>
        <v>136</v>
      </c>
      <c r="O85" s="398">
        <f>'Feuil-saisie'!AG422</f>
        <v>6</v>
      </c>
      <c r="P85" s="400">
        <f>+N85+O85</f>
        <v>142</v>
      </c>
      <c r="Q85" s="401">
        <f>'Feuil-saisie'!AI422</f>
        <v>0</v>
      </c>
      <c r="R85" s="398">
        <f>'Feuil-saisie'!AP422</f>
        <v>173</v>
      </c>
      <c r="S85" s="399">
        <f>'Feuil-saisie'!AQ422</f>
        <v>2</v>
      </c>
      <c r="T85" s="400">
        <f>+R85+S85</f>
        <v>175</v>
      </c>
      <c r="U85" s="401">
        <f>'Feuil-saisie'!AS422</f>
        <v>0</v>
      </c>
      <c r="V85" s="398">
        <f>'Feuil-saisie'!AZ422</f>
        <v>119</v>
      </c>
      <c r="W85" s="399">
        <f>'Feuil-saisie'!BA422</f>
        <v>0</v>
      </c>
      <c r="X85" s="400">
        <f>+V85+W85</f>
        <v>119</v>
      </c>
      <c r="Y85" s="401">
        <f>'Feuil-saisie'!BC422</f>
        <v>0</v>
      </c>
      <c r="Z85" s="398">
        <f>'Feuil-saisie'!BJ422</f>
        <v>113</v>
      </c>
      <c r="AA85" s="399">
        <f>'Feuil-saisie'!BK422</f>
        <v>1</v>
      </c>
      <c r="AB85" s="400">
        <f>+Z85+AA85</f>
        <v>114</v>
      </c>
      <c r="AC85" s="401">
        <f>'Feuil-saisie'!BM422</f>
        <v>0</v>
      </c>
      <c r="AD85" s="398">
        <f>'Feuil-saisie'!BT422</f>
        <v>85</v>
      </c>
      <c r="AE85" s="399">
        <f>'Feuil-saisie'!BU422</f>
        <v>3</v>
      </c>
      <c r="AF85" s="400">
        <f>+AD85+AE85</f>
        <v>88</v>
      </c>
      <c r="AG85" s="401">
        <f>'Feuil-saisie'!BW422</f>
        <v>0</v>
      </c>
      <c r="AH85" s="398">
        <f>'Feuil-saisie'!CD422</f>
        <v>0</v>
      </c>
      <c r="AI85" s="399">
        <f>'Feuil-saisie'!CE422</f>
        <v>0</v>
      </c>
      <c r="AJ85" s="400">
        <f>+AH85+AI85</f>
        <v>0</v>
      </c>
      <c r="AK85" s="401">
        <f>'Feuil-saisie'!CG422</f>
        <v>0</v>
      </c>
      <c r="AL85" s="398">
        <f>'Feuil-saisie'!CN422</f>
        <v>0</v>
      </c>
      <c r="AM85" s="399">
        <f>'Feuil-saisie'!CO422</f>
        <v>0</v>
      </c>
      <c r="AN85" s="400">
        <f>+AL85+AM85</f>
        <v>0</v>
      </c>
      <c r="AO85" s="401">
        <f>'Feuil-saisie'!CQ422</f>
        <v>0</v>
      </c>
      <c r="AP85" s="398">
        <f>'Feuil-saisie'!CX422</f>
        <v>0</v>
      </c>
      <c r="AQ85" s="399">
        <f>'Feuil-saisie'!CY422</f>
        <v>0</v>
      </c>
      <c r="AR85" s="400">
        <f>+AP85+AQ85</f>
        <v>0</v>
      </c>
      <c r="AS85" s="401">
        <f>'Feuil-saisie'!DA422</f>
        <v>0</v>
      </c>
      <c r="AT85" s="398">
        <f>'Feuil-saisie'!DH422</f>
        <v>0</v>
      </c>
      <c r="AU85" s="399">
        <f>'Feuil-saisie'!DI422</f>
        <v>0</v>
      </c>
      <c r="AV85" s="400">
        <f>+AT85+AU85</f>
        <v>0</v>
      </c>
      <c r="AW85" s="401">
        <f>'Feuil-saisie'!DK422</f>
        <v>0</v>
      </c>
      <c r="AX85" s="432">
        <f>B85+F85+J85+N85+R85+V85+Z85+AD85+AH85+AL85+AP85+AT85</f>
        <v>1105</v>
      </c>
      <c r="AY85" s="432">
        <f t="shared" si="159"/>
        <v>160</v>
      </c>
      <c r="AZ85" s="432">
        <f t="shared" ref="AZ85:AZ93" si="161">AX85+AY85</f>
        <v>1265</v>
      </c>
      <c r="BA85" s="432">
        <f t="shared" si="160"/>
        <v>0</v>
      </c>
      <c r="BC85" s="395">
        <f t="shared" ref="BC85:BC94" si="162">AF85</f>
        <v>88</v>
      </c>
      <c r="BD85" s="395">
        <f t="shared" ref="BD85:BD94" si="163">AG85</f>
        <v>0</v>
      </c>
    </row>
    <row r="86" spans="1:56" ht="14.4" thickBot="1">
      <c r="A86" s="397" t="s">
        <v>8</v>
      </c>
      <c r="B86" s="398">
        <f>'Feuil-saisie'!B423</f>
        <v>101</v>
      </c>
      <c r="C86" s="399">
        <f>'Feuil-saisie'!C423</f>
        <v>10</v>
      </c>
      <c r="D86" s="400">
        <f t="shared" si="158"/>
        <v>111</v>
      </c>
      <c r="E86" s="401">
        <f>'Feuil-saisie'!E423</f>
        <v>1</v>
      </c>
      <c r="F86" s="398">
        <f>'Feuil-saisie'!L423</f>
        <v>62</v>
      </c>
      <c r="G86" s="398">
        <f>'Feuil-saisie'!M423</f>
        <v>4</v>
      </c>
      <c r="H86" s="400">
        <f>+F86+G86</f>
        <v>66</v>
      </c>
      <c r="I86" s="401">
        <f>'Feuil-saisie'!O423</f>
        <v>0</v>
      </c>
      <c r="J86" s="398">
        <f>'Feuil-saisie'!V423</f>
        <v>150</v>
      </c>
      <c r="K86" s="398">
        <f>'Feuil-saisie'!W423</f>
        <v>5</v>
      </c>
      <c r="L86" s="400">
        <f>+J86+K86</f>
        <v>155</v>
      </c>
      <c r="M86" s="401">
        <f>'Feuil-saisie'!Y423</f>
        <v>0</v>
      </c>
      <c r="N86" s="398">
        <f>'Feuil-saisie'!AF423</f>
        <v>543</v>
      </c>
      <c r="O86" s="398">
        <f>'Feuil-saisie'!AG423</f>
        <v>13</v>
      </c>
      <c r="P86" s="400">
        <f>+N86+O86</f>
        <v>556</v>
      </c>
      <c r="Q86" s="401">
        <f>'Feuil-saisie'!AI423</f>
        <v>2</v>
      </c>
      <c r="R86" s="398">
        <f>'Feuil-saisie'!AP423</f>
        <v>357</v>
      </c>
      <c r="S86" s="399">
        <f>'Feuil-saisie'!AQ423</f>
        <v>50</v>
      </c>
      <c r="T86" s="400">
        <f>+R86+S86</f>
        <v>407</v>
      </c>
      <c r="U86" s="401">
        <f>'Feuil-saisie'!AS423</f>
        <v>0</v>
      </c>
      <c r="V86" s="398">
        <f>'Feuil-saisie'!AZ423</f>
        <v>158</v>
      </c>
      <c r="W86" s="399">
        <f>'Feuil-saisie'!BA423</f>
        <v>17</v>
      </c>
      <c r="X86" s="400">
        <f>+V86+W86</f>
        <v>175</v>
      </c>
      <c r="Y86" s="401">
        <f>'Feuil-saisie'!BC423</f>
        <v>0</v>
      </c>
      <c r="Z86" s="398">
        <f>'Feuil-saisie'!BJ423</f>
        <v>76</v>
      </c>
      <c r="AA86" s="399">
        <f>'Feuil-saisie'!BK423</f>
        <v>0</v>
      </c>
      <c r="AB86" s="400">
        <f>+Z86+AA86</f>
        <v>76</v>
      </c>
      <c r="AC86" s="401">
        <f>'Feuil-saisie'!BM423</f>
        <v>1</v>
      </c>
      <c r="AD86" s="398">
        <f>'Feuil-saisie'!BT423</f>
        <v>88</v>
      </c>
      <c r="AE86" s="399">
        <f>'Feuil-saisie'!BU423</f>
        <v>15</v>
      </c>
      <c r="AF86" s="400">
        <f>+AD86+AE86</f>
        <v>103</v>
      </c>
      <c r="AG86" s="401">
        <f>'Feuil-saisie'!BW423</f>
        <v>0</v>
      </c>
      <c r="AH86" s="398">
        <f>'Feuil-saisie'!CD423</f>
        <v>0</v>
      </c>
      <c r="AI86" s="399">
        <f>'Feuil-saisie'!CE423</f>
        <v>0</v>
      </c>
      <c r="AJ86" s="400">
        <f>+AH86+AI86</f>
        <v>0</v>
      </c>
      <c r="AK86" s="401">
        <f>'Feuil-saisie'!CG423</f>
        <v>0</v>
      </c>
      <c r="AL86" s="398">
        <f>'Feuil-saisie'!CN423</f>
        <v>0</v>
      </c>
      <c r="AM86" s="399">
        <f>'Feuil-saisie'!CO423</f>
        <v>0</v>
      </c>
      <c r="AN86" s="400">
        <f>+AL86+AM86</f>
        <v>0</v>
      </c>
      <c r="AO86" s="401">
        <f>'Feuil-saisie'!CQ423</f>
        <v>0</v>
      </c>
      <c r="AP86" s="398">
        <f>'Feuil-saisie'!CX423</f>
        <v>0</v>
      </c>
      <c r="AQ86" s="399">
        <f>'Feuil-saisie'!CY423</f>
        <v>0</v>
      </c>
      <c r="AR86" s="400">
        <f>+AP86+AQ86</f>
        <v>0</v>
      </c>
      <c r="AS86" s="401">
        <f>'Feuil-saisie'!DA423</f>
        <v>0</v>
      </c>
      <c r="AT86" s="398">
        <f>'Feuil-saisie'!DH423</f>
        <v>0</v>
      </c>
      <c r="AU86" s="399">
        <f>'Feuil-saisie'!DI423</f>
        <v>0</v>
      </c>
      <c r="AV86" s="400">
        <f>+AT86+AU86</f>
        <v>0</v>
      </c>
      <c r="AW86" s="401">
        <f>'Feuil-saisie'!DK423</f>
        <v>0</v>
      </c>
      <c r="AX86" s="432">
        <f t="shared" ref="AX86:AX93" si="164">B86+F86+J86+N86+R86+V86+Z86+AD86+AH86+AL86+AP86+AT86</f>
        <v>1535</v>
      </c>
      <c r="AY86" s="432">
        <f t="shared" si="159"/>
        <v>114</v>
      </c>
      <c r="AZ86" s="432">
        <f t="shared" si="161"/>
        <v>1649</v>
      </c>
      <c r="BA86" s="432">
        <f t="shared" si="160"/>
        <v>4</v>
      </c>
      <c r="BC86" s="395">
        <f t="shared" si="162"/>
        <v>103</v>
      </c>
      <c r="BD86" s="395">
        <f t="shared" si="163"/>
        <v>0</v>
      </c>
    </row>
    <row r="87" spans="1:56" ht="14.4" thickBot="1">
      <c r="A87" s="397" t="s">
        <v>4</v>
      </c>
      <c r="B87" s="398">
        <f>'Feuil-saisie'!B424</f>
        <v>493</v>
      </c>
      <c r="C87" s="399">
        <f>'Feuil-saisie'!C424</f>
        <v>1</v>
      </c>
      <c r="D87" s="400">
        <f t="shared" si="158"/>
        <v>494</v>
      </c>
      <c r="E87" s="401">
        <f>'Feuil-saisie'!E424</f>
        <v>0</v>
      </c>
      <c r="F87" s="398">
        <f>'Feuil-saisie'!L424</f>
        <v>239</v>
      </c>
      <c r="G87" s="398">
        <f>'Feuil-saisie'!M424</f>
        <v>6</v>
      </c>
      <c r="H87" s="400">
        <f>+F87+G87</f>
        <v>245</v>
      </c>
      <c r="I87" s="401">
        <f>'Feuil-saisie'!O424</f>
        <v>0</v>
      </c>
      <c r="J87" s="398">
        <f>'Feuil-saisie'!V424</f>
        <v>316</v>
      </c>
      <c r="K87" s="398">
        <f>'Feuil-saisie'!W424</f>
        <v>1</v>
      </c>
      <c r="L87" s="400">
        <f>+J87+K87</f>
        <v>317</v>
      </c>
      <c r="M87" s="401">
        <f>'Feuil-saisie'!Y424</f>
        <v>1</v>
      </c>
      <c r="N87" s="398">
        <f>'Feuil-saisie'!AF424</f>
        <v>343</v>
      </c>
      <c r="O87" s="398">
        <f>'Feuil-saisie'!AG424</f>
        <v>13</v>
      </c>
      <c r="P87" s="400">
        <f t="shared" ref="P87:P93" si="165">+N87+O87</f>
        <v>356</v>
      </c>
      <c r="Q87" s="401">
        <f>'Feuil-saisie'!AI424</f>
        <v>1</v>
      </c>
      <c r="R87" s="398">
        <f>'Feuil-saisie'!AP424</f>
        <v>624</v>
      </c>
      <c r="S87" s="399">
        <f>'Feuil-saisie'!AQ424</f>
        <v>8</v>
      </c>
      <c r="T87" s="400">
        <f t="shared" ref="T87:T93" si="166">+R87+S87</f>
        <v>632</v>
      </c>
      <c r="U87" s="401">
        <f>'Feuil-saisie'!AS424</f>
        <v>2</v>
      </c>
      <c r="V87" s="398">
        <f>'Feuil-saisie'!AZ424</f>
        <v>307</v>
      </c>
      <c r="W87" s="399">
        <f>'Feuil-saisie'!BA424</f>
        <v>1</v>
      </c>
      <c r="X87" s="400">
        <f t="shared" ref="X87:X93" si="167">+V87+W87</f>
        <v>308</v>
      </c>
      <c r="Y87" s="401">
        <f>'Feuil-saisie'!BC424</f>
        <v>0</v>
      </c>
      <c r="Z87" s="398">
        <f>'Feuil-saisie'!BJ424</f>
        <v>264</v>
      </c>
      <c r="AA87" s="399">
        <f>'Feuil-saisie'!BK424</f>
        <v>10</v>
      </c>
      <c r="AB87" s="400">
        <f t="shared" ref="AB87:AB93" si="168">+Z87+AA87</f>
        <v>274</v>
      </c>
      <c r="AC87" s="401">
        <f>'Feuil-saisie'!BM424</f>
        <v>1</v>
      </c>
      <c r="AD87" s="398">
        <f>'Feuil-saisie'!BT424</f>
        <v>280</v>
      </c>
      <c r="AE87" s="399">
        <f>'Feuil-saisie'!BU424</f>
        <v>1</v>
      </c>
      <c r="AF87" s="400">
        <f t="shared" ref="AF87:AF93" si="169">+AD87+AE87</f>
        <v>281</v>
      </c>
      <c r="AG87" s="401">
        <f>'Feuil-saisie'!BW424</f>
        <v>2</v>
      </c>
      <c r="AH87" s="398">
        <f>'Feuil-saisie'!CD424</f>
        <v>0</v>
      </c>
      <c r="AI87" s="399">
        <f>'Feuil-saisie'!CE424</f>
        <v>0</v>
      </c>
      <c r="AJ87" s="400">
        <f t="shared" ref="AJ87:AJ93" si="170">+AH87+AI87</f>
        <v>0</v>
      </c>
      <c r="AK87" s="401">
        <f>'Feuil-saisie'!CG424</f>
        <v>0</v>
      </c>
      <c r="AL87" s="398">
        <f>'Feuil-saisie'!CN424</f>
        <v>0</v>
      </c>
      <c r="AM87" s="399">
        <f>'Feuil-saisie'!CO424</f>
        <v>0</v>
      </c>
      <c r="AN87" s="400">
        <f t="shared" ref="AN87:AN93" si="171">+AL87+AM87</f>
        <v>0</v>
      </c>
      <c r="AO87" s="401">
        <f>'Feuil-saisie'!CQ424</f>
        <v>0</v>
      </c>
      <c r="AP87" s="398">
        <f>'Feuil-saisie'!CX424</f>
        <v>0</v>
      </c>
      <c r="AQ87" s="399">
        <f>'Feuil-saisie'!CY424</f>
        <v>0</v>
      </c>
      <c r="AR87" s="400">
        <f t="shared" ref="AR87:AR93" si="172">+AP87+AQ87</f>
        <v>0</v>
      </c>
      <c r="AS87" s="401">
        <f>'Feuil-saisie'!DA424</f>
        <v>0</v>
      </c>
      <c r="AT87" s="398">
        <f>'Feuil-saisie'!DH424</f>
        <v>0</v>
      </c>
      <c r="AU87" s="399">
        <f>'Feuil-saisie'!DI424</f>
        <v>0</v>
      </c>
      <c r="AV87" s="400">
        <f t="shared" ref="AV87:AV93" si="173">+AT87+AU87</f>
        <v>0</v>
      </c>
      <c r="AW87" s="401">
        <f>'Feuil-saisie'!DK424</f>
        <v>0</v>
      </c>
      <c r="AX87" s="432">
        <f t="shared" si="164"/>
        <v>2866</v>
      </c>
      <c r="AY87" s="432">
        <f t="shared" si="159"/>
        <v>41</v>
      </c>
      <c r="AZ87" s="432">
        <f t="shared" si="161"/>
        <v>2907</v>
      </c>
      <c r="BA87" s="432">
        <f t="shared" si="160"/>
        <v>7</v>
      </c>
      <c r="BC87" s="395">
        <f t="shared" si="162"/>
        <v>281</v>
      </c>
      <c r="BD87" s="395">
        <f t="shared" si="163"/>
        <v>2</v>
      </c>
    </row>
    <row r="88" spans="1:56" ht="14.4" thickBot="1">
      <c r="A88" s="397" t="s">
        <v>3</v>
      </c>
      <c r="B88" s="398">
        <f>'Feuil-saisie'!B425</f>
        <v>99</v>
      </c>
      <c r="C88" s="399">
        <f>'Feuil-saisie'!C425</f>
        <v>14</v>
      </c>
      <c r="D88" s="400">
        <f t="shared" si="158"/>
        <v>113</v>
      </c>
      <c r="E88" s="401">
        <f>'Feuil-saisie'!E425</f>
        <v>0</v>
      </c>
      <c r="F88" s="398">
        <f>'Feuil-saisie'!L425</f>
        <v>28</v>
      </c>
      <c r="G88" s="398">
        <f>'Feuil-saisie'!M425</f>
        <v>5</v>
      </c>
      <c r="H88" s="400">
        <f t="shared" ref="H88:H93" si="174">+F88+G88</f>
        <v>33</v>
      </c>
      <c r="I88" s="401">
        <f>'Feuil-saisie'!O425</f>
        <v>1</v>
      </c>
      <c r="J88" s="398">
        <f>'Feuil-saisie'!V425</f>
        <v>60</v>
      </c>
      <c r="K88" s="398">
        <f>'Feuil-saisie'!W425</f>
        <v>9</v>
      </c>
      <c r="L88" s="400">
        <f t="shared" ref="L88:L93" si="175">+J88+K88</f>
        <v>69</v>
      </c>
      <c r="M88" s="401">
        <f>'Feuil-saisie'!Y425</f>
        <v>1</v>
      </c>
      <c r="N88" s="398">
        <f>'Feuil-saisie'!AF425</f>
        <v>25</v>
      </c>
      <c r="O88" s="398">
        <f>'Feuil-saisie'!AG425</f>
        <v>2</v>
      </c>
      <c r="P88" s="400">
        <f t="shared" si="165"/>
        <v>27</v>
      </c>
      <c r="Q88" s="401">
        <f>'Feuil-saisie'!AI425</f>
        <v>0</v>
      </c>
      <c r="R88" s="398">
        <f>'Feuil-saisie'!AP425</f>
        <v>66</v>
      </c>
      <c r="S88" s="399">
        <f>'Feuil-saisie'!AQ425</f>
        <v>1</v>
      </c>
      <c r="T88" s="400">
        <f t="shared" si="166"/>
        <v>67</v>
      </c>
      <c r="U88" s="401">
        <f>'Feuil-saisie'!AS425</f>
        <v>14</v>
      </c>
      <c r="V88" s="398">
        <f>'Feuil-saisie'!AZ425</f>
        <v>27</v>
      </c>
      <c r="W88" s="399">
        <f>'Feuil-saisie'!BA425</f>
        <v>12</v>
      </c>
      <c r="X88" s="400">
        <f t="shared" si="167"/>
        <v>39</v>
      </c>
      <c r="Y88" s="401">
        <f>'Feuil-saisie'!BC425</f>
        <v>0</v>
      </c>
      <c r="Z88" s="398">
        <f>'Feuil-saisie'!BJ425</f>
        <v>19</v>
      </c>
      <c r="AA88" s="399">
        <f>'Feuil-saisie'!BK425</f>
        <v>7</v>
      </c>
      <c r="AB88" s="400">
        <f t="shared" si="168"/>
        <v>26</v>
      </c>
      <c r="AC88" s="401">
        <f>'Feuil-saisie'!BM425</f>
        <v>0</v>
      </c>
      <c r="AD88" s="398">
        <f>'Feuil-saisie'!BT425</f>
        <v>26</v>
      </c>
      <c r="AE88" s="399">
        <f>'Feuil-saisie'!BU425</f>
        <v>0</v>
      </c>
      <c r="AF88" s="400">
        <f t="shared" si="169"/>
        <v>26</v>
      </c>
      <c r="AG88" s="401">
        <f>'Feuil-saisie'!BW425</f>
        <v>2</v>
      </c>
      <c r="AH88" s="398">
        <f>'Feuil-saisie'!CD425</f>
        <v>0</v>
      </c>
      <c r="AI88" s="399">
        <f>'Feuil-saisie'!CE425</f>
        <v>0</v>
      </c>
      <c r="AJ88" s="400">
        <f t="shared" si="170"/>
        <v>0</v>
      </c>
      <c r="AK88" s="401">
        <f>'Feuil-saisie'!CG425</f>
        <v>0</v>
      </c>
      <c r="AL88" s="398">
        <f>'Feuil-saisie'!CN425</f>
        <v>0</v>
      </c>
      <c r="AM88" s="399">
        <f>'Feuil-saisie'!CO425</f>
        <v>0</v>
      </c>
      <c r="AN88" s="400">
        <f t="shared" si="171"/>
        <v>0</v>
      </c>
      <c r="AO88" s="401">
        <f>'Feuil-saisie'!CQ425</f>
        <v>0</v>
      </c>
      <c r="AP88" s="398">
        <f>'Feuil-saisie'!CX425</f>
        <v>0</v>
      </c>
      <c r="AQ88" s="399">
        <f>'Feuil-saisie'!CY425</f>
        <v>0</v>
      </c>
      <c r="AR88" s="400">
        <f t="shared" si="172"/>
        <v>0</v>
      </c>
      <c r="AS88" s="401">
        <f>'Feuil-saisie'!DA425</f>
        <v>0</v>
      </c>
      <c r="AT88" s="398">
        <f>'Feuil-saisie'!DH425</f>
        <v>0</v>
      </c>
      <c r="AU88" s="399">
        <f>'Feuil-saisie'!DI425</f>
        <v>0</v>
      </c>
      <c r="AV88" s="400">
        <f t="shared" si="173"/>
        <v>0</v>
      </c>
      <c r="AW88" s="401">
        <f>'Feuil-saisie'!DK425</f>
        <v>0</v>
      </c>
      <c r="AX88" s="432">
        <f t="shared" si="164"/>
        <v>350</v>
      </c>
      <c r="AY88" s="432">
        <f t="shared" si="159"/>
        <v>50</v>
      </c>
      <c r="AZ88" s="432">
        <f t="shared" si="161"/>
        <v>400</v>
      </c>
      <c r="BA88" s="432">
        <f>E88+I88+M88+Q88+U88+Y88+AC88+AG88+AK88+AO88+AS88+AW88</f>
        <v>18</v>
      </c>
      <c r="BC88" s="395">
        <f t="shared" si="162"/>
        <v>26</v>
      </c>
      <c r="BD88" s="395">
        <f t="shared" si="163"/>
        <v>2</v>
      </c>
    </row>
    <row r="89" spans="1:56" ht="14.4" thickBot="1">
      <c r="A89" s="397" t="s">
        <v>397</v>
      </c>
      <c r="B89" s="398">
        <f>'Feuil-saisie'!B426</f>
        <v>103</v>
      </c>
      <c r="C89" s="399">
        <f>'Feuil-saisie'!C426</f>
        <v>0</v>
      </c>
      <c r="D89" s="400">
        <f t="shared" si="158"/>
        <v>103</v>
      </c>
      <c r="E89" s="401">
        <f>'Feuil-saisie'!E426</f>
        <v>0</v>
      </c>
      <c r="F89" s="398">
        <f>'Feuil-saisie'!L426</f>
        <v>126</v>
      </c>
      <c r="G89" s="398">
        <f>'Feuil-saisie'!M426</f>
        <v>4</v>
      </c>
      <c r="H89" s="400">
        <f t="shared" si="174"/>
        <v>130</v>
      </c>
      <c r="I89" s="401">
        <f>'Feuil-saisie'!O426</f>
        <v>1</v>
      </c>
      <c r="J89" s="398">
        <f>'Feuil-saisie'!V426</f>
        <v>75</v>
      </c>
      <c r="K89" s="398">
        <f>'Feuil-saisie'!W426</f>
        <v>5</v>
      </c>
      <c r="L89" s="400">
        <f t="shared" si="175"/>
        <v>80</v>
      </c>
      <c r="M89" s="401">
        <f>'Feuil-saisie'!Y426</f>
        <v>0</v>
      </c>
      <c r="N89" s="398">
        <f>'Feuil-saisie'!AF426</f>
        <v>131</v>
      </c>
      <c r="O89" s="398">
        <f>'Feuil-saisie'!AG426</f>
        <v>0</v>
      </c>
      <c r="P89" s="400">
        <f t="shared" si="165"/>
        <v>131</v>
      </c>
      <c r="Q89" s="401">
        <f>'Feuil-saisie'!AI426</f>
        <v>0</v>
      </c>
      <c r="R89" s="398">
        <f>'Feuil-saisie'!AP426</f>
        <v>251</v>
      </c>
      <c r="S89" s="399">
        <f>'Feuil-saisie'!AQ426</f>
        <v>90</v>
      </c>
      <c r="T89" s="400">
        <f t="shared" si="166"/>
        <v>341</v>
      </c>
      <c r="U89" s="401">
        <f>'Feuil-saisie'!AS426</f>
        <v>1</v>
      </c>
      <c r="V89" s="398">
        <f>'Feuil-saisie'!AZ426</f>
        <v>752</v>
      </c>
      <c r="W89" s="399">
        <f>'Feuil-saisie'!BA426</f>
        <v>0</v>
      </c>
      <c r="X89" s="400">
        <f t="shared" si="167"/>
        <v>752</v>
      </c>
      <c r="Y89" s="401">
        <f>'Feuil-saisie'!BC426</f>
        <v>0</v>
      </c>
      <c r="Z89" s="398">
        <f>'Feuil-saisie'!BJ426</f>
        <v>183</v>
      </c>
      <c r="AA89" s="399">
        <f>'Feuil-saisie'!BK426</f>
        <v>0</v>
      </c>
      <c r="AB89" s="400">
        <f t="shared" si="168"/>
        <v>183</v>
      </c>
      <c r="AC89" s="401">
        <f>'Feuil-saisie'!BM426</f>
        <v>0</v>
      </c>
      <c r="AD89" s="398">
        <f>'Feuil-saisie'!BT426</f>
        <v>113</v>
      </c>
      <c r="AE89" s="399">
        <f>'Feuil-saisie'!BU426</f>
        <v>0</v>
      </c>
      <c r="AF89" s="400">
        <f t="shared" si="169"/>
        <v>113</v>
      </c>
      <c r="AG89" s="401">
        <f>'Feuil-saisie'!BW426</f>
        <v>0</v>
      </c>
      <c r="AH89" s="398">
        <f>'Feuil-saisie'!CD426</f>
        <v>0</v>
      </c>
      <c r="AI89" s="399">
        <f>'Feuil-saisie'!CE426</f>
        <v>0</v>
      </c>
      <c r="AJ89" s="400">
        <f t="shared" si="170"/>
        <v>0</v>
      </c>
      <c r="AK89" s="401">
        <f>'Feuil-saisie'!CG426</f>
        <v>0</v>
      </c>
      <c r="AL89" s="398">
        <f>'Feuil-saisie'!CN426</f>
        <v>0</v>
      </c>
      <c r="AM89" s="399">
        <f>'Feuil-saisie'!CO426</f>
        <v>0</v>
      </c>
      <c r="AN89" s="400">
        <f t="shared" si="171"/>
        <v>0</v>
      </c>
      <c r="AO89" s="401">
        <f>'Feuil-saisie'!CQ426</f>
        <v>0</v>
      </c>
      <c r="AP89" s="398">
        <f>'Feuil-saisie'!CX426</f>
        <v>0</v>
      </c>
      <c r="AQ89" s="399">
        <f>'Feuil-saisie'!CY426</f>
        <v>0</v>
      </c>
      <c r="AR89" s="400">
        <f t="shared" si="172"/>
        <v>0</v>
      </c>
      <c r="AS89" s="401">
        <f>'Feuil-saisie'!DA426</f>
        <v>0</v>
      </c>
      <c r="AT89" s="398">
        <f>'Feuil-saisie'!DH426</f>
        <v>0</v>
      </c>
      <c r="AU89" s="399">
        <f>'Feuil-saisie'!DI426</f>
        <v>0</v>
      </c>
      <c r="AV89" s="400">
        <f t="shared" si="173"/>
        <v>0</v>
      </c>
      <c r="AW89" s="401">
        <f>'Feuil-saisie'!DK426</f>
        <v>0</v>
      </c>
      <c r="AX89" s="432">
        <f t="shared" si="164"/>
        <v>1734</v>
      </c>
      <c r="AY89" s="432">
        <f t="shared" si="159"/>
        <v>99</v>
      </c>
      <c r="AZ89" s="432">
        <f t="shared" si="161"/>
        <v>1833</v>
      </c>
      <c r="BA89" s="432">
        <f t="shared" si="160"/>
        <v>2</v>
      </c>
      <c r="BC89" s="395">
        <f t="shared" si="162"/>
        <v>113</v>
      </c>
      <c r="BD89" s="395">
        <f t="shared" si="163"/>
        <v>0</v>
      </c>
    </row>
    <row r="90" spans="1:56" ht="14.4" thickBot="1">
      <c r="A90" s="397" t="s">
        <v>399</v>
      </c>
      <c r="B90" s="398">
        <f>'Feuil-saisie'!B427</f>
        <v>287</v>
      </c>
      <c r="C90" s="399">
        <f>'Feuil-saisie'!C427</f>
        <v>0</v>
      </c>
      <c r="D90" s="400">
        <f t="shared" si="158"/>
        <v>287</v>
      </c>
      <c r="E90" s="401">
        <f>'Feuil-saisie'!E427</f>
        <v>0</v>
      </c>
      <c r="F90" s="398">
        <f>'Feuil-saisie'!L427</f>
        <v>62</v>
      </c>
      <c r="G90" s="398">
        <f>'Feuil-saisie'!M427</f>
        <v>1</v>
      </c>
      <c r="H90" s="400">
        <f t="shared" si="174"/>
        <v>63</v>
      </c>
      <c r="I90" s="401">
        <f>'Feuil-saisie'!O427</f>
        <v>0</v>
      </c>
      <c r="J90" s="398">
        <f>'Feuil-saisie'!V427</f>
        <v>200</v>
      </c>
      <c r="K90" s="398">
        <f>'Feuil-saisie'!W427</f>
        <v>0</v>
      </c>
      <c r="L90" s="400">
        <f t="shared" si="175"/>
        <v>200</v>
      </c>
      <c r="M90" s="401">
        <f>'Feuil-saisie'!Y427</f>
        <v>0</v>
      </c>
      <c r="N90" s="398">
        <f>'Feuil-saisie'!AF427</f>
        <v>219</v>
      </c>
      <c r="O90" s="398">
        <f>'Feuil-saisie'!AG427</f>
        <v>2</v>
      </c>
      <c r="P90" s="400">
        <f t="shared" si="165"/>
        <v>221</v>
      </c>
      <c r="Q90" s="401">
        <f>'Feuil-saisie'!AI427</f>
        <v>0</v>
      </c>
      <c r="R90" s="398">
        <f>'Feuil-saisie'!AP427</f>
        <v>369</v>
      </c>
      <c r="S90" s="399">
        <f>'Feuil-saisie'!AQ427</f>
        <v>19</v>
      </c>
      <c r="T90" s="400">
        <f t="shared" si="166"/>
        <v>388</v>
      </c>
      <c r="U90" s="401">
        <f>'Feuil-saisie'!AS427</f>
        <v>0</v>
      </c>
      <c r="V90" s="398">
        <f>'Feuil-saisie'!AZ427</f>
        <v>262</v>
      </c>
      <c r="W90" s="399">
        <f>'Feuil-saisie'!BA427</f>
        <v>0</v>
      </c>
      <c r="X90" s="400">
        <f t="shared" si="167"/>
        <v>262</v>
      </c>
      <c r="Y90" s="401">
        <f>'Feuil-saisie'!BC427</f>
        <v>0</v>
      </c>
      <c r="Z90" s="398">
        <f>'Feuil-saisie'!BJ427</f>
        <v>65</v>
      </c>
      <c r="AA90" s="399">
        <f>'Feuil-saisie'!BK427</f>
        <v>0</v>
      </c>
      <c r="AB90" s="400">
        <f t="shared" si="168"/>
        <v>65</v>
      </c>
      <c r="AC90" s="401">
        <f>'Feuil-saisie'!BM427</f>
        <v>0</v>
      </c>
      <c r="AD90" s="398">
        <f>'Feuil-saisie'!BT427</f>
        <v>111</v>
      </c>
      <c r="AE90" s="399">
        <f>'Feuil-saisie'!BU427</f>
        <v>8</v>
      </c>
      <c r="AF90" s="400">
        <f t="shared" si="169"/>
        <v>119</v>
      </c>
      <c r="AG90" s="401">
        <f>'Feuil-saisie'!BW427</f>
        <v>0</v>
      </c>
      <c r="AH90" s="398">
        <f>'Feuil-saisie'!CD427</f>
        <v>0</v>
      </c>
      <c r="AI90" s="399">
        <f>'Feuil-saisie'!CE427</f>
        <v>0</v>
      </c>
      <c r="AJ90" s="400">
        <f t="shared" si="170"/>
        <v>0</v>
      </c>
      <c r="AK90" s="401">
        <f>'Feuil-saisie'!CG427</f>
        <v>0</v>
      </c>
      <c r="AL90" s="398">
        <f>'Feuil-saisie'!CN427</f>
        <v>0</v>
      </c>
      <c r="AM90" s="399">
        <f>'Feuil-saisie'!CO427</f>
        <v>0</v>
      </c>
      <c r="AN90" s="400">
        <f t="shared" si="171"/>
        <v>0</v>
      </c>
      <c r="AO90" s="401">
        <f>'Feuil-saisie'!CQ427</f>
        <v>0</v>
      </c>
      <c r="AP90" s="398">
        <f>'Feuil-saisie'!CX427</f>
        <v>0</v>
      </c>
      <c r="AQ90" s="399">
        <f>'Feuil-saisie'!CY427</f>
        <v>0</v>
      </c>
      <c r="AR90" s="400">
        <f t="shared" si="172"/>
        <v>0</v>
      </c>
      <c r="AS90" s="401">
        <f>'Feuil-saisie'!DA427</f>
        <v>0</v>
      </c>
      <c r="AT90" s="398">
        <f>'Feuil-saisie'!DH427</f>
        <v>0</v>
      </c>
      <c r="AU90" s="399">
        <f>'Feuil-saisie'!DI427</f>
        <v>0</v>
      </c>
      <c r="AV90" s="400">
        <f t="shared" si="173"/>
        <v>0</v>
      </c>
      <c r="AW90" s="401">
        <f>'Feuil-saisie'!DK427</f>
        <v>0</v>
      </c>
      <c r="AX90" s="432">
        <f t="shared" si="164"/>
        <v>1575</v>
      </c>
      <c r="AY90" s="432">
        <f t="shared" si="159"/>
        <v>30</v>
      </c>
      <c r="AZ90" s="432">
        <f t="shared" si="161"/>
        <v>1605</v>
      </c>
      <c r="BA90" s="432">
        <f t="shared" si="160"/>
        <v>0</v>
      </c>
      <c r="BC90" s="395">
        <f t="shared" si="162"/>
        <v>119</v>
      </c>
      <c r="BD90" s="395">
        <f t="shared" si="163"/>
        <v>0</v>
      </c>
    </row>
    <row r="91" spans="1:56" ht="14.4" thickBot="1">
      <c r="A91" s="397" t="s">
        <v>883</v>
      </c>
      <c r="B91" s="398">
        <f>'Feuil-saisie'!B428</f>
        <v>110</v>
      </c>
      <c r="C91" s="399">
        <f>'Feuil-saisie'!C428</f>
        <v>0</v>
      </c>
      <c r="D91" s="400">
        <f>+B91+C91</f>
        <v>110</v>
      </c>
      <c r="E91" s="401">
        <f>'Feuil-saisie'!E428</f>
        <v>0</v>
      </c>
      <c r="F91" s="398">
        <f>'Feuil-saisie'!L428</f>
        <v>116</v>
      </c>
      <c r="G91" s="398">
        <f>'Feuil-saisie'!M428</f>
        <v>0</v>
      </c>
      <c r="H91" s="400">
        <f t="shared" si="174"/>
        <v>116</v>
      </c>
      <c r="I91" s="401">
        <f>'Feuil-saisie'!O428</f>
        <v>0</v>
      </c>
      <c r="J91" s="398">
        <f>'Feuil-saisie'!V428</f>
        <v>103</v>
      </c>
      <c r="K91" s="398">
        <f>'Feuil-saisie'!W428</f>
        <v>0</v>
      </c>
      <c r="L91" s="400">
        <f t="shared" si="175"/>
        <v>103</v>
      </c>
      <c r="M91" s="401">
        <f>'Feuil-saisie'!Y428</f>
        <v>0</v>
      </c>
      <c r="N91" s="398">
        <f>'Feuil-saisie'!AF428</f>
        <v>144</v>
      </c>
      <c r="O91" s="398">
        <f>'Feuil-saisie'!AG428</f>
        <v>0</v>
      </c>
      <c r="P91" s="400">
        <f t="shared" si="165"/>
        <v>144</v>
      </c>
      <c r="Q91" s="401">
        <f>'Feuil-saisie'!AI428</f>
        <v>0</v>
      </c>
      <c r="R91" s="398">
        <f>'Feuil-saisie'!AP428</f>
        <v>147</v>
      </c>
      <c r="S91" s="399">
        <f>'Feuil-saisie'!AQ428</f>
        <v>2</v>
      </c>
      <c r="T91" s="400">
        <f t="shared" si="166"/>
        <v>149</v>
      </c>
      <c r="U91" s="401">
        <f>'Feuil-saisie'!AS428</f>
        <v>0</v>
      </c>
      <c r="V91" s="398">
        <f>'Feuil-saisie'!AZ428</f>
        <v>120</v>
      </c>
      <c r="W91" s="399">
        <f>'Feuil-saisie'!BA428</f>
        <v>5</v>
      </c>
      <c r="X91" s="400">
        <f t="shared" si="167"/>
        <v>125</v>
      </c>
      <c r="Y91" s="401">
        <f>'Feuil-saisie'!BC428</f>
        <v>3</v>
      </c>
      <c r="Z91" s="398">
        <f>'Feuil-saisie'!BJ428</f>
        <v>74</v>
      </c>
      <c r="AA91" s="399">
        <f>'Feuil-saisie'!BK428</f>
        <v>0</v>
      </c>
      <c r="AB91" s="400">
        <f t="shared" si="168"/>
        <v>74</v>
      </c>
      <c r="AC91" s="401">
        <f>'Feuil-saisie'!BM428</f>
        <v>0</v>
      </c>
      <c r="AD91" s="398">
        <f>'Feuil-saisie'!BT428</f>
        <v>70</v>
      </c>
      <c r="AE91" s="399">
        <f>'Feuil-saisie'!BU428</f>
        <v>0</v>
      </c>
      <c r="AF91" s="400">
        <f t="shared" si="169"/>
        <v>70</v>
      </c>
      <c r="AG91" s="401">
        <f>'Feuil-saisie'!BW428</f>
        <v>0</v>
      </c>
      <c r="AH91" s="398">
        <f>'Feuil-saisie'!CD428</f>
        <v>0</v>
      </c>
      <c r="AI91" s="399">
        <f>'Feuil-saisie'!CE428</f>
        <v>0</v>
      </c>
      <c r="AJ91" s="400">
        <f t="shared" si="170"/>
        <v>0</v>
      </c>
      <c r="AK91" s="401">
        <f>'Feuil-saisie'!CG428</f>
        <v>0</v>
      </c>
      <c r="AL91" s="398">
        <f>'Feuil-saisie'!CN428</f>
        <v>0</v>
      </c>
      <c r="AM91" s="399">
        <f>'Feuil-saisie'!CO428</f>
        <v>0</v>
      </c>
      <c r="AN91" s="400">
        <f t="shared" si="171"/>
        <v>0</v>
      </c>
      <c r="AO91" s="401">
        <f>'Feuil-saisie'!CQ428</f>
        <v>0</v>
      </c>
      <c r="AP91" s="398">
        <f>'Feuil-saisie'!CX428</f>
        <v>0</v>
      </c>
      <c r="AQ91" s="399">
        <f>'Feuil-saisie'!CY428</f>
        <v>0</v>
      </c>
      <c r="AR91" s="400">
        <f t="shared" si="172"/>
        <v>0</v>
      </c>
      <c r="AS91" s="401">
        <f>'Feuil-saisie'!DA428</f>
        <v>0</v>
      </c>
      <c r="AT91" s="398">
        <f>'Feuil-saisie'!DH428</f>
        <v>0</v>
      </c>
      <c r="AU91" s="399">
        <f>'Feuil-saisie'!DI428</f>
        <v>0</v>
      </c>
      <c r="AV91" s="400">
        <f t="shared" si="173"/>
        <v>0</v>
      </c>
      <c r="AW91" s="401">
        <f>'Feuil-saisie'!DK428</f>
        <v>0</v>
      </c>
      <c r="AX91" s="432">
        <f t="shared" si="164"/>
        <v>884</v>
      </c>
      <c r="AY91" s="432">
        <f t="shared" si="159"/>
        <v>7</v>
      </c>
      <c r="AZ91" s="432">
        <f t="shared" si="161"/>
        <v>891</v>
      </c>
      <c r="BA91" s="432">
        <f t="shared" si="160"/>
        <v>3</v>
      </c>
      <c r="BC91" s="395">
        <f t="shared" si="162"/>
        <v>70</v>
      </c>
      <c r="BD91" s="395">
        <f t="shared" si="163"/>
        <v>0</v>
      </c>
    </row>
    <row r="92" spans="1:56" ht="14.4" thickBot="1">
      <c r="A92" s="397" t="s">
        <v>884</v>
      </c>
      <c r="B92" s="398">
        <f>'Feuil-saisie'!B429</f>
        <v>163</v>
      </c>
      <c r="C92" s="399">
        <f>'Feuil-saisie'!C429</f>
        <v>53</v>
      </c>
      <c r="D92" s="400">
        <f>+B92+C92</f>
        <v>216</v>
      </c>
      <c r="E92" s="401">
        <f>'Feuil-saisie'!E429</f>
        <v>1</v>
      </c>
      <c r="F92" s="398">
        <f>'Feuil-saisie'!L429</f>
        <v>300</v>
      </c>
      <c r="G92" s="398">
        <f>'Feuil-saisie'!M429</f>
        <v>12</v>
      </c>
      <c r="H92" s="400">
        <f t="shared" si="174"/>
        <v>312</v>
      </c>
      <c r="I92" s="401">
        <f>'Feuil-saisie'!O429</f>
        <v>4</v>
      </c>
      <c r="J92" s="398">
        <f>'Feuil-saisie'!V429</f>
        <v>233</v>
      </c>
      <c r="K92" s="398">
        <f>'Feuil-saisie'!W429</f>
        <v>6</v>
      </c>
      <c r="L92" s="400">
        <f t="shared" si="175"/>
        <v>239</v>
      </c>
      <c r="M92" s="401">
        <f>'Feuil-saisie'!Y429</f>
        <v>1</v>
      </c>
      <c r="N92" s="398">
        <f>'Feuil-saisie'!AF429</f>
        <v>183</v>
      </c>
      <c r="O92" s="398">
        <f>'Feuil-saisie'!AG429</f>
        <v>6</v>
      </c>
      <c r="P92" s="400">
        <f t="shared" si="165"/>
        <v>189</v>
      </c>
      <c r="Q92" s="401">
        <f>'Feuil-saisie'!AI429</f>
        <v>3</v>
      </c>
      <c r="R92" s="398">
        <f>'Feuil-saisie'!AP429</f>
        <v>362</v>
      </c>
      <c r="S92" s="399">
        <f>'Feuil-saisie'!AQ429</f>
        <v>3</v>
      </c>
      <c r="T92" s="400">
        <f t="shared" si="166"/>
        <v>365</v>
      </c>
      <c r="U92" s="401">
        <f>'Feuil-saisie'!AS429</f>
        <v>0</v>
      </c>
      <c r="V92" s="398">
        <f>'Feuil-saisie'!AZ429</f>
        <v>277</v>
      </c>
      <c r="W92" s="399">
        <f>'Feuil-saisie'!BA429</f>
        <v>4</v>
      </c>
      <c r="X92" s="400">
        <f t="shared" si="167"/>
        <v>281</v>
      </c>
      <c r="Y92" s="401">
        <f>'Feuil-saisie'!BC429</f>
        <v>2</v>
      </c>
      <c r="Z92" s="398">
        <f>'Feuil-saisie'!BJ429</f>
        <v>319</v>
      </c>
      <c r="AA92" s="399">
        <f>'Feuil-saisie'!BK429</f>
        <v>0</v>
      </c>
      <c r="AB92" s="400">
        <f t="shared" si="168"/>
        <v>319</v>
      </c>
      <c r="AC92" s="401">
        <f>'Feuil-saisie'!BM429</f>
        <v>0</v>
      </c>
      <c r="AD92" s="398">
        <f>'Feuil-saisie'!BT429</f>
        <v>156</v>
      </c>
      <c r="AE92" s="399">
        <f>'Feuil-saisie'!BU429</f>
        <v>10</v>
      </c>
      <c r="AF92" s="400">
        <f t="shared" si="169"/>
        <v>166</v>
      </c>
      <c r="AG92" s="401">
        <f>'Feuil-saisie'!BW429</f>
        <v>4</v>
      </c>
      <c r="AH92" s="398">
        <f>'Feuil-saisie'!CD429</f>
        <v>0</v>
      </c>
      <c r="AI92" s="399">
        <f>'Feuil-saisie'!CE429</f>
        <v>0</v>
      </c>
      <c r="AJ92" s="400">
        <f t="shared" si="170"/>
        <v>0</v>
      </c>
      <c r="AK92" s="401">
        <f>'Feuil-saisie'!CG429</f>
        <v>0</v>
      </c>
      <c r="AL92" s="398">
        <f>'Feuil-saisie'!CN429</f>
        <v>0</v>
      </c>
      <c r="AM92" s="399">
        <f>'Feuil-saisie'!CO429</f>
        <v>0</v>
      </c>
      <c r="AN92" s="400">
        <f t="shared" si="171"/>
        <v>0</v>
      </c>
      <c r="AO92" s="401">
        <f>'Feuil-saisie'!CQ429</f>
        <v>0</v>
      </c>
      <c r="AP92" s="398">
        <f>'Feuil-saisie'!CX429</f>
        <v>0</v>
      </c>
      <c r="AQ92" s="399">
        <f>'Feuil-saisie'!CY429</f>
        <v>0</v>
      </c>
      <c r="AR92" s="400">
        <f t="shared" si="172"/>
        <v>0</v>
      </c>
      <c r="AS92" s="401">
        <f>'Feuil-saisie'!DA429</f>
        <v>0</v>
      </c>
      <c r="AT92" s="398">
        <f>'Feuil-saisie'!DH429</f>
        <v>0</v>
      </c>
      <c r="AU92" s="399">
        <f>'Feuil-saisie'!DI429</f>
        <v>0</v>
      </c>
      <c r="AV92" s="400">
        <f t="shared" si="173"/>
        <v>0</v>
      </c>
      <c r="AW92" s="401">
        <f>'Feuil-saisie'!DK429</f>
        <v>0</v>
      </c>
      <c r="AX92" s="432">
        <f t="shared" si="164"/>
        <v>1993</v>
      </c>
      <c r="AY92" s="432">
        <f t="shared" si="159"/>
        <v>94</v>
      </c>
      <c r="AZ92" s="432">
        <f t="shared" si="161"/>
        <v>2087</v>
      </c>
      <c r="BA92" s="432">
        <f t="shared" si="160"/>
        <v>15</v>
      </c>
      <c r="BC92" s="395">
        <f t="shared" si="162"/>
        <v>166</v>
      </c>
      <c r="BD92" s="395">
        <f t="shared" si="163"/>
        <v>4</v>
      </c>
    </row>
    <row r="93" spans="1:56" ht="14.4" thickBot="1">
      <c r="A93" s="397" t="s">
        <v>885</v>
      </c>
      <c r="B93" s="398">
        <f>'Feuil-saisie'!B430</f>
        <v>146</v>
      </c>
      <c r="C93" s="399">
        <f>'Feuil-saisie'!C430</f>
        <v>3</v>
      </c>
      <c r="D93" s="400">
        <f>+B93+C93</f>
        <v>149</v>
      </c>
      <c r="E93" s="401">
        <f>'Feuil-saisie'!E430</f>
        <v>0</v>
      </c>
      <c r="F93" s="398">
        <f>'Feuil-saisie'!L430</f>
        <v>375</v>
      </c>
      <c r="G93" s="398">
        <f>'Feuil-saisie'!M430</f>
        <v>3</v>
      </c>
      <c r="H93" s="400">
        <f t="shared" si="174"/>
        <v>378</v>
      </c>
      <c r="I93" s="401">
        <f>'Feuil-saisie'!O430</f>
        <v>0</v>
      </c>
      <c r="J93" s="398">
        <f>'Feuil-saisie'!V430</f>
        <v>257</v>
      </c>
      <c r="K93" s="398">
        <f>'Feuil-saisie'!W430</f>
        <v>1</v>
      </c>
      <c r="L93" s="400">
        <f t="shared" si="175"/>
        <v>258</v>
      </c>
      <c r="M93" s="401">
        <f>'Feuil-saisie'!Y430</f>
        <v>0</v>
      </c>
      <c r="N93" s="398">
        <f>'Feuil-saisie'!AF430</f>
        <v>79</v>
      </c>
      <c r="O93" s="398">
        <f>'Feuil-saisie'!AG430</f>
        <v>3</v>
      </c>
      <c r="P93" s="400">
        <f t="shared" si="165"/>
        <v>82</v>
      </c>
      <c r="Q93" s="401">
        <f>'Feuil-saisie'!AI430</f>
        <v>0</v>
      </c>
      <c r="R93" s="398">
        <f>'Feuil-saisie'!AP430</f>
        <v>90</v>
      </c>
      <c r="S93" s="399">
        <f>'Feuil-saisie'!AQ430</f>
        <v>2</v>
      </c>
      <c r="T93" s="400">
        <f t="shared" si="166"/>
        <v>92</v>
      </c>
      <c r="U93" s="401">
        <f>'Feuil-saisie'!AS430</f>
        <v>1</v>
      </c>
      <c r="V93" s="398">
        <f>'Feuil-saisie'!AZ430</f>
        <v>135</v>
      </c>
      <c r="W93" s="399">
        <f>'Feuil-saisie'!BA430</f>
        <v>5</v>
      </c>
      <c r="X93" s="400">
        <f t="shared" si="167"/>
        <v>140</v>
      </c>
      <c r="Y93" s="401">
        <f>'Feuil-saisie'!BC430</f>
        <v>0</v>
      </c>
      <c r="Z93" s="398">
        <f>'Feuil-saisie'!BJ430</f>
        <v>27</v>
      </c>
      <c r="AA93" s="399">
        <f>'Feuil-saisie'!BK430</f>
        <v>4</v>
      </c>
      <c r="AB93" s="400">
        <f t="shared" si="168"/>
        <v>31</v>
      </c>
      <c r="AC93" s="401">
        <f>'Feuil-saisie'!BM430</f>
        <v>1</v>
      </c>
      <c r="AD93" s="398">
        <f>'Feuil-saisie'!BT430</f>
        <v>33</v>
      </c>
      <c r="AE93" s="399">
        <f>'Feuil-saisie'!BU430</f>
        <v>0</v>
      </c>
      <c r="AF93" s="400">
        <f t="shared" si="169"/>
        <v>33</v>
      </c>
      <c r="AG93" s="401">
        <f>'Feuil-saisie'!BW430</f>
        <v>1</v>
      </c>
      <c r="AH93" s="398">
        <f>'Feuil-saisie'!CD430</f>
        <v>0</v>
      </c>
      <c r="AI93" s="399">
        <f>'Feuil-saisie'!CE430</f>
        <v>0</v>
      </c>
      <c r="AJ93" s="400">
        <f t="shared" si="170"/>
        <v>0</v>
      </c>
      <c r="AK93" s="401">
        <f>'Feuil-saisie'!CG430</f>
        <v>0</v>
      </c>
      <c r="AL93" s="398">
        <f>'Feuil-saisie'!CN430</f>
        <v>0</v>
      </c>
      <c r="AM93" s="399">
        <f>'Feuil-saisie'!CO430</f>
        <v>0</v>
      </c>
      <c r="AN93" s="400">
        <f t="shared" si="171"/>
        <v>0</v>
      </c>
      <c r="AO93" s="401">
        <f>'Feuil-saisie'!CQ430</f>
        <v>0</v>
      </c>
      <c r="AP93" s="398">
        <f>'Feuil-saisie'!CX430</f>
        <v>0</v>
      </c>
      <c r="AQ93" s="399">
        <f>'Feuil-saisie'!CY430</f>
        <v>0</v>
      </c>
      <c r="AR93" s="400">
        <f t="shared" si="172"/>
        <v>0</v>
      </c>
      <c r="AS93" s="401">
        <f>'Feuil-saisie'!DA430</f>
        <v>0</v>
      </c>
      <c r="AT93" s="398">
        <f>'Feuil-saisie'!DH430</f>
        <v>0</v>
      </c>
      <c r="AU93" s="399">
        <f>'Feuil-saisie'!DI430</f>
        <v>0</v>
      </c>
      <c r="AV93" s="400">
        <f t="shared" si="173"/>
        <v>0</v>
      </c>
      <c r="AW93" s="401">
        <f>'Feuil-saisie'!DK430</f>
        <v>0</v>
      </c>
      <c r="AX93" s="432">
        <f t="shared" si="164"/>
        <v>1142</v>
      </c>
      <c r="AY93" s="432">
        <f t="shared" si="159"/>
        <v>21</v>
      </c>
      <c r="AZ93" s="432">
        <f t="shared" si="161"/>
        <v>1163</v>
      </c>
      <c r="BA93" s="432">
        <f t="shared" si="160"/>
        <v>3</v>
      </c>
      <c r="BC93" s="395">
        <f t="shared" si="162"/>
        <v>33</v>
      </c>
      <c r="BD93" s="395">
        <f t="shared" si="163"/>
        <v>1</v>
      </c>
    </row>
    <row r="94" spans="1:56" ht="14.4" thickBot="1">
      <c r="A94" s="433" t="s">
        <v>16</v>
      </c>
      <c r="B94" s="417">
        <f t="shared" ref="B94:AG94" si="176">SUM(B84:B93)</f>
        <v>1977</v>
      </c>
      <c r="C94" s="419">
        <f t="shared" si="176"/>
        <v>210</v>
      </c>
      <c r="D94" s="419">
        <f t="shared" si="176"/>
        <v>2187</v>
      </c>
      <c r="E94" s="420">
        <f t="shared" si="176"/>
        <v>3</v>
      </c>
      <c r="F94" s="417">
        <f t="shared" si="176"/>
        <v>1814</v>
      </c>
      <c r="G94" s="419">
        <f t="shared" si="176"/>
        <v>50</v>
      </c>
      <c r="H94" s="419">
        <f t="shared" si="176"/>
        <v>1864</v>
      </c>
      <c r="I94" s="420">
        <f t="shared" si="176"/>
        <v>6</v>
      </c>
      <c r="J94" s="417">
        <f t="shared" si="176"/>
        <v>2684</v>
      </c>
      <c r="K94" s="419">
        <f t="shared" si="176"/>
        <v>36</v>
      </c>
      <c r="L94" s="419">
        <f t="shared" si="176"/>
        <v>2720</v>
      </c>
      <c r="M94" s="420">
        <f t="shared" si="176"/>
        <v>3</v>
      </c>
      <c r="N94" s="417">
        <f t="shared" si="176"/>
        <v>2663</v>
      </c>
      <c r="O94" s="419">
        <f t="shared" si="176"/>
        <v>47</v>
      </c>
      <c r="P94" s="419">
        <f t="shared" si="176"/>
        <v>2710</v>
      </c>
      <c r="Q94" s="420">
        <f t="shared" si="176"/>
        <v>6</v>
      </c>
      <c r="R94" s="417">
        <f t="shared" si="176"/>
        <v>3386</v>
      </c>
      <c r="S94" s="419">
        <f t="shared" si="176"/>
        <v>180</v>
      </c>
      <c r="T94" s="419">
        <f t="shared" si="176"/>
        <v>3566</v>
      </c>
      <c r="U94" s="420">
        <f t="shared" si="176"/>
        <v>18</v>
      </c>
      <c r="V94" s="417">
        <f t="shared" si="176"/>
        <v>2713</v>
      </c>
      <c r="W94" s="419">
        <f t="shared" si="176"/>
        <v>44</v>
      </c>
      <c r="X94" s="419">
        <f t="shared" si="176"/>
        <v>2757</v>
      </c>
      <c r="Y94" s="420">
        <f t="shared" si="176"/>
        <v>5</v>
      </c>
      <c r="Z94" s="417">
        <f t="shared" si="176"/>
        <v>1333</v>
      </c>
      <c r="AA94" s="419">
        <f t="shared" si="176"/>
        <v>23</v>
      </c>
      <c r="AB94" s="419">
        <f t="shared" si="176"/>
        <v>1356</v>
      </c>
      <c r="AC94" s="420">
        <f t="shared" si="176"/>
        <v>5</v>
      </c>
      <c r="AD94" s="417">
        <f t="shared" si="176"/>
        <v>1577</v>
      </c>
      <c r="AE94" s="419">
        <f t="shared" si="176"/>
        <v>37</v>
      </c>
      <c r="AF94" s="419">
        <f t="shared" si="176"/>
        <v>1614</v>
      </c>
      <c r="AG94" s="420">
        <f t="shared" si="176"/>
        <v>9</v>
      </c>
      <c r="AH94" s="417">
        <f t="shared" ref="AH94:BA94" si="177">SUM(AH84:AH93)</f>
        <v>0</v>
      </c>
      <c r="AI94" s="419">
        <f t="shared" si="177"/>
        <v>0</v>
      </c>
      <c r="AJ94" s="419">
        <f t="shared" si="177"/>
        <v>0</v>
      </c>
      <c r="AK94" s="420">
        <f>SUM(AK84:AK93)</f>
        <v>0</v>
      </c>
      <c r="AL94" s="417">
        <f t="shared" si="177"/>
        <v>0</v>
      </c>
      <c r="AM94" s="419">
        <f t="shared" si="177"/>
        <v>0</v>
      </c>
      <c r="AN94" s="419">
        <f t="shared" si="177"/>
        <v>0</v>
      </c>
      <c r="AO94" s="420">
        <f t="shared" si="177"/>
        <v>0</v>
      </c>
      <c r="AP94" s="417">
        <f t="shared" si="177"/>
        <v>0</v>
      </c>
      <c r="AQ94" s="419">
        <f t="shared" si="177"/>
        <v>0</v>
      </c>
      <c r="AR94" s="419">
        <f t="shared" si="177"/>
        <v>0</v>
      </c>
      <c r="AS94" s="420">
        <f t="shared" si="177"/>
        <v>0</v>
      </c>
      <c r="AT94" s="417">
        <f t="shared" si="177"/>
        <v>0</v>
      </c>
      <c r="AU94" s="419">
        <f t="shared" si="177"/>
        <v>0</v>
      </c>
      <c r="AV94" s="419">
        <f t="shared" si="177"/>
        <v>0</v>
      </c>
      <c r="AW94" s="420">
        <f t="shared" si="177"/>
        <v>0</v>
      </c>
      <c r="AX94" s="434">
        <f t="shared" si="177"/>
        <v>18147</v>
      </c>
      <c r="AY94" s="434">
        <f t="shared" si="177"/>
        <v>627</v>
      </c>
      <c r="AZ94" s="434">
        <f t="shared" si="177"/>
        <v>18774</v>
      </c>
      <c r="BA94" s="434">
        <f t="shared" si="177"/>
        <v>55</v>
      </c>
      <c r="BC94" s="395">
        <f t="shared" si="162"/>
        <v>1614</v>
      </c>
      <c r="BD94" s="395">
        <f t="shared" si="163"/>
        <v>9</v>
      </c>
    </row>
    <row r="95" spans="1:56">
      <c r="AZ95" s="395"/>
      <c r="BA95" s="117">
        <f>BA94*4</f>
        <v>220</v>
      </c>
    </row>
    <row r="96" spans="1:56" ht="18">
      <c r="A96" s="393" t="s">
        <v>862</v>
      </c>
      <c r="AR96" s="1105" t="e">
        <f>#REF!-AR95</f>
        <v>#REF!</v>
      </c>
      <c r="AT96" s="1277"/>
      <c r="AU96" s="1277"/>
      <c r="AV96" s="1277"/>
      <c r="AW96" s="1277"/>
    </row>
    <row r="97" spans="1:56" ht="18.600000000000001" thickBot="1">
      <c r="A97" s="394">
        <f>A66</f>
        <v>2023</v>
      </c>
      <c r="U97" s="395">
        <f>U100+Q100+M100+I100+E100</f>
        <v>28</v>
      </c>
    </row>
    <row r="98" spans="1:56">
      <c r="A98" s="2815" t="s">
        <v>308</v>
      </c>
      <c r="B98" s="2827" t="s">
        <v>71</v>
      </c>
      <c r="C98" s="2828"/>
      <c r="D98" s="2828"/>
      <c r="E98" s="3091"/>
      <c r="F98" s="2829" t="s">
        <v>72</v>
      </c>
      <c r="G98" s="2830"/>
      <c r="H98" s="2830"/>
      <c r="I98" s="3095"/>
      <c r="J98" s="2817" t="s">
        <v>73</v>
      </c>
      <c r="K98" s="2818"/>
      <c r="L98" s="2818"/>
      <c r="M98" s="3094"/>
      <c r="N98" s="2819" t="s">
        <v>74</v>
      </c>
      <c r="O98" s="2820"/>
      <c r="P98" s="2820"/>
      <c r="Q98" s="3090"/>
      <c r="R98" s="2821" t="s">
        <v>75</v>
      </c>
      <c r="S98" s="2822"/>
      <c r="T98" s="2822"/>
      <c r="U98" s="3093"/>
      <c r="V98" s="2823" t="s">
        <v>76</v>
      </c>
      <c r="W98" s="2824"/>
      <c r="X98" s="2824"/>
      <c r="Y98" s="3089"/>
      <c r="Z98" s="2827" t="s">
        <v>77</v>
      </c>
      <c r="AA98" s="2828"/>
      <c r="AB98" s="2828"/>
      <c r="AC98" s="3091"/>
      <c r="AD98" s="2829" t="s">
        <v>78</v>
      </c>
      <c r="AE98" s="2830"/>
      <c r="AF98" s="2830"/>
      <c r="AG98" s="3095"/>
      <c r="AH98" s="2817" t="s">
        <v>79</v>
      </c>
      <c r="AI98" s="2818"/>
      <c r="AJ98" s="2818"/>
      <c r="AK98" s="3094"/>
      <c r="AL98" s="2819" t="s">
        <v>80</v>
      </c>
      <c r="AM98" s="2820"/>
      <c r="AN98" s="2820"/>
      <c r="AO98" s="3090"/>
      <c r="AP98" s="2821" t="s">
        <v>81</v>
      </c>
      <c r="AQ98" s="2822"/>
      <c r="AR98" s="2822"/>
      <c r="AS98" s="3093"/>
      <c r="AT98" s="2823" t="s">
        <v>82</v>
      </c>
      <c r="AU98" s="2824"/>
      <c r="AV98" s="2824"/>
      <c r="AW98" s="3089"/>
      <c r="AX98" s="2825" t="s">
        <v>83</v>
      </c>
      <c r="AY98" s="2826"/>
      <c r="AZ98" s="2826"/>
      <c r="BA98" s="3088"/>
    </row>
    <row r="99" spans="1:56" ht="14.4" thickBot="1">
      <c r="A99" s="2816"/>
      <c r="B99" s="402" t="s">
        <v>17</v>
      </c>
      <c r="C99" s="403" t="s">
        <v>18</v>
      </c>
      <c r="D99" s="403" t="s">
        <v>52</v>
      </c>
      <c r="E99" s="404" t="s">
        <v>19</v>
      </c>
      <c r="F99" s="402" t="s">
        <v>17</v>
      </c>
      <c r="G99" s="403" t="s">
        <v>18</v>
      </c>
      <c r="H99" s="403" t="s">
        <v>52</v>
      </c>
      <c r="I99" s="404" t="s">
        <v>19</v>
      </c>
      <c r="J99" s="402" t="s">
        <v>17</v>
      </c>
      <c r="K99" s="403" t="s">
        <v>18</v>
      </c>
      <c r="L99" s="403" t="s">
        <v>52</v>
      </c>
      <c r="M99" s="404" t="s">
        <v>19</v>
      </c>
      <c r="N99" s="402" t="s">
        <v>17</v>
      </c>
      <c r="O99" s="403" t="s">
        <v>18</v>
      </c>
      <c r="P99" s="403" t="s">
        <v>52</v>
      </c>
      <c r="Q99" s="404" t="s">
        <v>19</v>
      </c>
      <c r="R99" s="402" t="s">
        <v>17</v>
      </c>
      <c r="S99" s="403" t="s">
        <v>18</v>
      </c>
      <c r="T99" s="403" t="s">
        <v>52</v>
      </c>
      <c r="U99" s="404" t="s">
        <v>19</v>
      </c>
      <c r="V99" s="402" t="s">
        <v>17</v>
      </c>
      <c r="W99" s="403" t="s">
        <v>18</v>
      </c>
      <c r="X99" s="403" t="s">
        <v>52</v>
      </c>
      <c r="Y99" s="404" t="s">
        <v>19</v>
      </c>
      <c r="Z99" s="402" t="s">
        <v>17</v>
      </c>
      <c r="AA99" s="403" t="s">
        <v>18</v>
      </c>
      <c r="AB99" s="403" t="s">
        <v>52</v>
      </c>
      <c r="AC99" s="404" t="s">
        <v>19</v>
      </c>
      <c r="AD99" s="402" t="s">
        <v>17</v>
      </c>
      <c r="AE99" s="403" t="s">
        <v>18</v>
      </c>
      <c r="AF99" s="403" t="s">
        <v>52</v>
      </c>
      <c r="AG99" s="404" t="s">
        <v>19</v>
      </c>
      <c r="AH99" s="402" t="s">
        <v>17</v>
      </c>
      <c r="AI99" s="403" t="s">
        <v>18</v>
      </c>
      <c r="AJ99" s="403" t="s">
        <v>52</v>
      </c>
      <c r="AK99" s="404" t="s">
        <v>19</v>
      </c>
      <c r="AL99" s="402" t="s">
        <v>17</v>
      </c>
      <c r="AM99" s="403" t="s">
        <v>18</v>
      </c>
      <c r="AN99" s="403" t="s">
        <v>52</v>
      </c>
      <c r="AO99" s="404" t="s">
        <v>19</v>
      </c>
      <c r="AP99" s="1107" t="s">
        <v>17</v>
      </c>
      <c r="AQ99" s="403" t="s">
        <v>18</v>
      </c>
      <c r="AR99" s="403" t="s">
        <v>52</v>
      </c>
      <c r="AS99" s="404" t="s">
        <v>19</v>
      </c>
      <c r="AT99" s="402" t="s">
        <v>17</v>
      </c>
      <c r="AU99" s="403" t="s">
        <v>18</v>
      </c>
      <c r="AV99" s="403" t="s">
        <v>52</v>
      </c>
      <c r="AW99" s="404" t="s">
        <v>19</v>
      </c>
      <c r="AX99" s="403" t="s">
        <v>17</v>
      </c>
      <c r="AY99" s="403" t="s">
        <v>18</v>
      </c>
      <c r="AZ99" s="403" t="s">
        <v>52</v>
      </c>
      <c r="BA99" s="431" t="s">
        <v>19</v>
      </c>
      <c r="BC99" s="117" t="s">
        <v>265</v>
      </c>
      <c r="BD99" s="117" t="s">
        <v>266</v>
      </c>
    </row>
    <row r="100" spans="1:56" ht="14.4" thickBot="1">
      <c r="A100" s="397" t="s">
        <v>6</v>
      </c>
      <c r="B100" s="398">
        <f t="shared" ref="B100:C109" si="178">B69+B37</f>
        <v>618</v>
      </c>
      <c r="C100" s="399">
        <f t="shared" si="178"/>
        <v>9</v>
      </c>
      <c r="D100" s="400">
        <f>+B100+C100</f>
        <v>627</v>
      </c>
      <c r="E100" s="401">
        <f t="shared" ref="E100:G109" si="179">E69+E37</f>
        <v>0</v>
      </c>
      <c r="F100" s="398">
        <f t="shared" si="179"/>
        <v>2635</v>
      </c>
      <c r="G100" s="398">
        <f t="shared" si="179"/>
        <v>27</v>
      </c>
      <c r="H100" s="400">
        <f>+F100+G100</f>
        <v>2662</v>
      </c>
      <c r="I100" s="401">
        <f t="shared" ref="I100:K109" si="180">I69+I37</f>
        <v>8</v>
      </c>
      <c r="J100" s="398">
        <f t="shared" si="180"/>
        <v>2043</v>
      </c>
      <c r="K100" s="398">
        <f t="shared" si="180"/>
        <v>26</v>
      </c>
      <c r="L100" s="400">
        <f>+J100+K100</f>
        <v>2069</v>
      </c>
      <c r="M100" s="401">
        <f t="shared" ref="M100:O109" si="181">M69+M37</f>
        <v>6</v>
      </c>
      <c r="N100" s="398">
        <f t="shared" si="181"/>
        <v>859</v>
      </c>
      <c r="O100" s="398">
        <f t="shared" si="181"/>
        <v>20</v>
      </c>
      <c r="P100" s="400">
        <f>+N100+O100</f>
        <v>879</v>
      </c>
      <c r="Q100" s="401">
        <f t="shared" ref="Q100:S109" si="182">Q69+Q37</f>
        <v>8</v>
      </c>
      <c r="R100" s="398">
        <f t="shared" si="182"/>
        <v>2408</v>
      </c>
      <c r="S100" s="399">
        <f t="shared" si="182"/>
        <v>31</v>
      </c>
      <c r="T100" s="400">
        <f>+R100+S100</f>
        <v>2439</v>
      </c>
      <c r="U100" s="401">
        <f t="shared" ref="U100:W109" si="183">U69+U37</f>
        <v>6</v>
      </c>
      <c r="V100" s="398">
        <f t="shared" si="183"/>
        <v>3373</v>
      </c>
      <c r="W100" s="399">
        <f t="shared" si="183"/>
        <v>16</v>
      </c>
      <c r="X100" s="400">
        <f>+V100+W100</f>
        <v>3389</v>
      </c>
      <c r="Y100" s="401">
        <f t="shared" ref="Y100:AA109" si="184">Y69+Y37</f>
        <v>7</v>
      </c>
      <c r="Z100" s="398">
        <f t="shared" si="184"/>
        <v>2074</v>
      </c>
      <c r="AA100" s="399">
        <f t="shared" si="184"/>
        <v>23</v>
      </c>
      <c r="AB100" s="400">
        <f>+Z100+AA100</f>
        <v>2097</v>
      </c>
      <c r="AC100" s="401">
        <f t="shared" ref="AC100:AE109" si="185">AC69+AC37</f>
        <v>8</v>
      </c>
      <c r="AD100" s="398">
        <f t="shared" si="185"/>
        <v>1016</v>
      </c>
      <c r="AE100" s="399">
        <f t="shared" si="185"/>
        <v>8</v>
      </c>
      <c r="AF100" s="400">
        <f>+AD100+AE100</f>
        <v>1024</v>
      </c>
      <c r="AG100" s="401">
        <f t="shared" ref="AG100:AI109" si="186">AG69+AG37</f>
        <v>8</v>
      </c>
      <c r="AH100" s="398">
        <f t="shared" si="186"/>
        <v>0</v>
      </c>
      <c r="AI100" s="399">
        <f t="shared" si="186"/>
        <v>0</v>
      </c>
      <c r="AJ100" s="400">
        <f>+AH100+AI100</f>
        <v>0</v>
      </c>
      <c r="AK100" s="401">
        <f t="shared" ref="AK100:AM109" si="187">AK69+AK37</f>
        <v>0</v>
      </c>
      <c r="AL100" s="398">
        <f t="shared" si="187"/>
        <v>0</v>
      </c>
      <c r="AM100" s="399">
        <f t="shared" si="187"/>
        <v>0</v>
      </c>
      <c r="AN100" s="400">
        <f>+AL100+AM100</f>
        <v>0</v>
      </c>
      <c r="AO100" s="401">
        <f t="shared" ref="AO100:AQ109" si="188">AO69+AO37</f>
        <v>0</v>
      </c>
      <c r="AP100" s="398">
        <f t="shared" si="188"/>
        <v>0</v>
      </c>
      <c r="AQ100" s="399">
        <f t="shared" si="188"/>
        <v>0</v>
      </c>
      <c r="AR100" s="400">
        <f>+AP100+AQ100</f>
        <v>0</v>
      </c>
      <c r="AS100" s="401">
        <f t="shared" ref="AS100:AU109" si="189">AS69+AS37</f>
        <v>0</v>
      </c>
      <c r="AT100" s="398">
        <f t="shared" si="189"/>
        <v>0</v>
      </c>
      <c r="AU100" s="399">
        <f t="shared" si="189"/>
        <v>0</v>
      </c>
      <c r="AV100" s="400">
        <f>+AT100+AU100</f>
        <v>0</v>
      </c>
      <c r="AW100" s="401">
        <f t="shared" ref="AW100:AW109" si="190">AW69+AW37</f>
        <v>0</v>
      </c>
      <c r="AX100" s="432">
        <f t="shared" ref="AX100:AY104" si="191">B100+F100+J100+N100+R100+V100+Z100+AD100+AH100+AL100+AP100+AT100</f>
        <v>15026</v>
      </c>
      <c r="AY100" s="432">
        <f t="shared" si="191"/>
        <v>160</v>
      </c>
      <c r="AZ100" s="432">
        <f>AX100+AY100</f>
        <v>15186</v>
      </c>
      <c r="BA100" s="432">
        <f t="shared" ref="BA100:BA109" si="192">E100+I100+M100+Q100+U100+Y100+AC100+AG100+AK100+AO100+AS100+AW100</f>
        <v>51</v>
      </c>
      <c r="BC100" s="395">
        <f>AF100</f>
        <v>1024</v>
      </c>
      <c r="BD100" s="395">
        <f>AG100</f>
        <v>8</v>
      </c>
    </row>
    <row r="101" spans="1:56" ht="14.4" thickBot="1">
      <c r="A101" s="397" t="s">
        <v>7</v>
      </c>
      <c r="B101" s="398">
        <f t="shared" si="178"/>
        <v>415</v>
      </c>
      <c r="C101" s="399">
        <f t="shared" si="178"/>
        <v>10</v>
      </c>
      <c r="D101" s="400">
        <f>+B101+C101</f>
        <v>425</v>
      </c>
      <c r="E101" s="401">
        <f t="shared" si="179"/>
        <v>0</v>
      </c>
      <c r="F101" s="398">
        <f t="shared" si="179"/>
        <v>1387</v>
      </c>
      <c r="G101" s="398">
        <f t="shared" si="179"/>
        <v>17</v>
      </c>
      <c r="H101" s="400">
        <f>+F101+G101</f>
        <v>1404</v>
      </c>
      <c r="I101" s="401">
        <f t="shared" si="180"/>
        <v>9</v>
      </c>
      <c r="J101" s="398">
        <f t="shared" si="180"/>
        <v>1743</v>
      </c>
      <c r="K101" s="398">
        <f t="shared" si="180"/>
        <v>51</v>
      </c>
      <c r="L101" s="400">
        <f>+J101+K101</f>
        <v>1794</v>
      </c>
      <c r="M101" s="401">
        <f t="shared" si="181"/>
        <v>9</v>
      </c>
      <c r="N101" s="398">
        <f t="shared" si="181"/>
        <v>957</v>
      </c>
      <c r="O101" s="398">
        <f t="shared" si="181"/>
        <v>92</v>
      </c>
      <c r="P101" s="400">
        <f>+N101+O101</f>
        <v>1049</v>
      </c>
      <c r="Q101" s="401">
        <f t="shared" si="182"/>
        <v>3</v>
      </c>
      <c r="R101" s="398">
        <f t="shared" si="182"/>
        <v>1187</v>
      </c>
      <c r="S101" s="399">
        <f t="shared" si="182"/>
        <v>39</v>
      </c>
      <c r="T101" s="400">
        <f>+R101+S101</f>
        <v>1226</v>
      </c>
      <c r="U101" s="401">
        <f t="shared" si="183"/>
        <v>0</v>
      </c>
      <c r="V101" s="398">
        <f t="shared" si="183"/>
        <v>946</v>
      </c>
      <c r="W101" s="399">
        <f t="shared" si="183"/>
        <v>22</v>
      </c>
      <c r="X101" s="400">
        <f>+V101+W101</f>
        <v>968</v>
      </c>
      <c r="Y101" s="401">
        <f t="shared" si="184"/>
        <v>0</v>
      </c>
      <c r="Z101" s="398">
        <f t="shared" si="184"/>
        <v>1012</v>
      </c>
      <c r="AA101" s="399">
        <f t="shared" si="184"/>
        <v>14</v>
      </c>
      <c r="AB101" s="400">
        <f>+Z101+AA101</f>
        <v>1026</v>
      </c>
      <c r="AC101" s="401">
        <f t="shared" si="185"/>
        <v>11</v>
      </c>
      <c r="AD101" s="398">
        <f t="shared" si="185"/>
        <v>1392</v>
      </c>
      <c r="AE101" s="399">
        <f t="shared" si="185"/>
        <v>34</v>
      </c>
      <c r="AF101" s="400">
        <f>+AD101+AE101</f>
        <v>1426</v>
      </c>
      <c r="AG101" s="401">
        <f t="shared" si="186"/>
        <v>1</v>
      </c>
      <c r="AH101" s="398">
        <f t="shared" si="186"/>
        <v>0</v>
      </c>
      <c r="AI101" s="399">
        <f t="shared" si="186"/>
        <v>0</v>
      </c>
      <c r="AJ101" s="400">
        <f>+AH101+AI101</f>
        <v>0</v>
      </c>
      <c r="AK101" s="401">
        <f t="shared" si="187"/>
        <v>0</v>
      </c>
      <c r="AL101" s="398">
        <f t="shared" si="187"/>
        <v>0</v>
      </c>
      <c r="AM101" s="399">
        <f t="shared" si="187"/>
        <v>0</v>
      </c>
      <c r="AN101" s="400">
        <f>+AL101+AM101</f>
        <v>0</v>
      </c>
      <c r="AO101" s="401">
        <f t="shared" si="188"/>
        <v>0</v>
      </c>
      <c r="AP101" s="398">
        <f t="shared" si="188"/>
        <v>0</v>
      </c>
      <c r="AQ101" s="399">
        <f t="shared" si="188"/>
        <v>0</v>
      </c>
      <c r="AR101" s="400">
        <f>+AP101+AQ101</f>
        <v>0</v>
      </c>
      <c r="AS101" s="401">
        <f t="shared" si="189"/>
        <v>0</v>
      </c>
      <c r="AT101" s="398">
        <f t="shared" si="189"/>
        <v>0</v>
      </c>
      <c r="AU101" s="399">
        <f t="shared" si="189"/>
        <v>0</v>
      </c>
      <c r="AV101" s="400">
        <f>+AT101+AU101</f>
        <v>0</v>
      </c>
      <c r="AW101" s="401">
        <f t="shared" si="190"/>
        <v>0</v>
      </c>
      <c r="AX101" s="432">
        <f t="shared" si="191"/>
        <v>9039</v>
      </c>
      <c r="AY101" s="432">
        <f t="shared" si="191"/>
        <v>279</v>
      </c>
      <c r="AZ101" s="432">
        <f t="shared" ref="AZ101:AZ109" si="193">AX101+AY101</f>
        <v>9318</v>
      </c>
      <c r="BA101" s="432">
        <f t="shared" si="192"/>
        <v>33</v>
      </c>
      <c r="BC101" s="395">
        <f t="shared" ref="BC101:BC110" si="194">AF101</f>
        <v>1426</v>
      </c>
      <c r="BD101" s="395">
        <f t="shared" ref="BD101:BD110" si="195">AG101</f>
        <v>1</v>
      </c>
    </row>
    <row r="102" spans="1:56" ht="14.4" thickBot="1">
      <c r="A102" s="397" t="s">
        <v>8</v>
      </c>
      <c r="B102" s="398">
        <f t="shared" si="178"/>
        <v>1430</v>
      </c>
      <c r="C102" s="399">
        <f t="shared" si="178"/>
        <v>43</v>
      </c>
      <c r="D102" s="400">
        <f>+B102+C102</f>
        <v>1473</v>
      </c>
      <c r="E102" s="401">
        <f t="shared" si="179"/>
        <v>4</v>
      </c>
      <c r="F102" s="398">
        <f t="shared" si="179"/>
        <v>985</v>
      </c>
      <c r="G102" s="398">
        <f t="shared" si="179"/>
        <v>37</v>
      </c>
      <c r="H102" s="400">
        <f>+F102+G102</f>
        <v>1022</v>
      </c>
      <c r="I102" s="401">
        <f t="shared" si="180"/>
        <v>4</v>
      </c>
      <c r="J102" s="398">
        <f t="shared" si="180"/>
        <v>1005</v>
      </c>
      <c r="K102" s="398">
        <f t="shared" si="180"/>
        <v>30</v>
      </c>
      <c r="L102" s="400">
        <f>+J102+K102</f>
        <v>1035</v>
      </c>
      <c r="M102" s="401">
        <f t="shared" si="181"/>
        <v>3</v>
      </c>
      <c r="N102" s="398">
        <f t="shared" si="181"/>
        <v>862</v>
      </c>
      <c r="O102" s="398">
        <f t="shared" si="181"/>
        <v>30</v>
      </c>
      <c r="P102" s="400">
        <f>+N102+O102</f>
        <v>892</v>
      </c>
      <c r="Q102" s="401">
        <f t="shared" si="182"/>
        <v>2</v>
      </c>
      <c r="R102" s="398">
        <f t="shared" si="182"/>
        <v>753</v>
      </c>
      <c r="S102" s="399">
        <f t="shared" si="182"/>
        <v>3</v>
      </c>
      <c r="T102" s="400">
        <f>+R102+S102</f>
        <v>756</v>
      </c>
      <c r="U102" s="401">
        <f t="shared" si="183"/>
        <v>2</v>
      </c>
      <c r="V102" s="398">
        <f t="shared" si="183"/>
        <v>849</v>
      </c>
      <c r="W102" s="399">
        <f t="shared" si="183"/>
        <v>53</v>
      </c>
      <c r="X102" s="400">
        <f>+V102+W102</f>
        <v>902</v>
      </c>
      <c r="Y102" s="401">
        <f t="shared" si="184"/>
        <v>3</v>
      </c>
      <c r="Z102" s="398">
        <f t="shared" si="184"/>
        <v>852</v>
      </c>
      <c r="AA102" s="399">
        <f t="shared" si="184"/>
        <v>38</v>
      </c>
      <c r="AB102" s="400">
        <f>+Z102+AA102</f>
        <v>890</v>
      </c>
      <c r="AC102" s="401">
        <f t="shared" si="185"/>
        <v>6</v>
      </c>
      <c r="AD102" s="398">
        <f t="shared" si="185"/>
        <v>1252</v>
      </c>
      <c r="AE102" s="399">
        <f t="shared" si="185"/>
        <v>20</v>
      </c>
      <c r="AF102" s="400">
        <f>+AD102+AE102</f>
        <v>1272</v>
      </c>
      <c r="AG102" s="401">
        <f t="shared" si="186"/>
        <v>6</v>
      </c>
      <c r="AH102" s="398">
        <f t="shared" si="186"/>
        <v>0</v>
      </c>
      <c r="AI102" s="399">
        <f t="shared" si="186"/>
        <v>0</v>
      </c>
      <c r="AJ102" s="400">
        <f>+AH102+AI102</f>
        <v>0</v>
      </c>
      <c r="AK102" s="401">
        <f t="shared" si="187"/>
        <v>0</v>
      </c>
      <c r="AL102" s="398">
        <f t="shared" si="187"/>
        <v>0</v>
      </c>
      <c r="AM102" s="399">
        <f t="shared" si="187"/>
        <v>0</v>
      </c>
      <c r="AN102" s="400">
        <f>+AL102+AM102</f>
        <v>0</v>
      </c>
      <c r="AO102" s="401">
        <f t="shared" si="188"/>
        <v>0</v>
      </c>
      <c r="AP102" s="398">
        <f t="shared" si="188"/>
        <v>0</v>
      </c>
      <c r="AQ102" s="399">
        <f t="shared" si="188"/>
        <v>0</v>
      </c>
      <c r="AR102" s="400">
        <f>+AP102+AQ102</f>
        <v>0</v>
      </c>
      <c r="AS102" s="401">
        <f t="shared" si="189"/>
        <v>0</v>
      </c>
      <c r="AT102" s="398">
        <f t="shared" si="189"/>
        <v>0</v>
      </c>
      <c r="AU102" s="399">
        <f t="shared" si="189"/>
        <v>0</v>
      </c>
      <c r="AV102" s="400">
        <f>+AT102+AU102</f>
        <v>0</v>
      </c>
      <c r="AW102" s="401">
        <f t="shared" si="190"/>
        <v>0</v>
      </c>
      <c r="AX102" s="432">
        <f t="shared" si="191"/>
        <v>7988</v>
      </c>
      <c r="AY102" s="432">
        <f t="shared" si="191"/>
        <v>254</v>
      </c>
      <c r="AZ102" s="432">
        <f t="shared" si="193"/>
        <v>8242</v>
      </c>
      <c r="BA102" s="432">
        <f t="shared" si="192"/>
        <v>30</v>
      </c>
      <c r="BC102" s="395">
        <f t="shared" si="194"/>
        <v>1272</v>
      </c>
      <c r="BD102" s="395">
        <f t="shared" si="195"/>
        <v>6</v>
      </c>
    </row>
    <row r="103" spans="1:56" ht="14.4" thickBot="1">
      <c r="A103" s="397" t="s">
        <v>4</v>
      </c>
      <c r="B103" s="398">
        <f t="shared" si="178"/>
        <v>1245</v>
      </c>
      <c r="C103" s="399">
        <f t="shared" si="178"/>
        <v>23</v>
      </c>
      <c r="D103" s="400">
        <f t="shared" ref="D103:D109" si="196">+B103+C103</f>
        <v>1268</v>
      </c>
      <c r="E103" s="401">
        <f t="shared" si="179"/>
        <v>4</v>
      </c>
      <c r="F103" s="398">
        <f t="shared" si="179"/>
        <v>1617</v>
      </c>
      <c r="G103" s="398">
        <f t="shared" si="179"/>
        <v>25</v>
      </c>
      <c r="H103" s="400">
        <f t="shared" ref="H103:H109" si="197">+F103+G103</f>
        <v>1642</v>
      </c>
      <c r="I103" s="401">
        <f t="shared" si="180"/>
        <v>4</v>
      </c>
      <c r="J103" s="398">
        <f t="shared" si="180"/>
        <v>1801</v>
      </c>
      <c r="K103" s="398">
        <f t="shared" si="180"/>
        <v>29</v>
      </c>
      <c r="L103" s="400">
        <f t="shared" ref="L103:L109" si="198">+J103+K103</f>
        <v>1830</v>
      </c>
      <c r="M103" s="401">
        <f t="shared" si="181"/>
        <v>4</v>
      </c>
      <c r="N103" s="398">
        <f t="shared" si="181"/>
        <v>1511</v>
      </c>
      <c r="O103" s="398">
        <f t="shared" si="181"/>
        <v>19</v>
      </c>
      <c r="P103" s="400">
        <f t="shared" ref="P103:P109" si="199">+N103+O103</f>
        <v>1530</v>
      </c>
      <c r="Q103" s="401">
        <f t="shared" si="182"/>
        <v>9</v>
      </c>
      <c r="R103" s="398">
        <f t="shared" si="182"/>
        <v>1644</v>
      </c>
      <c r="S103" s="399">
        <f t="shared" si="182"/>
        <v>19</v>
      </c>
      <c r="T103" s="400">
        <f t="shared" ref="T103:T109" si="200">+R103+S103</f>
        <v>1663</v>
      </c>
      <c r="U103" s="401">
        <f t="shared" si="183"/>
        <v>8</v>
      </c>
      <c r="V103" s="398">
        <f t="shared" si="183"/>
        <v>1345</v>
      </c>
      <c r="W103" s="399">
        <f t="shared" si="183"/>
        <v>11</v>
      </c>
      <c r="X103" s="400">
        <f t="shared" ref="X103:X109" si="201">+V103+W103</f>
        <v>1356</v>
      </c>
      <c r="Y103" s="401">
        <f t="shared" si="184"/>
        <v>4</v>
      </c>
      <c r="Z103" s="398">
        <f t="shared" si="184"/>
        <v>1663</v>
      </c>
      <c r="AA103" s="399">
        <f t="shared" si="184"/>
        <v>30</v>
      </c>
      <c r="AB103" s="400">
        <f t="shared" ref="AB103:AB109" si="202">+Z103+AA103</f>
        <v>1693</v>
      </c>
      <c r="AC103" s="401">
        <f t="shared" si="185"/>
        <v>6</v>
      </c>
      <c r="AD103" s="398">
        <f t="shared" si="185"/>
        <v>2659</v>
      </c>
      <c r="AE103" s="399">
        <f t="shared" si="185"/>
        <v>43</v>
      </c>
      <c r="AF103" s="400">
        <f t="shared" ref="AF103:AF109" si="203">+AD103+AE103</f>
        <v>2702</v>
      </c>
      <c r="AG103" s="401">
        <f t="shared" si="186"/>
        <v>4</v>
      </c>
      <c r="AH103" s="398">
        <f t="shared" si="186"/>
        <v>0</v>
      </c>
      <c r="AI103" s="399">
        <f t="shared" si="186"/>
        <v>0</v>
      </c>
      <c r="AJ103" s="400">
        <f t="shared" ref="AJ103:AJ109" si="204">+AH103+AI103</f>
        <v>0</v>
      </c>
      <c r="AK103" s="401">
        <f t="shared" si="187"/>
        <v>0</v>
      </c>
      <c r="AL103" s="398">
        <f t="shared" si="187"/>
        <v>0</v>
      </c>
      <c r="AM103" s="399">
        <f t="shared" si="187"/>
        <v>0</v>
      </c>
      <c r="AN103" s="400">
        <f t="shared" ref="AN103:AN109" si="205">+AL103+AM103</f>
        <v>0</v>
      </c>
      <c r="AO103" s="401">
        <f t="shared" si="188"/>
        <v>0</v>
      </c>
      <c r="AP103" s="398">
        <f t="shared" si="188"/>
        <v>0</v>
      </c>
      <c r="AQ103" s="399">
        <f t="shared" si="188"/>
        <v>0</v>
      </c>
      <c r="AR103" s="400">
        <f t="shared" ref="AR103:AR109" si="206">+AP103+AQ103</f>
        <v>0</v>
      </c>
      <c r="AS103" s="401">
        <f t="shared" si="189"/>
        <v>0</v>
      </c>
      <c r="AT103" s="398">
        <f t="shared" si="189"/>
        <v>0</v>
      </c>
      <c r="AU103" s="399">
        <f t="shared" si="189"/>
        <v>0</v>
      </c>
      <c r="AV103" s="400">
        <f t="shared" ref="AV103:AV109" si="207">+AT103+AU103</f>
        <v>0</v>
      </c>
      <c r="AW103" s="401">
        <f t="shared" si="190"/>
        <v>0</v>
      </c>
      <c r="AX103" s="432">
        <f t="shared" si="191"/>
        <v>13485</v>
      </c>
      <c r="AY103" s="432">
        <f t="shared" si="191"/>
        <v>199</v>
      </c>
      <c r="AZ103" s="432">
        <f t="shared" si="193"/>
        <v>13684</v>
      </c>
      <c r="BA103" s="432">
        <f t="shared" si="192"/>
        <v>43</v>
      </c>
      <c r="BC103" s="395">
        <f t="shared" si="194"/>
        <v>2702</v>
      </c>
      <c r="BD103" s="395">
        <f t="shared" si="195"/>
        <v>4</v>
      </c>
    </row>
    <row r="104" spans="1:56" ht="14.4" thickBot="1">
      <c r="A104" s="397" t="s">
        <v>3</v>
      </c>
      <c r="B104" s="398">
        <f t="shared" si="178"/>
        <v>729</v>
      </c>
      <c r="C104" s="399">
        <f t="shared" si="178"/>
        <v>4</v>
      </c>
      <c r="D104" s="400">
        <f t="shared" si="196"/>
        <v>733</v>
      </c>
      <c r="E104" s="401">
        <f t="shared" si="179"/>
        <v>9</v>
      </c>
      <c r="F104" s="398">
        <f t="shared" si="179"/>
        <v>755</v>
      </c>
      <c r="G104" s="398">
        <f t="shared" si="179"/>
        <v>12</v>
      </c>
      <c r="H104" s="400">
        <f t="shared" si="197"/>
        <v>767</v>
      </c>
      <c r="I104" s="401">
        <f t="shared" si="180"/>
        <v>18</v>
      </c>
      <c r="J104" s="398">
        <f t="shared" si="180"/>
        <v>760</v>
      </c>
      <c r="K104" s="398">
        <f t="shared" si="180"/>
        <v>18</v>
      </c>
      <c r="L104" s="400">
        <f t="shared" si="198"/>
        <v>778</v>
      </c>
      <c r="M104" s="401">
        <f t="shared" si="181"/>
        <v>28</v>
      </c>
      <c r="N104" s="398">
        <f t="shared" si="181"/>
        <v>550</v>
      </c>
      <c r="O104" s="398">
        <f t="shared" si="181"/>
        <v>15</v>
      </c>
      <c r="P104" s="400">
        <f t="shared" si="199"/>
        <v>565</v>
      </c>
      <c r="Q104" s="401">
        <f t="shared" si="182"/>
        <v>21</v>
      </c>
      <c r="R104" s="398">
        <f t="shared" si="182"/>
        <v>578</v>
      </c>
      <c r="S104" s="399">
        <f t="shared" si="182"/>
        <v>6</v>
      </c>
      <c r="T104" s="400">
        <f t="shared" si="200"/>
        <v>584</v>
      </c>
      <c r="U104" s="401">
        <f t="shared" si="183"/>
        <v>21</v>
      </c>
      <c r="V104" s="398">
        <f t="shared" si="183"/>
        <v>583</v>
      </c>
      <c r="W104" s="399">
        <f t="shared" si="183"/>
        <v>15</v>
      </c>
      <c r="X104" s="400">
        <f t="shared" si="201"/>
        <v>598</v>
      </c>
      <c r="Y104" s="401">
        <f t="shared" si="184"/>
        <v>15</v>
      </c>
      <c r="Z104" s="398">
        <f t="shared" si="184"/>
        <v>636</v>
      </c>
      <c r="AA104" s="399">
        <f t="shared" si="184"/>
        <v>15</v>
      </c>
      <c r="AB104" s="400">
        <f t="shared" si="202"/>
        <v>651</v>
      </c>
      <c r="AC104" s="401">
        <f t="shared" si="185"/>
        <v>18</v>
      </c>
      <c r="AD104" s="398">
        <f t="shared" si="185"/>
        <v>776</v>
      </c>
      <c r="AE104" s="399">
        <f t="shared" si="185"/>
        <v>11</v>
      </c>
      <c r="AF104" s="400">
        <f t="shared" si="203"/>
        <v>787</v>
      </c>
      <c r="AG104" s="401">
        <f t="shared" si="186"/>
        <v>21</v>
      </c>
      <c r="AH104" s="398">
        <f t="shared" si="186"/>
        <v>0</v>
      </c>
      <c r="AI104" s="399">
        <f t="shared" si="186"/>
        <v>0</v>
      </c>
      <c r="AJ104" s="400">
        <f t="shared" si="204"/>
        <v>0</v>
      </c>
      <c r="AK104" s="401">
        <f t="shared" si="187"/>
        <v>0</v>
      </c>
      <c r="AL104" s="398">
        <f t="shared" si="187"/>
        <v>0</v>
      </c>
      <c r="AM104" s="399">
        <f t="shared" si="187"/>
        <v>0</v>
      </c>
      <c r="AN104" s="400">
        <f t="shared" si="205"/>
        <v>0</v>
      </c>
      <c r="AO104" s="401">
        <f t="shared" si="188"/>
        <v>0</v>
      </c>
      <c r="AP104" s="398">
        <f t="shared" si="188"/>
        <v>0</v>
      </c>
      <c r="AQ104" s="399">
        <f t="shared" si="188"/>
        <v>0</v>
      </c>
      <c r="AR104" s="400">
        <f t="shared" si="206"/>
        <v>0</v>
      </c>
      <c r="AS104" s="401">
        <f t="shared" si="189"/>
        <v>0</v>
      </c>
      <c r="AT104" s="398">
        <f t="shared" si="189"/>
        <v>0</v>
      </c>
      <c r="AU104" s="399">
        <f t="shared" si="189"/>
        <v>0</v>
      </c>
      <c r="AV104" s="400">
        <f t="shared" si="207"/>
        <v>0</v>
      </c>
      <c r="AW104" s="401">
        <f t="shared" si="190"/>
        <v>0</v>
      </c>
      <c r="AX104" s="432">
        <f t="shared" si="191"/>
        <v>5367</v>
      </c>
      <c r="AY104" s="432">
        <f t="shared" si="191"/>
        <v>96</v>
      </c>
      <c r="AZ104" s="432">
        <f t="shared" si="193"/>
        <v>5463</v>
      </c>
      <c r="BA104" s="432">
        <f t="shared" si="192"/>
        <v>151</v>
      </c>
      <c r="BC104" s="395">
        <f t="shared" si="194"/>
        <v>787</v>
      </c>
      <c r="BD104" s="395">
        <f t="shared" si="195"/>
        <v>21</v>
      </c>
    </row>
    <row r="105" spans="1:56" ht="14.4" thickBot="1">
      <c r="A105" s="397" t="s">
        <v>397</v>
      </c>
      <c r="B105" s="398">
        <f t="shared" si="178"/>
        <v>1121</v>
      </c>
      <c r="C105" s="399">
        <f t="shared" si="178"/>
        <v>6</v>
      </c>
      <c r="D105" s="400">
        <f t="shared" si="196"/>
        <v>1127</v>
      </c>
      <c r="E105" s="401">
        <f t="shared" si="179"/>
        <v>3</v>
      </c>
      <c r="F105" s="398">
        <f t="shared" si="179"/>
        <v>1149</v>
      </c>
      <c r="G105" s="398">
        <f t="shared" si="179"/>
        <v>10</v>
      </c>
      <c r="H105" s="400">
        <f t="shared" si="197"/>
        <v>1159</v>
      </c>
      <c r="I105" s="401">
        <f t="shared" si="180"/>
        <v>5</v>
      </c>
      <c r="J105" s="398">
        <f t="shared" si="180"/>
        <v>1064</v>
      </c>
      <c r="K105" s="398">
        <f t="shared" si="180"/>
        <v>60</v>
      </c>
      <c r="L105" s="400">
        <f t="shared" si="198"/>
        <v>1124</v>
      </c>
      <c r="M105" s="401">
        <f t="shared" si="181"/>
        <v>0</v>
      </c>
      <c r="N105" s="398">
        <f t="shared" si="181"/>
        <v>1089</v>
      </c>
      <c r="O105" s="398">
        <f t="shared" si="181"/>
        <v>28</v>
      </c>
      <c r="P105" s="400">
        <f t="shared" si="199"/>
        <v>1117</v>
      </c>
      <c r="Q105" s="401">
        <f t="shared" si="182"/>
        <v>3</v>
      </c>
      <c r="R105" s="398">
        <f t="shared" si="182"/>
        <v>850</v>
      </c>
      <c r="S105" s="399">
        <f t="shared" si="182"/>
        <v>22</v>
      </c>
      <c r="T105" s="400">
        <f t="shared" si="200"/>
        <v>872</v>
      </c>
      <c r="U105" s="401">
        <f t="shared" si="183"/>
        <v>1</v>
      </c>
      <c r="V105" s="398">
        <f t="shared" si="183"/>
        <v>1348</v>
      </c>
      <c r="W105" s="399">
        <f t="shared" si="183"/>
        <v>39</v>
      </c>
      <c r="X105" s="400">
        <f t="shared" si="201"/>
        <v>1387</v>
      </c>
      <c r="Y105" s="401">
        <f t="shared" si="184"/>
        <v>4</v>
      </c>
      <c r="Z105" s="398">
        <f t="shared" si="184"/>
        <v>1104</v>
      </c>
      <c r="AA105" s="399">
        <f t="shared" si="184"/>
        <v>27</v>
      </c>
      <c r="AB105" s="400">
        <f t="shared" si="202"/>
        <v>1131</v>
      </c>
      <c r="AC105" s="401">
        <f t="shared" si="185"/>
        <v>1</v>
      </c>
      <c r="AD105" s="398">
        <f t="shared" si="185"/>
        <v>923</v>
      </c>
      <c r="AE105" s="399">
        <f t="shared" si="185"/>
        <v>38</v>
      </c>
      <c r="AF105" s="400">
        <f t="shared" si="203"/>
        <v>961</v>
      </c>
      <c r="AG105" s="401">
        <f t="shared" si="186"/>
        <v>7</v>
      </c>
      <c r="AH105" s="398">
        <f t="shared" si="186"/>
        <v>0</v>
      </c>
      <c r="AI105" s="399">
        <f t="shared" si="186"/>
        <v>0</v>
      </c>
      <c r="AJ105" s="400">
        <f t="shared" si="204"/>
        <v>0</v>
      </c>
      <c r="AK105" s="401">
        <f t="shared" si="187"/>
        <v>0</v>
      </c>
      <c r="AL105" s="398">
        <f t="shared" si="187"/>
        <v>0</v>
      </c>
      <c r="AM105" s="399">
        <f t="shared" si="187"/>
        <v>0</v>
      </c>
      <c r="AN105" s="400">
        <f t="shared" si="205"/>
        <v>0</v>
      </c>
      <c r="AO105" s="401">
        <f t="shared" si="188"/>
        <v>0</v>
      </c>
      <c r="AP105" s="398">
        <f t="shared" si="188"/>
        <v>0</v>
      </c>
      <c r="AQ105" s="399">
        <f t="shared" si="188"/>
        <v>0</v>
      </c>
      <c r="AR105" s="400">
        <f t="shared" si="206"/>
        <v>0</v>
      </c>
      <c r="AS105" s="401">
        <f t="shared" si="189"/>
        <v>0</v>
      </c>
      <c r="AT105" s="398">
        <f t="shared" si="189"/>
        <v>0</v>
      </c>
      <c r="AU105" s="399">
        <f t="shared" si="189"/>
        <v>0</v>
      </c>
      <c r="AV105" s="400">
        <f t="shared" si="207"/>
        <v>0</v>
      </c>
      <c r="AW105" s="401">
        <f t="shared" si="190"/>
        <v>0</v>
      </c>
      <c r="AX105" s="432">
        <f t="shared" ref="AX105:AY109" si="208">B105+F105+J105+N105+R105+V105+Z105+AD105+AH105+AL105+AP105+AT105</f>
        <v>8648</v>
      </c>
      <c r="AY105" s="432">
        <f t="shared" si="208"/>
        <v>230</v>
      </c>
      <c r="AZ105" s="432">
        <f t="shared" si="193"/>
        <v>8878</v>
      </c>
      <c r="BA105" s="432">
        <f t="shared" si="192"/>
        <v>24</v>
      </c>
      <c r="BC105" s="395">
        <f t="shared" si="194"/>
        <v>961</v>
      </c>
      <c r="BD105" s="395">
        <f t="shared" si="195"/>
        <v>7</v>
      </c>
    </row>
    <row r="106" spans="1:56" ht="14.4" thickBot="1">
      <c r="A106" s="397" t="s">
        <v>399</v>
      </c>
      <c r="B106" s="398">
        <f t="shared" si="178"/>
        <v>1297</v>
      </c>
      <c r="C106" s="399">
        <f t="shared" si="178"/>
        <v>3</v>
      </c>
      <c r="D106" s="400">
        <f t="shared" si="196"/>
        <v>1300</v>
      </c>
      <c r="E106" s="401">
        <f t="shared" si="179"/>
        <v>3</v>
      </c>
      <c r="F106" s="398">
        <f t="shared" si="179"/>
        <v>773</v>
      </c>
      <c r="G106" s="398">
        <f t="shared" si="179"/>
        <v>53</v>
      </c>
      <c r="H106" s="400">
        <f t="shared" si="197"/>
        <v>826</v>
      </c>
      <c r="I106" s="401">
        <f t="shared" si="180"/>
        <v>6</v>
      </c>
      <c r="J106" s="398">
        <f t="shared" si="180"/>
        <v>1190</v>
      </c>
      <c r="K106" s="398">
        <f t="shared" si="180"/>
        <v>18</v>
      </c>
      <c r="L106" s="400">
        <f t="shared" si="198"/>
        <v>1208</v>
      </c>
      <c r="M106" s="401">
        <f t="shared" si="181"/>
        <v>2</v>
      </c>
      <c r="N106" s="398">
        <f t="shared" si="181"/>
        <v>1821</v>
      </c>
      <c r="O106" s="398">
        <f t="shared" si="181"/>
        <v>15</v>
      </c>
      <c r="P106" s="400">
        <f t="shared" si="199"/>
        <v>1836</v>
      </c>
      <c r="Q106" s="401">
        <f t="shared" si="182"/>
        <v>2</v>
      </c>
      <c r="R106" s="398">
        <f t="shared" si="182"/>
        <v>957</v>
      </c>
      <c r="S106" s="399">
        <f t="shared" si="182"/>
        <v>21</v>
      </c>
      <c r="T106" s="400">
        <f t="shared" si="200"/>
        <v>978</v>
      </c>
      <c r="U106" s="401">
        <f t="shared" si="183"/>
        <v>5</v>
      </c>
      <c r="V106" s="398">
        <f t="shared" si="183"/>
        <v>1033</v>
      </c>
      <c r="W106" s="399">
        <f t="shared" si="183"/>
        <v>32</v>
      </c>
      <c r="X106" s="400">
        <f t="shared" si="201"/>
        <v>1065</v>
      </c>
      <c r="Y106" s="401">
        <f t="shared" si="184"/>
        <v>2</v>
      </c>
      <c r="Z106" s="398">
        <f t="shared" si="184"/>
        <v>2392</v>
      </c>
      <c r="AA106" s="399">
        <f t="shared" si="184"/>
        <v>21</v>
      </c>
      <c r="AB106" s="400">
        <f t="shared" si="202"/>
        <v>2413</v>
      </c>
      <c r="AC106" s="401">
        <f t="shared" si="185"/>
        <v>3</v>
      </c>
      <c r="AD106" s="398">
        <f t="shared" si="185"/>
        <v>1632</v>
      </c>
      <c r="AE106" s="399">
        <f t="shared" si="185"/>
        <v>9</v>
      </c>
      <c r="AF106" s="400">
        <f t="shared" si="203"/>
        <v>1641</v>
      </c>
      <c r="AG106" s="401">
        <f t="shared" si="186"/>
        <v>3</v>
      </c>
      <c r="AH106" s="398">
        <f t="shared" si="186"/>
        <v>0</v>
      </c>
      <c r="AI106" s="399">
        <f t="shared" si="186"/>
        <v>0</v>
      </c>
      <c r="AJ106" s="400">
        <f t="shared" si="204"/>
        <v>0</v>
      </c>
      <c r="AK106" s="401">
        <f t="shared" si="187"/>
        <v>0</v>
      </c>
      <c r="AL106" s="398">
        <f t="shared" si="187"/>
        <v>0</v>
      </c>
      <c r="AM106" s="399">
        <f t="shared" si="187"/>
        <v>0</v>
      </c>
      <c r="AN106" s="400">
        <f t="shared" si="205"/>
        <v>0</v>
      </c>
      <c r="AO106" s="401">
        <f t="shared" si="188"/>
        <v>0</v>
      </c>
      <c r="AP106" s="398">
        <f t="shared" si="188"/>
        <v>0</v>
      </c>
      <c r="AQ106" s="399">
        <f t="shared" si="188"/>
        <v>0</v>
      </c>
      <c r="AR106" s="400">
        <f t="shared" si="206"/>
        <v>0</v>
      </c>
      <c r="AS106" s="401">
        <f t="shared" si="189"/>
        <v>0</v>
      </c>
      <c r="AT106" s="398">
        <f t="shared" si="189"/>
        <v>0</v>
      </c>
      <c r="AU106" s="399">
        <f t="shared" si="189"/>
        <v>0</v>
      </c>
      <c r="AV106" s="400">
        <f t="shared" si="207"/>
        <v>0</v>
      </c>
      <c r="AW106" s="401">
        <f t="shared" si="190"/>
        <v>0</v>
      </c>
      <c r="AX106" s="432">
        <f t="shared" si="208"/>
        <v>11095</v>
      </c>
      <c r="AY106" s="432">
        <f t="shared" si="208"/>
        <v>172</v>
      </c>
      <c r="AZ106" s="432">
        <f t="shared" si="193"/>
        <v>11267</v>
      </c>
      <c r="BA106" s="432">
        <f t="shared" si="192"/>
        <v>26</v>
      </c>
      <c r="BC106" s="395">
        <f t="shared" si="194"/>
        <v>1641</v>
      </c>
      <c r="BD106" s="395">
        <f t="shared" si="195"/>
        <v>3</v>
      </c>
    </row>
    <row r="107" spans="1:56" ht="14.4" thickBot="1">
      <c r="A107" s="397" t="s">
        <v>883</v>
      </c>
      <c r="B107" s="398">
        <f t="shared" si="178"/>
        <v>778</v>
      </c>
      <c r="C107" s="399">
        <f t="shared" si="178"/>
        <v>7</v>
      </c>
      <c r="D107" s="400">
        <f t="shared" si="196"/>
        <v>785</v>
      </c>
      <c r="E107" s="401">
        <f t="shared" si="179"/>
        <v>7</v>
      </c>
      <c r="F107" s="398">
        <f t="shared" si="179"/>
        <v>653</v>
      </c>
      <c r="G107" s="398">
        <f t="shared" si="179"/>
        <v>28</v>
      </c>
      <c r="H107" s="400">
        <f t="shared" si="197"/>
        <v>681</v>
      </c>
      <c r="I107" s="401">
        <f t="shared" si="180"/>
        <v>1</v>
      </c>
      <c r="J107" s="398">
        <f t="shared" si="180"/>
        <v>721</v>
      </c>
      <c r="K107" s="398">
        <f t="shared" si="180"/>
        <v>17</v>
      </c>
      <c r="L107" s="400">
        <f t="shared" si="198"/>
        <v>738</v>
      </c>
      <c r="M107" s="401">
        <f t="shared" si="181"/>
        <v>10</v>
      </c>
      <c r="N107" s="398">
        <f t="shared" si="181"/>
        <v>1249</v>
      </c>
      <c r="O107" s="398">
        <f t="shared" si="181"/>
        <v>21</v>
      </c>
      <c r="P107" s="400">
        <f t="shared" si="199"/>
        <v>1270</v>
      </c>
      <c r="Q107" s="401">
        <f t="shared" si="182"/>
        <v>4</v>
      </c>
      <c r="R107" s="398">
        <f t="shared" si="182"/>
        <v>822</v>
      </c>
      <c r="S107" s="399">
        <f t="shared" si="182"/>
        <v>15</v>
      </c>
      <c r="T107" s="400">
        <f t="shared" si="200"/>
        <v>837</v>
      </c>
      <c r="U107" s="401">
        <f t="shared" si="183"/>
        <v>6</v>
      </c>
      <c r="V107" s="398">
        <f t="shared" si="183"/>
        <v>1003</v>
      </c>
      <c r="W107" s="399">
        <f t="shared" si="183"/>
        <v>17</v>
      </c>
      <c r="X107" s="400">
        <f t="shared" si="201"/>
        <v>1020</v>
      </c>
      <c r="Y107" s="401">
        <f t="shared" si="184"/>
        <v>15</v>
      </c>
      <c r="Z107" s="398">
        <f t="shared" si="184"/>
        <v>877</v>
      </c>
      <c r="AA107" s="399">
        <f t="shared" si="184"/>
        <v>23</v>
      </c>
      <c r="AB107" s="400">
        <f t="shared" si="202"/>
        <v>900</v>
      </c>
      <c r="AC107" s="401">
        <f t="shared" si="185"/>
        <v>10</v>
      </c>
      <c r="AD107" s="398">
        <f t="shared" si="185"/>
        <v>1018</v>
      </c>
      <c r="AE107" s="399">
        <f t="shared" si="185"/>
        <v>26</v>
      </c>
      <c r="AF107" s="400">
        <f t="shared" si="203"/>
        <v>1044</v>
      </c>
      <c r="AG107" s="401">
        <f t="shared" si="186"/>
        <v>3</v>
      </c>
      <c r="AH107" s="398">
        <f t="shared" si="186"/>
        <v>0</v>
      </c>
      <c r="AI107" s="399">
        <f t="shared" si="186"/>
        <v>0</v>
      </c>
      <c r="AJ107" s="400">
        <f t="shared" si="204"/>
        <v>0</v>
      </c>
      <c r="AK107" s="401">
        <f t="shared" si="187"/>
        <v>0</v>
      </c>
      <c r="AL107" s="398">
        <f t="shared" si="187"/>
        <v>0</v>
      </c>
      <c r="AM107" s="399">
        <f t="shared" si="187"/>
        <v>0</v>
      </c>
      <c r="AN107" s="400">
        <f t="shared" si="205"/>
        <v>0</v>
      </c>
      <c r="AO107" s="401">
        <f t="shared" si="188"/>
        <v>0</v>
      </c>
      <c r="AP107" s="398">
        <f t="shared" si="188"/>
        <v>0</v>
      </c>
      <c r="AQ107" s="399">
        <f t="shared" si="188"/>
        <v>0</v>
      </c>
      <c r="AR107" s="400">
        <f t="shared" si="206"/>
        <v>0</v>
      </c>
      <c r="AS107" s="401">
        <f t="shared" si="189"/>
        <v>0</v>
      </c>
      <c r="AT107" s="398">
        <f t="shared" si="189"/>
        <v>0</v>
      </c>
      <c r="AU107" s="399">
        <f t="shared" si="189"/>
        <v>0</v>
      </c>
      <c r="AV107" s="400">
        <f t="shared" si="207"/>
        <v>0</v>
      </c>
      <c r="AW107" s="401">
        <f t="shared" si="190"/>
        <v>0</v>
      </c>
      <c r="AX107" s="432">
        <f t="shared" si="208"/>
        <v>7121</v>
      </c>
      <c r="AY107" s="432">
        <f t="shared" si="208"/>
        <v>154</v>
      </c>
      <c r="AZ107" s="432">
        <f t="shared" si="193"/>
        <v>7275</v>
      </c>
      <c r="BA107" s="432">
        <f t="shared" si="192"/>
        <v>56</v>
      </c>
      <c r="BC107" s="395">
        <f t="shared" si="194"/>
        <v>1044</v>
      </c>
      <c r="BD107" s="395">
        <f t="shared" si="195"/>
        <v>3</v>
      </c>
    </row>
    <row r="108" spans="1:56" ht="14.4" thickBot="1">
      <c r="A108" s="397" t="s">
        <v>884</v>
      </c>
      <c r="B108" s="398">
        <f t="shared" si="178"/>
        <v>873</v>
      </c>
      <c r="C108" s="399">
        <f t="shared" si="178"/>
        <v>7</v>
      </c>
      <c r="D108" s="400">
        <f t="shared" si="196"/>
        <v>880</v>
      </c>
      <c r="E108" s="401">
        <f t="shared" si="179"/>
        <v>1</v>
      </c>
      <c r="F108" s="398">
        <f t="shared" si="179"/>
        <v>1073</v>
      </c>
      <c r="G108" s="398">
        <f t="shared" si="179"/>
        <v>15</v>
      </c>
      <c r="H108" s="400">
        <f t="shared" si="197"/>
        <v>1088</v>
      </c>
      <c r="I108" s="401">
        <f t="shared" si="180"/>
        <v>9</v>
      </c>
      <c r="J108" s="398">
        <f t="shared" si="180"/>
        <v>2046</v>
      </c>
      <c r="K108" s="398">
        <f t="shared" si="180"/>
        <v>33</v>
      </c>
      <c r="L108" s="400">
        <f t="shared" si="198"/>
        <v>2079</v>
      </c>
      <c r="M108" s="401">
        <f t="shared" si="181"/>
        <v>10</v>
      </c>
      <c r="N108" s="398">
        <f t="shared" si="181"/>
        <v>1717</v>
      </c>
      <c r="O108" s="398">
        <f t="shared" si="181"/>
        <v>145</v>
      </c>
      <c r="P108" s="400">
        <f t="shared" si="199"/>
        <v>1862</v>
      </c>
      <c r="Q108" s="401">
        <f t="shared" si="182"/>
        <v>10</v>
      </c>
      <c r="R108" s="398">
        <f t="shared" si="182"/>
        <v>2092</v>
      </c>
      <c r="S108" s="399">
        <f t="shared" si="182"/>
        <v>26</v>
      </c>
      <c r="T108" s="400">
        <f t="shared" si="200"/>
        <v>2118</v>
      </c>
      <c r="U108" s="401">
        <f t="shared" si="183"/>
        <v>3</v>
      </c>
      <c r="V108" s="398">
        <f t="shared" si="183"/>
        <v>1340</v>
      </c>
      <c r="W108" s="399">
        <f t="shared" si="183"/>
        <v>51</v>
      </c>
      <c r="X108" s="400">
        <f t="shared" si="201"/>
        <v>1391</v>
      </c>
      <c r="Y108" s="401">
        <f t="shared" si="184"/>
        <v>4</v>
      </c>
      <c r="Z108" s="398">
        <f t="shared" si="184"/>
        <v>895</v>
      </c>
      <c r="AA108" s="399">
        <f t="shared" si="184"/>
        <v>44</v>
      </c>
      <c r="AB108" s="400">
        <f t="shared" si="202"/>
        <v>939</v>
      </c>
      <c r="AC108" s="401">
        <f t="shared" si="185"/>
        <v>4</v>
      </c>
      <c r="AD108" s="398">
        <f t="shared" si="185"/>
        <v>1189</v>
      </c>
      <c r="AE108" s="399">
        <f t="shared" si="185"/>
        <v>29</v>
      </c>
      <c r="AF108" s="400">
        <f t="shared" si="203"/>
        <v>1218</v>
      </c>
      <c r="AG108" s="401">
        <f t="shared" si="186"/>
        <v>9</v>
      </c>
      <c r="AH108" s="398">
        <f t="shared" si="186"/>
        <v>0</v>
      </c>
      <c r="AI108" s="399">
        <f t="shared" si="186"/>
        <v>0</v>
      </c>
      <c r="AJ108" s="400">
        <f t="shared" si="204"/>
        <v>0</v>
      </c>
      <c r="AK108" s="401">
        <f t="shared" si="187"/>
        <v>0</v>
      </c>
      <c r="AL108" s="398">
        <f t="shared" si="187"/>
        <v>0</v>
      </c>
      <c r="AM108" s="399">
        <f t="shared" si="187"/>
        <v>0</v>
      </c>
      <c r="AN108" s="400">
        <f t="shared" si="205"/>
        <v>0</v>
      </c>
      <c r="AO108" s="401">
        <f t="shared" si="188"/>
        <v>0</v>
      </c>
      <c r="AP108" s="398">
        <f t="shared" si="188"/>
        <v>0</v>
      </c>
      <c r="AQ108" s="399">
        <f t="shared" si="188"/>
        <v>0</v>
      </c>
      <c r="AR108" s="400">
        <f t="shared" si="206"/>
        <v>0</v>
      </c>
      <c r="AS108" s="401">
        <f t="shared" si="189"/>
        <v>0</v>
      </c>
      <c r="AT108" s="398">
        <f t="shared" si="189"/>
        <v>0</v>
      </c>
      <c r="AU108" s="399">
        <f t="shared" si="189"/>
        <v>0</v>
      </c>
      <c r="AV108" s="400">
        <f t="shared" si="207"/>
        <v>0</v>
      </c>
      <c r="AW108" s="401">
        <f t="shared" si="190"/>
        <v>0</v>
      </c>
      <c r="AX108" s="432">
        <f t="shared" si="208"/>
        <v>11225</v>
      </c>
      <c r="AY108" s="432">
        <f t="shared" si="208"/>
        <v>350</v>
      </c>
      <c r="AZ108" s="432">
        <f t="shared" si="193"/>
        <v>11575</v>
      </c>
      <c r="BA108" s="432">
        <f t="shared" si="192"/>
        <v>50</v>
      </c>
      <c r="BC108" s="395">
        <f t="shared" si="194"/>
        <v>1218</v>
      </c>
      <c r="BD108" s="395">
        <f t="shared" si="195"/>
        <v>9</v>
      </c>
    </row>
    <row r="109" spans="1:56" ht="14.4" thickBot="1">
      <c r="A109" s="397" t="s">
        <v>885</v>
      </c>
      <c r="B109" s="398">
        <f t="shared" si="178"/>
        <v>118</v>
      </c>
      <c r="C109" s="399">
        <f t="shared" si="178"/>
        <v>6</v>
      </c>
      <c r="D109" s="400">
        <f t="shared" si="196"/>
        <v>124</v>
      </c>
      <c r="E109" s="401">
        <f t="shared" si="179"/>
        <v>1</v>
      </c>
      <c r="F109" s="398">
        <f t="shared" si="179"/>
        <v>591</v>
      </c>
      <c r="G109" s="398">
        <f t="shared" si="179"/>
        <v>17</v>
      </c>
      <c r="H109" s="400">
        <f t="shared" si="197"/>
        <v>608</v>
      </c>
      <c r="I109" s="401">
        <f t="shared" si="180"/>
        <v>2</v>
      </c>
      <c r="J109" s="398">
        <f t="shared" si="180"/>
        <v>1087</v>
      </c>
      <c r="K109" s="398">
        <f t="shared" si="180"/>
        <v>81</v>
      </c>
      <c r="L109" s="400">
        <f t="shared" si="198"/>
        <v>1168</v>
      </c>
      <c r="M109" s="401">
        <f t="shared" si="181"/>
        <v>0</v>
      </c>
      <c r="N109" s="398">
        <f t="shared" si="181"/>
        <v>468</v>
      </c>
      <c r="O109" s="398">
        <f t="shared" si="181"/>
        <v>-18</v>
      </c>
      <c r="P109" s="400">
        <f t="shared" si="199"/>
        <v>450</v>
      </c>
      <c r="Q109" s="401">
        <f t="shared" si="182"/>
        <v>2</v>
      </c>
      <c r="R109" s="398">
        <f t="shared" si="182"/>
        <v>911</v>
      </c>
      <c r="S109" s="399">
        <f t="shared" si="182"/>
        <v>10</v>
      </c>
      <c r="T109" s="400">
        <f t="shared" si="200"/>
        <v>921</v>
      </c>
      <c r="U109" s="401">
        <f t="shared" si="183"/>
        <v>2</v>
      </c>
      <c r="V109" s="398">
        <f t="shared" si="183"/>
        <v>866</v>
      </c>
      <c r="W109" s="399">
        <f t="shared" si="183"/>
        <v>32</v>
      </c>
      <c r="X109" s="400">
        <f t="shared" si="201"/>
        <v>898</v>
      </c>
      <c r="Y109" s="401">
        <f t="shared" si="184"/>
        <v>0</v>
      </c>
      <c r="Z109" s="398">
        <f t="shared" si="184"/>
        <v>268</v>
      </c>
      <c r="AA109" s="399">
        <f t="shared" si="184"/>
        <v>9</v>
      </c>
      <c r="AB109" s="400">
        <f t="shared" si="202"/>
        <v>277</v>
      </c>
      <c r="AC109" s="401">
        <f t="shared" si="185"/>
        <v>0</v>
      </c>
      <c r="AD109" s="398">
        <f t="shared" si="185"/>
        <v>313</v>
      </c>
      <c r="AE109" s="399">
        <f t="shared" si="185"/>
        <v>12</v>
      </c>
      <c r="AF109" s="400">
        <f t="shared" si="203"/>
        <v>325</v>
      </c>
      <c r="AG109" s="401">
        <f t="shared" si="186"/>
        <v>0</v>
      </c>
      <c r="AH109" s="398">
        <f t="shared" si="186"/>
        <v>0</v>
      </c>
      <c r="AI109" s="399">
        <f t="shared" si="186"/>
        <v>0</v>
      </c>
      <c r="AJ109" s="400">
        <f t="shared" si="204"/>
        <v>0</v>
      </c>
      <c r="AK109" s="401">
        <f t="shared" si="187"/>
        <v>0</v>
      </c>
      <c r="AL109" s="398">
        <f t="shared" si="187"/>
        <v>0</v>
      </c>
      <c r="AM109" s="399">
        <f t="shared" si="187"/>
        <v>0</v>
      </c>
      <c r="AN109" s="400">
        <f t="shared" si="205"/>
        <v>0</v>
      </c>
      <c r="AO109" s="401">
        <f t="shared" si="188"/>
        <v>0</v>
      </c>
      <c r="AP109" s="398">
        <f t="shared" si="188"/>
        <v>0</v>
      </c>
      <c r="AQ109" s="399">
        <f t="shared" si="188"/>
        <v>0</v>
      </c>
      <c r="AR109" s="400">
        <f t="shared" si="206"/>
        <v>0</v>
      </c>
      <c r="AS109" s="401">
        <f t="shared" si="189"/>
        <v>0</v>
      </c>
      <c r="AT109" s="398">
        <f t="shared" si="189"/>
        <v>0</v>
      </c>
      <c r="AU109" s="399">
        <f t="shared" si="189"/>
        <v>0</v>
      </c>
      <c r="AV109" s="400">
        <f t="shared" si="207"/>
        <v>0</v>
      </c>
      <c r="AW109" s="401">
        <f t="shared" si="190"/>
        <v>0</v>
      </c>
      <c r="AX109" s="432">
        <f t="shared" si="208"/>
        <v>4622</v>
      </c>
      <c r="AY109" s="432">
        <f t="shared" si="208"/>
        <v>149</v>
      </c>
      <c r="AZ109" s="432">
        <f t="shared" si="193"/>
        <v>4771</v>
      </c>
      <c r="BA109" s="432">
        <f t="shared" si="192"/>
        <v>7</v>
      </c>
      <c r="BC109" s="395">
        <f t="shared" si="194"/>
        <v>325</v>
      </c>
      <c r="BD109" s="395">
        <f t="shared" si="195"/>
        <v>0</v>
      </c>
    </row>
    <row r="110" spans="1:56" ht="14.4" thickBot="1">
      <c r="A110" s="433" t="s">
        <v>16</v>
      </c>
      <c r="B110" s="417">
        <f t="shared" ref="B110:AG110" si="209">SUM(B100:B109)</f>
        <v>8624</v>
      </c>
      <c r="C110" s="419">
        <f t="shared" si="209"/>
        <v>118</v>
      </c>
      <c r="D110" s="419">
        <f t="shared" si="209"/>
        <v>8742</v>
      </c>
      <c r="E110" s="420">
        <f t="shared" si="209"/>
        <v>32</v>
      </c>
      <c r="F110" s="417">
        <f t="shared" si="209"/>
        <v>11618</v>
      </c>
      <c r="G110" s="419">
        <f t="shared" si="209"/>
        <v>241</v>
      </c>
      <c r="H110" s="419">
        <f t="shared" si="209"/>
        <v>11859</v>
      </c>
      <c r="I110" s="420">
        <f t="shared" si="209"/>
        <v>66</v>
      </c>
      <c r="J110" s="417">
        <f t="shared" si="209"/>
        <v>13460</v>
      </c>
      <c r="K110" s="419">
        <f t="shared" si="209"/>
        <v>363</v>
      </c>
      <c r="L110" s="419">
        <f t="shared" si="209"/>
        <v>13823</v>
      </c>
      <c r="M110" s="420">
        <f t="shared" si="209"/>
        <v>72</v>
      </c>
      <c r="N110" s="417">
        <f t="shared" si="209"/>
        <v>11083</v>
      </c>
      <c r="O110" s="419">
        <f t="shared" si="209"/>
        <v>367</v>
      </c>
      <c r="P110" s="419">
        <f t="shared" si="209"/>
        <v>11450</v>
      </c>
      <c r="Q110" s="420">
        <f t="shared" si="209"/>
        <v>64</v>
      </c>
      <c r="R110" s="417">
        <f t="shared" si="209"/>
        <v>12202</v>
      </c>
      <c r="S110" s="419">
        <f t="shared" si="209"/>
        <v>192</v>
      </c>
      <c r="T110" s="419">
        <f t="shared" si="209"/>
        <v>12394</v>
      </c>
      <c r="U110" s="420">
        <f t="shared" si="209"/>
        <v>54</v>
      </c>
      <c r="V110" s="417">
        <f t="shared" si="209"/>
        <v>12686</v>
      </c>
      <c r="W110" s="419">
        <f t="shared" si="209"/>
        <v>288</v>
      </c>
      <c r="X110" s="419">
        <f t="shared" si="209"/>
        <v>12974</v>
      </c>
      <c r="Y110" s="420">
        <f t="shared" si="209"/>
        <v>54</v>
      </c>
      <c r="Z110" s="417">
        <f t="shared" si="209"/>
        <v>11773</v>
      </c>
      <c r="AA110" s="419">
        <f t="shared" si="209"/>
        <v>244</v>
      </c>
      <c r="AB110" s="419">
        <f t="shared" si="209"/>
        <v>12017</v>
      </c>
      <c r="AC110" s="420">
        <f t="shared" si="209"/>
        <v>67</v>
      </c>
      <c r="AD110" s="417">
        <f t="shared" si="209"/>
        <v>12170</v>
      </c>
      <c r="AE110" s="419">
        <f t="shared" si="209"/>
        <v>230</v>
      </c>
      <c r="AF110" s="419">
        <f t="shared" si="209"/>
        <v>12400</v>
      </c>
      <c r="AG110" s="420">
        <f t="shared" si="209"/>
        <v>62</v>
      </c>
      <c r="AH110" s="417">
        <f t="shared" ref="AH110:BA110" si="210">SUM(AH100:AH109)</f>
        <v>0</v>
      </c>
      <c r="AI110" s="419">
        <f t="shared" si="210"/>
        <v>0</v>
      </c>
      <c r="AJ110" s="419">
        <f t="shared" si="210"/>
        <v>0</v>
      </c>
      <c r="AK110" s="420">
        <f t="shared" si="210"/>
        <v>0</v>
      </c>
      <c r="AL110" s="417">
        <f t="shared" si="210"/>
        <v>0</v>
      </c>
      <c r="AM110" s="419">
        <f t="shared" si="210"/>
        <v>0</v>
      </c>
      <c r="AN110" s="419">
        <f t="shared" si="210"/>
        <v>0</v>
      </c>
      <c r="AO110" s="420">
        <f t="shared" si="210"/>
        <v>0</v>
      </c>
      <c r="AP110" s="417">
        <f t="shared" si="210"/>
        <v>0</v>
      </c>
      <c r="AQ110" s="419">
        <f t="shared" si="210"/>
        <v>0</v>
      </c>
      <c r="AR110" s="419">
        <f t="shared" si="210"/>
        <v>0</v>
      </c>
      <c r="AS110" s="420">
        <f t="shared" si="210"/>
        <v>0</v>
      </c>
      <c r="AT110" s="417">
        <f t="shared" si="210"/>
        <v>0</v>
      </c>
      <c r="AU110" s="419">
        <f t="shared" si="210"/>
        <v>0</v>
      </c>
      <c r="AV110" s="419">
        <f t="shared" si="210"/>
        <v>0</v>
      </c>
      <c r="AW110" s="420">
        <f t="shared" si="210"/>
        <v>0</v>
      </c>
      <c r="AX110" s="434">
        <f t="shared" si="210"/>
        <v>93616</v>
      </c>
      <c r="AY110" s="434">
        <f t="shared" si="210"/>
        <v>2043</v>
      </c>
      <c r="AZ110" s="434">
        <f t="shared" si="210"/>
        <v>95659</v>
      </c>
      <c r="BA110" s="434">
        <f t="shared" si="210"/>
        <v>471</v>
      </c>
      <c r="BC110" s="395">
        <f t="shared" si="194"/>
        <v>12400</v>
      </c>
      <c r="BD110" s="395">
        <f t="shared" si="195"/>
        <v>62</v>
      </c>
    </row>
    <row r="111" spans="1:56">
      <c r="L111" s="117">
        <f>L110+H110+D110</f>
        <v>34424</v>
      </c>
      <c r="M111" s="395">
        <f>M110+I110+E110</f>
        <v>170</v>
      </c>
      <c r="P111" s="395">
        <f>P110+T110+X110</f>
        <v>36818</v>
      </c>
      <c r="Q111" s="395">
        <f>Q110+U110+Y110</f>
        <v>172</v>
      </c>
      <c r="AB111" s="395"/>
      <c r="AJ111" s="1243">
        <f>AJ110+AF110+AB110</f>
        <v>24417</v>
      </c>
      <c r="AK111" s="1243">
        <f>AK110+AG110+AC110</f>
        <v>129</v>
      </c>
      <c r="AV111" s="446">
        <f>AN110+AR110+AV110</f>
        <v>0</v>
      </c>
      <c r="AW111" s="446">
        <f>AO110+AS110+AW110</f>
        <v>0</v>
      </c>
      <c r="BC111" s="395"/>
      <c r="BD111" s="395"/>
    </row>
    <row r="112" spans="1:56" ht="18.600000000000001" thickBot="1">
      <c r="A112" s="394">
        <f>A81</f>
        <v>2024</v>
      </c>
      <c r="Q112" s="395">
        <f>Q115+P115</f>
        <v>2374</v>
      </c>
      <c r="AZ112" s="395">
        <f>BA115+AZ115</f>
        <v>17630</v>
      </c>
    </row>
    <row r="113" spans="1:56">
      <c r="A113" s="2815" t="s">
        <v>308</v>
      </c>
      <c r="B113" s="2827" t="s">
        <v>71</v>
      </c>
      <c r="C113" s="2828"/>
      <c r="D113" s="2828"/>
      <c r="E113" s="3091"/>
      <c r="F113" s="2829" t="s">
        <v>72</v>
      </c>
      <c r="G113" s="2830"/>
      <c r="H113" s="2830"/>
      <c r="I113" s="3095"/>
      <c r="J113" s="2817" t="s">
        <v>73</v>
      </c>
      <c r="K113" s="2818"/>
      <c r="L113" s="2818"/>
      <c r="M113" s="3094"/>
      <c r="N113" s="2819" t="s">
        <v>74</v>
      </c>
      <c r="O113" s="2820"/>
      <c r="P113" s="2820"/>
      <c r="Q113" s="3090"/>
      <c r="R113" s="2821" t="s">
        <v>75</v>
      </c>
      <c r="S113" s="2822"/>
      <c r="T113" s="2822"/>
      <c r="U113" s="3093"/>
      <c r="V113" s="2823" t="s">
        <v>76</v>
      </c>
      <c r="W113" s="2824"/>
      <c r="X113" s="2824"/>
      <c r="Y113" s="3089"/>
      <c r="Z113" s="2827" t="s">
        <v>77</v>
      </c>
      <c r="AA113" s="2828"/>
      <c r="AB113" s="2828"/>
      <c r="AC113" s="3091"/>
      <c r="AD113" s="2829" t="s">
        <v>78</v>
      </c>
      <c r="AE113" s="2830"/>
      <c r="AF113" s="2830"/>
      <c r="AG113" s="3095"/>
      <c r="AH113" s="2817" t="s">
        <v>79</v>
      </c>
      <c r="AI113" s="2818"/>
      <c r="AJ113" s="2818"/>
      <c r="AK113" s="3094"/>
      <c r="AL113" s="2819" t="s">
        <v>80</v>
      </c>
      <c r="AM113" s="2820"/>
      <c r="AN113" s="2820"/>
      <c r="AO113" s="3090"/>
      <c r="AP113" s="2821" t="s">
        <v>81</v>
      </c>
      <c r="AQ113" s="2822"/>
      <c r="AR113" s="2822"/>
      <c r="AS113" s="3093"/>
      <c r="AT113" s="2823" t="s">
        <v>82</v>
      </c>
      <c r="AU113" s="2824"/>
      <c r="AV113" s="2824"/>
      <c r="AW113" s="3089"/>
      <c r="AX113" s="2825" t="s">
        <v>83</v>
      </c>
      <c r="AY113" s="2826"/>
      <c r="AZ113" s="2826"/>
      <c r="BA113" s="3088"/>
    </row>
    <row r="114" spans="1:56" ht="14.4" thickBot="1">
      <c r="A114" s="2816"/>
      <c r="B114" s="402" t="s">
        <v>17</v>
      </c>
      <c r="C114" s="403" t="s">
        <v>18</v>
      </c>
      <c r="D114" s="403" t="s">
        <v>52</v>
      </c>
      <c r="E114" s="404" t="s">
        <v>19</v>
      </c>
      <c r="F114" s="402" t="s">
        <v>17</v>
      </c>
      <c r="G114" s="403" t="s">
        <v>18</v>
      </c>
      <c r="H114" s="403" t="s">
        <v>52</v>
      </c>
      <c r="I114" s="404" t="s">
        <v>19</v>
      </c>
      <c r="J114" s="402" t="s">
        <v>17</v>
      </c>
      <c r="K114" s="403" t="s">
        <v>18</v>
      </c>
      <c r="L114" s="403" t="s">
        <v>52</v>
      </c>
      <c r="M114" s="404" t="s">
        <v>19</v>
      </c>
      <c r="N114" s="402" t="s">
        <v>17</v>
      </c>
      <c r="O114" s="403" t="s">
        <v>18</v>
      </c>
      <c r="P114" s="403" t="s">
        <v>52</v>
      </c>
      <c r="Q114" s="404" t="s">
        <v>19</v>
      </c>
      <c r="R114" s="402" t="s">
        <v>17</v>
      </c>
      <c r="S114" s="403" t="s">
        <v>18</v>
      </c>
      <c r="T114" s="403" t="s">
        <v>52</v>
      </c>
      <c r="U114" s="404" t="s">
        <v>19</v>
      </c>
      <c r="V114" s="402" t="s">
        <v>17</v>
      </c>
      <c r="W114" s="403" t="s">
        <v>18</v>
      </c>
      <c r="X114" s="403" t="s">
        <v>52</v>
      </c>
      <c r="Y114" s="404" t="s">
        <v>19</v>
      </c>
      <c r="Z114" s="402" t="s">
        <v>17</v>
      </c>
      <c r="AA114" s="403" t="s">
        <v>18</v>
      </c>
      <c r="AB114" s="403" t="s">
        <v>52</v>
      </c>
      <c r="AC114" s="404" t="s">
        <v>19</v>
      </c>
      <c r="AD114" s="402" t="s">
        <v>17</v>
      </c>
      <c r="AE114" s="403" t="s">
        <v>18</v>
      </c>
      <c r="AF114" s="403" t="s">
        <v>52</v>
      </c>
      <c r="AG114" s="404" t="s">
        <v>19</v>
      </c>
      <c r="AH114" s="402" t="s">
        <v>17</v>
      </c>
      <c r="AI114" s="403" t="s">
        <v>18</v>
      </c>
      <c r="AJ114" s="403" t="s">
        <v>52</v>
      </c>
      <c r="AK114" s="404" t="s">
        <v>19</v>
      </c>
      <c r="AL114" s="402" t="s">
        <v>17</v>
      </c>
      <c r="AM114" s="403" t="s">
        <v>18</v>
      </c>
      <c r="AN114" s="403" t="s">
        <v>52</v>
      </c>
      <c r="AO114" s="404" t="s">
        <v>19</v>
      </c>
      <c r="AP114" s="1107" t="s">
        <v>17</v>
      </c>
      <c r="AQ114" s="403" t="s">
        <v>18</v>
      </c>
      <c r="AR114" s="403" t="s">
        <v>52</v>
      </c>
      <c r="AS114" s="404" t="s">
        <v>19</v>
      </c>
      <c r="AT114" s="402" t="s">
        <v>17</v>
      </c>
      <c r="AU114" s="403" t="s">
        <v>18</v>
      </c>
      <c r="AV114" s="403" t="s">
        <v>52</v>
      </c>
      <c r="AW114" s="404" t="s">
        <v>19</v>
      </c>
      <c r="AX114" s="403" t="s">
        <v>17</v>
      </c>
      <c r="AY114" s="403" t="s">
        <v>18</v>
      </c>
      <c r="AZ114" s="403" t="s">
        <v>52</v>
      </c>
      <c r="BA114" s="431" t="s">
        <v>19</v>
      </c>
      <c r="BC114" s="117" t="s">
        <v>265</v>
      </c>
      <c r="BD114" s="117" t="s">
        <v>266</v>
      </c>
    </row>
    <row r="115" spans="1:56" ht="14.4" thickBot="1">
      <c r="A115" s="397" t="s">
        <v>6</v>
      </c>
      <c r="B115" s="398">
        <f t="shared" ref="B115:C124" si="211">B84+B52</f>
        <v>2168</v>
      </c>
      <c r="C115" s="399">
        <f t="shared" si="211"/>
        <v>47</v>
      </c>
      <c r="D115" s="400">
        <f t="shared" ref="D115:D121" si="212">+B115+C115</f>
        <v>2215</v>
      </c>
      <c r="E115" s="401">
        <f t="shared" ref="E115:G124" si="213">E84+E52</f>
        <v>4</v>
      </c>
      <c r="F115" s="398">
        <f t="shared" si="213"/>
        <v>3302</v>
      </c>
      <c r="G115" s="398">
        <f t="shared" si="213"/>
        <v>157</v>
      </c>
      <c r="H115" s="400">
        <f>+F115+G115</f>
        <v>3459</v>
      </c>
      <c r="I115" s="401">
        <f t="shared" ref="I115:K124" si="214">I84+I52</f>
        <v>13</v>
      </c>
      <c r="J115" s="398">
        <f t="shared" si="214"/>
        <v>2192</v>
      </c>
      <c r="K115" s="398">
        <f t="shared" si="214"/>
        <v>46</v>
      </c>
      <c r="L115" s="400">
        <f>+J115+K115</f>
        <v>2238</v>
      </c>
      <c r="M115" s="401">
        <f t="shared" ref="M115:O124" si="215">M84+M52</f>
        <v>12</v>
      </c>
      <c r="N115" s="398">
        <f t="shared" si="215"/>
        <v>2315</v>
      </c>
      <c r="O115" s="398">
        <f t="shared" si="215"/>
        <v>43</v>
      </c>
      <c r="P115" s="400">
        <f>+N115+O115</f>
        <v>2358</v>
      </c>
      <c r="Q115" s="401">
        <f t="shared" ref="Q115:S124" si="216">Q84+Q52</f>
        <v>16</v>
      </c>
      <c r="R115" s="398">
        <f t="shared" si="216"/>
        <v>2028</v>
      </c>
      <c r="S115" s="399">
        <f t="shared" si="216"/>
        <v>153</v>
      </c>
      <c r="T115" s="400">
        <f>+R115+S115</f>
        <v>2181</v>
      </c>
      <c r="U115" s="401">
        <f t="shared" ref="U115:W124" si="217">U84+U52</f>
        <v>5</v>
      </c>
      <c r="V115" s="398">
        <f t="shared" si="217"/>
        <v>1635</v>
      </c>
      <c r="W115" s="399">
        <f t="shared" si="217"/>
        <v>76</v>
      </c>
      <c r="X115" s="400">
        <f>+V115+W115</f>
        <v>1711</v>
      </c>
      <c r="Y115" s="401">
        <f t="shared" ref="Y115:AA124" si="218">Y84+Y52</f>
        <v>4</v>
      </c>
      <c r="Z115" s="398">
        <f t="shared" si="218"/>
        <v>1340</v>
      </c>
      <c r="AA115" s="399">
        <f t="shared" si="218"/>
        <v>7</v>
      </c>
      <c r="AB115" s="400">
        <f>+Z115+AA115</f>
        <v>1347</v>
      </c>
      <c r="AC115" s="401">
        <f t="shared" ref="AC115:AE124" si="219">AC84+AC52</f>
        <v>6</v>
      </c>
      <c r="AD115" s="398">
        <f t="shared" si="219"/>
        <v>2036</v>
      </c>
      <c r="AE115" s="399">
        <f t="shared" si="219"/>
        <v>20</v>
      </c>
      <c r="AF115" s="400">
        <f>+AD115+AE115</f>
        <v>2056</v>
      </c>
      <c r="AG115" s="401">
        <f t="shared" ref="AG115:AI124" si="220">AG84+AG52</f>
        <v>5</v>
      </c>
      <c r="AH115" s="398">
        <f t="shared" si="220"/>
        <v>0</v>
      </c>
      <c r="AI115" s="399">
        <f t="shared" si="220"/>
        <v>0</v>
      </c>
      <c r="AJ115" s="400">
        <f>+AH115+AI115</f>
        <v>0</v>
      </c>
      <c r="AK115" s="401">
        <f t="shared" ref="AK115:AM124" si="221">AK84+AK52</f>
        <v>0</v>
      </c>
      <c r="AL115" s="398">
        <f t="shared" si="221"/>
        <v>0</v>
      </c>
      <c r="AM115" s="399">
        <f t="shared" si="221"/>
        <v>0</v>
      </c>
      <c r="AN115" s="400">
        <f>+AL115+AM115</f>
        <v>0</v>
      </c>
      <c r="AO115" s="401">
        <f t="shared" ref="AO115:AQ124" si="222">AO84+AO52</f>
        <v>0</v>
      </c>
      <c r="AP115" s="398">
        <f t="shared" si="222"/>
        <v>0</v>
      </c>
      <c r="AQ115" s="399">
        <f t="shared" si="222"/>
        <v>0</v>
      </c>
      <c r="AR115" s="400">
        <f>+AP115+AQ115</f>
        <v>0</v>
      </c>
      <c r="AS115" s="401">
        <f t="shared" ref="AS115:AU124" si="223">AS84+AS52</f>
        <v>0</v>
      </c>
      <c r="AT115" s="398">
        <f t="shared" si="223"/>
        <v>0</v>
      </c>
      <c r="AU115" s="399">
        <f t="shared" si="223"/>
        <v>0</v>
      </c>
      <c r="AV115" s="400">
        <f>+AT115+AU115</f>
        <v>0</v>
      </c>
      <c r="AW115" s="401">
        <f t="shared" ref="AW115:AW124" si="224">AW84+AW52</f>
        <v>0</v>
      </c>
      <c r="AX115" s="432">
        <f>B115+F115+J115+N115+R115+V115+Z115+AD115+AH115+AL115+AP115+AT115</f>
        <v>17016</v>
      </c>
      <c r="AY115" s="432">
        <f t="shared" ref="AY115:AY124" si="225">C115+G115+K115+O115+S115+W115+AA115+AE115+AI115+AM115+AQ115+AU115</f>
        <v>549</v>
      </c>
      <c r="AZ115" s="432">
        <f>AX115+AY115</f>
        <v>17565</v>
      </c>
      <c r="BA115" s="432">
        <f t="shared" ref="BA115:BA124" si="226">E115+I115+M115+Q115+U115+Y115+AC115+AG115+AK115+AO115+AS115+AW115</f>
        <v>65</v>
      </c>
      <c r="BC115" s="395">
        <f>AF115</f>
        <v>2056</v>
      </c>
      <c r="BD115" s="395">
        <f>AG115</f>
        <v>5</v>
      </c>
    </row>
    <row r="116" spans="1:56" ht="14.4" thickBot="1">
      <c r="A116" s="397" t="s">
        <v>7</v>
      </c>
      <c r="B116" s="398">
        <f t="shared" si="211"/>
        <v>1051</v>
      </c>
      <c r="C116" s="399">
        <f t="shared" si="211"/>
        <v>28</v>
      </c>
      <c r="D116" s="400">
        <f t="shared" si="212"/>
        <v>1079</v>
      </c>
      <c r="E116" s="401">
        <f t="shared" si="213"/>
        <v>0</v>
      </c>
      <c r="F116" s="398">
        <f t="shared" si="213"/>
        <v>1506</v>
      </c>
      <c r="G116" s="398">
        <f t="shared" si="213"/>
        <v>39</v>
      </c>
      <c r="H116" s="400">
        <f>+F116+G116</f>
        <v>1545</v>
      </c>
      <c r="I116" s="401">
        <f t="shared" si="214"/>
        <v>3</v>
      </c>
      <c r="J116" s="398">
        <f t="shared" si="214"/>
        <v>1139</v>
      </c>
      <c r="K116" s="398">
        <f t="shared" si="214"/>
        <v>19</v>
      </c>
      <c r="L116" s="400">
        <f>+J116+K116</f>
        <v>1158</v>
      </c>
      <c r="M116" s="401">
        <f t="shared" si="215"/>
        <v>12</v>
      </c>
      <c r="N116" s="398">
        <f t="shared" si="215"/>
        <v>924</v>
      </c>
      <c r="O116" s="398">
        <f t="shared" si="215"/>
        <v>31</v>
      </c>
      <c r="P116" s="400">
        <f>+N116+O116</f>
        <v>955</v>
      </c>
      <c r="Q116" s="401">
        <f t="shared" si="216"/>
        <v>9</v>
      </c>
      <c r="R116" s="398">
        <f t="shared" si="216"/>
        <v>987</v>
      </c>
      <c r="S116" s="399">
        <f t="shared" si="216"/>
        <v>17</v>
      </c>
      <c r="T116" s="400">
        <f>+R116+S116</f>
        <v>1004</v>
      </c>
      <c r="U116" s="401">
        <f t="shared" si="217"/>
        <v>7</v>
      </c>
      <c r="V116" s="398">
        <f t="shared" si="217"/>
        <v>1197</v>
      </c>
      <c r="W116" s="399">
        <f t="shared" si="217"/>
        <v>16</v>
      </c>
      <c r="X116" s="400">
        <f>+V116+W116</f>
        <v>1213</v>
      </c>
      <c r="Y116" s="401">
        <f t="shared" si="218"/>
        <v>12</v>
      </c>
      <c r="Z116" s="398">
        <f t="shared" si="218"/>
        <v>862</v>
      </c>
      <c r="AA116" s="399">
        <f t="shared" si="218"/>
        <v>65</v>
      </c>
      <c r="AB116" s="400">
        <f>+Z116+AA116</f>
        <v>927</v>
      </c>
      <c r="AC116" s="401">
        <f t="shared" si="219"/>
        <v>6</v>
      </c>
      <c r="AD116" s="398">
        <f t="shared" si="219"/>
        <v>1208</v>
      </c>
      <c r="AE116" s="399">
        <f t="shared" si="219"/>
        <v>38</v>
      </c>
      <c r="AF116" s="400">
        <f>+AD116+AE116</f>
        <v>1246</v>
      </c>
      <c r="AG116" s="401">
        <f t="shared" si="220"/>
        <v>8</v>
      </c>
      <c r="AH116" s="398">
        <f t="shared" si="220"/>
        <v>0</v>
      </c>
      <c r="AI116" s="399">
        <f t="shared" si="220"/>
        <v>0</v>
      </c>
      <c r="AJ116" s="400">
        <f>+AH116+AI116</f>
        <v>0</v>
      </c>
      <c r="AK116" s="401">
        <f t="shared" si="221"/>
        <v>0</v>
      </c>
      <c r="AL116" s="398">
        <f t="shared" si="221"/>
        <v>0</v>
      </c>
      <c r="AM116" s="399">
        <f t="shared" si="221"/>
        <v>0</v>
      </c>
      <c r="AN116" s="400">
        <f>+AL116+AM116</f>
        <v>0</v>
      </c>
      <c r="AO116" s="401">
        <f t="shared" si="222"/>
        <v>0</v>
      </c>
      <c r="AP116" s="398">
        <f t="shared" si="222"/>
        <v>0</v>
      </c>
      <c r="AQ116" s="399">
        <f t="shared" si="222"/>
        <v>0</v>
      </c>
      <c r="AR116" s="400">
        <f>+AP116+AQ116</f>
        <v>0</v>
      </c>
      <c r="AS116" s="401">
        <f t="shared" si="223"/>
        <v>0</v>
      </c>
      <c r="AT116" s="398">
        <f t="shared" si="223"/>
        <v>0</v>
      </c>
      <c r="AU116" s="399">
        <f t="shared" si="223"/>
        <v>0</v>
      </c>
      <c r="AV116" s="400">
        <f>+AT116+AU116</f>
        <v>0</v>
      </c>
      <c r="AW116" s="401">
        <f t="shared" si="224"/>
        <v>0</v>
      </c>
      <c r="AX116" s="432">
        <f>B116+F116+J116+N116+R116+V116+Z116+AD116+AH116+AL116+AP116+AT116</f>
        <v>8874</v>
      </c>
      <c r="AY116" s="432">
        <f t="shared" si="225"/>
        <v>253</v>
      </c>
      <c r="AZ116" s="432">
        <f t="shared" ref="AZ116:AZ124" si="227">AX116+AY116</f>
        <v>9127</v>
      </c>
      <c r="BA116" s="432">
        <f t="shared" si="226"/>
        <v>57</v>
      </c>
      <c r="BC116" s="395">
        <f t="shared" ref="BC116:BC125" si="228">AF116</f>
        <v>1246</v>
      </c>
      <c r="BD116" s="395">
        <f t="shared" ref="BD116:BD125" si="229">AG116</f>
        <v>8</v>
      </c>
    </row>
    <row r="117" spans="1:56" ht="14.4" thickBot="1">
      <c r="A117" s="397" t="s">
        <v>8</v>
      </c>
      <c r="B117" s="398">
        <f t="shared" si="211"/>
        <v>706</v>
      </c>
      <c r="C117" s="399">
        <f t="shared" si="211"/>
        <v>37</v>
      </c>
      <c r="D117" s="400">
        <f t="shared" si="212"/>
        <v>743</v>
      </c>
      <c r="E117" s="401">
        <f t="shared" si="213"/>
        <v>8</v>
      </c>
      <c r="F117" s="398">
        <f t="shared" si="213"/>
        <v>1462</v>
      </c>
      <c r="G117" s="398">
        <f t="shared" si="213"/>
        <v>44</v>
      </c>
      <c r="H117" s="400">
        <f>+F117+G117</f>
        <v>1506</v>
      </c>
      <c r="I117" s="401">
        <f t="shared" si="214"/>
        <v>6</v>
      </c>
      <c r="J117" s="398">
        <f t="shared" si="214"/>
        <v>1163</v>
      </c>
      <c r="K117" s="398">
        <f t="shared" si="214"/>
        <v>55</v>
      </c>
      <c r="L117" s="400">
        <f>+J117+K117</f>
        <v>1218</v>
      </c>
      <c r="M117" s="401">
        <f t="shared" si="215"/>
        <v>0</v>
      </c>
      <c r="N117" s="398">
        <f t="shared" si="215"/>
        <v>762</v>
      </c>
      <c r="O117" s="398">
        <f t="shared" si="215"/>
        <v>73</v>
      </c>
      <c r="P117" s="400">
        <f>+N117+O117</f>
        <v>835</v>
      </c>
      <c r="Q117" s="401">
        <f t="shared" si="216"/>
        <v>2</v>
      </c>
      <c r="R117" s="398">
        <f t="shared" si="216"/>
        <v>980</v>
      </c>
      <c r="S117" s="399">
        <f t="shared" si="216"/>
        <v>36</v>
      </c>
      <c r="T117" s="400">
        <f>+R117+S117</f>
        <v>1016</v>
      </c>
      <c r="U117" s="401">
        <f t="shared" si="217"/>
        <v>10</v>
      </c>
      <c r="V117" s="398">
        <f t="shared" si="217"/>
        <v>1058</v>
      </c>
      <c r="W117" s="399">
        <f t="shared" si="217"/>
        <v>71</v>
      </c>
      <c r="X117" s="400">
        <f>+V117+W117</f>
        <v>1129</v>
      </c>
      <c r="Y117" s="401">
        <f t="shared" si="218"/>
        <v>9</v>
      </c>
      <c r="Z117" s="398">
        <f t="shared" si="218"/>
        <v>864</v>
      </c>
      <c r="AA117" s="399">
        <f t="shared" si="218"/>
        <v>38</v>
      </c>
      <c r="AB117" s="400">
        <f>+Z117+AA117</f>
        <v>902</v>
      </c>
      <c r="AC117" s="401">
        <f t="shared" si="219"/>
        <v>9</v>
      </c>
      <c r="AD117" s="398">
        <f t="shared" si="219"/>
        <v>1226</v>
      </c>
      <c r="AE117" s="399">
        <f t="shared" si="219"/>
        <v>85</v>
      </c>
      <c r="AF117" s="400">
        <f>+AD117+AE117</f>
        <v>1311</v>
      </c>
      <c r="AG117" s="401">
        <f t="shared" si="220"/>
        <v>3</v>
      </c>
      <c r="AH117" s="398">
        <f t="shared" si="220"/>
        <v>0</v>
      </c>
      <c r="AI117" s="399">
        <f t="shared" si="220"/>
        <v>0</v>
      </c>
      <c r="AJ117" s="400">
        <f>+AH117+AI117</f>
        <v>0</v>
      </c>
      <c r="AK117" s="401">
        <f t="shared" si="221"/>
        <v>0</v>
      </c>
      <c r="AL117" s="398">
        <f t="shared" si="221"/>
        <v>0</v>
      </c>
      <c r="AM117" s="399">
        <f t="shared" si="221"/>
        <v>0</v>
      </c>
      <c r="AN117" s="400">
        <f>+AL117+AM117</f>
        <v>0</v>
      </c>
      <c r="AO117" s="401">
        <f t="shared" si="222"/>
        <v>0</v>
      </c>
      <c r="AP117" s="398">
        <f t="shared" si="222"/>
        <v>0</v>
      </c>
      <c r="AQ117" s="399">
        <f t="shared" si="222"/>
        <v>0</v>
      </c>
      <c r="AR117" s="400">
        <f>+AP117+AQ117</f>
        <v>0</v>
      </c>
      <c r="AS117" s="401">
        <f t="shared" si="223"/>
        <v>0</v>
      </c>
      <c r="AT117" s="398">
        <f t="shared" si="223"/>
        <v>0</v>
      </c>
      <c r="AU117" s="399">
        <f t="shared" si="223"/>
        <v>0</v>
      </c>
      <c r="AV117" s="400">
        <f>+AT117+AU117</f>
        <v>0</v>
      </c>
      <c r="AW117" s="401">
        <f t="shared" si="224"/>
        <v>0</v>
      </c>
      <c r="AX117" s="432">
        <f t="shared" ref="AX117:AX124" si="230">B117+F117+J117+N117+R117+V117+Z117+AD117+AH117+AL117+AP117+AT117</f>
        <v>8221</v>
      </c>
      <c r="AY117" s="432">
        <f t="shared" si="225"/>
        <v>439</v>
      </c>
      <c r="AZ117" s="432">
        <f t="shared" si="227"/>
        <v>8660</v>
      </c>
      <c r="BA117" s="432">
        <f t="shared" si="226"/>
        <v>47</v>
      </c>
      <c r="BC117" s="395">
        <f t="shared" si="228"/>
        <v>1311</v>
      </c>
      <c r="BD117" s="395">
        <f t="shared" si="229"/>
        <v>3</v>
      </c>
    </row>
    <row r="118" spans="1:56" ht="14.4" thickBot="1">
      <c r="A118" s="397" t="s">
        <v>4</v>
      </c>
      <c r="B118" s="398">
        <f t="shared" si="211"/>
        <v>2188</v>
      </c>
      <c r="C118" s="399">
        <f t="shared" si="211"/>
        <v>66</v>
      </c>
      <c r="D118" s="400">
        <f t="shared" si="212"/>
        <v>2254</v>
      </c>
      <c r="E118" s="401">
        <f t="shared" si="213"/>
        <v>6</v>
      </c>
      <c r="F118" s="398">
        <f t="shared" si="213"/>
        <v>1252</v>
      </c>
      <c r="G118" s="398">
        <f t="shared" si="213"/>
        <v>13</v>
      </c>
      <c r="H118" s="400">
        <f t="shared" ref="H118:H124" si="231">+F118+G118</f>
        <v>1265</v>
      </c>
      <c r="I118" s="401">
        <f t="shared" si="214"/>
        <v>2</v>
      </c>
      <c r="J118" s="398">
        <f t="shared" si="214"/>
        <v>1437</v>
      </c>
      <c r="K118" s="398">
        <f t="shared" si="214"/>
        <v>42</v>
      </c>
      <c r="L118" s="400">
        <f t="shared" ref="L118:L124" si="232">+J118+K118</f>
        <v>1479</v>
      </c>
      <c r="M118" s="401">
        <f t="shared" si="215"/>
        <v>3</v>
      </c>
      <c r="N118" s="398">
        <f t="shared" si="215"/>
        <v>2589</v>
      </c>
      <c r="O118" s="398">
        <f t="shared" si="215"/>
        <v>85</v>
      </c>
      <c r="P118" s="400">
        <f t="shared" ref="P118:P124" si="233">+N118+O118</f>
        <v>2674</v>
      </c>
      <c r="Q118" s="401">
        <f t="shared" si="216"/>
        <v>4</v>
      </c>
      <c r="R118" s="398">
        <f t="shared" si="216"/>
        <v>2460</v>
      </c>
      <c r="S118" s="399">
        <f t="shared" si="216"/>
        <v>58</v>
      </c>
      <c r="T118" s="400">
        <f t="shared" ref="T118:T124" si="234">+R118+S118</f>
        <v>2518</v>
      </c>
      <c r="U118" s="401">
        <f t="shared" si="217"/>
        <v>2</v>
      </c>
      <c r="V118" s="398">
        <f t="shared" si="217"/>
        <v>1689</v>
      </c>
      <c r="W118" s="399">
        <f t="shared" si="217"/>
        <v>29</v>
      </c>
      <c r="X118" s="400">
        <f t="shared" ref="X118:X124" si="235">+V118+W118</f>
        <v>1718</v>
      </c>
      <c r="Y118" s="401">
        <f t="shared" si="218"/>
        <v>1</v>
      </c>
      <c r="Z118" s="398">
        <f t="shared" si="218"/>
        <v>1844</v>
      </c>
      <c r="AA118" s="399">
        <f t="shared" si="218"/>
        <v>22</v>
      </c>
      <c r="AB118" s="400">
        <f t="shared" ref="AB118:AB124" si="236">+Z118+AA118</f>
        <v>1866</v>
      </c>
      <c r="AC118" s="401">
        <f t="shared" si="219"/>
        <v>4</v>
      </c>
      <c r="AD118" s="398">
        <f t="shared" si="219"/>
        <v>1759</v>
      </c>
      <c r="AE118" s="399">
        <f t="shared" si="219"/>
        <v>35</v>
      </c>
      <c r="AF118" s="400">
        <f t="shared" ref="AF118:AF124" si="237">+AD118+AE118</f>
        <v>1794</v>
      </c>
      <c r="AG118" s="401">
        <f t="shared" si="220"/>
        <v>3</v>
      </c>
      <c r="AH118" s="398">
        <f t="shared" si="220"/>
        <v>0</v>
      </c>
      <c r="AI118" s="399">
        <f t="shared" si="220"/>
        <v>0</v>
      </c>
      <c r="AJ118" s="400">
        <f>+AH118+AI118</f>
        <v>0</v>
      </c>
      <c r="AK118" s="401">
        <f t="shared" si="221"/>
        <v>0</v>
      </c>
      <c r="AL118" s="398">
        <f t="shared" si="221"/>
        <v>0</v>
      </c>
      <c r="AM118" s="399">
        <f t="shared" si="221"/>
        <v>0</v>
      </c>
      <c r="AN118" s="400">
        <f t="shared" ref="AN118:AN124" si="238">+AL118+AM118</f>
        <v>0</v>
      </c>
      <c r="AO118" s="401">
        <f t="shared" si="222"/>
        <v>0</v>
      </c>
      <c r="AP118" s="398">
        <f t="shared" si="222"/>
        <v>0</v>
      </c>
      <c r="AQ118" s="399">
        <f t="shared" si="222"/>
        <v>0</v>
      </c>
      <c r="AR118" s="400">
        <f t="shared" ref="AR118:AR124" si="239">+AP118+AQ118</f>
        <v>0</v>
      </c>
      <c r="AS118" s="401">
        <f t="shared" si="223"/>
        <v>0</v>
      </c>
      <c r="AT118" s="398">
        <f t="shared" si="223"/>
        <v>0</v>
      </c>
      <c r="AU118" s="399">
        <f t="shared" si="223"/>
        <v>0</v>
      </c>
      <c r="AV118" s="400">
        <f t="shared" ref="AV118:AV124" si="240">+AT118+AU118</f>
        <v>0</v>
      </c>
      <c r="AW118" s="401">
        <f t="shared" si="224"/>
        <v>0</v>
      </c>
      <c r="AX118" s="432">
        <f>B118+F118+J118+N118+R118+V118+Z118+AD118+AH118+AL118+AP118+AT118</f>
        <v>15218</v>
      </c>
      <c r="AY118" s="432">
        <f t="shared" si="225"/>
        <v>350</v>
      </c>
      <c r="AZ118" s="432">
        <f>AX118+AY118</f>
        <v>15568</v>
      </c>
      <c r="BA118" s="432">
        <f t="shared" si="226"/>
        <v>25</v>
      </c>
      <c r="BC118" s="395">
        <f t="shared" si="228"/>
        <v>1794</v>
      </c>
      <c r="BD118" s="395">
        <f t="shared" si="229"/>
        <v>3</v>
      </c>
    </row>
    <row r="119" spans="1:56" ht="14.4" thickBot="1">
      <c r="A119" s="397" t="s">
        <v>3</v>
      </c>
      <c r="B119" s="398">
        <f t="shared" si="211"/>
        <v>493</v>
      </c>
      <c r="C119" s="399">
        <f t="shared" si="211"/>
        <v>22</v>
      </c>
      <c r="D119" s="400">
        <f t="shared" si="212"/>
        <v>515</v>
      </c>
      <c r="E119" s="401">
        <f t="shared" si="213"/>
        <v>28</v>
      </c>
      <c r="F119" s="398">
        <f t="shared" si="213"/>
        <v>529</v>
      </c>
      <c r="G119" s="398">
        <f t="shared" si="213"/>
        <v>31</v>
      </c>
      <c r="H119" s="400">
        <f t="shared" si="231"/>
        <v>560</v>
      </c>
      <c r="I119" s="401">
        <f t="shared" si="214"/>
        <v>29</v>
      </c>
      <c r="J119" s="398">
        <f t="shared" si="214"/>
        <v>666</v>
      </c>
      <c r="K119" s="398">
        <f t="shared" si="214"/>
        <v>41</v>
      </c>
      <c r="L119" s="400">
        <f t="shared" si="232"/>
        <v>707</v>
      </c>
      <c r="M119" s="401">
        <f t="shared" si="215"/>
        <v>36</v>
      </c>
      <c r="N119" s="398">
        <f t="shared" si="215"/>
        <v>647</v>
      </c>
      <c r="O119" s="398">
        <f t="shared" si="215"/>
        <v>12</v>
      </c>
      <c r="P119" s="400">
        <f t="shared" si="233"/>
        <v>659</v>
      </c>
      <c r="Q119" s="401">
        <f t="shared" si="216"/>
        <v>19</v>
      </c>
      <c r="R119" s="398">
        <f t="shared" si="216"/>
        <v>669</v>
      </c>
      <c r="S119" s="399">
        <f t="shared" si="216"/>
        <v>32</v>
      </c>
      <c r="T119" s="400">
        <f t="shared" si="234"/>
        <v>701</v>
      </c>
      <c r="U119" s="401">
        <f t="shared" si="217"/>
        <v>31</v>
      </c>
      <c r="V119" s="398">
        <f t="shared" si="217"/>
        <v>785</v>
      </c>
      <c r="W119" s="399">
        <f t="shared" si="217"/>
        <v>20</v>
      </c>
      <c r="X119" s="400">
        <f t="shared" si="235"/>
        <v>805</v>
      </c>
      <c r="Y119" s="401">
        <f t="shared" si="218"/>
        <v>18</v>
      </c>
      <c r="Z119" s="398">
        <f t="shared" si="218"/>
        <v>757</v>
      </c>
      <c r="AA119" s="399">
        <f t="shared" si="218"/>
        <v>151</v>
      </c>
      <c r="AB119" s="400">
        <f t="shared" si="236"/>
        <v>908</v>
      </c>
      <c r="AC119" s="401">
        <f t="shared" si="219"/>
        <v>20</v>
      </c>
      <c r="AD119" s="398">
        <f t="shared" si="219"/>
        <v>788</v>
      </c>
      <c r="AE119" s="399">
        <f t="shared" si="219"/>
        <v>16</v>
      </c>
      <c r="AF119" s="400">
        <f t="shared" si="237"/>
        <v>804</v>
      </c>
      <c r="AG119" s="401">
        <f t="shared" si="220"/>
        <v>20</v>
      </c>
      <c r="AH119" s="398">
        <f t="shared" si="220"/>
        <v>0</v>
      </c>
      <c r="AI119" s="399">
        <f t="shared" si="220"/>
        <v>0</v>
      </c>
      <c r="AJ119" s="400">
        <f t="shared" ref="AJ119:AJ124" si="241">+AH119+AI119</f>
        <v>0</v>
      </c>
      <c r="AK119" s="401">
        <f t="shared" si="221"/>
        <v>0</v>
      </c>
      <c r="AL119" s="398">
        <f t="shared" si="221"/>
        <v>0</v>
      </c>
      <c r="AM119" s="399">
        <f t="shared" si="221"/>
        <v>0</v>
      </c>
      <c r="AN119" s="400">
        <f t="shared" si="238"/>
        <v>0</v>
      </c>
      <c r="AO119" s="401">
        <f t="shared" si="222"/>
        <v>0</v>
      </c>
      <c r="AP119" s="398">
        <f t="shared" si="222"/>
        <v>0</v>
      </c>
      <c r="AQ119" s="399">
        <f t="shared" si="222"/>
        <v>0</v>
      </c>
      <c r="AR119" s="400">
        <f t="shared" si="239"/>
        <v>0</v>
      </c>
      <c r="AS119" s="401">
        <f t="shared" si="223"/>
        <v>0</v>
      </c>
      <c r="AT119" s="398">
        <f t="shared" si="223"/>
        <v>0</v>
      </c>
      <c r="AU119" s="399">
        <f t="shared" si="223"/>
        <v>0</v>
      </c>
      <c r="AV119" s="400">
        <f t="shared" si="240"/>
        <v>0</v>
      </c>
      <c r="AW119" s="401">
        <f t="shared" si="224"/>
        <v>0</v>
      </c>
      <c r="AX119" s="432">
        <f t="shared" si="230"/>
        <v>5334</v>
      </c>
      <c r="AY119" s="432">
        <f t="shared" si="225"/>
        <v>325</v>
      </c>
      <c r="AZ119" s="432">
        <f t="shared" si="227"/>
        <v>5659</v>
      </c>
      <c r="BA119" s="432">
        <f t="shared" si="226"/>
        <v>201</v>
      </c>
      <c r="BC119" s="395">
        <f t="shared" si="228"/>
        <v>804</v>
      </c>
      <c r="BD119" s="395">
        <f t="shared" si="229"/>
        <v>20</v>
      </c>
    </row>
    <row r="120" spans="1:56" ht="14.4" thickBot="1">
      <c r="A120" s="397" t="s">
        <v>397</v>
      </c>
      <c r="B120" s="398">
        <f t="shared" si="211"/>
        <v>572</v>
      </c>
      <c r="C120" s="399">
        <f t="shared" si="211"/>
        <v>74</v>
      </c>
      <c r="D120" s="400">
        <f t="shared" si="212"/>
        <v>646</v>
      </c>
      <c r="E120" s="401">
        <f t="shared" si="213"/>
        <v>1</v>
      </c>
      <c r="F120" s="398">
        <f t="shared" si="213"/>
        <v>677</v>
      </c>
      <c r="G120" s="398">
        <f t="shared" si="213"/>
        <v>18</v>
      </c>
      <c r="H120" s="400">
        <f t="shared" si="231"/>
        <v>695</v>
      </c>
      <c r="I120" s="401">
        <f t="shared" si="214"/>
        <v>4</v>
      </c>
      <c r="J120" s="398">
        <f t="shared" si="214"/>
        <v>786</v>
      </c>
      <c r="K120" s="398">
        <f t="shared" si="214"/>
        <v>31</v>
      </c>
      <c r="L120" s="400">
        <f t="shared" si="232"/>
        <v>817</v>
      </c>
      <c r="M120" s="401">
        <f t="shared" si="215"/>
        <v>6</v>
      </c>
      <c r="N120" s="398">
        <f t="shared" si="215"/>
        <v>920</v>
      </c>
      <c r="O120" s="398">
        <f t="shared" si="215"/>
        <v>21</v>
      </c>
      <c r="P120" s="400">
        <f t="shared" si="233"/>
        <v>941</v>
      </c>
      <c r="Q120" s="401">
        <f t="shared" si="216"/>
        <v>2</v>
      </c>
      <c r="R120" s="398">
        <f t="shared" si="216"/>
        <v>917</v>
      </c>
      <c r="S120" s="399">
        <f t="shared" si="216"/>
        <v>21</v>
      </c>
      <c r="T120" s="400">
        <f t="shared" si="234"/>
        <v>938</v>
      </c>
      <c r="U120" s="401">
        <f t="shared" si="217"/>
        <v>11</v>
      </c>
      <c r="V120" s="398">
        <f t="shared" si="217"/>
        <v>640</v>
      </c>
      <c r="W120" s="399">
        <f t="shared" si="217"/>
        <v>38</v>
      </c>
      <c r="X120" s="400">
        <f t="shared" si="235"/>
        <v>678</v>
      </c>
      <c r="Y120" s="401">
        <f t="shared" si="218"/>
        <v>10</v>
      </c>
      <c r="Z120" s="398">
        <f t="shared" si="218"/>
        <v>799</v>
      </c>
      <c r="AA120" s="399">
        <f t="shared" si="218"/>
        <v>63</v>
      </c>
      <c r="AB120" s="400">
        <f t="shared" si="236"/>
        <v>862</v>
      </c>
      <c r="AC120" s="401">
        <f t="shared" si="219"/>
        <v>11</v>
      </c>
      <c r="AD120" s="398">
        <f t="shared" si="219"/>
        <v>801</v>
      </c>
      <c r="AE120" s="399">
        <f t="shared" si="219"/>
        <v>26</v>
      </c>
      <c r="AF120" s="400">
        <f t="shared" si="237"/>
        <v>827</v>
      </c>
      <c r="AG120" s="401">
        <f t="shared" si="220"/>
        <v>0</v>
      </c>
      <c r="AH120" s="398">
        <f t="shared" si="220"/>
        <v>0</v>
      </c>
      <c r="AI120" s="399">
        <f t="shared" si="220"/>
        <v>0</v>
      </c>
      <c r="AJ120" s="400">
        <f t="shared" si="241"/>
        <v>0</v>
      </c>
      <c r="AK120" s="401">
        <f t="shared" si="221"/>
        <v>0</v>
      </c>
      <c r="AL120" s="398">
        <f t="shared" si="221"/>
        <v>0</v>
      </c>
      <c r="AM120" s="399">
        <f t="shared" si="221"/>
        <v>0</v>
      </c>
      <c r="AN120" s="400">
        <f t="shared" si="238"/>
        <v>0</v>
      </c>
      <c r="AO120" s="401">
        <f t="shared" si="222"/>
        <v>0</v>
      </c>
      <c r="AP120" s="398">
        <f t="shared" si="222"/>
        <v>0</v>
      </c>
      <c r="AQ120" s="399">
        <f t="shared" si="222"/>
        <v>0</v>
      </c>
      <c r="AR120" s="400">
        <f t="shared" si="239"/>
        <v>0</v>
      </c>
      <c r="AS120" s="401">
        <f t="shared" si="223"/>
        <v>0</v>
      </c>
      <c r="AT120" s="398">
        <f t="shared" si="223"/>
        <v>0</v>
      </c>
      <c r="AU120" s="399">
        <f t="shared" si="223"/>
        <v>0</v>
      </c>
      <c r="AV120" s="400">
        <f t="shared" si="240"/>
        <v>0</v>
      </c>
      <c r="AW120" s="401">
        <f t="shared" si="224"/>
        <v>0</v>
      </c>
      <c r="AX120" s="432">
        <f t="shared" si="230"/>
        <v>6112</v>
      </c>
      <c r="AY120" s="432">
        <f t="shared" si="225"/>
        <v>292</v>
      </c>
      <c r="AZ120" s="432">
        <f t="shared" si="227"/>
        <v>6404</v>
      </c>
      <c r="BA120" s="432">
        <f t="shared" si="226"/>
        <v>45</v>
      </c>
      <c r="BC120" s="395">
        <f t="shared" si="228"/>
        <v>827</v>
      </c>
      <c r="BD120" s="395">
        <f t="shared" si="229"/>
        <v>0</v>
      </c>
    </row>
    <row r="121" spans="1:56" ht="14.4" thickBot="1">
      <c r="A121" s="397" t="s">
        <v>399</v>
      </c>
      <c r="B121" s="398">
        <f t="shared" si="211"/>
        <v>832</v>
      </c>
      <c r="C121" s="399">
        <f t="shared" si="211"/>
        <v>47</v>
      </c>
      <c r="D121" s="400">
        <f t="shared" si="212"/>
        <v>879</v>
      </c>
      <c r="E121" s="401">
        <f t="shared" si="213"/>
        <v>2</v>
      </c>
      <c r="F121" s="398">
        <f t="shared" si="213"/>
        <v>1360</v>
      </c>
      <c r="G121" s="398">
        <f t="shared" si="213"/>
        <v>39</v>
      </c>
      <c r="H121" s="400">
        <f t="shared" si="231"/>
        <v>1399</v>
      </c>
      <c r="I121" s="401">
        <f t="shared" si="214"/>
        <v>3</v>
      </c>
      <c r="J121" s="398">
        <f t="shared" si="214"/>
        <v>2601</v>
      </c>
      <c r="K121" s="398">
        <f t="shared" si="214"/>
        <v>28</v>
      </c>
      <c r="L121" s="400">
        <f t="shared" si="232"/>
        <v>2629</v>
      </c>
      <c r="M121" s="401">
        <f t="shared" si="215"/>
        <v>5</v>
      </c>
      <c r="N121" s="398">
        <f t="shared" si="215"/>
        <v>1592</v>
      </c>
      <c r="O121" s="398">
        <f t="shared" si="215"/>
        <v>33</v>
      </c>
      <c r="P121" s="400">
        <f t="shared" si="233"/>
        <v>1625</v>
      </c>
      <c r="Q121" s="401">
        <f t="shared" si="216"/>
        <v>4</v>
      </c>
      <c r="R121" s="398">
        <f t="shared" si="216"/>
        <v>2091</v>
      </c>
      <c r="S121" s="399">
        <f t="shared" si="216"/>
        <v>14</v>
      </c>
      <c r="T121" s="400">
        <f t="shared" si="234"/>
        <v>2105</v>
      </c>
      <c r="U121" s="401">
        <f t="shared" si="217"/>
        <v>3</v>
      </c>
      <c r="V121" s="398">
        <f t="shared" si="217"/>
        <v>1653</v>
      </c>
      <c r="W121" s="399">
        <f t="shared" si="217"/>
        <v>40</v>
      </c>
      <c r="X121" s="400">
        <f t="shared" si="235"/>
        <v>1693</v>
      </c>
      <c r="Y121" s="401">
        <f t="shared" si="218"/>
        <v>5</v>
      </c>
      <c r="Z121" s="398">
        <f t="shared" si="218"/>
        <v>1074</v>
      </c>
      <c r="AA121" s="399">
        <f t="shared" si="218"/>
        <v>71</v>
      </c>
      <c r="AB121" s="400">
        <f t="shared" si="236"/>
        <v>1145</v>
      </c>
      <c r="AC121" s="401">
        <f t="shared" si="219"/>
        <v>2</v>
      </c>
      <c r="AD121" s="398">
        <f t="shared" si="219"/>
        <v>1435</v>
      </c>
      <c r="AE121" s="399">
        <f t="shared" si="219"/>
        <v>24</v>
      </c>
      <c r="AF121" s="400">
        <f t="shared" si="237"/>
        <v>1459</v>
      </c>
      <c r="AG121" s="401">
        <f t="shared" si="220"/>
        <v>12</v>
      </c>
      <c r="AH121" s="398">
        <f t="shared" si="220"/>
        <v>0</v>
      </c>
      <c r="AI121" s="399">
        <f t="shared" si="220"/>
        <v>0</v>
      </c>
      <c r="AJ121" s="400">
        <f t="shared" si="241"/>
        <v>0</v>
      </c>
      <c r="AK121" s="401">
        <f t="shared" si="221"/>
        <v>0</v>
      </c>
      <c r="AL121" s="398">
        <f t="shared" si="221"/>
        <v>0</v>
      </c>
      <c r="AM121" s="399">
        <f t="shared" si="221"/>
        <v>0</v>
      </c>
      <c r="AN121" s="400">
        <f t="shared" si="238"/>
        <v>0</v>
      </c>
      <c r="AO121" s="401">
        <f t="shared" si="222"/>
        <v>0</v>
      </c>
      <c r="AP121" s="398">
        <f t="shared" si="222"/>
        <v>0</v>
      </c>
      <c r="AQ121" s="399">
        <f t="shared" si="222"/>
        <v>0</v>
      </c>
      <c r="AR121" s="400">
        <f t="shared" si="239"/>
        <v>0</v>
      </c>
      <c r="AS121" s="401">
        <f t="shared" si="223"/>
        <v>0</v>
      </c>
      <c r="AT121" s="398">
        <f t="shared" si="223"/>
        <v>0</v>
      </c>
      <c r="AU121" s="399">
        <f t="shared" si="223"/>
        <v>0</v>
      </c>
      <c r="AV121" s="400">
        <f t="shared" si="240"/>
        <v>0</v>
      </c>
      <c r="AW121" s="401">
        <f t="shared" si="224"/>
        <v>0</v>
      </c>
      <c r="AX121" s="432">
        <f t="shared" si="230"/>
        <v>12638</v>
      </c>
      <c r="AY121" s="432">
        <f t="shared" si="225"/>
        <v>296</v>
      </c>
      <c r="AZ121" s="432">
        <f t="shared" si="227"/>
        <v>12934</v>
      </c>
      <c r="BA121" s="432">
        <f t="shared" si="226"/>
        <v>36</v>
      </c>
      <c r="BC121" s="395">
        <f t="shared" si="228"/>
        <v>1459</v>
      </c>
      <c r="BD121" s="395">
        <f t="shared" si="229"/>
        <v>12</v>
      </c>
    </row>
    <row r="122" spans="1:56" ht="14.4" thickBot="1">
      <c r="A122" s="397" t="s">
        <v>883</v>
      </c>
      <c r="B122" s="398">
        <f t="shared" si="211"/>
        <v>379</v>
      </c>
      <c r="C122" s="399">
        <f t="shared" si="211"/>
        <v>31</v>
      </c>
      <c r="D122" s="400">
        <f>+B122+C122</f>
        <v>410</v>
      </c>
      <c r="E122" s="401">
        <f t="shared" si="213"/>
        <v>5</v>
      </c>
      <c r="F122" s="398">
        <f t="shared" si="213"/>
        <v>875</v>
      </c>
      <c r="G122" s="398">
        <f t="shared" si="213"/>
        <v>12</v>
      </c>
      <c r="H122" s="400">
        <f t="shared" si="231"/>
        <v>887</v>
      </c>
      <c r="I122" s="401">
        <f t="shared" si="214"/>
        <v>9</v>
      </c>
      <c r="J122" s="398">
        <f t="shared" si="214"/>
        <v>817</v>
      </c>
      <c r="K122" s="398">
        <f t="shared" si="214"/>
        <v>18</v>
      </c>
      <c r="L122" s="400">
        <f t="shared" si="232"/>
        <v>835</v>
      </c>
      <c r="M122" s="401">
        <f t="shared" si="215"/>
        <v>5</v>
      </c>
      <c r="N122" s="398">
        <f t="shared" si="215"/>
        <v>597</v>
      </c>
      <c r="O122" s="398">
        <f t="shared" si="215"/>
        <v>16</v>
      </c>
      <c r="P122" s="400">
        <f t="shared" si="233"/>
        <v>613</v>
      </c>
      <c r="Q122" s="401">
        <f t="shared" si="216"/>
        <v>7</v>
      </c>
      <c r="R122" s="398">
        <f t="shared" si="216"/>
        <v>1065</v>
      </c>
      <c r="S122" s="399">
        <f t="shared" si="216"/>
        <v>20</v>
      </c>
      <c r="T122" s="400">
        <f t="shared" si="234"/>
        <v>1085</v>
      </c>
      <c r="U122" s="401">
        <f t="shared" si="217"/>
        <v>10</v>
      </c>
      <c r="V122" s="398">
        <f t="shared" si="217"/>
        <v>677</v>
      </c>
      <c r="W122" s="399">
        <f t="shared" si="217"/>
        <v>19</v>
      </c>
      <c r="X122" s="400">
        <f t="shared" si="235"/>
        <v>696</v>
      </c>
      <c r="Y122" s="401">
        <f t="shared" si="218"/>
        <v>9</v>
      </c>
      <c r="Z122" s="398">
        <f t="shared" si="218"/>
        <v>908</v>
      </c>
      <c r="AA122" s="399">
        <f t="shared" si="218"/>
        <v>43</v>
      </c>
      <c r="AB122" s="400">
        <f t="shared" si="236"/>
        <v>951</v>
      </c>
      <c r="AC122" s="401">
        <f t="shared" si="219"/>
        <v>8</v>
      </c>
      <c r="AD122" s="398">
        <f t="shared" si="219"/>
        <v>558</v>
      </c>
      <c r="AE122" s="399">
        <f t="shared" si="219"/>
        <v>27</v>
      </c>
      <c r="AF122" s="400">
        <f t="shared" si="237"/>
        <v>585</v>
      </c>
      <c r="AG122" s="401">
        <f t="shared" si="220"/>
        <v>13</v>
      </c>
      <c r="AH122" s="398">
        <f t="shared" si="220"/>
        <v>0</v>
      </c>
      <c r="AI122" s="399">
        <f t="shared" si="220"/>
        <v>0</v>
      </c>
      <c r="AJ122" s="400">
        <f t="shared" si="241"/>
        <v>0</v>
      </c>
      <c r="AK122" s="401">
        <f t="shared" si="221"/>
        <v>0</v>
      </c>
      <c r="AL122" s="398">
        <f t="shared" si="221"/>
        <v>0</v>
      </c>
      <c r="AM122" s="399">
        <f t="shared" si="221"/>
        <v>0</v>
      </c>
      <c r="AN122" s="400">
        <f t="shared" si="238"/>
        <v>0</v>
      </c>
      <c r="AO122" s="401">
        <f t="shared" si="222"/>
        <v>0</v>
      </c>
      <c r="AP122" s="398">
        <f t="shared" si="222"/>
        <v>0</v>
      </c>
      <c r="AQ122" s="399">
        <f t="shared" si="222"/>
        <v>0</v>
      </c>
      <c r="AR122" s="400">
        <f t="shared" si="239"/>
        <v>0</v>
      </c>
      <c r="AS122" s="401">
        <f t="shared" si="223"/>
        <v>0</v>
      </c>
      <c r="AT122" s="398">
        <f t="shared" si="223"/>
        <v>0</v>
      </c>
      <c r="AU122" s="399">
        <f t="shared" si="223"/>
        <v>0</v>
      </c>
      <c r="AV122" s="400">
        <f t="shared" si="240"/>
        <v>0</v>
      </c>
      <c r="AW122" s="401">
        <f t="shared" si="224"/>
        <v>0</v>
      </c>
      <c r="AX122" s="432">
        <f t="shared" si="230"/>
        <v>5876</v>
      </c>
      <c r="AY122" s="432">
        <f t="shared" si="225"/>
        <v>186</v>
      </c>
      <c r="AZ122" s="432">
        <f t="shared" si="227"/>
        <v>6062</v>
      </c>
      <c r="BA122" s="432">
        <f t="shared" si="226"/>
        <v>66</v>
      </c>
      <c r="BC122" s="395">
        <f t="shared" si="228"/>
        <v>585</v>
      </c>
      <c r="BD122" s="395">
        <f t="shared" si="229"/>
        <v>13</v>
      </c>
    </row>
    <row r="123" spans="1:56" ht="14.4" thickBot="1">
      <c r="A123" s="397" t="s">
        <v>884</v>
      </c>
      <c r="B123" s="398">
        <f t="shared" si="211"/>
        <v>745</v>
      </c>
      <c r="C123" s="399">
        <f t="shared" si="211"/>
        <v>28</v>
      </c>
      <c r="D123" s="400">
        <f>+B123+C123</f>
        <v>773</v>
      </c>
      <c r="E123" s="401">
        <f t="shared" si="213"/>
        <v>3</v>
      </c>
      <c r="F123" s="398">
        <f t="shared" si="213"/>
        <v>728</v>
      </c>
      <c r="G123" s="398">
        <f t="shared" si="213"/>
        <v>48</v>
      </c>
      <c r="H123" s="400">
        <f t="shared" si="231"/>
        <v>776</v>
      </c>
      <c r="I123" s="401">
        <f t="shared" si="214"/>
        <v>7</v>
      </c>
      <c r="J123" s="398">
        <f t="shared" si="214"/>
        <v>2052</v>
      </c>
      <c r="K123" s="398">
        <f t="shared" si="214"/>
        <v>75</v>
      </c>
      <c r="L123" s="400">
        <f t="shared" si="232"/>
        <v>2127</v>
      </c>
      <c r="M123" s="401">
        <f t="shared" si="215"/>
        <v>6</v>
      </c>
      <c r="N123" s="398">
        <f t="shared" si="215"/>
        <v>800</v>
      </c>
      <c r="O123" s="398">
        <f t="shared" si="215"/>
        <v>27</v>
      </c>
      <c r="P123" s="400">
        <f t="shared" si="233"/>
        <v>827</v>
      </c>
      <c r="Q123" s="401">
        <f t="shared" si="216"/>
        <v>12</v>
      </c>
      <c r="R123" s="398">
        <f t="shared" si="216"/>
        <v>1048</v>
      </c>
      <c r="S123" s="399">
        <f t="shared" si="216"/>
        <v>32</v>
      </c>
      <c r="T123" s="400">
        <f t="shared" si="234"/>
        <v>1080</v>
      </c>
      <c r="U123" s="401">
        <f t="shared" si="217"/>
        <v>10</v>
      </c>
      <c r="V123" s="398">
        <f t="shared" si="217"/>
        <v>1100</v>
      </c>
      <c r="W123" s="399">
        <f t="shared" si="217"/>
        <v>29</v>
      </c>
      <c r="X123" s="400">
        <f t="shared" si="235"/>
        <v>1129</v>
      </c>
      <c r="Y123" s="401">
        <f t="shared" si="218"/>
        <v>4</v>
      </c>
      <c r="Z123" s="398">
        <f t="shared" si="218"/>
        <v>1297</v>
      </c>
      <c r="AA123" s="399">
        <f t="shared" si="218"/>
        <v>26</v>
      </c>
      <c r="AB123" s="400">
        <f t="shared" si="236"/>
        <v>1323</v>
      </c>
      <c r="AC123" s="401">
        <f t="shared" si="219"/>
        <v>5</v>
      </c>
      <c r="AD123" s="398">
        <f t="shared" si="219"/>
        <v>1528</v>
      </c>
      <c r="AE123" s="399">
        <f t="shared" si="219"/>
        <v>40</v>
      </c>
      <c r="AF123" s="400">
        <f t="shared" si="237"/>
        <v>1568</v>
      </c>
      <c r="AG123" s="401">
        <f t="shared" si="220"/>
        <v>9</v>
      </c>
      <c r="AH123" s="398">
        <f t="shared" si="220"/>
        <v>0</v>
      </c>
      <c r="AI123" s="399">
        <f t="shared" si="220"/>
        <v>0</v>
      </c>
      <c r="AJ123" s="400">
        <f t="shared" si="241"/>
        <v>0</v>
      </c>
      <c r="AK123" s="401">
        <f t="shared" si="221"/>
        <v>0</v>
      </c>
      <c r="AL123" s="398">
        <f t="shared" si="221"/>
        <v>0</v>
      </c>
      <c r="AM123" s="399">
        <f t="shared" si="221"/>
        <v>0</v>
      </c>
      <c r="AN123" s="400">
        <f t="shared" si="238"/>
        <v>0</v>
      </c>
      <c r="AO123" s="401">
        <f t="shared" si="222"/>
        <v>0</v>
      </c>
      <c r="AP123" s="398">
        <f t="shared" si="222"/>
        <v>0</v>
      </c>
      <c r="AQ123" s="399">
        <f t="shared" si="222"/>
        <v>0</v>
      </c>
      <c r="AR123" s="400">
        <f t="shared" si="239"/>
        <v>0</v>
      </c>
      <c r="AS123" s="401">
        <f t="shared" si="223"/>
        <v>0</v>
      </c>
      <c r="AT123" s="398">
        <f t="shared" si="223"/>
        <v>0</v>
      </c>
      <c r="AU123" s="399">
        <f t="shared" si="223"/>
        <v>0</v>
      </c>
      <c r="AV123" s="400">
        <f t="shared" si="240"/>
        <v>0</v>
      </c>
      <c r="AW123" s="401">
        <f t="shared" si="224"/>
        <v>0</v>
      </c>
      <c r="AX123" s="432">
        <f t="shared" si="230"/>
        <v>9298</v>
      </c>
      <c r="AY123" s="432">
        <f t="shared" si="225"/>
        <v>305</v>
      </c>
      <c r="AZ123" s="432">
        <f t="shared" si="227"/>
        <v>9603</v>
      </c>
      <c r="BA123" s="432">
        <f t="shared" si="226"/>
        <v>56</v>
      </c>
      <c r="BC123" s="395">
        <f t="shared" si="228"/>
        <v>1568</v>
      </c>
      <c r="BD123" s="395">
        <f t="shared" si="229"/>
        <v>9</v>
      </c>
    </row>
    <row r="124" spans="1:56" ht="14.4" thickBot="1">
      <c r="A124" s="397" t="s">
        <v>885</v>
      </c>
      <c r="B124" s="398">
        <f t="shared" si="211"/>
        <v>391</v>
      </c>
      <c r="C124" s="399">
        <f t="shared" si="211"/>
        <v>5</v>
      </c>
      <c r="D124" s="400">
        <f>+B124+C124</f>
        <v>396</v>
      </c>
      <c r="E124" s="401">
        <f t="shared" si="213"/>
        <v>1</v>
      </c>
      <c r="F124" s="398">
        <f t="shared" si="213"/>
        <v>696</v>
      </c>
      <c r="G124" s="398">
        <f t="shared" si="213"/>
        <v>29</v>
      </c>
      <c r="H124" s="400">
        <f t="shared" si="231"/>
        <v>725</v>
      </c>
      <c r="I124" s="401">
        <f t="shared" si="214"/>
        <v>0</v>
      </c>
      <c r="J124" s="398">
        <f t="shared" si="214"/>
        <v>1204</v>
      </c>
      <c r="K124" s="398">
        <f t="shared" si="214"/>
        <v>60</v>
      </c>
      <c r="L124" s="400">
        <f t="shared" si="232"/>
        <v>1264</v>
      </c>
      <c r="M124" s="401">
        <f t="shared" si="215"/>
        <v>0</v>
      </c>
      <c r="N124" s="398">
        <f t="shared" si="215"/>
        <v>892</v>
      </c>
      <c r="O124" s="398">
        <f t="shared" si="215"/>
        <v>34</v>
      </c>
      <c r="P124" s="400">
        <f t="shared" si="233"/>
        <v>926</v>
      </c>
      <c r="Q124" s="401">
        <f t="shared" si="216"/>
        <v>0</v>
      </c>
      <c r="R124" s="398">
        <f t="shared" si="216"/>
        <v>1001</v>
      </c>
      <c r="S124" s="399">
        <f t="shared" si="216"/>
        <v>12</v>
      </c>
      <c r="T124" s="400">
        <f t="shared" si="234"/>
        <v>1013</v>
      </c>
      <c r="U124" s="401">
        <f t="shared" si="217"/>
        <v>0</v>
      </c>
      <c r="V124" s="398">
        <f t="shared" si="217"/>
        <v>402</v>
      </c>
      <c r="W124" s="399">
        <f t="shared" si="217"/>
        <v>24</v>
      </c>
      <c r="X124" s="400">
        <f t="shared" si="235"/>
        <v>426</v>
      </c>
      <c r="Y124" s="401">
        <f t="shared" si="218"/>
        <v>2</v>
      </c>
      <c r="Z124" s="398">
        <f t="shared" si="218"/>
        <v>325</v>
      </c>
      <c r="AA124" s="399">
        <f t="shared" si="218"/>
        <v>19</v>
      </c>
      <c r="AB124" s="400">
        <f t="shared" si="236"/>
        <v>344</v>
      </c>
      <c r="AC124" s="401">
        <f t="shared" si="219"/>
        <v>0</v>
      </c>
      <c r="AD124" s="398">
        <f t="shared" si="219"/>
        <v>261</v>
      </c>
      <c r="AE124" s="399">
        <f t="shared" si="219"/>
        <v>13</v>
      </c>
      <c r="AF124" s="400">
        <f t="shared" si="237"/>
        <v>274</v>
      </c>
      <c r="AG124" s="401">
        <f t="shared" si="220"/>
        <v>1</v>
      </c>
      <c r="AH124" s="398">
        <f t="shared" si="220"/>
        <v>0</v>
      </c>
      <c r="AI124" s="399">
        <f t="shared" si="220"/>
        <v>0</v>
      </c>
      <c r="AJ124" s="400">
        <f t="shared" si="241"/>
        <v>0</v>
      </c>
      <c r="AK124" s="401">
        <f t="shared" si="221"/>
        <v>0</v>
      </c>
      <c r="AL124" s="398">
        <f t="shared" si="221"/>
        <v>0</v>
      </c>
      <c r="AM124" s="399">
        <f t="shared" si="221"/>
        <v>0</v>
      </c>
      <c r="AN124" s="400">
        <f t="shared" si="238"/>
        <v>0</v>
      </c>
      <c r="AO124" s="401">
        <f t="shared" si="222"/>
        <v>0</v>
      </c>
      <c r="AP124" s="398">
        <f t="shared" si="222"/>
        <v>0</v>
      </c>
      <c r="AQ124" s="399">
        <f t="shared" si="222"/>
        <v>0</v>
      </c>
      <c r="AR124" s="400">
        <f t="shared" si="239"/>
        <v>0</v>
      </c>
      <c r="AS124" s="401">
        <f t="shared" si="223"/>
        <v>0</v>
      </c>
      <c r="AT124" s="398">
        <f t="shared" si="223"/>
        <v>0</v>
      </c>
      <c r="AU124" s="399">
        <f t="shared" si="223"/>
        <v>0</v>
      </c>
      <c r="AV124" s="400">
        <f t="shared" si="240"/>
        <v>0</v>
      </c>
      <c r="AW124" s="401">
        <f t="shared" si="224"/>
        <v>0</v>
      </c>
      <c r="AX124" s="432">
        <f t="shared" si="230"/>
        <v>5172</v>
      </c>
      <c r="AY124" s="432">
        <f t="shared" si="225"/>
        <v>196</v>
      </c>
      <c r="AZ124" s="432">
        <f t="shared" si="227"/>
        <v>5368</v>
      </c>
      <c r="BA124" s="432">
        <f t="shared" si="226"/>
        <v>4</v>
      </c>
      <c r="BC124" s="395">
        <f t="shared" si="228"/>
        <v>274</v>
      </c>
      <c r="BD124" s="395">
        <f t="shared" si="229"/>
        <v>1</v>
      </c>
    </row>
    <row r="125" spans="1:56" ht="14.4" thickBot="1">
      <c r="A125" s="433" t="s">
        <v>16</v>
      </c>
      <c r="B125" s="417">
        <f t="shared" ref="B125:AG125" si="242">SUM(B115:B124)</f>
        <v>9525</v>
      </c>
      <c r="C125" s="419">
        <f t="shared" si="242"/>
        <v>385</v>
      </c>
      <c r="D125" s="419">
        <f t="shared" si="242"/>
        <v>9910</v>
      </c>
      <c r="E125" s="420">
        <f t="shared" si="242"/>
        <v>58</v>
      </c>
      <c r="F125" s="417">
        <f t="shared" si="242"/>
        <v>12387</v>
      </c>
      <c r="G125" s="419">
        <f t="shared" si="242"/>
        <v>430</v>
      </c>
      <c r="H125" s="419">
        <f t="shared" si="242"/>
        <v>12817</v>
      </c>
      <c r="I125" s="420">
        <f t="shared" si="242"/>
        <v>76</v>
      </c>
      <c r="J125" s="417">
        <f t="shared" si="242"/>
        <v>14057</v>
      </c>
      <c r="K125" s="419">
        <f t="shared" si="242"/>
        <v>415</v>
      </c>
      <c r="L125" s="419">
        <f t="shared" si="242"/>
        <v>14472</v>
      </c>
      <c r="M125" s="420">
        <f t="shared" si="242"/>
        <v>85</v>
      </c>
      <c r="N125" s="417">
        <f t="shared" si="242"/>
        <v>12038</v>
      </c>
      <c r="O125" s="419">
        <f t="shared" si="242"/>
        <v>375</v>
      </c>
      <c r="P125" s="419">
        <f t="shared" si="242"/>
        <v>12413</v>
      </c>
      <c r="Q125" s="420">
        <f t="shared" si="242"/>
        <v>75</v>
      </c>
      <c r="R125" s="417">
        <f t="shared" si="242"/>
        <v>13246</v>
      </c>
      <c r="S125" s="419">
        <f t="shared" si="242"/>
        <v>395</v>
      </c>
      <c r="T125" s="419">
        <f t="shared" si="242"/>
        <v>13641</v>
      </c>
      <c r="U125" s="420">
        <f t="shared" si="242"/>
        <v>89</v>
      </c>
      <c r="V125" s="417">
        <f t="shared" si="242"/>
        <v>10836</v>
      </c>
      <c r="W125" s="419">
        <f t="shared" si="242"/>
        <v>362</v>
      </c>
      <c r="X125" s="419">
        <f t="shared" si="242"/>
        <v>11198</v>
      </c>
      <c r="Y125" s="420">
        <f t="shared" si="242"/>
        <v>74</v>
      </c>
      <c r="Z125" s="417">
        <f t="shared" si="242"/>
        <v>10070</v>
      </c>
      <c r="AA125" s="419">
        <f t="shared" si="242"/>
        <v>505</v>
      </c>
      <c r="AB125" s="419">
        <f t="shared" si="242"/>
        <v>10575</v>
      </c>
      <c r="AC125" s="420">
        <f t="shared" si="242"/>
        <v>71</v>
      </c>
      <c r="AD125" s="417">
        <f t="shared" si="242"/>
        <v>11600</v>
      </c>
      <c r="AE125" s="419">
        <f t="shared" si="242"/>
        <v>324</v>
      </c>
      <c r="AF125" s="419">
        <f t="shared" si="242"/>
        <v>11924</v>
      </c>
      <c r="AG125" s="420">
        <f t="shared" si="242"/>
        <v>74</v>
      </c>
      <c r="AH125" s="417">
        <f t="shared" ref="AH125:BA125" si="243">SUM(AH115:AH124)</f>
        <v>0</v>
      </c>
      <c r="AI125" s="419">
        <f t="shared" si="243"/>
        <v>0</v>
      </c>
      <c r="AJ125" s="419">
        <f t="shared" si="243"/>
        <v>0</v>
      </c>
      <c r="AK125" s="420">
        <f t="shared" si="243"/>
        <v>0</v>
      </c>
      <c r="AL125" s="417">
        <f t="shared" si="243"/>
        <v>0</v>
      </c>
      <c r="AM125" s="419">
        <f t="shared" si="243"/>
        <v>0</v>
      </c>
      <c r="AN125" s="419">
        <f t="shared" si="243"/>
        <v>0</v>
      </c>
      <c r="AO125" s="420">
        <f t="shared" si="243"/>
        <v>0</v>
      </c>
      <c r="AP125" s="417">
        <f t="shared" si="243"/>
        <v>0</v>
      </c>
      <c r="AQ125" s="419">
        <f t="shared" si="243"/>
        <v>0</v>
      </c>
      <c r="AR125" s="419">
        <f t="shared" si="243"/>
        <v>0</v>
      </c>
      <c r="AS125" s="420">
        <f t="shared" si="243"/>
        <v>0</v>
      </c>
      <c r="AT125" s="417">
        <f t="shared" si="243"/>
        <v>0</v>
      </c>
      <c r="AU125" s="419">
        <f t="shared" si="243"/>
        <v>0</v>
      </c>
      <c r="AV125" s="419">
        <f t="shared" si="243"/>
        <v>0</v>
      </c>
      <c r="AW125" s="420">
        <f t="shared" si="243"/>
        <v>0</v>
      </c>
      <c r="AX125" s="434">
        <f t="shared" si="243"/>
        <v>93759</v>
      </c>
      <c r="AY125" s="434">
        <f t="shared" si="243"/>
        <v>3191</v>
      </c>
      <c r="AZ125" s="434">
        <f t="shared" si="243"/>
        <v>96950</v>
      </c>
      <c r="BA125" s="434">
        <f t="shared" si="243"/>
        <v>602</v>
      </c>
      <c r="BC125" s="395">
        <f t="shared" si="228"/>
        <v>11924</v>
      </c>
      <c r="BD125" s="395">
        <f t="shared" si="229"/>
        <v>74</v>
      </c>
    </row>
    <row r="126" spans="1:56">
      <c r="AZ126" s="395"/>
    </row>
    <row r="127" spans="1:56" ht="18">
      <c r="A127" s="393" t="s">
        <v>863</v>
      </c>
      <c r="AR127" s="1105">
        <f>AR126-AR125</f>
        <v>0</v>
      </c>
      <c r="AT127" s="1277"/>
      <c r="AU127" s="1277"/>
      <c r="AV127" s="1277"/>
      <c r="AW127" s="1277"/>
    </row>
    <row r="128" spans="1:56" ht="18.600000000000001" thickBot="1">
      <c r="A128" s="394">
        <f>A97</f>
        <v>2023</v>
      </c>
      <c r="U128" s="395">
        <f>U131+Q131+M131+I131+E131</f>
        <v>0</v>
      </c>
    </row>
    <row r="129" spans="1:56">
      <c r="A129" s="2815" t="s">
        <v>308</v>
      </c>
      <c r="B129" s="2827" t="s">
        <v>71</v>
      </c>
      <c r="C129" s="2828"/>
      <c r="D129" s="2828"/>
      <c r="E129" s="3091"/>
      <c r="F129" s="2829" t="s">
        <v>72</v>
      </c>
      <c r="G129" s="2830"/>
      <c r="H129" s="2830"/>
      <c r="I129" s="3095"/>
      <c r="J129" s="2817" t="s">
        <v>73</v>
      </c>
      <c r="K129" s="2818"/>
      <c r="L129" s="2818"/>
      <c r="M129" s="3094"/>
      <c r="N129" s="2819" t="s">
        <v>74</v>
      </c>
      <c r="O129" s="2820"/>
      <c r="P129" s="2820"/>
      <c r="Q129" s="3090"/>
      <c r="R129" s="2821" t="s">
        <v>75</v>
      </c>
      <c r="S129" s="2822"/>
      <c r="T129" s="2822"/>
      <c r="U129" s="3093"/>
      <c r="V129" s="2823" t="s">
        <v>76</v>
      </c>
      <c r="W129" s="2824"/>
      <c r="X129" s="2824"/>
      <c r="Y129" s="3089"/>
      <c r="Z129" s="2827" t="s">
        <v>77</v>
      </c>
      <c r="AA129" s="2828"/>
      <c r="AB129" s="2828"/>
      <c r="AC129" s="3091"/>
      <c r="AD129" s="2829" t="s">
        <v>78</v>
      </c>
      <c r="AE129" s="2830"/>
      <c r="AF129" s="2830"/>
      <c r="AG129" s="3095"/>
      <c r="AH129" s="2817" t="s">
        <v>79</v>
      </c>
      <c r="AI129" s="2818"/>
      <c r="AJ129" s="2818"/>
      <c r="AK129" s="3094"/>
      <c r="AL129" s="2819" t="s">
        <v>80</v>
      </c>
      <c r="AM129" s="2820"/>
      <c r="AN129" s="2820"/>
      <c r="AO129" s="3090"/>
      <c r="AP129" s="2821" t="s">
        <v>81</v>
      </c>
      <c r="AQ129" s="2822"/>
      <c r="AR129" s="2822"/>
      <c r="AS129" s="3093"/>
      <c r="AT129" s="2823" t="s">
        <v>82</v>
      </c>
      <c r="AU129" s="2824"/>
      <c r="AV129" s="2824"/>
      <c r="AW129" s="3089"/>
      <c r="AX129" s="2825" t="s">
        <v>83</v>
      </c>
      <c r="AY129" s="2826"/>
      <c r="AZ129" s="2826"/>
      <c r="BA129" s="3088"/>
    </row>
    <row r="130" spans="1:56" ht="14.4" thickBot="1">
      <c r="A130" s="2816"/>
      <c r="B130" s="402" t="s">
        <v>17</v>
      </c>
      <c r="C130" s="403" t="s">
        <v>18</v>
      </c>
      <c r="D130" s="403" t="s">
        <v>52</v>
      </c>
      <c r="E130" s="404" t="s">
        <v>19</v>
      </c>
      <c r="F130" s="402" t="s">
        <v>17</v>
      </c>
      <c r="G130" s="403" t="s">
        <v>18</v>
      </c>
      <c r="H130" s="403" t="s">
        <v>52</v>
      </c>
      <c r="I130" s="404" t="s">
        <v>19</v>
      </c>
      <c r="J130" s="402" t="s">
        <v>17</v>
      </c>
      <c r="K130" s="403" t="s">
        <v>18</v>
      </c>
      <c r="L130" s="403" t="s">
        <v>52</v>
      </c>
      <c r="M130" s="404" t="s">
        <v>19</v>
      </c>
      <c r="N130" s="402" t="s">
        <v>17</v>
      </c>
      <c r="O130" s="403" t="s">
        <v>18</v>
      </c>
      <c r="P130" s="403" t="s">
        <v>52</v>
      </c>
      <c r="Q130" s="404" t="s">
        <v>19</v>
      </c>
      <c r="R130" s="402" t="s">
        <v>17</v>
      </c>
      <c r="S130" s="403" t="s">
        <v>18</v>
      </c>
      <c r="T130" s="403" t="s">
        <v>52</v>
      </c>
      <c r="U130" s="404" t="s">
        <v>19</v>
      </c>
      <c r="V130" s="402" t="s">
        <v>17</v>
      </c>
      <c r="W130" s="403" t="s">
        <v>18</v>
      </c>
      <c r="X130" s="403" t="s">
        <v>52</v>
      </c>
      <c r="Y130" s="404" t="s">
        <v>19</v>
      </c>
      <c r="Z130" s="402" t="s">
        <v>17</v>
      </c>
      <c r="AA130" s="403" t="s">
        <v>18</v>
      </c>
      <c r="AB130" s="403" t="s">
        <v>52</v>
      </c>
      <c r="AC130" s="404" t="s">
        <v>19</v>
      </c>
      <c r="AD130" s="402" t="s">
        <v>17</v>
      </c>
      <c r="AE130" s="403" t="s">
        <v>18</v>
      </c>
      <c r="AF130" s="403" t="s">
        <v>52</v>
      </c>
      <c r="AG130" s="404" t="s">
        <v>19</v>
      </c>
      <c r="AH130" s="402" t="s">
        <v>17</v>
      </c>
      <c r="AI130" s="403" t="s">
        <v>18</v>
      </c>
      <c r="AJ130" s="403" t="s">
        <v>52</v>
      </c>
      <c r="AK130" s="404" t="s">
        <v>19</v>
      </c>
      <c r="AL130" s="402" t="s">
        <v>17</v>
      </c>
      <c r="AM130" s="403" t="s">
        <v>18</v>
      </c>
      <c r="AN130" s="403" t="s">
        <v>52</v>
      </c>
      <c r="AO130" s="404" t="s">
        <v>19</v>
      </c>
      <c r="AP130" s="1107" t="s">
        <v>17</v>
      </c>
      <c r="AQ130" s="403" t="s">
        <v>18</v>
      </c>
      <c r="AR130" s="403" t="s">
        <v>52</v>
      </c>
      <c r="AS130" s="404" t="s">
        <v>19</v>
      </c>
      <c r="AT130" s="402" t="s">
        <v>17</v>
      </c>
      <c r="AU130" s="403" t="s">
        <v>18</v>
      </c>
      <c r="AV130" s="403" t="s">
        <v>52</v>
      </c>
      <c r="AW130" s="404" t="s">
        <v>19</v>
      </c>
      <c r="AX130" s="403" t="s">
        <v>17</v>
      </c>
      <c r="AY130" s="403" t="s">
        <v>18</v>
      </c>
      <c r="AZ130" s="403" t="s">
        <v>52</v>
      </c>
      <c r="BA130" s="431" t="s">
        <v>19</v>
      </c>
      <c r="BC130" s="117" t="s">
        <v>265</v>
      </c>
      <c r="BD130" s="117" t="s">
        <v>266</v>
      </c>
    </row>
    <row r="131" spans="1:56" ht="14.4" thickBot="1">
      <c r="A131" s="397" t="s">
        <v>6</v>
      </c>
      <c r="B131" s="398">
        <v>0</v>
      </c>
      <c r="C131" s="399">
        <v>0</v>
      </c>
      <c r="D131" s="400">
        <f t="shared" ref="D131:D140" si="244">+B131+C131</f>
        <v>0</v>
      </c>
      <c r="E131" s="401">
        <v>0</v>
      </c>
      <c r="F131" s="398">
        <v>0</v>
      </c>
      <c r="G131" s="398">
        <v>0</v>
      </c>
      <c r="H131" s="400">
        <f t="shared" ref="H131:H137" si="245">+F131+G131</f>
        <v>0</v>
      </c>
      <c r="I131" s="401">
        <v>0</v>
      </c>
      <c r="J131" s="398">
        <v>0</v>
      </c>
      <c r="K131" s="398">
        <v>0</v>
      </c>
      <c r="L131" s="400">
        <f t="shared" ref="L131:L140" si="246">+J131+K131</f>
        <v>0</v>
      </c>
      <c r="M131" s="401">
        <v>0</v>
      </c>
      <c r="N131" s="398">
        <v>0</v>
      </c>
      <c r="O131" s="398">
        <v>0</v>
      </c>
      <c r="P131" s="400">
        <f t="shared" ref="P131:P140" si="247">+N131+O131</f>
        <v>0</v>
      </c>
      <c r="Q131" s="401">
        <v>0</v>
      </c>
      <c r="R131" s="398">
        <v>0</v>
      </c>
      <c r="S131" s="399">
        <v>0</v>
      </c>
      <c r="T131" s="400">
        <f t="shared" ref="T131:T137" si="248">+R131+S131</f>
        <v>0</v>
      </c>
      <c r="U131" s="401">
        <v>0</v>
      </c>
      <c r="V131" s="398">
        <v>0</v>
      </c>
      <c r="W131" s="399">
        <v>0</v>
      </c>
      <c r="X131" s="400">
        <f t="shared" ref="X131:X140" si="249">+V131+W131</f>
        <v>0</v>
      </c>
      <c r="Y131" s="401">
        <v>0</v>
      </c>
      <c r="Z131" s="398">
        <v>0</v>
      </c>
      <c r="AA131" s="399">
        <v>0</v>
      </c>
      <c r="AB131" s="400">
        <f>+AA131+Z131</f>
        <v>0</v>
      </c>
      <c r="AC131" s="401">
        <v>0</v>
      </c>
      <c r="AD131" s="398">
        <v>0</v>
      </c>
      <c r="AE131" s="399">
        <v>0</v>
      </c>
      <c r="AF131" s="400">
        <f t="shared" ref="AF131:AF140" si="250">+AD131+AE131</f>
        <v>0</v>
      </c>
      <c r="AG131" s="401">
        <v>0</v>
      </c>
      <c r="AH131" s="398"/>
      <c r="AI131" s="399"/>
      <c r="AJ131" s="400">
        <f t="shared" ref="AJ131:AJ139" si="251">+AH131+AI131</f>
        <v>0</v>
      </c>
      <c r="AK131" s="401"/>
      <c r="AL131" s="398"/>
      <c r="AM131" s="399"/>
      <c r="AN131" s="400">
        <f t="shared" ref="AN131:AN140" si="252">+AL131+AM131</f>
        <v>0</v>
      </c>
      <c r="AO131" s="401"/>
      <c r="AP131" s="398"/>
      <c r="AQ131" s="399"/>
      <c r="AR131" s="400">
        <f t="shared" ref="AR131:AR140" si="253">+AP131+AQ131</f>
        <v>0</v>
      </c>
      <c r="AS131" s="401"/>
      <c r="AT131" s="398"/>
      <c r="AU131" s="399"/>
      <c r="AV131" s="400">
        <f t="shared" ref="AV131:AV140" si="254">+AT131+AU131</f>
        <v>0</v>
      </c>
      <c r="AW131" s="401"/>
      <c r="AX131" s="432">
        <f t="shared" ref="AX131:AX140" si="255">B131+F131+J131+N131+R131+V131+Z131+AD131+AH131+AL131+AP131+AT131</f>
        <v>0</v>
      </c>
      <c r="AY131" s="432">
        <f t="shared" ref="AY131:AZ140" si="256">C131+G131+K131+O131+S131+W131+AA131+AE131+AI131+AM131+AQ131+AU131</f>
        <v>0</v>
      </c>
      <c r="AZ131" s="432">
        <f t="shared" si="256"/>
        <v>0</v>
      </c>
      <c r="BA131" s="432">
        <f t="shared" ref="BA131:BA140" si="257">E131+I131+M131+Q131+U131+Y131+AC131+AG131+AK131+AO131+AS131+AW131</f>
        <v>0</v>
      </c>
      <c r="BC131" s="395">
        <f>AF131</f>
        <v>0</v>
      </c>
      <c r="BD131" s="395">
        <f>AG131</f>
        <v>0</v>
      </c>
    </row>
    <row r="132" spans="1:56" ht="14.4" thickBot="1">
      <c r="A132" s="397" t="s">
        <v>7</v>
      </c>
      <c r="B132" s="398">
        <v>14</v>
      </c>
      <c r="C132" s="399">
        <v>0</v>
      </c>
      <c r="D132" s="400">
        <f t="shared" si="244"/>
        <v>14</v>
      </c>
      <c r="E132" s="401">
        <v>0</v>
      </c>
      <c r="F132" s="398">
        <v>4</v>
      </c>
      <c r="G132" s="398">
        <v>0</v>
      </c>
      <c r="H132" s="400">
        <f t="shared" si="245"/>
        <v>4</v>
      </c>
      <c r="I132" s="401">
        <v>0</v>
      </c>
      <c r="J132" s="398">
        <v>3</v>
      </c>
      <c r="K132" s="398">
        <v>0</v>
      </c>
      <c r="L132" s="400">
        <f t="shared" si="246"/>
        <v>3</v>
      </c>
      <c r="M132" s="401">
        <v>0</v>
      </c>
      <c r="N132" s="398">
        <v>5</v>
      </c>
      <c r="O132" s="398">
        <v>0</v>
      </c>
      <c r="P132" s="400">
        <f t="shared" si="247"/>
        <v>5</v>
      </c>
      <c r="Q132" s="401">
        <v>0</v>
      </c>
      <c r="R132" s="398">
        <v>2</v>
      </c>
      <c r="S132" s="399">
        <v>0</v>
      </c>
      <c r="T132" s="400">
        <f t="shared" si="248"/>
        <v>2</v>
      </c>
      <c r="U132" s="401">
        <v>0</v>
      </c>
      <c r="V132" s="398">
        <v>5</v>
      </c>
      <c r="W132" s="399">
        <v>0</v>
      </c>
      <c r="X132" s="400">
        <f t="shared" si="249"/>
        <v>5</v>
      </c>
      <c r="Y132" s="401">
        <v>0</v>
      </c>
      <c r="Z132" s="398">
        <v>58</v>
      </c>
      <c r="AA132" s="399">
        <v>0</v>
      </c>
      <c r="AB132" s="400">
        <f t="shared" ref="AB132:AB140" si="258">+AA132+Z132</f>
        <v>58</v>
      </c>
      <c r="AC132" s="401">
        <v>0</v>
      </c>
      <c r="AD132" s="398">
        <v>74</v>
      </c>
      <c r="AE132" s="399">
        <v>1</v>
      </c>
      <c r="AF132" s="400">
        <f t="shared" si="250"/>
        <v>75</v>
      </c>
      <c r="AG132" s="401">
        <v>0</v>
      </c>
      <c r="AH132" s="398"/>
      <c r="AI132" s="399"/>
      <c r="AJ132" s="400">
        <f t="shared" si="251"/>
        <v>0</v>
      </c>
      <c r="AK132" s="401"/>
      <c r="AL132" s="398"/>
      <c r="AM132" s="399"/>
      <c r="AN132" s="400">
        <f t="shared" si="252"/>
        <v>0</v>
      </c>
      <c r="AO132" s="401"/>
      <c r="AP132" s="398"/>
      <c r="AQ132" s="399"/>
      <c r="AR132" s="400">
        <f t="shared" si="253"/>
        <v>0</v>
      </c>
      <c r="AS132" s="401"/>
      <c r="AT132" s="398"/>
      <c r="AU132" s="399"/>
      <c r="AV132" s="400">
        <f t="shared" si="254"/>
        <v>0</v>
      </c>
      <c r="AW132" s="401"/>
      <c r="AX132" s="432">
        <f t="shared" si="255"/>
        <v>165</v>
      </c>
      <c r="AY132" s="432">
        <f t="shared" si="256"/>
        <v>1</v>
      </c>
      <c r="AZ132" s="432">
        <f t="shared" si="256"/>
        <v>166</v>
      </c>
      <c r="BA132" s="432">
        <f t="shared" si="257"/>
        <v>0</v>
      </c>
      <c r="BC132" s="395">
        <f t="shared" ref="BC132:BC141" si="259">AF132</f>
        <v>75</v>
      </c>
      <c r="BD132" s="395">
        <f t="shared" ref="BD132:BD141" si="260">AG132</f>
        <v>0</v>
      </c>
    </row>
    <row r="133" spans="1:56" ht="14.4" thickBot="1">
      <c r="A133" s="397" t="s">
        <v>8</v>
      </c>
      <c r="B133" s="398">
        <v>0</v>
      </c>
      <c r="C133" s="399">
        <v>0</v>
      </c>
      <c r="D133" s="400">
        <f t="shared" si="244"/>
        <v>0</v>
      </c>
      <c r="E133" s="401">
        <v>0</v>
      </c>
      <c r="F133" s="398">
        <v>0</v>
      </c>
      <c r="G133" s="398">
        <v>0</v>
      </c>
      <c r="H133" s="400">
        <f t="shared" si="245"/>
        <v>0</v>
      </c>
      <c r="I133" s="401">
        <v>0</v>
      </c>
      <c r="J133" s="398">
        <v>0</v>
      </c>
      <c r="K133" s="398">
        <v>0</v>
      </c>
      <c r="L133" s="400">
        <f t="shared" si="246"/>
        <v>0</v>
      </c>
      <c r="M133" s="401">
        <v>0</v>
      </c>
      <c r="N133" s="398">
        <v>0</v>
      </c>
      <c r="O133" s="398">
        <v>0</v>
      </c>
      <c r="P133" s="400">
        <f t="shared" si="247"/>
        <v>0</v>
      </c>
      <c r="Q133" s="401">
        <v>0</v>
      </c>
      <c r="R133" s="398">
        <v>0</v>
      </c>
      <c r="S133" s="399">
        <v>0</v>
      </c>
      <c r="T133" s="400">
        <f t="shared" si="248"/>
        <v>0</v>
      </c>
      <c r="U133" s="401">
        <v>0</v>
      </c>
      <c r="V133" s="398">
        <v>0</v>
      </c>
      <c r="W133" s="399">
        <v>0</v>
      </c>
      <c r="X133" s="400">
        <f t="shared" si="249"/>
        <v>0</v>
      </c>
      <c r="Y133" s="401">
        <v>0</v>
      </c>
      <c r="Z133" s="398">
        <v>0</v>
      </c>
      <c r="AA133" s="399">
        <v>0</v>
      </c>
      <c r="AB133" s="400">
        <f t="shared" si="258"/>
        <v>0</v>
      </c>
      <c r="AC133" s="401">
        <v>0</v>
      </c>
      <c r="AD133" s="398">
        <v>0</v>
      </c>
      <c r="AE133" s="399">
        <v>0</v>
      </c>
      <c r="AF133" s="400">
        <f t="shared" si="250"/>
        <v>0</v>
      </c>
      <c r="AG133" s="401">
        <v>0</v>
      </c>
      <c r="AH133" s="399"/>
      <c r="AI133" s="399"/>
      <c r="AJ133" s="400">
        <f t="shared" si="251"/>
        <v>0</v>
      </c>
      <c r="AK133" s="401"/>
      <c r="AL133" s="398"/>
      <c r="AM133" s="399"/>
      <c r="AN133" s="400">
        <f t="shared" si="252"/>
        <v>0</v>
      </c>
      <c r="AO133" s="401"/>
      <c r="AP133" s="398"/>
      <c r="AQ133" s="399"/>
      <c r="AR133" s="400">
        <f t="shared" si="253"/>
        <v>0</v>
      </c>
      <c r="AS133" s="401"/>
      <c r="AT133" s="398"/>
      <c r="AU133" s="399"/>
      <c r="AV133" s="400">
        <f t="shared" si="254"/>
        <v>0</v>
      </c>
      <c r="AW133" s="401"/>
      <c r="AX133" s="432">
        <f t="shared" si="255"/>
        <v>0</v>
      </c>
      <c r="AY133" s="432">
        <f t="shared" si="256"/>
        <v>0</v>
      </c>
      <c r="AZ133" s="432">
        <f t="shared" si="256"/>
        <v>0</v>
      </c>
      <c r="BA133" s="432">
        <f t="shared" si="257"/>
        <v>0</v>
      </c>
      <c r="BC133" s="395">
        <f t="shared" si="259"/>
        <v>0</v>
      </c>
      <c r="BD133" s="395">
        <f t="shared" si="260"/>
        <v>0</v>
      </c>
    </row>
    <row r="134" spans="1:56" ht="14.4" thickBot="1">
      <c r="A134" s="397" t="s">
        <v>4</v>
      </c>
      <c r="B134" s="398">
        <v>0</v>
      </c>
      <c r="C134" s="399">
        <v>0</v>
      </c>
      <c r="D134" s="400">
        <f t="shared" si="244"/>
        <v>0</v>
      </c>
      <c r="E134" s="401">
        <v>0</v>
      </c>
      <c r="F134" s="398">
        <v>0</v>
      </c>
      <c r="G134" s="398">
        <v>0</v>
      </c>
      <c r="H134" s="400">
        <f t="shared" si="245"/>
        <v>0</v>
      </c>
      <c r="I134" s="401">
        <v>0</v>
      </c>
      <c r="J134" s="398">
        <v>0</v>
      </c>
      <c r="K134" s="398">
        <v>0</v>
      </c>
      <c r="L134" s="400">
        <f t="shared" si="246"/>
        <v>0</v>
      </c>
      <c r="M134" s="401">
        <v>0</v>
      </c>
      <c r="N134" s="398">
        <v>0</v>
      </c>
      <c r="O134" s="398">
        <v>0</v>
      </c>
      <c r="P134" s="400">
        <f t="shared" si="247"/>
        <v>0</v>
      </c>
      <c r="Q134" s="401">
        <v>0</v>
      </c>
      <c r="R134" s="398">
        <v>0</v>
      </c>
      <c r="S134" s="399">
        <v>0</v>
      </c>
      <c r="T134" s="400">
        <f t="shared" si="248"/>
        <v>0</v>
      </c>
      <c r="U134" s="401">
        <v>0</v>
      </c>
      <c r="V134" s="398">
        <v>0</v>
      </c>
      <c r="W134" s="399">
        <v>0</v>
      </c>
      <c r="X134" s="400">
        <f t="shared" si="249"/>
        <v>0</v>
      </c>
      <c r="Y134" s="401">
        <v>0</v>
      </c>
      <c r="Z134" s="398">
        <v>0</v>
      </c>
      <c r="AA134" s="399">
        <v>0</v>
      </c>
      <c r="AB134" s="400">
        <f t="shared" si="258"/>
        <v>0</v>
      </c>
      <c r="AC134" s="401">
        <v>0</v>
      </c>
      <c r="AD134" s="398">
        <v>0</v>
      </c>
      <c r="AE134" s="399">
        <v>0</v>
      </c>
      <c r="AF134" s="400">
        <f t="shared" si="250"/>
        <v>0</v>
      </c>
      <c r="AG134" s="401">
        <v>0</v>
      </c>
      <c r="AH134" s="398"/>
      <c r="AI134" s="399"/>
      <c r="AJ134" s="400">
        <f t="shared" si="251"/>
        <v>0</v>
      </c>
      <c r="AK134" s="401"/>
      <c r="AL134" s="398"/>
      <c r="AM134" s="399"/>
      <c r="AN134" s="400">
        <f t="shared" si="252"/>
        <v>0</v>
      </c>
      <c r="AO134" s="401"/>
      <c r="AP134" s="398"/>
      <c r="AQ134" s="399"/>
      <c r="AR134" s="400">
        <f t="shared" si="253"/>
        <v>0</v>
      </c>
      <c r="AS134" s="401"/>
      <c r="AT134" s="398"/>
      <c r="AU134" s="399"/>
      <c r="AV134" s="400">
        <f t="shared" si="254"/>
        <v>0</v>
      </c>
      <c r="AW134" s="401"/>
      <c r="AX134" s="432">
        <f t="shared" si="255"/>
        <v>0</v>
      </c>
      <c r="AY134" s="432">
        <f t="shared" si="256"/>
        <v>0</v>
      </c>
      <c r="AZ134" s="432">
        <f t="shared" si="256"/>
        <v>0</v>
      </c>
      <c r="BA134" s="432">
        <f t="shared" si="257"/>
        <v>0</v>
      </c>
      <c r="BC134" s="395">
        <f t="shared" si="259"/>
        <v>0</v>
      </c>
      <c r="BD134" s="395">
        <f t="shared" si="260"/>
        <v>0</v>
      </c>
    </row>
    <row r="135" spans="1:56" ht="14.4" thickBot="1">
      <c r="A135" s="397" t="s">
        <v>3</v>
      </c>
      <c r="B135" s="398">
        <v>1</v>
      </c>
      <c r="C135" s="399">
        <v>0</v>
      </c>
      <c r="D135" s="400">
        <f t="shared" si="244"/>
        <v>1</v>
      </c>
      <c r="E135" s="401">
        <v>0</v>
      </c>
      <c r="F135" s="398">
        <v>0</v>
      </c>
      <c r="G135" s="398">
        <v>0</v>
      </c>
      <c r="H135" s="400">
        <f t="shared" si="245"/>
        <v>0</v>
      </c>
      <c r="I135" s="401">
        <v>0</v>
      </c>
      <c r="J135" s="398">
        <v>9</v>
      </c>
      <c r="K135" s="398">
        <v>0</v>
      </c>
      <c r="L135" s="400">
        <f t="shared" si="246"/>
        <v>9</v>
      </c>
      <c r="M135" s="401">
        <v>0</v>
      </c>
      <c r="N135" s="398">
        <v>3</v>
      </c>
      <c r="O135" s="398">
        <v>0</v>
      </c>
      <c r="P135" s="400">
        <f t="shared" si="247"/>
        <v>3</v>
      </c>
      <c r="Q135" s="401">
        <v>0</v>
      </c>
      <c r="R135" s="398">
        <v>7</v>
      </c>
      <c r="S135" s="399">
        <v>0</v>
      </c>
      <c r="T135" s="400">
        <f t="shared" si="248"/>
        <v>7</v>
      </c>
      <c r="U135" s="401">
        <v>0</v>
      </c>
      <c r="V135" s="398">
        <v>8</v>
      </c>
      <c r="W135" s="399">
        <v>0</v>
      </c>
      <c r="X135" s="400">
        <f t="shared" si="249"/>
        <v>8</v>
      </c>
      <c r="Y135" s="401">
        <v>0</v>
      </c>
      <c r="Z135" s="398">
        <v>0</v>
      </c>
      <c r="AA135" s="399">
        <v>0</v>
      </c>
      <c r="AB135" s="400">
        <f t="shared" si="258"/>
        <v>0</v>
      </c>
      <c r="AC135" s="401">
        <v>0</v>
      </c>
      <c r="AD135" s="398">
        <v>16</v>
      </c>
      <c r="AE135" s="399">
        <v>0</v>
      </c>
      <c r="AF135" s="400">
        <f t="shared" si="250"/>
        <v>16</v>
      </c>
      <c r="AG135" s="401">
        <v>0</v>
      </c>
      <c r="AH135" s="398"/>
      <c r="AI135" s="399"/>
      <c r="AJ135" s="400">
        <f t="shared" si="251"/>
        <v>0</v>
      </c>
      <c r="AK135" s="401"/>
      <c r="AL135" s="398"/>
      <c r="AM135" s="399"/>
      <c r="AN135" s="400">
        <f t="shared" si="252"/>
        <v>0</v>
      </c>
      <c r="AO135" s="401"/>
      <c r="AP135" s="398"/>
      <c r="AQ135" s="399"/>
      <c r="AR135" s="400">
        <f t="shared" si="253"/>
        <v>0</v>
      </c>
      <c r="AS135" s="401"/>
      <c r="AT135" s="398"/>
      <c r="AU135" s="399"/>
      <c r="AV135" s="400">
        <f t="shared" si="254"/>
        <v>0</v>
      </c>
      <c r="AW135" s="401"/>
      <c r="AX135" s="432">
        <f t="shared" si="255"/>
        <v>44</v>
      </c>
      <c r="AY135" s="432">
        <f t="shared" si="256"/>
        <v>0</v>
      </c>
      <c r="AZ135" s="432">
        <f t="shared" si="256"/>
        <v>44</v>
      </c>
      <c r="BA135" s="432">
        <f t="shared" si="257"/>
        <v>0</v>
      </c>
      <c r="BC135" s="395">
        <f t="shared" si="259"/>
        <v>16</v>
      </c>
      <c r="BD135" s="395">
        <f t="shared" si="260"/>
        <v>0</v>
      </c>
    </row>
    <row r="136" spans="1:56" ht="14.4" thickBot="1">
      <c r="A136" s="397" t="s">
        <v>397</v>
      </c>
      <c r="B136" s="398">
        <v>0</v>
      </c>
      <c r="C136" s="399">
        <v>0</v>
      </c>
      <c r="D136" s="400">
        <f t="shared" si="244"/>
        <v>0</v>
      </c>
      <c r="E136" s="401">
        <v>0</v>
      </c>
      <c r="F136" s="398">
        <v>0</v>
      </c>
      <c r="G136" s="398">
        <v>0</v>
      </c>
      <c r="H136" s="400">
        <f t="shared" si="245"/>
        <v>0</v>
      </c>
      <c r="I136" s="401">
        <v>0</v>
      </c>
      <c r="J136" s="398">
        <v>0</v>
      </c>
      <c r="K136" s="398">
        <v>0</v>
      </c>
      <c r="L136" s="400">
        <f t="shared" si="246"/>
        <v>0</v>
      </c>
      <c r="M136" s="401">
        <v>0</v>
      </c>
      <c r="N136" s="398">
        <v>0</v>
      </c>
      <c r="O136" s="398">
        <v>0</v>
      </c>
      <c r="P136" s="400">
        <f t="shared" si="247"/>
        <v>0</v>
      </c>
      <c r="Q136" s="401">
        <v>0</v>
      </c>
      <c r="R136" s="398">
        <v>0</v>
      </c>
      <c r="S136" s="399">
        <v>0</v>
      </c>
      <c r="T136" s="400">
        <f t="shared" si="248"/>
        <v>0</v>
      </c>
      <c r="U136" s="401">
        <v>0</v>
      </c>
      <c r="V136" s="398">
        <v>0</v>
      </c>
      <c r="W136" s="399">
        <v>0</v>
      </c>
      <c r="X136" s="400">
        <f t="shared" si="249"/>
        <v>0</v>
      </c>
      <c r="Y136" s="401">
        <v>0</v>
      </c>
      <c r="Z136" s="398">
        <v>0</v>
      </c>
      <c r="AA136" s="399">
        <v>0</v>
      </c>
      <c r="AB136" s="400">
        <f t="shared" si="258"/>
        <v>0</v>
      </c>
      <c r="AC136" s="401">
        <v>0</v>
      </c>
      <c r="AD136" s="398">
        <v>0</v>
      </c>
      <c r="AE136" s="399">
        <v>0</v>
      </c>
      <c r="AF136" s="400">
        <f t="shared" si="250"/>
        <v>0</v>
      </c>
      <c r="AG136" s="401">
        <v>0</v>
      </c>
      <c r="AH136" s="398"/>
      <c r="AI136" s="399"/>
      <c r="AJ136" s="400">
        <f t="shared" si="251"/>
        <v>0</v>
      </c>
      <c r="AK136" s="401"/>
      <c r="AL136" s="398"/>
      <c r="AM136" s="399"/>
      <c r="AN136" s="400">
        <f t="shared" si="252"/>
        <v>0</v>
      </c>
      <c r="AO136" s="401"/>
      <c r="AP136" s="398"/>
      <c r="AQ136" s="399"/>
      <c r="AR136" s="400">
        <f t="shared" si="253"/>
        <v>0</v>
      </c>
      <c r="AS136" s="401"/>
      <c r="AT136" s="398"/>
      <c r="AU136" s="399"/>
      <c r="AV136" s="400">
        <f t="shared" si="254"/>
        <v>0</v>
      </c>
      <c r="AW136" s="401"/>
      <c r="AX136" s="432">
        <f t="shared" si="255"/>
        <v>0</v>
      </c>
      <c r="AY136" s="432">
        <f>C136+G136+K136+O136+S136+W136+AA136+AE136+AI136+AM136+AQ136+AU136</f>
        <v>0</v>
      </c>
      <c r="AZ136" s="432">
        <f t="shared" si="256"/>
        <v>0</v>
      </c>
      <c r="BA136" s="432">
        <f t="shared" si="257"/>
        <v>0</v>
      </c>
      <c r="BC136" s="395">
        <f t="shared" si="259"/>
        <v>0</v>
      </c>
      <c r="BD136" s="395">
        <f t="shared" si="260"/>
        <v>0</v>
      </c>
    </row>
    <row r="137" spans="1:56" ht="14.4" thickBot="1">
      <c r="A137" s="397" t="s">
        <v>399</v>
      </c>
      <c r="B137" s="398">
        <v>0</v>
      </c>
      <c r="C137" s="399">
        <v>0</v>
      </c>
      <c r="D137" s="400">
        <f t="shared" si="244"/>
        <v>0</v>
      </c>
      <c r="E137" s="401">
        <v>0</v>
      </c>
      <c r="F137" s="398">
        <v>0</v>
      </c>
      <c r="G137" s="398">
        <v>0</v>
      </c>
      <c r="H137" s="400">
        <f t="shared" si="245"/>
        <v>0</v>
      </c>
      <c r="I137" s="401">
        <v>0</v>
      </c>
      <c r="J137" s="398">
        <v>0</v>
      </c>
      <c r="K137" s="398">
        <v>0</v>
      </c>
      <c r="L137" s="400">
        <f t="shared" si="246"/>
        <v>0</v>
      </c>
      <c r="M137" s="401">
        <v>0</v>
      </c>
      <c r="N137" s="398">
        <v>0</v>
      </c>
      <c r="O137" s="398">
        <v>0</v>
      </c>
      <c r="P137" s="400">
        <f t="shared" si="247"/>
        <v>0</v>
      </c>
      <c r="Q137" s="401">
        <v>0</v>
      </c>
      <c r="R137" s="398">
        <v>0</v>
      </c>
      <c r="S137" s="399">
        <v>0</v>
      </c>
      <c r="T137" s="400">
        <f t="shared" si="248"/>
        <v>0</v>
      </c>
      <c r="U137" s="401">
        <v>0</v>
      </c>
      <c r="V137" s="398">
        <v>0</v>
      </c>
      <c r="W137" s="399">
        <v>0</v>
      </c>
      <c r="X137" s="400">
        <f t="shared" si="249"/>
        <v>0</v>
      </c>
      <c r="Y137" s="401">
        <v>0</v>
      </c>
      <c r="Z137" s="398">
        <v>0</v>
      </c>
      <c r="AA137" s="399">
        <v>0</v>
      </c>
      <c r="AB137" s="400">
        <f t="shared" si="258"/>
        <v>0</v>
      </c>
      <c r="AC137" s="401">
        <v>0</v>
      </c>
      <c r="AD137" s="398">
        <v>0</v>
      </c>
      <c r="AE137" s="399">
        <v>0</v>
      </c>
      <c r="AF137" s="400">
        <f t="shared" si="250"/>
        <v>0</v>
      </c>
      <c r="AG137" s="401">
        <v>0</v>
      </c>
      <c r="AH137" s="398"/>
      <c r="AI137" s="399"/>
      <c r="AJ137" s="400">
        <f t="shared" si="251"/>
        <v>0</v>
      </c>
      <c r="AK137" s="401"/>
      <c r="AL137" s="398"/>
      <c r="AM137" s="399"/>
      <c r="AN137" s="400">
        <f t="shared" si="252"/>
        <v>0</v>
      </c>
      <c r="AO137" s="401"/>
      <c r="AP137" s="398"/>
      <c r="AQ137" s="399"/>
      <c r="AR137" s="400">
        <f t="shared" si="253"/>
        <v>0</v>
      </c>
      <c r="AS137" s="401"/>
      <c r="AT137" s="398"/>
      <c r="AU137" s="399"/>
      <c r="AV137" s="400">
        <f t="shared" si="254"/>
        <v>0</v>
      </c>
      <c r="AW137" s="401"/>
      <c r="AX137" s="432">
        <f t="shared" si="255"/>
        <v>0</v>
      </c>
      <c r="AY137" s="432">
        <f>C137+G137+K137+O137+S137+W137+AA137+AE137+AI137+AM137+AQ137+AU137</f>
        <v>0</v>
      </c>
      <c r="AZ137" s="432">
        <f t="shared" si="256"/>
        <v>0</v>
      </c>
      <c r="BA137" s="432">
        <f t="shared" si="257"/>
        <v>0</v>
      </c>
      <c r="BC137" s="395">
        <f t="shared" si="259"/>
        <v>0</v>
      </c>
      <c r="BD137" s="395">
        <f t="shared" si="260"/>
        <v>0</v>
      </c>
    </row>
    <row r="138" spans="1:56" ht="14.4" thickBot="1">
      <c r="A138" s="397" t="s">
        <v>883</v>
      </c>
      <c r="B138" s="398">
        <v>0</v>
      </c>
      <c r="C138" s="399">
        <v>0</v>
      </c>
      <c r="D138" s="400">
        <f t="shared" si="244"/>
        <v>0</v>
      </c>
      <c r="E138" s="401">
        <v>0</v>
      </c>
      <c r="F138" s="398">
        <v>20</v>
      </c>
      <c r="G138" s="398">
        <v>0</v>
      </c>
      <c r="H138" s="400">
        <f>+F138+G138</f>
        <v>20</v>
      </c>
      <c r="I138" s="401">
        <v>0</v>
      </c>
      <c r="J138" s="398">
        <v>10</v>
      </c>
      <c r="K138" s="398">
        <v>0</v>
      </c>
      <c r="L138" s="400">
        <f t="shared" si="246"/>
        <v>10</v>
      </c>
      <c r="M138" s="401">
        <v>0</v>
      </c>
      <c r="N138" s="398">
        <v>8</v>
      </c>
      <c r="O138" s="398">
        <v>0</v>
      </c>
      <c r="P138" s="400">
        <f t="shared" si="247"/>
        <v>8</v>
      </c>
      <c r="Q138" s="401">
        <v>0</v>
      </c>
      <c r="R138" s="398">
        <v>11</v>
      </c>
      <c r="S138" s="399">
        <v>0</v>
      </c>
      <c r="T138" s="400">
        <f>+R138+S138</f>
        <v>11</v>
      </c>
      <c r="U138" s="401">
        <v>0</v>
      </c>
      <c r="V138" s="398">
        <v>16</v>
      </c>
      <c r="W138" s="399">
        <v>0</v>
      </c>
      <c r="X138" s="400">
        <f t="shared" si="249"/>
        <v>16</v>
      </c>
      <c r="Y138" s="401">
        <v>0</v>
      </c>
      <c r="Z138" s="398">
        <v>19</v>
      </c>
      <c r="AA138" s="399">
        <v>0</v>
      </c>
      <c r="AB138" s="400">
        <f t="shared" si="258"/>
        <v>19</v>
      </c>
      <c r="AC138" s="401">
        <v>0</v>
      </c>
      <c r="AD138" s="398">
        <v>20</v>
      </c>
      <c r="AE138" s="399">
        <v>0</v>
      </c>
      <c r="AF138" s="400">
        <f t="shared" si="250"/>
        <v>20</v>
      </c>
      <c r="AG138" s="401">
        <v>0</v>
      </c>
      <c r="AH138" s="398"/>
      <c r="AI138" s="399"/>
      <c r="AJ138" s="400">
        <f>+AH138+AI138</f>
        <v>0</v>
      </c>
      <c r="AK138" s="401"/>
      <c r="AL138" s="398"/>
      <c r="AM138" s="399"/>
      <c r="AN138" s="400">
        <f t="shared" si="252"/>
        <v>0</v>
      </c>
      <c r="AO138" s="401"/>
      <c r="AP138" s="398"/>
      <c r="AQ138" s="399"/>
      <c r="AR138" s="400">
        <f t="shared" si="253"/>
        <v>0</v>
      </c>
      <c r="AS138" s="401"/>
      <c r="AT138" s="398"/>
      <c r="AU138" s="399"/>
      <c r="AV138" s="400">
        <f t="shared" si="254"/>
        <v>0</v>
      </c>
      <c r="AW138" s="401"/>
      <c r="AX138" s="432">
        <f t="shared" si="255"/>
        <v>104</v>
      </c>
      <c r="AY138" s="432">
        <f>C138+G138+K138+O138+S138+W138+AA138+AE138+AI138+AM138+AQ138+AU138</f>
        <v>0</v>
      </c>
      <c r="AZ138" s="432">
        <f t="shared" si="256"/>
        <v>104</v>
      </c>
      <c r="BA138" s="432">
        <f t="shared" si="257"/>
        <v>0</v>
      </c>
      <c r="BC138" s="395">
        <f t="shared" si="259"/>
        <v>20</v>
      </c>
      <c r="BD138" s="395">
        <f t="shared" si="260"/>
        <v>0</v>
      </c>
    </row>
    <row r="139" spans="1:56" ht="14.4" thickBot="1">
      <c r="A139" s="397" t="s">
        <v>884</v>
      </c>
      <c r="B139" s="398">
        <v>18</v>
      </c>
      <c r="C139" s="399">
        <v>0</v>
      </c>
      <c r="D139" s="400">
        <f>+B139+C139</f>
        <v>18</v>
      </c>
      <c r="E139" s="401">
        <v>0</v>
      </c>
      <c r="F139" s="398">
        <v>25</v>
      </c>
      <c r="G139" s="398">
        <v>1</v>
      </c>
      <c r="H139" s="400">
        <f>+F139+G139</f>
        <v>26</v>
      </c>
      <c r="I139" s="401">
        <v>0</v>
      </c>
      <c r="J139" s="398">
        <v>33</v>
      </c>
      <c r="K139" s="398">
        <v>0</v>
      </c>
      <c r="L139" s="400">
        <f t="shared" si="246"/>
        <v>33</v>
      </c>
      <c r="M139" s="401">
        <v>0</v>
      </c>
      <c r="N139" s="398">
        <v>21</v>
      </c>
      <c r="O139" s="398">
        <v>1</v>
      </c>
      <c r="P139" s="400">
        <f t="shared" si="247"/>
        <v>22</v>
      </c>
      <c r="Q139" s="401">
        <v>0</v>
      </c>
      <c r="R139" s="398">
        <v>52</v>
      </c>
      <c r="S139" s="399">
        <v>1</v>
      </c>
      <c r="T139" s="400">
        <f>+R139+S139</f>
        <v>53</v>
      </c>
      <c r="U139" s="401">
        <v>0</v>
      </c>
      <c r="V139" s="398">
        <v>44</v>
      </c>
      <c r="W139" s="399">
        <v>1</v>
      </c>
      <c r="X139" s="400">
        <f t="shared" si="249"/>
        <v>45</v>
      </c>
      <c r="Y139" s="401">
        <v>0</v>
      </c>
      <c r="Z139" s="398">
        <v>71</v>
      </c>
      <c r="AA139" s="399">
        <v>0</v>
      </c>
      <c r="AB139" s="400">
        <f t="shared" si="258"/>
        <v>71</v>
      </c>
      <c r="AC139" s="401">
        <v>0</v>
      </c>
      <c r="AD139" s="398">
        <v>84</v>
      </c>
      <c r="AE139" s="399">
        <v>0</v>
      </c>
      <c r="AF139" s="400">
        <f t="shared" si="250"/>
        <v>84</v>
      </c>
      <c r="AG139" s="401">
        <v>0</v>
      </c>
      <c r="AH139" s="398"/>
      <c r="AI139" s="399"/>
      <c r="AJ139" s="400">
        <f t="shared" si="251"/>
        <v>0</v>
      </c>
      <c r="AK139" s="401"/>
      <c r="AL139" s="398"/>
      <c r="AM139" s="399"/>
      <c r="AN139" s="400">
        <f t="shared" si="252"/>
        <v>0</v>
      </c>
      <c r="AO139" s="401"/>
      <c r="AP139" s="398"/>
      <c r="AQ139" s="399"/>
      <c r="AR139" s="400">
        <f t="shared" si="253"/>
        <v>0</v>
      </c>
      <c r="AS139" s="401"/>
      <c r="AT139" s="398"/>
      <c r="AU139" s="399"/>
      <c r="AV139" s="400">
        <f>+AT139+AU139</f>
        <v>0</v>
      </c>
      <c r="AW139" s="401"/>
      <c r="AX139" s="432">
        <f t="shared" si="255"/>
        <v>348</v>
      </c>
      <c r="AY139" s="432">
        <f>C139+G139+K139+O139+S139+W139+AA139+AE139+AI139+AM139+AQ139+AU139</f>
        <v>4</v>
      </c>
      <c r="AZ139" s="432">
        <f t="shared" si="256"/>
        <v>352</v>
      </c>
      <c r="BA139" s="432">
        <f t="shared" si="257"/>
        <v>0</v>
      </c>
      <c r="BC139" s="395">
        <f t="shared" si="259"/>
        <v>84</v>
      </c>
      <c r="BD139" s="395">
        <f t="shared" si="260"/>
        <v>0</v>
      </c>
    </row>
    <row r="140" spans="1:56" ht="14.4" thickBot="1">
      <c r="A140" s="397" t="s">
        <v>885</v>
      </c>
      <c r="B140" s="398">
        <v>7</v>
      </c>
      <c r="C140" s="399">
        <v>0</v>
      </c>
      <c r="D140" s="400">
        <f t="shared" si="244"/>
        <v>7</v>
      </c>
      <c r="E140" s="401">
        <v>0</v>
      </c>
      <c r="F140" s="398">
        <v>17</v>
      </c>
      <c r="G140" s="398">
        <v>0</v>
      </c>
      <c r="H140" s="400">
        <f>+F140+G140</f>
        <v>17</v>
      </c>
      <c r="I140" s="401">
        <v>0</v>
      </c>
      <c r="J140" s="398">
        <v>24</v>
      </c>
      <c r="K140" s="398">
        <v>0</v>
      </c>
      <c r="L140" s="400">
        <f t="shared" si="246"/>
        <v>24</v>
      </c>
      <c r="M140" s="401">
        <v>0</v>
      </c>
      <c r="N140" s="398">
        <v>15</v>
      </c>
      <c r="O140" s="398">
        <v>0</v>
      </c>
      <c r="P140" s="400">
        <f t="shared" si="247"/>
        <v>15</v>
      </c>
      <c r="Q140" s="401">
        <v>0</v>
      </c>
      <c r="R140" s="398">
        <v>20</v>
      </c>
      <c r="S140" s="399">
        <v>0</v>
      </c>
      <c r="T140" s="400">
        <f>+R140+S140</f>
        <v>20</v>
      </c>
      <c r="U140" s="401">
        <v>0</v>
      </c>
      <c r="V140" s="398">
        <v>19</v>
      </c>
      <c r="W140" s="399">
        <v>0</v>
      </c>
      <c r="X140" s="400">
        <f t="shared" si="249"/>
        <v>19</v>
      </c>
      <c r="Y140" s="401">
        <v>0</v>
      </c>
      <c r="Z140" s="398">
        <v>21</v>
      </c>
      <c r="AA140" s="399">
        <v>0</v>
      </c>
      <c r="AB140" s="400">
        <f t="shared" si="258"/>
        <v>21</v>
      </c>
      <c r="AC140" s="401">
        <v>0</v>
      </c>
      <c r="AD140" s="398">
        <v>22</v>
      </c>
      <c r="AE140" s="399">
        <v>0</v>
      </c>
      <c r="AF140" s="400">
        <f t="shared" si="250"/>
        <v>22</v>
      </c>
      <c r="AG140" s="401">
        <v>0</v>
      </c>
      <c r="AH140" s="398"/>
      <c r="AI140" s="399"/>
      <c r="AJ140" s="400">
        <f>+AH140+AI140</f>
        <v>0</v>
      </c>
      <c r="AK140" s="401"/>
      <c r="AL140" s="398"/>
      <c r="AM140" s="399"/>
      <c r="AN140" s="400">
        <f t="shared" si="252"/>
        <v>0</v>
      </c>
      <c r="AO140" s="401"/>
      <c r="AP140" s="398"/>
      <c r="AQ140" s="399"/>
      <c r="AR140" s="400">
        <f t="shared" si="253"/>
        <v>0</v>
      </c>
      <c r="AS140" s="401"/>
      <c r="AT140" s="398"/>
      <c r="AU140" s="399"/>
      <c r="AV140" s="400">
        <f t="shared" si="254"/>
        <v>0</v>
      </c>
      <c r="AW140" s="401"/>
      <c r="AX140" s="432">
        <f t="shared" si="255"/>
        <v>145</v>
      </c>
      <c r="AY140" s="432">
        <f>C140+G140+K140+O140+S140+W140+AA140+AE140+AI140+AM140+AQ140+AU140</f>
        <v>0</v>
      </c>
      <c r="AZ140" s="432">
        <f t="shared" si="256"/>
        <v>145</v>
      </c>
      <c r="BA140" s="432">
        <f t="shared" si="257"/>
        <v>0</v>
      </c>
      <c r="BC140" s="395">
        <f t="shared" si="259"/>
        <v>22</v>
      </c>
      <c r="BD140" s="395">
        <f t="shared" si="260"/>
        <v>0</v>
      </c>
    </row>
    <row r="141" spans="1:56" ht="14.4" thickBot="1">
      <c r="A141" s="433" t="s">
        <v>16</v>
      </c>
      <c r="B141" s="417">
        <f t="shared" ref="B141:AG141" si="261">SUM(B131:B140)</f>
        <v>40</v>
      </c>
      <c r="C141" s="419">
        <f t="shared" si="261"/>
        <v>0</v>
      </c>
      <c r="D141" s="419">
        <f t="shared" si="261"/>
        <v>40</v>
      </c>
      <c r="E141" s="420">
        <f t="shared" si="261"/>
        <v>0</v>
      </c>
      <c r="F141" s="417">
        <f t="shared" si="261"/>
        <v>66</v>
      </c>
      <c r="G141" s="419">
        <f t="shared" si="261"/>
        <v>1</v>
      </c>
      <c r="H141" s="419">
        <f t="shared" si="261"/>
        <v>67</v>
      </c>
      <c r="I141" s="420">
        <f t="shared" si="261"/>
        <v>0</v>
      </c>
      <c r="J141" s="417">
        <f t="shared" si="261"/>
        <v>79</v>
      </c>
      <c r="K141" s="419">
        <f t="shared" si="261"/>
        <v>0</v>
      </c>
      <c r="L141" s="419">
        <f t="shared" si="261"/>
        <v>79</v>
      </c>
      <c r="M141" s="420">
        <f t="shared" si="261"/>
        <v>0</v>
      </c>
      <c r="N141" s="417">
        <f t="shared" si="261"/>
        <v>52</v>
      </c>
      <c r="O141" s="419">
        <f t="shared" si="261"/>
        <v>1</v>
      </c>
      <c r="P141" s="419">
        <f t="shared" si="261"/>
        <v>53</v>
      </c>
      <c r="Q141" s="420">
        <f t="shared" si="261"/>
        <v>0</v>
      </c>
      <c r="R141" s="417">
        <f t="shared" si="261"/>
        <v>92</v>
      </c>
      <c r="S141" s="419">
        <f t="shared" si="261"/>
        <v>1</v>
      </c>
      <c r="T141" s="419">
        <f t="shared" si="261"/>
        <v>93</v>
      </c>
      <c r="U141" s="420">
        <f t="shared" si="261"/>
        <v>0</v>
      </c>
      <c r="V141" s="417">
        <f t="shared" si="261"/>
        <v>92</v>
      </c>
      <c r="W141" s="419">
        <f t="shared" si="261"/>
        <v>1</v>
      </c>
      <c r="X141" s="419">
        <f t="shared" si="261"/>
        <v>93</v>
      </c>
      <c r="Y141" s="420">
        <f t="shared" si="261"/>
        <v>0</v>
      </c>
      <c r="Z141" s="417">
        <f t="shared" si="261"/>
        <v>169</v>
      </c>
      <c r="AA141" s="419">
        <f t="shared" si="261"/>
        <v>0</v>
      </c>
      <c r="AB141" s="419">
        <f t="shared" si="261"/>
        <v>169</v>
      </c>
      <c r="AC141" s="420">
        <f t="shared" si="261"/>
        <v>0</v>
      </c>
      <c r="AD141" s="417">
        <f>SUM(AD131:AD140)</f>
        <v>216</v>
      </c>
      <c r="AE141" s="419">
        <f t="shared" si="261"/>
        <v>1</v>
      </c>
      <c r="AF141" s="419">
        <f t="shared" si="261"/>
        <v>217</v>
      </c>
      <c r="AG141" s="420">
        <f t="shared" si="261"/>
        <v>0</v>
      </c>
      <c r="AH141" s="417">
        <f t="shared" ref="AH141:BA141" si="262">SUM(AH131:AH140)</f>
        <v>0</v>
      </c>
      <c r="AI141" s="419">
        <f t="shared" si="262"/>
        <v>0</v>
      </c>
      <c r="AJ141" s="419">
        <f t="shared" si="262"/>
        <v>0</v>
      </c>
      <c r="AK141" s="420">
        <f t="shared" si="262"/>
        <v>0</v>
      </c>
      <c r="AL141" s="417">
        <f t="shared" si="262"/>
        <v>0</v>
      </c>
      <c r="AM141" s="419">
        <f t="shared" si="262"/>
        <v>0</v>
      </c>
      <c r="AN141" s="419">
        <f t="shared" si="262"/>
        <v>0</v>
      </c>
      <c r="AO141" s="420">
        <f t="shared" si="262"/>
        <v>0</v>
      </c>
      <c r="AP141" s="417">
        <f t="shared" si="262"/>
        <v>0</v>
      </c>
      <c r="AQ141" s="419">
        <f t="shared" si="262"/>
        <v>0</v>
      </c>
      <c r="AR141" s="419">
        <f t="shared" si="262"/>
        <v>0</v>
      </c>
      <c r="AS141" s="420">
        <f t="shared" si="262"/>
        <v>0</v>
      </c>
      <c r="AT141" s="417">
        <f t="shared" si="262"/>
        <v>0</v>
      </c>
      <c r="AU141" s="419">
        <f t="shared" si="262"/>
        <v>0</v>
      </c>
      <c r="AV141" s="419">
        <f t="shared" si="262"/>
        <v>0</v>
      </c>
      <c r="AW141" s="420">
        <f t="shared" si="262"/>
        <v>0</v>
      </c>
      <c r="AX141" s="434">
        <f t="shared" si="262"/>
        <v>806</v>
      </c>
      <c r="AY141" s="434">
        <f t="shared" si="262"/>
        <v>5</v>
      </c>
      <c r="AZ141" s="434">
        <f t="shared" si="262"/>
        <v>811</v>
      </c>
      <c r="BA141" s="434">
        <f t="shared" si="262"/>
        <v>0</v>
      </c>
      <c r="BC141" s="395">
        <f t="shared" si="259"/>
        <v>217</v>
      </c>
      <c r="BD141" s="395">
        <f t="shared" si="260"/>
        <v>0</v>
      </c>
    </row>
    <row r="142" spans="1:56">
      <c r="L142" s="117">
        <f>L141+H141+D141</f>
        <v>186</v>
      </c>
      <c r="M142" s="395">
        <f>M141+I141+E141</f>
        <v>0</v>
      </c>
      <c r="P142" s="395">
        <f>P141+T141+X141</f>
        <v>239</v>
      </c>
      <c r="Q142" s="395">
        <f>Q141+U141+Y141</f>
        <v>0</v>
      </c>
      <c r="AB142" s="395"/>
      <c r="AJ142" s="1243">
        <f>AJ141+AF141+AB141</f>
        <v>386</v>
      </c>
      <c r="AK142" s="1243">
        <f>AK141+AG141+AC141</f>
        <v>0</v>
      </c>
      <c r="AV142" s="446">
        <f>AN141+AR141+AV141</f>
        <v>0</v>
      </c>
      <c r="AW142" s="446">
        <f>AO141+AS141+AW141</f>
        <v>0</v>
      </c>
      <c r="BC142" s="395"/>
      <c r="BD142" s="395"/>
    </row>
    <row r="143" spans="1:56" ht="18.600000000000001" thickBot="1">
      <c r="A143" s="394">
        <f>A112</f>
        <v>2024</v>
      </c>
      <c r="Q143" s="395">
        <f>Q146+P146</f>
        <v>0</v>
      </c>
      <c r="AZ143" s="395">
        <f>BA146+AZ146</f>
        <v>0</v>
      </c>
    </row>
    <row r="144" spans="1:56">
      <c r="A144" s="2815" t="s">
        <v>308</v>
      </c>
      <c r="B144" s="2827" t="s">
        <v>71</v>
      </c>
      <c r="C144" s="2828"/>
      <c r="D144" s="2828"/>
      <c r="E144" s="3091"/>
      <c r="F144" s="2829" t="s">
        <v>72</v>
      </c>
      <c r="G144" s="2830"/>
      <c r="H144" s="2830"/>
      <c r="I144" s="3095"/>
      <c r="J144" s="2817" t="s">
        <v>73</v>
      </c>
      <c r="K144" s="2818"/>
      <c r="L144" s="2818"/>
      <c r="M144" s="3094"/>
      <c r="N144" s="2819" t="s">
        <v>74</v>
      </c>
      <c r="O144" s="2820"/>
      <c r="P144" s="2820"/>
      <c r="Q144" s="3090"/>
      <c r="R144" s="2821" t="s">
        <v>75</v>
      </c>
      <c r="S144" s="2822"/>
      <c r="T144" s="2822"/>
      <c r="U144" s="3093"/>
      <c r="V144" s="2823" t="s">
        <v>76</v>
      </c>
      <c r="W144" s="2824"/>
      <c r="X144" s="2824"/>
      <c r="Y144" s="3089"/>
      <c r="Z144" s="2827" t="s">
        <v>77</v>
      </c>
      <c r="AA144" s="2828"/>
      <c r="AB144" s="2828"/>
      <c r="AC144" s="3091"/>
      <c r="AD144" s="2829" t="s">
        <v>78</v>
      </c>
      <c r="AE144" s="2830"/>
      <c r="AF144" s="2830"/>
      <c r="AG144" s="3095"/>
      <c r="AH144" s="2817" t="s">
        <v>79</v>
      </c>
      <c r="AI144" s="2818"/>
      <c r="AJ144" s="2818"/>
      <c r="AK144" s="3094"/>
      <c r="AL144" s="2819" t="s">
        <v>80</v>
      </c>
      <c r="AM144" s="2820"/>
      <c r="AN144" s="2820"/>
      <c r="AO144" s="3090"/>
      <c r="AP144" s="2821" t="s">
        <v>81</v>
      </c>
      <c r="AQ144" s="2822"/>
      <c r="AR144" s="2822"/>
      <c r="AS144" s="3093"/>
      <c r="AT144" s="2823" t="s">
        <v>82</v>
      </c>
      <c r="AU144" s="2824"/>
      <c r="AV144" s="2824"/>
      <c r="AW144" s="3089"/>
      <c r="AX144" s="2825" t="s">
        <v>83</v>
      </c>
      <c r="AY144" s="2826"/>
      <c r="AZ144" s="2826"/>
      <c r="BA144" s="3088"/>
    </row>
    <row r="145" spans="1:56" ht="14.4" thickBot="1">
      <c r="A145" s="2816"/>
      <c r="B145" s="402" t="s">
        <v>17</v>
      </c>
      <c r="C145" s="403" t="s">
        <v>18</v>
      </c>
      <c r="D145" s="403" t="s">
        <v>52</v>
      </c>
      <c r="E145" s="404" t="s">
        <v>19</v>
      </c>
      <c r="F145" s="402" t="s">
        <v>17</v>
      </c>
      <c r="G145" s="403" t="s">
        <v>18</v>
      </c>
      <c r="H145" s="403" t="s">
        <v>52</v>
      </c>
      <c r="I145" s="404" t="s">
        <v>19</v>
      </c>
      <c r="J145" s="402" t="s">
        <v>17</v>
      </c>
      <c r="K145" s="403" t="s">
        <v>18</v>
      </c>
      <c r="L145" s="403" t="s">
        <v>52</v>
      </c>
      <c r="M145" s="404" t="s">
        <v>19</v>
      </c>
      <c r="N145" s="402" t="s">
        <v>17</v>
      </c>
      <c r="O145" s="403" t="s">
        <v>18</v>
      </c>
      <c r="P145" s="403" t="s">
        <v>52</v>
      </c>
      <c r="Q145" s="404" t="s">
        <v>19</v>
      </c>
      <c r="R145" s="402" t="s">
        <v>17</v>
      </c>
      <c r="S145" s="403" t="s">
        <v>18</v>
      </c>
      <c r="T145" s="403" t="s">
        <v>52</v>
      </c>
      <c r="U145" s="404" t="s">
        <v>19</v>
      </c>
      <c r="V145" s="402" t="s">
        <v>17</v>
      </c>
      <c r="W145" s="403" t="s">
        <v>18</v>
      </c>
      <c r="X145" s="403" t="s">
        <v>52</v>
      </c>
      <c r="Y145" s="404" t="s">
        <v>19</v>
      </c>
      <c r="Z145" s="402" t="s">
        <v>17</v>
      </c>
      <c r="AA145" s="403" t="s">
        <v>18</v>
      </c>
      <c r="AB145" s="403" t="s">
        <v>52</v>
      </c>
      <c r="AC145" s="404" t="s">
        <v>19</v>
      </c>
      <c r="AD145" s="402" t="s">
        <v>17</v>
      </c>
      <c r="AE145" s="403" t="s">
        <v>18</v>
      </c>
      <c r="AF145" s="403" t="s">
        <v>52</v>
      </c>
      <c r="AG145" s="404" t="s">
        <v>19</v>
      </c>
      <c r="AH145" s="402" t="s">
        <v>17</v>
      </c>
      <c r="AI145" s="403" t="s">
        <v>18</v>
      </c>
      <c r="AJ145" s="403" t="s">
        <v>52</v>
      </c>
      <c r="AK145" s="404" t="s">
        <v>19</v>
      </c>
      <c r="AL145" s="402" t="s">
        <v>17</v>
      </c>
      <c r="AM145" s="403" t="s">
        <v>18</v>
      </c>
      <c r="AN145" s="403" t="s">
        <v>52</v>
      </c>
      <c r="AO145" s="404" t="s">
        <v>19</v>
      </c>
      <c r="AP145" s="1107" t="s">
        <v>17</v>
      </c>
      <c r="AQ145" s="403" t="s">
        <v>18</v>
      </c>
      <c r="AR145" s="403" t="s">
        <v>52</v>
      </c>
      <c r="AS145" s="404" t="s">
        <v>19</v>
      </c>
      <c r="AT145" s="402" t="s">
        <v>17</v>
      </c>
      <c r="AU145" s="403" t="s">
        <v>18</v>
      </c>
      <c r="AV145" s="403" t="s">
        <v>52</v>
      </c>
      <c r="AW145" s="404" t="s">
        <v>19</v>
      </c>
      <c r="AX145" s="403" t="s">
        <v>17</v>
      </c>
      <c r="AY145" s="403" t="s">
        <v>18</v>
      </c>
      <c r="AZ145" s="403" t="s">
        <v>52</v>
      </c>
      <c r="BA145" s="431" t="s">
        <v>19</v>
      </c>
      <c r="BC145" s="117" t="s">
        <v>265</v>
      </c>
      <c r="BD145" s="117" t="s">
        <v>266</v>
      </c>
    </row>
    <row r="146" spans="1:56" ht="14.4" thickBot="1">
      <c r="A146" s="397" t="s">
        <v>6</v>
      </c>
      <c r="B146" s="398">
        <f>'Feuil-saisie'!B436</f>
        <v>0</v>
      </c>
      <c r="C146" s="399">
        <f>'Feuil-saisie'!C436</f>
        <v>0</v>
      </c>
      <c r="D146" s="400">
        <f>+B146+C146</f>
        <v>0</v>
      </c>
      <c r="E146" s="401">
        <f>'Feuil-saisie'!E436</f>
        <v>0</v>
      </c>
      <c r="F146" s="398">
        <f>'Feuil-saisie'!L436</f>
        <v>0</v>
      </c>
      <c r="G146" s="398">
        <f>'Feuil-saisie'!M436</f>
        <v>0</v>
      </c>
      <c r="H146" s="400">
        <f>+F146+G146</f>
        <v>0</v>
      </c>
      <c r="I146" s="401">
        <f>'Feuil-saisie'!O436</f>
        <v>0</v>
      </c>
      <c r="J146" s="398">
        <f>'Feuil-saisie'!V436</f>
        <v>0</v>
      </c>
      <c r="K146" s="398">
        <f>'Feuil-saisie'!W436</f>
        <v>0</v>
      </c>
      <c r="L146" s="400">
        <f>+J146+K146</f>
        <v>0</v>
      </c>
      <c r="M146" s="401">
        <f>'Feuil-saisie'!Y436</f>
        <v>0</v>
      </c>
      <c r="N146" s="398">
        <f>'Feuil-saisie'!AF436</f>
        <v>0</v>
      </c>
      <c r="O146" s="398">
        <f>'Feuil-saisie'!AG436</f>
        <v>0</v>
      </c>
      <c r="P146" s="400">
        <f>+N146+O146</f>
        <v>0</v>
      </c>
      <c r="Q146" s="401">
        <f>'Feuil-saisie'!AI436</f>
        <v>0</v>
      </c>
      <c r="R146" s="398">
        <f>'Feuil-saisie'!AP436</f>
        <v>0</v>
      </c>
      <c r="S146" s="399">
        <f>'Feuil-saisie'!AQ436</f>
        <v>0</v>
      </c>
      <c r="T146" s="400">
        <f>+R146+S146</f>
        <v>0</v>
      </c>
      <c r="U146" s="401">
        <f>'Feuil-saisie'!AS436</f>
        <v>0</v>
      </c>
      <c r="V146" s="398">
        <f>'Feuil-saisie'!AZ436</f>
        <v>0</v>
      </c>
      <c r="W146" s="399">
        <f>'Feuil-saisie'!BA436</f>
        <v>0</v>
      </c>
      <c r="X146" s="400">
        <f>+V146+W146</f>
        <v>0</v>
      </c>
      <c r="Y146" s="401">
        <f>'Feuil-saisie'!BC436</f>
        <v>0</v>
      </c>
      <c r="Z146" s="398">
        <f>'Feuil-saisie'!BJ436</f>
        <v>0</v>
      </c>
      <c r="AA146" s="399">
        <f>'Feuil-saisie'!BK436</f>
        <v>0</v>
      </c>
      <c r="AB146" s="400">
        <f>+Z146+AA146</f>
        <v>0</v>
      </c>
      <c r="AC146" s="401">
        <f>'Feuil-saisie'!BM436</f>
        <v>0</v>
      </c>
      <c r="AD146" s="398">
        <f>'Feuil-saisie'!BT436</f>
        <v>0</v>
      </c>
      <c r="AE146" s="399">
        <f>'Feuil-saisie'!BU436</f>
        <v>0</v>
      </c>
      <c r="AF146" s="400">
        <f>+AD146+AE146</f>
        <v>0</v>
      </c>
      <c r="AG146" s="401">
        <f>'Feuil-saisie'!BW436</f>
        <v>0</v>
      </c>
      <c r="AH146" s="398">
        <f>'Feuil-saisie'!CD436</f>
        <v>0</v>
      </c>
      <c r="AI146" s="399">
        <f>'Feuil-saisie'!CE436</f>
        <v>0</v>
      </c>
      <c r="AJ146" s="400">
        <f>+AH146+AI146</f>
        <v>0</v>
      </c>
      <c r="AK146" s="401">
        <f>'Feuil-saisie'!CG436</f>
        <v>0</v>
      </c>
      <c r="AL146" s="398">
        <f>'Feuil-saisie'!CN436</f>
        <v>0</v>
      </c>
      <c r="AM146" s="399">
        <f>'Feuil-saisie'!CO436</f>
        <v>0</v>
      </c>
      <c r="AN146" s="400">
        <f>+AL146+AM146</f>
        <v>0</v>
      </c>
      <c r="AO146" s="401">
        <f>'Feuil-saisie'!CQ436</f>
        <v>0</v>
      </c>
      <c r="AP146" s="398">
        <f>'Feuil-saisie'!CX436</f>
        <v>0</v>
      </c>
      <c r="AQ146" s="399">
        <f>'Feuil-saisie'!CY436</f>
        <v>0</v>
      </c>
      <c r="AR146" s="400">
        <f>+AP146+AQ146</f>
        <v>0</v>
      </c>
      <c r="AS146" s="401">
        <f>'Feuil-saisie'!DA436</f>
        <v>0</v>
      </c>
      <c r="AT146" s="398">
        <f>'Feuil-saisie'!DH436</f>
        <v>0</v>
      </c>
      <c r="AU146" s="399">
        <f>'Feuil-saisie'!DI436</f>
        <v>0</v>
      </c>
      <c r="AV146" s="400">
        <f>+AT146+AU146</f>
        <v>0</v>
      </c>
      <c r="AW146" s="401">
        <f>'Feuil-saisie'!DK436</f>
        <v>0</v>
      </c>
      <c r="AX146" s="432">
        <f>B146+F146+J146+N146+R146+V146+Z146+AD146+AH146+AL146+AP146+AT146</f>
        <v>0</v>
      </c>
      <c r="AY146" s="432">
        <f t="shared" ref="AY146:AY155" si="263">C146+G146+K146+O146+S146+W146+AA146+AE146+AI146+AM146+AQ146+AU146</f>
        <v>0</v>
      </c>
      <c r="AZ146" s="432">
        <f>AX146+AY146</f>
        <v>0</v>
      </c>
      <c r="BA146" s="432">
        <f t="shared" ref="BA146:BA155" si="264">E146+I146+M146+Q146+U146+Y146+AC146+AG146+AK146+AO146+AS146+AW146</f>
        <v>0</v>
      </c>
      <c r="BC146" s="395">
        <f>AF146</f>
        <v>0</v>
      </c>
      <c r="BD146" s="395">
        <f>AG146</f>
        <v>0</v>
      </c>
    </row>
    <row r="147" spans="1:56" ht="14.4" thickBot="1">
      <c r="A147" s="397" t="s">
        <v>7</v>
      </c>
      <c r="B147" s="398">
        <f>'Feuil-saisie'!B437</f>
        <v>97</v>
      </c>
      <c r="C147" s="399">
        <f>'Feuil-saisie'!C437</f>
        <v>0</v>
      </c>
      <c r="D147" s="400">
        <f t="shared" ref="D147:D155" si="265">+B147+C147</f>
        <v>97</v>
      </c>
      <c r="E147" s="401">
        <f>'Feuil-saisie'!E437</f>
        <v>0</v>
      </c>
      <c r="F147" s="398">
        <f>'Feuil-saisie'!L437</f>
        <v>52</v>
      </c>
      <c r="G147" s="398">
        <f>'Feuil-saisie'!M437</f>
        <v>0</v>
      </c>
      <c r="H147" s="400">
        <f>+F147+G147</f>
        <v>52</v>
      </c>
      <c r="I147" s="401">
        <f>'Feuil-saisie'!O437</f>
        <v>0</v>
      </c>
      <c r="J147" s="398">
        <f>'Feuil-saisie'!V437</f>
        <v>52</v>
      </c>
      <c r="K147" s="398">
        <f>'Feuil-saisie'!W437</f>
        <v>1</v>
      </c>
      <c r="L147" s="400">
        <f>+J147+K147</f>
        <v>53</v>
      </c>
      <c r="M147" s="401">
        <f>'Feuil-saisie'!Y437</f>
        <v>0</v>
      </c>
      <c r="N147" s="398">
        <f>'Feuil-saisie'!AF437</f>
        <v>40</v>
      </c>
      <c r="O147" s="398">
        <f>'Feuil-saisie'!AG437</f>
        <v>0</v>
      </c>
      <c r="P147" s="400">
        <f>+N147+O147</f>
        <v>40</v>
      </c>
      <c r="Q147" s="401">
        <f>'Feuil-saisie'!AI437</f>
        <v>0</v>
      </c>
      <c r="R147" s="398">
        <f>'Feuil-saisie'!AP437</f>
        <v>54</v>
      </c>
      <c r="S147" s="399">
        <f>'Feuil-saisie'!AQ437</f>
        <v>1</v>
      </c>
      <c r="T147" s="400">
        <f>+R147+S147</f>
        <v>55</v>
      </c>
      <c r="U147" s="401">
        <f>'Feuil-saisie'!AS437</f>
        <v>0</v>
      </c>
      <c r="V147" s="398">
        <f>'Feuil-saisie'!AZ437</f>
        <v>52</v>
      </c>
      <c r="W147" s="399">
        <f>'Feuil-saisie'!BA437</f>
        <v>1</v>
      </c>
      <c r="X147" s="400">
        <f>+V147+W147</f>
        <v>53</v>
      </c>
      <c r="Y147" s="401">
        <f>'Feuil-saisie'!BC437</f>
        <v>0</v>
      </c>
      <c r="Z147" s="398">
        <f>'Feuil-saisie'!BJ437</f>
        <v>50</v>
      </c>
      <c r="AA147" s="399">
        <f>'Feuil-saisie'!BK437</f>
        <v>0</v>
      </c>
      <c r="AB147" s="400">
        <f>+Z147+AA147</f>
        <v>50</v>
      </c>
      <c r="AC147" s="401">
        <f>'Feuil-saisie'!BM437</f>
        <v>0</v>
      </c>
      <c r="AD147" s="398">
        <f>'Feuil-saisie'!BT437</f>
        <v>24</v>
      </c>
      <c r="AE147" s="399">
        <f>'Feuil-saisie'!BU437</f>
        <v>0</v>
      </c>
      <c r="AF147" s="400">
        <f>+AD147+AE147</f>
        <v>24</v>
      </c>
      <c r="AG147" s="401">
        <f>'Feuil-saisie'!BW437</f>
        <v>0</v>
      </c>
      <c r="AH147" s="398">
        <f>'Feuil-saisie'!CD437</f>
        <v>0</v>
      </c>
      <c r="AI147" s="399">
        <f>'Feuil-saisie'!CE437</f>
        <v>0</v>
      </c>
      <c r="AJ147" s="400">
        <f>+AH147+AI147</f>
        <v>0</v>
      </c>
      <c r="AK147" s="401">
        <f>'Feuil-saisie'!CG437</f>
        <v>0</v>
      </c>
      <c r="AL147" s="398">
        <f>'Feuil-saisie'!CN437</f>
        <v>0</v>
      </c>
      <c r="AM147" s="399">
        <f>'Feuil-saisie'!CO437</f>
        <v>0</v>
      </c>
      <c r="AN147" s="400">
        <f>+AL147+AM147</f>
        <v>0</v>
      </c>
      <c r="AO147" s="401">
        <f>'Feuil-saisie'!CQ437</f>
        <v>0</v>
      </c>
      <c r="AP147" s="398">
        <f>'Feuil-saisie'!CX437</f>
        <v>0</v>
      </c>
      <c r="AQ147" s="399">
        <f>'Feuil-saisie'!CY437</f>
        <v>0</v>
      </c>
      <c r="AR147" s="400">
        <f>+AP147+AQ147</f>
        <v>0</v>
      </c>
      <c r="AS147" s="401">
        <f>'Feuil-saisie'!DA437</f>
        <v>0</v>
      </c>
      <c r="AT147" s="398">
        <f>'Feuil-saisie'!DH437</f>
        <v>0</v>
      </c>
      <c r="AU147" s="399">
        <f>'Feuil-saisie'!DI437</f>
        <v>0</v>
      </c>
      <c r="AV147" s="400">
        <f>+AT147+AU147</f>
        <v>0</v>
      </c>
      <c r="AW147" s="401">
        <f>'Feuil-saisie'!DK437</f>
        <v>0</v>
      </c>
      <c r="AX147" s="432">
        <f>B147+F147+J147+N147+R147+V147+Z147+AD147+AH147+AL147+AP147+AT147</f>
        <v>421</v>
      </c>
      <c r="AY147" s="432">
        <f>C147+G147+K147+O147+S147+W147+AA147+AE147+AI147+AM147+AQ147+AU147</f>
        <v>3</v>
      </c>
      <c r="AZ147" s="432">
        <f t="shared" ref="AZ147:AZ155" si="266">AX147+AY147</f>
        <v>424</v>
      </c>
      <c r="BA147" s="432">
        <f t="shared" si="264"/>
        <v>0</v>
      </c>
      <c r="BC147" s="395">
        <f t="shared" ref="BC147:BC156" si="267">AF147</f>
        <v>24</v>
      </c>
      <c r="BD147" s="395">
        <f t="shared" ref="BD147:BD156" si="268">AG147</f>
        <v>0</v>
      </c>
    </row>
    <row r="148" spans="1:56" ht="14.4" thickBot="1">
      <c r="A148" s="397" t="s">
        <v>8</v>
      </c>
      <c r="B148" s="398">
        <f>'Feuil-saisie'!B438</f>
        <v>0</v>
      </c>
      <c r="C148" s="399">
        <f>'Feuil-saisie'!C438</f>
        <v>0</v>
      </c>
      <c r="D148" s="400">
        <f t="shared" si="265"/>
        <v>0</v>
      </c>
      <c r="E148" s="401">
        <f>'Feuil-saisie'!E438</f>
        <v>0</v>
      </c>
      <c r="F148" s="398">
        <f>'Feuil-saisie'!L438</f>
        <v>0</v>
      </c>
      <c r="G148" s="398">
        <f>'Feuil-saisie'!M438</f>
        <v>0</v>
      </c>
      <c r="H148" s="400">
        <f>+F148+G148</f>
        <v>0</v>
      </c>
      <c r="I148" s="401">
        <f>'Feuil-saisie'!O438</f>
        <v>0</v>
      </c>
      <c r="J148" s="398">
        <f>'Feuil-saisie'!V438</f>
        <v>0</v>
      </c>
      <c r="K148" s="398">
        <f>'Feuil-saisie'!W438</f>
        <v>0</v>
      </c>
      <c r="L148" s="400">
        <f>+J148+K148</f>
        <v>0</v>
      </c>
      <c r="M148" s="401">
        <f>'Feuil-saisie'!Y438</f>
        <v>0</v>
      </c>
      <c r="N148" s="398">
        <f>'Feuil-saisie'!AF438</f>
        <v>0</v>
      </c>
      <c r="O148" s="398">
        <f>'Feuil-saisie'!AG438</f>
        <v>0</v>
      </c>
      <c r="P148" s="400">
        <f>+N148+O148</f>
        <v>0</v>
      </c>
      <c r="Q148" s="401">
        <f>'Feuil-saisie'!AI438</f>
        <v>0</v>
      </c>
      <c r="R148" s="398">
        <f>'Feuil-saisie'!AP438</f>
        <v>0</v>
      </c>
      <c r="S148" s="399">
        <f>'Feuil-saisie'!AQ438</f>
        <v>0</v>
      </c>
      <c r="T148" s="400">
        <f>+R148+S148</f>
        <v>0</v>
      </c>
      <c r="U148" s="401">
        <f>'Feuil-saisie'!AS438</f>
        <v>0</v>
      </c>
      <c r="V148" s="398">
        <f>'Feuil-saisie'!AZ438</f>
        <v>0</v>
      </c>
      <c r="W148" s="399">
        <f>'Feuil-saisie'!BA438</f>
        <v>0</v>
      </c>
      <c r="X148" s="400">
        <f>+V148+W148</f>
        <v>0</v>
      </c>
      <c r="Y148" s="401">
        <f>'Feuil-saisie'!BC438</f>
        <v>0</v>
      </c>
      <c r="Z148" s="398">
        <f>'Feuil-saisie'!BJ438</f>
        <v>0</v>
      </c>
      <c r="AA148" s="399">
        <f>'Feuil-saisie'!BK438</f>
        <v>0</v>
      </c>
      <c r="AB148" s="400">
        <f>+Z148+AA148</f>
        <v>0</v>
      </c>
      <c r="AC148" s="401">
        <f>'Feuil-saisie'!BM438</f>
        <v>0</v>
      </c>
      <c r="AD148" s="398">
        <f>'Feuil-saisie'!BT438</f>
        <v>0</v>
      </c>
      <c r="AE148" s="399">
        <f>'Feuil-saisie'!BU438</f>
        <v>0</v>
      </c>
      <c r="AF148" s="400">
        <f>+AD148+AE148</f>
        <v>0</v>
      </c>
      <c r="AG148" s="401">
        <f>'Feuil-saisie'!BW438</f>
        <v>0</v>
      </c>
      <c r="AH148" s="398">
        <f>'Feuil-saisie'!CD438</f>
        <v>0</v>
      </c>
      <c r="AI148" s="399">
        <f>'Feuil-saisie'!CE438</f>
        <v>0</v>
      </c>
      <c r="AJ148" s="400">
        <f>+AH148+AI148</f>
        <v>0</v>
      </c>
      <c r="AK148" s="401">
        <f>'Feuil-saisie'!CG438</f>
        <v>0</v>
      </c>
      <c r="AL148" s="398">
        <f>'Feuil-saisie'!CN438</f>
        <v>0</v>
      </c>
      <c r="AM148" s="399">
        <f>'Feuil-saisie'!CO438</f>
        <v>0</v>
      </c>
      <c r="AN148" s="400">
        <f>+AL148+AM148</f>
        <v>0</v>
      </c>
      <c r="AO148" s="401">
        <f>'Feuil-saisie'!CQ438</f>
        <v>0</v>
      </c>
      <c r="AP148" s="398">
        <f>'Feuil-saisie'!CX438</f>
        <v>0</v>
      </c>
      <c r="AQ148" s="399">
        <f>'Feuil-saisie'!CY438</f>
        <v>0</v>
      </c>
      <c r="AR148" s="400">
        <f>+AP148+AQ148</f>
        <v>0</v>
      </c>
      <c r="AS148" s="401">
        <f>'Feuil-saisie'!DA438</f>
        <v>0</v>
      </c>
      <c r="AT148" s="398">
        <f>'Feuil-saisie'!DH438</f>
        <v>0</v>
      </c>
      <c r="AU148" s="399">
        <f>'Feuil-saisie'!DI438</f>
        <v>0</v>
      </c>
      <c r="AV148" s="400">
        <f>+AT148+AU148</f>
        <v>0</v>
      </c>
      <c r="AW148" s="401">
        <f>'Feuil-saisie'!DK438</f>
        <v>0</v>
      </c>
      <c r="AX148" s="432">
        <f t="shared" ref="AX148:AX155" si="269">B148+F148+J148+N148+R148+V148+Z148+AD148+AH148+AL148+AP148+AT148</f>
        <v>0</v>
      </c>
      <c r="AY148" s="432">
        <f t="shared" si="263"/>
        <v>0</v>
      </c>
      <c r="AZ148" s="432">
        <f t="shared" si="266"/>
        <v>0</v>
      </c>
      <c r="BA148" s="432">
        <f t="shared" si="264"/>
        <v>0</v>
      </c>
      <c r="BC148" s="395">
        <f t="shared" si="267"/>
        <v>0</v>
      </c>
      <c r="BD148" s="395">
        <f t="shared" si="268"/>
        <v>0</v>
      </c>
    </row>
    <row r="149" spans="1:56" ht="14.4" thickBot="1">
      <c r="A149" s="397" t="s">
        <v>4</v>
      </c>
      <c r="B149" s="398">
        <f>'Feuil-saisie'!B439</f>
        <v>0</v>
      </c>
      <c r="C149" s="399">
        <f>'Feuil-saisie'!C439</f>
        <v>0</v>
      </c>
      <c r="D149" s="400">
        <f t="shared" si="265"/>
        <v>0</v>
      </c>
      <c r="E149" s="401">
        <f>'Feuil-saisie'!E439</f>
        <v>0</v>
      </c>
      <c r="F149" s="398">
        <f>'Feuil-saisie'!L439</f>
        <v>0</v>
      </c>
      <c r="G149" s="398">
        <f>'Feuil-saisie'!M439</f>
        <v>0</v>
      </c>
      <c r="H149" s="400">
        <f t="shared" ref="H149:H155" si="270">+F149+G149</f>
        <v>0</v>
      </c>
      <c r="I149" s="401">
        <f>'Feuil-saisie'!O439</f>
        <v>0</v>
      </c>
      <c r="J149" s="398">
        <f>'Feuil-saisie'!V439</f>
        <v>0</v>
      </c>
      <c r="K149" s="398">
        <f>'Feuil-saisie'!W439</f>
        <v>0</v>
      </c>
      <c r="L149" s="400">
        <f t="shared" ref="L149:L155" si="271">+J149+K149</f>
        <v>0</v>
      </c>
      <c r="M149" s="401">
        <f>'Feuil-saisie'!Y439</f>
        <v>0</v>
      </c>
      <c r="N149" s="398">
        <f>'Feuil-saisie'!AF439</f>
        <v>0</v>
      </c>
      <c r="O149" s="398">
        <f>'Feuil-saisie'!AG439</f>
        <v>0</v>
      </c>
      <c r="P149" s="400">
        <f t="shared" ref="P149:P155" si="272">+N149+O149</f>
        <v>0</v>
      </c>
      <c r="Q149" s="401">
        <f>'Feuil-saisie'!AI439</f>
        <v>0</v>
      </c>
      <c r="R149" s="398">
        <f>'Feuil-saisie'!AP439</f>
        <v>0</v>
      </c>
      <c r="S149" s="399">
        <f>'Feuil-saisie'!AQ439</f>
        <v>0</v>
      </c>
      <c r="T149" s="400">
        <f t="shared" ref="T149:T155" si="273">+R149+S149</f>
        <v>0</v>
      </c>
      <c r="U149" s="401">
        <f>'Feuil-saisie'!AS439</f>
        <v>0</v>
      </c>
      <c r="V149" s="398">
        <f>'Feuil-saisie'!AZ439</f>
        <v>0</v>
      </c>
      <c r="W149" s="399">
        <f>'Feuil-saisie'!BA439</f>
        <v>0</v>
      </c>
      <c r="X149" s="400">
        <f t="shared" ref="X149:X155" si="274">+V149+W149</f>
        <v>0</v>
      </c>
      <c r="Y149" s="401">
        <f>'Feuil-saisie'!BC439</f>
        <v>0</v>
      </c>
      <c r="Z149" s="398">
        <f>'Feuil-saisie'!BJ439</f>
        <v>0</v>
      </c>
      <c r="AA149" s="399">
        <f>'Feuil-saisie'!BK439</f>
        <v>0</v>
      </c>
      <c r="AB149" s="400">
        <f t="shared" ref="AB149:AB155" si="275">+Z149+AA149</f>
        <v>0</v>
      </c>
      <c r="AC149" s="401">
        <f>'Feuil-saisie'!BM439</f>
        <v>0</v>
      </c>
      <c r="AD149" s="398">
        <f>'Feuil-saisie'!BT439</f>
        <v>0</v>
      </c>
      <c r="AE149" s="399">
        <f>'Feuil-saisie'!BU439</f>
        <v>0</v>
      </c>
      <c r="AF149" s="400">
        <f t="shared" ref="AF149:AF155" si="276">+AD149+AE149</f>
        <v>0</v>
      </c>
      <c r="AG149" s="401">
        <f>'Feuil-saisie'!BW439</f>
        <v>0</v>
      </c>
      <c r="AH149" s="398">
        <f>'Feuil-saisie'!CD439</f>
        <v>0</v>
      </c>
      <c r="AI149" s="399">
        <f>'Feuil-saisie'!CE439</f>
        <v>0</v>
      </c>
      <c r="AJ149" s="400">
        <f t="shared" ref="AJ149:AJ155" si="277">+AH149+AI149</f>
        <v>0</v>
      </c>
      <c r="AK149" s="401">
        <f>'Feuil-saisie'!CG439</f>
        <v>0</v>
      </c>
      <c r="AL149" s="398">
        <f>'Feuil-saisie'!CN439</f>
        <v>0</v>
      </c>
      <c r="AM149" s="399">
        <f>'Feuil-saisie'!CO439</f>
        <v>0</v>
      </c>
      <c r="AN149" s="400">
        <f t="shared" ref="AN149:AN155" si="278">+AL149+AM149</f>
        <v>0</v>
      </c>
      <c r="AO149" s="401">
        <f>'Feuil-saisie'!CQ439</f>
        <v>0</v>
      </c>
      <c r="AP149" s="398">
        <f>'Feuil-saisie'!CX439</f>
        <v>0</v>
      </c>
      <c r="AQ149" s="399">
        <f>'Feuil-saisie'!CY439</f>
        <v>0</v>
      </c>
      <c r="AR149" s="400">
        <f t="shared" ref="AR149:AR155" si="279">+AP149+AQ149</f>
        <v>0</v>
      </c>
      <c r="AS149" s="401">
        <f>'Feuil-saisie'!DA439</f>
        <v>0</v>
      </c>
      <c r="AT149" s="398">
        <f>'Feuil-saisie'!DH439</f>
        <v>0</v>
      </c>
      <c r="AU149" s="399">
        <f>'Feuil-saisie'!DI439</f>
        <v>0</v>
      </c>
      <c r="AV149" s="400">
        <f t="shared" ref="AV149:AV155" si="280">+AT149+AU149</f>
        <v>0</v>
      </c>
      <c r="AW149" s="401">
        <f>'Feuil-saisie'!DK439</f>
        <v>0</v>
      </c>
      <c r="AX149" s="432">
        <f t="shared" si="269"/>
        <v>0</v>
      </c>
      <c r="AY149" s="432">
        <f t="shared" si="263"/>
        <v>0</v>
      </c>
      <c r="AZ149" s="432">
        <f t="shared" si="266"/>
        <v>0</v>
      </c>
      <c r="BA149" s="432">
        <f t="shared" si="264"/>
        <v>0</v>
      </c>
      <c r="BC149" s="395">
        <f t="shared" si="267"/>
        <v>0</v>
      </c>
      <c r="BD149" s="395">
        <f t="shared" si="268"/>
        <v>0</v>
      </c>
    </row>
    <row r="150" spans="1:56" ht="14.4" thickBot="1">
      <c r="A150" s="397" t="s">
        <v>3</v>
      </c>
      <c r="B150" s="398">
        <f>'Feuil-saisie'!B440</f>
        <v>27</v>
      </c>
      <c r="C150" s="399">
        <f>'Feuil-saisie'!C440</f>
        <v>0</v>
      </c>
      <c r="D150" s="400">
        <f t="shared" si="265"/>
        <v>27</v>
      </c>
      <c r="E150" s="401">
        <f>'Feuil-saisie'!E440</f>
        <v>0</v>
      </c>
      <c r="F150" s="398">
        <f>'Feuil-saisie'!L440</f>
        <v>23</v>
      </c>
      <c r="G150" s="398">
        <f>'Feuil-saisie'!M440</f>
        <v>0</v>
      </c>
      <c r="H150" s="400">
        <f t="shared" si="270"/>
        <v>23</v>
      </c>
      <c r="I150" s="401">
        <f>'Feuil-saisie'!O440</f>
        <v>0</v>
      </c>
      <c r="J150" s="398">
        <f>'Feuil-saisie'!V440</f>
        <v>24</v>
      </c>
      <c r="K150" s="398">
        <f>'Feuil-saisie'!W440</f>
        <v>0</v>
      </c>
      <c r="L150" s="400">
        <f t="shared" si="271"/>
        <v>24</v>
      </c>
      <c r="M150" s="401">
        <f>'Feuil-saisie'!Y440</f>
        <v>0</v>
      </c>
      <c r="N150" s="398">
        <f>'Feuil-saisie'!AF440</f>
        <v>16</v>
      </c>
      <c r="O150" s="398">
        <f>'Feuil-saisie'!AG440</f>
        <v>0</v>
      </c>
      <c r="P150" s="400">
        <f t="shared" si="272"/>
        <v>16</v>
      </c>
      <c r="Q150" s="401">
        <f>'Feuil-saisie'!AI440</f>
        <v>0</v>
      </c>
      <c r="R150" s="398">
        <f>'Feuil-saisie'!AP440</f>
        <v>14</v>
      </c>
      <c r="S150" s="399">
        <f>'Feuil-saisie'!AQ440</f>
        <v>0</v>
      </c>
      <c r="T150" s="400">
        <f t="shared" si="273"/>
        <v>14</v>
      </c>
      <c r="U150" s="401">
        <f>'Feuil-saisie'!AS440</f>
        <v>0</v>
      </c>
      <c r="V150" s="398">
        <f>'Feuil-saisie'!AZ440</f>
        <v>12</v>
      </c>
      <c r="W150" s="399">
        <f>'Feuil-saisie'!BA440</f>
        <v>0</v>
      </c>
      <c r="X150" s="400">
        <f t="shared" si="274"/>
        <v>12</v>
      </c>
      <c r="Y150" s="401">
        <f>'Feuil-saisie'!BC440</f>
        <v>0</v>
      </c>
      <c r="Z150" s="398">
        <f>'Feuil-saisie'!BJ440</f>
        <v>29</v>
      </c>
      <c r="AA150" s="399">
        <f>'Feuil-saisie'!BK440</f>
        <v>0</v>
      </c>
      <c r="AB150" s="400">
        <f t="shared" si="275"/>
        <v>29</v>
      </c>
      <c r="AC150" s="401">
        <f>'Feuil-saisie'!BM440</f>
        <v>0</v>
      </c>
      <c r="AD150" s="398">
        <f>'Feuil-saisie'!BT440</f>
        <v>16</v>
      </c>
      <c r="AE150" s="399">
        <f>'Feuil-saisie'!BU440</f>
        <v>0</v>
      </c>
      <c r="AF150" s="400">
        <f t="shared" si="276"/>
        <v>16</v>
      </c>
      <c r="AG150" s="401">
        <f>'Feuil-saisie'!BW440</f>
        <v>0</v>
      </c>
      <c r="AH150" s="398">
        <f>'Feuil-saisie'!CD440</f>
        <v>0</v>
      </c>
      <c r="AI150" s="399">
        <f>'Feuil-saisie'!CE440</f>
        <v>0</v>
      </c>
      <c r="AJ150" s="400">
        <f t="shared" si="277"/>
        <v>0</v>
      </c>
      <c r="AK150" s="401">
        <f>'Feuil-saisie'!CG440</f>
        <v>0</v>
      </c>
      <c r="AL150" s="398">
        <f>'Feuil-saisie'!CN440</f>
        <v>0</v>
      </c>
      <c r="AM150" s="399">
        <f>'Feuil-saisie'!CO440</f>
        <v>0</v>
      </c>
      <c r="AN150" s="400">
        <f t="shared" si="278"/>
        <v>0</v>
      </c>
      <c r="AO150" s="401">
        <f>'Feuil-saisie'!CQ440</f>
        <v>0</v>
      </c>
      <c r="AP150" s="398">
        <f>'Feuil-saisie'!CX440</f>
        <v>0</v>
      </c>
      <c r="AQ150" s="399">
        <f>'Feuil-saisie'!CY440</f>
        <v>0</v>
      </c>
      <c r="AR150" s="400">
        <f t="shared" si="279"/>
        <v>0</v>
      </c>
      <c r="AS150" s="401">
        <f>'Feuil-saisie'!DA440</f>
        <v>0</v>
      </c>
      <c r="AT150" s="398">
        <f>'Feuil-saisie'!DH440</f>
        <v>0</v>
      </c>
      <c r="AU150" s="399">
        <f>'Feuil-saisie'!DI440</f>
        <v>0</v>
      </c>
      <c r="AV150" s="400">
        <f t="shared" si="280"/>
        <v>0</v>
      </c>
      <c r="AW150" s="401">
        <f>'Feuil-saisie'!DK440</f>
        <v>0</v>
      </c>
      <c r="AX150" s="432">
        <f t="shared" si="269"/>
        <v>161</v>
      </c>
      <c r="AY150" s="432">
        <f t="shared" si="263"/>
        <v>0</v>
      </c>
      <c r="AZ150" s="432">
        <f t="shared" si="266"/>
        <v>161</v>
      </c>
      <c r="BA150" s="432">
        <f t="shared" si="264"/>
        <v>0</v>
      </c>
      <c r="BC150" s="395">
        <f t="shared" si="267"/>
        <v>16</v>
      </c>
      <c r="BD150" s="395">
        <f t="shared" si="268"/>
        <v>0</v>
      </c>
    </row>
    <row r="151" spans="1:56" ht="14.4" thickBot="1">
      <c r="A151" s="397" t="s">
        <v>397</v>
      </c>
      <c r="B151" s="398">
        <f>'Feuil-saisie'!B441</f>
        <v>0</v>
      </c>
      <c r="C151" s="399">
        <f>'Feuil-saisie'!C441</f>
        <v>0</v>
      </c>
      <c r="D151" s="400">
        <f t="shared" si="265"/>
        <v>0</v>
      </c>
      <c r="E151" s="401">
        <f>'Feuil-saisie'!E441</f>
        <v>0</v>
      </c>
      <c r="F151" s="398">
        <f>'Feuil-saisie'!L441</f>
        <v>0</v>
      </c>
      <c r="G151" s="398">
        <f>'Feuil-saisie'!M441</f>
        <v>0</v>
      </c>
      <c r="H151" s="400">
        <f t="shared" si="270"/>
        <v>0</v>
      </c>
      <c r="I151" s="401">
        <f>'Feuil-saisie'!O441</f>
        <v>0</v>
      </c>
      <c r="J151" s="398">
        <f>'Feuil-saisie'!V441</f>
        <v>0</v>
      </c>
      <c r="K151" s="398">
        <f>'Feuil-saisie'!W441</f>
        <v>0</v>
      </c>
      <c r="L151" s="400">
        <f t="shared" si="271"/>
        <v>0</v>
      </c>
      <c r="M151" s="401">
        <f>'Feuil-saisie'!Y441</f>
        <v>0</v>
      </c>
      <c r="N151" s="398">
        <f>'Feuil-saisie'!AF441</f>
        <v>0</v>
      </c>
      <c r="O151" s="398">
        <f>'Feuil-saisie'!AG441</f>
        <v>0</v>
      </c>
      <c r="P151" s="400">
        <f t="shared" si="272"/>
        <v>0</v>
      </c>
      <c r="Q151" s="401">
        <f>'Feuil-saisie'!AI441</f>
        <v>0</v>
      </c>
      <c r="R151" s="398">
        <f>'Feuil-saisie'!AP441</f>
        <v>0</v>
      </c>
      <c r="S151" s="399">
        <f>'Feuil-saisie'!AQ441</f>
        <v>0</v>
      </c>
      <c r="T151" s="400">
        <f t="shared" si="273"/>
        <v>0</v>
      </c>
      <c r="U151" s="401">
        <f>'Feuil-saisie'!AS441</f>
        <v>0</v>
      </c>
      <c r="V151" s="398">
        <f>'Feuil-saisie'!AZ441</f>
        <v>0</v>
      </c>
      <c r="W151" s="399">
        <f>'Feuil-saisie'!BA441</f>
        <v>0</v>
      </c>
      <c r="X151" s="400">
        <f t="shared" si="274"/>
        <v>0</v>
      </c>
      <c r="Y151" s="401">
        <f>'Feuil-saisie'!BC441</f>
        <v>0</v>
      </c>
      <c r="Z151" s="398">
        <f>'Feuil-saisie'!BJ441</f>
        <v>0</v>
      </c>
      <c r="AA151" s="399">
        <f>'Feuil-saisie'!BK441</f>
        <v>0</v>
      </c>
      <c r="AB151" s="400">
        <f t="shared" si="275"/>
        <v>0</v>
      </c>
      <c r="AC151" s="401">
        <f>'Feuil-saisie'!BM441</f>
        <v>0</v>
      </c>
      <c r="AD151" s="398">
        <f>'Feuil-saisie'!BT441</f>
        <v>0</v>
      </c>
      <c r="AE151" s="399">
        <f>'Feuil-saisie'!BU441</f>
        <v>0</v>
      </c>
      <c r="AF151" s="400">
        <f t="shared" si="276"/>
        <v>0</v>
      </c>
      <c r="AG151" s="401">
        <f>'Feuil-saisie'!BW441</f>
        <v>0</v>
      </c>
      <c r="AH151" s="398">
        <f>'Feuil-saisie'!CD441</f>
        <v>0</v>
      </c>
      <c r="AI151" s="399">
        <f>'Feuil-saisie'!CE441</f>
        <v>0</v>
      </c>
      <c r="AJ151" s="400">
        <f t="shared" si="277"/>
        <v>0</v>
      </c>
      <c r="AK151" s="401">
        <f>'Feuil-saisie'!CG441</f>
        <v>0</v>
      </c>
      <c r="AL151" s="398">
        <f>'Feuil-saisie'!CN441</f>
        <v>0</v>
      </c>
      <c r="AM151" s="399">
        <f>'Feuil-saisie'!CO441</f>
        <v>0</v>
      </c>
      <c r="AN151" s="400">
        <f t="shared" si="278"/>
        <v>0</v>
      </c>
      <c r="AO151" s="401">
        <f>'Feuil-saisie'!CQ441</f>
        <v>0</v>
      </c>
      <c r="AP151" s="398">
        <f>'Feuil-saisie'!CX441</f>
        <v>0</v>
      </c>
      <c r="AQ151" s="399">
        <f>'Feuil-saisie'!CY441</f>
        <v>0</v>
      </c>
      <c r="AR151" s="400">
        <f t="shared" si="279"/>
        <v>0</v>
      </c>
      <c r="AS151" s="401">
        <f>'Feuil-saisie'!DA441</f>
        <v>0</v>
      </c>
      <c r="AT151" s="398">
        <f>'Feuil-saisie'!DH441</f>
        <v>0</v>
      </c>
      <c r="AU151" s="399">
        <f>'Feuil-saisie'!DI441</f>
        <v>0</v>
      </c>
      <c r="AV151" s="400">
        <f t="shared" si="280"/>
        <v>0</v>
      </c>
      <c r="AW151" s="401">
        <f>'Feuil-saisie'!DK441</f>
        <v>0</v>
      </c>
      <c r="AX151" s="432">
        <f t="shared" si="269"/>
        <v>0</v>
      </c>
      <c r="AY151" s="432">
        <f t="shared" si="263"/>
        <v>0</v>
      </c>
      <c r="AZ151" s="432">
        <f t="shared" si="266"/>
        <v>0</v>
      </c>
      <c r="BA151" s="432">
        <f t="shared" si="264"/>
        <v>0</v>
      </c>
      <c r="BC151" s="395">
        <f t="shared" si="267"/>
        <v>0</v>
      </c>
      <c r="BD151" s="395">
        <f t="shared" si="268"/>
        <v>0</v>
      </c>
    </row>
    <row r="152" spans="1:56" ht="14.4" thickBot="1">
      <c r="A152" s="397" t="s">
        <v>399</v>
      </c>
      <c r="B152" s="398">
        <f>'Feuil-saisie'!B442</f>
        <v>0</v>
      </c>
      <c r="C152" s="399">
        <f>'Feuil-saisie'!C442</f>
        <v>0</v>
      </c>
      <c r="D152" s="400">
        <f t="shared" si="265"/>
        <v>0</v>
      </c>
      <c r="E152" s="401">
        <f>'Feuil-saisie'!E442</f>
        <v>0</v>
      </c>
      <c r="F152" s="398">
        <f>'Feuil-saisie'!L442</f>
        <v>0</v>
      </c>
      <c r="G152" s="398">
        <f>'Feuil-saisie'!M442</f>
        <v>0</v>
      </c>
      <c r="H152" s="400">
        <f t="shared" si="270"/>
        <v>0</v>
      </c>
      <c r="I152" s="401">
        <f>'Feuil-saisie'!O442</f>
        <v>0</v>
      </c>
      <c r="J152" s="398">
        <f>'Feuil-saisie'!V442</f>
        <v>0</v>
      </c>
      <c r="K152" s="398">
        <f>'Feuil-saisie'!W442</f>
        <v>0</v>
      </c>
      <c r="L152" s="400">
        <f t="shared" si="271"/>
        <v>0</v>
      </c>
      <c r="M152" s="401">
        <f>'Feuil-saisie'!Y442</f>
        <v>0</v>
      </c>
      <c r="N152" s="398">
        <f>'Feuil-saisie'!AF442</f>
        <v>0</v>
      </c>
      <c r="O152" s="398">
        <f>'Feuil-saisie'!AG442</f>
        <v>0</v>
      </c>
      <c r="P152" s="400">
        <f t="shared" si="272"/>
        <v>0</v>
      </c>
      <c r="Q152" s="401">
        <f>'Feuil-saisie'!AI442</f>
        <v>0</v>
      </c>
      <c r="R152" s="398">
        <f>'Feuil-saisie'!AP442</f>
        <v>0</v>
      </c>
      <c r="S152" s="399">
        <f>'Feuil-saisie'!AQ442</f>
        <v>0</v>
      </c>
      <c r="T152" s="400">
        <f t="shared" si="273"/>
        <v>0</v>
      </c>
      <c r="U152" s="401">
        <f>'Feuil-saisie'!AS442</f>
        <v>0</v>
      </c>
      <c r="V152" s="398">
        <f>'Feuil-saisie'!AZ442</f>
        <v>0</v>
      </c>
      <c r="W152" s="399">
        <f>'Feuil-saisie'!BA442</f>
        <v>0</v>
      </c>
      <c r="X152" s="400">
        <f t="shared" si="274"/>
        <v>0</v>
      </c>
      <c r="Y152" s="401">
        <f>'Feuil-saisie'!BC442</f>
        <v>0</v>
      </c>
      <c r="Z152" s="398">
        <f>'Feuil-saisie'!BJ442</f>
        <v>0</v>
      </c>
      <c r="AA152" s="399">
        <f>'Feuil-saisie'!BK442</f>
        <v>0</v>
      </c>
      <c r="AB152" s="400">
        <f t="shared" si="275"/>
        <v>0</v>
      </c>
      <c r="AC152" s="401">
        <f>'Feuil-saisie'!BM442</f>
        <v>0</v>
      </c>
      <c r="AD152" s="398">
        <f>'Feuil-saisie'!BT442</f>
        <v>0</v>
      </c>
      <c r="AE152" s="399">
        <f>'Feuil-saisie'!BU442</f>
        <v>0</v>
      </c>
      <c r="AF152" s="400">
        <f t="shared" si="276"/>
        <v>0</v>
      </c>
      <c r="AG152" s="401">
        <f>'Feuil-saisie'!BW442</f>
        <v>0</v>
      </c>
      <c r="AH152" s="398">
        <f>'Feuil-saisie'!CD442</f>
        <v>0</v>
      </c>
      <c r="AI152" s="399">
        <f>'Feuil-saisie'!CE442</f>
        <v>0</v>
      </c>
      <c r="AJ152" s="400">
        <f t="shared" si="277"/>
        <v>0</v>
      </c>
      <c r="AK152" s="401">
        <f>'Feuil-saisie'!CG442</f>
        <v>0</v>
      </c>
      <c r="AL152" s="398">
        <f>'Feuil-saisie'!CN442</f>
        <v>0</v>
      </c>
      <c r="AM152" s="399">
        <f>'Feuil-saisie'!CO442</f>
        <v>0</v>
      </c>
      <c r="AN152" s="400">
        <f t="shared" si="278"/>
        <v>0</v>
      </c>
      <c r="AO152" s="401">
        <f>'Feuil-saisie'!CQ442</f>
        <v>0</v>
      </c>
      <c r="AP152" s="398">
        <f>'Feuil-saisie'!CX442</f>
        <v>0</v>
      </c>
      <c r="AQ152" s="399">
        <f>'Feuil-saisie'!CY442</f>
        <v>0</v>
      </c>
      <c r="AR152" s="400">
        <f t="shared" si="279"/>
        <v>0</v>
      </c>
      <c r="AS152" s="401">
        <f>'Feuil-saisie'!DA442</f>
        <v>0</v>
      </c>
      <c r="AT152" s="398">
        <f>'Feuil-saisie'!DH442</f>
        <v>0</v>
      </c>
      <c r="AU152" s="399">
        <f>'Feuil-saisie'!DI442</f>
        <v>0</v>
      </c>
      <c r="AV152" s="400">
        <f t="shared" si="280"/>
        <v>0</v>
      </c>
      <c r="AW152" s="401">
        <f>'Feuil-saisie'!DK442</f>
        <v>0</v>
      </c>
      <c r="AX152" s="432">
        <f t="shared" si="269"/>
        <v>0</v>
      </c>
      <c r="AY152" s="432">
        <f t="shared" si="263"/>
        <v>0</v>
      </c>
      <c r="AZ152" s="432">
        <f t="shared" si="266"/>
        <v>0</v>
      </c>
      <c r="BA152" s="432">
        <f t="shared" si="264"/>
        <v>0</v>
      </c>
      <c r="BC152" s="395">
        <f t="shared" si="267"/>
        <v>0</v>
      </c>
      <c r="BD152" s="395">
        <f t="shared" si="268"/>
        <v>0</v>
      </c>
    </row>
    <row r="153" spans="1:56" ht="14.4" thickBot="1">
      <c r="A153" s="397" t="s">
        <v>883</v>
      </c>
      <c r="B153" s="398">
        <f>'Feuil-saisie'!B443</f>
        <v>25</v>
      </c>
      <c r="C153" s="399">
        <f>'Feuil-saisie'!C443</f>
        <v>0</v>
      </c>
      <c r="D153" s="400">
        <f t="shared" si="265"/>
        <v>25</v>
      </c>
      <c r="E153" s="401">
        <f>'Feuil-saisie'!E443</f>
        <v>0</v>
      </c>
      <c r="F153" s="398">
        <f>'Feuil-saisie'!L443</f>
        <v>21</v>
      </c>
      <c r="G153" s="398">
        <f>'Feuil-saisie'!M443</f>
        <v>0</v>
      </c>
      <c r="H153" s="400">
        <f t="shared" si="270"/>
        <v>21</v>
      </c>
      <c r="I153" s="401">
        <f>'Feuil-saisie'!O443</f>
        <v>0</v>
      </c>
      <c r="J153" s="398">
        <f>'Feuil-saisie'!V443</f>
        <v>20</v>
      </c>
      <c r="K153" s="398">
        <f>'Feuil-saisie'!W443</f>
        <v>0</v>
      </c>
      <c r="L153" s="400">
        <f t="shared" si="271"/>
        <v>20</v>
      </c>
      <c r="M153" s="401">
        <f>'Feuil-saisie'!Y443</f>
        <v>0</v>
      </c>
      <c r="N153" s="398">
        <f>'Feuil-saisie'!AF443</f>
        <v>23</v>
      </c>
      <c r="O153" s="398">
        <f>'Feuil-saisie'!AG443</f>
        <v>0</v>
      </c>
      <c r="P153" s="400">
        <f t="shared" si="272"/>
        <v>23</v>
      </c>
      <c r="Q153" s="401">
        <f>'Feuil-saisie'!AI443</f>
        <v>0</v>
      </c>
      <c r="R153" s="398">
        <f>'Feuil-saisie'!AP443</f>
        <v>17</v>
      </c>
      <c r="S153" s="399">
        <f>'Feuil-saisie'!AQ443</f>
        <v>0</v>
      </c>
      <c r="T153" s="400">
        <f t="shared" si="273"/>
        <v>17</v>
      </c>
      <c r="U153" s="401">
        <f>'Feuil-saisie'!AS443</f>
        <v>0</v>
      </c>
      <c r="V153" s="398">
        <f>'Feuil-saisie'!AZ443</f>
        <v>27</v>
      </c>
      <c r="W153" s="399">
        <f>'Feuil-saisie'!BA443</f>
        <v>0</v>
      </c>
      <c r="X153" s="400">
        <f t="shared" si="274"/>
        <v>27</v>
      </c>
      <c r="Y153" s="401">
        <f>'Feuil-saisie'!BC443</f>
        <v>0</v>
      </c>
      <c r="Z153" s="398">
        <f>'Feuil-saisie'!BJ443</f>
        <v>13</v>
      </c>
      <c r="AA153" s="399">
        <f>'Feuil-saisie'!BK443</f>
        <v>0</v>
      </c>
      <c r="AB153" s="400">
        <f t="shared" si="275"/>
        <v>13</v>
      </c>
      <c r="AC153" s="401">
        <f>'Feuil-saisie'!BM443</f>
        <v>0</v>
      </c>
      <c r="AD153" s="398">
        <f>'Feuil-saisie'!BT443</f>
        <v>12</v>
      </c>
      <c r="AE153" s="399">
        <f>'Feuil-saisie'!BU443</f>
        <v>0</v>
      </c>
      <c r="AF153" s="400">
        <f t="shared" si="276"/>
        <v>12</v>
      </c>
      <c r="AG153" s="401">
        <f>'Feuil-saisie'!BW443</f>
        <v>0</v>
      </c>
      <c r="AH153" s="398">
        <f>'Feuil-saisie'!CD443</f>
        <v>0</v>
      </c>
      <c r="AI153" s="399">
        <f>'Feuil-saisie'!CE443</f>
        <v>0</v>
      </c>
      <c r="AJ153" s="400">
        <f t="shared" si="277"/>
        <v>0</v>
      </c>
      <c r="AK153" s="401">
        <f>'Feuil-saisie'!CG443</f>
        <v>0</v>
      </c>
      <c r="AL153" s="398">
        <f>'Feuil-saisie'!CN443</f>
        <v>0</v>
      </c>
      <c r="AM153" s="399">
        <f>'Feuil-saisie'!CO443</f>
        <v>0</v>
      </c>
      <c r="AN153" s="400">
        <f t="shared" si="278"/>
        <v>0</v>
      </c>
      <c r="AO153" s="401">
        <f>'Feuil-saisie'!CQ443</f>
        <v>0</v>
      </c>
      <c r="AP153" s="398">
        <f>'Feuil-saisie'!CX443</f>
        <v>0</v>
      </c>
      <c r="AQ153" s="399">
        <f>'Feuil-saisie'!CY443</f>
        <v>0</v>
      </c>
      <c r="AR153" s="400">
        <f t="shared" si="279"/>
        <v>0</v>
      </c>
      <c r="AS153" s="401">
        <f>'Feuil-saisie'!DA443</f>
        <v>0</v>
      </c>
      <c r="AT153" s="398">
        <f>'Feuil-saisie'!DH443</f>
        <v>0</v>
      </c>
      <c r="AU153" s="399">
        <f>'Feuil-saisie'!DI443</f>
        <v>0</v>
      </c>
      <c r="AV153" s="400">
        <f t="shared" si="280"/>
        <v>0</v>
      </c>
      <c r="AW153" s="401">
        <f>'Feuil-saisie'!DK443</f>
        <v>0</v>
      </c>
      <c r="AX153" s="432">
        <f t="shared" si="269"/>
        <v>158</v>
      </c>
      <c r="AY153" s="432">
        <f t="shared" si="263"/>
        <v>0</v>
      </c>
      <c r="AZ153" s="432">
        <f t="shared" si="266"/>
        <v>158</v>
      </c>
      <c r="BA153" s="432">
        <f t="shared" si="264"/>
        <v>0</v>
      </c>
      <c r="BC153" s="395">
        <f t="shared" si="267"/>
        <v>12</v>
      </c>
      <c r="BD153" s="395">
        <f t="shared" si="268"/>
        <v>0</v>
      </c>
    </row>
    <row r="154" spans="1:56" ht="14.4" thickBot="1">
      <c r="A154" s="397" t="s">
        <v>884</v>
      </c>
      <c r="B154" s="398">
        <f>'Feuil-saisie'!B444</f>
        <v>98</v>
      </c>
      <c r="C154" s="399">
        <f>'Feuil-saisie'!C444</f>
        <v>1</v>
      </c>
      <c r="D154" s="400">
        <f t="shared" si="265"/>
        <v>99</v>
      </c>
      <c r="E154" s="401">
        <f>'Feuil-saisie'!E444</f>
        <v>0</v>
      </c>
      <c r="F154" s="398">
        <f>'Feuil-saisie'!L444</f>
        <v>103</v>
      </c>
      <c r="G154" s="398">
        <f>'Feuil-saisie'!M444</f>
        <v>0</v>
      </c>
      <c r="H154" s="400">
        <f t="shared" si="270"/>
        <v>103</v>
      </c>
      <c r="I154" s="401">
        <f>'Feuil-saisie'!O444</f>
        <v>0</v>
      </c>
      <c r="J154" s="398">
        <f>'Feuil-saisie'!V444</f>
        <v>62</v>
      </c>
      <c r="K154" s="398">
        <f>'Feuil-saisie'!W444</f>
        <v>0</v>
      </c>
      <c r="L154" s="400">
        <f t="shared" si="271"/>
        <v>62</v>
      </c>
      <c r="M154" s="401">
        <f>'Feuil-saisie'!Y444</f>
        <v>0</v>
      </c>
      <c r="N154" s="398">
        <f>'Feuil-saisie'!AF444</f>
        <v>87</v>
      </c>
      <c r="O154" s="398">
        <f>'Feuil-saisie'!AG444</f>
        <v>0</v>
      </c>
      <c r="P154" s="400">
        <f t="shared" si="272"/>
        <v>87</v>
      </c>
      <c r="Q154" s="401">
        <f>'Feuil-saisie'!AI444</f>
        <v>0</v>
      </c>
      <c r="R154" s="398">
        <f>'Feuil-saisie'!AP444</f>
        <v>88</v>
      </c>
      <c r="S154" s="399">
        <f>'Feuil-saisie'!AQ444</f>
        <v>0</v>
      </c>
      <c r="T154" s="400">
        <f t="shared" si="273"/>
        <v>88</v>
      </c>
      <c r="U154" s="401">
        <f>'Feuil-saisie'!AS444</f>
        <v>0</v>
      </c>
      <c r="V154" s="398">
        <f>'Feuil-saisie'!AZ444</f>
        <v>91</v>
      </c>
      <c r="W154" s="399">
        <f>'Feuil-saisie'!BA444</f>
        <v>0</v>
      </c>
      <c r="X154" s="400">
        <f t="shared" si="274"/>
        <v>91</v>
      </c>
      <c r="Y154" s="401">
        <f>'Feuil-saisie'!BC444</f>
        <v>0</v>
      </c>
      <c r="Z154" s="398">
        <f>'Feuil-saisie'!BJ444</f>
        <v>116</v>
      </c>
      <c r="AA154" s="399">
        <f>'Feuil-saisie'!BK444</f>
        <v>0</v>
      </c>
      <c r="AB154" s="400">
        <f t="shared" si="275"/>
        <v>116</v>
      </c>
      <c r="AC154" s="401">
        <f>'Feuil-saisie'!BM444</f>
        <v>0</v>
      </c>
      <c r="AD154" s="398">
        <f>'Feuil-saisie'!BT444</f>
        <v>79</v>
      </c>
      <c r="AE154" s="399">
        <f>'Feuil-saisie'!BU444</f>
        <v>1</v>
      </c>
      <c r="AF154" s="400">
        <f t="shared" si="276"/>
        <v>80</v>
      </c>
      <c r="AG154" s="401">
        <f>'Feuil-saisie'!BW444</f>
        <v>0</v>
      </c>
      <c r="AH154" s="398">
        <f>'Feuil-saisie'!CD444</f>
        <v>0</v>
      </c>
      <c r="AI154" s="399">
        <f>'Feuil-saisie'!CE444</f>
        <v>0</v>
      </c>
      <c r="AJ154" s="400">
        <f t="shared" si="277"/>
        <v>0</v>
      </c>
      <c r="AK154" s="401">
        <f>'Feuil-saisie'!CG444</f>
        <v>0</v>
      </c>
      <c r="AL154" s="398">
        <f>'Feuil-saisie'!CN444</f>
        <v>0</v>
      </c>
      <c r="AM154" s="399">
        <f>'Feuil-saisie'!CO444</f>
        <v>0</v>
      </c>
      <c r="AN154" s="400">
        <f t="shared" si="278"/>
        <v>0</v>
      </c>
      <c r="AO154" s="401">
        <f>'Feuil-saisie'!CQ444</f>
        <v>0</v>
      </c>
      <c r="AP154" s="398">
        <f>'Feuil-saisie'!CX444</f>
        <v>0</v>
      </c>
      <c r="AQ154" s="399">
        <f>'Feuil-saisie'!CY444</f>
        <v>0</v>
      </c>
      <c r="AR154" s="400">
        <f t="shared" si="279"/>
        <v>0</v>
      </c>
      <c r="AS154" s="401">
        <f>'Feuil-saisie'!DA444</f>
        <v>0</v>
      </c>
      <c r="AT154" s="398">
        <f>'Feuil-saisie'!DH444</f>
        <v>0</v>
      </c>
      <c r="AU154" s="399">
        <f>'Feuil-saisie'!DI444</f>
        <v>0</v>
      </c>
      <c r="AV154" s="400">
        <f t="shared" si="280"/>
        <v>0</v>
      </c>
      <c r="AW154" s="401">
        <f>'Feuil-saisie'!DK444</f>
        <v>0</v>
      </c>
      <c r="AX154" s="432">
        <f t="shared" si="269"/>
        <v>724</v>
      </c>
      <c r="AY154" s="432">
        <f t="shared" si="263"/>
        <v>2</v>
      </c>
      <c r="AZ154" s="432">
        <f t="shared" si="266"/>
        <v>726</v>
      </c>
      <c r="BA154" s="432">
        <f t="shared" si="264"/>
        <v>0</v>
      </c>
      <c r="BC154" s="395">
        <f t="shared" si="267"/>
        <v>80</v>
      </c>
      <c r="BD154" s="395">
        <f t="shared" si="268"/>
        <v>0</v>
      </c>
    </row>
    <row r="155" spans="1:56" ht="14.4" thickBot="1">
      <c r="A155" s="397" t="s">
        <v>885</v>
      </c>
      <c r="B155" s="398">
        <f>'Feuil-saisie'!B445</f>
        <v>15</v>
      </c>
      <c r="C155" s="399">
        <f>'Feuil-saisie'!C445</f>
        <v>0</v>
      </c>
      <c r="D155" s="400">
        <f t="shared" si="265"/>
        <v>15</v>
      </c>
      <c r="E155" s="401">
        <f>'Feuil-saisie'!E445</f>
        <v>0</v>
      </c>
      <c r="F155" s="398">
        <f>'Feuil-saisie'!L445</f>
        <v>30</v>
      </c>
      <c r="G155" s="398">
        <f>'Feuil-saisie'!M445</f>
        <v>0</v>
      </c>
      <c r="H155" s="400">
        <f t="shared" si="270"/>
        <v>30</v>
      </c>
      <c r="I155" s="401">
        <f>'Feuil-saisie'!O445</f>
        <v>0</v>
      </c>
      <c r="J155" s="398">
        <f>'Feuil-saisie'!V445</f>
        <v>27</v>
      </c>
      <c r="K155" s="398">
        <f>'Feuil-saisie'!W445</f>
        <v>0</v>
      </c>
      <c r="L155" s="400">
        <f t="shared" si="271"/>
        <v>27</v>
      </c>
      <c r="M155" s="401">
        <f>'Feuil-saisie'!Y445</f>
        <v>0</v>
      </c>
      <c r="N155" s="398">
        <f>'Feuil-saisie'!AF445</f>
        <v>29</v>
      </c>
      <c r="O155" s="398">
        <f>'Feuil-saisie'!AG445</f>
        <v>0</v>
      </c>
      <c r="P155" s="400">
        <f t="shared" si="272"/>
        <v>29</v>
      </c>
      <c r="Q155" s="401">
        <f>'Feuil-saisie'!AI445</f>
        <v>0</v>
      </c>
      <c r="R155" s="398">
        <f>'Feuil-saisie'!AP445</f>
        <v>45</v>
      </c>
      <c r="S155" s="399">
        <f>'Feuil-saisie'!AQ445</f>
        <v>0</v>
      </c>
      <c r="T155" s="400">
        <f t="shared" si="273"/>
        <v>45</v>
      </c>
      <c r="U155" s="401">
        <f>'Feuil-saisie'!AS445</f>
        <v>0</v>
      </c>
      <c r="V155" s="398">
        <f>'Feuil-saisie'!AZ445</f>
        <v>35</v>
      </c>
      <c r="W155" s="399">
        <f>'Feuil-saisie'!BA445</f>
        <v>0</v>
      </c>
      <c r="X155" s="400">
        <f t="shared" si="274"/>
        <v>35</v>
      </c>
      <c r="Y155" s="401">
        <f>'Feuil-saisie'!BC445</f>
        <v>0</v>
      </c>
      <c r="Z155" s="398">
        <f>'Feuil-saisie'!BJ445</f>
        <v>24</v>
      </c>
      <c r="AA155" s="399">
        <f>'Feuil-saisie'!BK445</f>
        <v>0</v>
      </c>
      <c r="AB155" s="400">
        <f t="shared" si="275"/>
        <v>24</v>
      </c>
      <c r="AC155" s="401">
        <f>'Feuil-saisie'!BM445</f>
        <v>0</v>
      </c>
      <c r="AD155" s="398">
        <f>'Feuil-saisie'!BT445</f>
        <v>22</v>
      </c>
      <c r="AE155" s="399">
        <f>'Feuil-saisie'!BU445</f>
        <v>0</v>
      </c>
      <c r="AF155" s="400">
        <f t="shared" si="276"/>
        <v>22</v>
      </c>
      <c r="AG155" s="401">
        <f>'Feuil-saisie'!BW445</f>
        <v>0</v>
      </c>
      <c r="AH155" s="398">
        <f>'Feuil-saisie'!CD445</f>
        <v>0</v>
      </c>
      <c r="AI155" s="399">
        <f>'Feuil-saisie'!CE445</f>
        <v>0</v>
      </c>
      <c r="AJ155" s="400">
        <f t="shared" si="277"/>
        <v>0</v>
      </c>
      <c r="AK155" s="401">
        <f>'Feuil-saisie'!CG445</f>
        <v>0</v>
      </c>
      <c r="AL155" s="398">
        <f>'Feuil-saisie'!CN445</f>
        <v>0</v>
      </c>
      <c r="AM155" s="399">
        <f>'Feuil-saisie'!CO445</f>
        <v>0</v>
      </c>
      <c r="AN155" s="400">
        <f t="shared" si="278"/>
        <v>0</v>
      </c>
      <c r="AO155" s="401">
        <f>'Feuil-saisie'!CQ445</f>
        <v>0</v>
      </c>
      <c r="AP155" s="398">
        <f>'Feuil-saisie'!CX445</f>
        <v>0</v>
      </c>
      <c r="AQ155" s="399">
        <f>'Feuil-saisie'!CY445</f>
        <v>0</v>
      </c>
      <c r="AR155" s="400">
        <f t="shared" si="279"/>
        <v>0</v>
      </c>
      <c r="AS155" s="401">
        <f>'Feuil-saisie'!DA445</f>
        <v>0</v>
      </c>
      <c r="AT155" s="398">
        <f>'Feuil-saisie'!DH445</f>
        <v>0</v>
      </c>
      <c r="AU155" s="399">
        <f>'Feuil-saisie'!DI445</f>
        <v>0</v>
      </c>
      <c r="AV155" s="400">
        <f t="shared" si="280"/>
        <v>0</v>
      </c>
      <c r="AW155" s="401">
        <f>'Feuil-saisie'!DK445</f>
        <v>0</v>
      </c>
      <c r="AX155" s="432">
        <f t="shared" si="269"/>
        <v>227</v>
      </c>
      <c r="AY155" s="432">
        <f t="shared" si="263"/>
        <v>0</v>
      </c>
      <c r="AZ155" s="432">
        <f t="shared" si="266"/>
        <v>227</v>
      </c>
      <c r="BA155" s="432">
        <f t="shared" si="264"/>
        <v>0</v>
      </c>
      <c r="BC155" s="395">
        <f t="shared" si="267"/>
        <v>22</v>
      </c>
      <c r="BD155" s="395">
        <f t="shared" si="268"/>
        <v>0</v>
      </c>
    </row>
    <row r="156" spans="1:56" ht="14.4" thickBot="1">
      <c r="A156" s="433" t="s">
        <v>16</v>
      </c>
      <c r="B156" s="417">
        <f t="shared" ref="B156:AG156" si="281">SUM(B146:B155)</f>
        <v>262</v>
      </c>
      <c r="C156" s="419">
        <f t="shared" si="281"/>
        <v>1</v>
      </c>
      <c r="D156" s="419">
        <f t="shared" si="281"/>
        <v>263</v>
      </c>
      <c r="E156" s="420">
        <f t="shared" si="281"/>
        <v>0</v>
      </c>
      <c r="F156" s="417">
        <f t="shared" si="281"/>
        <v>229</v>
      </c>
      <c r="G156" s="419">
        <f t="shared" si="281"/>
        <v>0</v>
      </c>
      <c r="H156" s="419">
        <f t="shared" si="281"/>
        <v>229</v>
      </c>
      <c r="I156" s="420">
        <f t="shared" si="281"/>
        <v>0</v>
      </c>
      <c r="J156" s="417">
        <f t="shared" si="281"/>
        <v>185</v>
      </c>
      <c r="K156" s="419">
        <f t="shared" si="281"/>
        <v>1</v>
      </c>
      <c r="L156" s="419">
        <f t="shared" si="281"/>
        <v>186</v>
      </c>
      <c r="M156" s="420">
        <f t="shared" si="281"/>
        <v>0</v>
      </c>
      <c r="N156" s="417">
        <f t="shared" si="281"/>
        <v>195</v>
      </c>
      <c r="O156" s="419">
        <f t="shared" si="281"/>
        <v>0</v>
      </c>
      <c r="P156" s="419">
        <f t="shared" si="281"/>
        <v>195</v>
      </c>
      <c r="Q156" s="420">
        <f t="shared" si="281"/>
        <v>0</v>
      </c>
      <c r="R156" s="417">
        <f t="shared" si="281"/>
        <v>218</v>
      </c>
      <c r="S156" s="419">
        <f t="shared" si="281"/>
        <v>1</v>
      </c>
      <c r="T156" s="419">
        <f t="shared" si="281"/>
        <v>219</v>
      </c>
      <c r="U156" s="420">
        <f t="shared" si="281"/>
        <v>0</v>
      </c>
      <c r="V156" s="417">
        <f t="shared" si="281"/>
        <v>217</v>
      </c>
      <c r="W156" s="419">
        <f t="shared" si="281"/>
        <v>1</v>
      </c>
      <c r="X156" s="419">
        <f t="shared" si="281"/>
        <v>218</v>
      </c>
      <c r="Y156" s="420">
        <f t="shared" si="281"/>
        <v>0</v>
      </c>
      <c r="Z156" s="417">
        <f t="shared" si="281"/>
        <v>232</v>
      </c>
      <c r="AA156" s="419">
        <f t="shared" si="281"/>
        <v>0</v>
      </c>
      <c r="AB156" s="419">
        <f t="shared" si="281"/>
        <v>232</v>
      </c>
      <c r="AC156" s="420">
        <f t="shared" si="281"/>
        <v>0</v>
      </c>
      <c r="AD156" s="417">
        <f t="shared" si="281"/>
        <v>153</v>
      </c>
      <c r="AE156" s="419">
        <f t="shared" si="281"/>
        <v>1</v>
      </c>
      <c r="AF156" s="419">
        <f t="shared" si="281"/>
        <v>154</v>
      </c>
      <c r="AG156" s="420">
        <f t="shared" si="281"/>
        <v>0</v>
      </c>
      <c r="AH156" s="417">
        <f t="shared" ref="AH156:BA156" si="282">SUM(AH146:AH155)</f>
        <v>0</v>
      </c>
      <c r="AI156" s="419">
        <f t="shared" si="282"/>
        <v>0</v>
      </c>
      <c r="AJ156" s="419">
        <f t="shared" si="282"/>
        <v>0</v>
      </c>
      <c r="AK156" s="420">
        <f t="shared" si="282"/>
        <v>0</v>
      </c>
      <c r="AL156" s="417">
        <f t="shared" si="282"/>
        <v>0</v>
      </c>
      <c r="AM156" s="419">
        <f t="shared" si="282"/>
        <v>0</v>
      </c>
      <c r="AN156" s="419">
        <f t="shared" si="282"/>
        <v>0</v>
      </c>
      <c r="AO156" s="420">
        <f t="shared" si="282"/>
        <v>0</v>
      </c>
      <c r="AP156" s="417">
        <f t="shared" si="282"/>
        <v>0</v>
      </c>
      <c r="AQ156" s="419">
        <f t="shared" si="282"/>
        <v>0</v>
      </c>
      <c r="AR156" s="419">
        <f t="shared" si="282"/>
        <v>0</v>
      </c>
      <c r="AS156" s="420">
        <f t="shared" si="282"/>
        <v>0</v>
      </c>
      <c r="AT156" s="417">
        <f t="shared" si="282"/>
        <v>0</v>
      </c>
      <c r="AU156" s="419">
        <f t="shared" si="282"/>
        <v>0</v>
      </c>
      <c r="AV156" s="419">
        <f t="shared" si="282"/>
        <v>0</v>
      </c>
      <c r="AW156" s="420">
        <f t="shared" si="282"/>
        <v>0</v>
      </c>
      <c r="AX156" s="434">
        <f t="shared" si="282"/>
        <v>1691</v>
      </c>
      <c r="AY156" s="434">
        <f t="shared" si="282"/>
        <v>5</v>
      </c>
      <c r="AZ156" s="434">
        <f t="shared" si="282"/>
        <v>1696</v>
      </c>
      <c r="BA156" s="434">
        <f t="shared" si="282"/>
        <v>0</v>
      </c>
      <c r="BC156" s="395">
        <f t="shared" si="267"/>
        <v>154</v>
      </c>
      <c r="BD156" s="395">
        <f t="shared" si="268"/>
        <v>0</v>
      </c>
    </row>
    <row r="157" spans="1:56">
      <c r="AZ157" s="395"/>
    </row>
    <row r="158" spans="1:56" ht="18">
      <c r="A158" s="393" t="s">
        <v>864</v>
      </c>
      <c r="AR158" s="1105">
        <f>AR157-AR156</f>
        <v>0</v>
      </c>
      <c r="AT158" s="1277"/>
      <c r="AU158" s="1277"/>
      <c r="AV158" s="1277"/>
      <c r="AW158" s="1277"/>
    </row>
    <row r="159" spans="1:56" ht="18.600000000000001" thickBot="1">
      <c r="A159" s="394">
        <f>A128</f>
        <v>2023</v>
      </c>
      <c r="U159" s="395">
        <f>U162+Q162+M162+I162+E162</f>
        <v>28</v>
      </c>
    </row>
    <row r="160" spans="1:56">
      <c r="A160" s="2815" t="s">
        <v>308</v>
      </c>
      <c r="B160" s="2827" t="s">
        <v>71</v>
      </c>
      <c r="C160" s="2828"/>
      <c r="D160" s="2828"/>
      <c r="E160" s="3091"/>
      <c r="F160" s="2829" t="s">
        <v>72</v>
      </c>
      <c r="G160" s="2830"/>
      <c r="H160" s="2830"/>
      <c r="I160" s="3095"/>
      <c r="J160" s="2817" t="s">
        <v>73</v>
      </c>
      <c r="K160" s="2818"/>
      <c r="L160" s="2818"/>
      <c r="M160" s="3094"/>
      <c r="N160" s="2819" t="s">
        <v>74</v>
      </c>
      <c r="O160" s="2820"/>
      <c r="P160" s="2820"/>
      <c r="Q160" s="3090"/>
      <c r="R160" s="2821" t="s">
        <v>75</v>
      </c>
      <c r="S160" s="2822"/>
      <c r="T160" s="2822"/>
      <c r="U160" s="3093"/>
      <c r="V160" s="2823" t="s">
        <v>76</v>
      </c>
      <c r="W160" s="2824"/>
      <c r="X160" s="2824"/>
      <c r="Y160" s="3089"/>
      <c r="Z160" s="2827" t="s">
        <v>77</v>
      </c>
      <c r="AA160" s="2828"/>
      <c r="AB160" s="2828"/>
      <c r="AC160" s="3091"/>
      <c r="AD160" s="2829" t="s">
        <v>78</v>
      </c>
      <c r="AE160" s="2830"/>
      <c r="AF160" s="2830"/>
      <c r="AG160" s="3095"/>
      <c r="AH160" s="2817" t="s">
        <v>79</v>
      </c>
      <c r="AI160" s="2818"/>
      <c r="AJ160" s="2818"/>
      <c r="AK160" s="3094"/>
      <c r="AL160" s="2819" t="s">
        <v>80</v>
      </c>
      <c r="AM160" s="2820"/>
      <c r="AN160" s="2820"/>
      <c r="AO160" s="3090"/>
      <c r="AP160" s="2821" t="s">
        <v>81</v>
      </c>
      <c r="AQ160" s="2822"/>
      <c r="AR160" s="2822"/>
      <c r="AS160" s="3093"/>
      <c r="AT160" s="2823" t="s">
        <v>82</v>
      </c>
      <c r="AU160" s="2824"/>
      <c r="AV160" s="2824"/>
      <c r="AW160" s="3089"/>
      <c r="AX160" s="2825" t="s">
        <v>83</v>
      </c>
      <c r="AY160" s="2826"/>
      <c r="AZ160" s="2826"/>
      <c r="BA160" s="3088"/>
    </row>
    <row r="161" spans="1:56" ht="14.4" thickBot="1">
      <c r="A161" s="2816"/>
      <c r="B161" s="402" t="s">
        <v>17</v>
      </c>
      <c r="C161" s="403" t="s">
        <v>18</v>
      </c>
      <c r="D161" s="403" t="s">
        <v>52</v>
      </c>
      <c r="E161" s="404" t="s">
        <v>19</v>
      </c>
      <c r="F161" s="402" t="s">
        <v>17</v>
      </c>
      <c r="G161" s="403" t="s">
        <v>18</v>
      </c>
      <c r="H161" s="403" t="s">
        <v>52</v>
      </c>
      <c r="I161" s="404" t="s">
        <v>19</v>
      </c>
      <c r="J161" s="402" t="s">
        <v>17</v>
      </c>
      <c r="K161" s="403" t="s">
        <v>18</v>
      </c>
      <c r="L161" s="403" t="s">
        <v>52</v>
      </c>
      <c r="M161" s="404" t="s">
        <v>19</v>
      </c>
      <c r="N161" s="402" t="s">
        <v>17</v>
      </c>
      <c r="O161" s="403" t="s">
        <v>18</v>
      </c>
      <c r="P161" s="403" t="s">
        <v>52</v>
      </c>
      <c r="Q161" s="404" t="s">
        <v>19</v>
      </c>
      <c r="R161" s="402" t="s">
        <v>17</v>
      </c>
      <c r="S161" s="403" t="s">
        <v>18</v>
      </c>
      <c r="T161" s="403" t="s">
        <v>52</v>
      </c>
      <c r="U161" s="404" t="s">
        <v>19</v>
      </c>
      <c r="V161" s="402" t="s">
        <v>17</v>
      </c>
      <c r="W161" s="403" t="s">
        <v>18</v>
      </c>
      <c r="X161" s="403" t="s">
        <v>52</v>
      </c>
      <c r="Y161" s="404" t="s">
        <v>19</v>
      </c>
      <c r="Z161" s="402" t="s">
        <v>17</v>
      </c>
      <c r="AA161" s="403" t="s">
        <v>18</v>
      </c>
      <c r="AB161" s="403" t="s">
        <v>52</v>
      </c>
      <c r="AC161" s="404" t="s">
        <v>19</v>
      </c>
      <c r="AD161" s="402" t="s">
        <v>17</v>
      </c>
      <c r="AE161" s="403" t="s">
        <v>18</v>
      </c>
      <c r="AF161" s="403" t="s">
        <v>52</v>
      </c>
      <c r="AG161" s="404" t="s">
        <v>19</v>
      </c>
      <c r="AH161" s="402" t="s">
        <v>17</v>
      </c>
      <c r="AI161" s="403" t="s">
        <v>18</v>
      </c>
      <c r="AJ161" s="403" t="s">
        <v>52</v>
      </c>
      <c r="AK161" s="404" t="s">
        <v>19</v>
      </c>
      <c r="AL161" s="402" t="s">
        <v>17</v>
      </c>
      <c r="AM161" s="403" t="s">
        <v>18</v>
      </c>
      <c r="AN161" s="403" t="s">
        <v>52</v>
      </c>
      <c r="AO161" s="404" t="s">
        <v>19</v>
      </c>
      <c r="AP161" s="1107" t="s">
        <v>17</v>
      </c>
      <c r="AQ161" s="403" t="s">
        <v>18</v>
      </c>
      <c r="AR161" s="403" t="s">
        <v>52</v>
      </c>
      <c r="AS161" s="404" t="s">
        <v>19</v>
      </c>
      <c r="AT161" s="402" t="s">
        <v>17</v>
      </c>
      <c r="AU161" s="403" t="s">
        <v>18</v>
      </c>
      <c r="AV161" s="403" t="s">
        <v>52</v>
      </c>
      <c r="AW161" s="404" t="s">
        <v>19</v>
      </c>
      <c r="AX161" s="403" t="s">
        <v>17</v>
      </c>
      <c r="AY161" s="403" t="s">
        <v>18</v>
      </c>
      <c r="AZ161" s="403" t="s">
        <v>52</v>
      </c>
      <c r="BA161" s="431" t="s">
        <v>19</v>
      </c>
      <c r="BC161" s="117" t="s">
        <v>265</v>
      </c>
      <c r="BD161" s="117" t="s">
        <v>266</v>
      </c>
    </row>
    <row r="162" spans="1:56" ht="14.4" thickBot="1">
      <c r="A162" s="397" t="s">
        <v>6</v>
      </c>
      <c r="B162" s="398">
        <f t="shared" ref="B162:C171" si="283">B100-B131</f>
        <v>618</v>
      </c>
      <c r="C162" s="399">
        <f t="shared" si="283"/>
        <v>9</v>
      </c>
      <c r="D162" s="400">
        <f>+B162+C162</f>
        <v>627</v>
      </c>
      <c r="E162" s="401">
        <f t="shared" ref="E162:G171" si="284">E100-E131</f>
        <v>0</v>
      </c>
      <c r="F162" s="398">
        <f t="shared" si="284"/>
        <v>2635</v>
      </c>
      <c r="G162" s="398">
        <f t="shared" si="284"/>
        <v>27</v>
      </c>
      <c r="H162" s="400">
        <f>+F162+G162</f>
        <v>2662</v>
      </c>
      <c r="I162" s="401">
        <f t="shared" ref="I162:K171" si="285">I100-I131</f>
        <v>8</v>
      </c>
      <c r="J162" s="398">
        <f t="shared" si="285"/>
        <v>2043</v>
      </c>
      <c r="K162" s="398">
        <f t="shared" si="285"/>
        <v>26</v>
      </c>
      <c r="L162" s="400">
        <f>+J162+K162</f>
        <v>2069</v>
      </c>
      <c r="M162" s="401">
        <f t="shared" ref="M162:O171" si="286">M100-M131</f>
        <v>6</v>
      </c>
      <c r="N162" s="398">
        <f t="shared" si="286"/>
        <v>859</v>
      </c>
      <c r="O162" s="398">
        <f t="shared" si="286"/>
        <v>20</v>
      </c>
      <c r="P162" s="400">
        <f>+N162+O162</f>
        <v>879</v>
      </c>
      <c r="Q162" s="401">
        <f t="shared" ref="Q162:S171" si="287">Q100-Q131</f>
        <v>8</v>
      </c>
      <c r="R162" s="398">
        <f t="shared" si="287"/>
        <v>2408</v>
      </c>
      <c r="S162" s="399">
        <f t="shared" si="287"/>
        <v>31</v>
      </c>
      <c r="T162" s="400">
        <f>+R162+S162</f>
        <v>2439</v>
      </c>
      <c r="U162" s="401">
        <f t="shared" ref="U162:W171" si="288">U100-U131</f>
        <v>6</v>
      </c>
      <c r="V162" s="398">
        <f t="shared" si="288"/>
        <v>3373</v>
      </c>
      <c r="W162" s="399">
        <f t="shared" si="288"/>
        <v>16</v>
      </c>
      <c r="X162" s="400">
        <f>+V162+W162</f>
        <v>3389</v>
      </c>
      <c r="Y162" s="401">
        <f t="shared" ref="Y162:AA171" si="289">Y100-Y131</f>
        <v>7</v>
      </c>
      <c r="Z162" s="398">
        <f t="shared" si="289"/>
        <v>2074</v>
      </c>
      <c r="AA162" s="399">
        <f t="shared" si="289"/>
        <v>23</v>
      </c>
      <c r="AB162" s="400">
        <f>+Z162+AA162</f>
        <v>2097</v>
      </c>
      <c r="AC162" s="401">
        <f t="shared" ref="AC162:AE171" si="290">AC100-AC131</f>
        <v>8</v>
      </c>
      <c r="AD162" s="398">
        <f t="shared" si="290"/>
        <v>1016</v>
      </c>
      <c r="AE162" s="399">
        <f t="shared" si="290"/>
        <v>8</v>
      </c>
      <c r="AF162" s="400">
        <f>+AD162+AE162</f>
        <v>1024</v>
      </c>
      <c r="AG162" s="401">
        <f t="shared" ref="AG162:AI171" si="291">AG100-AG131</f>
        <v>8</v>
      </c>
      <c r="AH162" s="398">
        <f t="shared" si="291"/>
        <v>0</v>
      </c>
      <c r="AI162" s="399">
        <f t="shared" si="291"/>
        <v>0</v>
      </c>
      <c r="AJ162" s="400">
        <f>+AH162+AI162</f>
        <v>0</v>
      </c>
      <c r="AK162" s="401">
        <f t="shared" ref="AK162:AM171" si="292">AK100-AK131</f>
        <v>0</v>
      </c>
      <c r="AL162" s="398">
        <f t="shared" si="292"/>
        <v>0</v>
      </c>
      <c r="AM162" s="399">
        <f t="shared" si="292"/>
        <v>0</v>
      </c>
      <c r="AN162" s="400">
        <f>+AL162+AM162</f>
        <v>0</v>
      </c>
      <c r="AO162" s="401">
        <f t="shared" ref="AO162:AQ171" si="293">AO100-AO131</f>
        <v>0</v>
      </c>
      <c r="AP162" s="398">
        <f t="shared" si="293"/>
        <v>0</v>
      </c>
      <c r="AQ162" s="399">
        <f t="shared" si="293"/>
        <v>0</v>
      </c>
      <c r="AR162" s="400">
        <f>+AP162+AQ162</f>
        <v>0</v>
      </c>
      <c r="AS162" s="401">
        <f t="shared" ref="AS162:AU171" si="294">AS100-AS131</f>
        <v>0</v>
      </c>
      <c r="AT162" s="398">
        <f t="shared" si="294"/>
        <v>0</v>
      </c>
      <c r="AU162" s="399">
        <f t="shared" si="294"/>
        <v>0</v>
      </c>
      <c r="AV162" s="400">
        <f>+AT162+AU162</f>
        <v>0</v>
      </c>
      <c r="AW162" s="401">
        <f t="shared" ref="AW162:AW171" si="295">AW100-AW131</f>
        <v>0</v>
      </c>
      <c r="AX162" s="432">
        <f t="shared" ref="AX162:AY166" si="296">B162+F162+J162+N162+R162+V162+Z162+AD162+AH162+AL162+AP162+AT162</f>
        <v>15026</v>
      </c>
      <c r="AY162" s="432">
        <f t="shared" si="296"/>
        <v>160</v>
      </c>
      <c r="AZ162" s="432">
        <f>AX162+AY162</f>
        <v>15186</v>
      </c>
      <c r="BA162" s="432">
        <f t="shared" ref="BA162:BA171" si="297">E162+I162+M162+Q162+U162+Y162+AC162+AG162+AK162+AO162+AS162+AW162</f>
        <v>51</v>
      </c>
      <c r="BC162" s="395">
        <f>AF162</f>
        <v>1024</v>
      </c>
      <c r="BD162" s="395">
        <f>AG162</f>
        <v>8</v>
      </c>
    </row>
    <row r="163" spans="1:56" ht="14.4" thickBot="1">
      <c r="A163" s="397" t="s">
        <v>7</v>
      </c>
      <c r="B163" s="398">
        <f t="shared" si="283"/>
        <v>401</v>
      </c>
      <c r="C163" s="399">
        <f t="shared" si="283"/>
        <v>10</v>
      </c>
      <c r="D163" s="400">
        <f>+B163+C163</f>
        <v>411</v>
      </c>
      <c r="E163" s="401">
        <f t="shared" si="284"/>
        <v>0</v>
      </c>
      <c r="F163" s="398">
        <f t="shared" si="284"/>
        <v>1383</v>
      </c>
      <c r="G163" s="398">
        <f t="shared" si="284"/>
        <v>17</v>
      </c>
      <c r="H163" s="400">
        <f>+F163+G163</f>
        <v>1400</v>
      </c>
      <c r="I163" s="401">
        <f t="shared" si="285"/>
        <v>9</v>
      </c>
      <c r="J163" s="398">
        <f t="shared" si="285"/>
        <v>1740</v>
      </c>
      <c r="K163" s="398">
        <f t="shared" si="285"/>
        <v>51</v>
      </c>
      <c r="L163" s="400">
        <f>+J163+K163</f>
        <v>1791</v>
      </c>
      <c r="M163" s="401">
        <f t="shared" si="286"/>
        <v>9</v>
      </c>
      <c r="N163" s="398">
        <f t="shared" si="286"/>
        <v>952</v>
      </c>
      <c r="O163" s="398">
        <f t="shared" si="286"/>
        <v>92</v>
      </c>
      <c r="P163" s="400">
        <f>+N163+O163</f>
        <v>1044</v>
      </c>
      <c r="Q163" s="401">
        <f t="shared" si="287"/>
        <v>3</v>
      </c>
      <c r="R163" s="398">
        <f t="shared" si="287"/>
        <v>1185</v>
      </c>
      <c r="S163" s="399">
        <f t="shared" si="287"/>
        <v>39</v>
      </c>
      <c r="T163" s="400">
        <f>+R163+S163</f>
        <v>1224</v>
      </c>
      <c r="U163" s="401">
        <f t="shared" si="288"/>
        <v>0</v>
      </c>
      <c r="V163" s="398">
        <f t="shared" si="288"/>
        <v>941</v>
      </c>
      <c r="W163" s="399">
        <f t="shared" si="288"/>
        <v>22</v>
      </c>
      <c r="X163" s="400">
        <f>+V163+W163</f>
        <v>963</v>
      </c>
      <c r="Y163" s="401">
        <f t="shared" si="289"/>
        <v>0</v>
      </c>
      <c r="Z163" s="398">
        <f t="shared" si="289"/>
        <v>954</v>
      </c>
      <c r="AA163" s="399">
        <f t="shared" si="289"/>
        <v>14</v>
      </c>
      <c r="AB163" s="400">
        <f>+Z163+AA163</f>
        <v>968</v>
      </c>
      <c r="AC163" s="401">
        <f t="shared" si="290"/>
        <v>11</v>
      </c>
      <c r="AD163" s="398">
        <f t="shared" si="290"/>
        <v>1318</v>
      </c>
      <c r="AE163" s="399">
        <f t="shared" si="290"/>
        <v>33</v>
      </c>
      <c r="AF163" s="400">
        <f>+AD163+AE163</f>
        <v>1351</v>
      </c>
      <c r="AG163" s="401">
        <f t="shared" si="291"/>
        <v>1</v>
      </c>
      <c r="AH163" s="398">
        <f t="shared" si="291"/>
        <v>0</v>
      </c>
      <c r="AI163" s="399">
        <f t="shared" si="291"/>
        <v>0</v>
      </c>
      <c r="AJ163" s="400">
        <f>+AH163+AI163</f>
        <v>0</v>
      </c>
      <c r="AK163" s="401">
        <f t="shared" si="292"/>
        <v>0</v>
      </c>
      <c r="AL163" s="398">
        <f t="shared" si="292"/>
        <v>0</v>
      </c>
      <c r="AM163" s="399">
        <f t="shared" si="292"/>
        <v>0</v>
      </c>
      <c r="AN163" s="400">
        <f>+AL163+AM163</f>
        <v>0</v>
      </c>
      <c r="AO163" s="401">
        <f t="shared" si="293"/>
        <v>0</v>
      </c>
      <c r="AP163" s="398">
        <f t="shared" si="293"/>
        <v>0</v>
      </c>
      <c r="AQ163" s="399">
        <f t="shared" si="293"/>
        <v>0</v>
      </c>
      <c r="AR163" s="400">
        <f>+AP163+AQ163</f>
        <v>0</v>
      </c>
      <c r="AS163" s="401">
        <f t="shared" si="294"/>
        <v>0</v>
      </c>
      <c r="AT163" s="398">
        <f t="shared" si="294"/>
        <v>0</v>
      </c>
      <c r="AU163" s="399">
        <f t="shared" si="294"/>
        <v>0</v>
      </c>
      <c r="AV163" s="400">
        <f>+AT163+AU163</f>
        <v>0</v>
      </c>
      <c r="AW163" s="401">
        <f t="shared" si="295"/>
        <v>0</v>
      </c>
      <c r="AX163" s="432">
        <f t="shared" si="296"/>
        <v>8874</v>
      </c>
      <c r="AY163" s="432">
        <f t="shared" si="296"/>
        <v>278</v>
      </c>
      <c r="AZ163" s="432">
        <f t="shared" ref="AZ163:AZ171" si="298">AX163+AY163</f>
        <v>9152</v>
      </c>
      <c r="BA163" s="432">
        <f t="shared" si="297"/>
        <v>33</v>
      </c>
      <c r="BC163" s="395">
        <f t="shared" ref="BC163:BC172" si="299">AF163</f>
        <v>1351</v>
      </c>
      <c r="BD163" s="395">
        <f t="shared" ref="BD163:BD171" si="300">AG163</f>
        <v>1</v>
      </c>
    </row>
    <row r="164" spans="1:56" ht="14.4" thickBot="1">
      <c r="A164" s="397" t="s">
        <v>8</v>
      </c>
      <c r="B164" s="398">
        <f t="shared" si="283"/>
        <v>1430</v>
      </c>
      <c r="C164" s="399">
        <f t="shared" si="283"/>
        <v>43</v>
      </c>
      <c r="D164" s="400">
        <f>+B164+C164</f>
        <v>1473</v>
      </c>
      <c r="E164" s="401">
        <f t="shared" si="284"/>
        <v>4</v>
      </c>
      <c r="F164" s="398">
        <f t="shared" si="284"/>
        <v>985</v>
      </c>
      <c r="G164" s="398">
        <f t="shared" si="284"/>
        <v>37</v>
      </c>
      <c r="H164" s="400">
        <f>+F164+G164</f>
        <v>1022</v>
      </c>
      <c r="I164" s="401">
        <f t="shared" si="285"/>
        <v>4</v>
      </c>
      <c r="J164" s="398">
        <f t="shared" si="285"/>
        <v>1005</v>
      </c>
      <c r="K164" s="398">
        <f t="shared" si="285"/>
        <v>30</v>
      </c>
      <c r="L164" s="400">
        <f>+J164+K164</f>
        <v>1035</v>
      </c>
      <c r="M164" s="401">
        <f t="shared" si="286"/>
        <v>3</v>
      </c>
      <c r="N164" s="398">
        <f t="shared" si="286"/>
        <v>862</v>
      </c>
      <c r="O164" s="398">
        <f t="shared" si="286"/>
        <v>30</v>
      </c>
      <c r="P164" s="400">
        <f>+N164+O164</f>
        <v>892</v>
      </c>
      <c r="Q164" s="401">
        <f t="shared" si="287"/>
        <v>2</v>
      </c>
      <c r="R164" s="398">
        <f t="shared" si="287"/>
        <v>753</v>
      </c>
      <c r="S164" s="399">
        <f t="shared" si="287"/>
        <v>3</v>
      </c>
      <c r="T164" s="400">
        <f>+R164+S164</f>
        <v>756</v>
      </c>
      <c r="U164" s="401">
        <f t="shared" si="288"/>
        <v>2</v>
      </c>
      <c r="V164" s="398">
        <f t="shared" si="288"/>
        <v>849</v>
      </c>
      <c r="W164" s="399">
        <f t="shared" si="288"/>
        <v>53</v>
      </c>
      <c r="X164" s="400">
        <f>+V164+W164</f>
        <v>902</v>
      </c>
      <c r="Y164" s="401">
        <f t="shared" si="289"/>
        <v>3</v>
      </c>
      <c r="Z164" s="398">
        <f t="shared" si="289"/>
        <v>852</v>
      </c>
      <c r="AA164" s="399">
        <f t="shared" si="289"/>
        <v>38</v>
      </c>
      <c r="AB164" s="400">
        <f>+Z164+AA164</f>
        <v>890</v>
      </c>
      <c r="AC164" s="401">
        <f t="shared" si="290"/>
        <v>6</v>
      </c>
      <c r="AD164" s="398">
        <f t="shared" si="290"/>
        <v>1252</v>
      </c>
      <c r="AE164" s="399">
        <f t="shared" si="290"/>
        <v>20</v>
      </c>
      <c r="AF164" s="400">
        <f>+AD164+AE164</f>
        <v>1272</v>
      </c>
      <c r="AG164" s="401">
        <f t="shared" si="291"/>
        <v>6</v>
      </c>
      <c r="AH164" s="398">
        <f t="shared" si="291"/>
        <v>0</v>
      </c>
      <c r="AI164" s="399">
        <f t="shared" si="291"/>
        <v>0</v>
      </c>
      <c r="AJ164" s="400">
        <f>+AH164+AI164</f>
        <v>0</v>
      </c>
      <c r="AK164" s="401">
        <f t="shared" si="292"/>
        <v>0</v>
      </c>
      <c r="AL164" s="398">
        <f t="shared" si="292"/>
        <v>0</v>
      </c>
      <c r="AM164" s="399">
        <f t="shared" si="292"/>
        <v>0</v>
      </c>
      <c r="AN164" s="400">
        <f>+AL164+AM164</f>
        <v>0</v>
      </c>
      <c r="AO164" s="401">
        <f t="shared" si="293"/>
        <v>0</v>
      </c>
      <c r="AP164" s="398">
        <f t="shared" si="293"/>
        <v>0</v>
      </c>
      <c r="AQ164" s="399">
        <f t="shared" si="293"/>
        <v>0</v>
      </c>
      <c r="AR164" s="400">
        <f>+AP164+AQ164</f>
        <v>0</v>
      </c>
      <c r="AS164" s="401">
        <f t="shared" si="294"/>
        <v>0</v>
      </c>
      <c r="AT164" s="398">
        <f t="shared" si="294"/>
        <v>0</v>
      </c>
      <c r="AU164" s="399">
        <f t="shared" si="294"/>
        <v>0</v>
      </c>
      <c r="AV164" s="400">
        <f>+AT164+AU164</f>
        <v>0</v>
      </c>
      <c r="AW164" s="401">
        <f t="shared" si="295"/>
        <v>0</v>
      </c>
      <c r="AX164" s="432">
        <f t="shared" si="296"/>
        <v>7988</v>
      </c>
      <c r="AY164" s="432">
        <f t="shared" si="296"/>
        <v>254</v>
      </c>
      <c r="AZ164" s="432">
        <f t="shared" si="298"/>
        <v>8242</v>
      </c>
      <c r="BA164" s="432">
        <f t="shared" si="297"/>
        <v>30</v>
      </c>
      <c r="BC164" s="395">
        <f t="shared" si="299"/>
        <v>1272</v>
      </c>
      <c r="BD164" s="395">
        <f t="shared" si="300"/>
        <v>6</v>
      </c>
    </row>
    <row r="165" spans="1:56" ht="14.4" thickBot="1">
      <c r="A165" s="397" t="s">
        <v>4</v>
      </c>
      <c r="B165" s="398">
        <f t="shared" si="283"/>
        <v>1245</v>
      </c>
      <c r="C165" s="399">
        <f t="shared" si="283"/>
        <v>23</v>
      </c>
      <c r="D165" s="400">
        <f t="shared" ref="D165:D171" si="301">+B165+C165</f>
        <v>1268</v>
      </c>
      <c r="E165" s="401">
        <f t="shared" si="284"/>
        <v>4</v>
      </c>
      <c r="F165" s="398">
        <f t="shared" si="284"/>
        <v>1617</v>
      </c>
      <c r="G165" s="398">
        <f t="shared" si="284"/>
        <v>25</v>
      </c>
      <c r="H165" s="400">
        <f t="shared" ref="H165:H171" si="302">+F165+G165</f>
        <v>1642</v>
      </c>
      <c r="I165" s="401">
        <f t="shared" si="285"/>
        <v>4</v>
      </c>
      <c r="J165" s="398">
        <f t="shared" si="285"/>
        <v>1801</v>
      </c>
      <c r="K165" s="398">
        <f t="shared" si="285"/>
        <v>29</v>
      </c>
      <c r="L165" s="400">
        <f t="shared" ref="L165:L171" si="303">+J165+K165</f>
        <v>1830</v>
      </c>
      <c r="M165" s="401">
        <f t="shared" si="286"/>
        <v>4</v>
      </c>
      <c r="N165" s="398">
        <f t="shared" si="286"/>
        <v>1511</v>
      </c>
      <c r="O165" s="398">
        <f t="shared" si="286"/>
        <v>19</v>
      </c>
      <c r="P165" s="400">
        <f t="shared" ref="P165:P171" si="304">+N165+O165</f>
        <v>1530</v>
      </c>
      <c r="Q165" s="401">
        <f t="shared" si="287"/>
        <v>9</v>
      </c>
      <c r="R165" s="398">
        <f t="shared" si="287"/>
        <v>1644</v>
      </c>
      <c r="S165" s="399">
        <f t="shared" si="287"/>
        <v>19</v>
      </c>
      <c r="T165" s="400">
        <f t="shared" ref="T165:T171" si="305">+R165+S165</f>
        <v>1663</v>
      </c>
      <c r="U165" s="401">
        <f t="shared" si="288"/>
        <v>8</v>
      </c>
      <c r="V165" s="398">
        <f t="shared" si="288"/>
        <v>1345</v>
      </c>
      <c r="W165" s="399">
        <f t="shared" si="288"/>
        <v>11</v>
      </c>
      <c r="X165" s="400">
        <f t="shared" ref="X165:X171" si="306">+V165+W165</f>
        <v>1356</v>
      </c>
      <c r="Y165" s="401">
        <f t="shared" si="289"/>
        <v>4</v>
      </c>
      <c r="Z165" s="398">
        <f t="shared" si="289"/>
        <v>1663</v>
      </c>
      <c r="AA165" s="399">
        <f t="shared" si="289"/>
        <v>30</v>
      </c>
      <c r="AB165" s="400">
        <f t="shared" ref="AB165:AB171" si="307">+Z165+AA165</f>
        <v>1693</v>
      </c>
      <c r="AC165" s="401">
        <f t="shared" si="290"/>
        <v>6</v>
      </c>
      <c r="AD165" s="398">
        <f t="shared" si="290"/>
        <v>2659</v>
      </c>
      <c r="AE165" s="399">
        <f t="shared" si="290"/>
        <v>43</v>
      </c>
      <c r="AF165" s="400">
        <f t="shared" ref="AF165:AF171" si="308">+AD165+AE165</f>
        <v>2702</v>
      </c>
      <c r="AG165" s="401">
        <f t="shared" si="291"/>
        <v>4</v>
      </c>
      <c r="AH165" s="398">
        <f t="shared" si="291"/>
        <v>0</v>
      </c>
      <c r="AI165" s="399">
        <f t="shared" si="291"/>
        <v>0</v>
      </c>
      <c r="AJ165" s="400">
        <f t="shared" ref="AJ165:AJ171" si="309">+AH165+AI165</f>
        <v>0</v>
      </c>
      <c r="AK165" s="401">
        <f t="shared" si="292"/>
        <v>0</v>
      </c>
      <c r="AL165" s="398">
        <f t="shared" si="292"/>
        <v>0</v>
      </c>
      <c r="AM165" s="399">
        <f t="shared" si="292"/>
        <v>0</v>
      </c>
      <c r="AN165" s="400">
        <f t="shared" ref="AN165:AN171" si="310">+AL165+AM165</f>
        <v>0</v>
      </c>
      <c r="AO165" s="401">
        <f t="shared" si="293"/>
        <v>0</v>
      </c>
      <c r="AP165" s="398">
        <f t="shared" si="293"/>
        <v>0</v>
      </c>
      <c r="AQ165" s="399">
        <f t="shared" si="293"/>
        <v>0</v>
      </c>
      <c r="AR165" s="400">
        <f t="shared" ref="AR165:AR171" si="311">+AP165+AQ165</f>
        <v>0</v>
      </c>
      <c r="AS165" s="401">
        <f t="shared" si="294"/>
        <v>0</v>
      </c>
      <c r="AT165" s="398">
        <f t="shared" si="294"/>
        <v>0</v>
      </c>
      <c r="AU165" s="399">
        <f t="shared" si="294"/>
        <v>0</v>
      </c>
      <c r="AV165" s="400">
        <f t="shared" ref="AV165:AV171" si="312">+AT165+AU165</f>
        <v>0</v>
      </c>
      <c r="AW165" s="401">
        <f t="shared" si="295"/>
        <v>0</v>
      </c>
      <c r="AX165" s="432">
        <f t="shared" si="296"/>
        <v>13485</v>
      </c>
      <c r="AY165" s="432">
        <f t="shared" si="296"/>
        <v>199</v>
      </c>
      <c r="AZ165" s="432">
        <f t="shared" si="298"/>
        <v>13684</v>
      </c>
      <c r="BA165" s="432">
        <f t="shared" si="297"/>
        <v>43</v>
      </c>
      <c r="BC165" s="395">
        <f t="shared" si="299"/>
        <v>2702</v>
      </c>
      <c r="BD165" s="395">
        <f t="shared" si="300"/>
        <v>4</v>
      </c>
    </row>
    <row r="166" spans="1:56" ht="14.4" thickBot="1">
      <c r="A166" s="397" t="s">
        <v>3</v>
      </c>
      <c r="B166" s="398">
        <f t="shared" si="283"/>
        <v>728</v>
      </c>
      <c r="C166" s="399">
        <f t="shared" si="283"/>
        <v>4</v>
      </c>
      <c r="D166" s="400">
        <f t="shared" si="301"/>
        <v>732</v>
      </c>
      <c r="E166" s="401">
        <f t="shared" si="284"/>
        <v>9</v>
      </c>
      <c r="F166" s="398">
        <f t="shared" si="284"/>
        <v>755</v>
      </c>
      <c r="G166" s="398">
        <f t="shared" si="284"/>
        <v>12</v>
      </c>
      <c r="H166" s="400">
        <f t="shared" si="302"/>
        <v>767</v>
      </c>
      <c r="I166" s="401">
        <f t="shared" si="285"/>
        <v>18</v>
      </c>
      <c r="J166" s="398">
        <f t="shared" si="285"/>
        <v>751</v>
      </c>
      <c r="K166" s="398">
        <f t="shared" si="285"/>
        <v>18</v>
      </c>
      <c r="L166" s="400">
        <f t="shared" si="303"/>
        <v>769</v>
      </c>
      <c r="M166" s="401">
        <f t="shared" si="286"/>
        <v>28</v>
      </c>
      <c r="N166" s="398">
        <f t="shared" si="286"/>
        <v>547</v>
      </c>
      <c r="O166" s="398">
        <f t="shared" si="286"/>
        <v>15</v>
      </c>
      <c r="P166" s="400">
        <f t="shared" si="304"/>
        <v>562</v>
      </c>
      <c r="Q166" s="401">
        <f t="shared" si="287"/>
        <v>21</v>
      </c>
      <c r="R166" s="398">
        <f t="shared" si="287"/>
        <v>571</v>
      </c>
      <c r="S166" s="399">
        <f t="shared" si="287"/>
        <v>6</v>
      </c>
      <c r="T166" s="400">
        <f t="shared" si="305"/>
        <v>577</v>
      </c>
      <c r="U166" s="401">
        <f t="shared" si="288"/>
        <v>21</v>
      </c>
      <c r="V166" s="398">
        <f t="shared" si="288"/>
        <v>575</v>
      </c>
      <c r="W166" s="399">
        <f t="shared" si="288"/>
        <v>15</v>
      </c>
      <c r="X166" s="400">
        <f t="shared" si="306"/>
        <v>590</v>
      </c>
      <c r="Y166" s="401">
        <f t="shared" si="289"/>
        <v>15</v>
      </c>
      <c r="Z166" s="398">
        <f t="shared" si="289"/>
        <v>636</v>
      </c>
      <c r="AA166" s="399">
        <f t="shared" si="289"/>
        <v>15</v>
      </c>
      <c r="AB166" s="400">
        <f t="shared" si="307"/>
        <v>651</v>
      </c>
      <c r="AC166" s="401">
        <f t="shared" si="290"/>
        <v>18</v>
      </c>
      <c r="AD166" s="398">
        <f t="shared" si="290"/>
        <v>760</v>
      </c>
      <c r="AE166" s="399">
        <f t="shared" si="290"/>
        <v>11</v>
      </c>
      <c r="AF166" s="400">
        <f t="shared" si="308"/>
        <v>771</v>
      </c>
      <c r="AG166" s="401">
        <f t="shared" si="291"/>
        <v>21</v>
      </c>
      <c r="AH166" s="398">
        <f t="shared" si="291"/>
        <v>0</v>
      </c>
      <c r="AI166" s="399">
        <f t="shared" si="291"/>
        <v>0</v>
      </c>
      <c r="AJ166" s="400">
        <f t="shared" si="309"/>
        <v>0</v>
      </c>
      <c r="AK166" s="401">
        <f t="shared" si="292"/>
        <v>0</v>
      </c>
      <c r="AL166" s="398">
        <f t="shared" si="292"/>
        <v>0</v>
      </c>
      <c r="AM166" s="399">
        <f t="shared" si="292"/>
        <v>0</v>
      </c>
      <c r="AN166" s="400">
        <f t="shared" si="310"/>
        <v>0</v>
      </c>
      <c r="AO166" s="401">
        <f t="shared" si="293"/>
        <v>0</v>
      </c>
      <c r="AP166" s="398">
        <f t="shared" si="293"/>
        <v>0</v>
      </c>
      <c r="AQ166" s="399">
        <f t="shared" si="293"/>
        <v>0</v>
      </c>
      <c r="AR166" s="400">
        <f t="shared" si="311"/>
        <v>0</v>
      </c>
      <c r="AS166" s="401">
        <f t="shared" si="294"/>
        <v>0</v>
      </c>
      <c r="AT166" s="398">
        <f t="shared" si="294"/>
        <v>0</v>
      </c>
      <c r="AU166" s="399">
        <f t="shared" si="294"/>
        <v>0</v>
      </c>
      <c r="AV166" s="400">
        <f t="shared" si="312"/>
        <v>0</v>
      </c>
      <c r="AW166" s="401">
        <f t="shared" si="295"/>
        <v>0</v>
      </c>
      <c r="AX166" s="432">
        <f t="shared" si="296"/>
        <v>5323</v>
      </c>
      <c r="AY166" s="432">
        <f t="shared" si="296"/>
        <v>96</v>
      </c>
      <c r="AZ166" s="432">
        <f t="shared" si="298"/>
        <v>5419</v>
      </c>
      <c r="BA166" s="432">
        <f t="shared" si="297"/>
        <v>151</v>
      </c>
      <c r="BC166" s="395">
        <f t="shared" si="299"/>
        <v>771</v>
      </c>
      <c r="BD166" s="395">
        <f t="shared" si="300"/>
        <v>21</v>
      </c>
    </row>
    <row r="167" spans="1:56" ht="14.4" thickBot="1">
      <c r="A167" s="397" t="s">
        <v>397</v>
      </c>
      <c r="B167" s="398">
        <f t="shared" si="283"/>
        <v>1121</v>
      </c>
      <c r="C167" s="399">
        <f t="shared" si="283"/>
        <v>6</v>
      </c>
      <c r="D167" s="400">
        <f t="shared" si="301"/>
        <v>1127</v>
      </c>
      <c r="E167" s="401">
        <f t="shared" si="284"/>
        <v>3</v>
      </c>
      <c r="F167" s="398">
        <f t="shared" si="284"/>
        <v>1149</v>
      </c>
      <c r="G167" s="398">
        <f t="shared" si="284"/>
        <v>10</v>
      </c>
      <c r="H167" s="400">
        <f t="shared" si="302"/>
        <v>1159</v>
      </c>
      <c r="I167" s="401">
        <f t="shared" si="285"/>
        <v>5</v>
      </c>
      <c r="J167" s="398">
        <f t="shared" si="285"/>
        <v>1064</v>
      </c>
      <c r="K167" s="398">
        <f t="shared" si="285"/>
        <v>60</v>
      </c>
      <c r="L167" s="400">
        <f t="shared" si="303"/>
        <v>1124</v>
      </c>
      <c r="M167" s="401">
        <f t="shared" si="286"/>
        <v>0</v>
      </c>
      <c r="N167" s="398">
        <f t="shared" si="286"/>
        <v>1089</v>
      </c>
      <c r="O167" s="398">
        <f t="shared" si="286"/>
        <v>28</v>
      </c>
      <c r="P167" s="400">
        <f t="shared" si="304"/>
        <v>1117</v>
      </c>
      <c r="Q167" s="401">
        <f t="shared" si="287"/>
        <v>3</v>
      </c>
      <c r="R167" s="398">
        <f t="shared" si="287"/>
        <v>850</v>
      </c>
      <c r="S167" s="399">
        <f t="shared" si="287"/>
        <v>22</v>
      </c>
      <c r="T167" s="400">
        <f t="shared" si="305"/>
        <v>872</v>
      </c>
      <c r="U167" s="401">
        <f t="shared" si="288"/>
        <v>1</v>
      </c>
      <c r="V167" s="398">
        <f t="shared" si="288"/>
        <v>1348</v>
      </c>
      <c r="W167" s="399">
        <f t="shared" si="288"/>
        <v>39</v>
      </c>
      <c r="X167" s="400">
        <f t="shared" si="306"/>
        <v>1387</v>
      </c>
      <c r="Y167" s="401">
        <f t="shared" si="289"/>
        <v>4</v>
      </c>
      <c r="Z167" s="398">
        <f t="shared" si="289"/>
        <v>1104</v>
      </c>
      <c r="AA167" s="399">
        <f t="shared" si="289"/>
        <v>27</v>
      </c>
      <c r="AB167" s="400">
        <f t="shared" si="307"/>
        <v>1131</v>
      </c>
      <c r="AC167" s="401">
        <f t="shared" si="290"/>
        <v>1</v>
      </c>
      <c r="AD167" s="398">
        <f t="shared" si="290"/>
        <v>923</v>
      </c>
      <c r="AE167" s="399">
        <f t="shared" si="290"/>
        <v>38</v>
      </c>
      <c r="AF167" s="400">
        <f t="shared" si="308"/>
        <v>961</v>
      </c>
      <c r="AG167" s="401">
        <f t="shared" si="291"/>
        <v>7</v>
      </c>
      <c r="AH167" s="398">
        <f t="shared" si="291"/>
        <v>0</v>
      </c>
      <c r="AI167" s="399">
        <f t="shared" si="291"/>
        <v>0</v>
      </c>
      <c r="AJ167" s="400">
        <f t="shared" si="309"/>
        <v>0</v>
      </c>
      <c r="AK167" s="401">
        <f t="shared" si="292"/>
        <v>0</v>
      </c>
      <c r="AL167" s="398">
        <f t="shared" si="292"/>
        <v>0</v>
      </c>
      <c r="AM167" s="399">
        <f t="shared" si="292"/>
        <v>0</v>
      </c>
      <c r="AN167" s="400">
        <f t="shared" si="310"/>
        <v>0</v>
      </c>
      <c r="AO167" s="401">
        <f t="shared" si="293"/>
        <v>0</v>
      </c>
      <c r="AP167" s="398">
        <f t="shared" si="293"/>
        <v>0</v>
      </c>
      <c r="AQ167" s="399">
        <f t="shared" si="293"/>
        <v>0</v>
      </c>
      <c r="AR167" s="400">
        <f t="shared" si="311"/>
        <v>0</v>
      </c>
      <c r="AS167" s="401">
        <f t="shared" si="294"/>
        <v>0</v>
      </c>
      <c r="AT167" s="398">
        <f t="shared" si="294"/>
        <v>0</v>
      </c>
      <c r="AU167" s="399">
        <f t="shared" si="294"/>
        <v>0</v>
      </c>
      <c r="AV167" s="400">
        <f t="shared" si="312"/>
        <v>0</v>
      </c>
      <c r="AW167" s="401">
        <f t="shared" si="295"/>
        <v>0</v>
      </c>
      <c r="AX167" s="432">
        <f t="shared" ref="AX167:AY171" si="313">B167+F167+J167+N167+R167+V167+Z167+AD167+AH167+AL167+AP167+AT167</f>
        <v>8648</v>
      </c>
      <c r="AY167" s="432">
        <f t="shared" si="313"/>
        <v>230</v>
      </c>
      <c r="AZ167" s="432">
        <f t="shared" si="298"/>
        <v>8878</v>
      </c>
      <c r="BA167" s="432">
        <f t="shared" si="297"/>
        <v>24</v>
      </c>
      <c r="BC167" s="395">
        <f t="shared" si="299"/>
        <v>961</v>
      </c>
      <c r="BD167" s="395">
        <f t="shared" si="300"/>
        <v>7</v>
      </c>
    </row>
    <row r="168" spans="1:56" ht="14.4" thickBot="1">
      <c r="A168" s="397" t="s">
        <v>399</v>
      </c>
      <c r="B168" s="398">
        <f t="shared" si="283"/>
        <v>1297</v>
      </c>
      <c r="C168" s="399">
        <f t="shared" si="283"/>
        <v>3</v>
      </c>
      <c r="D168" s="400">
        <f t="shared" si="301"/>
        <v>1300</v>
      </c>
      <c r="E168" s="401">
        <f t="shared" si="284"/>
        <v>3</v>
      </c>
      <c r="F168" s="398">
        <f t="shared" si="284"/>
        <v>773</v>
      </c>
      <c r="G168" s="398">
        <f t="shared" si="284"/>
        <v>53</v>
      </c>
      <c r="H168" s="400">
        <f t="shared" si="302"/>
        <v>826</v>
      </c>
      <c r="I168" s="401">
        <f t="shared" si="285"/>
        <v>6</v>
      </c>
      <c r="J168" s="398">
        <f t="shared" si="285"/>
        <v>1190</v>
      </c>
      <c r="K168" s="398">
        <f t="shared" si="285"/>
        <v>18</v>
      </c>
      <c r="L168" s="400">
        <f t="shared" si="303"/>
        <v>1208</v>
      </c>
      <c r="M168" s="401">
        <f t="shared" si="286"/>
        <v>2</v>
      </c>
      <c r="N168" s="398">
        <f t="shared" si="286"/>
        <v>1821</v>
      </c>
      <c r="O168" s="398">
        <f t="shared" si="286"/>
        <v>15</v>
      </c>
      <c r="P168" s="400">
        <f t="shared" si="304"/>
        <v>1836</v>
      </c>
      <c r="Q168" s="401">
        <f t="shared" si="287"/>
        <v>2</v>
      </c>
      <c r="R168" s="398">
        <f t="shared" si="287"/>
        <v>957</v>
      </c>
      <c r="S168" s="399">
        <f t="shared" si="287"/>
        <v>21</v>
      </c>
      <c r="T168" s="400">
        <f t="shared" si="305"/>
        <v>978</v>
      </c>
      <c r="U168" s="401">
        <f t="shared" si="288"/>
        <v>5</v>
      </c>
      <c r="V168" s="398">
        <f t="shared" si="288"/>
        <v>1033</v>
      </c>
      <c r="W168" s="399">
        <f t="shared" si="288"/>
        <v>32</v>
      </c>
      <c r="X168" s="400">
        <f t="shared" si="306"/>
        <v>1065</v>
      </c>
      <c r="Y168" s="401">
        <f t="shared" si="289"/>
        <v>2</v>
      </c>
      <c r="Z168" s="398">
        <f t="shared" si="289"/>
        <v>2392</v>
      </c>
      <c r="AA168" s="399">
        <f t="shared" si="289"/>
        <v>21</v>
      </c>
      <c r="AB168" s="400">
        <f t="shared" si="307"/>
        <v>2413</v>
      </c>
      <c r="AC168" s="401">
        <f t="shared" si="290"/>
        <v>3</v>
      </c>
      <c r="AD168" s="398">
        <f t="shared" si="290"/>
        <v>1632</v>
      </c>
      <c r="AE168" s="399">
        <f t="shared" si="290"/>
        <v>9</v>
      </c>
      <c r="AF168" s="400">
        <f t="shared" si="308"/>
        <v>1641</v>
      </c>
      <c r="AG168" s="401">
        <f t="shared" si="291"/>
        <v>3</v>
      </c>
      <c r="AH168" s="398">
        <f t="shared" si="291"/>
        <v>0</v>
      </c>
      <c r="AI168" s="399">
        <f t="shared" si="291"/>
        <v>0</v>
      </c>
      <c r="AJ168" s="400">
        <f t="shared" si="309"/>
        <v>0</v>
      </c>
      <c r="AK168" s="401">
        <f t="shared" si="292"/>
        <v>0</v>
      </c>
      <c r="AL168" s="398">
        <f t="shared" si="292"/>
        <v>0</v>
      </c>
      <c r="AM168" s="399">
        <f t="shared" si="292"/>
        <v>0</v>
      </c>
      <c r="AN168" s="400">
        <f t="shared" si="310"/>
        <v>0</v>
      </c>
      <c r="AO168" s="401">
        <f t="shared" si="293"/>
        <v>0</v>
      </c>
      <c r="AP168" s="398">
        <f t="shared" si="293"/>
        <v>0</v>
      </c>
      <c r="AQ168" s="399">
        <f t="shared" si="293"/>
        <v>0</v>
      </c>
      <c r="AR168" s="400">
        <f t="shared" si="311"/>
        <v>0</v>
      </c>
      <c r="AS168" s="401">
        <f t="shared" si="294"/>
        <v>0</v>
      </c>
      <c r="AT168" s="398">
        <f t="shared" si="294"/>
        <v>0</v>
      </c>
      <c r="AU168" s="399">
        <f t="shared" si="294"/>
        <v>0</v>
      </c>
      <c r="AV168" s="400">
        <f t="shared" si="312"/>
        <v>0</v>
      </c>
      <c r="AW168" s="401">
        <f t="shared" si="295"/>
        <v>0</v>
      </c>
      <c r="AX168" s="432">
        <f t="shared" si="313"/>
        <v>11095</v>
      </c>
      <c r="AY168" s="432">
        <f t="shared" si="313"/>
        <v>172</v>
      </c>
      <c r="AZ168" s="432">
        <f t="shared" si="298"/>
        <v>11267</v>
      </c>
      <c r="BA168" s="432">
        <f t="shared" si="297"/>
        <v>26</v>
      </c>
      <c r="BC168" s="395">
        <f t="shared" si="299"/>
        <v>1641</v>
      </c>
      <c r="BD168" s="395">
        <f t="shared" si="300"/>
        <v>3</v>
      </c>
    </row>
    <row r="169" spans="1:56" ht="14.4" thickBot="1">
      <c r="A169" s="397" t="s">
        <v>883</v>
      </c>
      <c r="B169" s="398">
        <f t="shared" si="283"/>
        <v>778</v>
      </c>
      <c r="C169" s="399">
        <f t="shared" si="283"/>
        <v>7</v>
      </c>
      <c r="D169" s="400">
        <f t="shared" si="301"/>
        <v>785</v>
      </c>
      <c r="E169" s="401">
        <f t="shared" si="284"/>
        <v>7</v>
      </c>
      <c r="F169" s="398">
        <f t="shared" si="284"/>
        <v>633</v>
      </c>
      <c r="G169" s="398">
        <f t="shared" si="284"/>
        <v>28</v>
      </c>
      <c r="H169" s="400">
        <f t="shared" si="302"/>
        <v>661</v>
      </c>
      <c r="I169" s="401">
        <f t="shared" si="285"/>
        <v>1</v>
      </c>
      <c r="J169" s="398">
        <f t="shared" si="285"/>
        <v>711</v>
      </c>
      <c r="K169" s="398">
        <f t="shared" si="285"/>
        <v>17</v>
      </c>
      <c r="L169" s="400">
        <f t="shared" si="303"/>
        <v>728</v>
      </c>
      <c r="M169" s="401">
        <f t="shared" si="286"/>
        <v>10</v>
      </c>
      <c r="N169" s="398">
        <f t="shared" si="286"/>
        <v>1241</v>
      </c>
      <c r="O169" s="398">
        <f t="shared" si="286"/>
        <v>21</v>
      </c>
      <c r="P169" s="400">
        <f t="shared" si="304"/>
        <v>1262</v>
      </c>
      <c r="Q169" s="401">
        <f t="shared" si="287"/>
        <v>4</v>
      </c>
      <c r="R169" s="398">
        <f t="shared" si="287"/>
        <v>811</v>
      </c>
      <c r="S169" s="399">
        <f t="shared" si="287"/>
        <v>15</v>
      </c>
      <c r="T169" s="400">
        <f t="shared" si="305"/>
        <v>826</v>
      </c>
      <c r="U169" s="401">
        <f t="shared" si="288"/>
        <v>6</v>
      </c>
      <c r="V169" s="398">
        <f t="shared" si="288"/>
        <v>987</v>
      </c>
      <c r="W169" s="399">
        <f t="shared" si="288"/>
        <v>17</v>
      </c>
      <c r="X169" s="400">
        <f t="shared" si="306"/>
        <v>1004</v>
      </c>
      <c r="Y169" s="401">
        <f t="shared" si="289"/>
        <v>15</v>
      </c>
      <c r="Z169" s="398">
        <f t="shared" si="289"/>
        <v>858</v>
      </c>
      <c r="AA169" s="399">
        <f t="shared" si="289"/>
        <v>23</v>
      </c>
      <c r="AB169" s="400">
        <f t="shared" si="307"/>
        <v>881</v>
      </c>
      <c r="AC169" s="401">
        <f t="shared" si="290"/>
        <v>10</v>
      </c>
      <c r="AD169" s="398">
        <f t="shared" si="290"/>
        <v>998</v>
      </c>
      <c r="AE169" s="399">
        <f t="shared" si="290"/>
        <v>26</v>
      </c>
      <c r="AF169" s="400">
        <f t="shared" si="308"/>
        <v>1024</v>
      </c>
      <c r="AG169" s="401">
        <f t="shared" si="291"/>
        <v>3</v>
      </c>
      <c r="AH169" s="398">
        <f t="shared" si="291"/>
        <v>0</v>
      </c>
      <c r="AI169" s="399">
        <f t="shared" si="291"/>
        <v>0</v>
      </c>
      <c r="AJ169" s="400">
        <f t="shared" si="309"/>
        <v>0</v>
      </c>
      <c r="AK169" s="401">
        <f t="shared" si="292"/>
        <v>0</v>
      </c>
      <c r="AL169" s="398">
        <f t="shared" si="292"/>
        <v>0</v>
      </c>
      <c r="AM169" s="399">
        <f t="shared" si="292"/>
        <v>0</v>
      </c>
      <c r="AN169" s="400">
        <f t="shared" si="310"/>
        <v>0</v>
      </c>
      <c r="AO169" s="401">
        <f t="shared" si="293"/>
        <v>0</v>
      </c>
      <c r="AP169" s="398">
        <f t="shared" si="293"/>
        <v>0</v>
      </c>
      <c r="AQ169" s="399">
        <f t="shared" si="293"/>
        <v>0</v>
      </c>
      <c r="AR169" s="400">
        <f t="shared" si="311"/>
        <v>0</v>
      </c>
      <c r="AS169" s="401">
        <f t="shared" si="294"/>
        <v>0</v>
      </c>
      <c r="AT169" s="398">
        <f t="shared" si="294"/>
        <v>0</v>
      </c>
      <c r="AU169" s="399">
        <f t="shared" si="294"/>
        <v>0</v>
      </c>
      <c r="AV169" s="400">
        <f t="shared" si="312"/>
        <v>0</v>
      </c>
      <c r="AW169" s="401">
        <f t="shared" si="295"/>
        <v>0</v>
      </c>
      <c r="AX169" s="432">
        <f t="shared" si="313"/>
        <v>7017</v>
      </c>
      <c r="AY169" s="432">
        <f t="shared" si="313"/>
        <v>154</v>
      </c>
      <c r="AZ169" s="432">
        <f t="shared" si="298"/>
        <v>7171</v>
      </c>
      <c r="BA169" s="432">
        <f t="shared" si="297"/>
        <v>56</v>
      </c>
      <c r="BC169" s="395">
        <f t="shared" si="299"/>
        <v>1024</v>
      </c>
      <c r="BD169" s="395">
        <f t="shared" si="300"/>
        <v>3</v>
      </c>
    </row>
    <row r="170" spans="1:56" ht="14.4" thickBot="1">
      <c r="A170" s="397" t="s">
        <v>884</v>
      </c>
      <c r="B170" s="398">
        <f t="shared" si="283"/>
        <v>855</v>
      </c>
      <c r="C170" s="399">
        <f t="shared" si="283"/>
        <v>7</v>
      </c>
      <c r="D170" s="400">
        <f t="shared" si="301"/>
        <v>862</v>
      </c>
      <c r="E170" s="401">
        <f t="shared" si="284"/>
        <v>1</v>
      </c>
      <c r="F170" s="398">
        <f t="shared" si="284"/>
        <v>1048</v>
      </c>
      <c r="G170" s="398">
        <f t="shared" si="284"/>
        <v>14</v>
      </c>
      <c r="H170" s="400">
        <f t="shared" si="302"/>
        <v>1062</v>
      </c>
      <c r="I170" s="401">
        <f t="shared" si="285"/>
        <v>9</v>
      </c>
      <c r="J170" s="398">
        <f t="shared" si="285"/>
        <v>2013</v>
      </c>
      <c r="K170" s="398">
        <f t="shared" si="285"/>
        <v>33</v>
      </c>
      <c r="L170" s="400">
        <f t="shared" si="303"/>
        <v>2046</v>
      </c>
      <c r="M170" s="401">
        <f t="shared" si="286"/>
        <v>10</v>
      </c>
      <c r="N170" s="398">
        <f t="shared" si="286"/>
        <v>1696</v>
      </c>
      <c r="O170" s="398">
        <f t="shared" si="286"/>
        <v>144</v>
      </c>
      <c r="P170" s="400">
        <f t="shared" si="304"/>
        <v>1840</v>
      </c>
      <c r="Q170" s="401">
        <f t="shared" si="287"/>
        <v>10</v>
      </c>
      <c r="R170" s="398">
        <f t="shared" si="287"/>
        <v>2040</v>
      </c>
      <c r="S170" s="399">
        <f t="shared" si="287"/>
        <v>25</v>
      </c>
      <c r="T170" s="400">
        <f t="shared" si="305"/>
        <v>2065</v>
      </c>
      <c r="U170" s="401">
        <f t="shared" si="288"/>
        <v>3</v>
      </c>
      <c r="V170" s="398">
        <f t="shared" si="288"/>
        <v>1296</v>
      </c>
      <c r="W170" s="399">
        <f t="shared" si="288"/>
        <v>50</v>
      </c>
      <c r="X170" s="400">
        <f t="shared" si="306"/>
        <v>1346</v>
      </c>
      <c r="Y170" s="401">
        <f t="shared" si="289"/>
        <v>4</v>
      </c>
      <c r="Z170" s="398">
        <f t="shared" si="289"/>
        <v>824</v>
      </c>
      <c r="AA170" s="399">
        <f t="shared" si="289"/>
        <v>44</v>
      </c>
      <c r="AB170" s="400">
        <f t="shared" si="307"/>
        <v>868</v>
      </c>
      <c r="AC170" s="401">
        <f t="shared" si="290"/>
        <v>4</v>
      </c>
      <c r="AD170" s="398">
        <f t="shared" si="290"/>
        <v>1105</v>
      </c>
      <c r="AE170" s="399">
        <f t="shared" si="290"/>
        <v>29</v>
      </c>
      <c r="AF170" s="400">
        <f t="shared" si="308"/>
        <v>1134</v>
      </c>
      <c r="AG170" s="401">
        <f t="shared" si="291"/>
        <v>9</v>
      </c>
      <c r="AH170" s="398">
        <f t="shared" si="291"/>
        <v>0</v>
      </c>
      <c r="AI170" s="399">
        <f t="shared" si="291"/>
        <v>0</v>
      </c>
      <c r="AJ170" s="400">
        <f t="shared" si="309"/>
        <v>0</v>
      </c>
      <c r="AK170" s="401">
        <f t="shared" si="292"/>
        <v>0</v>
      </c>
      <c r="AL170" s="398">
        <f t="shared" si="292"/>
        <v>0</v>
      </c>
      <c r="AM170" s="399">
        <f t="shared" si="292"/>
        <v>0</v>
      </c>
      <c r="AN170" s="400">
        <f t="shared" si="310"/>
        <v>0</v>
      </c>
      <c r="AO170" s="401">
        <f t="shared" si="293"/>
        <v>0</v>
      </c>
      <c r="AP170" s="398">
        <f t="shared" si="293"/>
        <v>0</v>
      </c>
      <c r="AQ170" s="399">
        <f t="shared" si="293"/>
        <v>0</v>
      </c>
      <c r="AR170" s="400">
        <f t="shared" si="311"/>
        <v>0</v>
      </c>
      <c r="AS170" s="401">
        <f t="shared" si="294"/>
        <v>0</v>
      </c>
      <c r="AT170" s="398">
        <f t="shared" si="294"/>
        <v>0</v>
      </c>
      <c r="AU170" s="399">
        <f t="shared" si="294"/>
        <v>0</v>
      </c>
      <c r="AV170" s="400">
        <f t="shared" si="312"/>
        <v>0</v>
      </c>
      <c r="AW170" s="401">
        <f t="shared" si="295"/>
        <v>0</v>
      </c>
      <c r="AX170" s="432">
        <f t="shared" si="313"/>
        <v>10877</v>
      </c>
      <c r="AY170" s="432">
        <f t="shared" si="313"/>
        <v>346</v>
      </c>
      <c r="AZ170" s="432">
        <f t="shared" si="298"/>
        <v>11223</v>
      </c>
      <c r="BA170" s="432">
        <f t="shared" si="297"/>
        <v>50</v>
      </c>
      <c r="BC170" s="395">
        <f t="shared" si="299"/>
        <v>1134</v>
      </c>
      <c r="BD170" s="395">
        <f t="shared" si="300"/>
        <v>9</v>
      </c>
    </row>
    <row r="171" spans="1:56" ht="14.4" thickBot="1">
      <c r="A171" s="397" t="s">
        <v>885</v>
      </c>
      <c r="B171" s="398">
        <f t="shared" si="283"/>
        <v>111</v>
      </c>
      <c r="C171" s="399">
        <f t="shared" si="283"/>
        <v>6</v>
      </c>
      <c r="D171" s="400">
        <f t="shared" si="301"/>
        <v>117</v>
      </c>
      <c r="E171" s="401">
        <f t="shared" si="284"/>
        <v>1</v>
      </c>
      <c r="F171" s="398">
        <f t="shared" si="284"/>
        <v>574</v>
      </c>
      <c r="G171" s="398">
        <f t="shared" si="284"/>
        <v>17</v>
      </c>
      <c r="H171" s="400">
        <f t="shared" si="302"/>
        <v>591</v>
      </c>
      <c r="I171" s="401">
        <f t="shared" si="285"/>
        <v>2</v>
      </c>
      <c r="J171" s="398">
        <f t="shared" si="285"/>
        <v>1063</v>
      </c>
      <c r="K171" s="398">
        <f t="shared" si="285"/>
        <v>81</v>
      </c>
      <c r="L171" s="400">
        <f t="shared" si="303"/>
        <v>1144</v>
      </c>
      <c r="M171" s="401">
        <f t="shared" si="286"/>
        <v>0</v>
      </c>
      <c r="N171" s="398">
        <f t="shared" si="286"/>
        <v>453</v>
      </c>
      <c r="O171" s="398">
        <f t="shared" si="286"/>
        <v>-18</v>
      </c>
      <c r="P171" s="400">
        <f t="shared" si="304"/>
        <v>435</v>
      </c>
      <c r="Q171" s="401">
        <f t="shared" si="287"/>
        <v>2</v>
      </c>
      <c r="R171" s="398">
        <f t="shared" si="287"/>
        <v>891</v>
      </c>
      <c r="S171" s="399">
        <f t="shared" si="287"/>
        <v>10</v>
      </c>
      <c r="T171" s="400">
        <f t="shared" si="305"/>
        <v>901</v>
      </c>
      <c r="U171" s="401">
        <f t="shared" si="288"/>
        <v>2</v>
      </c>
      <c r="V171" s="398">
        <f t="shared" si="288"/>
        <v>847</v>
      </c>
      <c r="W171" s="399">
        <f t="shared" si="288"/>
        <v>32</v>
      </c>
      <c r="X171" s="400">
        <f t="shared" si="306"/>
        <v>879</v>
      </c>
      <c r="Y171" s="401">
        <f t="shared" si="289"/>
        <v>0</v>
      </c>
      <c r="Z171" s="398">
        <f t="shared" si="289"/>
        <v>247</v>
      </c>
      <c r="AA171" s="399">
        <f t="shared" si="289"/>
        <v>9</v>
      </c>
      <c r="AB171" s="400">
        <f t="shared" si="307"/>
        <v>256</v>
      </c>
      <c r="AC171" s="401">
        <f t="shared" si="290"/>
        <v>0</v>
      </c>
      <c r="AD171" s="398">
        <f t="shared" si="290"/>
        <v>291</v>
      </c>
      <c r="AE171" s="399">
        <f t="shared" si="290"/>
        <v>12</v>
      </c>
      <c r="AF171" s="400">
        <f t="shared" si="308"/>
        <v>303</v>
      </c>
      <c r="AG171" s="401">
        <f t="shared" si="291"/>
        <v>0</v>
      </c>
      <c r="AH171" s="398">
        <f t="shared" si="291"/>
        <v>0</v>
      </c>
      <c r="AI171" s="399">
        <f t="shared" si="291"/>
        <v>0</v>
      </c>
      <c r="AJ171" s="400">
        <f t="shared" si="309"/>
        <v>0</v>
      </c>
      <c r="AK171" s="401">
        <f t="shared" si="292"/>
        <v>0</v>
      </c>
      <c r="AL171" s="398">
        <f t="shared" si="292"/>
        <v>0</v>
      </c>
      <c r="AM171" s="399">
        <f t="shared" si="292"/>
        <v>0</v>
      </c>
      <c r="AN171" s="400">
        <f t="shared" si="310"/>
        <v>0</v>
      </c>
      <c r="AO171" s="401">
        <f t="shared" si="293"/>
        <v>0</v>
      </c>
      <c r="AP171" s="398">
        <f t="shared" si="293"/>
        <v>0</v>
      </c>
      <c r="AQ171" s="399">
        <f t="shared" si="293"/>
        <v>0</v>
      </c>
      <c r="AR171" s="400">
        <f t="shared" si="311"/>
        <v>0</v>
      </c>
      <c r="AS171" s="401">
        <f t="shared" si="294"/>
        <v>0</v>
      </c>
      <c r="AT171" s="398">
        <f t="shared" si="294"/>
        <v>0</v>
      </c>
      <c r="AU171" s="399">
        <f t="shared" si="294"/>
        <v>0</v>
      </c>
      <c r="AV171" s="400">
        <f t="shared" si="312"/>
        <v>0</v>
      </c>
      <c r="AW171" s="401">
        <f t="shared" si="295"/>
        <v>0</v>
      </c>
      <c r="AX171" s="432">
        <f t="shared" si="313"/>
        <v>4477</v>
      </c>
      <c r="AY171" s="432">
        <f t="shared" si="313"/>
        <v>149</v>
      </c>
      <c r="AZ171" s="432">
        <f t="shared" si="298"/>
        <v>4626</v>
      </c>
      <c r="BA171" s="432">
        <f t="shared" si="297"/>
        <v>7</v>
      </c>
      <c r="BC171" s="395">
        <f t="shared" si="299"/>
        <v>303</v>
      </c>
      <c r="BD171" s="395">
        <f t="shared" si="300"/>
        <v>0</v>
      </c>
    </row>
    <row r="172" spans="1:56" ht="14.4" thickBot="1">
      <c r="A172" s="433" t="s">
        <v>16</v>
      </c>
      <c r="B172" s="417">
        <f t="shared" ref="B172:AG172" si="314">SUM(B162:B171)</f>
        <v>8584</v>
      </c>
      <c r="C172" s="419">
        <f t="shared" si="314"/>
        <v>118</v>
      </c>
      <c r="D172" s="419">
        <f t="shared" si="314"/>
        <v>8702</v>
      </c>
      <c r="E172" s="420">
        <f t="shared" si="314"/>
        <v>32</v>
      </c>
      <c r="F172" s="417">
        <f t="shared" si="314"/>
        <v>11552</v>
      </c>
      <c r="G172" s="419">
        <f t="shared" si="314"/>
        <v>240</v>
      </c>
      <c r="H172" s="419">
        <f t="shared" si="314"/>
        <v>11792</v>
      </c>
      <c r="I172" s="420">
        <f t="shared" si="314"/>
        <v>66</v>
      </c>
      <c r="J172" s="417">
        <f t="shared" si="314"/>
        <v>13381</v>
      </c>
      <c r="K172" s="419">
        <f t="shared" si="314"/>
        <v>363</v>
      </c>
      <c r="L172" s="419">
        <f t="shared" si="314"/>
        <v>13744</v>
      </c>
      <c r="M172" s="420">
        <f t="shared" si="314"/>
        <v>72</v>
      </c>
      <c r="N172" s="417">
        <f t="shared" si="314"/>
        <v>11031</v>
      </c>
      <c r="O172" s="419">
        <f t="shared" si="314"/>
        <v>366</v>
      </c>
      <c r="P172" s="419">
        <f t="shared" si="314"/>
        <v>11397</v>
      </c>
      <c r="Q172" s="420">
        <f t="shared" si="314"/>
        <v>64</v>
      </c>
      <c r="R172" s="417">
        <f t="shared" si="314"/>
        <v>12110</v>
      </c>
      <c r="S172" s="419">
        <f t="shared" si="314"/>
        <v>191</v>
      </c>
      <c r="T172" s="419">
        <f t="shared" si="314"/>
        <v>12301</v>
      </c>
      <c r="U172" s="420">
        <f t="shared" si="314"/>
        <v>54</v>
      </c>
      <c r="V172" s="417">
        <f t="shared" si="314"/>
        <v>12594</v>
      </c>
      <c r="W172" s="419">
        <f t="shared" si="314"/>
        <v>287</v>
      </c>
      <c r="X172" s="419">
        <f t="shared" si="314"/>
        <v>12881</v>
      </c>
      <c r="Y172" s="420">
        <f t="shared" si="314"/>
        <v>54</v>
      </c>
      <c r="Z172" s="417">
        <f t="shared" si="314"/>
        <v>11604</v>
      </c>
      <c r="AA172" s="419">
        <f t="shared" si="314"/>
        <v>244</v>
      </c>
      <c r="AB172" s="419">
        <f t="shared" si="314"/>
        <v>11848</v>
      </c>
      <c r="AC172" s="420">
        <f t="shared" si="314"/>
        <v>67</v>
      </c>
      <c r="AD172" s="417">
        <f t="shared" si="314"/>
        <v>11954</v>
      </c>
      <c r="AE172" s="419">
        <f t="shared" si="314"/>
        <v>229</v>
      </c>
      <c r="AF172" s="419">
        <f t="shared" si="314"/>
        <v>12183</v>
      </c>
      <c r="AG172" s="420">
        <f t="shared" si="314"/>
        <v>62</v>
      </c>
      <c r="AH172" s="417">
        <f t="shared" ref="AH172:BA172" si="315">SUM(AH162:AH171)</f>
        <v>0</v>
      </c>
      <c r="AI172" s="419">
        <f t="shared" si="315"/>
        <v>0</v>
      </c>
      <c r="AJ172" s="419">
        <f t="shared" si="315"/>
        <v>0</v>
      </c>
      <c r="AK172" s="420">
        <f t="shared" si="315"/>
        <v>0</v>
      </c>
      <c r="AL172" s="417">
        <f t="shared" si="315"/>
        <v>0</v>
      </c>
      <c r="AM172" s="419">
        <f t="shared" si="315"/>
        <v>0</v>
      </c>
      <c r="AN172" s="419">
        <f t="shared" si="315"/>
        <v>0</v>
      </c>
      <c r="AO172" s="420">
        <f t="shared" si="315"/>
        <v>0</v>
      </c>
      <c r="AP172" s="417">
        <f t="shared" si="315"/>
        <v>0</v>
      </c>
      <c r="AQ172" s="419">
        <f t="shared" si="315"/>
        <v>0</v>
      </c>
      <c r="AR172" s="419">
        <f t="shared" si="315"/>
        <v>0</v>
      </c>
      <c r="AS172" s="420">
        <f t="shared" si="315"/>
        <v>0</v>
      </c>
      <c r="AT172" s="417">
        <f t="shared" si="315"/>
        <v>0</v>
      </c>
      <c r="AU172" s="419">
        <f t="shared" si="315"/>
        <v>0</v>
      </c>
      <c r="AV172" s="419">
        <f t="shared" si="315"/>
        <v>0</v>
      </c>
      <c r="AW172" s="420">
        <f t="shared" si="315"/>
        <v>0</v>
      </c>
      <c r="AX172" s="434">
        <f t="shared" si="315"/>
        <v>92810</v>
      </c>
      <c r="AY172" s="434">
        <f t="shared" si="315"/>
        <v>2038</v>
      </c>
      <c r="AZ172" s="434">
        <f t="shared" si="315"/>
        <v>94848</v>
      </c>
      <c r="BA172" s="434">
        <f t="shared" si="315"/>
        <v>471</v>
      </c>
      <c r="BC172" s="395">
        <f t="shared" si="299"/>
        <v>12183</v>
      </c>
      <c r="BD172" s="395">
        <f>AG172</f>
        <v>62</v>
      </c>
    </row>
    <row r="173" spans="1:56">
      <c r="L173" s="117">
        <f>L172+H172+D172</f>
        <v>34238</v>
      </c>
      <c r="M173" s="395">
        <f>M172+I172+E172</f>
        <v>170</v>
      </c>
      <c r="P173" s="395">
        <f>P172+T172+X172</f>
        <v>36579</v>
      </c>
      <c r="Q173" s="395">
        <f>Q172+U172+Y172</f>
        <v>172</v>
      </c>
      <c r="AB173" s="395"/>
      <c r="AJ173" s="1243">
        <f>AJ172+AF172+AB172</f>
        <v>24031</v>
      </c>
      <c r="AK173" s="1243">
        <f>AK172+AG172+AC172</f>
        <v>129</v>
      </c>
      <c r="AV173" s="446">
        <f>AN172+AR172+AV172</f>
        <v>0</v>
      </c>
      <c r="AW173" s="446">
        <f>AO172+AS172+AW172</f>
        <v>0</v>
      </c>
      <c r="BC173" s="395"/>
      <c r="BD173" s="395"/>
    </row>
    <row r="174" spans="1:56" ht="18.600000000000001" thickBot="1">
      <c r="A174" s="394">
        <f>A143</f>
        <v>2024</v>
      </c>
      <c r="Q174" s="395">
        <f>Q177+P177</f>
        <v>2374</v>
      </c>
      <c r="AZ174" s="395">
        <f>BA177+AZ177</f>
        <v>17630</v>
      </c>
    </row>
    <row r="175" spans="1:56">
      <c r="A175" s="2815" t="s">
        <v>308</v>
      </c>
      <c r="B175" s="2827" t="s">
        <v>71</v>
      </c>
      <c r="C175" s="2828"/>
      <c r="D175" s="2828"/>
      <c r="E175" s="3091"/>
      <c r="F175" s="2829" t="s">
        <v>72</v>
      </c>
      <c r="G175" s="2830"/>
      <c r="H175" s="2830"/>
      <c r="I175" s="3095"/>
      <c r="J175" s="2817" t="s">
        <v>73</v>
      </c>
      <c r="K175" s="2818"/>
      <c r="L175" s="2818"/>
      <c r="M175" s="3094"/>
      <c r="N175" s="2819" t="s">
        <v>74</v>
      </c>
      <c r="O175" s="2820"/>
      <c r="P175" s="2820"/>
      <c r="Q175" s="3090"/>
      <c r="R175" s="2821" t="s">
        <v>75</v>
      </c>
      <c r="S175" s="2822"/>
      <c r="T175" s="2822"/>
      <c r="U175" s="3093"/>
      <c r="V175" s="2823" t="s">
        <v>76</v>
      </c>
      <c r="W175" s="2824"/>
      <c r="X175" s="2824"/>
      <c r="Y175" s="3089"/>
      <c r="Z175" s="2827" t="s">
        <v>77</v>
      </c>
      <c r="AA175" s="2828"/>
      <c r="AB175" s="2828"/>
      <c r="AC175" s="3091"/>
      <c r="AD175" s="2829" t="s">
        <v>78</v>
      </c>
      <c r="AE175" s="2830"/>
      <c r="AF175" s="2830"/>
      <c r="AG175" s="3095"/>
      <c r="AH175" s="2817" t="s">
        <v>79</v>
      </c>
      <c r="AI175" s="2818"/>
      <c r="AJ175" s="2818"/>
      <c r="AK175" s="3094"/>
      <c r="AL175" s="2819" t="s">
        <v>80</v>
      </c>
      <c r="AM175" s="2820"/>
      <c r="AN175" s="2820"/>
      <c r="AO175" s="3090"/>
      <c r="AP175" s="2821" t="s">
        <v>81</v>
      </c>
      <c r="AQ175" s="2822"/>
      <c r="AR175" s="2822"/>
      <c r="AS175" s="3093"/>
      <c r="AT175" s="2823" t="s">
        <v>82</v>
      </c>
      <c r="AU175" s="2824"/>
      <c r="AV175" s="2824"/>
      <c r="AW175" s="3089"/>
      <c r="AX175" s="2825" t="s">
        <v>83</v>
      </c>
      <c r="AY175" s="2826"/>
      <c r="AZ175" s="2826"/>
      <c r="BA175" s="3088"/>
    </row>
    <row r="176" spans="1:56" ht="14.4" thickBot="1">
      <c r="A176" s="2816"/>
      <c r="B176" s="402" t="s">
        <v>17</v>
      </c>
      <c r="C176" s="403" t="s">
        <v>18</v>
      </c>
      <c r="D176" s="403" t="s">
        <v>52</v>
      </c>
      <c r="E176" s="404" t="s">
        <v>19</v>
      </c>
      <c r="F176" s="402" t="s">
        <v>17</v>
      </c>
      <c r="G176" s="403" t="s">
        <v>18</v>
      </c>
      <c r="H176" s="403" t="s">
        <v>52</v>
      </c>
      <c r="I176" s="404" t="s">
        <v>19</v>
      </c>
      <c r="J176" s="402" t="s">
        <v>17</v>
      </c>
      <c r="K176" s="403" t="s">
        <v>18</v>
      </c>
      <c r="L176" s="403" t="s">
        <v>52</v>
      </c>
      <c r="M176" s="404" t="s">
        <v>19</v>
      </c>
      <c r="N176" s="402" t="s">
        <v>17</v>
      </c>
      <c r="O176" s="403" t="s">
        <v>18</v>
      </c>
      <c r="P176" s="403" t="s">
        <v>52</v>
      </c>
      <c r="Q176" s="404" t="s">
        <v>19</v>
      </c>
      <c r="R176" s="402" t="s">
        <v>17</v>
      </c>
      <c r="S176" s="403" t="s">
        <v>18</v>
      </c>
      <c r="T176" s="403" t="s">
        <v>52</v>
      </c>
      <c r="U176" s="404" t="s">
        <v>19</v>
      </c>
      <c r="V176" s="402" t="s">
        <v>17</v>
      </c>
      <c r="W176" s="403" t="s">
        <v>18</v>
      </c>
      <c r="X176" s="403" t="s">
        <v>52</v>
      </c>
      <c r="Y176" s="404" t="s">
        <v>19</v>
      </c>
      <c r="Z176" s="402" t="s">
        <v>17</v>
      </c>
      <c r="AA176" s="403" t="s">
        <v>18</v>
      </c>
      <c r="AB176" s="403" t="s">
        <v>52</v>
      </c>
      <c r="AC176" s="404" t="s">
        <v>19</v>
      </c>
      <c r="AD176" s="402" t="s">
        <v>17</v>
      </c>
      <c r="AE176" s="403" t="s">
        <v>18</v>
      </c>
      <c r="AF176" s="403" t="s">
        <v>52</v>
      </c>
      <c r="AG176" s="404" t="s">
        <v>19</v>
      </c>
      <c r="AH176" s="402" t="s">
        <v>17</v>
      </c>
      <c r="AI176" s="403" t="s">
        <v>18</v>
      </c>
      <c r="AJ176" s="403" t="s">
        <v>52</v>
      </c>
      <c r="AK176" s="404" t="s">
        <v>19</v>
      </c>
      <c r="AL176" s="402" t="s">
        <v>17</v>
      </c>
      <c r="AM176" s="403" t="s">
        <v>18</v>
      </c>
      <c r="AN176" s="403" t="s">
        <v>52</v>
      </c>
      <c r="AO176" s="404" t="s">
        <v>19</v>
      </c>
      <c r="AP176" s="1107" t="s">
        <v>17</v>
      </c>
      <c r="AQ176" s="403" t="s">
        <v>18</v>
      </c>
      <c r="AR176" s="403" t="s">
        <v>52</v>
      </c>
      <c r="AS176" s="404" t="s">
        <v>19</v>
      </c>
      <c r="AT176" s="402" t="s">
        <v>17</v>
      </c>
      <c r="AU176" s="403" t="s">
        <v>18</v>
      </c>
      <c r="AV176" s="403" t="s">
        <v>52</v>
      </c>
      <c r="AW176" s="404" t="s">
        <v>19</v>
      </c>
      <c r="AX176" s="403" t="s">
        <v>17</v>
      </c>
      <c r="AY176" s="403" t="s">
        <v>18</v>
      </c>
      <c r="AZ176" s="403" t="s">
        <v>52</v>
      </c>
      <c r="BA176" s="431" t="s">
        <v>19</v>
      </c>
      <c r="BC176" s="117" t="s">
        <v>265</v>
      </c>
      <c r="BD176" s="117" t="s">
        <v>266</v>
      </c>
    </row>
    <row r="177" spans="1:73" ht="14.4" thickBot="1">
      <c r="A177" s="397" t="s">
        <v>6</v>
      </c>
      <c r="B177" s="398">
        <f t="shared" ref="B177:C186" si="316">B115-B146</f>
        <v>2168</v>
      </c>
      <c r="C177" s="399">
        <f t="shared" si="316"/>
        <v>47</v>
      </c>
      <c r="D177" s="400">
        <f t="shared" ref="D177:D183" si="317">+B177+C177</f>
        <v>2215</v>
      </c>
      <c r="E177" s="401">
        <f t="shared" ref="E177:G186" si="318">E115-E146</f>
        <v>4</v>
      </c>
      <c r="F177" s="398">
        <f t="shared" si="318"/>
        <v>3302</v>
      </c>
      <c r="G177" s="398">
        <f t="shared" si="318"/>
        <v>157</v>
      </c>
      <c r="H177" s="400">
        <f>+F177+G177</f>
        <v>3459</v>
      </c>
      <c r="I177" s="401">
        <f t="shared" ref="I177:K186" si="319">I115-I146</f>
        <v>13</v>
      </c>
      <c r="J177" s="398">
        <f t="shared" si="319"/>
        <v>2192</v>
      </c>
      <c r="K177" s="398">
        <f t="shared" si="319"/>
        <v>46</v>
      </c>
      <c r="L177" s="400">
        <f>+J177+K177</f>
        <v>2238</v>
      </c>
      <c r="M177" s="401">
        <f t="shared" ref="M177:O186" si="320">M115-M146</f>
        <v>12</v>
      </c>
      <c r="N177" s="398">
        <f t="shared" si="320"/>
        <v>2315</v>
      </c>
      <c r="O177" s="398">
        <f t="shared" si="320"/>
        <v>43</v>
      </c>
      <c r="P177" s="400">
        <f>+N177+O177</f>
        <v>2358</v>
      </c>
      <c r="Q177" s="401">
        <f t="shared" ref="Q177:S186" si="321">Q115-Q146</f>
        <v>16</v>
      </c>
      <c r="R177" s="398">
        <f t="shared" si="321"/>
        <v>2028</v>
      </c>
      <c r="S177" s="399">
        <f t="shared" si="321"/>
        <v>153</v>
      </c>
      <c r="T177" s="400">
        <f>+R177+S177</f>
        <v>2181</v>
      </c>
      <c r="U177" s="401">
        <f t="shared" ref="U177:W186" si="322">U115-U146</f>
        <v>5</v>
      </c>
      <c r="V177" s="398">
        <f t="shared" si="322"/>
        <v>1635</v>
      </c>
      <c r="W177" s="399">
        <f t="shared" si="322"/>
        <v>76</v>
      </c>
      <c r="X177" s="400">
        <f>+V177+W177</f>
        <v>1711</v>
      </c>
      <c r="Y177" s="401">
        <f t="shared" ref="Y177:AA186" si="323">Y115-Y146</f>
        <v>4</v>
      </c>
      <c r="Z177" s="398">
        <f t="shared" si="323"/>
        <v>1340</v>
      </c>
      <c r="AA177" s="399">
        <f t="shared" si="323"/>
        <v>7</v>
      </c>
      <c r="AB177" s="400">
        <f>+Z177+AA177</f>
        <v>1347</v>
      </c>
      <c r="AC177" s="401">
        <f t="shared" ref="AC177:AE186" si="324">AC115-AC146</f>
        <v>6</v>
      </c>
      <c r="AD177" s="398">
        <f t="shared" si="324"/>
        <v>2036</v>
      </c>
      <c r="AE177" s="399">
        <f t="shared" si="324"/>
        <v>20</v>
      </c>
      <c r="AF177" s="400">
        <f>+AD177+AE177</f>
        <v>2056</v>
      </c>
      <c r="AG177" s="401">
        <f t="shared" ref="AG177:AI186" si="325">AG115-AG146</f>
        <v>5</v>
      </c>
      <c r="AH177" s="398">
        <f t="shared" si="325"/>
        <v>0</v>
      </c>
      <c r="AI177" s="399">
        <f t="shared" si="325"/>
        <v>0</v>
      </c>
      <c r="AJ177" s="400">
        <f>+AH177+AI177</f>
        <v>0</v>
      </c>
      <c r="AK177" s="401">
        <f t="shared" ref="AK177:AM186" si="326">AK115-AK146</f>
        <v>0</v>
      </c>
      <c r="AL177" s="398">
        <f t="shared" si="326"/>
        <v>0</v>
      </c>
      <c r="AM177" s="399">
        <f t="shared" si="326"/>
        <v>0</v>
      </c>
      <c r="AN177" s="400">
        <f>+AL177+AM177</f>
        <v>0</v>
      </c>
      <c r="AO177" s="401">
        <f t="shared" ref="AO177:AQ186" si="327">AO115-AO146</f>
        <v>0</v>
      </c>
      <c r="AP177" s="398">
        <f t="shared" si="327"/>
        <v>0</v>
      </c>
      <c r="AQ177" s="399">
        <f t="shared" si="327"/>
        <v>0</v>
      </c>
      <c r="AR177" s="400">
        <f>+AP177+AQ177</f>
        <v>0</v>
      </c>
      <c r="AS177" s="401">
        <f t="shared" ref="AS177:AU186" si="328">AS115-AS146</f>
        <v>0</v>
      </c>
      <c r="AT177" s="398">
        <f t="shared" si="328"/>
        <v>0</v>
      </c>
      <c r="AU177" s="399">
        <f t="shared" si="328"/>
        <v>0</v>
      </c>
      <c r="AV177" s="400">
        <f>+AT177+AU177</f>
        <v>0</v>
      </c>
      <c r="AW177" s="401">
        <f t="shared" ref="AW177:AW186" si="329">AW115-AW146</f>
        <v>0</v>
      </c>
      <c r="AX177" s="432">
        <f>B177+F177+J177+N177+R177+V177+Z177+AD177+AH177+AL177+AP177+AT177</f>
        <v>17016</v>
      </c>
      <c r="AY177" s="432">
        <f t="shared" ref="AY177:AY186" si="330">C177+G177+K177+O177+S177+W177+AA177+AE177+AI177+AM177+AQ177+AU177</f>
        <v>549</v>
      </c>
      <c r="AZ177" s="432">
        <f>AX177+AY177</f>
        <v>17565</v>
      </c>
      <c r="BA177" s="432">
        <f t="shared" ref="BA177:BA186" si="331">E177+I177+M177+Q177+U177+Y177+AC177+AG177+AK177+AO177+AS177+AW177</f>
        <v>65</v>
      </c>
      <c r="BC177" s="395">
        <f>AF177</f>
        <v>2056</v>
      </c>
      <c r="BD177" s="395">
        <f>AG177</f>
        <v>5</v>
      </c>
    </row>
    <row r="178" spans="1:73" ht="14.4" thickBot="1">
      <c r="A178" s="397" t="s">
        <v>7</v>
      </c>
      <c r="B178" s="398">
        <f t="shared" si="316"/>
        <v>954</v>
      </c>
      <c r="C178" s="399">
        <f t="shared" si="316"/>
        <v>28</v>
      </c>
      <c r="D178" s="400">
        <f t="shared" si="317"/>
        <v>982</v>
      </c>
      <c r="E178" s="401">
        <f t="shared" si="318"/>
        <v>0</v>
      </c>
      <c r="F178" s="398">
        <f t="shared" si="318"/>
        <v>1454</v>
      </c>
      <c r="G178" s="398">
        <f t="shared" si="318"/>
        <v>39</v>
      </c>
      <c r="H178" s="400">
        <f>+F178+G178</f>
        <v>1493</v>
      </c>
      <c r="I178" s="401">
        <f t="shared" si="319"/>
        <v>3</v>
      </c>
      <c r="J178" s="398">
        <f t="shared" si="319"/>
        <v>1087</v>
      </c>
      <c r="K178" s="398">
        <f t="shared" si="319"/>
        <v>18</v>
      </c>
      <c r="L178" s="400">
        <f>+J178+K178</f>
        <v>1105</v>
      </c>
      <c r="M178" s="401">
        <f t="shared" si="320"/>
        <v>12</v>
      </c>
      <c r="N178" s="398">
        <f t="shared" si="320"/>
        <v>884</v>
      </c>
      <c r="O178" s="398">
        <f t="shared" si="320"/>
        <v>31</v>
      </c>
      <c r="P178" s="400">
        <f>+N178+O178</f>
        <v>915</v>
      </c>
      <c r="Q178" s="401">
        <f t="shared" si="321"/>
        <v>9</v>
      </c>
      <c r="R178" s="398">
        <f t="shared" si="321"/>
        <v>933</v>
      </c>
      <c r="S178" s="399">
        <f t="shared" si="321"/>
        <v>16</v>
      </c>
      <c r="T178" s="400">
        <f>+R178+S178</f>
        <v>949</v>
      </c>
      <c r="U178" s="401">
        <f t="shared" si="322"/>
        <v>7</v>
      </c>
      <c r="V178" s="398">
        <f t="shared" si="322"/>
        <v>1145</v>
      </c>
      <c r="W178" s="399">
        <f t="shared" si="322"/>
        <v>15</v>
      </c>
      <c r="X178" s="400">
        <f>+V178+W178</f>
        <v>1160</v>
      </c>
      <c r="Y178" s="401">
        <f t="shared" si="323"/>
        <v>12</v>
      </c>
      <c r="Z178" s="398">
        <f t="shared" si="323"/>
        <v>812</v>
      </c>
      <c r="AA178" s="399">
        <f t="shared" si="323"/>
        <v>65</v>
      </c>
      <c r="AB178" s="400">
        <f>+Z178+AA178</f>
        <v>877</v>
      </c>
      <c r="AC178" s="401">
        <f t="shared" si="324"/>
        <v>6</v>
      </c>
      <c r="AD178" s="398">
        <f t="shared" si="324"/>
        <v>1184</v>
      </c>
      <c r="AE178" s="399">
        <f t="shared" si="324"/>
        <v>38</v>
      </c>
      <c r="AF178" s="400">
        <f>+AD178+AE178</f>
        <v>1222</v>
      </c>
      <c r="AG178" s="401">
        <f t="shared" si="325"/>
        <v>8</v>
      </c>
      <c r="AH178" s="398">
        <f t="shared" si="325"/>
        <v>0</v>
      </c>
      <c r="AI178" s="399">
        <f t="shared" si="325"/>
        <v>0</v>
      </c>
      <c r="AJ178" s="400">
        <f>+AH178+AI178</f>
        <v>0</v>
      </c>
      <c r="AK178" s="401">
        <f t="shared" si="326"/>
        <v>0</v>
      </c>
      <c r="AL178" s="398">
        <f t="shared" si="326"/>
        <v>0</v>
      </c>
      <c r="AM178" s="399">
        <f t="shared" si="326"/>
        <v>0</v>
      </c>
      <c r="AN178" s="400">
        <f>+AL178+AM178</f>
        <v>0</v>
      </c>
      <c r="AO178" s="401">
        <f t="shared" si="327"/>
        <v>0</v>
      </c>
      <c r="AP178" s="398">
        <f t="shared" si="327"/>
        <v>0</v>
      </c>
      <c r="AQ178" s="399">
        <f t="shared" si="327"/>
        <v>0</v>
      </c>
      <c r="AR178" s="400">
        <f>+AP178+AQ178</f>
        <v>0</v>
      </c>
      <c r="AS178" s="401">
        <f t="shared" si="328"/>
        <v>0</v>
      </c>
      <c r="AT178" s="398">
        <f t="shared" si="328"/>
        <v>0</v>
      </c>
      <c r="AU178" s="399">
        <f t="shared" si="328"/>
        <v>0</v>
      </c>
      <c r="AV178" s="400">
        <f>+AT178+AU178</f>
        <v>0</v>
      </c>
      <c r="AW178" s="401">
        <f t="shared" si="329"/>
        <v>0</v>
      </c>
      <c r="AX178" s="432">
        <f>B178+F178+J178+N178+R178+V178+Z178+AD178+AH178+AL178+AP178+AT178</f>
        <v>8453</v>
      </c>
      <c r="AY178" s="432">
        <f t="shared" si="330"/>
        <v>250</v>
      </c>
      <c r="AZ178" s="432">
        <f t="shared" ref="AZ178:AZ186" si="332">AX178+AY178</f>
        <v>8703</v>
      </c>
      <c r="BA178" s="432">
        <f t="shared" si="331"/>
        <v>57</v>
      </c>
      <c r="BC178" s="395">
        <f t="shared" ref="BC178:BC187" si="333">AF178</f>
        <v>1222</v>
      </c>
      <c r="BD178" s="395">
        <f t="shared" ref="BD178:BD187" si="334">AG178</f>
        <v>8</v>
      </c>
    </row>
    <row r="179" spans="1:73" ht="14.4" thickBot="1">
      <c r="A179" s="397" t="s">
        <v>8</v>
      </c>
      <c r="B179" s="398">
        <f t="shared" si="316"/>
        <v>706</v>
      </c>
      <c r="C179" s="399">
        <f t="shared" si="316"/>
        <v>37</v>
      </c>
      <c r="D179" s="400">
        <f t="shared" si="317"/>
        <v>743</v>
      </c>
      <c r="E179" s="401">
        <f t="shared" si="318"/>
        <v>8</v>
      </c>
      <c r="F179" s="398">
        <f t="shared" si="318"/>
        <v>1462</v>
      </c>
      <c r="G179" s="398">
        <f t="shared" si="318"/>
        <v>44</v>
      </c>
      <c r="H179" s="400">
        <f>+F179+G179</f>
        <v>1506</v>
      </c>
      <c r="I179" s="401">
        <f t="shared" si="319"/>
        <v>6</v>
      </c>
      <c r="J179" s="398">
        <f t="shared" si="319"/>
        <v>1163</v>
      </c>
      <c r="K179" s="398">
        <f t="shared" si="319"/>
        <v>55</v>
      </c>
      <c r="L179" s="400">
        <f>+J179+K179</f>
        <v>1218</v>
      </c>
      <c r="M179" s="401">
        <f t="shared" si="320"/>
        <v>0</v>
      </c>
      <c r="N179" s="398">
        <f t="shared" si="320"/>
        <v>762</v>
      </c>
      <c r="O179" s="398">
        <f t="shared" si="320"/>
        <v>73</v>
      </c>
      <c r="P179" s="400">
        <f>+N179+O179</f>
        <v>835</v>
      </c>
      <c r="Q179" s="401">
        <f t="shared" si="321"/>
        <v>2</v>
      </c>
      <c r="R179" s="398">
        <f t="shared" si="321"/>
        <v>980</v>
      </c>
      <c r="S179" s="399">
        <f t="shared" si="321"/>
        <v>36</v>
      </c>
      <c r="T179" s="400">
        <f>+R179+S179</f>
        <v>1016</v>
      </c>
      <c r="U179" s="401">
        <f t="shared" si="322"/>
        <v>10</v>
      </c>
      <c r="V179" s="398">
        <f t="shared" si="322"/>
        <v>1058</v>
      </c>
      <c r="W179" s="399">
        <f t="shared" si="322"/>
        <v>71</v>
      </c>
      <c r="X179" s="400">
        <f>+V179+W179</f>
        <v>1129</v>
      </c>
      <c r="Y179" s="401">
        <f t="shared" si="323"/>
        <v>9</v>
      </c>
      <c r="Z179" s="398">
        <f t="shared" si="323"/>
        <v>864</v>
      </c>
      <c r="AA179" s="399">
        <f t="shared" si="323"/>
        <v>38</v>
      </c>
      <c r="AB179" s="400">
        <f>+Z179+AA179</f>
        <v>902</v>
      </c>
      <c r="AC179" s="401">
        <f t="shared" si="324"/>
        <v>9</v>
      </c>
      <c r="AD179" s="398">
        <f t="shared" si="324"/>
        <v>1226</v>
      </c>
      <c r="AE179" s="399">
        <f t="shared" si="324"/>
        <v>85</v>
      </c>
      <c r="AF179" s="400">
        <f>+AD179+AE179</f>
        <v>1311</v>
      </c>
      <c r="AG179" s="401">
        <f t="shared" si="325"/>
        <v>3</v>
      </c>
      <c r="AH179" s="398">
        <f t="shared" si="325"/>
        <v>0</v>
      </c>
      <c r="AI179" s="399">
        <f t="shared" si="325"/>
        <v>0</v>
      </c>
      <c r="AJ179" s="400">
        <f>+AH179+AI179</f>
        <v>0</v>
      </c>
      <c r="AK179" s="401">
        <f t="shared" si="326"/>
        <v>0</v>
      </c>
      <c r="AL179" s="398">
        <f t="shared" si="326"/>
        <v>0</v>
      </c>
      <c r="AM179" s="399">
        <f t="shared" si="326"/>
        <v>0</v>
      </c>
      <c r="AN179" s="400">
        <f>+AL179+AM179</f>
        <v>0</v>
      </c>
      <c r="AO179" s="401">
        <f t="shared" si="327"/>
        <v>0</v>
      </c>
      <c r="AP179" s="398">
        <f t="shared" si="327"/>
        <v>0</v>
      </c>
      <c r="AQ179" s="399">
        <f t="shared" si="327"/>
        <v>0</v>
      </c>
      <c r="AR179" s="400">
        <f>+AP179+AQ179</f>
        <v>0</v>
      </c>
      <c r="AS179" s="401">
        <f t="shared" si="328"/>
        <v>0</v>
      </c>
      <c r="AT179" s="398">
        <f t="shared" si="328"/>
        <v>0</v>
      </c>
      <c r="AU179" s="399">
        <f t="shared" si="328"/>
        <v>0</v>
      </c>
      <c r="AV179" s="400">
        <f>+AT179+AU179</f>
        <v>0</v>
      </c>
      <c r="AW179" s="401">
        <f t="shared" si="329"/>
        <v>0</v>
      </c>
      <c r="AX179" s="432">
        <f t="shared" ref="AX179:AX186" si="335">B179+F179+J179+N179+R179+V179+Z179+AD179+AH179+AL179+AP179+AT179</f>
        <v>8221</v>
      </c>
      <c r="AY179" s="432">
        <f t="shared" si="330"/>
        <v>439</v>
      </c>
      <c r="AZ179" s="432">
        <f t="shared" si="332"/>
        <v>8660</v>
      </c>
      <c r="BA179" s="432">
        <f t="shared" si="331"/>
        <v>47</v>
      </c>
      <c r="BC179" s="395">
        <f t="shared" si="333"/>
        <v>1311</v>
      </c>
      <c r="BD179" s="395">
        <f t="shared" si="334"/>
        <v>3</v>
      </c>
    </row>
    <row r="180" spans="1:73" ht="14.4" thickBot="1">
      <c r="A180" s="397" t="s">
        <v>4</v>
      </c>
      <c r="B180" s="398">
        <f t="shared" si="316"/>
        <v>2188</v>
      </c>
      <c r="C180" s="399">
        <f t="shared" si="316"/>
        <v>66</v>
      </c>
      <c r="D180" s="400">
        <f t="shared" si="317"/>
        <v>2254</v>
      </c>
      <c r="E180" s="401">
        <f t="shared" si="318"/>
        <v>6</v>
      </c>
      <c r="F180" s="398">
        <f t="shared" si="318"/>
        <v>1252</v>
      </c>
      <c r="G180" s="398">
        <f t="shared" si="318"/>
        <v>13</v>
      </c>
      <c r="H180" s="400">
        <f t="shared" ref="H180:H186" si="336">+F180+G180</f>
        <v>1265</v>
      </c>
      <c r="I180" s="401">
        <f t="shared" si="319"/>
        <v>2</v>
      </c>
      <c r="J180" s="398">
        <f t="shared" si="319"/>
        <v>1437</v>
      </c>
      <c r="K180" s="398">
        <f t="shared" si="319"/>
        <v>42</v>
      </c>
      <c r="L180" s="400">
        <f t="shared" ref="L180:L186" si="337">+J180+K180</f>
        <v>1479</v>
      </c>
      <c r="M180" s="401">
        <f t="shared" si="320"/>
        <v>3</v>
      </c>
      <c r="N180" s="398">
        <f t="shared" si="320"/>
        <v>2589</v>
      </c>
      <c r="O180" s="398">
        <f t="shared" si="320"/>
        <v>85</v>
      </c>
      <c r="P180" s="400">
        <f t="shared" ref="P180:P186" si="338">+N180+O180</f>
        <v>2674</v>
      </c>
      <c r="Q180" s="401">
        <f t="shared" si="321"/>
        <v>4</v>
      </c>
      <c r="R180" s="398">
        <f t="shared" si="321"/>
        <v>2460</v>
      </c>
      <c r="S180" s="399">
        <f t="shared" si="321"/>
        <v>58</v>
      </c>
      <c r="T180" s="400">
        <f t="shared" ref="T180:T186" si="339">+R180+S180</f>
        <v>2518</v>
      </c>
      <c r="U180" s="401">
        <f t="shared" si="322"/>
        <v>2</v>
      </c>
      <c r="V180" s="398">
        <f t="shared" si="322"/>
        <v>1689</v>
      </c>
      <c r="W180" s="399">
        <f t="shared" si="322"/>
        <v>29</v>
      </c>
      <c r="X180" s="400">
        <f t="shared" ref="X180:X186" si="340">+V180+W180</f>
        <v>1718</v>
      </c>
      <c r="Y180" s="401">
        <f t="shared" si="323"/>
        <v>1</v>
      </c>
      <c r="Z180" s="398">
        <f t="shared" si="323"/>
        <v>1844</v>
      </c>
      <c r="AA180" s="399">
        <f t="shared" si="323"/>
        <v>22</v>
      </c>
      <c r="AB180" s="400">
        <f t="shared" ref="AB180:AB186" si="341">+Z180+AA180</f>
        <v>1866</v>
      </c>
      <c r="AC180" s="401">
        <f t="shared" si="324"/>
        <v>4</v>
      </c>
      <c r="AD180" s="398">
        <f t="shared" si="324"/>
        <v>1759</v>
      </c>
      <c r="AE180" s="399">
        <f t="shared" si="324"/>
        <v>35</v>
      </c>
      <c r="AF180" s="400">
        <f t="shared" ref="AF180:AF186" si="342">+AD180+AE180</f>
        <v>1794</v>
      </c>
      <c r="AG180" s="401">
        <f t="shared" si="325"/>
        <v>3</v>
      </c>
      <c r="AH180" s="398">
        <f t="shared" si="325"/>
        <v>0</v>
      </c>
      <c r="AI180" s="399">
        <f t="shared" si="325"/>
        <v>0</v>
      </c>
      <c r="AJ180" s="400">
        <f t="shared" ref="AJ180:AJ186" si="343">+AH180+AI180</f>
        <v>0</v>
      </c>
      <c r="AK180" s="401">
        <f t="shared" si="326"/>
        <v>0</v>
      </c>
      <c r="AL180" s="398">
        <f t="shared" si="326"/>
        <v>0</v>
      </c>
      <c r="AM180" s="399">
        <f t="shared" si="326"/>
        <v>0</v>
      </c>
      <c r="AN180" s="400">
        <f t="shared" ref="AN180:AN186" si="344">+AL180+AM180</f>
        <v>0</v>
      </c>
      <c r="AO180" s="401">
        <f t="shared" si="327"/>
        <v>0</v>
      </c>
      <c r="AP180" s="398">
        <f t="shared" si="327"/>
        <v>0</v>
      </c>
      <c r="AQ180" s="399">
        <f t="shared" si="327"/>
        <v>0</v>
      </c>
      <c r="AR180" s="400">
        <f t="shared" ref="AR180:AR186" si="345">+AP180+AQ180</f>
        <v>0</v>
      </c>
      <c r="AS180" s="401">
        <f t="shared" si="328"/>
        <v>0</v>
      </c>
      <c r="AT180" s="398">
        <f t="shared" si="328"/>
        <v>0</v>
      </c>
      <c r="AU180" s="399">
        <f t="shared" si="328"/>
        <v>0</v>
      </c>
      <c r="AV180" s="400">
        <f t="shared" ref="AV180:AV186" si="346">+AT180+AU180</f>
        <v>0</v>
      </c>
      <c r="AW180" s="401">
        <f t="shared" si="329"/>
        <v>0</v>
      </c>
      <c r="AX180" s="432">
        <f t="shared" si="335"/>
        <v>15218</v>
      </c>
      <c r="AY180" s="432">
        <f t="shared" si="330"/>
        <v>350</v>
      </c>
      <c r="AZ180" s="432">
        <f t="shared" si="332"/>
        <v>15568</v>
      </c>
      <c r="BA180" s="432">
        <f t="shared" si="331"/>
        <v>25</v>
      </c>
      <c r="BC180" s="395">
        <f t="shared" si="333"/>
        <v>1794</v>
      </c>
      <c r="BD180" s="395">
        <f t="shared" si="334"/>
        <v>3</v>
      </c>
    </row>
    <row r="181" spans="1:73" ht="14.4" thickBot="1">
      <c r="A181" s="397" t="s">
        <v>3</v>
      </c>
      <c r="B181" s="398">
        <f t="shared" si="316"/>
        <v>466</v>
      </c>
      <c r="C181" s="399">
        <f t="shared" si="316"/>
        <v>22</v>
      </c>
      <c r="D181" s="400">
        <f t="shared" si="317"/>
        <v>488</v>
      </c>
      <c r="E181" s="401">
        <f t="shared" si="318"/>
        <v>28</v>
      </c>
      <c r="F181" s="398">
        <f t="shared" si="318"/>
        <v>506</v>
      </c>
      <c r="G181" s="398">
        <f t="shared" si="318"/>
        <v>31</v>
      </c>
      <c r="H181" s="400">
        <f t="shared" si="336"/>
        <v>537</v>
      </c>
      <c r="I181" s="401">
        <f t="shared" si="319"/>
        <v>29</v>
      </c>
      <c r="J181" s="398">
        <f t="shared" si="319"/>
        <v>642</v>
      </c>
      <c r="K181" s="398">
        <f t="shared" si="319"/>
        <v>41</v>
      </c>
      <c r="L181" s="400">
        <f t="shared" si="337"/>
        <v>683</v>
      </c>
      <c r="M181" s="401">
        <f t="shared" si="320"/>
        <v>36</v>
      </c>
      <c r="N181" s="398">
        <f t="shared" si="320"/>
        <v>631</v>
      </c>
      <c r="O181" s="398">
        <f t="shared" si="320"/>
        <v>12</v>
      </c>
      <c r="P181" s="400">
        <f t="shared" si="338"/>
        <v>643</v>
      </c>
      <c r="Q181" s="401">
        <f t="shared" si="321"/>
        <v>19</v>
      </c>
      <c r="R181" s="398">
        <f t="shared" si="321"/>
        <v>655</v>
      </c>
      <c r="S181" s="399">
        <f t="shared" si="321"/>
        <v>32</v>
      </c>
      <c r="T181" s="400">
        <f t="shared" si="339"/>
        <v>687</v>
      </c>
      <c r="U181" s="401">
        <f t="shared" si="322"/>
        <v>31</v>
      </c>
      <c r="V181" s="398">
        <f t="shared" si="322"/>
        <v>773</v>
      </c>
      <c r="W181" s="399">
        <f t="shared" si="322"/>
        <v>20</v>
      </c>
      <c r="X181" s="400">
        <f t="shared" si="340"/>
        <v>793</v>
      </c>
      <c r="Y181" s="401">
        <f t="shared" si="323"/>
        <v>18</v>
      </c>
      <c r="Z181" s="398">
        <f t="shared" si="323"/>
        <v>728</v>
      </c>
      <c r="AA181" s="399">
        <f t="shared" si="323"/>
        <v>151</v>
      </c>
      <c r="AB181" s="400">
        <f t="shared" si="341"/>
        <v>879</v>
      </c>
      <c r="AC181" s="401">
        <f t="shared" si="324"/>
        <v>20</v>
      </c>
      <c r="AD181" s="398">
        <f t="shared" si="324"/>
        <v>772</v>
      </c>
      <c r="AE181" s="399">
        <f t="shared" si="324"/>
        <v>16</v>
      </c>
      <c r="AF181" s="400">
        <f t="shared" si="342"/>
        <v>788</v>
      </c>
      <c r="AG181" s="401">
        <f t="shared" si="325"/>
        <v>20</v>
      </c>
      <c r="AH181" s="398">
        <f t="shared" si="325"/>
        <v>0</v>
      </c>
      <c r="AI181" s="399">
        <f t="shared" si="325"/>
        <v>0</v>
      </c>
      <c r="AJ181" s="400">
        <f t="shared" si="343"/>
        <v>0</v>
      </c>
      <c r="AK181" s="401">
        <f t="shared" si="326"/>
        <v>0</v>
      </c>
      <c r="AL181" s="398">
        <f t="shared" si="326"/>
        <v>0</v>
      </c>
      <c r="AM181" s="399">
        <f t="shared" si="326"/>
        <v>0</v>
      </c>
      <c r="AN181" s="400">
        <f t="shared" si="344"/>
        <v>0</v>
      </c>
      <c r="AO181" s="401">
        <f t="shared" si="327"/>
        <v>0</v>
      </c>
      <c r="AP181" s="398">
        <f t="shared" si="327"/>
        <v>0</v>
      </c>
      <c r="AQ181" s="399">
        <f t="shared" si="327"/>
        <v>0</v>
      </c>
      <c r="AR181" s="400">
        <f t="shared" si="345"/>
        <v>0</v>
      </c>
      <c r="AS181" s="401">
        <f t="shared" si="328"/>
        <v>0</v>
      </c>
      <c r="AT181" s="398">
        <f t="shared" si="328"/>
        <v>0</v>
      </c>
      <c r="AU181" s="399">
        <f t="shared" si="328"/>
        <v>0</v>
      </c>
      <c r="AV181" s="400">
        <f t="shared" si="346"/>
        <v>0</v>
      </c>
      <c r="AW181" s="401">
        <f t="shared" si="329"/>
        <v>0</v>
      </c>
      <c r="AX181" s="432">
        <f t="shared" si="335"/>
        <v>5173</v>
      </c>
      <c r="AY181" s="432">
        <f t="shared" si="330"/>
        <v>325</v>
      </c>
      <c r="AZ181" s="432">
        <f t="shared" si="332"/>
        <v>5498</v>
      </c>
      <c r="BA181" s="432">
        <f t="shared" si="331"/>
        <v>201</v>
      </c>
      <c r="BC181" s="395">
        <f t="shared" si="333"/>
        <v>788</v>
      </c>
      <c r="BD181" s="395">
        <f t="shared" si="334"/>
        <v>20</v>
      </c>
    </row>
    <row r="182" spans="1:73" ht="14.4" thickBot="1">
      <c r="A182" s="397" t="s">
        <v>397</v>
      </c>
      <c r="B182" s="398">
        <f t="shared" si="316"/>
        <v>572</v>
      </c>
      <c r="C182" s="399">
        <f t="shared" si="316"/>
        <v>74</v>
      </c>
      <c r="D182" s="400">
        <f t="shared" si="317"/>
        <v>646</v>
      </c>
      <c r="E182" s="401">
        <f t="shared" si="318"/>
        <v>1</v>
      </c>
      <c r="F182" s="398">
        <f t="shared" si="318"/>
        <v>677</v>
      </c>
      <c r="G182" s="398">
        <f t="shared" si="318"/>
        <v>18</v>
      </c>
      <c r="H182" s="400">
        <f t="shared" si="336"/>
        <v>695</v>
      </c>
      <c r="I182" s="401">
        <f t="shared" si="319"/>
        <v>4</v>
      </c>
      <c r="J182" s="398">
        <f t="shared" si="319"/>
        <v>786</v>
      </c>
      <c r="K182" s="398">
        <f t="shared" si="319"/>
        <v>31</v>
      </c>
      <c r="L182" s="400">
        <f t="shared" si="337"/>
        <v>817</v>
      </c>
      <c r="M182" s="401">
        <f t="shared" si="320"/>
        <v>6</v>
      </c>
      <c r="N182" s="398">
        <f t="shared" si="320"/>
        <v>920</v>
      </c>
      <c r="O182" s="398">
        <f t="shared" si="320"/>
        <v>21</v>
      </c>
      <c r="P182" s="400">
        <f t="shared" si="338"/>
        <v>941</v>
      </c>
      <c r="Q182" s="401">
        <f t="shared" si="321"/>
        <v>2</v>
      </c>
      <c r="R182" s="398">
        <f t="shared" si="321"/>
        <v>917</v>
      </c>
      <c r="S182" s="399">
        <f t="shared" si="321"/>
        <v>21</v>
      </c>
      <c r="T182" s="400">
        <f t="shared" si="339"/>
        <v>938</v>
      </c>
      <c r="U182" s="401">
        <f t="shared" si="322"/>
        <v>11</v>
      </c>
      <c r="V182" s="398">
        <f t="shared" si="322"/>
        <v>640</v>
      </c>
      <c r="W182" s="399">
        <f t="shared" si="322"/>
        <v>38</v>
      </c>
      <c r="X182" s="400">
        <f t="shared" si="340"/>
        <v>678</v>
      </c>
      <c r="Y182" s="401">
        <f t="shared" si="323"/>
        <v>10</v>
      </c>
      <c r="Z182" s="398">
        <f t="shared" si="323"/>
        <v>799</v>
      </c>
      <c r="AA182" s="399">
        <f t="shared" si="323"/>
        <v>63</v>
      </c>
      <c r="AB182" s="400">
        <f t="shared" si="341"/>
        <v>862</v>
      </c>
      <c r="AC182" s="401">
        <f t="shared" si="324"/>
        <v>11</v>
      </c>
      <c r="AD182" s="398">
        <f t="shared" si="324"/>
        <v>801</v>
      </c>
      <c r="AE182" s="399">
        <f t="shared" si="324"/>
        <v>26</v>
      </c>
      <c r="AF182" s="400">
        <f t="shared" si="342"/>
        <v>827</v>
      </c>
      <c r="AG182" s="401">
        <f t="shared" si="325"/>
        <v>0</v>
      </c>
      <c r="AH182" s="398">
        <f t="shared" si="325"/>
        <v>0</v>
      </c>
      <c r="AI182" s="399">
        <f t="shared" si="325"/>
        <v>0</v>
      </c>
      <c r="AJ182" s="400">
        <f t="shared" si="343"/>
        <v>0</v>
      </c>
      <c r="AK182" s="401">
        <f t="shared" si="326"/>
        <v>0</v>
      </c>
      <c r="AL182" s="398">
        <f t="shared" si="326"/>
        <v>0</v>
      </c>
      <c r="AM182" s="399">
        <f t="shared" si="326"/>
        <v>0</v>
      </c>
      <c r="AN182" s="400">
        <f t="shared" si="344"/>
        <v>0</v>
      </c>
      <c r="AO182" s="401">
        <f t="shared" si="327"/>
        <v>0</v>
      </c>
      <c r="AP182" s="398">
        <f t="shared" si="327"/>
        <v>0</v>
      </c>
      <c r="AQ182" s="399">
        <f t="shared" si="327"/>
        <v>0</v>
      </c>
      <c r="AR182" s="400">
        <f t="shared" si="345"/>
        <v>0</v>
      </c>
      <c r="AS182" s="401">
        <f t="shared" si="328"/>
        <v>0</v>
      </c>
      <c r="AT182" s="398">
        <f t="shared" si="328"/>
        <v>0</v>
      </c>
      <c r="AU182" s="399">
        <f t="shared" si="328"/>
        <v>0</v>
      </c>
      <c r="AV182" s="400">
        <f t="shared" si="346"/>
        <v>0</v>
      </c>
      <c r="AW182" s="401">
        <f t="shared" si="329"/>
        <v>0</v>
      </c>
      <c r="AX182" s="432">
        <f t="shared" si="335"/>
        <v>6112</v>
      </c>
      <c r="AY182" s="432">
        <f t="shared" si="330"/>
        <v>292</v>
      </c>
      <c r="AZ182" s="432">
        <f t="shared" si="332"/>
        <v>6404</v>
      </c>
      <c r="BA182" s="432">
        <f t="shared" si="331"/>
        <v>45</v>
      </c>
      <c r="BC182" s="395">
        <f t="shared" si="333"/>
        <v>827</v>
      </c>
      <c r="BD182" s="395">
        <f t="shared" si="334"/>
        <v>0</v>
      </c>
    </row>
    <row r="183" spans="1:73" ht="14.4" thickBot="1">
      <c r="A183" s="397" t="s">
        <v>399</v>
      </c>
      <c r="B183" s="398">
        <f t="shared" si="316"/>
        <v>832</v>
      </c>
      <c r="C183" s="399">
        <f t="shared" si="316"/>
        <v>47</v>
      </c>
      <c r="D183" s="400">
        <f t="shared" si="317"/>
        <v>879</v>
      </c>
      <c r="E183" s="401">
        <f t="shared" si="318"/>
        <v>2</v>
      </c>
      <c r="F183" s="398">
        <f t="shared" si="318"/>
        <v>1360</v>
      </c>
      <c r="G183" s="398">
        <f t="shared" si="318"/>
        <v>39</v>
      </c>
      <c r="H183" s="400">
        <f t="shared" si="336"/>
        <v>1399</v>
      </c>
      <c r="I183" s="401">
        <f t="shared" si="319"/>
        <v>3</v>
      </c>
      <c r="J183" s="398">
        <f t="shared" si="319"/>
        <v>2601</v>
      </c>
      <c r="K183" s="398">
        <f t="shared" si="319"/>
        <v>28</v>
      </c>
      <c r="L183" s="400">
        <f t="shared" si="337"/>
        <v>2629</v>
      </c>
      <c r="M183" s="401">
        <f t="shared" si="320"/>
        <v>5</v>
      </c>
      <c r="N183" s="398">
        <f t="shared" si="320"/>
        <v>1592</v>
      </c>
      <c r="O183" s="398">
        <f t="shared" si="320"/>
        <v>33</v>
      </c>
      <c r="P183" s="400">
        <f t="shared" si="338"/>
        <v>1625</v>
      </c>
      <c r="Q183" s="401">
        <f t="shared" si="321"/>
        <v>4</v>
      </c>
      <c r="R183" s="398">
        <f t="shared" si="321"/>
        <v>2091</v>
      </c>
      <c r="S183" s="399">
        <f t="shared" si="321"/>
        <v>14</v>
      </c>
      <c r="T183" s="400">
        <f t="shared" si="339"/>
        <v>2105</v>
      </c>
      <c r="U183" s="401">
        <f t="shared" si="322"/>
        <v>3</v>
      </c>
      <c r="V183" s="398">
        <f t="shared" si="322"/>
        <v>1653</v>
      </c>
      <c r="W183" s="399">
        <f t="shared" si="322"/>
        <v>40</v>
      </c>
      <c r="X183" s="400">
        <f t="shared" si="340"/>
        <v>1693</v>
      </c>
      <c r="Y183" s="401">
        <f t="shared" si="323"/>
        <v>5</v>
      </c>
      <c r="Z183" s="398">
        <f t="shared" si="323"/>
        <v>1074</v>
      </c>
      <c r="AA183" s="399">
        <f t="shared" si="323"/>
        <v>71</v>
      </c>
      <c r="AB183" s="400">
        <f t="shared" si="341"/>
        <v>1145</v>
      </c>
      <c r="AC183" s="401">
        <f t="shared" si="324"/>
        <v>2</v>
      </c>
      <c r="AD183" s="398">
        <f t="shared" si="324"/>
        <v>1435</v>
      </c>
      <c r="AE183" s="399">
        <f t="shared" si="324"/>
        <v>24</v>
      </c>
      <c r="AF183" s="400">
        <f t="shared" si="342"/>
        <v>1459</v>
      </c>
      <c r="AG183" s="401">
        <f t="shared" si="325"/>
        <v>12</v>
      </c>
      <c r="AH183" s="398">
        <f t="shared" si="325"/>
        <v>0</v>
      </c>
      <c r="AI183" s="399">
        <f t="shared" si="325"/>
        <v>0</v>
      </c>
      <c r="AJ183" s="400">
        <f t="shared" si="343"/>
        <v>0</v>
      </c>
      <c r="AK183" s="401">
        <f t="shared" si="326"/>
        <v>0</v>
      </c>
      <c r="AL183" s="398">
        <f t="shared" si="326"/>
        <v>0</v>
      </c>
      <c r="AM183" s="399">
        <f t="shared" si="326"/>
        <v>0</v>
      </c>
      <c r="AN183" s="400">
        <f t="shared" si="344"/>
        <v>0</v>
      </c>
      <c r="AO183" s="401">
        <f t="shared" si="327"/>
        <v>0</v>
      </c>
      <c r="AP183" s="398">
        <f t="shared" si="327"/>
        <v>0</v>
      </c>
      <c r="AQ183" s="399">
        <f t="shared" si="327"/>
        <v>0</v>
      </c>
      <c r="AR183" s="400">
        <f t="shared" si="345"/>
        <v>0</v>
      </c>
      <c r="AS183" s="401">
        <f t="shared" si="328"/>
        <v>0</v>
      </c>
      <c r="AT183" s="398">
        <f t="shared" si="328"/>
        <v>0</v>
      </c>
      <c r="AU183" s="399">
        <f t="shared" si="328"/>
        <v>0</v>
      </c>
      <c r="AV183" s="400">
        <f t="shared" si="346"/>
        <v>0</v>
      </c>
      <c r="AW183" s="401">
        <f t="shared" si="329"/>
        <v>0</v>
      </c>
      <c r="AX183" s="432">
        <f t="shared" si="335"/>
        <v>12638</v>
      </c>
      <c r="AY183" s="432">
        <f t="shared" si="330"/>
        <v>296</v>
      </c>
      <c r="AZ183" s="432">
        <f t="shared" si="332"/>
        <v>12934</v>
      </c>
      <c r="BA183" s="432">
        <f t="shared" si="331"/>
        <v>36</v>
      </c>
      <c r="BC183" s="395">
        <f t="shared" si="333"/>
        <v>1459</v>
      </c>
      <c r="BD183" s="395">
        <f t="shared" si="334"/>
        <v>12</v>
      </c>
    </row>
    <row r="184" spans="1:73" ht="14.4" thickBot="1">
      <c r="A184" s="397" t="s">
        <v>883</v>
      </c>
      <c r="B184" s="398">
        <f t="shared" si="316"/>
        <v>354</v>
      </c>
      <c r="C184" s="399">
        <f t="shared" si="316"/>
        <v>31</v>
      </c>
      <c r="D184" s="400">
        <f>+B184+C184</f>
        <v>385</v>
      </c>
      <c r="E184" s="401">
        <f t="shared" si="318"/>
        <v>5</v>
      </c>
      <c r="F184" s="398">
        <f t="shared" si="318"/>
        <v>854</v>
      </c>
      <c r="G184" s="398">
        <f t="shared" si="318"/>
        <v>12</v>
      </c>
      <c r="H184" s="400">
        <f t="shared" si="336"/>
        <v>866</v>
      </c>
      <c r="I184" s="401">
        <f t="shared" si="319"/>
        <v>9</v>
      </c>
      <c r="J184" s="398">
        <f t="shared" si="319"/>
        <v>797</v>
      </c>
      <c r="K184" s="398">
        <f t="shared" si="319"/>
        <v>18</v>
      </c>
      <c r="L184" s="400">
        <f t="shared" si="337"/>
        <v>815</v>
      </c>
      <c r="M184" s="401">
        <f t="shared" si="320"/>
        <v>5</v>
      </c>
      <c r="N184" s="398">
        <f t="shared" si="320"/>
        <v>574</v>
      </c>
      <c r="O184" s="398">
        <f t="shared" si="320"/>
        <v>16</v>
      </c>
      <c r="P184" s="400">
        <f t="shared" si="338"/>
        <v>590</v>
      </c>
      <c r="Q184" s="401">
        <f t="shared" si="321"/>
        <v>7</v>
      </c>
      <c r="R184" s="398">
        <f t="shared" si="321"/>
        <v>1048</v>
      </c>
      <c r="S184" s="399">
        <f t="shared" si="321"/>
        <v>20</v>
      </c>
      <c r="T184" s="400">
        <f t="shared" si="339"/>
        <v>1068</v>
      </c>
      <c r="U184" s="401">
        <f t="shared" si="322"/>
        <v>10</v>
      </c>
      <c r="V184" s="398">
        <f t="shared" si="322"/>
        <v>650</v>
      </c>
      <c r="W184" s="399">
        <f t="shared" si="322"/>
        <v>19</v>
      </c>
      <c r="X184" s="400">
        <f t="shared" si="340"/>
        <v>669</v>
      </c>
      <c r="Y184" s="401">
        <f t="shared" si="323"/>
        <v>9</v>
      </c>
      <c r="Z184" s="398">
        <f t="shared" si="323"/>
        <v>895</v>
      </c>
      <c r="AA184" s="399">
        <f t="shared" si="323"/>
        <v>43</v>
      </c>
      <c r="AB184" s="400">
        <f t="shared" si="341"/>
        <v>938</v>
      </c>
      <c r="AC184" s="401">
        <f t="shared" si="324"/>
        <v>8</v>
      </c>
      <c r="AD184" s="398">
        <f t="shared" si="324"/>
        <v>546</v>
      </c>
      <c r="AE184" s="399">
        <f t="shared" si="324"/>
        <v>27</v>
      </c>
      <c r="AF184" s="400">
        <f t="shared" si="342"/>
        <v>573</v>
      </c>
      <c r="AG184" s="401">
        <f t="shared" si="325"/>
        <v>13</v>
      </c>
      <c r="AH184" s="398">
        <f t="shared" si="325"/>
        <v>0</v>
      </c>
      <c r="AI184" s="399">
        <f t="shared" si="325"/>
        <v>0</v>
      </c>
      <c r="AJ184" s="400">
        <f t="shared" si="343"/>
        <v>0</v>
      </c>
      <c r="AK184" s="401">
        <f t="shared" si="326"/>
        <v>0</v>
      </c>
      <c r="AL184" s="398">
        <f t="shared" si="326"/>
        <v>0</v>
      </c>
      <c r="AM184" s="399">
        <f t="shared" si="326"/>
        <v>0</v>
      </c>
      <c r="AN184" s="400">
        <f t="shared" si="344"/>
        <v>0</v>
      </c>
      <c r="AO184" s="401">
        <f t="shared" si="327"/>
        <v>0</v>
      </c>
      <c r="AP184" s="398">
        <f t="shared" si="327"/>
        <v>0</v>
      </c>
      <c r="AQ184" s="399">
        <f t="shared" si="327"/>
        <v>0</v>
      </c>
      <c r="AR184" s="400">
        <f t="shared" si="345"/>
        <v>0</v>
      </c>
      <c r="AS184" s="401">
        <f t="shared" si="328"/>
        <v>0</v>
      </c>
      <c r="AT184" s="398">
        <f t="shared" si="328"/>
        <v>0</v>
      </c>
      <c r="AU184" s="399">
        <f t="shared" si="328"/>
        <v>0</v>
      </c>
      <c r="AV184" s="400">
        <f t="shared" si="346"/>
        <v>0</v>
      </c>
      <c r="AW184" s="401">
        <f t="shared" si="329"/>
        <v>0</v>
      </c>
      <c r="AX184" s="432">
        <f t="shared" si="335"/>
        <v>5718</v>
      </c>
      <c r="AY184" s="432">
        <f t="shared" si="330"/>
        <v>186</v>
      </c>
      <c r="AZ184" s="432">
        <f t="shared" si="332"/>
        <v>5904</v>
      </c>
      <c r="BA184" s="432">
        <f t="shared" si="331"/>
        <v>66</v>
      </c>
      <c r="BC184" s="395">
        <f t="shared" si="333"/>
        <v>573</v>
      </c>
      <c r="BD184" s="395">
        <f t="shared" si="334"/>
        <v>13</v>
      </c>
    </row>
    <row r="185" spans="1:73" ht="14.4" thickBot="1">
      <c r="A185" s="397" t="s">
        <v>884</v>
      </c>
      <c r="B185" s="398">
        <f t="shared" si="316"/>
        <v>647</v>
      </c>
      <c r="C185" s="399">
        <f t="shared" si="316"/>
        <v>27</v>
      </c>
      <c r="D185" s="400">
        <f>+B185+C185</f>
        <v>674</v>
      </c>
      <c r="E185" s="401">
        <f t="shared" si="318"/>
        <v>3</v>
      </c>
      <c r="F185" s="398">
        <f t="shared" si="318"/>
        <v>625</v>
      </c>
      <c r="G185" s="398">
        <f t="shared" si="318"/>
        <v>48</v>
      </c>
      <c r="H185" s="400">
        <f t="shared" si="336"/>
        <v>673</v>
      </c>
      <c r="I185" s="401">
        <f t="shared" si="319"/>
        <v>7</v>
      </c>
      <c r="J185" s="398">
        <f t="shared" si="319"/>
        <v>1990</v>
      </c>
      <c r="K185" s="398">
        <f t="shared" si="319"/>
        <v>75</v>
      </c>
      <c r="L185" s="400">
        <f t="shared" si="337"/>
        <v>2065</v>
      </c>
      <c r="M185" s="401">
        <f t="shared" si="320"/>
        <v>6</v>
      </c>
      <c r="N185" s="398">
        <f t="shared" si="320"/>
        <v>713</v>
      </c>
      <c r="O185" s="398">
        <f t="shared" si="320"/>
        <v>27</v>
      </c>
      <c r="P185" s="400">
        <f t="shared" si="338"/>
        <v>740</v>
      </c>
      <c r="Q185" s="401">
        <f t="shared" si="321"/>
        <v>12</v>
      </c>
      <c r="R185" s="398">
        <f t="shared" si="321"/>
        <v>960</v>
      </c>
      <c r="S185" s="399">
        <f t="shared" si="321"/>
        <v>32</v>
      </c>
      <c r="T185" s="400">
        <f t="shared" si="339"/>
        <v>992</v>
      </c>
      <c r="U185" s="401">
        <f t="shared" si="322"/>
        <v>10</v>
      </c>
      <c r="V185" s="398">
        <f t="shared" si="322"/>
        <v>1009</v>
      </c>
      <c r="W185" s="399">
        <f t="shared" si="322"/>
        <v>29</v>
      </c>
      <c r="X185" s="400">
        <f t="shared" si="340"/>
        <v>1038</v>
      </c>
      <c r="Y185" s="401">
        <f t="shared" si="323"/>
        <v>4</v>
      </c>
      <c r="Z185" s="398">
        <f t="shared" si="323"/>
        <v>1181</v>
      </c>
      <c r="AA185" s="399">
        <f t="shared" si="323"/>
        <v>26</v>
      </c>
      <c r="AB185" s="400">
        <f t="shared" si="341"/>
        <v>1207</v>
      </c>
      <c r="AC185" s="401">
        <f t="shared" si="324"/>
        <v>5</v>
      </c>
      <c r="AD185" s="398">
        <f t="shared" si="324"/>
        <v>1449</v>
      </c>
      <c r="AE185" s="399">
        <f t="shared" si="324"/>
        <v>39</v>
      </c>
      <c r="AF185" s="400">
        <f t="shared" si="342"/>
        <v>1488</v>
      </c>
      <c r="AG185" s="401">
        <f t="shared" si="325"/>
        <v>9</v>
      </c>
      <c r="AH185" s="398">
        <f t="shared" si="325"/>
        <v>0</v>
      </c>
      <c r="AI185" s="399">
        <f t="shared" si="325"/>
        <v>0</v>
      </c>
      <c r="AJ185" s="400">
        <f t="shared" si="343"/>
        <v>0</v>
      </c>
      <c r="AK185" s="401">
        <f t="shared" si="326"/>
        <v>0</v>
      </c>
      <c r="AL185" s="398">
        <f t="shared" si="326"/>
        <v>0</v>
      </c>
      <c r="AM185" s="399">
        <f t="shared" si="326"/>
        <v>0</v>
      </c>
      <c r="AN185" s="400">
        <f t="shared" si="344"/>
        <v>0</v>
      </c>
      <c r="AO185" s="401">
        <f t="shared" si="327"/>
        <v>0</v>
      </c>
      <c r="AP185" s="398">
        <f t="shared" si="327"/>
        <v>0</v>
      </c>
      <c r="AQ185" s="399">
        <f t="shared" si="327"/>
        <v>0</v>
      </c>
      <c r="AR185" s="400">
        <f t="shared" si="345"/>
        <v>0</v>
      </c>
      <c r="AS185" s="401">
        <f t="shared" si="328"/>
        <v>0</v>
      </c>
      <c r="AT185" s="398">
        <f t="shared" si="328"/>
        <v>0</v>
      </c>
      <c r="AU185" s="399">
        <f t="shared" si="328"/>
        <v>0</v>
      </c>
      <c r="AV185" s="400">
        <f t="shared" si="346"/>
        <v>0</v>
      </c>
      <c r="AW185" s="401">
        <f t="shared" si="329"/>
        <v>0</v>
      </c>
      <c r="AX185" s="432">
        <f t="shared" si="335"/>
        <v>8574</v>
      </c>
      <c r="AY185" s="432">
        <f t="shared" si="330"/>
        <v>303</v>
      </c>
      <c r="AZ185" s="432">
        <f t="shared" si="332"/>
        <v>8877</v>
      </c>
      <c r="BA185" s="432">
        <f t="shared" si="331"/>
        <v>56</v>
      </c>
      <c r="BC185" s="395">
        <f t="shared" si="333"/>
        <v>1488</v>
      </c>
      <c r="BD185" s="395">
        <f t="shared" si="334"/>
        <v>9</v>
      </c>
    </row>
    <row r="186" spans="1:73" ht="14.4" thickBot="1">
      <c r="A186" s="397" t="s">
        <v>885</v>
      </c>
      <c r="B186" s="398">
        <f t="shared" si="316"/>
        <v>376</v>
      </c>
      <c r="C186" s="399">
        <f t="shared" si="316"/>
        <v>5</v>
      </c>
      <c r="D186" s="400">
        <f>+B186+C186</f>
        <v>381</v>
      </c>
      <c r="E186" s="401">
        <f t="shared" si="318"/>
        <v>1</v>
      </c>
      <c r="F186" s="398">
        <f t="shared" si="318"/>
        <v>666</v>
      </c>
      <c r="G186" s="398">
        <f t="shared" si="318"/>
        <v>29</v>
      </c>
      <c r="H186" s="400">
        <f t="shared" si="336"/>
        <v>695</v>
      </c>
      <c r="I186" s="401">
        <f t="shared" si="319"/>
        <v>0</v>
      </c>
      <c r="J186" s="398">
        <f t="shared" si="319"/>
        <v>1177</v>
      </c>
      <c r="K186" s="398">
        <f t="shared" si="319"/>
        <v>60</v>
      </c>
      <c r="L186" s="400">
        <f t="shared" si="337"/>
        <v>1237</v>
      </c>
      <c r="M186" s="401">
        <f t="shared" si="320"/>
        <v>0</v>
      </c>
      <c r="N186" s="398">
        <f t="shared" si="320"/>
        <v>863</v>
      </c>
      <c r="O186" s="398">
        <f t="shared" si="320"/>
        <v>34</v>
      </c>
      <c r="P186" s="400">
        <f t="shared" si="338"/>
        <v>897</v>
      </c>
      <c r="Q186" s="401">
        <f t="shared" si="321"/>
        <v>0</v>
      </c>
      <c r="R186" s="398">
        <f t="shared" si="321"/>
        <v>956</v>
      </c>
      <c r="S186" s="399">
        <f t="shared" si="321"/>
        <v>12</v>
      </c>
      <c r="T186" s="400">
        <f t="shared" si="339"/>
        <v>968</v>
      </c>
      <c r="U186" s="401">
        <f t="shared" si="322"/>
        <v>0</v>
      </c>
      <c r="V186" s="398">
        <f t="shared" si="322"/>
        <v>367</v>
      </c>
      <c r="W186" s="399">
        <f t="shared" si="322"/>
        <v>24</v>
      </c>
      <c r="X186" s="400">
        <f t="shared" si="340"/>
        <v>391</v>
      </c>
      <c r="Y186" s="401">
        <f t="shared" si="323"/>
        <v>2</v>
      </c>
      <c r="Z186" s="398">
        <f t="shared" si="323"/>
        <v>301</v>
      </c>
      <c r="AA186" s="399">
        <f t="shared" si="323"/>
        <v>19</v>
      </c>
      <c r="AB186" s="400">
        <f t="shared" si="341"/>
        <v>320</v>
      </c>
      <c r="AC186" s="401">
        <f t="shared" si="324"/>
        <v>0</v>
      </c>
      <c r="AD186" s="398">
        <f t="shared" si="324"/>
        <v>239</v>
      </c>
      <c r="AE186" s="399">
        <f t="shared" si="324"/>
        <v>13</v>
      </c>
      <c r="AF186" s="400">
        <f t="shared" si="342"/>
        <v>252</v>
      </c>
      <c r="AG186" s="401">
        <f t="shared" si="325"/>
        <v>1</v>
      </c>
      <c r="AH186" s="398">
        <f t="shared" si="325"/>
        <v>0</v>
      </c>
      <c r="AI186" s="399">
        <f t="shared" si="325"/>
        <v>0</v>
      </c>
      <c r="AJ186" s="400">
        <f t="shared" si="343"/>
        <v>0</v>
      </c>
      <c r="AK186" s="401">
        <f t="shared" si="326"/>
        <v>0</v>
      </c>
      <c r="AL186" s="398">
        <f t="shared" si="326"/>
        <v>0</v>
      </c>
      <c r="AM186" s="399">
        <f t="shared" si="326"/>
        <v>0</v>
      </c>
      <c r="AN186" s="400">
        <f t="shared" si="344"/>
        <v>0</v>
      </c>
      <c r="AO186" s="401">
        <f t="shared" si="327"/>
        <v>0</v>
      </c>
      <c r="AP186" s="398">
        <f t="shared" si="327"/>
        <v>0</v>
      </c>
      <c r="AQ186" s="399">
        <f t="shared" si="327"/>
        <v>0</v>
      </c>
      <c r="AR186" s="400">
        <f t="shared" si="345"/>
        <v>0</v>
      </c>
      <c r="AS186" s="401">
        <f t="shared" si="328"/>
        <v>0</v>
      </c>
      <c r="AT186" s="398">
        <f t="shared" si="328"/>
        <v>0</v>
      </c>
      <c r="AU186" s="399">
        <f t="shared" si="328"/>
        <v>0</v>
      </c>
      <c r="AV186" s="400">
        <f t="shared" si="346"/>
        <v>0</v>
      </c>
      <c r="AW186" s="401">
        <f t="shared" si="329"/>
        <v>0</v>
      </c>
      <c r="AX186" s="432">
        <f t="shared" si="335"/>
        <v>4945</v>
      </c>
      <c r="AY186" s="432">
        <f t="shared" si="330"/>
        <v>196</v>
      </c>
      <c r="AZ186" s="432">
        <f t="shared" si="332"/>
        <v>5141</v>
      </c>
      <c r="BA186" s="432">
        <f t="shared" si="331"/>
        <v>4</v>
      </c>
      <c r="BC186" s="395">
        <f t="shared" si="333"/>
        <v>252</v>
      </c>
      <c r="BD186" s="395">
        <f t="shared" si="334"/>
        <v>1</v>
      </c>
    </row>
    <row r="187" spans="1:73" ht="14.4" thickBot="1">
      <c r="A187" s="433" t="s">
        <v>16</v>
      </c>
      <c r="B187" s="417">
        <f t="shared" ref="B187:AG187" si="347">SUM(B177:B186)</f>
        <v>9263</v>
      </c>
      <c r="C187" s="419">
        <f t="shared" si="347"/>
        <v>384</v>
      </c>
      <c r="D187" s="419">
        <f t="shared" si="347"/>
        <v>9647</v>
      </c>
      <c r="E187" s="420">
        <f t="shared" si="347"/>
        <v>58</v>
      </c>
      <c r="F187" s="417">
        <f t="shared" si="347"/>
        <v>12158</v>
      </c>
      <c r="G187" s="419">
        <f t="shared" si="347"/>
        <v>430</v>
      </c>
      <c r="H187" s="419">
        <f t="shared" si="347"/>
        <v>12588</v>
      </c>
      <c r="I187" s="420">
        <f t="shared" si="347"/>
        <v>76</v>
      </c>
      <c r="J187" s="417">
        <f t="shared" si="347"/>
        <v>13872</v>
      </c>
      <c r="K187" s="419">
        <f t="shared" si="347"/>
        <v>414</v>
      </c>
      <c r="L187" s="419">
        <f t="shared" si="347"/>
        <v>14286</v>
      </c>
      <c r="M187" s="420">
        <f t="shared" si="347"/>
        <v>85</v>
      </c>
      <c r="N187" s="417">
        <f t="shared" si="347"/>
        <v>11843</v>
      </c>
      <c r="O187" s="419">
        <f t="shared" si="347"/>
        <v>375</v>
      </c>
      <c r="P187" s="419">
        <f t="shared" si="347"/>
        <v>12218</v>
      </c>
      <c r="Q187" s="420">
        <f t="shared" si="347"/>
        <v>75</v>
      </c>
      <c r="R187" s="417">
        <f t="shared" si="347"/>
        <v>13028</v>
      </c>
      <c r="S187" s="419">
        <f t="shared" si="347"/>
        <v>394</v>
      </c>
      <c r="T187" s="419">
        <f t="shared" si="347"/>
        <v>13422</v>
      </c>
      <c r="U187" s="420">
        <f t="shared" si="347"/>
        <v>89</v>
      </c>
      <c r="V187" s="417">
        <f t="shared" si="347"/>
        <v>10619</v>
      </c>
      <c r="W187" s="419">
        <f t="shared" si="347"/>
        <v>361</v>
      </c>
      <c r="X187" s="419">
        <f t="shared" si="347"/>
        <v>10980</v>
      </c>
      <c r="Y187" s="420">
        <f t="shared" si="347"/>
        <v>74</v>
      </c>
      <c r="Z187" s="417">
        <f t="shared" si="347"/>
        <v>9838</v>
      </c>
      <c r="AA187" s="419">
        <f t="shared" si="347"/>
        <v>505</v>
      </c>
      <c r="AB187" s="419">
        <f t="shared" si="347"/>
        <v>10343</v>
      </c>
      <c r="AC187" s="420">
        <f t="shared" si="347"/>
        <v>71</v>
      </c>
      <c r="AD187" s="417">
        <f t="shared" si="347"/>
        <v>11447</v>
      </c>
      <c r="AE187" s="419">
        <f t="shared" si="347"/>
        <v>323</v>
      </c>
      <c r="AF187" s="419">
        <f t="shared" si="347"/>
        <v>11770</v>
      </c>
      <c r="AG187" s="420">
        <f t="shared" si="347"/>
        <v>74</v>
      </c>
      <c r="AH187" s="417">
        <f t="shared" ref="AH187:BA187" si="348">SUM(AH177:AH186)</f>
        <v>0</v>
      </c>
      <c r="AI187" s="419">
        <f t="shared" si="348"/>
        <v>0</v>
      </c>
      <c r="AJ187" s="419">
        <f t="shared" si="348"/>
        <v>0</v>
      </c>
      <c r="AK187" s="420">
        <f t="shared" si="348"/>
        <v>0</v>
      </c>
      <c r="AL187" s="417">
        <f t="shared" si="348"/>
        <v>0</v>
      </c>
      <c r="AM187" s="419">
        <f t="shared" si="348"/>
        <v>0</v>
      </c>
      <c r="AN187" s="419">
        <f t="shared" si="348"/>
        <v>0</v>
      </c>
      <c r="AO187" s="420">
        <f t="shared" si="348"/>
        <v>0</v>
      </c>
      <c r="AP187" s="417">
        <f t="shared" si="348"/>
        <v>0</v>
      </c>
      <c r="AQ187" s="419">
        <f t="shared" si="348"/>
        <v>0</v>
      </c>
      <c r="AR187" s="419">
        <f t="shared" si="348"/>
        <v>0</v>
      </c>
      <c r="AS187" s="420">
        <f t="shared" si="348"/>
        <v>0</v>
      </c>
      <c r="AT187" s="417">
        <f t="shared" si="348"/>
        <v>0</v>
      </c>
      <c r="AU187" s="419">
        <f t="shared" si="348"/>
        <v>0</v>
      </c>
      <c r="AV187" s="419">
        <f t="shared" si="348"/>
        <v>0</v>
      </c>
      <c r="AW187" s="420">
        <f t="shared" si="348"/>
        <v>0</v>
      </c>
      <c r="AX187" s="434">
        <f t="shared" si="348"/>
        <v>92068</v>
      </c>
      <c r="AY187" s="434">
        <f t="shared" si="348"/>
        <v>3186</v>
      </c>
      <c r="AZ187" s="434">
        <f t="shared" si="348"/>
        <v>95254</v>
      </c>
      <c r="BA187" s="434">
        <f t="shared" si="348"/>
        <v>602</v>
      </c>
      <c r="BC187" s="395">
        <f t="shared" si="333"/>
        <v>11770</v>
      </c>
      <c r="BD187" s="395">
        <f t="shared" si="334"/>
        <v>74</v>
      </c>
    </row>
    <row r="188" spans="1:73">
      <c r="AZ188" s="395"/>
    </row>
    <row r="189" spans="1:73">
      <c r="AZ189" s="395"/>
    </row>
    <row r="190" spans="1:73" ht="18">
      <c r="A190" s="393" t="s">
        <v>85</v>
      </c>
      <c r="D190" s="117">
        <f>B195/D195</f>
        <v>0.88684402706630006</v>
      </c>
      <c r="E190" s="117">
        <f>1-D190</f>
        <v>0.11315597293369994</v>
      </c>
      <c r="AT190" s="117">
        <f>E191*D190</f>
        <v>39778893.961700596</v>
      </c>
      <c r="AU190" s="117">
        <f>E191*E190</f>
        <v>5075548.0231995787</v>
      </c>
    </row>
    <row r="191" spans="1:73" ht="18.600000000000001" thickBot="1">
      <c r="A191" s="394">
        <f>A34</f>
        <v>2023</v>
      </c>
      <c r="E191" s="117">
        <v>44854441.984900177</v>
      </c>
    </row>
    <row r="192" spans="1:73">
      <c r="A192" s="2815" t="s">
        <v>308</v>
      </c>
      <c r="B192" s="2827" t="s">
        <v>71</v>
      </c>
      <c r="C192" s="2828"/>
      <c r="D192" s="2828"/>
      <c r="E192" s="3091"/>
      <c r="F192" s="2829" t="s">
        <v>72</v>
      </c>
      <c r="G192" s="2830"/>
      <c r="H192" s="2830"/>
      <c r="I192" s="3095"/>
      <c r="J192" s="2817" t="s">
        <v>73</v>
      </c>
      <c r="K192" s="2818"/>
      <c r="L192" s="2818"/>
      <c r="M192" s="3094"/>
      <c r="N192" s="2819" t="s">
        <v>74</v>
      </c>
      <c r="O192" s="2820"/>
      <c r="P192" s="2820"/>
      <c r="Q192" s="3090"/>
      <c r="R192" s="2821" t="s">
        <v>75</v>
      </c>
      <c r="S192" s="2822"/>
      <c r="T192" s="2822"/>
      <c r="U192" s="3093"/>
      <c r="V192" s="2823" t="s">
        <v>76</v>
      </c>
      <c r="W192" s="2824"/>
      <c r="X192" s="2824"/>
      <c r="Y192" s="3089"/>
      <c r="Z192" s="2827" t="s">
        <v>77</v>
      </c>
      <c r="AA192" s="2828"/>
      <c r="AB192" s="2828"/>
      <c r="AC192" s="3091"/>
      <c r="AD192" s="2829" t="s">
        <v>78</v>
      </c>
      <c r="AE192" s="2830"/>
      <c r="AF192" s="2830"/>
      <c r="AG192" s="3095"/>
      <c r="AH192" s="2817" t="s">
        <v>79</v>
      </c>
      <c r="AI192" s="2818"/>
      <c r="AJ192" s="2818"/>
      <c r="AK192" s="3094"/>
      <c r="AL192" s="2819" t="s">
        <v>80</v>
      </c>
      <c r="AM192" s="2820"/>
      <c r="AN192" s="2820"/>
      <c r="AO192" s="3090"/>
      <c r="AP192" s="2821" t="s">
        <v>81</v>
      </c>
      <c r="AQ192" s="2822"/>
      <c r="AR192" s="2822"/>
      <c r="AS192" s="3093"/>
      <c r="AT192" s="2823" t="s">
        <v>82</v>
      </c>
      <c r="AU192" s="2824"/>
      <c r="AV192" s="2824"/>
      <c r="AW192" s="3096"/>
      <c r="AX192" s="3097" t="s">
        <v>83</v>
      </c>
      <c r="AY192" s="3098"/>
      <c r="AZ192" s="3098"/>
      <c r="BA192" s="3098"/>
      <c r="BB192" s="3099"/>
      <c r="BC192" s="430"/>
      <c r="BD192" s="430"/>
      <c r="BE192" s="430"/>
      <c r="BF192" s="430"/>
      <c r="BG192" s="430"/>
      <c r="BT192" s="430"/>
      <c r="BU192" s="430"/>
    </row>
    <row r="193" spans="1:73" ht="14.4" thickBot="1">
      <c r="A193" s="2816"/>
      <c r="B193" s="402" t="s">
        <v>17</v>
      </c>
      <c r="C193" s="403" t="s">
        <v>18</v>
      </c>
      <c r="D193" s="403" t="s">
        <v>52</v>
      </c>
      <c r="E193" s="404" t="s">
        <v>19</v>
      </c>
      <c r="F193" s="402" t="s">
        <v>17</v>
      </c>
      <c r="G193" s="403" t="s">
        <v>18</v>
      </c>
      <c r="H193" s="403" t="s">
        <v>52</v>
      </c>
      <c r="I193" s="404" t="s">
        <v>19</v>
      </c>
      <c r="J193" s="402" t="s">
        <v>17</v>
      </c>
      <c r="K193" s="403" t="s">
        <v>18</v>
      </c>
      <c r="L193" s="403" t="s">
        <v>52</v>
      </c>
      <c r="M193" s="404" t="s">
        <v>19</v>
      </c>
      <c r="N193" s="402" t="s">
        <v>17</v>
      </c>
      <c r="O193" s="403" t="s">
        <v>18</v>
      </c>
      <c r="P193" s="403" t="s">
        <v>52</v>
      </c>
      <c r="Q193" s="404" t="s">
        <v>19</v>
      </c>
      <c r="R193" s="402" t="s">
        <v>17</v>
      </c>
      <c r="S193" s="403" t="s">
        <v>18</v>
      </c>
      <c r="T193" s="403" t="s">
        <v>52</v>
      </c>
      <c r="U193" s="404" t="s">
        <v>19</v>
      </c>
      <c r="V193" s="402" t="s">
        <v>17</v>
      </c>
      <c r="W193" s="403" t="s">
        <v>18</v>
      </c>
      <c r="X193" s="403" t="s">
        <v>52</v>
      </c>
      <c r="Y193" s="404" t="s">
        <v>19</v>
      </c>
      <c r="Z193" s="402" t="s">
        <v>17</v>
      </c>
      <c r="AA193" s="403" t="s">
        <v>18</v>
      </c>
      <c r="AB193" s="403" t="s">
        <v>52</v>
      </c>
      <c r="AC193" s="404" t="s">
        <v>19</v>
      </c>
      <c r="AD193" s="402" t="s">
        <v>17</v>
      </c>
      <c r="AE193" s="403" t="s">
        <v>18</v>
      </c>
      <c r="AF193" s="403" t="s">
        <v>52</v>
      </c>
      <c r="AG193" s="404" t="s">
        <v>19</v>
      </c>
      <c r="AH193" s="402" t="s">
        <v>17</v>
      </c>
      <c r="AI193" s="403" t="s">
        <v>18</v>
      </c>
      <c r="AJ193" s="403" t="s">
        <v>52</v>
      </c>
      <c r="AK193" s="404" t="s">
        <v>19</v>
      </c>
      <c r="AL193" s="402" t="s">
        <v>17</v>
      </c>
      <c r="AM193" s="403" t="s">
        <v>18</v>
      </c>
      <c r="AN193" s="403" t="s">
        <v>52</v>
      </c>
      <c r="AO193" s="404" t="s">
        <v>19</v>
      </c>
      <c r="AP193" s="1107" t="s">
        <v>17</v>
      </c>
      <c r="AQ193" s="403" t="s">
        <v>18</v>
      </c>
      <c r="AR193" s="403" t="s">
        <v>52</v>
      </c>
      <c r="AS193" s="404" t="s">
        <v>19</v>
      </c>
      <c r="AT193" s="402" t="s">
        <v>17</v>
      </c>
      <c r="AU193" s="403" t="s">
        <v>18</v>
      </c>
      <c r="AV193" s="403" t="s">
        <v>52</v>
      </c>
      <c r="AW193" s="436" t="s">
        <v>19</v>
      </c>
      <c r="AX193" s="402" t="s">
        <v>17</v>
      </c>
      <c r="AY193" s="403" t="s">
        <v>18</v>
      </c>
      <c r="AZ193" s="403" t="s">
        <v>52</v>
      </c>
      <c r="BA193" s="436" t="s">
        <v>19</v>
      </c>
      <c r="BB193" s="404" t="s">
        <v>160</v>
      </c>
      <c r="BD193" s="117" t="s">
        <v>176</v>
      </c>
      <c r="BE193" s="117" t="s">
        <v>177</v>
      </c>
      <c r="BF193" s="117" t="s">
        <v>312</v>
      </c>
      <c r="BG193" s="117" t="s">
        <v>313</v>
      </c>
    </row>
    <row r="194" spans="1:73">
      <c r="A194" s="397" t="s">
        <v>6</v>
      </c>
      <c r="B194" s="438">
        <v>85.264690999999999</v>
      </c>
      <c r="C194" s="439">
        <v>9.8575850000000003</v>
      </c>
      <c r="D194" s="440">
        <f>SUM(B194:C194)</f>
        <v>95.122275999999999</v>
      </c>
      <c r="E194" s="441">
        <v>68.599052429999986</v>
      </c>
      <c r="F194" s="438">
        <v>90.134640000000005</v>
      </c>
      <c r="G194" s="439">
        <v>10.228051000000001</v>
      </c>
      <c r="H194" s="440">
        <f>SUM(F194:G194)</f>
        <v>100.36269100000001</v>
      </c>
      <c r="I194" s="441">
        <v>67.07320344</v>
      </c>
      <c r="J194" s="438">
        <v>81.530089000000004</v>
      </c>
      <c r="K194" s="439">
        <v>17.570544999999999</v>
      </c>
      <c r="L194" s="440">
        <f>SUM(J194:K194)</f>
        <v>99.100633999999999</v>
      </c>
      <c r="M194" s="441">
        <v>71.579519050000002</v>
      </c>
      <c r="N194" s="438">
        <v>83.067215000000004</v>
      </c>
      <c r="O194" s="439">
        <v>10.324099</v>
      </c>
      <c r="P194" s="440">
        <f>SUM(N194:O194)</f>
        <v>93.391314000000008</v>
      </c>
      <c r="Q194" s="441">
        <v>64.730028880000006</v>
      </c>
      <c r="R194" s="438">
        <v>82.635886999999997</v>
      </c>
      <c r="S194" s="439">
        <v>10.456321000000001</v>
      </c>
      <c r="T194" s="440">
        <f>SUM(R194:S194)</f>
        <v>93.092207999999999</v>
      </c>
      <c r="U194" s="441">
        <v>72.270755479999991</v>
      </c>
      <c r="V194" s="438">
        <v>85.408631</v>
      </c>
      <c r="W194" s="439">
        <v>15.290660000000001</v>
      </c>
      <c r="X194" s="440">
        <f>SUM(V194:W194)</f>
        <v>100.699291</v>
      </c>
      <c r="Y194" s="441">
        <v>66.996591119999991</v>
      </c>
      <c r="Z194" s="450">
        <v>141.530396</v>
      </c>
      <c r="AA194" s="451">
        <v>9.2052420000000001</v>
      </c>
      <c r="AB194" s="453">
        <f>SUM(Z194:AA194)</f>
        <v>150.73563799999999</v>
      </c>
      <c r="AC194" s="452">
        <v>97.547756549999988</v>
      </c>
      <c r="AD194" s="438">
        <v>183.23836900000001</v>
      </c>
      <c r="AE194" s="439">
        <v>11.121567000000001</v>
      </c>
      <c r="AF194" s="440">
        <f>SUM(AD194:AE194)</f>
        <v>194.359936</v>
      </c>
      <c r="AG194" s="441">
        <v>88.154376900000003</v>
      </c>
      <c r="AH194" s="438"/>
      <c r="AI194" s="439"/>
      <c r="AJ194" s="440">
        <f>SUM(AH194:AI194)</f>
        <v>0</v>
      </c>
      <c r="AK194" s="441"/>
      <c r="AL194" s="438"/>
      <c r="AM194" s="439"/>
      <c r="AN194" s="440">
        <f>SUM(AL194:AM194)</f>
        <v>0</v>
      </c>
      <c r="AO194" s="441"/>
      <c r="AP194" s="438"/>
      <c r="AQ194" s="439"/>
      <c r="AR194" s="440">
        <f>SUM(AP194:AQ194)</f>
        <v>0</v>
      </c>
      <c r="AS194" s="441"/>
      <c r="AT194" s="438"/>
      <c r="AU194" s="439"/>
      <c r="AV194" s="440">
        <f>SUM(AT194:AU194)</f>
        <v>0</v>
      </c>
      <c r="AW194" s="441"/>
      <c r="AX194" s="635">
        <f>+B194+F194+J194+N194+R194+V194+Z194+AD194+AH194+AL194+AP194+AT194</f>
        <v>832.80991800000015</v>
      </c>
      <c r="AY194" s="442">
        <f t="shared" ref="AY194:AY203" si="349">+C194+G194+K194+O194+S194+W194+AA194+AE194+AI194+AM194+AQ194+AU194</f>
        <v>94.05407000000001</v>
      </c>
      <c r="AZ194" s="442">
        <f t="shared" ref="AZ194:AZ203" si="350">+D194+H194+L194+P194+T194+X194+AB194+AF194+AJ194+AN194+AR194+AV194</f>
        <v>926.86398800000006</v>
      </c>
      <c r="BA194" s="443">
        <f t="shared" ref="BA194:BA203" si="351">+E194+I194+M194+Q194+U194+Y194+AC194+AG194+AK194+AO194+AS194+AW194</f>
        <v>596.95128384999998</v>
      </c>
      <c r="BB194" s="444">
        <f t="shared" ref="BB194:BB203" si="352">+AZ194+BA194</f>
        <v>1523.81527185</v>
      </c>
      <c r="BD194" s="446">
        <f>AF194</f>
        <v>194.359936</v>
      </c>
      <c r="BE194" s="446">
        <f>AG194</f>
        <v>88.154376900000003</v>
      </c>
      <c r="BF194" s="446">
        <f>AD194</f>
        <v>183.23836900000001</v>
      </c>
      <c r="BG194" s="446">
        <f>AE194</f>
        <v>11.121567000000001</v>
      </c>
    </row>
    <row r="195" spans="1:73">
      <c r="A195" s="397" t="s">
        <v>7</v>
      </c>
      <c r="B195" s="438">
        <v>37.995533999999999</v>
      </c>
      <c r="C195" s="439">
        <v>4.8480020000000001</v>
      </c>
      <c r="D195" s="440">
        <f t="shared" ref="D195:D203" si="353">SUM(B195:C195)</f>
        <v>42.843536</v>
      </c>
      <c r="E195" s="441">
        <v>27.387529000000001</v>
      </c>
      <c r="F195" s="438">
        <v>35.281609000000003</v>
      </c>
      <c r="G195" s="439">
        <v>4.6580690000000002</v>
      </c>
      <c r="H195" s="440">
        <f t="shared" ref="H195:H203" si="354">SUM(F195:G195)</f>
        <v>39.939678000000001</v>
      </c>
      <c r="I195" s="441">
        <v>26.215711939999998</v>
      </c>
      <c r="J195" s="438">
        <v>28.626434</v>
      </c>
      <c r="K195" s="439">
        <v>15.944884</v>
      </c>
      <c r="L195" s="440">
        <f t="shared" ref="L195:L203" si="355">SUM(J195:K195)</f>
        <v>44.571317999999998</v>
      </c>
      <c r="M195" s="441">
        <v>28.65</v>
      </c>
      <c r="N195" s="438">
        <v>39.575446999999997</v>
      </c>
      <c r="O195" s="439">
        <v>4.921036</v>
      </c>
      <c r="P195" s="440">
        <f t="shared" ref="P195:P203" si="356">SUM(N195:O195)</f>
        <v>44.496482999999998</v>
      </c>
      <c r="Q195" s="441">
        <v>24.91374192</v>
      </c>
      <c r="R195" s="438">
        <v>35.310848999999997</v>
      </c>
      <c r="S195" s="439">
        <v>4.2451150000000002</v>
      </c>
      <c r="T195" s="440">
        <f t="shared" ref="T195:T203" si="357">SUM(R195:S195)</f>
        <v>39.555963999999996</v>
      </c>
      <c r="U195" s="441">
        <v>25.77193243</v>
      </c>
      <c r="V195" s="438">
        <v>29.648721999999999</v>
      </c>
      <c r="W195" s="439">
        <v>11.101071999999998</v>
      </c>
      <c r="X195" s="440">
        <f t="shared" ref="X195:X203" si="358">SUM(V195:W195)</f>
        <v>40.749793999999994</v>
      </c>
      <c r="Y195" s="441">
        <v>27.599219189999996</v>
      </c>
      <c r="Z195" s="450">
        <v>73.076220000000006</v>
      </c>
      <c r="AA195" s="451">
        <v>4.663125</v>
      </c>
      <c r="AB195" s="453">
        <f t="shared" ref="AB195:AB203" si="359">SUM(Z195:AA195)</f>
        <v>77.739345</v>
      </c>
      <c r="AC195" s="452">
        <v>32.622311744000001</v>
      </c>
      <c r="AD195" s="438">
        <v>80.516846999999999</v>
      </c>
      <c r="AE195" s="439">
        <v>5.2450409999999996</v>
      </c>
      <c r="AF195" s="440">
        <f t="shared" ref="AF195:AF203" si="360">SUM(AD195:AE195)</f>
        <v>85.761887999999999</v>
      </c>
      <c r="AG195" s="441">
        <v>31.148863739999999</v>
      </c>
      <c r="AH195" s="438"/>
      <c r="AI195" s="439"/>
      <c r="AJ195" s="440">
        <f t="shared" ref="AJ195:AJ203" si="361">SUM(AH195:AI195)</f>
        <v>0</v>
      </c>
      <c r="AK195" s="441"/>
      <c r="AL195" s="438"/>
      <c r="AM195" s="439"/>
      <c r="AN195" s="440">
        <f t="shared" ref="AN195:AN203" si="362">SUM(AL195:AM195)</f>
        <v>0</v>
      </c>
      <c r="AO195" s="441"/>
      <c r="AP195" s="438"/>
      <c r="AQ195" s="439"/>
      <c r="AR195" s="440">
        <f t="shared" ref="AR195:AR203" si="363">SUM(AP195:AQ195)</f>
        <v>0</v>
      </c>
      <c r="AS195" s="441"/>
      <c r="AT195" s="438"/>
      <c r="AU195" s="439"/>
      <c r="AV195" s="440">
        <f t="shared" ref="AV195:AV203" si="364">SUM(AT195:AU195)</f>
        <v>0</v>
      </c>
      <c r="AW195" s="441"/>
      <c r="AX195" s="636">
        <f t="shared" ref="AX195:AX203" si="365">+B195+F195+J195+N195+R195+V195+Z195+AD195+AH195+AL195+AP195+AT195</f>
        <v>360.03166199999998</v>
      </c>
      <c r="AY195" s="447">
        <f t="shared" si="349"/>
        <v>55.626343999999996</v>
      </c>
      <c r="AZ195" s="447">
        <f t="shared" si="350"/>
        <v>415.658006</v>
      </c>
      <c r="BA195" s="448">
        <f t="shared" si="351"/>
        <v>224.30930996399997</v>
      </c>
      <c r="BB195" s="449">
        <f t="shared" si="352"/>
        <v>639.96731596399991</v>
      </c>
      <c r="BD195" s="446">
        <f t="shared" ref="BD195:BD204" si="366">AF195</f>
        <v>85.761887999999999</v>
      </c>
      <c r="BE195" s="446">
        <f t="shared" ref="BE195:BE204" si="367">AG195</f>
        <v>31.148863739999999</v>
      </c>
      <c r="BF195" s="446">
        <f t="shared" ref="BF195:BF204" si="368">AD195</f>
        <v>80.516846999999999</v>
      </c>
      <c r="BG195" s="446">
        <f t="shared" ref="BG195:BG204" si="369">AE195</f>
        <v>5.2450409999999996</v>
      </c>
    </row>
    <row r="196" spans="1:73">
      <c r="A196" s="397" t="s">
        <v>8</v>
      </c>
      <c r="B196" s="438">
        <v>37.063651999999998</v>
      </c>
      <c r="C196" s="439">
        <v>6.200977</v>
      </c>
      <c r="D196" s="440">
        <f t="shared" si="353"/>
        <v>43.264628999999999</v>
      </c>
      <c r="E196" s="441">
        <v>17.827648500000002</v>
      </c>
      <c r="F196" s="438">
        <v>35.754237999999994</v>
      </c>
      <c r="G196" s="439">
        <v>6.7724670000000007</v>
      </c>
      <c r="H196" s="440">
        <f t="shared" si="354"/>
        <v>42.526704999999993</v>
      </c>
      <c r="I196" s="441">
        <v>18.540261479999998</v>
      </c>
      <c r="J196" s="438">
        <v>33.228524</v>
      </c>
      <c r="K196" s="439">
        <v>13.731054</v>
      </c>
      <c r="L196" s="440">
        <f t="shared" si="355"/>
        <v>46.959578</v>
      </c>
      <c r="M196" s="441">
        <v>20.859805819999998</v>
      </c>
      <c r="N196" s="438">
        <v>39.497588</v>
      </c>
      <c r="O196" s="439">
        <v>6.5321150000000001</v>
      </c>
      <c r="P196" s="440">
        <f t="shared" si="356"/>
        <v>46.029702999999998</v>
      </c>
      <c r="Q196" s="441">
        <v>16.03230988</v>
      </c>
      <c r="R196" s="438">
        <v>38.923691999999974</v>
      </c>
      <c r="S196" s="439">
        <v>7.1172310000000003</v>
      </c>
      <c r="T196" s="440">
        <f t="shared" si="357"/>
        <v>46.040922999999978</v>
      </c>
      <c r="U196" s="441">
        <v>16.208945</v>
      </c>
      <c r="V196" s="438">
        <v>39.175299999999979</v>
      </c>
      <c r="W196" s="439">
        <v>12.261413000000001</v>
      </c>
      <c r="X196" s="440">
        <f t="shared" si="358"/>
        <v>51.436712999999983</v>
      </c>
      <c r="Y196" s="441">
        <v>15.11</v>
      </c>
      <c r="Z196" s="450">
        <v>62.111287999999973</v>
      </c>
      <c r="AA196" s="451">
        <v>6.4536939999999987</v>
      </c>
      <c r="AB196" s="453">
        <f t="shared" si="359"/>
        <v>68.564981999999972</v>
      </c>
      <c r="AC196" s="452">
        <v>22.057994670000017</v>
      </c>
      <c r="AD196" s="438">
        <v>70.924943999999996</v>
      </c>
      <c r="AE196" s="439">
        <v>9.9408390000000004</v>
      </c>
      <c r="AF196" s="440">
        <f t="shared" si="360"/>
        <v>80.865782999999993</v>
      </c>
      <c r="AG196" s="441">
        <v>20.96</v>
      </c>
      <c r="AH196" s="438"/>
      <c r="AI196" s="439"/>
      <c r="AJ196" s="440">
        <f t="shared" si="361"/>
        <v>0</v>
      </c>
      <c r="AK196" s="441"/>
      <c r="AL196" s="438"/>
      <c r="AM196" s="439"/>
      <c r="AN196" s="440">
        <f t="shared" si="362"/>
        <v>0</v>
      </c>
      <c r="AO196" s="441"/>
      <c r="AP196" s="438"/>
      <c r="AQ196" s="439"/>
      <c r="AR196" s="440">
        <f t="shared" si="363"/>
        <v>0</v>
      </c>
      <c r="AS196" s="441"/>
      <c r="AT196" s="438"/>
      <c r="AU196" s="439"/>
      <c r="AV196" s="440">
        <f t="shared" si="364"/>
        <v>0</v>
      </c>
      <c r="AW196" s="441"/>
      <c r="AX196" s="636">
        <f t="shared" si="365"/>
        <v>356.67922599999997</v>
      </c>
      <c r="AY196" s="447">
        <f t="shared" si="349"/>
        <v>69.009789999999995</v>
      </c>
      <c r="AZ196" s="447">
        <f t="shared" si="350"/>
        <v>425.68901599999992</v>
      </c>
      <c r="BA196" s="448">
        <f t="shared" si="351"/>
        <v>147.59696535</v>
      </c>
      <c r="BB196" s="449">
        <f t="shared" si="352"/>
        <v>573.28598134999993</v>
      </c>
      <c r="BD196" s="446">
        <f t="shared" si="366"/>
        <v>80.865782999999993</v>
      </c>
      <c r="BE196" s="446">
        <f t="shared" si="367"/>
        <v>20.96</v>
      </c>
      <c r="BF196" s="446">
        <f t="shared" si="368"/>
        <v>70.924943999999996</v>
      </c>
      <c r="BG196" s="446">
        <f t="shared" si="369"/>
        <v>9.9408390000000004</v>
      </c>
    </row>
    <row r="197" spans="1:73">
      <c r="A197" s="397" t="s">
        <v>4</v>
      </c>
      <c r="B197" s="438">
        <v>72.284716000000003</v>
      </c>
      <c r="C197" s="439">
        <v>8.6420510000000004</v>
      </c>
      <c r="D197" s="440">
        <f t="shared" si="353"/>
        <v>80.926766999999998</v>
      </c>
      <c r="E197" s="441">
        <v>32.507483960000002</v>
      </c>
      <c r="F197" s="438">
        <v>76.190518999999995</v>
      </c>
      <c r="G197" s="439">
        <v>9.8314009999999996</v>
      </c>
      <c r="H197" s="440">
        <f t="shared" si="354"/>
        <v>86.021919999999994</v>
      </c>
      <c r="I197" s="441">
        <v>36.424740059999998</v>
      </c>
      <c r="J197" s="438">
        <v>70.524985999999998</v>
      </c>
      <c r="K197" s="439">
        <v>12.331172</v>
      </c>
      <c r="L197" s="440">
        <f t="shared" si="355"/>
        <v>82.856157999999994</v>
      </c>
      <c r="M197" s="441">
        <v>40.880848410000006</v>
      </c>
      <c r="N197" s="438">
        <v>75.990183000000002</v>
      </c>
      <c r="O197" s="439">
        <v>8.9247709999999998</v>
      </c>
      <c r="P197" s="440">
        <f t="shared" si="356"/>
        <v>84.914953999999994</v>
      </c>
      <c r="Q197" s="441">
        <v>37.680484419999999</v>
      </c>
      <c r="R197" s="438">
        <v>65.924020999999996</v>
      </c>
      <c r="S197" s="439">
        <v>8.4800419999999992</v>
      </c>
      <c r="T197" s="440">
        <f t="shared" si="357"/>
        <v>74.404062999999994</v>
      </c>
      <c r="U197" s="441">
        <v>36.63980574</v>
      </c>
      <c r="V197" s="438">
        <v>60.727251000000003</v>
      </c>
      <c r="W197" s="439">
        <v>9.3224409999999995</v>
      </c>
      <c r="X197" s="440">
        <f t="shared" si="358"/>
        <v>70.049692000000007</v>
      </c>
      <c r="Y197" s="441">
        <v>41.124711329999997</v>
      </c>
      <c r="Z197" s="450">
        <v>107.831593</v>
      </c>
      <c r="AA197" s="451">
        <v>8.0103200000000001</v>
      </c>
      <c r="AB197" s="453">
        <f t="shared" si="359"/>
        <v>115.84191300000001</v>
      </c>
      <c r="AC197" s="452">
        <v>42.070946509999999</v>
      </c>
      <c r="AD197" s="438">
        <v>138.340755</v>
      </c>
      <c r="AE197" s="439">
        <v>8.8522970000000001</v>
      </c>
      <c r="AF197" s="440">
        <f t="shared" si="360"/>
        <v>147.19305199999999</v>
      </c>
      <c r="AG197" s="441">
        <v>40.851418559999999</v>
      </c>
      <c r="AH197" s="438"/>
      <c r="AI197" s="439"/>
      <c r="AJ197" s="440">
        <f t="shared" si="361"/>
        <v>0</v>
      </c>
      <c r="AK197" s="441"/>
      <c r="AL197" s="438"/>
      <c r="AM197" s="439"/>
      <c r="AN197" s="440">
        <f t="shared" si="362"/>
        <v>0</v>
      </c>
      <c r="AO197" s="441"/>
      <c r="AP197" s="438"/>
      <c r="AQ197" s="439"/>
      <c r="AR197" s="440">
        <f t="shared" si="363"/>
        <v>0</v>
      </c>
      <c r="AS197" s="441"/>
      <c r="AT197" s="438"/>
      <c r="AU197" s="439"/>
      <c r="AV197" s="440">
        <f t="shared" si="364"/>
        <v>0</v>
      </c>
      <c r="AW197" s="441"/>
      <c r="AX197" s="636">
        <f t="shared" si="365"/>
        <v>667.81402400000002</v>
      </c>
      <c r="AY197" s="447">
        <f t="shared" si="349"/>
        <v>74.394495000000006</v>
      </c>
      <c r="AZ197" s="447">
        <f t="shared" si="350"/>
        <v>742.20851899999991</v>
      </c>
      <c r="BA197" s="448">
        <f t="shared" si="351"/>
        <v>308.18043899000003</v>
      </c>
      <c r="BB197" s="449">
        <f t="shared" si="352"/>
        <v>1050.3889579899999</v>
      </c>
      <c r="BD197" s="446">
        <f t="shared" si="366"/>
        <v>147.19305199999999</v>
      </c>
      <c r="BE197" s="446">
        <f t="shared" si="367"/>
        <v>40.851418559999999</v>
      </c>
      <c r="BF197" s="446">
        <f t="shared" si="368"/>
        <v>138.340755</v>
      </c>
      <c r="BG197" s="446">
        <f t="shared" si="369"/>
        <v>8.8522970000000001</v>
      </c>
    </row>
    <row r="198" spans="1:73">
      <c r="A198" s="397" t="s">
        <v>3</v>
      </c>
      <c r="B198" s="438">
        <v>50.588577999999998</v>
      </c>
      <c r="C198" s="439">
        <v>10.765610000000001</v>
      </c>
      <c r="D198" s="440">
        <f t="shared" si="353"/>
        <v>61.354188000000001</v>
      </c>
      <c r="E198" s="441">
        <v>26.952485960000004</v>
      </c>
      <c r="F198" s="438">
        <v>52.881368000000002</v>
      </c>
      <c r="G198" s="439">
        <v>7.9456879999999996</v>
      </c>
      <c r="H198" s="440">
        <f t="shared" si="354"/>
        <v>60.827055999999999</v>
      </c>
      <c r="I198" s="441">
        <v>25.37322971</v>
      </c>
      <c r="J198" s="438">
        <v>44.232151000000002</v>
      </c>
      <c r="K198" s="439">
        <v>18.066814999999998</v>
      </c>
      <c r="L198" s="440">
        <f t="shared" si="355"/>
        <v>62.298966</v>
      </c>
      <c r="M198" s="441">
        <v>29.453721999999999</v>
      </c>
      <c r="N198" s="438">
        <v>58.322774000000003</v>
      </c>
      <c r="O198" s="439">
        <v>8.8573170000000001</v>
      </c>
      <c r="P198" s="440">
        <f t="shared" si="356"/>
        <v>67.180091000000004</v>
      </c>
      <c r="Q198" s="441">
        <v>25.035589039999994</v>
      </c>
      <c r="R198" s="438">
        <v>65.962586999999999</v>
      </c>
      <c r="S198" s="439">
        <v>8.8306690000000003</v>
      </c>
      <c r="T198" s="440">
        <f t="shared" si="357"/>
        <v>74.793256</v>
      </c>
      <c r="U198" s="441">
        <v>26.881214270000005</v>
      </c>
      <c r="V198" s="438">
        <v>53.632762</v>
      </c>
      <c r="W198" s="439">
        <v>13.726222</v>
      </c>
      <c r="X198" s="440">
        <f t="shared" si="358"/>
        <v>67.358983999999992</v>
      </c>
      <c r="Y198" s="441">
        <v>26.129965779999999</v>
      </c>
      <c r="Z198" s="450">
        <v>72.244512</v>
      </c>
      <c r="AA198" s="451">
        <v>10.721852999999999</v>
      </c>
      <c r="AB198" s="453">
        <f t="shared" si="359"/>
        <v>82.966364999999996</v>
      </c>
      <c r="AC198" s="452">
        <v>34.058196960000011</v>
      </c>
      <c r="AD198" s="438">
        <v>88.144406000000004</v>
      </c>
      <c r="AE198" s="439">
        <v>6.6023670000000001</v>
      </c>
      <c r="AF198" s="440">
        <f t="shared" si="360"/>
        <v>94.746773000000005</v>
      </c>
      <c r="AG198" s="441">
        <v>33.914996880000004</v>
      </c>
      <c r="AH198" s="438"/>
      <c r="AI198" s="439"/>
      <c r="AJ198" s="440">
        <f t="shared" si="361"/>
        <v>0</v>
      </c>
      <c r="AK198" s="441"/>
      <c r="AL198" s="438"/>
      <c r="AM198" s="439"/>
      <c r="AN198" s="440">
        <f t="shared" si="362"/>
        <v>0</v>
      </c>
      <c r="AO198" s="441"/>
      <c r="AP198" s="438"/>
      <c r="AQ198" s="439"/>
      <c r="AR198" s="440">
        <f t="shared" si="363"/>
        <v>0</v>
      </c>
      <c r="AS198" s="441"/>
      <c r="AT198" s="438"/>
      <c r="AU198" s="439"/>
      <c r="AV198" s="440">
        <f t="shared" si="364"/>
        <v>0</v>
      </c>
      <c r="AW198" s="441"/>
      <c r="AX198" s="636">
        <f t="shared" si="365"/>
        <v>486.00913800000001</v>
      </c>
      <c r="AY198" s="447">
        <f t="shared" si="349"/>
        <v>85.516540999999989</v>
      </c>
      <c r="AZ198" s="447">
        <f>+D198+H198+L198+P198+T198+X198+AB198+AF198+AJ198+AN198+AR198+AV198</f>
        <v>571.52567899999997</v>
      </c>
      <c r="BA198" s="448">
        <f>+E198+I198+M198+Q198+U198+Y198+AC198+AG198+AK198+AO198+AS198+AW198</f>
        <v>227.79940060000001</v>
      </c>
      <c r="BB198" s="449">
        <f t="shared" si="352"/>
        <v>799.32507959999998</v>
      </c>
      <c r="BD198" s="446">
        <f t="shared" si="366"/>
        <v>94.746773000000005</v>
      </c>
      <c r="BE198" s="446">
        <f t="shared" si="367"/>
        <v>33.914996880000004</v>
      </c>
      <c r="BF198" s="446">
        <f t="shared" si="368"/>
        <v>88.144406000000004</v>
      </c>
      <c r="BG198" s="446">
        <f t="shared" si="369"/>
        <v>6.6023670000000001</v>
      </c>
    </row>
    <row r="199" spans="1:73">
      <c r="A199" s="397" t="s">
        <v>397</v>
      </c>
      <c r="B199" s="438">
        <v>47.973857000000002</v>
      </c>
      <c r="C199" s="439">
        <v>7.3526369999999996</v>
      </c>
      <c r="D199" s="440">
        <f t="shared" si="353"/>
        <v>55.326494000000004</v>
      </c>
      <c r="E199" s="441">
        <v>24.78081968</v>
      </c>
      <c r="F199" s="438">
        <v>45.897221000000002</v>
      </c>
      <c r="G199" s="439">
        <v>7.2797850000000004</v>
      </c>
      <c r="H199" s="440">
        <f t="shared" si="354"/>
        <v>53.177006000000006</v>
      </c>
      <c r="I199" s="441">
        <v>21.670367479999999</v>
      </c>
      <c r="J199" s="438">
        <v>44.916499000000002</v>
      </c>
      <c r="K199" s="439">
        <v>8.1863390000000003</v>
      </c>
      <c r="L199" s="440">
        <f t="shared" si="355"/>
        <v>53.102838000000006</v>
      </c>
      <c r="M199" s="441">
        <v>22.234620879999998</v>
      </c>
      <c r="N199" s="438">
        <v>46.852583000000003</v>
      </c>
      <c r="O199" s="439">
        <v>7.7376019999999999</v>
      </c>
      <c r="P199" s="440">
        <f t="shared" si="356"/>
        <v>54.590185000000005</v>
      </c>
      <c r="Q199" s="441">
        <v>21.462946510000002</v>
      </c>
      <c r="R199" s="438">
        <v>40.152096</v>
      </c>
      <c r="S199" s="439">
        <v>6.3889379999999996</v>
      </c>
      <c r="T199" s="440">
        <f t="shared" si="357"/>
        <v>46.541033999999996</v>
      </c>
      <c r="U199" s="441">
        <v>22.590416499999996</v>
      </c>
      <c r="V199" s="438">
        <v>41.502009844461639</v>
      </c>
      <c r="W199" s="439">
        <v>6.6037341555383593</v>
      </c>
      <c r="X199" s="440">
        <f t="shared" si="358"/>
        <v>48.105744000000001</v>
      </c>
      <c r="Y199" s="441">
        <v>22.082703089999999</v>
      </c>
      <c r="Z199" s="450">
        <v>63.270708999999997</v>
      </c>
      <c r="AA199" s="451">
        <v>7.5235750000000001</v>
      </c>
      <c r="AB199" s="453">
        <f t="shared" si="359"/>
        <v>70.79428399999999</v>
      </c>
      <c r="AC199" s="452">
        <v>28.277551429999999</v>
      </c>
      <c r="AD199" s="438">
        <v>70.662699000000003</v>
      </c>
      <c r="AE199" s="439">
        <v>6.6483920000000003</v>
      </c>
      <c r="AF199" s="440">
        <f t="shared" si="360"/>
        <v>77.311091000000005</v>
      </c>
      <c r="AG199" s="441">
        <v>27.089156980000002</v>
      </c>
      <c r="AH199" s="438"/>
      <c r="AI199" s="439"/>
      <c r="AJ199" s="440">
        <f t="shared" si="361"/>
        <v>0</v>
      </c>
      <c r="AK199" s="441"/>
      <c r="AL199" s="438"/>
      <c r="AM199" s="439"/>
      <c r="AN199" s="440">
        <f t="shared" si="362"/>
        <v>0</v>
      </c>
      <c r="AO199" s="441"/>
      <c r="AP199" s="438"/>
      <c r="AQ199" s="439"/>
      <c r="AR199" s="440">
        <f t="shared" si="363"/>
        <v>0</v>
      </c>
      <c r="AS199" s="441"/>
      <c r="AT199" s="438"/>
      <c r="AU199" s="439"/>
      <c r="AV199" s="440">
        <f t="shared" si="364"/>
        <v>0</v>
      </c>
      <c r="AW199" s="441"/>
      <c r="AX199" s="636">
        <f t="shared" si="365"/>
        <v>401.22767384446161</v>
      </c>
      <c r="AY199" s="447">
        <f t="shared" si="349"/>
        <v>57.721002155538365</v>
      </c>
      <c r="AZ199" s="447">
        <f t="shared" si="350"/>
        <v>458.94867600000009</v>
      </c>
      <c r="BA199" s="448">
        <f t="shared" si="351"/>
        <v>190.18858255000001</v>
      </c>
      <c r="BB199" s="449">
        <f t="shared" si="352"/>
        <v>649.13725855000007</v>
      </c>
      <c r="BD199" s="446">
        <f t="shared" si="366"/>
        <v>77.311091000000005</v>
      </c>
      <c r="BE199" s="446">
        <f t="shared" si="367"/>
        <v>27.089156980000002</v>
      </c>
      <c r="BF199" s="446">
        <f t="shared" si="368"/>
        <v>70.662699000000003</v>
      </c>
      <c r="BG199" s="446">
        <f t="shared" si="369"/>
        <v>6.6483920000000003</v>
      </c>
    </row>
    <row r="200" spans="1:73">
      <c r="A200" s="397" t="s">
        <v>399</v>
      </c>
      <c r="B200" s="438">
        <v>77.876866000000007</v>
      </c>
      <c r="C200" s="439">
        <v>1.361148</v>
      </c>
      <c r="D200" s="440">
        <f t="shared" si="353"/>
        <v>79.238014000000007</v>
      </c>
      <c r="E200" s="441">
        <v>52.58460796</v>
      </c>
      <c r="F200" s="438">
        <v>68.290288000000004</v>
      </c>
      <c r="G200" s="439">
        <v>3.1294870000000001</v>
      </c>
      <c r="H200" s="440">
        <f t="shared" si="354"/>
        <v>71.419775000000001</v>
      </c>
      <c r="I200" s="441">
        <v>50.049496480000002</v>
      </c>
      <c r="J200" s="438">
        <v>54.578890999999999</v>
      </c>
      <c r="K200" s="439">
        <v>23.551538000000001</v>
      </c>
      <c r="L200" s="440">
        <f t="shared" si="355"/>
        <v>78.130428999999992</v>
      </c>
      <c r="M200" s="441">
        <v>69.39446212</v>
      </c>
      <c r="N200" s="438">
        <v>71.553274000000002</v>
      </c>
      <c r="O200" s="439">
        <v>2.1270630000000001</v>
      </c>
      <c r="P200" s="440">
        <f t="shared" si="356"/>
        <v>73.680337000000009</v>
      </c>
      <c r="Q200" s="441">
        <v>52.405934739999999</v>
      </c>
      <c r="R200" s="438">
        <v>56.168478</v>
      </c>
      <c r="S200" s="439">
        <v>3.7421850000000001</v>
      </c>
      <c r="T200" s="440">
        <f t="shared" si="357"/>
        <v>59.910663</v>
      </c>
      <c r="U200" s="441">
        <v>54.275741930000002</v>
      </c>
      <c r="V200" s="438">
        <v>53.560364</v>
      </c>
      <c r="W200" s="439">
        <v>19.623785999999999</v>
      </c>
      <c r="X200" s="440">
        <f t="shared" si="358"/>
        <v>73.184150000000002</v>
      </c>
      <c r="Y200" s="441">
        <v>51.60707979</v>
      </c>
      <c r="Z200" s="450">
        <v>99.210774000000001</v>
      </c>
      <c r="AA200" s="451">
        <v>2.0455700000000001</v>
      </c>
      <c r="AB200" s="453">
        <f t="shared" si="359"/>
        <v>101.256344</v>
      </c>
      <c r="AC200" s="452">
        <v>60.280264810000006</v>
      </c>
      <c r="AD200" s="438">
        <v>110.414902</v>
      </c>
      <c r="AE200" s="439">
        <v>4.9298640000000002</v>
      </c>
      <c r="AF200" s="440">
        <f t="shared" si="360"/>
        <v>115.34476599999999</v>
      </c>
      <c r="AG200" s="441">
        <v>60.390454810000001</v>
      </c>
      <c r="AH200" s="438"/>
      <c r="AI200" s="439"/>
      <c r="AJ200" s="440">
        <f t="shared" si="361"/>
        <v>0</v>
      </c>
      <c r="AK200" s="441"/>
      <c r="AL200" s="438"/>
      <c r="AM200" s="439"/>
      <c r="AN200" s="440">
        <f t="shared" si="362"/>
        <v>0</v>
      </c>
      <c r="AO200" s="441"/>
      <c r="AP200" s="438"/>
      <c r="AQ200" s="439"/>
      <c r="AR200" s="440">
        <f t="shared" si="363"/>
        <v>0</v>
      </c>
      <c r="AS200" s="441"/>
      <c r="AT200" s="438"/>
      <c r="AU200" s="439"/>
      <c r="AV200" s="440">
        <f t="shared" si="364"/>
        <v>0</v>
      </c>
      <c r="AW200" s="441"/>
      <c r="AX200" s="636">
        <f t="shared" si="365"/>
        <v>591.65383700000007</v>
      </c>
      <c r="AY200" s="447">
        <f t="shared" si="349"/>
        <v>60.510641</v>
      </c>
      <c r="AZ200" s="447">
        <f t="shared" si="350"/>
        <v>652.16447799999992</v>
      </c>
      <c r="BA200" s="448">
        <f t="shared" si="351"/>
        <v>450.98804264</v>
      </c>
      <c r="BB200" s="449">
        <f t="shared" si="352"/>
        <v>1103.1525206399999</v>
      </c>
      <c r="BD200" s="446">
        <f t="shared" si="366"/>
        <v>115.34476599999999</v>
      </c>
      <c r="BE200" s="446">
        <f t="shared" si="367"/>
        <v>60.390454810000001</v>
      </c>
      <c r="BF200" s="446">
        <f t="shared" si="368"/>
        <v>110.414902</v>
      </c>
      <c r="BG200" s="446">
        <f t="shared" si="369"/>
        <v>4.9298640000000002</v>
      </c>
    </row>
    <row r="201" spans="1:73">
      <c r="A201" s="397" t="s">
        <v>883</v>
      </c>
      <c r="B201" s="438">
        <v>42.486924000000002</v>
      </c>
      <c r="C201" s="439">
        <v>7.4613100000000001</v>
      </c>
      <c r="D201" s="440">
        <f t="shared" si="353"/>
        <v>49.948233999999999</v>
      </c>
      <c r="E201" s="441">
        <v>24.347896590000001</v>
      </c>
      <c r="F201" s="438">
        <v>39.367350999999999</v>
      </c>
      <c r="G201" s="439">
        <v>9.4913609999999995</v>
      </c>
      <c r="H201" s="440">
        <f t="shared" si="354"/>
        <v>48.858711999999997</v>
      </c>
      <c r="I201" s="441">
        <v>21.520498809999999</v>
      </c>
      <c r="J201" s="438">
        <v>26.285542</v>
      </c>
      <c r="K201" s="439">
        <v>7.7551459999999999</v>
      </c>
      <c r="L201" s="440">
        <f t="shared" si="355"/>
        <v>34.040688000000003</v>
      </c>
      <c r="M201" s="441">
        <v>25.388871450000003</v>
      </c>
      <c r="N201" s="438">
        <v>39.738517999999999</v>
      </c>
      <c r="O201" s="439">
        <v>7.0123389999999999</v>
      </c>
      <c r="P201" s="440">
        <f t="shared" si="356"/>
        <v>46.750856999999996</v>
      </c>
      <c r="Q201" s="441">
        <v>26.323172570000001</v>
      </c>
      <c r="R201" s="438">
        <v>39.902881999999998</v>
      </c>
      <c r="S201" s="439">
        <v>7.941592</v>
      </c>
      <c r="T201" s="440">
        <f t="shared" si="357"/>
        <v>47.844473999999998</v>
      </c>
      <c r="U201" s="441">
        <v>25.972244010000001</v>
      </c>
      <c r="V201" s="438">
        <v>36.332988999999998</v>
      </c>
      <c r="W201" s="439">
        <v>7.8625069999999999</v>
      </c>
      <c r="X201" s="440">
        <f t="shared" si="358"/>
        <v>44.195495999999999</v>
      </c>
      <c r="Y201" s="441">
        <v>26.94821099</v>
      </c>
      <c r="Z201" s="450">
        <v>79.293199000000001</v>
      </c>
      <c r="AA201" s="451">
        <v>7.0239099999999999</v>
      </c>
      <c r="AB201" s="453">
        <f t="shared" si="359"/>
        <v>86.317109000000002</v>
      </c>
      <c r="AC201" s="452">
        <v>35.375748000000002</v>
      </c>
      <c r="AD201" s="438">
        <v>97.857541999999995</v>
      </c>
      <c r="AE201" s="439">
        <v>9.6996219999999997</v>
      </c>
      <c r="AF201" s="440">
        <f t="shared" si="360"/>
        <v>107.557164</v>
      </c>
      <c r="AG201" s="441">
        <v>33.636603710000003</v>
      </c>
      <c r="AH201" s="438"/>
      <c r="AI201" s="439"/>
      <c r="AJ201" s="440">
        <f t="shared" si="361"/>
        <v>0</v>
      </c>
      <c r="AK201" s="441"/>
      <c r="AL201" s="438"/>
      <c r="AM201" s="439"/>
      <c r="AN201" s="440">
        <f t="shared" si="362"/>
        <v>0</v>
      </c>
      <c r="AO201" s="441"/>
      <c r="AP201" s="438"/>
      <c r="AQ201" s="439"/>
      <c r="AR201" s="440">
        <f t="shared" si="363"/>
        <v>0</v>
      </c>
      <c r="AS201" s="441"/>
      <c r="AT201" s="438"/>
      <c r="AU201" s="439"/>
      <c r="AV201" s="440">
        <f t="shared" si="364"/>
        <v>0</v>
      </c>
      <c r="AW201" s="441"/>
      <c r="AX201" s="636">
        <f t="shared" si="365"/>
        <v>401.26494700000001</v>
      </c>
      <c r="AY201" s="447">
        <f t="shared" si="349"/>
        <v>64.247787000000002</v>
      </c>
      <c r="AZ201" s="447">
        <f t="shared" si="350"/>
        <v>465.51273400000002</v>
      </c>
      <c r="BA201" s="448">
        <f t="shared" si="351"/>
        <v>219.51324613</v>
      </c>
      <c r="BB201" s="449">
        <f t="shared" si="352"/>
        <v>685.02598012999999</v>
      </c>
      <c r="BD201" s="446">
        <f t="shared" si="366"/>
        <v>107.557164</v>
      </c>
      <c r="BE201" s="446">
        <f t="shared" si="367"/>
        <v>33.636603710000003</v>
      </c>
      <c r="BF201" s="446">
        <f t="shared" si="368"/>
        <v>97.857541999999995</v>
      </c>
      <c r="BG201" s="446">
        <f t="shared" si="369"/>
        <v>9.6996219999999997</v>
      </c>
    </row>
    <row r="202" spans="1:73">
      <c r="A202" s="397" t="s">
        <v>884</v>
      </c>
      <c r="B202" s="438">
        <v>55.061770000000003</v>
      </c>
      <c r="C202" s="439">
        <v>7.7399889999999996</v>
      </c>
      <c r="D202" s="440">
        <f t="shared" si="353"/>
        <v>62.801759000000004</v>
      </c>
      <c r="E202" s="441">
        <v>24.39329815</v>
      </c>
      <c r="F202" s="438">
        <v>54.889932000000002</v>
      </c>
      <c r="G202" s="439">
        <v>9.8573020000000007</v>
      </c>
      <c r="H202" s="440">
        <f t="shared" si="354"/>
        <v>64.747234000000006</v>
      </c>
      <c r="I202" s="441">
        <v>21.80424073</v>
      </c>
      <c r="J202" s="438">
        <v>42.102119000000002</v>
      </c>
      <c r="K202" s="439">
        <v>13.656700000000001</v>
      </c>
      <c r="L202" s="440">
        <f t="shared" si="355"/>
        <v>55.758819000000003</v>
      </c>
      <c r="M202" s="441">
        <v>23.667842610000001</v>
      </c>
      <c r="N202" s="438">
        <v>56.350546999999999</v>
      </c>
      <c r="O202" s="439">
        <v>8.4770269999999996</v>
      </c>
      <c r="P202" s="440">
        <f t="shared" si="356"/>
        <v>64.827573999999998</v>
      </c>
      <c r="Q202" s="441">
        <v>24.058127089999999</v>
      </c>
      <c r="R202" s="438">
        <v>55.259785000000001</v>
      </c>
      <c r="S202" s="439">
        <v>8.6433859999999996</v>
      </c>
      <c r="T202" s="440">
        <f t="shared" si="357"/>
        <v>63.903171</v>
      </c>
      <c r="U202" s="441">
        <v>25.740238480000002</v>
      </c>
      <c r="V202" s="438">
        <v>45.318938000000003</v>
      </c>
      <c r="W202" s="439">
        <v>11.667475</v>
      </c>
      <c r="X202" s="440">
        <f t="shared" si="358"/>
        <v>56.986412999999999</v>
      </c>
      <c r="Y202" s="441">
        <v>27.58441818</v>
      </c>
      <c r="Z202" s="450">
        <v>108.874038</v>
      </c>
      <c r="AA202" s="451">
        <v>11.075493</v>
      </c>
      <c r="AB202" s="453">
        <f t="shared" si="359"/>
        <v>119.94953099999999</v>
      </c>
      <c r="AC202" s="452">
        <v>37.523844490000002</v>
      </c>
      <c r="AD202" s="438">
        <v>136.10755599999999</v>
      </c>
      <c r="AE202" s="439">
        <v>13.767982999999999</v>
      </c>
      <c r="AF202" s="440">
        <f t="shared" si="360"/>
        <v>149.87553899999997</v>
      </c>
      <c r="AG202" s="441">
        <v>32.225255449999999</v>
      </c>
      <c r="AH202" s="438"/>
      <c r="AI202" s="439"/>
      <c r="AJ202" s="440">
        <f t="shared" si="361"/>
        <v>0</v>
      </c>
      <c r="AK202" s="441"/>
      <c r="AL202" s="438"/>
      <c r="AM202" s="439"/>
      <c r="AN202" s="440">
        <f t="shared" si="362"/>
        <v>0</v>
      </c>
      <c r="AO202" s="441"/>
      <c r="AP202" s="438"/>
      <c r="AQ202" s="439"/>
      <c r="AR202" s="440">
        <f t="shared" si="363"/>
        <v>0</v>
      </c>
      <c r="AS202" s="441"/>
      <c r="AT202" s="438"/>
      <c r="AU202" s="439"/>
      <c r="AV202" s="440">
        <f t="shared" si="364"/>
        <v>0</v>
      </c>
      <c r="AW202" s="441"/>
      <c r="AX202" s="636">
        <f t="shared" si="365"/>
        <v>553.96468500000003</v>
      </c>
      <c r="AY202" s="447">
        <f t="shared" si="349"/>
        <v>84.88535499999999</v>
      </c>
      <c r="AZ202" s="447">
        <f t="shared" si="350"/>
        <v>638.85004000000004</v>
      </c>
      <c r="BA202" s="448">
        <f t="shared" si="351"/>
        <v>216.99726517999997</v>
      </c>
      <c r="BB202" s="449">
        <f t="shared" si="352"/>
        <v>855.84730518000003</v>
      </c>
      <c r="BD202" s="446">
        <f t="shared" si="366"/>
        <v>149.87553899999997</v>
      </c>
      <c r="BE202" s="446">
        <f t="shared" si="367"/>
        <v>32.225255449999999</v>
      </c>
      <c r="BF202" s="446">
        <f t="shared" si="368"/>
        <v>136.10755599999999</v>
      </c>
      <c r="BG202" s="446">
        <f t="shared" si="369"/>
        <v>13.767982999999999</v>
      </c>
    </row>
    <row r="203" spans="1:73" ht="14.4" thickBot="1">
      <c r="A203" s="397" t="s">
        <v>885</v>
      </c>
      <c r="B203" s="438">
        <v>11.244339</v>
      </c>
      <c r="C203" s="439">
        <v>3.1086749999999999</v>
      </c>
      <c r="D203" s="440">
        <f t="shared" si="353"/>
        <v>14.353014</v>
      </c>
      <c r="E203" s="441">
        <v>6.4706559100000005</v>
      </c>
      <c r="F203" s="438">
        <v>12.043779000000001</v>
      </c>
      <c r="G203" s="439">
        <v>4.1953560000000003</v>
      </c>
      <c r="H203" s="440">
        <f t="shared" si="354"/>
        <v>16.239135000000001</v>
      </c>
      <c r="I203" s="441">
        <v>6.1419509399999992</v>
      </c>
      <c r="J203" s="438">
        <v>8.4248650000000005</v>
      </c>
      <c r="K203" s="439">
        <v>4.1304699999999999</v>
      </c>
      <c r="L203" s="440">
        <f t="shared" si="355"/>
        <v>12.555334999999999</v>
      </c>
      <c r="M203" s="441">
        <v>6.3149181299999997</v>
      </c>
      <c r="N203" s="438">
        <v>13.012041999999999</v>
      </c>
      <c r="O203" s="439">
        <v>3.03783</v>
      </c>
      <c r="P203" s="440">
        <f t="shared" si="356"/>
        <v>16.049872000000001</v>
      </c>
      <c r="Q203" s="441">
        <v>6.1992507399999992</v>
      </c>
      <c r="R203" s="438">
        <v>10.896803999999999</v>
      </c>
      <c r="S203" s="439">
        <v>2.9640209999999998</v>
      </c>
      <c r="T203" s="440">
        <f t="shared" si="357"/>
        <v>13.860824999999998</v>
      </c>
      <c r="U203" s="441">
        <v>5.7982207299999997</v>
      </c>
      <c r="V203" s="438">
        <v>7.7120689999999996</v>
      </c>
      <c r="W203" s="439">
        <v>2.9163779999999999</v>
      </c>
      <c r="X203" s="440">
        <f t="shared" si="358"/>
        <v>10.628447</v>
      </c>
      <c r="Y203" s="441">
        <v>5.9103621499999992</v>
      </c>
      <c r="Z203" s="450">
        <v>19.396201000000001</v>
      </c>
      <c r="AA203" s="451">
        <v>2.747884</v>
      </c>
      <c r="AB203" s="453">
        <f t="shared" si="359"/>
        <v>22.144085</v>
      </c>
      <c r="AC203" s="452">
        <v>6.6083937699999993</v>
      </c>
      <c r="AD203" s="438">
        <v>20.238011</v>
      </c>
      <c r="AE203" s="439">
        <v>3.164393</v>
      </c>
      <c r="AF203" s="440">
        <f t="shared" si="360"/>
        <v>23.402404000000001</v>
      </c>
      <c r="AG203" s="441">
        <v>6.5938285399999996</v>
      </c>
      <c r="AH203" s="438"/>
      <c r="AI203" s="439"/>
      <c r="AJ203" s="440">
        <f t="shared" si="361"/>
        <v>0</v>
      </c>
      <c r="AK203" s="441"/>
      <c r="AL203" s="438"/>
      <c r="AM203" s="439"/>
      <c r="AN203" s="440">
        <f t="shared" si="362"/>
        <v>0</v>
      </c>
      <c r="AO203" s="441"/>
      <c r="AP203" s="438"/>
      <c r="AQ203" s="439"/>
      <c r="AR203" s="440">
        <f t="shared" si="363"/>
        <v>0</v>
      </c>
      <c r="AS203" s="441"/>
      <c r="AT203" s="438"/>
      <c r="AU203" s="439"/>
      <c r="AV203" s="440">
        <f t="shared" si="364"/>
        <v>0</v>
      </c>
      <c r="AW203" s="441"/>
      <c r="AX203" s="636">
        <f t="shared" si="365"/>
        <v>102.96811000000001</v>
      </c>
      <c r="AY203" s="447">
        <f t="shared" si="349"/>
        <v>26.265007000000001</v>
      </c>
      <c r="AZ203" s="447">
        <f t="shared" si="350"/>
        <v>129.23311699999999</v>
      </c>
      <c r="BA203" s="448">
        <f t="shared" si="351"/>
        <v>50.037580909999996</v>
      </c>
      <c r="BB203" s="449">
        <f t="shared" si="352"/>
        <v>179.27069791</v>
      </c>
      <c r="BD203" s="446">
        <f t="shared" si="366"/>
        <v>23.402404000000001</v>
      </c>
      <c r="BE203" s="446">
        <f t="shared" si="367"/>
        <v>6.5938285399999996</v>
      </c>
      <c r="BF203" s="446">
        <f t="shared" si="368"/>
        <v>20.238011</v>
      </c>
      <c r="BG203" s="446">
        <f t="shared" si="369"/>
        <v>3.164393</v>
      </c>
    </row>
    <row r="204" spans="1:73" ht="14.4" thickBot="1">
      <c r="A204" s="433" t="s">
        <v>16</v>
      </c>
      <c r="B204" s="455">
        <f t="shared" ref="B204:AG204" si="370">SUM(B194:B203)</f>
        <v>517.84092699999997</v>
      </c>
      <c r="C204" s="456">
        <f t="shared" si="370"/>
        <v>67.337984000000006</v>
      </c>
      <c r="D204" s="456">
        <f t="shared" si="370"/>
        <v>585.17891100000008</v>
      </c>
      <c r="E204" s="456">
        <f t="shared" si="370"/>
        <v>305.85147814000004</v>
      </c>
      <c r="F204" s="455">
        <f t="shared" si="370"/>
        <v>510.73094500000002</v>
      </c>
      <c r="G204" s="456">
        <f t="shared" si="370"/>
        <v>73.388967000000008</v>
      </c>
      <c r="H204" s="456">
        <f t="shared" si="370"/>
        <v>584.11991200000011</v>
      </c>
      <c r="I204" s="466">
        <f t="shared" si="370"/>
        <v>294.81370107000004</v>
      </c>
      <c r="J204" s="455">
        <f t="shared" si="370"/>
        <v>434.45010000000002</v>
      </c>
      <c r="K204" s="456">
        <f t="shared" si="370"/>
        <v>134.92466300000001</v>
      </c>
      <c r="L204" s="465">
        <f t="shared" si="370"/>
        <v>569.37476300000003</v>
      </c>
      <c r="M204" s="466">
        <f t="shared" si="370"/>
        <v>338.42461047</v>
      </c>
      <c r="N204" s="455">
        <f t="shared" si="370"/>
        <v>523.96017099999995</v>
      </c>
      <c r="O204" s="456">
        <f t="shared" si="370"/>
        <v>67.951199000000003</v>
      </c>
      <c r="P204" s="456">
        <f t="shared" si="370"/>
        <v>591.91137000000003</v>
      </c>
      <c r="Q204" s="466">
        <f t="shared" si="370"/>
        <v>298.84158579000007</v>
      </c>
      <c r="R204" s="455">
        <f t="shared" si="370"/>
        <v>491.13708099999985</v>
      </c>
      <c r="S204" s="456">
        <f t="shared" si="370"/>
        <v>68.8095</v>
      </c>
      <c r="T204" s="465">
        <f t="shared" si="370"/>
        <v>559.94658099999992</v>
      </c>
      <c r="U204" s="466">
        <f t="shared" si="370"/>
        <v>312.14951457000006</v>
      </c>
      <c r="V204" s="455">
        <f t="shared" si="370"/>
        <v>453.01903584446154</v>
      </c>
      <c r="W204" s="456">
        <f t="shared" si="370"/>
        <v>110.37568815553833</v>
      </c>
      <c r="X204" s="456">
        <f t="shared" si="370"/>
        <v>563.394724</v>
      </c>
      <c r="Y204" s="466">
        <f t="shared" si="370"/>
        <v>311.09326161999996</v>
      </c>
      <c r="Z204" s="458">
        <f t="shared" si="370"/>
        <v>826.83893</v>
      </c>
      <c r="AA204" s="477">
        <f t="shared" si="370"/>
        <v>69.470665999999994</v>
      </c>
      <c r="AB204" s="477">
        <f t="shared" si="370"/>
        <v>896.30959599999994</v>
      </c>
      <c r="AC204" s="1097">
        <f t="shared" si="370"/>
        <v>396.42300893399999</v>
      </c>
      <c r="AD204" s="455">
        <f t="shared" si="370"/>
        <v>996.44603099999983</v>
      </c>
      <c r="AE204" s="456">
        <f t="shared" si="370"/>
        <v>79.972365000000011</v>
      </c>
      <c r="AF204" s="456">
        <f t="shared" si="370"/>
        <v>1076.4183959999998</v>
      </c>
      <c r="AG204" s="466">
        <f t="shared" si="370"/>
        <v>374.96495557000009</v>
      </c>
      <c r="AH204" s="455">
        <f t="shared" ref="AH204:BB204" si="371">SUM(AH194:AH203)</f>
        <v>0</v>
      </c>
      <c r="AI204" s="456">
        <f t="shared" si="371"/>
        <v>0</v>
      </c>
      <c r="AJ204" s="456">
        <f t="shared" si="371"/>
        <v>0</v>
      </c>
      <c r="AK204" s="466">
        <f t="shared" si="371"/>
        <v>0</v>
      </c>
      <c r="AL204" s="455">
        <f t="shared" si="371"/>
        <v>0</v>
      </c>
      <c r="AM204" s="456">
        <f t="shared" si="371"/>
        <v>0</v>
      </c>
      <c r="AN204" s="456">
        <f t="shared" si="371"/>
        <v>0</v>
      </c>
      <c r="AO204" s="466">
        <f t="shared" si="371"/>
        <v>0</v>
      </c>
      <c r="AP204" s="455">
        <f t="shared" si="371"/>
        <v>0</v>
      </c>
      <c r="AQ204" s="456">
        <f t="shared" si="371"/>
        <v>0</v>
      </c>
      <c r="AR204" s="456">
        <f t="shared" si="371"/>
        <v>0</v>
      </c>
      <c r="AS204" s="466">
        <f t="shared" si="371"/>
        <v>0</v>
      </c>
      <c r="AT204" s="467">
        <f t="shared" si="371"/>
        <v>0</v>
      </c>
      <c r="AU204" s="465">
        <f t="shared" si="371"/>
        <v>0</v>
      </c>
      <c r="AV204" s="465">
        <f t="shared" si="371"/>
        <v>0</v>
      </c>
      <c r="AW204" s="466">
        <f t="shared" si="371"/>
        <v>0</v>
      </c>
      <c r="AX204" s="467">
        <f t="shared" si="371"/>
        <v>4754.423220844461</v>
      </c>
      <c r="AY204" s="467">
        <f t="shared" si="371"/>
        <v>672.23103215553829</v>
      </c>
      <c r="AZ204" s="467">
        <f t="shared" si="371"/>
        <v>5426.6542529999997</v>
      </c>
      <c r="BA204" s="467">
        <f t="shared" si="371"/>
        <v>2632.5621161639997</v>
      </c>
      <c r="BB204" s="467">
        <f t="shared" si="371"/>
        <v>8059.2163691640008</v>
      </c>
      <c r="BD204" s="446">
        <f t="shared" si="366"/>
        <v>1076.4183959999998</v>
      </c>
      <c r="BE204" s="446">
        <f t="shared" si="367"/>
        <v>374.96495557000009</v>
      </c>
      <c r="BF204" s="446">
        <f t="shared" si="368"/>
        <v>996.44603099999983</v>
      </c>
      <c r="BG204" s="446">
        <f t="shared" si="369"/>
        <v>79.972365000000011</v>
      </c>
    </row>
    <row r="205" spans="1:73" ht="14.4" thickBot="1">
      <c r="C205" s="469"/>
      <c r="D205" s="469"/>
      <c r="E205" s="446"/>
      <c r="F205" s="446"/>
      <c r="G205" s="446"/>
      <c r="H205" s="446"/>
      <c r="I205" s="446"/>
      <c r="P205" s="395"/>
      <c r="Q205" s="395"/>
      <c r="X205" s="446">
        <f>P204+T204+X204</f>
        <v>1715.252675</v>
      </c>
      <c r="Y205" s="446">
        <f>Q204+U204+Y204</f>
        <v>922.08436198000004</v>
      </c>
      <c r="AB205" s="82">
        <v>33.417149999999999</v>
      </c>
      <c r="AC205" s="82">
        <v>20.134482999999999</v>
      </c>
      <c r="AD205" s="82">
        <v>61.847357000000002</v>
      </c>
      <c r="AE205" s="82">
        <v>23.365076999999999</v>
      </c>
      <c r="AF205" s="82">
        <v>44.45852</v>
      </c>
      <c r="AG205" s="82">
        <v>21.557797000000001</v>
      </c>
      <c r="AJ205" s="1243">
        <f>AJ204+AF204+AB204</f>
        <v>1972.7279919999996</v>
      </c>
      <c r="AK205" s="1243">
        <f>AK204+AG204+AC204</f>
        <v>771.38796450400014</v>
      </c>
      <c r="AL205" s="117">
        <v>68.481205000000003</v>
      </c>
      <c r="AM205" s="117">
        <v>1.7545569999999999</v>
      </c>
      <c r="AO205" s="117">
        <v>34.524107999999998</v>
      </c>
      <c r="AP205" s="1091">
        <v>51.832878999999998</v>
      </c>
      <c r="AQ205" s="117">
        <v>2.8581669999999999</v>
      </c>
      <c r="AR205" s="117">
        <v>54.691046</v>
      </c>
      <c r="AS205" s="117">
        <v>27.263584999999999</v>
      </c>
      <c r="AV205" s="446"/>
      <c r="AW205" s="446"/>
    </row>
    <row r="206" spans="1:73" ht="18.600000000000001" thickBot="1">
      <c r="A206" s="394">
        <f>A49</f>
        <v>2024</v>
      </c>
      <c r="I206" s="446"/>
      <c r="U206" s="446"/>
      <c r="AJ206" s="446"/>
      <c r="AN206" s="446"/>
      <c r="AO206" s="446"/>
      <c r="AQ206" s="395"/>
      <c r="AX206" s="445"/>
      <c r="AY206" s="445"/>
      <c r="AZ206" s="445"/>
      <c r="BA206" s="637"/>
    </row>
    <row r="207" spans="1:73">
      <c r="A207" s="2815" t="s">
        <v>308</v>
      </c>
      <c r="B207" s="2827" t="s">
        <v>71</v>
      </c>
      <c r="C207" s="2828"/>
      <c r="D207" s="2828"/>
      <c r="E207" s="3091"/>
      <c r="F207" s="2829" t="s">
        <v>72</v>
      </c>
      <c r="G207" s="2830"/>
      <c r="H207" s="2830"/>
      <c r="I207" s="3095"/>
      <c r="J207" s="2817" t="s">
        <v>73</v>
      </c>
      <c r="K207" s="2818"/>
      <c r="L207" s="2818"/>
      <c r="M207" s="3094"/>
      <c r="N207" s="2819" t="s">
        <v>74</v>
      </c>
      <c r="O207" s="2820"/>
      <c r="P207" s="2820"/>
      <c r="Q207" s="3090"/>
      <c r="R207" s="2821" t="s">
        <v>75</v>
      </c>
      <c r="S207" s="2822"/>
      <c r="T207" s="2822"/>
      <c r="U207" s="3093"/>
      <c r="V207" s="2823" t="s">
        <v>76</v>
      </c>
      <c r="W207" s="2824"/>
      <c r="X207" s="2824"/>
      <c r="Y207" s="3089"/>
      <c r="Z207" s="2827" t="s">
        <v>77</v>
      </c>
      <c r="AA207" s="2828"/>
      <c r="AB207" s="2828"/>
      <c r="AC207" s="3091"/>
      <c r="AD207" s="2829" t="s">
        <v>78</v>
      </c>
      <c r="AE207" s="2830"/>
      <c r="AF207" s="2830"/>
      <c r="AG207" s="3095"/>
      <c r="AH207" s="2817" t="s">
        <v>79</v>
      </c>
      <c r="AI207" s="2818"/>
      <c r="AJ207" s="2818"/>
      <c r="AK207" s="3094"/>
      <c r="AL207" s="2819" t="s">
        <v>80</v>
      </c>
      <c r="AM207" s="2820"/>
      <c r="AN207" s="2820"/>
      <c r="AO207" s="3090"/>
      <c r="AP207" s="2821" t="s">
        <v>81</v>
      </c>
      <c r="AQ207" s="2822"/>
      <c r="AR207" s="2822"/>
      <c r="AS207" s="3093"/>
      <c r="AT207" s="2823" t="s">
        <v>82</v>
      </c>
      <c r="AU207" s="2824"/>
      <c r="AV207" s="2824"/>
      <c r="AW207" s="3089"/>
      <c r="AX207" s="3097" t="s">
        <v>83</v>
      </c>
      <c r="AY207" s="3098"/>
      <c r="AZ207" s="3098"/>
      <c r="BA207" s="3098"/>
      <c r="BB207" s="3099"/>
      <c r="BC207" s="430"/>
      <c r="BD207" s="430"/>
      <c r="BE207" s="430"/>
      <c r="BF207" s="430"/>
      <c r="BG207" s="430"/>
      <c r="BT207" s="430"/>
      <c r="BU207" s="430"/>
    </row>
    <row r="208" spans="1:73" ht="14.4" thickBot="1">
      <c r="A208" s="2816"/>
      <c r="B208" s="402" t="s">
        <v>17</v>
      </c>
      <c r="C208" s="403" t="s">
        <v>18</v>
      </c>
      <c r="D208" s="403" t="s">
        <v>52</v>
      </c>
      <c r="E208" s="404" t="s">
        <v>19</v>
      </c>
      <c r="F208" s="402" t="s">
        <v>17</v>
      </c>
      <c r="G208" s="403" t="s">
        <v>18</v>
      </c>
      <c r="H208" s="403" t="s">
        <v>52</v>
      </c>
      <c r="I208" s="404" t="s">
        <v>19</v>
      </c>
      <c r="J208" s="402" t="s">
        <v>17</v>
      </c>
      <c r="K208" s="403" t="s">
        <v>18</v>
      </c>
      <c r="L208" s="403" t="s">
        <v>52</v>
      </c>
      <c r="M208" s="404" t="s">
        <v>19</v>
      </c>
      <c r="N208" s="402" t="s">
        <v>17</v>
      </c>
      <c r="O208" s="403" t="s">
        <v>18</v>
      </c>
      <c r="P208" s="403" t="s">
        <v>52</v>
      </c>
      <c r="Q208" s="404" t="s">
        <v>19</v>
      </c>
      <c r="R208" s="402" t="s">
        <v>17</v>
      </c>
      <c r="S208" s="403" t="s">
        <v>18</v>
      </c>
      <c r="T208" s="403" t="s">
        <v>52</v>
      </c>
      <c r="U208" s="404" t="s">
        <v>19</v>
      </c>
      <c r="V208" s="402" t="s">
        <v>17</v>
      </c>
      <c r="W208" s="403" t="s">
        <v>18</v>
      </c>
      <c r="X208" s="403" t="s">
        <v>52</v>
      </c>
      <c r="Y208" s="404" t="s">
        <v>19</v>
      </c>
      <c r="Z208" s="402" t="s">
        <v>17</v>
      </c>
      <c r="AA208" s="403" t="s">
        <v>18</v>
      </c>
      <c r="AB208" s="403" t="s">
        <v>52</v>
      </c>
      <c r="AC208" s="404" t="s">
        <v>19</v>
      </c>
      <c r="AD208" s="402" t="s">
        <v>17</v>
      </c>
      <c r="AE208" s="403" t="s">
        <v>18</v>
      </c>
      <c r="AF208" s="403" t="s">
        <v>52</v>
      </c>
      <c r="AG208" s="404" t="s">
        <v>19</v>
      </c>
      <c r="AH208" s="402" t="s">
        <v>17</v>
      </c>
      <c r="AI208" s="403" t="s">
        <v>18</v>
      </c>
      <c r="AJ208" s="403" t="s">
        <v>52</v>
      </c>
      <c r="AK208" s="404" t="s">
        <v>19</v>
      </c>
      <c r="AL208" s="402" t="s">
        <v>17</v>
      </c>
      <c r="AM208" s="403" t="s">
        <v>18</v>
      </c>
      <c r="AN208" s="403" t="s">
        <v>52</v>
      </c>
      <c r="AO208" s="404" t="s">
        <v>19</v>
      </c>
      <c r="AP208" s="1107" t="s">
        <v>17</v>
      </c>
      <c r="AQ208" s="403" t="s">
        <v>18</v>
      </c>
      <c r="AR208" s="403" t="s">
        <v>52</v>
      </c>
      <c r="AS208" s="404" t="s">
        <v>19</v>
      </c>
      <c r="AT208" s="402" t="s">
        <v>17</v>
      </c>
      <c r="AU208" s="403" t="s">
        <v>18</v>
      </c>
      <c r="AV208" s="403" t="s">
        <v>52</v>
      </c>
      <c r="AW208" s="404" t="s">
        <v>19</v>
      </c>
      <c r="AX208" s="402" t="s">
        <v>17</v>
      </c>
      <c r="AY208" s="403" t="s">
        <v>18</v>
      </c>
      <c r="AZ208" s="403" t="s">
        <v>52</v>
      </c>
      <c r="BA208" s="431" t="s">
        <v>19</v>
      </c>
      <c r="BB208" s="404" t="s">
        <v>160</v>
      </c>
      <c r="BD208" s="117" t="s">
        <v>176</v>
      </c>
      <c r="BE208" s="117" t="s">
        <v>177</v>
      </c>
      <c r="BF208" s="117" t="s">
        <v>312</v>
      </c>
      <c r="BG208" s="117" t="s">
        <v>313</v>
      </c>
    </row>
    <row r="209" spans="1:73" ht="14.4">
      <c r="A209" s="397" t="s">
        <v>6</v>
      </c>
      <c r="B209" s="438">
        <f>'Feuil-saisie'!B5/1000000</f>
        <v>83.288050999999996</v>
      </c>
      <c r="C209" s="439">
        <f>'Feuil-saisie'!C5/1000000</f>
        <v>10.773744000000001</v>
      </c>
      <c r="D209" s="1126">
        <f>SUM(B209:C209)</f>
        <v>94.061794999999989</v>
      </c>
      <c r="E209" s="1090">
        <f>'Feuil-saisie'!D5/1000000</f>
        <v>79.292672799999991</v>
      </c>
      <c r="F209" s="438">
        <f>'Feuil-saisie'!N5/1000000</f>
        <v>96.069946000000002</v>
      </c>
      <c r="G209" s="439">
        <f>'Feuil-saisie'!O5/1000000</f>
        <v>10.712343000000001</v>
      </c>
      <c r="H209" s="1126">
        <f>SUM(F209:G209)</f>
        <v>106.78228900000001</v>
      </c>
      <c r="I209" s="1090">
        <f>'Feuil-saisie'!P5/1000000</f>
        <v>67.895132529999984</v>
      </c>
      <c r="J209" s="438">
        <f>'Feuil-saisie'!Z5/1000000</f>
        <v>83.691609999999997</v>
      </c>
      <c r="K209" s="439">
        <f>'Feuil-saisie'!AA5/1000000</f>
        <v>17.701756</v>
      </c>
      <c r="L209" s="1126">
        <f t="shared" ref="L209:L218" si="372">J209+K209</f>
        <v>101.393366</v>
      </c>
      <c r="M209" s="1090">
        <f>'Feuil-saisie'!AB5/1000000</f>
        <v>76.630558459999989</v>
      </c>
      <c r="N209" s="438">
        <f>'Feuil-saisie'!AL5/1000000</f>
        <v>86.254930999999999</v>
      </c>
      <c r="O209" s="439">
        <f>'Feuil-saisie'!AM5/1000000</f>
        <v>12.623055000000001</v>
      </c>
      <c r="P209" s="440">
        <f t="shared" ref="P209:P218" si="373">N209+O209</f>
        <v>98.877985999999993</v>
      </c>
      <c r="Q209" s="441">
        <f>'Feuil-saisie'!AN5/1000000</f>
        <v>67.630046179999994</v>
      </c>
      <c r="R209" s="450">
        <f>'Feuil-saisie'!AX5/1000000</f>
        <v>87.992202000000006</v>
      </c>
      <c r="S209" s="451">
        <f>'Feuil-saisie'!AY5/1000000</f>
        <v>13.297905</v>
      </c>
      <c r="T209" s="453">
        <f>SUM(R209:S209)</f>
        <v>101.29010700000001</v>
      </c>
      <c r="U209" s="452">
        <f>'Feuil-saisie'!AZ5/1000000</f>
        <v>80.665052870000011</v>
      </c>
      <c r="V209" s="450">
        <f>'Feuil-saisie'!BJ5/1000000</f>
        <v>94.831011000000004</v>
      </c>
      <c r="W209" s="451">
        <f>'Feuil-saisie'!BK5/1000000</f>
        <v>19.940289</v>
      </c>
      <c r="X209" s="1238">
        <f>V209+W209</f>
        <v>114.7713</v>
      </c>
      <c r="Y209" s="1239">
        <f>'Feuil-saisie'!BL5/1000000</f>
        <v>79.561185829999999</v>
      </c>
      <c r="Z209" s="479">
        <f>'Feuil-saisie'!BV5/1000000</f>
        <v>146.81556</v>
      </c>
      <c r="AA209" s="451">
        <f>'Feuil-saisie'!BW5/1000000</f>
        <v>10.051644</v>
      </c>
      <c r="AB209" s="453">
        <f>Z209+AA209</f>
        <v>156.86720400000002</v>
      </c>
      <c r="AC209" s="452">
        <f>'Feuil-saisie'!BX5/1000000</f>
        <v>92.976532500000005</v>
      </c>
      <c r="AD209" s="450">
        <f>'Feuil-saisie'!CH5/1000000</f>
        <v>193.85362000000001</v>
      </c>
      <c r="AE209" s="451">
        <f>'Feuil-saisie'!CI5/1000000</f>
        <v>12.626743000000001</v>
      </c>
      <c r="AF209" s="453">
        <f>AD209+AE209</f>
        <v>206.48036300000001</v>
      </c>
      <c r="AG209" s="452">
        <f>'Feuil-saisie'!CJ5/1000000</f>
        <v>96.694337939999997</v>
      </c>
      <c r="AH209" s="1086">
        <f>'Feuil-saisie'!CT5/1000000</f>
        <v>0</v>
      </c>
      <c r="AI209" s="1087">
        <f>'Feuil-saisie'!CU5/1000000</f>
        <v>0</v>
      </c>
      <c r="AJ209" s="1087">
        <f>AH209+AI209</f>
        <v>0</v>
      </c>
      <c r="AK209" s="1088">
        <f>'Feuil-saisie'!CV5/1000000</f>
        <v>0</v>
      </c>
      <c r="AL209" s="438">
        <f>'Feuil-saisie'!DF5/1000000</f>
        <v>0</v>
      </c>
      <c r="AM209" s="439">
        <f>'Feuil-saisie'!DG5/1000000</f>
        <v>0</v>
      </c>
      <c r="AN209" s="1393">
        <f>AL209+AM209</f>
        <v>0</v>
      </c>
      <c r="AO209" s="441">
        <f>'Feuil-saisie'!DH5/1000000</f>
        <v>0</v>
      </c>
      <c r="AP209" s="438">
        <f>'Feuil-saisie'!DR5/1000000</f>
        <v>0</v>
      </c>
      <c r="AQ209" s="439">
        <f>'Feuil-saisie'!DS5/1000000</f>
        <v>0</v>
      </c>
      <c r="AR209" s="440">
        <f>AP209+AQ209</f>
        <v>0</v>
      </c>
      <c r="AS209" s="441">
        <f>'Feuil-saisie'!DT5/1000000</f>
        <v>0</v>
      </c>
      <c r="AT209" s="438">
        <f>'Feuil-saisie'!ED5/1000000</f>
        <v>0</v>
      </c>
      <c r="AU209" s="439">
        <f>'Feuil-saisie'!EE5/1000000</f>
        <v>0</v>
      </c>
      <c r="AV209" s="440">
        <f>SUM(AT209:AU209)</f>
        <v>0</v>
      </c>
      <c r="AW209" s="441">
        <f>'Feuil-saisie'!EF5/1000000</f>
        <v>0</v>
      </c>
      <c r="AX209" s="635">
        <f t="shared" ref="AX209:AX218" si="374">+B209+F209+J209+N209+R209+V209+Z209+AD209+AH209+AL209+AP209+AT209</f>
        <v>872.79693100000009</v>
      </c>
      <c r="AY209" s="442">
        <f t="shared" ref="AY209:AY218" si="375">+C209+G209+K209+O209+S209+W209+AA209+AE209+AI209+AM209+AQ209+AU209</f>
        <v>107.727479</v>
      </c>
      <c r="AZ209" s="1098">
        <f t="shared" ref="AZ209:AZ218" si="376">+D209+H209+L209+P209+T209+X209+AB209+AF209+AJ209+AN209+AR209+AV209</f>
        <v>980.5244100000001</v>
      </c>
      <c r="BA209" s="1099">
        <f t="shared" ref="BA209:BA218" si="377">+E209+I209+M209+Q209+U209+Y209+AC209+AG209+AK209+AO209+AS209+AW209</f>
        <v>641.34551910999994</v>
      </c>
      <c r="BB209" s="1102">
        <f>+AZ209+BA209</f>
        <v>1621.8699291100002</v>
      </c>
      <c r="BC209" s="445"/>
      <c r="BD209" s="446">
        <f>AF209</f>
        <v>206.48036300000001</v>
      </c>
      <c r="BE209" s="446">
        <f>AG209</f>
        <v>96.694337939999997</v>
      </c>
      <c r="BF209" s="446">
        <f>AD209</f>
        <v>193.85362000000001</v>
      </c>
      <c r="BG209" s="446">
        <f>AE209</f>
        <v>12.626743000000001</v>
      </c>
    </row>
    <row r="210" spans="1:73" s="446" customFormat="1" ht="14.4">
      <c r="A210" s="460" t="s">
        <v>7</v>
      </c>
      <c r="B210" s="438">
        <f>'Feuil-saisie'!B6/1000000</f>
        <v>39.860377999999997</v>
      </c>
      <c r="C210" s="439">
        <f>'Feuil-saisie'!C6/1000000</f>
        <v>4.9940639999999998</v>
      </c>
      <c r="D210" s="1126">
        <f t="shared" ref="D210:D218" si="378">B210+C210</f>
        <v>44.854441999999999</v>
      </c>
      <c r="E210" s="1090">
        <f>'Feuil-saisie'!D6/1000000</f>
        <v>28.285837569000002</v>
      </c>
      <c r="F210" s="438">
        <f>'Feuil-saisie'!N6/1000000</f>
        <v>37.730693000000002</v>
      </c>
      <c r="G210" s="439">
        <f>'Feuil-saisie'!O6/1000000</f>
        <v>4.9570360000000004</v>
      </c>
      <c r="H210" s="1126">
        <f>F210+G210</f>
        <v>42.687729000000004</v>
      </c>
      <c r="I210" s="1090">
        <f>'Feuil-saisie'!P6/1000000</f>
        <v>28.429835789999998</v>
      </c>
      <c r="J210" s="438">
        <f>'Feuil-saisie'!Z6/1000000</f>
        <v>30.057313001241198</v>
      </c>
      <c r="K210" s="439">
        <f>'Feuil-saisie'!AA6/1000000</f>
        <v>17.891689</v>
      </c>
      <c r="L210" s="1126">
        <f>J210+K210</f>
        <v>47.949002001241197</v>
      </c>
      <c r="M210" s="1090">
        <f>'Feuil-saisie'!AB6/1000000</f>
        <v>30.18365958</v>
      </c>
      <c r="N210" s="438">
        <f>'Feuil-saisie'!AL6/1000000</f>
        <v>40.714533000000003</v>
      </c>
      <c r="O210" s="439">
        <f>'Feuil-saisie'!AM6/1000000</f>
        <v>5.463279</v>
      </c>
      <c r="P210" s="440">
        <f t="shared" si="373"/>
        <v>46.177812000000003</v>
      </c>
      <c r="Q210" s="441">
        <f>'Feuil-saisie'!AN6/1000000</f>
        <v>26.06</v>
      </c>
      <c r="R210" s="450">
        <f>'Feuil-saisie'!AX6/1000000</f>
        <v>38.869508000000003</v>
      </c>
      <c r="S210" s="451">
        <f>'Feuil-saisie'!AY6/1000000</f>
        <v>5.5111549999999996</v>
      </c>
      <c r="T210" s="453">
        <f t="shared" ref="T210:T218" si="379">SUM(R210:S210)</f>
        <v>44.380663000000006</v>
      </c>
      <c r="U210" s="452">
        <f>'Feuil-saisie'!AZ6/1000000</f>
        <v>28.817658999999999</v>
      </c>
      <c r="V210" s="450">
        <f>'Feuil-saisie'!BJ6/1000000</f>
        <v>35.493236000000003</v>
      </c>
      <c r="W210" s="451">
        <f>'Feuil-saisie'!BK6/1000000</f>
        <v>12.827802</v>
      </c>
      <c r="X210" s="453">
        <f t="shared" ref="X210:X218" si="380">V210+W210</f>
        <v>48.321038000000001</v>
      </c>
      <c r="Y210" s="452">
        <f>'Feuil-saisie'!BL6/1000000</f>
        <v>32.390031467999997</v>
      </c>
      <c r="Z210" s="479">
        <f>'Feuil-saisie'!BV6/1000000</f>
        <v>72.354202000000001</v>
      </c>
      <c r="AA210" s="451">
        <f>'Feuil-saisie'!BW6/1000000</f>
        <v>5.1975350000000002</v>
      </c>
      <c r="AB210" s="453">
        <f t="shared" ref="AB210:AB218" si="381">Z210+AA210</f>
        <v>77.551737000000003</v>
      </c>
      <c r="AC210" s="452">
        <f>'Feuil-saisie'!BX6/1000000</f>
        <v>31.171141770000002</v>
      </c>
      <c r="AD210" s="450">
        <f>'Feuil-saisie'!CH6/1000000</f>
        <v>80.651584999999997</v>
      </c>
      <c r="AE210" s="451">
        <f>'Feuil-saisie'!CI6/1000000</f>
        <v>5.2450409999999996</v>
      </c>
      <c r="AF210" s="453">
        <f t="shared" ref="AF210:AF218" si="382">AD210+AE210</f>
        <v>85.896625999999998</v>
      </c>
      <c r="AG210" s="452">
        <f>'Feuil-saisie'!CJ6/1000000</f>
        <v>34.079603169999999</v>
      </c>
      <c r="AH210" s="1086">
        <f>'Feuil-saisie'!CT6/1000000</f>
        <v>0</v>
      </c>
      <c r="AI210" s="1087">
        <f>'Feuil-saisie'!CU6/1000000</f>
        <v>0</v>
      </c>
      <c r="AJ210" s="1087">
        <f t="shared" ref="AJ210:AJ218" si="383">AH210+AI210</f>
        <v>0</v>
      </c>
      <c r="AK210" s="1088">
        <f>'Feuil-saisie'!CV6/1000000</f>
        <v>0</v>
      </c>
      <c r="AL210" s="438">
        <f>'Feuil-saisie'!DF6/1000000</f>
        <v>0</v>
      </c>
      <c r="AM210" s="439">
        <f>'Feuil-saisie'!DG6/1000000</f>
        <v>0</v>
      </c>
      <c r="AN210" s="440">
        <f t="shared" ref="AN210:AN218" si="384">AL210+AM210</f>
        <v>0</v>
      </c>
      <c r="AO210" s="441">
        <f>'Feuil-saisie'!DH6/1000000</f>
        <v>0</v>
      </c>
      <c r="AP210" s="438">
        <f>'Feuil-saisie'!DR6/1000000</f>
        <v>0</v>
      </c>
      <c r="AQ210" s="439">
        <f>'Feuil-saisie'!DS6/1000000</f>
        <v>0</v>
      </c>
      <c r="AR210" s="440">
        <f t="shared" ref="AR210:AR218" si="385">AP210+AQ210</f>
        <v>0</v>
      </c>
      <c r="AS210" s="441">
        <f>'Feuil-saisie'!DT6/1000000</f>
        <v>0</v>
      </c>
      <c r="AT210" s="438">
        <f>'Feuil-saisie'!ED6/1000000</f>
        <v>0</v>
      </c>
      <c r="AU210" s="439">
        <f>'Feuil-saisie'!EE6/1000000</f>
        <v>0</v>
      </c>
      <c r="AV210" s="440">
        <f t="shared" ref="AV210:AV218" si="386">SUM(AT210:AU210)</f>
        <v>0</v>
      </c>
      <c r="AW210" s="441">
        <f>'Feuil-saisie'!EF6/1000000</f>
        <v>0</v>
      </c>
      <c r="AX210" s="1061">
        <f>+B210+F210+J210+N210+R210+V210+Z210+AD210+AH210+AL210+AP210+AT210</f>
        <v>375.73144800124123</v>
      </c>
      <c r="AY210" s="1047">
        <f t="shared" si="375"/>
        <v>62.087600999999999</v>
      </c>
      <c r="AZ210" s="1047">
        <f t="shared" si="376"/>
        <v>437.81904900124118</v>
      </c>
      <c r="BA210" s="1089">
        <f t="shared" si="377"/>
        <v>239.41776834699999</v>
      </c>
      <c r="BB210" s="1103">
        <f t="shared" ref="BB210:BB218" si="387">+AZ210+BA210</f>
        <v>677.23681734824117</v>
      </c>
      <c r="BC210" s="445"/>
      <c r="BD210" s="446">
        <f t="shared" ref="BD210:BD219" si="388">AF210</f>
        <v>85.896625999999998</v>
      </c>
      <c r="BE210" s="446">
        <f t="shared" ref="BE210:BE218" si="389">AG210</f>
        <v>34.079603169999999</v>
      </c>
      <c r="BF210" s="446">
        <f t="shared" ref="BF210:BF219" si="390">AD210</f>
        <v>80.651584999999997</v>
      </c>
      <c r="BG210" s="446">
        <f t="shared" ref="BG210:BG218" si="391">AE210</f>
        <v>5.2450409999999996</v>
      </c>
      <c r="BH210" s="117"/>
      <c r="BI210" s="117"/>
      <c r="BJ210" s="117"/>
      <c r="BK210" s="117"/>
      <c r="BL210" s="117"/>
      <c r="BM210" s="117"/>
      <c r="BN210" s="117"/>
      <c r="BO210" s="117"/>
      <c r="BP210" s="117"/>
      <c r="BQ210" s="117"/>
      <c r="BR210" s="117"/>
      <c r="BS210" s="117"/>
    </row>
    <row r="211" spans="1:73" ht="14.4">
      <c r="A211" s="397" t="s">
        <v>8</v>
      </c>
      <c r="B211" s="438">
        <f>'Feuil-saisie'!B7/1000000</f>
        <v>39.125926999999997</v>
      </c>
      <c r="C211" s="439">
        <f>'Feuil-saisie'!C7/1000000</f>
        <v>6.4653869999999998</v>
      </c>
      <c r="D211" s="1126">
        <f t="shared" si="378"/>
        <v>45.591313999999997</v>
      </c>
      <c r="E211" s="1090">
        <f>'Feuil-saisie'!D7/1000000</f>
        <v>21.025404720000001</v>
      </c>
      <c r="F211" s="438">
        <f>'Feuil-saisie'!N7/1000000</f>
        <v>38.556599000000013</v>
      </c>
      <c r="G211" s="439">
        <f>'Feuil-saisie'!O7/1000000</f>
        <v>7.5177269999999998</v>
      </c>
      <c r="H211" s="1126">
        <f t="shared" ref="H211:H218" si="392">F211+G211</f>
        <v>46.074326000000013</v>
      </c>
      <c r="I211" s="1090">
        <f>'Feuil-saisie'!P7/1000000</f>
        <v>17.473900610000001</v>
      </c>
      <c r="J211" s="438">
        <f>'Feuil-saisie'!Z7/1000000</f>
        <v>35.859209999999997</v>
      </c>
      <c r="K211" s="439">
        <f>'Feuil-saisie'!AA7/1000000</f>
        <v>17.172402000000002</v>
      </c>
      <c r="L211" s="1126">
        <f t="shared" si="372"/>
        <v>53.031611999999996</v>
      </c>
      <c r="M211" s="1090">
        <f>'Feuil-saisie'!AB7/1000000</f>
        <v>17.192378900000001</v>
      </c>
      <c r="N211" s="438">
        <f>'Feuil-saisie'!AL7/1000000</f>
        <v>42.05156599999998</v>
      </c>
      <c r="O211" s="439">
        <f>'Feuil-saisie'!AM7/1000000</f>
        <v>8.5580479999999994</v>
      </c>
      <c r="P211" s="440">
        <f t="shared" si="373"/>
        <v>50.609613999999979</v>
      </c>
      <c r="Q211" s="441">
        <f>'Feuil-saisie'!AN7/1000000</f>
        <v>16.18597634</v>
      </c>
      <c r="R211" s="450">
        <f>'Feuil-saisie'!AX7/1000000</f>
        <v>40.643937999999963</v>
      </c>
      <c r="S211" s="451">
        <f>'Feuil-saisie'!AY7/1000000</f>
        <v>8.3165600000000008</v>
      </c>
      <c r="T211" s="453">
        <f t="shared" si="379"/>
        <v>48.960497999999966</v>
      </c>
      <c r="U211" s="452">
        <f>'Feuil-saisie'!AZ7/1000000</f>
        <v>16.749000880000001</v>
      </c>
      <c r="V211" s="450">
        <f>'Feuil-saisie'!BJ7/1000000</f>
        <v>42.18665</v>
      </c>
      <c r="W211" s="451">
        <f>'Feuil-saisie'!BK7/1000000</f>
        <v>13.974151999999998</v>
      </c>
      <c r="X211" s="453">
        <f t="shared" si="380"/>
        <v>56.160801999999997</v>
      </c>
      <c r="Y211" s="452">
        <f>'Feuil-saisie'!BL7/1000000</f>
        <v>18.027346909999999</v>
      </c>
      <c r="Z211" s="479">
        <f>'Feuil-saisie'!BV7/1000000</f>
        <v>65.917273999999992</v>
      </c>
      <c r="AA211" s="451">
        <f>'Feuil-saisie'!BW7/1000000</f>
        <v>8.4352099999999997</v>
      </c>
      <c r="AB211" s="453">
        <f t="shared" si="381"/>
        <v>74.35248399999999</v>
      </c>
      <c r="AC211" s="452">
        <f>'Feuil-saisie'!BX7/1000000</f>
        <v>16.04415302</v>
      </c>
      <c r="AD211" s="450">
        <f>'Feuil-saisie'!CH7/1000000</f>
        <v>72.23345599999999</v>
      </c>
      <c r="AE211" s="451">
        <f>'Feuil-saisie'!CI7/1000000</f>
        <v>9.1286530000000017</v>
      </c>
      <c r="AF211" s="453">
        <f t="shared" si="382"/>
        <v>81.36210899999999</v>
      </c>
      <c r="AG211" s="452">
        <f>'Feuil-saisie'!CJ7/1000000</f>
        <v>17.501550110000004</v>
      </c>
      <c r="AH211" s="1086">
        <f>'Feuil-saisie'!CT7/1000000</f>
        <v>0</v>
      </c>
      <c r="AI211" s="1087">
        <f>'Feuil-saisie'!CU7/1000000</f>
        <v>0</v>
      </c>
      <c r="AJ211" s="1087">
        <f t="shared" si="383"/>
        <v>0</v>
      </c>
      <c r="AK211" s="1088">
        <f>'Feuil-saisie'!CV7/1000000</f>
        <v>0</v>
      </c>
      <c r="AL211" s="438">
        <f>'Feuil-saisie'!DF7/1000000</f>
        <v>0</v>
      </c>
      <c r="AM211" s="439">
        <f>'Feuil-saisie'!DG7/1000000</f>
        <v>0</v>
      </c>
      <c r="AN211" s="440">
        <f t="shared" si="384"/>
        <v>0</v>
      </c>
      <c r="AO211" s="441">
        <f>'Feuil-saisie'!DH7/1000000</f>
        <v>0</v>
      </c>
      <c r="AP211" s="438">
        <f>'Feuil-saisie'!DR7/1000000</f>
        <v>0</v>
      </c>
      <c r="AQ211" s="439">
        <f>'Feuil-saisie'!DS7/1000000</f>
        <v>0</v>
      </c>
      <c r="AR211" s="440">
        <f t="shared" si="385"/>
        <v>0</v>
      </c>
      <c r="AS211" s="441">
        <f>'Feuil-saisie'!DT7/1000000</f>
        <v>0</v>
      </c>
      <c r="AT211" s="438">
        <f>'Feuil-saisie'!ED7/1000000</f>
        <v>0</v>
      </c>
      <c r="AU211" s="439">
        <f>'Feuil-saisie'!EE7/1000000</f>
        <v>0</v>
      </c>
      <c r="AV211" s="440">
        <f t="shared" si="386"/>
        <v>0</v>
      </c>
      <c r="AW211" s="441">
        <f>'Feuil-saisie'!EF7/1000000</f>
        <v>0</v>
      </c>
      <c r="AX211" s="636">
        <f t="shared" si="374"/>
        <v>376.57461999999992</v>
      </c>
      <c r="AY211" s="447">
        <f>+C211+G211+K211+O211+S211+W211+AA211+AE211+AI211+AM211+AQ211+AU211</f>
        <v>79.568139000000002</v>
      </c>
      <c r="AZ211" s="1047">
        <f t="shared" si="376"/>
        <v>456.1427589999999</v>
      </c>
      <c r="BA211" s="1089">
        <f t="shared" si="377"/>
        <v>140.19971149</v>
      </c>
      <c r="BB211" s="1103">
        <f t="shared" si="387"/>
        <v>596.34247048999987</v>
      </c>
      <c r="BC211" s="445"/>
      <c r="BD211" s="446">
        <f t="shared" si="388"/>
        <v>81.36210899999999</v>
      </c>
      <c r="BE211" s="446">
        <f t="shared" si="389"/>
        <v>17.501550110000004</v>
      </c>
      <c r="BF211" s="446">
        <f t="shared" si="390"/>
        <v>72.23345599999999</v>
      </c>
      <c r="BG211" s="446">
        <f t="shared" si="391"/>
        <v>9.1286530000000017</v>
      </c>
    </row>
    <row r="212" spans="1:73" ht="14.4">
      <c r="A212" s="397" t="s">
        <v>4</v>
      </c>
      <c r="B212" s="438">
        <f>'Feuil-saisie'!B8/1000000</f>
        <v>74.514548000000005</v>
      </c>
      <c r="C212" s="439">
        <f>'Feuil-saisie'!C8/1000000</f>
        <v>9.0877409999999994</v>
      </c>
      <c r="D212" s="1126">
        <f t="shared" si="378"/>
        <v>83.602288999999999</v>
      </c>
      <c r="E212" s="1090">
        <f>'Feuil-saisie'!D8/1000000</f>
        <v>35.26771136</v>
      </c>
      <c r="F212" s="438">
        <f>'Feuil-saisie'!N8/1000000</f>
        <v>74.631697000000003</v>
      </c>
      <c r="G212" s="439">
        <f>'Feuil-saisie'!O8/1000000</f>
        <v>10.124969</v>
      </c>
      <c r="H212" s="1126">
        <f t="shared" si="392"/>
        <v>84.756665999999996</v>
      </c>
      <c r="I212" s="1090">
        <f>'Feuil-saisie'!P8/1000000</f>
        <v>40.433869340000001</v>
      </c>
      <c r="J212" s="438">
        <f>'Feuil-saisie'!Z8/1000000</f>
        <v>67.351992999999993</v>
      </c>
      <c r="K212" s="439">
        <f>'Feuil-saisie'!AA8/1000000</f>
        <v>12.556578999999999</v>
      </c>
      <c r="L212" s="1126">
        <f t="shared" si="372"/>
        <v>79.908571999999992</v>
      </c>
      <c r="M212" s="1090">
        <f>'Feuil-saisie'!AB8/1000000</f>
        <v>41.92646770999999</v>
      </c>
      <c r="N212" s="438">
        <f>'Feuil-saisie'!AL8/1000000</f>
        <v>76.093519999999998</v>
      </c>
      <c r="O212" s="439">
        <f>'Feuil-saisie'!AM8/1000000</f>
        <v>9.1479090000000003</v>
      </c>
      <c r="P212" s="440">
        <f t="shared" si="373"/>
        <v>85.241428999999997</v>
      </c>
      <c r="Q212" s="441">
        <f>'Feuil-saisie'!AN8/1000000</f>
        <v>41.570230449999997</v>
      </c>
      <c r="R212" s="450">
        <f>'Feuil-saisie'!AX8/1000000</f>
        <v>69.392555000000002</v>
      </c>
      <c r="S212" s="451">
        <f>'Feuil-saisie'!AY8/1000000</f>
        <v>8.8724050000000005</v>
      </c>
      <c r="T212" s="453">
        <f t="shared" si="379"/>
        <v>78.264960000000002</v>
      </c>
      <c r="U212" s="452">
        <f>'Feuil-saisie'!AZ8/1000000</f>
        <v>38.917549600000015</v>
      </c>
      <c r="V212" s="450">
        <f>'Feuil-saisie'!BJ8/1000000</f>
        <v>65.840055000000007</v>
      </c>
      <c r="W212" s="451">
        <f>'Feuil-saisie'!BK8/1000000</f>
        <v>10.064227000000001</v>
      </c>
      <c r="X212" s="453">
        <f t="shared" si="380"/>
        <v>75.904282000000009</v>
      </c>
      <c r="Y212" s="452">
        <f>'Feuil-saisie'!BL8/1000000</f>
        <v>44.188272900000001</v>
      </c>
      <c r="Z212" s="479">
        <f>'Feuil-saisie'!BV8/1000000</f>
        <v>108.767377</v>
      </c>
      <c r="AA212" s="451">
        <f>'Feuil-saisie'!BW8/1000000</f>
        <v>8.0044780000000006</v>
      </c>
      <c r="AB212" s="453">
        <f t="shared" si="381"/>
        <v>116.771855</v>
      </c>
      <c r="AC212" s="452">
        <f>'Feuil-saisie'!BX8/1000000</f>
        <v>38.586111950000003</v>
      </c>
      <c r="AD212" s="450">
        <f>'Feuil-saisie'!CH8/1000000</f>
        <v>135.680117</v>
      </c>
      <c r="AE212" s="451">
        <f>'Feuil-saisie'!CI8/1000000</f>
        <v>9.3881610000000002</v>
      </c>
      <c r="AF212" s="453">
        <f t="shared" si="382"/>
        <v>145.06827799999999</v>
      </c>
      <c r="AG212" s="452">
        <f>'Feuil-saisie'!CJ8/1000000</f>
        <v>47.205277950000003</v>
      </c>
      <c r="AH212" s="1086">
        <f>'Feuil-saisie'!CT8/1000000</f>
        <v>0</v>
      </c>
      <c r="AI212" s="1087">
        <f>'Feuil-saisie'!CU8/1000000</f>
        <v>0</v>
      </c>
      <c r="AJ212" s="1087">
        <f t="shared" si="383"/>
        <v>0</v>
      </c>
      <c r="AK212" s="1088">
        <f>'Feuil-saisie'!CV8/1000000</f>
        <v>0</v>
      </c>
      <c r="AL212" s="438">
        <f>'Feuil-saisie'!DF8/1000000</f>
        <v>0</v>
      </c>
      <c r="AM212" s="439">
        <f>'Feuil-saisie'!DG8/1000000</f>
        <v>0</v>
      </c>
      <c r="AN212" s="440">
        <f t="shared" si="384"/>
        <v>0</v>
      </c>
      <c r="AO212" s="441">
        <f>'Feuil-saisie'!DH8/1000000</f>
        <v>0</v>
      </c>
      <c r="AP212" s="438">
        <f>'Feuil-saisie'!DR8/1000000</f>
        <v>0</v>
      </c>
      <c r="AQ212" s="439">
        <f>'Feuil-saisie'!DS8/1000000</f>
        <v>0</v>
      </c>
      <c r="AR212" s="440">
        <f t="shared" si="385"/>
        <v>0</v>
      </c>
      <c r="AS212" s="441">
        <f>'Feuil-saisie'!DT8/1000000</f>
        <v>0</v>
      </c>
      <c r="AT212" s="438">
        <f>'Feuil-saisie'!ED8/1000000</f>
        <v>0</v>
      </c>
      <c r="AU212" s="439">
        <f>'Feuil-saisie'!EE8/1000000</f>
        <v>0</v>
      </c>
      <c r="AV212" s="440">
        <f t="shared" si="386"/>
        <v>0</v>
      </c>
      <c r="AW212" s="441">
        <f>'Feuil-saisie'!EF8/1000000</f>
        <v>0</v>
      </c>
      <c r="AX212" s="636">
        <f>+B212+F212+J212+N212+R212+V212+Z212+AD212+AH212+AL212+AP212+AT212</f>
        <v>672.27186200000006</v>
      </c>
      <c r="AY212" s="447">
        <f t="shared" si="375"/>
        <v>77.246469000000005</v>
      </c>
      <c r="AZ212" s="1047">
        <f t="shared" si="376"/>
        <v>749.51833099999999</v>
      </c>
      <c r="BA212" s="1089">
        <f t="shared" si="377"/>
        <v>328.09549126000002</v>
      </c>
      <c r="BB212" s="1103">
        <f t="shared" si="387"/>
        <v>1077.61382226</v>
      </c>
      <c r="BC212" s="445"/>
      <c r="BD212" s="446">
        <f t="shared" si="388"/>
        <v>145.06827799999999</v>
      </c>
      <c r="BE212" s="446">
        <f t="shared" si="389"/>
        <v>47.205277950000003</v>
      </c>
      <c r="BF212" s="446">
        <f t="shared" si="390"/>
        <v>135.680117</v>
      </c>
      <c r="BG212" s="446">
        <f t="shared" si="391"/>
        <v>9.3881610000000002</v>
      </c>
    </row>
    <row r="213" spans="1:73" ht="14.4">
      <c r="A213" s="397" t="s">
        <v>3</v>
      </c>
      <c r="B213" s="438">
        <f>'Feuil-saisie'!B9/1000000</f>
        <v>56.572082999999999</v>
      </c>
      <c r="C213" s="439">
        <f>'Feuil-saisie'!C9/1000000</f>
        <v>8.2756600000000002</v>
      </c>
      <c r="D213" s="1126">
        <f t="shared" si="378"/>
        <v>64.847742999999994</v>
      </c>
      <c r="E213" s="1090">
        <f>'Feuil-saisie'!D9/1000000</f>
        <v>25.813354219999997</v>
      </c>
      <c r="F213" s="438">
        <f>'Feuil-saisie'!N9/1000000</f>
        <v>60.623953</v>
      </c>
      <c r="G213" s="439">
        <f>'Feuil-saisie'!O9/1000000</f>
        <v>7.7515729999999996</v>
      </c>
      <c r="H213" s="1126">
        <f t="shared" si="392"/>
        <v>68.375525999999994</v>
      </c>
      <c r="I213" s="1090">
        <f>'Feuil-saisie'!P9/1000000</f>
        <v>29.134354949999999</v>
      </c>
      <c r="J213" s="438">
        <f>'Feuil-saisie'!Z9/1000000</f>
        <v>50.302033000000002</v>
      </c>
      <c r="K213" s="439">
        <f>'Feuil-saisie'!AA9/1000000</f>
        <v>20.732002999999999</v>
      </c>
      <c r="L213" s="1126">
        <f t="shared" si="372"/>
        <v>71.034036</v>
      </c>
      <c r="M213" s="1090">
        <f>'Feuil-saisie'!AB9/1000000</f>
        <v>33.047569060000001</v>
      </c>
      <c r="N213" s="438">
        <f>'Feuil-saisie'!AL9/1000000</f>
        <v>67.816525999999996</v>
      </c>
      <c r="O213" s="439">
        <f>'Feuil-saisie'!AM9/1000000</f>
        <v>9.0669229999999992</v>
      </c>
      <c r="P213" s="440">
        <f t="shared" si="373"/>
        <v>76.883448999999999</v>
      </c>
      <c r="Q213" s="441">
        <f>'Feuil-saisie'!AN9/1000000</f>
        <v>29.788639190000001</v>
      </c>
      <c r="R213" s="450">
        <f>'Feuil-saisie'!AX9/1000000</f>
        <v>78.618994999999998</v>
      </c>
      <c r="S213" s="451">
        <f>'Feuil-saisie'!AY9/1000000</f>
        <v>13.872884000000001</v>
      </c>
      <c r="T213" s="453">
        <f t="shared" si="379"/>
        <v>92.491878999999997</v>
      </c>
      <c r="U213" s="452">
        <f>'Feuil-saisie'!AZ9/1000000</f>
        <v>33.503483989999999</v>
      </c>
      <c r="V213" s="450">
        <f>'Feuil-saisie'!BJ9/1000000</f>
        <v>65.395287999999994</v>
      </c>
      <c r="W213" s="451">
        <f>'Feuil-saisie'!BK9/1000000</f>
        <v>17.250522</v>
      </c>
      <c r="X213" s="453">
        <f t="shared" si="380"/>
        <v>82.645809999999997</v>
      </c>
      <c r="Y213" s="452">
        <f>'Feuil-saisie'!BL9/1000000</f>
        <v>32.612138039999998</v>
      </c>
      <c r="Z213" s="479">
        <f>'Feuil-saisie'!BV9/1000000</f>
        <v>83.318652999999998</v>
      </c>
      <c r="AA213" s="451">
        <f>'Feuil-saisie'!BW9/1000000</f>
        <v>7.9549669999999999</v>
      </c>
      <c r="AB213" s="453">
        <f t="shared" si="381"/>
        <v>91.273619999999994</v>
      </c>
      <c r="AC213" s="452">
        <f>'Feuil-saisie'!BX9/1000000</f>
        <v>38.973374929999999</v>
      </c>
      <c r="AD213" s="450">
        <f>'Feuil-saisie'!CH9/1000000</f>
        <v>100.76337700000001</v>
      </c>
      <c r="AE213" s="451">
        <f>'Feuil-saisie'!CI9/1000000</f>
        <v>4.4044350000000003</v>
      </c>
      <c r="AF213" s="453">
        <f t="shared" si="382"/>
        <v>105.16781200000001</v>
      </c>
      <c r="AG213" s="452">
        <f>'Feuil-saisie'!CJ9/1000000</f>
        <v>37.931612340000001</v>
      </c>
      <c r="AH213" s="1086">
        <f>'Feuil-saisie'!CT9/1000000</f>
        <v>0</v>
      </c>
      <c r="AI213" s="1087">
        <f>'Feuil-saisie'!CU9/1000000</f>
        <v>0</v>
      </c>
      <c r="AJ213" s="1087">
        <f t="shared" si="383"/>
        <v>0</v>
      </c>
      <c r="AK213" s="1088">
        <f>'Feuil-saisie'!CV9/1000000</f>
        <v>0</v>
      </c>
      <c r="AL213" s="438">
        <f>'Feuil-saisie'!DF9/1000000</f>
        <v>0</v>
      </c>
      <c r="AM213" s="439">
        <f>'Feuil-saisie'!DG9/1000000</f>
        <v>0</v>
      </c>
      <c r="AN213" s="440">
        <f t="shared" si="384"/>
        <v>0</v>
      </c>
      <c r="AO213" s="441">
        <f>'Feuil-saisie'!DH9/1000000</f>
        <v>0</v>
      </c>
      <c r="AP213" s="438">
        <f>'Feuil-saisie'!DR9/1000000</f>
        <v>0</v>
      </c>
      <c r="AQ213" s="439">
        <f>'Feuil-saisie'!DS9/1000000</f>
        <v>0</v>
      </c>
      <c r="AR213" s="440">
        <f t="shared" si="385"/>
        <v>0</v>
      </c>
      <c r="AS213" s="441">
        <f>'Feuil-saisie'!DT9/1000000</f>
        <v>0</v>
      </c>
      <c r="AT213" s="438">
        <f>'Feuil-saisie'!ED9/1000000</f>
        <v>0</v>
      </c>
      <c r="AU213" s="439">
        <f>'Feuil-saisie'!EE9/1000000</f>
        <v>0</v>
      </c>
      <c r="AV213" s="440">
        <f t="shared" si="386"/>
        <v>0</v>
      </c>
      <c r="AW213" s="441">
        <f>'Feuil-saisie'!EF9/1000000</f>
        <v>0</v>
      </c>
      <c r="AX213" s="636">
        <f t="shared" si="374"/>
        <v>563.41090799999995</v>
      </c>
      <c r="AY213" s="447">
        <f t="shared" si="375"/>
        <v>89.30896700000001</v>
      </c>
      <c r="AZ213" s="1047">
        <f t="shared" si="376"/>
        <v>652.71987499999989</v>
      </c>
      <c r="BA213" s="1089">
        <f t="shared" si="377"/>
        <v>260.80452672000001</v>
      </c>
      <c r="BB213" s="1103">
        <f t="shared" si="387"/>
        <v>913.5244017199999</v>
      </c>
      <c r="BC213" s="445"/>
      <c r="BD213" s="446">
        <f t="shared" si="388"/>
        <v>105.16781200000001</v>
      </c>
      <c r="BE213" s="446">
        <f t="shared" si="389"/>
        <v>37.931612340000001</v>
      </c>
      <c r="BF213" s="446">
        <f t="shared" si="390"/>
        <v>100.76337700000001</v>
      </c>
      <c r="BG213" s="446">
        <f t="shared" si="391"/>
        <v>4.4044350000000003</v>
      </c>
    </row>
    <row r="214" spans="1:73" ht="14.4">
      <c r="A214" s="397" t="s">
        <v>397</v>
      </c>
      <c r="B214" s="438">
        <f>'Feuil-saisie'!B10/1000000</f>
        <v>46.356506000000003</v>
      </c>
      <c r="C214" s="439">
        <f>'Feuil-saisie'!C10/1000000</f>
        <v>9.7055880000000005</v>
      </c>
      <c r="D214" s="1126">
        <f t="shared" si="378"/>
        <v>56.062094000000002</v>
      </c>
      <c r="E214" s="1090">
        <f>'Feuil-saisie'!D10/1000000</f>
        <v>22.686844350000001</v>
      </c>
      <c r="F214" s="438">
        <f>'Feuil-saisie'!N10/1000000</f>
        <v>43.776964</v>
      </c>
      <c r="G214" s="439">
        <f>'Feuil-saisie'!O10/1000000</f>
        <v>8.0698570000000007</v>
      </c>
      <c r="H214" s="1126">
        <f t="shared" si="392"/>
        <v>51.846820999999998</v>
      </c>
      <c r="I214" s="1090">
        <f>'Feuil-saisie'!P10/1000000</f>
        <v>22.074379739999998</v>
      </c>
      <c r="J214" s="438">
        <f>'Feuil-saisie'!Z10/1000000</f>
        <v>41.621949000000001</v>
      </c>
      <c r="K214" s="439">
        <f>'Feuil-saisie'!AA10/1000000</f>
        <v>7.5723050000000001</v>
      </c>
      <c r="L214" s="1126">
        <f t="shared" si="372"/>
        <v>49.194254000000001</v>
      </c>
      <c r="M214" s="1090">
        <f>'Feuil-saisie'!AB10/1000000</f>
        <v>21.829499470000002</v>
      </c>
      <c r="N214" s="438">
        <f>'Feuil-saisie'!AL10/1000000</f>
        <v>46.112448000000001</v>
      </c>
      <c r="O214" s="439">
        <f>'Feuil-saisie'!AM10/1000000</f>
        <v>9.1255869999999994</v>
      </c>
      <c r="P214" s="440">
        <f t="shared" si="373"/>
        <v>55.238034999999996</v>
      </c>
      <c r="Q214" s="441">
        <f>'Feuil-saisie'!AN10/1000000</f>
        <v>21.102370899999997</v>
      </c>
      <c r="R214" s="450">
        <f>'Feuil-saisie'!AX10/1000000</f>
        <v>40.727001000000001</v>
      </c>
      <c r="S214" s="451">
        <f>'Feuil-saisie'!AY10/1000000</f>
        <v>7.0533650000000003</v>
      </c>
      <c r="T214" s="453">
        <f t="shared" si="379"/>
        <v>47.780366000000001</v>
      </c>
      <c r="U214" s="1516">
        <f>'Feuil-saisie'!AZ10/1000000</f>
        <v>23.73399775</v>
      </c>
      <c r="V214" s="450">
        <f>'Feuil-saisie'!BJ10/1000000</f>
        <v>45.322369000000002</v>
      </c>
      <c r="W214" s="451">
        <f>'Feuil-saisie'!BK10/1000000</f>
        <v>12.129961</v>
      </c>
      <c r="X214" s="453">
        <f t="shared" si="380"/>
        <v>57.452330000000003</v>
      </c>
      <c r="Y214" s="452">
        <f>'Feuil-saisie'!BL10/1000000</f>
        <v>25.90190325</v>
      </c>
      <c r="Z214" s="479">
        <f>'Feuil-saisie'!BV10/1000000</f>
        <v>66.094474000000005</v>
      </c>
      <c r="AA214" s="451">
        <f>'Feuil-saisie'!BW10/1000000</f>
        <v>13.343769</v>
      </c>
      <c r="AB214" s="453">
        <f t="shared" si="381"/>
        <v>79.438243</v>
      </c>
      <c r="AC214" s="452">
        <f>'Feuil-saisie'!BX10/1000000</f>
        <v>29.804962120000003</v>
      </c>
      <c r="AD214" s="450">
        <f>'Feuil-saisie'!CH10/1000000</f>
        <v>74.387291000000005</v>
      </c>
      <c r="AE214" s="451">
        <f>'Feuil-saisie'!CI10/1000000</f>
        <v>11.254087</v>
      </c>
      <c r="AF214" s="453">
        <f t="shared" si="382"/>
        <v>85.641378000000003</v>
      </c>
      <c r="AG214" s="452">
        <f>'Feuil-saisie'!CJ10/1000000</f>
        <v>30.202004989999999</v>
      </c>
      <c r="AH214" s="1086">
        <f>'Feuil-saisie'!CT10/1000000</f>
        <v>0</v>
      </c>
      <c r="AI214" s="1087">
        <f>'Feuil-saisie'!CU10/1000000</f>
        <v>0</v>
      </c>
      <c r="AJ214" s="1087">
        <f t="shared" si="383"/>
        <v>0</v>
      </c>
      <c r="AK214" s="1088">
        <f>'Feuil-saisie'!CV10/1000000</f>
        <v>0</v>
      </c>
      <c r="AL214" s="438">
        <f>'Feuil-saisie'!DF10/1000000</f>
        <v>0</v>
      </c>
      <c r="AM214" s="439">
        <f>'Feuil-saisie'!DG10/1000000</f>
        <v>0</v>
      </c>
      <c r="AN214" s="440">
        <f t="shared" si="384"/>
        <v>0</v>
      </c>
      <c r="AO214" s="441">
        <f>'Feuil-saisie'!DH10/1000000</f>
        <v>0</v>
      </c>
      <c r="AP214" s="438">
        <f>'Feuil-saisie'!DR10/1000000</f>
        <v>0</v>
      </c>
      <c r="AQ214" s="439">
        <f>'Feuil-saisie'!DS10/1000000</f>
        <v>0</v>
      </c>
      <c r="AR214" s="440">
        <f t="shared" si="385"/>
        <v>0</v>
      </c>
      <c r="AS214" s="441">
        <f>'Feuil-saisie'!DT10/1000000</f>
        <v>0</v>
      </c>
      <c r="AT214" s="438">
        <f>'Feuil-saisie'!ED10/1000000</f>
        <v>0</v>
      </c>
      <c r="AU214" s="439">
        <f>'Feuil-saisie'!EE10/1000000</f>
        <v>0</v>
      </c>
      <c r="AV214" s="440">
        <f t="shared" si="386"/>
        <v>0</v>
      </c>
      <c r="AW214" s="441">
        <f>'Feuil-saisie'!EF10/1000000</f>
        <v>0</v>
      </c>
      <c r="AX214" s="636">
        <f t="shared" si="374"/>
        <v>404.399002</v>
      </c>
      <c r="AY214" s="447">
        <f t="shared" si="375"/>
        <v>78.254519000000002</v>
      </c>
      <c r="AZ214" s="1047">
        <f t="shared" si="376"/>
        <v>482.65352100000007</v>
      </c>
      <c r="BA214" s="1089">
        <f t="shared" si="377"/>
        <v>197.33596256999999</v>
      </c>
      <c r="BB214" s="1103">
        <f t="shared" si="387"/>
        <v>679.98948357000006</v>
      </c>
      <c r="BC214" s="445"/>
      <c r="BD214" s="446">
        <f t="shared" si="388"/>
        <v>85.641378000000003</v>
      </c>
      <c r="BE214" s="446">
        <f t="shared" si="389"/>
        <v>30.202004989999999</v>
      </c>
      <c r="BF214" s="446">
        <f t="shared" si="390"/>
        <v>74.387291000000005</v>
      </c>
      <c r="BG214" s="446">
        <f t="shared" si="391"/>
        <v>11.254087</v>
      </c>
    </row>
    <row r="215" spans="1:73" ht="14.4">
      <c r="A215" s="397" t="s">
        <v>399</v>
      </c>
      <c r="B215" s="438">
        <f>'Feuil-saisie'!B11/1000000</f>
        <v>80.770649000000006</v>
      </c>
      <c r="C215" s="439">
        <f>'Feuil-saisie'!C11/1000000</f>
        <v>1.2823439999999999</v>
      </c>
      <c r="D215" s="1126">
        <f>B215+C215</f>
        <v>82.052993000000001</v>
      </c>
      <c r="E215" s="1090">
        <f>'Feuil-saisie'!D11/1000000</f>
        <v>55.5379662</v>
      </c>
      <c r="F215" s="438">
        <f>'Feuil-saisie'!N11/1000000</f>
        <v>69.169005999999996</v>
      </c>
      <c r="G215" s="439">
        <f>'Feuil-saisie'!O11/1000000</f>
        <v>3.094093</v>
      </c>
      <c r="H215" s="1126">
        <f t="shared" si="392"/>
        <v>72.263098999999997</v>
      </c>
      <c r="I215" s="1090">
        <f>'Feuil-saisie'!P11/1000000</f>
        <v>54.774104009999995</v>
      </c>
      <c r="J215" s="438">
        <f>'Feuil-saisie'!Z11/1000000</f>
        <v>56.209702999999998</v>
      </c>
      <c r="K215" s="439">
        <f>'Feuil-saisie'!AA11/1000000</f>
        <v>23.603715000000001</v>
      </c>
      <c r="L215" s="1126">
        <f t="shared" si="372"/>
        <v>79.813417999999999</v>
      </c>
      <c r="M215" s="1090">
        <f>'Feuil-saisie'!AB11/1000000</f>
        <v>55.303696080000002</v>
      </c>
      <c r="N215" s="438">
        <f>'Feuil-saisie'!AL11/1000000</f>
        <v>74.414415000000005</v>
      </c>
      <c r="O215" s="439">
        <f>'Feuil-saisie'!AM11/1000000</f>
        <v>5.9555769999999999</v>
      </c>
      <c r="P215" s="440">
        <f t="shared" si="373"/>
        <v>80.369992000000011</v>
      </c>
      <c r="Q215" s="441">
        <f>'Feuil-saisie'!AN11/1000000</f>
        <v>63.948434329999998</v>
      </c>
      <c r="R215" s="450">
        <f>'Feuil-saisie'!AX11/1000000</f>
        <v>60.827551</v>
      </c>
      <c r="S215" s="451">
        <f>'Feuil-saisie'!AY11/1000000</f>
        <v>5.7281440000000003</v>
      </c>
      <c r="T215" s="1519">
        <f t="shared" si="379"/>
        <v>66.555695</v>
      </c>
      <c r="U215" s="1516">
        <f>'Feuil-saisie'!AZ11/1000000</f>
        <v>57.377868240000005</v>
      </c>
      <c r="V215" s="450">
        <f>'Feuil-saisie'!BJ11/1000000</f>
        <v>57.993434999999998</v>
      </c>
      <c r="W215" s="451">
        <f>'Feuil-saisie'!BK11/1000000</f>
        <v>25.594435000000001</v>
      </c>
      <c r="X215" s="453">
        <f t="shared" si="380"/>
        <v>83.587869999999995</v>
      </c>
      <c r="Y215" s="452">
        <f>'Feuil-saisie'!BL11/1000000</f>
        <v>57.551826659999996</v>
      </c>
      <c r="Z215" s="479">
        <f>'Feuil-saisie'!BV11/1000000</f>
        <v>109.11816899999999</v>
      </c>
      <c r="AA215" s="451">
        <f>'Feuil-saisie'!BW11/1000000</f>
        <v>5.9270399999999999</v>
      </c>
      <c r="AB215" s="453">
        <f t="shared" si="381"/>
        <v>115.045209</v>
      </c>
      <c r="AC215" s="452">
        <f>'Feuil-saisie'!BX11/1000000</f>
        <v>59.200033770000005</v>
      </c>
      <c r="AD215" s="450">
        <f>'Feuil-saisie'!CH11/1000000</f>
        <v>119.535984</v>
      </c>
      <c r="AE215" s="451">
        <f>'Feuil-saisie'!CI11/1000000</f>
        <v>3.4458030000000002</v>
      </c>
      <c r="AF215" s="453">
        <f t="shared" si="382"/>
        <v>122.981787</v>
      </c>
      <c r="AG215" s="452">
        <f>'Feuil-saisie'!CJ11/1000000</f>
        <v>63.368111240000005</v>
      </c>
      <c r="AH215" s="1086">
        <f>'Feuil-saisie'!CT11/1000000</f>
        <v>0</v>
      </c>
      <c r="AI215" s="1087">
        <f>'Feuil-saisie'!CU11/1000000</f>
        <v>0</v>
      </c>
      <c r="AJ215" s="1087">
        <f t="shared" si="383"/>
        <v>0</v>
      </c>
      <c r="AK215" s="1088">
        <f>'Feuil-saisie'!CV11/1000000</f>
        <v>0</v>
      </c>
      <c r="AL215" s="438">
        <f>'Feuil-saisie'!DF11/1000000</f>
        <v>0</v>
      </c>
      <c r="AM215" s="439">
        <f>'Feuil-saisie'!DG11/1000000</f>
        <v>0</v>
      </c>
      <c r="AN215" s="440">
        <f t="shared" si="384"/>
        <v>0</v>
      </c>
      <c r="AO215" s="441">
        <f>'Feuil-saisie'!DH11/1000000</f>
        <v>0</v>
      </c>
      <c r="AP215" s="438">
        <f>'Feuil-saisie'!DR11/1000000</f>
        <v>0</v>
      </c>
      <c r="AQ215" s="439">
        <f>'Feuil-saisie'!DS11/1000000</f>
        <v>0</v>
      </c>
      <c r="AR215" s="440">
        <f t="shared" si="385"/>
        <v>0</v>
      </c>
      <c r="AS215" s="441">
        <f>'Feuil-saisie'!DT11/1000000</f>
        <v>0</v>
      </c>
      <c r="AT215" s="438">
        <f>'Feuil-saisie'!ED11/1000000</f>
        <v>0</v>
      </c>
      <c r="AU215" s="439">
        <f>'Feuil-saisie'!EE11/1000000</f>
        <v>0</v>
      </c>
      <c r="AV215" s="440">
        <f t="shared" si="386"/>
        <v>0</v>
      </c>
      <c r="AW215" s="441">
        <f>'Feuil-saisie'!EF11/1000000</f>
        <v>0</v>
      </c>
      <c r="AX215" s="1798">
        <f t="shared" si="374"/>
        <v>628.03891199999998</v>
      </c>
      <c r="AY215" s="447">
        <f t="shared" si="375"/>
        <v>74.631151000000003</v>
      </c>
      <c r="AZ215" s="1047">
        <f t="shared" si="376"/>
        <v>702.67006300000003</v>
      </c>
      <c r="BA215" s="1089">
        <f t="shared" si="377"/>
        <v>467.06204053000005</v>
      </c>
      <c r="BB215" s="1103">
        <f t="shared" si="387"/>
        <v>1169.7321035300001</v>
      </c>
      <c r="BC215" s="445"/>
      <c r="BD215" s="446">
        <f t="shared" si="388"/>
        <v>122.981787</v>
      </c>
      <c r="BE215" s="446">
        <f t="shared" si="389"/>
        <v>63.368111240000005</v>
      </c>
      <c r="BF215" s="446">
        <f t="shared" si="390"/>
        <v>119.535984</v>
      </c>
      <c r="BG215" s="446">
        <f t="shared" si="391"/>
        <v>3.4458030000000002</v>
      </c>
    </row>
    <row r="216" spans="1:73" ht="14.4">
      <c r="A216" s="397" t="s">
        <v>883</v>
      </c>
      <c r="B216" s="438">
        <f>'Feuil-saisie'!B12/1000000</f>
        <v>43.211083000000002</v>
      </c>
      <c r="C216" s="439">
        <f>'Feuil-saisie'!C12/1000000</f>
        <v>7.6810770000000002</v>
      </c>
      <c r="D216" s="1126">
        <f t="shared" si="378"/>
        <v>50.892160000000004</v>
      </c>
      <c r="E216" s="1090">
        <f>'Feuil-saisie'!D12/1000000</f>
        <v>25.039884000000001</v>
      </c>
      <c r="F216" s="438">
        <f>'Feuil-saisie'!N12/1000000</f>
        <v>41.041009000000003</v>
      </c>
      <c r="G216" s="439">
        <f>'Feuil-saisie'!O12/1000000</f>
        <v>10.042572</v>
      </c>
      <c r="H216" s="1126">
        <f t="shared" si="392"/>
        <v>51.083581000000002</v>
      </c>
      <c r="I216" s="1090">
        <f>'Feuil-saisie'!P12/1000000</f>
        <v>24.416477180000001</v>
      </c>
      <c r="J216" s="438">
        <f>'Feuil-saisie'!Z12/1000000</f>
        <v>29.534493000000001</v>
      </c>
      <c r="K216" s="439">
        <f>'Feuil-saisie'!AA12/1000000</f>
        <v>8.1700199999999992</v>
      </c>
      <c r="L216" s="1126">
        <f>J216+K216</f>
        <v>37.704512999999999</v>
      </c>
      <c r="M216" s="1090">
        <f>'Feuil-saisie'!AB12/1000000</f>
        <v>25.732525320000001</v>
      </c>
      <c r="N216" s="438">
        <f>'Feuil-saisie'!AL12/1000000</f>
        <v>42.341118999999999</v>
      </c>
      <c r="O216" s="439">
        <f>'Feuil-saisie'!AM12/1000000</f>
        <v>7.1750730000000003</v>
      </c>
      <c r="P216" s="440">
        <f t="shared" si="373"/>
        <v>49.516191999999997</v>
      </c>
      <c r="Q216" s="441">
        <f>'Feuil-saisie'!AN12/1000000</f>
        <v>28.714677500000001</v>
      </c>
      <c r="R216" s="450">
        <f>'Feuil-saisie'!AX12/1000000</f>
        <v>40.940604999999998</v>
      </c>
      <c r="S216" s="451">
        <f>'Feuil-saisie'!AY12/1000000</f>
        <v>8.9452079999999992</v>
      </c>
      <c r="T216" s="453">
        <f t="shared" si="379"/>
        <v>49.885812999999999</v>
      </c>
      <c r="U216" s="452">
        <f>'Feuil-saisie'!AZ12/1000000</f>
        <v>30.070919679999999</v>
      </c>
      <c r="V216" s="450">
        <f>'Feuil-saisie'!BJ12/1000000</f>
        <v>41.174909</v>
      </c>
      <c r="W216" s="451">
        <f>'Feuil-saisie'!BK12/1000000</f>
        <v>9.1026690000000006</v>
      </c>
      <c r="X216" s="1519">
        <f t="shared" si="380"/>
        <v>50.277577999999998</v>
      </c>
      <c r="Y216" s="1524">
        <f>'Feuil-saisie'!BL12/1000000</f>
        <v>32.4392341</v>
      </c>
      <c r="Z216" s="479">
        <f>'Feuil-saisie'!BV12/1000000</f>
        <v>85.983896000000001</v>
      </c>
      <c r="AA216" s="451">
        <f>'Feuil-saisie'!BW12/1000000</f>
        <v>8.1181710000000002</v>
      </c>
      <c r="AB216" s="453">
        <f t="shared" si="381"/>
        <v>94.102067000000005</v>
      </c>
      <c r="AC216" s="452">
        <f>'Feuil-saisie'!BX12/1000000</f>
        <v>36.082602020000003</v>
      </c>
      <c r="AD216" s="450">
        <f>'Feuil-saisie'!CH12/1000000</f>
        <v>103.63957929999999</v>
      </c>
      <c r="AE216" s="451">
        <f>'Feuil-saisie'!CI12/1000000</f>
        <v>10.133416499999999</v>
      </c>
      <c r="AF216" s="453">
        <f t="shared" si="382"/>
        <v>113.77299579999999</v>
      </c>
      <c r="AG216" s="452">
        <f>'Feuil-saisie'!CJ12/1000000</f>
        <v>35.474420880000011</v>
      </c>
      <c r="AH216" s="1086">
        <f>'Feuil-saisie'!CT12/1000000</f>
        <v>0</v>
      </c>
      <c r="AI216" s="1087">
        <f>'Feuil-saisie'!CU12/1000000</f>
        <v>0</v>
      </c>
      <c r="AJ216" s="1087">
        <f t="shared" si="383"/>
        <v>0</v>
      </c>
      <c r="AK216" s="1088">
        <f>'Feuil-saisie'!CV12/1000000</f>
        <v>0</v>
      </c>
      <c r="AL216" s="438">
        <f>'Feuil-saisie'!DF12/1000000</f>
        <v>0</v>
      </c>
      <c r="AM216" s="439">
        <f>'Feuil-saisie'!DG12/1000000</f>
        <v>0</v>
      </c>
      <c r="AN216" s="440">
        <f t="shared" si="384"/>
        <v>0</v>
      </c>
      <c r="AO216" s="441">
        <f>'Feuil-saisie'!DH12/1000000</f>
        <v>0</v>
      </c>
      <c r="AP216" s="438">
        <f>'Feuil-saisie'!DR12/1000000</f>
        <v>0</v>
      </c>
      <c r="AQ216" s="439">
        <f>'Feuil-saisie'!DS12/1000000</f>
        <v>0</v>
      </c>
      <c r="AR216" s="440">
        <f t="shared" si="385"/>
        <v>0</v>
      </c>
      <c r="AS216" s="441">
        <f>'Feuil-saisie'!DT12/1000000</f>
        <v>0</v>
      </c>
      <c r="AT216" s="438">
        <f>'Feuil-saisie'!ED12/1000000</f>
        <v>0</v>
      </c>
      <c r="AU216" s="439">
        <f>'Feuil-saisie'!EE12/1000000</f>
        <v>0</v>
      </c>
      <c r="AV216" s="440">
        <f t="shared" si="386"/>
        <v>0</v>
      </c>
      <c r="AW216" s="441">
        <f>'Feuil-saisie'!EF12/1000000</f>
        <v>0</v>
      </c>
      <c r="AX216" s="636">
        <f t="shared" si="374"/>
        <v>427.86669330000001</v>
      </c>
      <c r="AY216" s="447">
        <f t="shared" si="375"/>
        <v>69.368206499999999</v>
      </c>
      <c r="AZ216" s="1047">
        <f t="shared" si="376"/>
        <v>497.23489979999999</v>
      </c>
      <c r="BA216" s="1089">
        <f t="shared" si="377"/>
        <v>237.97074068000001</v>
      </c>
      <c r="BB216" s="1103">
        <f t="shared" si="387"/>
        <v>735.20564048000006</v>
      </c>
      <c r="BC216" s="445"/>
      <c r="BD216" s="446">
        <f t="shared" si="388"/>
        <v>113.77299579999999</v>
      </c>
      <c r="BE216" s="446">
        <f t="shared" si="389"/>
        <v>35.474420880000011</v>
      </c>
      <c r="BF216" s="446">
        <f t="shared" si="390"/>
        <v>103.63957929999999</v>
      </c>
      <c r="BG216" s="446">
        <f t="shared" si="391"/>
        <v>10.133416499999999</v>
      </c>
    </row>
    <row r="217" spans="1:73" ht="14.4">
      <c r="A217" s="397" t="s">
        <v>884</v>
      </c>
      <c r="B217" s="438">
        <f>'Feuil-saisie'!B13/1000000</f>
        <v>60.688493999999999</v>
      </c>
      <c r="C217" s="439">
        <f>'Feuil-saisie'!C13/1000000</f>
        <v>8.5763839999999991</v>
      </c>
      <c r="D217" s="1126">
        <f t="shared" si="378"/>
        <v>69.264877999999996</v>
      </c>
      <c r="E217" s="1090">
        <f>'Feuil-saisie'!D13/1000000</f>
        <v>23.162023250000001</v>
      </c>
      <c r="F217" s="438">
        <f>'Feuil-saisie'!N13/1000000</f>
        <v>58.954295000000002</v>
      </c>
      <c r="G217" s="439">
        <f>'Feuil-saisie'!O13/1000000</f>
        <v>9.7493309999999997</v>
      </c>
      <c r="H217" s="1126">
        <f t="shared" si="392"/>
        <v>68.703626</v>
      </c>
      <c r="I217" s="1090">
        <f>'Feuil-saisie'!P13/1000000</f>
        <v>21.833737769999999</v>
      </c>
      <c r="J217" s="438">
        <f>'Feuil-saisie'!Z13/1000000</f>
        <v>44.666930000000001</v>
      </c>
      <c r="K217" s="439">
        <f>'Feuil-saisie'!AA13/1000000</f>
        <v>14.799832</v>
      </c>
      <c r="L217" s="1126">
        <f t="shared" si="372"/>
        <v>59.466762000000003</v>
      </c>
      <c r="M217" s="1090">
        <f>'Feuil-saisie'!AB13/1000000</f>
        <v>23.130708219999999</v>
      </c>
      <c r="N217" s="438">
        <f>'Feuil-saisie'!AL13/1000000</f>
        <v>58.291012000000002</v>
      </c>
      <c r="O217" s="439">
        <f>'Feuil-saisie'!AM13/1000000</f>
        <v>9.9617880000000003</v>
      </c>
      <c r="P217" s="440">
        <f t="shared" si="373"/>
        <v>68.252800000000008</v>
      </c>
      <c r="Q217" s="441">
        <f>'Feuil-saisie'!AN13/1000000</f>
        <v>24.29877887</v>
      </c>
      <c r="R217" s="450">
        <f>'Feuil-saisie'!AX13/1000000</f>
        <v>58.327533000000003</v>
      </c>
      <c r="S217" s="451">
        <f>'Feuil-saisie'!AY13/1000000</f>
        <v>11.641099000000001</v>
      </c>
      <c r="T217" s="453">
        <f t="shared" si="379"/>
        <v>69.968631999999999</v>
      </c>
      <c r="U217" s="452">
        <f>'Feuil-saisie'!AZ13/1000000</f>
        <v>29.500546410000002</v>
      </c>
      <c r="V217" s="450">
        <f>'Feuil-saisie'!BJ13/1000000</f>
        <v>54.339717999999998</v>
      </c>
      <c r="W217" s="451">
        <f>'Feuil-saisie'!BK13/1000000</f>
        <v>14.495317999999999</v>
      </c>
      <c r="X217" s="453">
        <f t="shared" si="380"/>
        <v>68.835036000000002</v>
      </c>
      <c r="Y217" s="452">
        <f>'Feuil-saisie'!BL13/1000000</f>
        <v>30.12026054</v>
      </c>
      <c r="Z217" s="479">
        <f>'Feuil-saisie'!BV13/1000000</f>
        <v>108.718182</v>
      </c>
      <c r="AA217" s="451">
        <f>'Feuil-saisie'!BW13/1000000</f>
        <v>11.848188</v>
      </c>
      <c r="AB217" s="453">
        <f t="shared" si="381"/>
        <v>120.56637000000001</v>
      </c>
      <c r="AC217" s="452">
        <f>'Feuil-saisie'!BX13/1000000</f>
        <v>36.490037020000003</v>
      </c>
      <c r="AD217" s="450">
        <f>'Feuil-saisie'!CH13/1000000</f>
        <v>142.14089200000001</v>
      </c>
      <c r="AE217" s="451">
        <f>'Feuil-saisie'!CI13/1000000</f>
        <v>15.669142000000001</v>
      </c>
      <c r="AF217" s="453">
        <f t="shared" si="382"/>
        <v>157.810034</v>
      </c>
      <c r="AG217" s="452">
        <f>'Feuil-saisie'!CJ13/1000000</f>
        <v>35.196384280000004</v>
      </c>
      <c r="AH217" s="1086">
        <f>'Feuil-saisie'!CT13/1000000</f>
        <v>0</v>
      </c>
      <c r="AI217" s="1087">
        <f>'Feuil-saisie'!CU13/1000000</f>
        <v>0</v>
      </c>
      <c r="AJ217" s="1087">
        <f t="shared" si="383"/>
        <v>0</v>
      </c>
      <c r="AK217" s="1088">
        <f>'Feuil-saisie'!CV13/1000000</f>
        <v>0</v>
      </c>
      <c r="AL217" s="438">
        <f>'Feuil-saisie'!DF13/1000000</f>
        <v>0</v>
      </c>
      <c r="AM217" s="439">
        <f>'Feuil-saisie'!DG13/1000000</f>
        <v>0</v>
      </c>
      <c r="AN217" s="440">
        <f t="shared" si="384"/>
        <v>0</v>
      </c>
      <c r="AO217" s="441">
        <f>'Feuil-saisie'!DH13/1000000</f>
        <v>0</v>
      </c>
      <c r="AP217" s="438">
        <f>'Feuil-saisie'!DR13/1000000</f>
        <v>0</v>
      </c>
      <c r="AQ217" s="439">
        <f>'Feuil-saisie'!DS13/1000000</f>
        <v>0</v>
      </c>
      <c r="AR217" s="440">
        <f t="shared" si="385"/>
        <v>0</v>
      </c>
      <c r="AS217" s="441">
        <f>'Feuil-saisie'!DT13/1000000</f>
        <v>0</v>
      </c>
      <c r="AT217" s="438">
        <f>'Feuil-saisie'!ED13/1000000</f>
        <v>0</v>
      </c>
      <c r="AU217" s="439">
        <f>'Feuil-saisie'!EE13/1000000</f>
        <v>0</v>
      </c>
      <c r="AV217" s="440">
        <f t="shared" si="386"/>
        <v>0</v>
      </c>
      <c r="AW217" s="441">
        <f>'Feuil-saisie'!EF13/1000000</f>
        <v>0</v>
      </c>
      <c r="AX217" s="636">
        <f t="shared" si="374"/>
        <v>586.12705600000004</v>
      </c>
      <c r="AY217" s="447">
        <f t="shared" si="375"/>
        <v>96.741081999999977</v>
      </c>
      <c r="AZ217" s="1047">
        <f t="shared" si="376"/>
        <v>682.86813800000004</v>
      </c>
      <c r="BA217" s="1089">
        <f t="shared" si="377"/>
        <v>223.73247636000002</v>
      </c>
      <c r="BB217" s="1103">
        <f t="shared" si="387"/>
        <v>906.60061436000001</v>
      </c>
      <c r="BC217" s="445"/>
      <c r="BD217" s="446">
        <f t="shared" si="388"/>
        <v>157.810034</v>
      </c>
      <c r="BE217" s="446">
        <f t="shared" si="389"/>
        <v>35.196384280000004</v>
      </c>
      <c r="BF217" s="446">
        <f t="shared" si="390"/>
        <v>142.14089200000001</v>
      </c>
      <c r="BG217" s="446">
        <f t="shared" si="391"/>
        <v>15.669142000000001</v>
      </c>
    </row>
    <row r="218" spans="1:73" ht="15" thickBot="1">
      <c r="A218" s="397" t="s">
        <v>885</v>
      </c>
      <c r="B218" s="438">
        <f>'Feuil-saisie'!B14/1000000</f>
        <v>11.575321000000001</v>
      </c>
      <c r="C218" s="439">
        <f>'Feuil-saisie'!C14/1000000</f>
        <v>3.3427709999999999</v>
      </c>
      <c r="D218" s="1126">
        <f t="shared" si="378"/>
        <v>14.918092000000001</v>
      </c>
      <c r="E218" s="1090">
        <f>'Feuil-saisie'!D14/1000000</f>
        <v>5.8376941400000026</v>
      </c>
      <c r="F218" s="438">
        <f>'Feuil-saisie'!N14/1000000</f>
        <v>11.990902999999999</v>
      </c>
      <c r="G218" s="439">
        <f>'Feuil-saisie'!O14/1000000</f>
        <v>4.1275040000000001</v>
      </c>
      <c r="H218" s="1126">
        <f t="shared" si="392"/>
        <v>16.118406999999998</v>
      </c>
      <c r="I218" s="1090">
        <f>'Feuil-saisie'!P14/1000000</f>
        <v>5.3702594599999998</v>
      </c>
      <c r="J218" s="438">
        <f>'Feuil-saisie'!Z14/1000000</f>
        <v>8.8747450000000008</v>
      </c>
      <c r="K218" s="439">
        <f>'Feuil-saisie'!AA14/1000000</f>
        <v>4.5148080000000004</v>
      </c>
      <c r="L218" s="1126">
        <f t="shared" si="372"/>
        <v>13.389553000000001</v>
      </c>
      <c r="M218" s="1090">
        <f>'Feuil-saisie'!AB14/1000000</f>
        <v>6.2026491899999998</v>
      </c>
      <c r="N218" s="438">
        <f>'Feuil-saisie'!AL14/1000000</f>
        <v>13.483085000000001</v>
      </c>
      <c r="O218" s="439">
        <f>'Feuil-saisie'!AM14/1000000</f>
        <v>3.6891829999999999</v>
      </c>
      <c r="P218" s="440">
        <f t="shared" si="373"/>
        <v>17.172268000000003</v>
      </c>
      <c r="Q218" s="441">
        <f>'Feuil-saisie'!AN14/1000000</f>
        <v>5.9524656699999987</v>
      </c>
      <c r="R218" s="450">
        <f>'Feuil-saisie'!AX14/1000000</f>
        <v>12.301969</v>
      </c>
      <c r="S218" s="451">
        <f>'Feuil-saisie'!AY14/1000000</f>
        <v>3.321971</v>
      </c>
      <c r="T218" s="453">
        <f t="shared" si="379"/>
        <v>15.623939999999999</v>
      </c>
      <c r="U218" s="1515">
        <f>'Feuil-saisie'!AZ14/1000000</f>
        <v>6.5683962200000003</v>
      </c>
      <c r="V218" s="450">
        <f>'Feuil-saisie'!BJ14/1000000</f>
        <v>8.98339</v>
      </c>
      <c r="W218" s="451">
        <f>'Feuil-saisie'!BK14/1000000</f>
        <v>3.2152250000000002</v>
      </c>
      <c r="X218" s="453">
        <f t="shared" si="380"/>
        <v>12.198615</v>
      </c>
      <c r="Y218" s="452">
        <f>'Feuil-saisie'!BL14/1000000</f>
        <v>5.7639155299999993</v>
      </c>
      <c r="Z218" s="479">
        <f>'Feuil-saisie'!BV14/1000000</f>
        <v>18.803341</v>
      </c>
      <c r="AA218" s="451">
        <f>'Feuil-saisie'!BW14/1000000</f>
        <v>3.2206519999999998</v>
      </c>
      <c r="AB218" s="453">
        <f t="shared" si="381"/>
        <v>22.023993000000001</v>
      </c>
      <c r="AC218" s="452">
        <f>'Feuil-saisie'!BX14/1000000</f>
        <v>5.4196444399999999</v>
      </c>
      <c r="AD218" s="450">
        <f>'Feuil-saisie'!CH14/1000000</f>
        <v>21.202586</v>
      </c>
      <c r="AE218" s="451">
        <f>'Feuil-saisie'!CI14/1000000</f>
        <v>3.8654790000000001</v>
      </c>
      <c r="AF218" s="453">
        <f t="shared" si="382"/>
        <v>25.068065000000001</v>
      </c>
      <c r="AG218" s="452">
        <f>'Feuil-saisie'!CJ14/1000000</f>
        <v>5.1736015199999992</v>
      </c>
      <c r="AH218" s="1086">
        <f>'Feuil-saisie'!CT14/1000000</f>
        <v>0</v>
      </c>
      <c r="AI218" s="1087">
        <f>'Feuil-saisie'!CU14/1000000</f>
        <v>0</v>
      </c>
      <c r="AJ218" s="1087">
        <f t="shared" si="383"/>
        <v>0</v>
      </c>
      <c r="AK218" s="1088">
        <f>'Feuil-saisie'!CV14/1000000</f>
        <v>0</v>
      </c>
      <c r="AL218" s="438">
        <f>'Feuil-saisie'!DF14/1000000</f>
        <v>0</v>
      </c>
      <c r="AM218" s="439">
        <f>'Feuil-saisie'!DG14/1000000</f>
        <v>0</v>
      </c>
      <c r="AN218" s="440">
        <f t="shared" si="384"/>
        <v>0</v>
      </c>
      <c r="AO218" s="441">
        <f>'Feuil-saisie'!DH14/1000000</f>
        <v>0</v>
      </c>
      <c r="AP218" s="438">
        <f>'Feuil-saisie'!DR14/1000000</f>
        <v>0</v>
      </c>
      <c r="AQ218" s="439">
        <f>'Feuil-saisie'!DS14/1000000</f>
        <v>0</v>
      </c>
      <c r="AR218" s="440">
        <f t="shared" si="385"/>
        <v>0</v>
      </c>
      <c r="AS218" s="441">
        <f>'Feuil-saisie'!DT14/1000000</f>
        <v>0</v>
      </c>
      <c r="AT218" s="438">
        <f>'Feuil-saisie'!ED14/1000000</f>
        <v>0</v>
      </c>
      <c r="AU218" s="439">
        <f>'Feuil-saisie'!EE14/1000000</f>
        <v>0</v>
      </c>
      <c r="AV218" s="440">
        <f t="shared" si="386"/>
        <v>0</v>
      </c>
      <c r="AW218" s="441">
        <f>'Feuil-saisie'!EF14/1000000</f>
        <v>0</v>
      </c>
      <c r="AX218" s="636">
        <f t="shared" si="374"/>
        <v>107.21534</v>
      </c>
      <c r="AY218" s="447">
        <f t="shared" si="375"/>
        <v>29.297593000000003</v>
      </c>
      <c r="AZ218" s="1047">
        <f t="shared" si="376"/>
        <v>136.512933</v>
      </c>
      <c r="BA218" s="1089">
        <f t="shared" si="377"/>
        <v>46.288626170000001</v>
      </c>
      <c r="BB218" s="1103">
        <f t="shared" si="387"/>
        <v>182.80155917000002</v>
      </c>
      <c r="BC218" s="445"/>
      <c r="BD218" s="446">
        <f t="shared" si="388"/>
        <v>25.068065000000001</v>
      </c>
      <c r="BE218" s="446">
        <f t="shared" si="389"/>
        <v>5.1736015199999992</v>
      </c>
      <c r="BF218" s="446">
        <f t="shared" si="390"/>
        <v>21.202586</v>
      </c>
      <c r="BG218" s="446">
        <f t="shared" si="391"/>
        <v>3.8654790000000001</v>
      </c>
    </row>
    <row r="219" spans="1:73" s="470" customFormat="1" ht="14.4" thickBot="1">
      <c r="A219" s="1095" t="s">
        <v>16</v>
      </c>
      <c r="B219" s="468">
        <f t="shared" ref="B219:AG219" si="393">SUM(B209:B218)</f>
        <v>535.96304000000009</v>
      </c>
      <c r="C219" s="1096">
        <f t="shared" si="393"/>
        <v>70.184760000000011</v>
      </c>
      <c r="D219" s="1096">
        <f t="shared" si="393"/>
        <v>606.14779999999996</v>
      </c>
      <c r="E219" s="1096">
        <f t="shared" si="393"/>
        <v>321.94939260900003</v>
      </c>
      <c r="F219" s="468">
        <f t="shared" si="393"/>
        <v>532.54506500000002</v>
      </c>
      <c r="G219" s="1096">
        <f t="shared" si="393"/>
        <v>76.147005000000007</v>
      </c>
      <c r="H219" s="1096">
        <f t="shared" si="393"/>
        <v>608.69207000000006</v>
      </c>
      <c r="I219" s="1097">
        <f t="shared" si="393"/>
        <v>311.8360513799999</v>
      </c>
      <c r="J219" s="468">
        <f t="shared" si="393"/>
        <v>448.16997900124119</v>
      </c>
      <c r="K219" s="1096">
        <f t="shared" si="393"/>
        <v>144.71510899999998</v>
      </c>
      <c r="L219" s="1096">
        <f t="shared" si="393"/>
        <v>592.88508800124123</v>
      </c>
      <c r="M219" s="1097">
        <f t="shared" si="393"/>
        <v>331.17971198999993</v>
      </c>
      <c r="N219" s="468">
        <f t="shared" si="393"/>
        <v>547.57315500000004</v>
      </c>
      <c r="O219" s="1096">
        <f t="shared" si="393"/>
        <v>80.766421999999991</v>
      </c>
      <c r="P219" s="1096">
        <f t="shared" si="393"/>
        <v>628.33957699999996</v>
      </c>
      <c r="Q219" s="1097">
        <f t="shared" si="393"/>
        <v>325.25161942999995</v>
      </c>
      <c r="R219" s="468">
        <f t="shared" si="393"/>
        <v>528.64185699999996</v>
      </c>
      <c r="S219" s="1096">
        <f t="shared" si="393"/>
        <v>86.560695999999993</v>
      </c>
      <c r="T219" s="1096">
        <f t="shared" si="393"/>
        <v>615.20255299999985</v>
      </c>
      <c r="U219" s="1097">
        <f t="shared" si="393"/>
        <v>345.90447464000005</v>
      </c>
      <c r="V219" s="468">
        <f t="shared" si="393"/>
        <v>511.56006099999996</v>
      </c>
      <c r="W219" s="1096">
        <f t="shared" si="393"/>
        <v>138.59460000000001</v>
      </c>
      <c r="X219" s="1096">
        <f t="shared" si="393"/>
        <v>650.15466100000003</v>
      </c>
      <c r="Y219" s="1097">
        <f t="shared" si="393"/>
        <v>358.55611522800001</v>
      </c>
      <c r="Z219" s="468">
        <f t="shared" si="393"/>
        <v>865.89112799999998</v>
      </c>
      <c r="AA219" s="1096">
        <f t="shared" si="393"/>
        <v>82.101653999999996</v>
      </c>
      <c r="AB219" s="1096">
        <f t="shared" si="393"/>
        <v>947.99278200000015</v>
      </c>
      <c r="AC219" s="1097">
        <f t="shared" si="393"/>
        <v>384.74859354000006</v>
      </c>
      <c r="AD219" s="468">
        <f t="shared" si="393"/>
        <v>1044.0884873</v>
      </c>
      <c r="AE219" s="1096">
        <f t="shared" si="393"/>
        <v>85.160960499999987</v>
      </c>
      <c r="AF219" s="1096">
        <f t="shared" si="393"/>
        <v>1129.2494478000001</v>
      </c>
      <c r="AG219" s="1097">
        <f t="shared" si="393"/>
        <v>402.82690442000006</v>
      </c>
      <c r="AH219" s="468">
        <f t="shared" ref="AH219:BB219" si="394">SUM(AH209:AH218)</f>
        <v>0</v>
      </c>
      <c r="AI219" s="1096">
        <f t="shared" si="394"/>
        <v>0</v>
      </c>
      <c r="AJ219" s="1096">
        <f t="shared" si="394"/>
        <v>0</v>
      </c>
      <c r="AK219" s="1097">
        <f t="shared" si="394"/>
        <v>0</v>
      </c>
      <c r="AL219" s="458">
        <f t="shared" si="394"/>
        <v>0</v>
      </c>
      <c r="AM219" s="477">
        <f t="shared" si="394"/>
        <v>0</v>
      </c>
      <c r="AN219" s="1096">
        <f t="shared" si="394"/>
        <v>0</v>
      </c>
      <c r="AO219" s="1097">
        <f t="shared" si="394"/>
        <v>0</v>
      </c>
      <c r="AP219" s="455">
        <f t="shared" si="394"/>
        <v>0</v>
      </c>
      <c r="AQ219" s="456">
        <f t="shared" si="394"/>
        <v>0</v>
      </c>
      <c r="AR219" s="465">
        <f t="shared" si="394"/>
        <v>0</v>
      </c>
      <c r="AS219" s="466">
        <f t="shared" si="394"/>
        <v>0</v>
      </c>
      <c r="AT219" s="468">
        <f t="shared" si="394"/>
        <v>0</v>
      </c>
      <c r="AU219" s="1096">
        <f t="shared" si="394"/>
        <v>0</v>
      </c>
      <c r="AV219" s="1096">
        <f t="shared" si="394"/>
        <v>0</v>
      </c>
      <c r="AW219" s="1097">
        <f t="shared" si="394"/>
        <v>0</v>
      </c>
      <c r="AX219" s="468">
        <f t="shared" si="394"/>
        <v>5014.4327723012411</v>
      </c>
      <c r="AY219" s="468">
        <f t="shared" si="394"/>
        <v>764.2312065000001</v>
      </c>
      <c r="AZ219" s="468">
        <f t="shared" si="394"/>
        <v>5778.6639788012399</v>
      </c>
      <c r="BA219" s="468">
        <f t="shared" si="394"/>
        <v>2782.2528632369999</v>
      </c>
      <c r="BB219" s="468">
        <f t="shared" si="394"/>
        <v>8560.916842038243</v>
      </c>
      <c r="BD219" s="446">
        <f t="shared" si="388"/>
        <v>1129.2494478000001</v>
      </c>
      <c r="BE219" s="446">
        <f>AG219</f>
        <v>402.82690442000006</v>
      </c>
      <c r="BF219" s="446">
        <f t="shared" si="390"/>
        <v>1044.0884873</v>
      </c>
      <c r="BG219" s="446">
        <f>AE219</f>
        <v>85.160960499999987</v>
      </c>
      <c r="BH219" s="117"/>
      <c r="BI219" s="117"/>
      <c r="BJ219" s="117"/>
      <c r="BK219" s="117"/>
      <c r="BL219" s="117"/>
      <c r="BM219" s="117"/>
      <c r="BN219" s="117"/>
      <c r="BO219" s="117"/>
      <c r="BP219" s="117"/>
      <c r="BQ219" s="117"/>
      <c r="BR219" s="117"/>
      <c r="BS219" s="117"/>
    </row>
    <row r="220" spans="1:73" ht="15" thickBot="1">
      <c r="A220" s="395"/>
      <c r="B220" s="395"/>
      <c r="C220" s="395"/>
      <c r="D220" s="395"/>
      <c r="E220" s="395"/>
      <c r="F220" s="395"/>
      <c r="G220" s="395"/>
      <c r="H220" s="395">
        <f>H219+D219</f>
        <v>1214.83987</v>
      </c>
      <c r="I220" s="395">
        <f>I219+E219</f>
        <v>633.78544398899999</v>
      </c>
      <c r="J220" s="395"/>
      <c r="K220" s="395"/>
      <c r="L220" s="395"/>
      <c r="M220" s="395"/>
      <c r="N220" s="395"/>
      <c r="O220" s="395"/>
      <c r="P220" s="395"/>
      <c r="Q220" s="481" t="e">
        <f>#REF!+#REF!</f>
        <v>#REF!</v>
      </c>
      <c r="R220" s="459"/>
      <c r="S220" s="459"/>
      <c r="T220" s="469">
        <f>T221-T214</f>
        <v>57.569633999999994</v>
      </c>
      <c r="U220" s="446"/>
      <c r="X220" s="446">
        <f>P219+T219+X219</f>
        <v>1893.6967909999998</v>
      </c>
      <c r="Y220" s="446">
        <f>Q219+U219+Y219</f>
        <v>1029.7122092980001</v>
      </c>
      <c r="Z220" s="459"/>
      <c r="AA220" s="459"/>
      <c r="AB220" s="82">
        <v>39.368920999999993</v>
      </c>
      <c r="AC220" s="82">
        <v>20.799060000000001</v>
      </c>
      <c r="AD220" s="82">
        <v>42.214643000000002</v>
      </c>
      <c r="AE220" s="82">
        <v>22.591273999999999</v>
      </c>
      <c r="AF220" s="82">
        <v>43.229106000000002</v>
      </c>
      <c r="AG220" s="82">
        <v>20.766390999999999</v>
      </c>
      <c r="AH220" s="459"/>
      <c r="AI220" s="459"/>
      <c r="AJ220" s="1243">
        <f>AJ219+AF219+AB219</f>
        <v>2077.2422298000001</v>
      </c>
      <c r="AK220" s="1243">
        <f>AK219+AG219+AC219</f>
        <v>787.57549796000012</v>
      </c>
      <c r="AM220" s="459"/>
      <c r="AN220" s="446"/>
      <c r="AO220" s="446"/>
      <c r="AQ220" s="459"/>
      <c r="AS220" s="445"/>
      <c r="AT220" s="459"/>
      <c r="AU220" s="459"/>
      <c r="AV220" s="446"/>
      <c r="AW220" s="459"/>
      <c r="AZ220" s="469"/>
      <c r="BA220" s="469"/>
      <c r="BC220" s="470"/>
    </row>
    <row r="221" spans="1:73" ht="12.75" customHeight="1">
      <c r="B221" s="459"/>
      <c r="C221" s="459"/>
      <c r="E221" s="459"/>
      <c r="F221" s="459"/>
      <c r="I221" s="459"/>
      <c r="N221" s="459"/>
      <c r="O221" s="459"/>
      <c r="Q221" s="446"/>
      <c r="R221" s="459"/>
      <c r="S221" s="446"/>
      <c r="T221" s="117">
        <v>105.35</v>
      </c>
      <c r="U221" s="459"/>
      <c r="V221" s="459"/>
      <c r="W221" s="459"/>
      <c r="Y221" s="459"/>
      <c r="AC221" s="459"/>
      <c r="AD221" s="459">
        <f>AF215-AD220</f>
        <v>80.767144000000002</v>
      </c>
      <c r="AE221" s="459">
        <f>AG215-AE220</f>
        <v>40.776837240000006</v>
      </c>
      <c r="AG221" s="459"/>
      <c r="AK221" s="481"/>
      <c r="AL221" s="459"/>
      <c r="AM221" s="459"/>
      <c r="AN221" s="445"/>
      <c r="AP221" s="1112"/>
      <c r="AR221" s="445"/>
      <c r="AS221" s="459"/>
      <c r="AY221" s="445"/>
      <c r="AZ221" s="1128"/>
      <c r="BA221" s="1128"/>
    </row>
    <row r="222" spans="1:73" ht="18.75" customHeight="1">
      <c r="A222" s="639" t="s">
        <v>88</v>
      </c>
      <c r="B222" s="639"/>
      <c r="C222" s="639"/>
      <c r="D222" s="639"/>
      <c r="E222" s="639"/>
      <c r="F222" s="639"/>
      <c r="G222" s="639"/>
      <c r="H222" s="639"/>
      <c r="I222" s="639"/>
      <c r="J222" s="639"/>
      <c r="L222" s="639"/>
      <c r="M222" s="639"/>
      <c r="N222" s="639"/>
      <c r="O222" s="639"/>
      <c r="P222" s="639"/>
      <c r="Q222" s="1824"/>
      <c r="R222" s="639"/>
      <c r="S222" s="639"/>
      <c r="T222" s="639"/>
      <c r="U222" s="639"/>
      <c r="V222" s="639"/>
      <c r="W222" s="639"/>
      <c r="X222" s="639"/>
      <c r="Y222" s="639"/>
      <c r="Z222" s="639"/>
      <c r="AK222" s="395"/>
      <c r="AL222" s="470"/>
      <c r="AO222" s="445"/>
      <c r="AY222" s="446"/>
    </row>
    <row r="223" spans="1:73" ht="19.5" customHeight="1" thickBot="1">
      <c r="A223" s="394">
        <f>A191</f>
        <v>2023</v>
      </c>
      <c r="AW223" s="445"/>
      <c r="AZ223" s="445"/>
      <c r="BA223" s="445"/>
    </row>
    <row r="224" spans="1:73" ht="12.75" customHeight="1">
      <c r="A224" s="2815" t="s">
        <v>308</v>
      </c>
      <c r="B224" s="2827" t="s">
        <v>71</v>
      </c>
      <c r="C224" s="2828"/>
      <c r="D224" s="2828"/>
      <c r="E224" s="3091"/>
      <c r="F224" s="2829" t="s">
        <v>72</v>
      </c>
      <c r="G224" s="2830"/>
      <c r="H224" s="2830"/>
      <c r="I224" s="3095"/>
      <c r="J224" s="2817" t="s">
        <v>73</v>
      </c>
      <c r="K224" s="2818"/>
      <c r="L224" s="2818"/>
      <c r="M224" s="3094"/>
      <c r="N224" s="2819" t="s">
        <v>74</v>
      </c>
      <c r="O224" s="2820"/>
      <c r="P224" s="2820"/>
      <c r="Q224" s="3090"/>
      <c r="R224" s="2821" t="s">
        <v>75</v>
      </c>
      <c r="S224" s="2822"/>
      <c r="T224" s="2822"/>
      <c r="U224" s="3093"/>
      <c r="V224" s="2823" t="s">
        <v>76</v>
      </c>
      <c r="W224" s="2824"/>
      <c r="X224" s="2824"/>
      <c r="Y224" s="3089"/>
      <c r="Z224" s="2827" t="s">
        <v>77</v>
      </c>
      <c r="AA224" s="2828"/>
      <c r="AB224" s="2828"/>
      <c r="AC224" s="3091"/>
      <c r="AD224" s="2829" t="s">
        <v>78</v>
      </c>
      <c r="AE224" s="2830"/>
      <c r="AF224" s="2830"/>
      <c r="AG224" s="3095"/>
      <c r="AH224" s="2817" t="s">
        <v>79</v>
      </c>
      <c r="AI224" s="2818"/>
      <c r="AJ224" s="2818"/>
      <c r="AK224" s="3094"/>
      <c r="AL224" s="2819" t="s">
        <v>80</v>
      </c>
      <c r="AM224" s="2820"/>
      <c r="AN224" s="2820"/>
      <c r="AO224" s="3090"/>
      <c r="AP224" s="2821" t="s">
        <v>81</v>
      </c>
      <c r="AQ224" s="2822"/>
      <c r="AR224" s="2822"/>
      <c r="AS224" s="3093"/>
      <c r="AT224" s="2823" t="s">
        <v>82</v>
      </c>
      <c r="AU224" s="2824"/>
      <c r="AV224" s="2824"/>
      <c r="AW224" s="3089"/>
      <c r="AX224" s="2825" t="s">
        <v>83</v>
      </c>
      <c r="AY224" s="2826"/>
      <c r="AZ224" s="2826"/>
      <c r="BA224" s="3088"/>
      <c r="BB224" s="634"/>
      <c r="BF224" s="430"/>
      <c r="BG224" s="430"/>
      <c r="BT224" s="430"/>
      <c r="BU224" s="430"/>
    </row>
    <row r="225" spans="1:73" ht="13.5" customHeight="1">
      <c r="A225" s="2816"/>
      <c r="B225" s="402" t="s">
        <v>24</v>
      </c>
      <c r="C225" s="403" t="s">
        <v>90</v>
      </c>
      <c r="D225" s="403" t="s">
        <v>89</v>
      </c>
      <c r="E225" s="404" t="s">
        <v>91</v>
      </c>
      <c r="F225" s="402" t="s">
        <v>24</v>
      </c>
      <c r="G225" s="403" t="s">
        <v>90</v>
      </c>
      <c r="H225" s="403" t="s">
        <v>89</v>
      </c>
      <c r="I225" s="404" t="s">
        <v>91</v>
      </c>
      <c r="J225" s="402" t="s">
        <v>24</v>
      </c>
      <c r="K225" s="403" t="s">
        <v>90</v>
      </c>
      <c r="L225" s="403" t="s">
        <v>89</v>
      </c>
      <c r="M225" s="404" t="s">
        <v>91</v>
      </c>
      <c r="N225" s="402" t="s">
        <v>24</v>
      </c>
      <c r="O225" s="403" t="s">
        <v>90</v>
      </c>
      <c r="P225" s="403" t="s">
        <v>89</v>
      </c>
      <c r="Q225" s="404" t="s">
        <v>91</v>
      </c>
      <c r="R225" s="402" t="s">
        <v>24</v>
      </c>
      <c r="S225" s="403" t="s">
        <v>90</v>
      </c>
      <c r="T225" s="403" t="s">
        <v>89</v>
      </c>
      <c r="U225" s="404" t="s">
        <v>91</v>
      </c>
      <c r="V225" s="402" t="s">
        <v>24</v>
      </c>
      <c r="W225" s="403" t="s">
        <v>90</v>
      </c>
      <c r="X225" s="403" t="s">
        <v>89</v>
      </c>
      <c r="Y225" s="404" t="s">
        <v>91</v>
      </c>
      <c r="Z225" s="402" t="s">
        <v>24</v>
      </c>
      <c r="AA225" s="403" t="s">
        <v>90</v>
      </c>
      <c r="AB225" s="403" t="s">
        <v>89</v>
      </c>
      <c r="AC225" s="404" t="s">
        <v>91</v>
      </c>
      <c r="AD225" s="402" t="s">
        <v>24</v>
      </c>
      <c r="AE225" s="403" t="s">
        <v>90</v>
      </c>
      <c r="AF225" s="403" t="s">
        <v>89</v>
      </c>
      <c r="AG225" s="404" t="s">
        <v>91</v>
      </c>
      <c r="AH225" s="402" t="s">
        <v>24</v>
      </c>
      <c r="AI225" s="403" t="s">
        <v>90</v>
      </c>
      <c r="AJ225" s="403" t="s">
        <v>89</v>
      </c>
      <c r="AK225" s="404" t="s">
        <v>91</v>
      </c>
      <c r="AL225" s="402" t="s">
        <v>24</v>
      </c>
      <c r="AM225" s="403" t="s">
        <v>90</v>
      </c>
      <c r="AN225" s="403" t="s">
        <v>89</v>
      </c>
      <c r="AO225" s="404" t="s">
        <v>91</v>
      </c>
      <c r="AP225" s="1107" t="s">
        <v>24</v>
      </c>
      <c r="AQ225" s="403" t="s">
        <v>90</v>
      </c>
      <c r="AR225" s="403" t="s">
        <v>89</v>
      </c>
      <c r="AS225" s="404" t="s">
        <v>91</v>
      </c>
      <c r="AT225" s="402" t="s">
        <v>24</v>
      </c>
      <c r="AU225" s="403" t="s">
        <v>90</v>
      </c>
      <c r="AV225" s="403" t="s">
        <v>89</v>
      </c>
      <c r="AW225" s="404" t="s">
        <v>91</v>
      </c>
      <c r="AX225" s="403" t="s">
        <v>24</v>
      </c>
      <c r="AY225" s="403" t="s">
        <v>90</v>
      </c>
      <c r="AZ225" s="403" t="s">
        <v>89</v>
      </c>
      <c r="BA225" s="431" t="s">
        <v>91</v>
      </c>
      <c r="BD225" s="117" t="s">
        <v>178</v>
      </c>
      <c r="BE225" s="117" t="s">
        <v>856</v>
      </c>
      <c r="BF225" s="117" t="s">
        <v>857</v>
      </c>
    </row>
    <row r="226" spans="1:73" ht="12.75" customHeight="1">
      <c r="A226" s="397" t="s">
        <v>6</v>
      </c>
      <c r="B226" s="438">
        <v>199.2285416899999</v>
      </c>
      <c r="C226" s="439">
        <f t="shared" ref="C226:C235" si="395">D194+E194</f>
        <v>163.72132842999997</v>
      </c>
      <c r="D226" s="439">
        <f>+B226-C226</f>
        <v>35.507213259999929</v>
      </c>
      <c r="E226" s="474">
        <f>+D226/B226*100</f>
        <v>17.822352640240293</v>
      </c>
      <c r="F226" s="438">
        <v>184.26315116999999</v>
      </c>
      <c r="G226" s="439">
        <f t="shared" ref="G226:G235" si="396">H194+I194</f>
        <v>167.43589444000003</v>
      </c>
      <c r="H226" s="439">
        <f t="shared" ref="H226:H236" si="397">+F226-G226</f>
        <v>16.827256729999959</v>
      </c>
      <c r="I226" s="474">
        <f t="shared" ref="I226:I236" si="398">+H226/F226*100</f>
        <v>9.1321876474777319</v>
      </c>
      <c r="J226" s="438">
        <v>181.11598228000057</v>
      </c>
      <c r="K226" s="439">
        <f t="shared" ref="K226:K235" si="399">L194+M194</f>
        <v>170.68015305</v>
      </c>
      <c r="L226" s="439">
        <f t="shared" ref="L226:L236" si="400">+J226-K226</f>
        <v>10.435829230000564</v>
      </c>
      <c r="M226" s="1960">
        <f t="shared" ref="M226:M236" si="401">+L226/J226*100</f>
        <v>5.7619593249738976</v>
      </c>
      <c r="N226" s="438">
        <v>164.49562044000004</v>
      </c>
      <c r="O226" s="439">
        <f t="shared" ref="O226:O235" si="402">P194+Q194</f>
        <v>158.12134288000001</v>
      </c>
      <c r="P226" s="439">
        <f t="shared" ref="P226:P236" si="403">+N226-O226</f>
        <v>6.3742775600000243</v>
      </c>
      <c r="Q226" s="474">
        <f t="shared" ref="Q226:Q236" si="404">+P226/N226*100</f>
        <v>3.8750439330541626</v>
      </c>
      <c r="R226" s="438">
        <v>175.09687379000007</v>
      </c>
      <c r="S226" s="439">
        <f t="shared" ref="S226:S235" si="405">T194+U194</f>
        <v>165.36296347999999</v>
      </c>
      <c r="T226" s="439">
        <f t="shared" ref="T226:T236" si="406">+R226-S226</f>
        <v>9.7339103100000841</v>
      </c>
      <c r="U226" s="1960">
        <f t="shared" ref="U226:U236" si="407">+T226/R226*100</f>
        <v>5.5591571107513369</v>
      </c>
      <c r="V226" s="438">
        <v>209.16773627999964</v>
      </c>
      <c r="W226" s="439">
        <f t="shared" ref="W226:W235" si="408">X194+Y194</f>
        <v>167.69588211999999</v>
      </c>
      <c r="X226" s="439">
        <f t="shared" ref="X226:X236" si="409">+V226-W226</f>
        <v>41.471854159999651</v>
      </c>
      <c r="Y226" s="474">
        <f t="shared" ref="Y226:Y236" si="410">+X226/V226*100</f>
        <v>19.827079882187899</v>
      </c>
      <c r="Z226" s="450">
        <v>386.88800676000005</v>
      </c>
      <c r="AA226" s="439">
        <f t="shared" ref="AA226:AA235" si="411">AB194+AC194</f>
        <v>248.28339454999997</v>
      </c>
      <c r="AB226" s="439">
        <f t="shared" ref="AB226:AB236" si="412">+Z226-AA226</f>
        <v>138.60461221000008</v>
      </c>
      <c r="AC226" s="474">
        <f t="shared" ref="AC226:AC236" si="413">+AB226/Z226*100</f>
        <v>35.825512755163096</v>
      </c>
      <c r="AD226" s="438">
        <v>329.58566664999984</v>
      </c>
      <c r="AE226" s="439">
        <f t="shared" ref="AE226:AE235" si="414">AF194+AG194</f>
        <v>282.51431289999999</v>
      </c>
      <c r="AF226" s="439">
        <f t="shared" ref="AF226:AF236" si="415">+AD226-AE226</f>
        <v>47.071353749999844</v>
      </c>
      <c r="AG226" s="474">
        <f t="shared" ref="AG226:AG236" si="416">+AF226/AD226*100</f>
        <v>14.281978408966065</v>
      </c>
      <c r="AH226" s="438"/>
      <c r="AI226" s="439">
        <f t="shared" ref="AI226:AI235" si="417">AJ194+AK194</f>
        <v>0</v>
      </c>
      <c r="AJ226" s="439">
        <f>+AH226-AI226</f>
        <v>0</v>
      </c>
      <c r="AK226" s="474" t="e">
        <f t="shared" ref="AK226:AK236" si="418">+AJ226/AH226*100</f>
        <v>#DIV/0!</v>
      </c>
      <c r="AL226" s="438"/>
      <c r="AM226" s="439">
        <f t="shared" ref="AM226:AM235" si="419">AN194+AO194</f>
        <v>0</v>
      </c>
      <c r="AN226" s="439">
        <f t="shared" ref="AN226:AN236" si="420">+AL226-AM226</f>
        <v>0</v>
      </c>
      <c r="AO226" s="474" t="e">
        <f t="shared" ref="AO226:AO236" si="421">+AN226/AL226*100</f>
        <v>#DIV/0!</v>
      </c>
      <c r="AP226" s="438"/>
      <c r="AQ226" s="439">
        <f t="shared" ref="AQ226:AQ235" si="422">AR194+AS194</f>
        <v>0</v>
      </c>
      <c r="AR226" s="439">
        <f t="shared" ref="AR226:AR236" si="423">+AP226-AQ226</f>
        <v>0</v>
      </c>
      <c r="AS226" s="474" t="e">
        <f>+AR226/AP226*100</f>
        <v>#DIV/0!</v>
      </c>
      <c r="AT226" s="438"/>
      <c r="AU226" s="439">
        <f t="shared" ref="AU226:AU235" si="424">AV194+AW194</f>
        <v>0</v>
      </c>
      <c r="AV226" s="439">
        <f t="shared" ref="AV226:AV236" si="425">+AT226-AU226</f>
        <v>0</v>
      </c>
      <c r="AW226" s="474" t="e">
        <f t="shared" ref="AW226:AW236" si="426">+AV226/AT226*100</f>
        <v>#DIV/0!</v>
      </c>
      <c r="AX226" s="447">
        <f t="shared" ref="AX226:AX235" si="427">+B226+F226+J226+N226+R226+V226+Z226+AD226+AH226+AL226+AP226+AT226</f>
        <v>1829.8415790600002</v>
      </c>
      <c r="AY226" s="447">
        <f t="shared" ref="AY226:AY235" si="428">+C226+G226+K226+O226+S226+W226+AA226+AE226+AI226+AM226+AQ226+AU226</f>
        <v>1523.81527185</v>
      </c>
      <c r="AZ226" s="447">
        <f>+AX226-AY226</f>
        <v>306.02630721000014</v>
      </c>
      <c r="BA226" s="640">
        <f>+AZ226/AX226*100</f>
        <v>16.724196821847688</v>
      </c>
      <c r="BB226" s="445"/>
      <c r="BD226" s="446">
        <f>AD226</f>
        <v>329.58566664999984</v>
      </c>
      <c r="BE226" s="446">
        <f>AG226</f>
        <v>14.281978408966065</v>
      </c>
      <c r="BF226" s="446">
        <f>AF226</f>
        <v>47.071353749999844</v>
      </c>
    </row>
    <row r="227" spans="1:73" ht="12.75" customHeight="1">
      <c r="A227" s="397" t="s">
        <v>7</v>
      </c>
      <c r="B227" s="641">
        <v>81.988546399999976</v>
      </c>
      <c r="C227" s="439">
        <f t="shared" si="395"/>
        <v>70.231065000000001</v>
      </c>
      <c r="D227" s="439">
        <f t="shared" ref="D227:D235" si="429">+B227-C227</f>
        <v>11.757481399999975</v>
      </c>
      <c r="E227" s="474">
        <f t="shared" ref="E227:E235" si="430">+D227/B227*100</f>
        <v>14.340394989610376</v>
      </c>
      <c r="F227" s="438">
        <v>73.086575899999872</v>
      </c>
      <c r="G227" s="439">
        <f t="shared" si="396"/>
        <v>66.155389939999992</v>
      </c>
      <c r="H227" s="439">
        <f t="shared" si="397"/>
        <v>6.9311859599998797</v>
      </c>
      <c r="I227" s="474">
        <f t="shared" si="398"/>
        <v>9.483528096162857</v>
      </c>
      <c r="J227" s="438">
        <v>74.845754499999998</v>
      </c>
      <c r="K227" s="439">
        <f t="shared" si="399"/>
        <v>73.221317999999997</v>
      </c>
      <c r="L227" s="439">
        <f t="shared" si="400"/>
        <v>1.6244365000000016</v>
      </c>
      <c r="M227" s="1960">
        <f t="shared" si="401"/>
        <v>2.1703789491493488</v>
      </c>
      <c r="N227" s="438">
        <v>70.954648600000112</v>
      </c>
      <c r="O227" s="439">
        <f t="shared" si="402"/>
        <v>69.41022491999999</v>
      </c>
      <c r="P227" s="439">
        <f t="shared" si="403"/>
        <v>1.5444236800001221</v>
      </c>
      <c r="Q227" s="474">
        <f t="shared" si="404"/>
        <v>2.1766349498912461</v>
      </c>
      <c r="R227" s="438">
        <v>72.758297700000028</v>
      </c>
      <c r="S227" s="439">
        <f t="shared" si="405"/>
        <v>65.327896429999996</v>
      </c>
      <c r="T227" s="439">
        <f t="shared" si="406"/>
        <v>7.4304012700000328</v>
      </c>
      <c r="U227" s="1960">
        <f t="shared" si="407"/>
        <v>10.212445184791658</v>
      </c>
      <c r="V227" s="438">
        <v>90.094127899999975</v>
      </c>
      <c r="W227" s="439">
        <f t="shared" si="408"/>
        <v>68.349013189999994</v>
      </c>
      <c r="X227" s="439">
        <f t="shared" si="409"/>
        <v>21.745114709999982</v>
      </c>
      <c r="Y227" s="474">
        <f t="shared" si="410"/>
        <v>24.135995560261133</v>
      </c>
      <c r="Z227" s="820">
        <v>165.72133330000005</v>
      </c>
      <c r="AA227" s="439">
        <f t="shared" si="411"/>
        <v>110.361656744</v>
      </c>
      <c r="AB227" s="439">
        <f t="shared" si="412"/>
        <v>55.359676556000053</v>
      </c>
      <c r="AC227" s="474">
        <f t="shared" si="413"/>
        <v>33.405280692368187</v>
      </c>
      <c r="AD227" s="438">
        <v>128.53754269999993</v>
      </c>
      <c r="AE227" s="439">
        <f t="shared" si="414"/>
        <v>116.91075173999999</v>
      </c>
      <c r="AF227" s="439">
        <f t="shared" si="415"/>
        <v>11.626790959999937</v>
      </c>
      <c r="AG227" s="474">
        <f t="shared" si="416"/>
        <v>9.0454436235304989</v>
      </c>
      <c r="AH227" s="438"/>
      <c r="AI227" s="439">
        <f t="shared" si="417"/>
        <v>0</v>
      </c>
      <c r="AJ227" s="439">
        <f t="shared" ref="AJ227:AJ236" si="431">+AH227-AI227</f>
        <v>0</v>
      </c>
      <c r="AK227" s="474" t="e">
        <f t="shared" si="418"/>
        <v>#DIV/0!</v>
      </c>
      <c r="AL227" s="438"/>
      <c r="AM227" s="439">
        <f t="shared" si="419"/>
        <v>0</v>
      </c>
      <c r="AN227" s="439">
        <f t="shared" si="420"/>
        <v>0</v>
      </c>
      <c r="AO227" s="474" t="e">
        <f t="shared" si="421"/>
        <v>#DIV/0!</v>
      </c>
      <c r="AP227" s="438"/>
      <c r="AQ227" s="439">
        <f t="shared" si="422"/>
        <v>0</v>
      </c>
      <c r="AR227" s="439">
        <f t="shared" si="423"/>
        <v>0</v>
      </c>
      <c r="AS227" s="474" t="e">
        <f t="shared" ref="AS227:AS236" si="432">+AR227/AP227*100</f>
        <v>#DIV/0!</v>
      </c>
      <c r="AT227" s="642"/>
      <c r="AU227" s="439">
        <f t="shared" si="424"/>
        <v>0</v>
      </c>
      <c r="AV227" s="439">
        <f t="shared" si="425"/>
        <v>0</v>
      </c>
      <c r="AW227" s="474" t="e">
        <f t="shared" si="426"/>
        <v>#DIV/0!</v>
      </c>
      <c r="AX227" s="447">
        <f t="shared" si="427"/>
        <v>757.98682699999995</v>
      </c>
      <c r="AY227" s="1047">
        <f t="shared" si="428"/>
        <v>639.96731596400002</v>
      </c>
      <c r="AZ227" s="447">
        <f t="shared" ref="AZ227:AZ236" si="433">+AX227-AY227</f>
        <v>118.01951103599993</v>
      </c>
      <c r="BA227" s="640">
        <f t="shared" ref="BA227:BA236" si="434">+AZ227/AX227*100</f>
        <v>15.570126924646402</v>
      </c>
      <c r="BB227" s="445"/>
      <c r="BD227" s="446">
        <f t="shared" ref="BD227:BD236" si="435">AD227</f>
        <v>128.53754269999993</v>
      </c>
      <c r="BE227" s="446">
        <f t="shared" ref="BE227:BE236" si="436">AG227</f>
        <v>9.0454436235304989</v>
      </c>
      <c r="BF227" s="446">
        <f t="shared" ref="BF227:BF236" si="437">AF227</f>
        <v>11.626790959999937</v>
      </c>
    </row>
    <row r="228" spans="1:73" ht="12.75" customHeight="1">
      <c r="A228" s="397" t="s">
        <v>8</v>
      </c>
      <c r="B228" s="438">
        <v>73.909838999999835</v>
      </c>
      <c r="C228" s="439">
        <f t="shared" si="395"/>
        <v>61.092277500000002</v>
      </c>
      <c r="D228" s="439">
        <f t="shared" si="429"/>
        <v>12.817561499999833</v>
      </c>
      <c r="E228" s="474">
        <f t="shared" si="430"/>
        <v>17.342158599479376</v>
      </c>
      <c r="F228" s="438">
        <v>67.468867000000074</v>
      </c>
      <c r="G228" s="439">
        <f t="shared" si="396"/>
        <v>61.066966479999991</v>
      </c>
      <c r="H228" s="439">
        <f t="shared" si="397"/>
        <v>6.4019005200000834</v>
      </c>
      <c r="I228" s="474">
        <f t="shared" si="398"/>
        <v>9.4886735240419497</v>
      </c>
      <c r="J228" s="438">
        <v>72.236816000000118</v>
      </c>
      <c r="K228" s="439">
        <f t="shared" si="399"/>
        <v>67.819383819999999</v>
      </c>
      <c r="L228" s="439">
        <f t="shared" si="400"/>
        <v>4.4174321800001195</v>
      </c>
      <c r="M228" s="1960">
        <f t="shared" si="401"/>
        <v>6.1152088707787344</v>
      </c>
      <c r="N228" s="438">
        <v>66.843261999999953</v>
      </c>
      <c r="O228" s="439">
        <f t="shared" si="402"/>
        <v>62.062012879999997</v>
      </c>
      <c r="P228" s="439">
        <f t="shared" si="403"/>
        <v>4.7812491199999556</v>
      </c>
      <c r="Q228" s="474">
        <f t="shared" si="404"/>
        <v>7.1529260795201148</v>
      </c>
      <c r="R228" s="438">
        <v>67.584342000000021</v>
      </c>
      <c r="S228" s="439">
        <f t="shared" si="405"/>
        <v>62.249867999999978</v>
      </c>
      <c r="T228" s="439">
        <f t="shared" si="406"/>
        <v>5.3344740000000428</v>
      </c>
      <c r="U228" s="1960">
        <f t="shared" si="407"/>
        <v>7.8930619758050478</v>
      </c>
      <c r="V228" s="438">
        <v>76.03476699999996</v>
      </c>
      <c r="W228" s="439">
        <f t="shared" si="408"/>
        <v>66.546712999999983</v>
      </c>
      <c r="X228" s="439">
        <f t="shared" si="409"/>
        <v>9.4880539999999769</v>
      </c>
      <c r="Y228" s="474">
        <f t="shared" si="410"/>
        <v>12.478573124318224</v>
      </c>
      <c r="Z228" s="450">
        <v>131.107136</v>
      </c>
      <c r="AA228" s="439">
        <f t="shared" si="411"/>
        <v>90.622976669999986</v>
      </c>
      <c r="AB228" s="439">
        <f t="shared" si="412"/>
        <v>40.484159330000011</v>
      </c>
      <c r="AC228" s="474">
        <f t="shared" si="413"/>
        <v>30.878684841380423</v>
      </c>
      <c r="AD228" s="438">
        <v>103.53431200000006</v>
      </c>
      <c r="AE228" s="439">
        <f t="shared" si="414"/>
        <v>101.825783</v>
      </c>
      <c r="AF228" s="439">
        <f t="shared" si="415"/>
        <v>1.7085290000000555</v>
      </c>
      <c r="AG228" s="474">
        <f t="shared" si="416"/>
        <v>1.650205585951114</v>
      </c>
      <c r="AH228" s="438"/>
      <c r="AI228" s="439">
        <f t="shared" si="417"/>
        <v>0</v>
      </c>
      <c r="AJ228" s="439">
        <f t="shared" si="431"/>
        <v>0</v>
      </c>
      <c r="AK228" s="474" t="e">
        <f t="shared" si="418"/>
        <v>#DIV/0!</v>
      </c>
      <c r="AL228" s="438"/>
      <c r="AM228" s="439">
        <f t="shared" si="419"/>
        <v>0</v>
      </c>
      <c r="AN228" s="439">
        <f t="shared" si="420"/>
        <v>0</v>
      </c>
      <c r="AO228" s="474" t="e">
        <f t="shared" si="421"/>
        <v>#DIV/0!</v>
      </c>
      <c r="AP228" s="438"/>
      <c r="AQ228" s="439">
        <f t="shared" si="422"/>
        <v>0</v>
      </c>
      <c r="AR228" s="439">
        <f t="shared" si="423"/>
        <v>0</v>
      </c>
      <c r="AS228" s="474" t="e">
        <f t="shared" si="432"/>
        <v>#DIV/0!</v>
      </c>
      <c r="AT228" s="643"/>
      <c r="AU228" s="439">
        <f t="shared" si="424"/>
        <v>0</v>
      </c>
      <c r="AV228" s="439">
        <f t="shared" si="425"/>
        <v>0</v>
      </c>
      <c r="AW228" s="474" t="e">
        <f t="shared" si="426"/>
        <v>#DIV/0!</v>
      </c>
      <c r="AX228" s="447">
        <f t="shared" si="427"/>
        <v>658.71934099999999</v>
      </c>
      <c r="AY228" s="447">
        <f t="shared" si="428"/>
        <v>573.28598134999993</v>
      </c>
      <c r="AZ228" s="447">
        <f t="shared" si="433"/>
        <v>85.433359650000057</v>
      </c>
      <c r="BA228" s="640">
        <f t="shared" si="434"/>
        <v>12.969614573682309</v>
      </c>
      <c r="BB228" s="445"/>
      <c r="BD228" s="446">
        <f t="shared" si="435"/>
        <v>103.53431200000006</v>
      </c>
      <c r="BE228" s="446">
        <f t="shared" si="436"/>
        <v>1.650205585951114</v>
      </c>
      <c r="BF228" s="446">
        <f t="shared" si="437"/>
        <v>1.7085290000000555</v>
      </c>
    </row>
    <row r="229" spans="1:73" ht="12.75" customHeight="1">
      <c r="A229" s="397" t="s">
        <v>4</v>
      </c>
      <c r="B229" s="438">
        <v>146.785946</v>
      </c>
      <c r="C229" s="439">
        <f t="shared" si="395"/>
        <v>113.43425096</v>
      </c>
      <c r="D229" s="439">
        <f t="shared" si="429"/>
        <v>33.351695039999996</v>
      </c>
      <c r="E229" s="474">
        <f t="shared" si="430"/>
        <v>22.72131355136683</v>
      </c>
      <c r="F229" s="438">
        <v>131.92057399999999</v>
      </c>
      <c r="G229" s="439">
        <f t="shared" si="396"/>
        <v>122.44666006</v>
      </c>
      <c r="H229" s="439">
        <f t="shared" si="397"/>
        <v>9.4739139399999885</v>
      </c>
      <c r="I229" s="474">
        <f t="shared" si="398"/>
        <v>7.1815287431966368</v>
      </c>
      <c r="J229" s="438">
        <v>127.249217</v>
      </c>
      <c r="K229" s="439">
        <f t="shared" si="399"/>
        <v>123.73700640999999</v>
      </c>
      <c r="L229" s="439">
        <f t="shared" si="400"/>
        <v>3.5122105900000093</v>
      </c>
      <c r="M229" s="1960">
        <f t="shared" si="401"/>
        <v>2.7601038912483125</v>
      </c>
      <c r="N229" s="438">
        <v>113.408157</v>
      </c>
      <c r="O229" s="439">
        <f t="shared" si="402"/>
        <v>122.59543841999999</v>
      </c>
      <c r="P229" s="439">
        <f t="shared" si="403"/>
        <v>-9.1872814199999908</v>
      </c>
      <c r="Q229" s="474">
        <f t="shared" si="404"/>
        <v>-8.1010763802466084</v>
      </c>
      <c r="R229" s="438">
        <v>117.708662</v>
      </c>
      <c r="S229" s="439">
        <f t="shared" si="405"/>
        <v>111.04386873999999</v>
      </c>
      <c r="T229" s="439">
        <f t="shared" si="406"/>
        <v>6.6647932600000104</v>
      </c>
      <c r="U229" s="1960">
        <f t="shared" si="407"/>
        <v>5.6621094376215151</v>
      </c>
      <c r="V229" s="438">
        <v>143.83380299999999</v>
      </c>
      <c r="W229" s="439">
        <f t="shared" si="408"/>
        <v>111.17440333</v>
      </c>
      <c r="X229" s="439">
        <f t="shared" si="409"/>
        <v>32.659399669999985</v>
      </c>
      <c r="Y229" s="474">
        <f t="shared" si="410"/>
        <v>22.706345093301877</v>
      </c>
      <c r="Z229" s="450">
        <v>257.93204800000001</v>
      </c>
      <c r="AA229" s="439">
        <f t="shared" si="411"/>
        <v>157.91285951</v>
      </c>
      <c r="AB229" s="439">
        <f t="shared" si="412"/>
        <v>100.01918849</v>
      </c>
      <c r="AC229" s="474">
        <f t="shared" si="413"/>
        <v>38.777340491632124</v>
      </c>
      <c r="AD229" s="438">
        <v>210.772402</v>
      </c>
      <c r="AE229" s="439">
        <f t="shared" si="414"/>
        <v>188.04447055999998</v>
      </c>
      <c r="AF229" s="439">
        <f t="shared" si="415"/>
        <v>22.72793144000002</v>
      </c>
      <c r="AG229" s="474">
        <f t="shared" si="416"/>
        <v>10.783162892454971</v>
      </c>
      <c r="AH229" s="438"/>
      <c r="AI229" s="439">
        <f t="shared" si="417"/>
        <v>0</v>
      </c>
      <c r="AJ229" s="439">
        <f t="shared" si="431"/>
        <v>0</v>
      </c>
      <c r="AK229" s="474" t="e">
        <f t="shared" si="418"/>
        <v>#DIV/0!</v>
      </c>
      <c r="AL229" s="438"/>
      <c r="AM229" s="439">
        <f t="shared" si="419"/>
        <v>0</v>
      </c>
      <c r="AN229" s="439">
        <f t="shared" si="420"/>
        <v>0</v>
      </c>
      <c r="AO229" s="474" t="e">
        <f t="shared" si="421"/>
        <v>#DIV/0!</v>
      </c>
      <c r="AP229" s="438"/>
      <c r="AQ229" s="439">
        <f t="shared" si="422"/>
        <v>0</v>
      </c>
      <c r="AR229" s="439">
        <f t="shared" si="423"/>
        <v>0</v>
      </c>
      <c r="AS229" s="474" t="e">
        <f t="shared" si="432"/>
        <v>#DIV/0!</v>
      </c>
      <c r="AT229" s="438"/>
      <c r="AU229" s="439">
        <f t="shared" si="424"/>
        <v>0</v>
      </c>
      <c r="AV229" s="439">
        <f t="shared" si="425"/>
        <v>0</v>
      </c>
      <c r="AW229" s="474" t="e">
        <f t="shared" si="426"/>
        <v>#DIV/0!</v>
      </c>
      <c r="AX229" s="447">
        <f t="shared" si="427"/>
        <v>1249.610809</v>
      </c>
      <c r="AY229" s="447">
        <f t="shared" si="428"/>
        <v>1050.3889579899999</v>
      </c>
      <c r="AZ229" s="447">
        <f t="shared" si="433"/>
        <v>199.22185101000014</v>
      </c>
      <c r="BA229" s="640">
        <f t="shared" si="434"/>
        <v>15.942711888786176</v>
      </c>
      <c r="BB229" s="445"/>
      <c r="BD229" s="446">
        <f t="shared" si="435"/>
        <v>210.772402</v>
      </c>
      <c r="BE229" s="446">
        <f t="shared" si="436"/>
        <v>10.783162892454971</v>
      </c>
      <c r="BF229" s="446">
        <f t="shared" si="437"/>
        <v>22.72793144000002</v>
      </c>
    </row>
    <row r="230" spans="1:73" ht="12.75" customHeight="1">
      <c r="A230" s="397" t="s">
        <v>3</v>
      </c>
      <c r="B230" s="438">
        <v>97.870014999999995</v>
      </c>
      <c r="C230" s="439">
        <f t="shared" si="395"/>
        <v>88.306673960000012</v>
      </c>
      <c r="D230" s="439">
        <f t="shared" si="429"/>
        <v>9.5633410399999832</v>
      </c>
      <c r="E230" s="474">
        <f t="shared" si="430"/>
        <v>9.7714719263095891</v>
      </c>
      <c r="F230" s="438">
        <v>96.675693999999993</v>
      </c>
      <c r="G230" s="439">
        <f t="shared" si="396"/>
        <v>86.200285710000003</v>
      </c>
      <c r="H230" s="439">
        <f t="shared" si="397"/>
        <v>10.47540828999999</v>
      </c>
      <c r="I230" s="474">
        <f t="shared" si="398"/>
        <v>10.835617368311823</v>
      </c>
      <c r="J230" s="438">
        <v>116.47207400000001</v>
      </c>
      <c r="K230" s="439">
        <f t="shared" si="399"/>
        <v>91.752688000000006</v>
      </c>
      <c r="L230" s="439">
        <f t="shared" si="400"/>
        <v>24.719386</v>
      </c>
      <c r="M230" s="1960">
        <f t="shared" si="401"/>
        <v>21.223444514261846</v>
      </c>
      <c r="N230" s="438">
        <v>118.486791</v>
      </c>
      <c r="O230" s="439">
        <f t="shared" si="402"/>
        <v>92.215680039999995</v>
      </c>
      <c r="P230" s="439">
        <f t="shared" si="403"/>
        <v>26.271110960000001</v>
      </c>
      <c r="Q230" s="474">
        <f t="shared" si="404"/>
        <v>22.17218538731461</v>
      </c>
      <c r="R230" s="438">
        <v>107.257054</v>
      </c>
      <c r="S230" s="439">
        <f t="shared" si="405"/>
        <v>101.67447027</v>
      </c>
      <c r="T230" s="439">
        <f t="shared" si="406"/>
        <v>5.5825837299999961</v>
      </c>
      <c r="U230" s="1960">
        <f t="shared" si="407"/>
        <v>5.20486394302793</v>
      </c>
      <c r="V230" s="438">
        <v>109.095206</v>
      </c>
      <c r="W230" s="439">
        <f t="shared" si="408"/>
        <v>93.488949779999984</v>
      </c>
      <c r="X230" s="439">
        <f t="shared" si="409"/>
        <v>15.60625622000002</v>
      </c>
      <c r="Y230" s="474">
        <f t="shared" si="410"/>
        <v>14.305171411473406</v>
      </c>
      <c r="Z230" s="450">
        <v>168.18584000000001</v>
      </c>
      <c r="AA230" s="439">
        <f t="shared" si="411"/>
        <v>117.02456196</v>
      </c>
      <c r="AB230" s="439">
        <f t="shared" si="412"/>
        <v>51.161278040000013</v>
      </c>
      <c r="AC230" s="474">
        <f t="shared" si="413"/>
        <v>30.419491938203603</v>
      </c>
      <c r="AD230" s="438">
        <v>153.59463</v>
      </c>
      <c r="AE230" s="439">
        <f t="shared" si="414"/>
        <v>128.66176988000001</v>
      </c>
      <c r="AF230" s="439">
        <f t="shared" si="415"/>
        <v>24.932860119999987</v>
      </c>
      <c r="AG230" s="474">
        <f t="shared" si="416"/>
        <v>16.232898324635432</v>
      </c>
      <c r="AH230" s="438"/>
      <c r="AI230" s="439">
        <f t="shared" si="417"/>
        <v>0</v>
      </c>
      <c r="AJ230" s="439">
        <f t="shared" si="431"/>
        <v>0</v>
      </c>
      <c r="AK230" s="474" t="e">
        <f t="shared" si="418"/>
        <v>#DIV/0!</v>
      </c>
      <c r="AL230" s="438"/>
      <c r="AM230" s="439">
        <f t="shared" si="419"/>
        <v>0</v>
      </c>
      <c r="AN230" s="439">
        <f t="shared" si="420"/>
        <v>0</v>
      </c>
      <c r="AO230" s="474" t="e">
        <f t="shared" si="421"/>
        <v>#DIV/0!</v>
      </c>
      <c r="AP230" s="438"/>
      <c r="AQ230" s="439">
        <f t="shared" si="422"/>
        <v>0</v>
      </c>
      <c r="AR230" s="439">
        <f t="shared" si="423"/>
        <v>0</v>
      </c>
      <c r="AS230" s="474" t="e">
        <f t="shared" si="432"/>
        <v>#DIV/0!</v>
      </c>
      <c r="AT230" s="438"/>
      <c r="AU230" s="439">
        <f t="shared" si="424"/>
        <v>0</v>
      </c>
      <c r="AV230" s="439">
        <f t="shared" si="425"/>
        <v>0</v>
      </c>
      <c r="AW230" s="474" t="e">
        <f t="shared" si="426"/>
        <v>#DIV/0!</v>
      </c>
      <c r="AX230" s="447">
        <f t="shared" si="427"/>
        <v>967.63730399999986</v>
      </c>
      <c r="AY230" s="447">
        <f t="shared" si="428"/>
        <v>799.32507959999998</v>
      </c>
      <c r="AZ230" s="447">
        <f t="shared" si="433"/>
        <v>168.31222439999988</v>
      </c>
      <c r="BA230" s="640">
        <f t="shared" si="434"/>
        <v>17.394143828915457</v>
      </c>
      <c r="BB230" s="445"/>
      <c r="BD230" s="446">
        <f t="shared" si="435"/>
        <v>153.59463</v>
      </c>
      <c r="BE230" s="446">
        <f t="shared" si="436"/>
        <v>16.232898324635432</v>
      </c>
      <c r="BF230" s="446">
        <f t="shared" si="437"/>
        <v>24.932860119999987</v>
      </c>
    </row>
    <row r="231" spans="1:73" ht="12.75" customHeight="1">
      <c r="A231" s="397" t="s">
        <v>397</v>
      </c>
      <c r="B231" s="438">
        <v>98.09678499999994</v>
      </c>
      <c r="C231" s="439">
        <f t="shared" si="395"/>
        <v>80.107313680000004</v>
      </c>
      <c r="D231" s="439">
        <f t="shared" si="429"/>
        <v>17.989471319999936</v>
      </c>
      <c r="E231" s="474">
        <f t="shared" si="430"/>
        <v>18.338492255378142</v>
      </c>
      <c r="F231" s="438">
        <v>90.434078400000018</v>
      </c>
      <c r="G231" s="439">
        <f t="shared" si="396"/>
        <v>74.847373480000002</v>
      </c>
      <c r="H231" s="439">
        <f t="shared" si="397"/>
        <v>15.586704920000017</v>
      </c>
      <c r="I231" s="474">
        <f t="shared" si="398"/>
        <v>17.235432920605749</v>
      </c>
      <c r="J231" s="438">
        <v>82.662414549999966</v>
      </c>
      <c r="K231" s="439">
        <f t="shared" si="399"/>
        <v>75.33745888</v>
      </c>
      <c r="L231" s="439">
        <f t="shared" si="400"/>
        <v>7.3249556699999658</v>
      </c>
      <c r="M231" s="1960">
        <f t="shared" si="401"/>
        <v>8.8612892689812792</v>
      </c>
      <c r="N231" s="438">
        <v>74.821707329999882</v>
      </c>
      <c r="O231" s="439">
        <f t="shared" si="402"/>
        <v>76.053131510000014</v>
      </c>
      <c r="P231" s="439">
        <f t="shared" si="403"/>
        <v>-1.2314241800001327</v>
      </c>
      <c r="Q231" s="474">
        <f t="shared" si="404"/>
        <v>-1.6458113880894978</v>
      </c>
      <c r="R231" s="438">
        <v>75.234373480000272</v>
      </c>
      <c r="S231" s="439">
        <f t="shared" si="405"/>
        <v>69.1314505</v>
      </c>
      <c r="T231" s="439">
        <f t="shared" si="406"/>
        <v>6.1029229800002724</v>
      </c>
      <c r="U231" s="1960">
        <f t="shared" si="407"/>
        <v>8.1118811757269782</v>
      </c>
      <c r="V231" s="438">
        <v>89.071250099999929</v>
      </c>
      <c r="W231" s="439">
        <f t="shared" si="408"/>
        <v>70.188447089999997</v>
      </c>
      <c r="X231" s="439">
        <f t="shared" si="409"/>
        <v>18.882803009999932</v>
      </c>
      <c r="Y231" s="474">
        <f t="shared" si="410"/>
        <v>21.199660933017427</v>
      </c>
      <c r="Z231" s="450">
        <v>160.67127194999995</v>
      </c>
      <c r="AA231" s="439">
        <f t="shared" si="411"/>
        <v>99.071835429999993</v>
      </c>
      <c r="AB231" s="439">
        <f t="shared" si="412"/>
        <v>61.599436519999955</v>
      </c>
      <c r="AC231" s="474">
        <f t="shared" si="413"/>
        <v>38.338799321368029</v>
      </c>
      <c r="AD231" s="438">
        <v>138.0392720800001</v>
      </c>
      <c r="AE231" s="439">
        <f t="shared" si="414"/>
        <v>104.40024798</v>
      </c>
      <c r="AF231" s="439">
        <f t="shared" si="415"/>
        <v>33.6390241000001</v>
      </c>
      <c r="AG231" s="474">
        <f t="shared" si="416"/>
        <v>24.369169434988571</v>
      </c>
      <c r="AH231" s="438"/>
      <c r="AI231" s="439">
        <f t="shared" si="417"/>
        <v>0</v>
      </c>
      <c r="AJ231" s="439">
        <f t="shared" si="431"/>
        <v>0</v>
      </c>
      <c r="AK231" s="474" t="e">
        <f t="shared" si="418"/>
        <v>#DIV/0!</v>
      </c>
      <c r="AL231" s="438"/>
      <c r="AM231" s="439">
        <f t="shared" si="419"/>
        <v>0</v>
      </c>
      <c r="AN231" s="439">
        <f t="shared" si="420"/>
        <v>0</v>
      </c>
      <c r="AO231" s="474" t="e">
        <f t="shared" si="421"/>
        <v>#DIV/0!</v>
      </c>
      <c r="AP231" s="438"/>
      <c r="AQ231" s="439">
        <f t="shared" si="422"/>
        <v>0</v>
      </c>
      <c r="AR231" s="439">
        <f t="shared" si="423"/>
        <v>0</v>
      </c>
      <c r="AS231" s="474" t="e">
        <f t="shared" si="432"/>
        <v>#DIV/0!</v>
      </c>
      <c r="AT231" s="438"/>
      <c r="AU231" s="439">
        <f t="shared" si="424"/>
        <v>0</v>
      </c>
      <c r="AV231" s="439">
        <f t="shared" si="425"/>
        <v>0</v>
      </c>
      <c r="AW231" s="474" t="e">
        <f t="shared" si="426"/>
        <v>#DIV/0!</v>
      </c>
      <c r="AX231" s="447">
        <f t="shared" si="427"/>
        <v>809.03115288999993</v>
      </c>
      <c r="AY231" s="447">
        <f t="shared" si="428"/>
        <v>649.13725855000007</v>
      </c>
      <c r="AZ231" s="447">
        <f t="shared" si="433"/>
        <v>159.89389433999986</v>
      </c>
      <c r="BA231" s="640">
        <f t="shared" si="434"/>
        <v>19.763626378147624</v>
      </c>
      <c r="BB231" s="445"/>
      <c r="BD231" s="446">
        <f t="shared" si="435"/>
        <v>138.0392720800001</v>
      </c>
      <c r="BE231" s="446">
        <f t="shared" si="436"/>
        <v>24.369169434988571</v>
      </c>
      <c r="BF231" s="446">
        <f t="shared" si="437"/>
        <v>33.6390241000001</v>
      </c>
    </row>
    <row r="232" spans="1:73" ht="12.75" customHeight="1">
      <c r="A232" s="397" t="s">
        <v>399</v>
      </c>
      <c r="B232" s="438">
        <v>168.29255900000001</v>
      </c>
      <c r="C232" s="439">
        <f t="shared" si="395"/>
        <v>131.82262195999999</v>
      </c>
      <c r="D232" s="439">
        <f t="shared" si="429"/>
        <v>36.469937040000019</v>
      </c>
      <c r="E232" s="474">
        <f t="shared" si="430"/>
        <v>21.670558256827039</v>
      </c>
      <c r="F232" s="438">
        <v>155.24561399999999</v>
      </c>
      <c r="G232" s="439">
        <f t="shared" si="396"/>
        <v>121.46927148</v>
      </c>
      <c r="H232" s="439">
        <f t="shared" si="397"/>
        <v>33.776342519999986</v>
      </c>
      <c r="I232" s="474">
        <f t="shared" si="398"/>
        <v>21.756712894961392</v>
      </c>
      <c r="J232" s="438">
        <v>144.357056</v>
      </c>
      <c r="K232" s="439">
        <f t="shared" si="399"/>
        <v>147.52489112000001</v>
      </c>
      <c r="L232" s="439">
        <f t="shared" si="400"/>
        <v>-3.1678351200000066</v>
      </c>
      <c r="M232" s="1960">
        <f t="shared" si="401"/>
        <v>-2.1944442535597335</v>
      </c>
      <c r="N232" s="438">
        <v>122.11589499999999</v>
      </c>
      <c r="O232" s="439">
        <f t="shared" si="402"/>
        <v>126.08627174</v>
      </c>
      <c r="P232" s="439">
        <f t="shared" si="403"/>
        <v>-3.9703767400000061</v>
      </c>
      <c r="Q232" s="474">
        <f t="shared" si="404"/>
        <v>-3.2513185445678521</v>
      </c>
      <c r="R232" s="438">
        <v>130.04767396999995</v>
      </c>
      <c r="S232" s="439">
        <f t="shared" si="405"/>
        <v>114.18640493000001</v>
      </c>
      <c r="T232" s="439">
        <f t="shared" si="406"/>
        <v>15.861269039999939</v>
      </c>
      <c r="U232" s="1960">
        <f t="shared" si="407"/>
        <v>12.19650344815771</v>
      </c>
      <c r="V232" s="438">
        <v>152.38827900000001</v>
      </c>
      <c r="W232" s="439">
        <f t="shared" si="408"/>
        <v>124.79122979</v>
      </c>
      <c r="X232" s="439">
        <f t="shared" si="409"/>
        <v>27.597049210000009</v>
      </c>
      <c r="Y232" s="474">
        <f t="shared" si="410"/>
        <v>18.109692813054217</v>
      </c>
      <c r="Z232" s="450">
        <v>272.56162147000003</v>
      </c>
      <c r="AA232" s="439">
        <f t="shared" si="411"/>
        <v>161.53660881000002</v>
      </c>
      <c r="AB232" s="439">
        <f t="shared" si="412"/>
        <v>111.02501266000002</v>
      </c>
      <c r="AC232" s="474">
        <f t="shared" si="413"/>
        <v>40.733912596062311</v>
      </c>
      <c r="AD232" s="438">
        <v>233.45446799999999</v>
      </c>
      <c r="AE232" s="439">
        <f t="shared" si="414"/>
        <v>175.73522080999999</v>
      </c>
      <c r="AF232" s="439">
        <f t="shared" si="415"/>
        <v>57.719247190000004</v>
      </c>
      <c r="AG232" s="474">
        <f t="shared" si="416"/>
        <v>24.72398480289527</v>
      </c>
      <c r="AH232" s="438"/>
      <c r="AI232" s="439">
        <f t="shared" si="417"/>
        <v>0</v>
      </c>
      <c r="AJ232" s="439">
        <f t="shared" si="431"/>
        <v>0</v>
      </c>
      <c r="AK232" s="474" t="e">
        <f t="shared" si="418"/>
        <v>#DIV/0!</v>
      </c>
      <c r="AL232" s="438"/>
      <c r="AM232" s="439">
        <f t="shared" si="419"/>
        <v>0</v>
      </c>
      <c r="AN232" s="439">
        <f t="shared" si="420"/>
        <v>0</v>
      </c>
      <c r="AO232" s="474" t="e">
        <f t="shared" si="421"/>
        <v>#DIV/0!</v>
      </c>
      <c r="AP232" s="438"/>
      <c r="AQ232" s="439">
        <f t="shared" si="422"/>
        <v>0</v>
      </c>
      <c r="AR232" s="439">
        <f t="shared" si="423"/>
        <v>0</v>
      </c>
      <c r="AS232" s="474" t="e">
        <f t="shared" si="432"/>
        <v>#DIV/0!</v>
      </c>
      <c r="AT232" s="438"/>
      <c r="AU232" s="439">
        <f t="shared" si="424"/>
        <v>0</v>
      </c>
      <c r="AV232" s="439">
        <f t="shared" si="425"/>
        <v>0</v>
      </c>
      <c r="AW232" s="474" t="e">
        <f t="shared" si="426"/>
        <v>#DIV/0!</v>
      </c>
      <c r="AX232" s="447">
        <f t="shared" si="427"/>
        <v>1378.4631664399999</v>
      </c>
      <c r="AY232" s="447">
        <f t="shared" si="428"/>
        <v>1103.1525206400001</v>
      </c>
      <c r="AZ232" s="447">
        <f t="shared" si="433"/>
        <v>275.31064579999975</v>
      </c>
      <c r="BA232" s="640">
        <f t="shared" si="434"/>
        <v>19.97228888683426</v>
      </c>
      <c r="BB232" s="445"/>
      <c r="BD232" s="446">
        <f t="shared" si="435"/>
        <v>233.45446799999999</v>
      </c>
      <c r="BE232" s="446">
        <f t="shared" si="436"/>
        <v>24.72398480289527</v>
      </c>
      <c r="BF232" s="446">
        <f t="shared" si="437"/>
        <v>57.719247190000004</v>
      </c>
    </row>
    <row r="233" spans="1:73" ht="12.75" customHeight="1">
      <c r="A233" s="397" t="s">
        <v>883</v>
      </c>
      <c r="B233" s="438">
        <v>80.943731999999997</v>
      </c>
      <c r="C233" s="439">
        <f t="shared" si="395"/>
        <v>74.296130590000004</v>
      </c>
      <c r="D233" s="439">
        <f t="shared" si="429"/>
        <v>6.6476014099999929</v>
      </c>
      <c r="E233" s="474">
        <f t="shared" si="430"/>
        <v>8.2126203545939713</v>
      </c>
      <c r="F233" s="438">
        <v>70.811139999999995</v>
      </c>
      <c r="G233" s="439">
        <f t="shared" si="396"/>
        <v>70.379210809999989</v>
      </c>
      <c r="H233" s="439">
        <f t="shared" si="397"/>
        <v>0.43192919000000529</v>
      </c>
      <c r="I233" s="474">
        <f t="shared" si="398"/>
        <v>0.60997350134456996</v>
      </c>
      <c r="J233" s="438">
        <v>75.805923000000007</v>
      </c>
      <c r="K233" s="439">
        <f t="shared" si="399"/>
        <v>59.429559450000006</v>
      </c>
      <c r="L233" s="439">
        <f t="shared" si="400"/>
        <v>16.376363550000001</v>
      </c>
      <c r="M233" s="1960">
        <f t="shared" si="401"/>
        <v>21.603013197266922</v>
      </c>
      <c r="N233" s="438">
        <v>76.343520999999996</v>
      </c>
      <c r="O233" s="439">
        <f t="shared" si="402"/>
        <v>73.074029569999993</v>
      </c>
      <c r="P233" s="439">
        <f t="shared" si="403"/>
        <v>3.2694914300000022</v>
      </c>
      <c r="Q233" s="474">
        <f t="shared" si="404"/>
        <v>4.2826049770484156</v>
      </c>
      <c r="R233" s="438">
        <v>75.980731000000006</v>
      </c>
      <c r="S233" s="439">
        <f t="shared" si="405"/>
        <v>73.816718010000002</v>
      </c>
      <c r="T233" s="439">
        <f t="shared" si="406"/>
        <v>2.1640129900000034</v>
      </c>
      <c r="U233" s="1960">
        <f t="shared" si="407"/>
        <v>2.8481076208650888</v>
      </c>
      <c r="V233" s="438">
        <v>101.255154</v>
      </c>
      <c r="W233" s="439">
        <f t="shared" si="408"/>
        <v>71.143706989999998</v>
      </c>
      <c r="X233" s="439">
        <f t="shared" si="409"/>
        <v>30.111447010000006</v>
      </c>
      <c r="Y233" s="474">
        <f t="shared" si="410"/>
        <v>29.738186966759251</v>
      </c>
      <c r="Z233" s="450">
        <v>188.773777</v>
      </c>
      <c r="AA233" s="439">
        <f t="shared" si="411"/>
        <v>121.692857</v>
      </c>
      <c r="AB233" s="439">
        <f t="shared" si="412"/>
        <v>67.080919999999992</v>
      </c>
      <c r="AC233" s="474">
        <f t="shared" si="413"/>
        <v>35.535083879791202</v>
      </c>
      <c r="AD233" s="438">
        <v>158.15943100000001</v>
      </c>
      <c r="AE233" s="439">
        <f t="shared" si="414"/>
        <v>141.19376771</v>
      </c>
      <c r="AF233" s="439">
        <f t="shared" si="415"/>
        <v>16.965663290000009</v>
      </c>
      <c r="AG233" s="474">
        <f t="shared" si="416"/>
        <v>10.726937484998924</v>
      </c>
      <c r="AH233" s="438"/>
      <c r="AI233" s="439">
        <f t="shared" si="417"/>
        <v>0</v>
      </c>
      <c r="AJ233" s="439">
        <f t="shared" si="431"/>
        <v>0</v>
      </c>
      <c r="AK233" s="474" t="e">
        <f t="shared" si="418"/>
        <v>#DIV/0!</v>
      </c>
      <c r="AL233" s="438"/>
      <c r="AM233" s="439">
        <f t="shared" si="419"/>
        <v>0</v>
      </c>
      <c r="AN233" s="439">
        <f t="shared" si="420"/>
        <v>0</v>
      </c>
      <c r="AO233" s="474" t="e">
        <f t="shared" si="421"/>
        <v>#DIV/0!</v>
      </c>
      <c r="AP233" s="650"/>
      <c r="AQ233" s="439">
        <f t="shared" si="422"/>
        <v>0</v>
      </c>
      <c r="AR233" s="439">
        <f t="shared" si="423"/>
        <v>0</v>
      </c>
      <c r="AS233" s="474" t="e">
        <f t="shared" si="432"/>
        <v>#DIV/0!</v>
      </c>
      <c r="AT233" s="438"/>
      <c r="AU233" s="439">
        <f t="shared" si="424"/>
        <v>0</v>
      </c>
      <c r="AV233" s="439">
        <f t="shared" si="425"/>
        <v>0</v>
      </c>
      <c r="AW233" s="474" t="e">
        <f t="shared" si="426"/>
        <v>#DIV/0!</v>
      </c>
      <c r="AX233" s="447">
        <f t="shared" si="427"/>
        <v>828.07340900000008</v>
      </c>
      <c r="AY233" s="447">
        <f t="shared" si="428"/>
        <v>685.02598012999988</v>
      </c>
      <c r="AZ233" s="447">
        <f t="shared" si="433"/>
        <v>143.0474288700002</v>
      </c>
      <c r="BA233" s="640">
        <f t="shared" si="434"/>
        <v>17.274727978857268</v>
      </c>
      <c r="BB233" s="445"/>
      <c r="BD233" s="446">
        <f t="shared" si="435"/>
        <v>158.15943100000001</v>
      </c>
      <c r="BE233" s="446">
        <f t="shared" si="436"/>
        <v>10.726937484998924</v>
      </c>
      <c r="BF233" s="446">
        <f t="shared" si="437"/>
        <v>16.965663290000009</v>
      </c>
    </row>
    <row r="234" spans="1:73" ht="12.75" customHeight="1">
      <c r="A234" s="397" t="s">
        <v>884</v>
      </c>
      <c r="B234" s="438">
        <v>100.111487</v>
      </c>
      <c r="C234" s="439">
        <f t="shared" si="395"/>
        <v>87.195057149999997</v>
      </c>
      <c r="D234" s="439">
        <f t="shared" si="429"/>
        <v>12.91642985</v>
      </c>
      <c r="E234" s="474">
        <f t="shared" si="430"/>
        <v>12.902045746258869</v>
      </c>
      <c r="F234" s="438">
        <v>90.374418000000006</v>
      </c>
      <c r="G234" s="439">
        <f t="shared" si="396"/>
        <v>86.55147473000001</v>
      </c>
      <c r="H234" s="439">
        <f t="shared" si="397"/>
        <v>3.8229432699999961</v>
      </c>
      <c r="I234" s="474">
        <f t="shared" si="398"/>
        <v>4.2301166133097485</v>
      </c>
      <c r="J234" s="438">
        <v>91.106733000000006</v>
      </c>
      <c r="K234" s="439">
        <f t="shared" si="399"/>
        <v>79.426661609999996</v>
      </c>
      <c r="L234" s="439">
        <f t="shared" si="400"/>
        <v>11.680071390000009</v>
      </c>
      <c r="M234" s="1960">
        <f t="shared" si="401"/>
        <v>12.820206592195561</v>
      </c>
      <c r="N234" s="438">
        <v>87.490261000000004</v>
      </c>
      <c r="O234" s="439">
        <f t="shared" si="402"/>
        <v>88.885701089999998</v>
      </c>
      <c r="P234" s="439">
        <f t="shared" si="403"/>
        <v>-1.3954400899999939</v>
      </c>
      <c r="Q234" s="474">
        <f t="shared" si="404"/>
        <v>-1.5949661985806556</v>
      </c>
      <c r="R234" s="438">
        <v>93.512893000000005</v>
      </c>
      <c r="S234" s="439">
        <f t="shared" si="405"/>
        <v>89.643409480000003</v>
      </c>
      <c r="T234" s="439">
        <f t="shared" si="406"/>
        <v>3.8694835200000028</v>
      </c>
      <c r="U234" s="1960">
        <f t="shared" si="407"/>
        <v>4.1379144584907692</v>
      </c>
      <c r="V234" s="438">
        <v>127.281222</v>
      </c>
      <c r="W234" s="439">
        <f t="shared" si="408"/>
        <v>84.570831179999999</v>
      </c>
      <c r="X234" s="439">
        <f t="shared" si="409"/>
        <v>42.710390820000001</v>
      </c>
      <c r="Y234" s="474">
        <f t="shared" si="410"/>
        <v>33.555924549498748</v>
      </c>
      <c r="Z234" s="450">
        <v>232.405179</v>
      </c>
      <c r="AA234" s="439">
        <f t="shared" si="411"/>
        <v>157.47337549</v>
      </c>
      <c r="AB234" s="439">
        <f t="shared" si="412"/>
        <v>74.931803510000009</v>
      </c>
      <c r="AC234" s="474">
        <f t="shared" si="413"/>
        <v>32.241881972002012</v>
      </c>
      <c r="AD234" s="438">
        <v>203.085733</v>
      </c>
      <c r="AE234" s="439">
        <f t="shared" si="414"/>
        <v>182.10079444999997</v>
      </c>
      <c r="AF234" s="439">
        <f t="shared" si="415"/>
        <v>20.984938550000038</v>
      </c>
      <c r="AG234" s="474">
        <f t="shared" si="416"/>
        <v>10.333044197644369</v>
      </c>
      <c r="AH234" s="438"/>
      <c r="AI234" s="439">
        <f t="shared" si="417"/>
        <v>0</v>
      </c>
      <c r="AJ234" s="439">
        <f t="shared" si="431"/>
        <v>0</v>
      </c>
      <c r="AK234" s="474" t="e">
        <f t="shared" si="418"/>
        <v>#DIV/0!</v>
      </c>
      <c r="AL234" s="438"/>
      <c r="AM234" s="439">
        <f t="shared" si="419"/>
        <v>0</v>
      </c>
      <c r="AN234" s="439">
        <f t="shared" si="420"/>
        <v>0</v>
      </c>
      <c r="AO234" s="474" t="e">
        <f t="shared" si="421"/>
        <v>#DIV/0!</v>
      </c>
      <c r="AP234" s="438"/>
      <c r="AQ234" s="439">
        <f t="shared" si="422"/>
        <v>0</v>
      </c>
      <c r="AR234" s="439">
        <f t="shared" si="423"/>
        <v>0</v>
      </c>
      <c r="AS234" s="474" t="e">
        <f t="shared" si="432"/>
        <v>#DIV/0!</v>
      </c>
      <c r="AT234" s="438"/>
      <c r="AU234" s="439">
        <f t="shared" si="424"/>
        <v>0</v>
      </c>
      <c r="AV234" s="439">
        <f t="shared" si="425"/>
        <v>0</v>
      </c>
      <c r="AW234" s="474" t="e">
        <f t="shared" si="426"/>
        <v>#DIV/0!</v>
      </c>
      <c r="AX234" s="447">
        <f t="shared" si="427"/>
        <v>1025.3679259999999</v>
      </c>
      <c r="AY234" s="447">
        <f t="shared" si="428"/>
        <v>855.84730517999992</v>
      </c>
      <c r="AZ234" s="447">
        <f t="shared" si="433"/>
        <v>169.52062081999998</v>
      </c>
      <c r="BA234" s="640">
        <f t="shared" si="434"/>
        <v>16.532662717597038</v>
      </c>
      <c r="BB234" s="445"/>
      <c r="BD234" s="446">
        <f t="shared" si="435"/>
        <v>203.085733</v>
      </c>
      <c r="BE234" s="446">
        <f t="shared" si="436"/>
        <v>10.333044197644369</v>
      </c>
      <c r="BF234" s="446">
        <f t="shared" si="437"/>
        <v>20.984938550000038</v>
      </c>
    </row>
    <row r="235" spans="1:73" ht="12.75" customHeight="1" thickBot="1">
      <c r="A235" s="397" t="s">
        <v>885</v>
      </c>
      <c r="B235" s="438">
        <v>24.051525999999999</v>
      </c>
      <c r="C235" s="439">
        <f t="shared" si="395"/>
        <v>20.82366991</v>
      </c>
      <c r="D235" s="439">
        <f t="shared" si="429"/>
        <v>3.2278560899999995</v>
      </c>
      <c r="E235" s="474">
        <f t="shared" si="430"/>
        <v>13.420587492036887</v>
      </c>
      <c r="F235" s="438">
        <v>21.772210000000001</v>
      </c>
      <c r="G235" s="439">
        <f t="shared" si="396"/>
        <v>22.381085939999998</v>
      </c>
      <c r="H235" s="439">
        <f t="shared" si="397"/>
        <v>-0.60887593999999723</v>
      </c>
      <c r="I235" s="474">
        <f t="shared" si="398"/>
        <v>-2.7965738893754799</v>
      </c>
      <c r="J235" s="438">
        <v>22.306367000000002</v>
      </c>
      <c r="K235" s="439">
        <f t="shared" si="399"/>
        <v>18.870253129999998</v>
      </c>
      <c r="L235" s="439">
        <f t="shared" si="400"/>
        <v>3.4361138700000033</v>
      </c>
      <c r="M235" s="1960">
        <f t="shared" si="401"/>
        <v>15.404184240311311</v>
      </c>
      <c r="N235" s="438">
        <v>21.005597999999999</v>
      </c>
      <c r="O235" s="439">
        <f t="shared" si="402"/>
        <v>22.249122740000001</v>
      </c>
      <c r="P235" s="439">
        <f t="shared" si="403"/>
        <v>-1.2435247400000016</v>
      </c>
      <c r="Q235" s="474">
        <f t="shared" si="404"/>
        <v>-5.9199682865491461</v>
      </c>
      <c r="R235" s="438">
        <v>20.792003000000001</v>
      </c>
      <c r="S235" s="439">
        <f t="shared" si="405"/>
        <v>19.659045729999999</v>
      </c>
      <c r="T235" s="439">
        <f t="shared" si="406"/>
        <v>1.1329572700000021</v>
      </c>
      <c r="U235" s="1960">
        <f t="shared" si="407"/>
        <v>5.4490049371385814</v>
      </c>
      <c r="V235" s="438">
        <v>23.532744000000001</v>
      </c>
      <c r="W235" s="439">
        <f t="shared" si="408"/>
        <v>16.538809149999999</v>
      </c>
      <c r="X235" s="439">
        <f t="shared" si="409"/>
        <v>6.9939348500000023</v>
      </c>
      <c r="Y235" s="474">
        <f t="shared" si="410"/>
        <v>29.720014164094088</v>
      </c>
      <c r="Z235" s="450">
        <v>36.445447000000001</v>
      </c>
      <c r="AA235" s="439">
        <f t="shared" si="411"/>
        <v>28.75247877</v>
      </c>
      <c r="AB235" s="439">
        <f t="shared" si="412"/>
        <v>7.6929682300000017</v>
      </c>
      <c r="AC235" s="474">
        <f t="shared" si="413"/>
        <v>21.10817362179699</v>
      </c>
      <c r="AD235" s="438">
        <v>31.598647</v>
      </c>
      <c r="AE235" s="439">
        <f t="shared" si="414"/>
        <v>29.996232540000001</v>
      </c>
      <c r="AF235" s="439">
        <f t="shared" si="415"/>
        <v>1.6024144599999985</v>
      </c>
      <c r="AG235" s="474">
        <f t="shared" si="416"/>
        <v>5.0711489640679819</v>
      </c>
      <c r="AH235" s="438"/>
      <c r="AI235" s="439">
        <f t="shared" si="417"/>
        <v>0</v>
      </c>
      <c r="AJ235" s="439">
        <f t="shared" si="431"/>
        <v>0</v>
      </c>
      <c r="AK235" s="474" t="e">
        <f t="shared" si="418"/>
        <v>#DIV/0!</v>
      </c>
      <c r="AL235" s="438"/>
      <c r="AM235" s="439">
        <f t="shared" si="419"/>
        <v>0</v>
      </c>
      <c r="AN235" s="439">
        <f t="shared" si="420"/>
        <v>0</v>
      </c>
      <c r="AO235" s="474" t="e">
        <f t="shared" si="421"/>
        <v>#DIV/0!</v>
      </c>
      <c r="AP235" s="438"/>
      <c r="AQ235" s="439">
        <f t="shared" si="422"/>
        <v>0</v>
      </c>
      <c r="AR235" s="439">
        <f t="shared" si="423"/>
        <v>0</v>
      </c>
      <c r="AS235" s="474" t="e">
        <f t="shared" si="432"/>
        <v>#DIV/0!</v>
      </c>
      <c r="AT235" s="438"/>
      <c r="AU235" s="439">
        <f t="shared" si="424"/>
        <v>0</v>
      </c>
      <c r="AV235" s="439">
        <f t="shared" si="425"/>
        <v>0</v>
      </c>
      <c r="AW235" s="474" t="e">
        <f t="shared" si="426"/>
        <v>#DIV/0!</v>
      </c>
      <c r="AX235" s="447">
        <f t="shared" si="427"/>
        <v>201.50454199999999</v>
      </c>
      <c r="AY235" s="447">
        <f t="shared" si="428"/>
        <v>179.27069791</v>
      </c>
      <c r="AZ235" s="447">
        <f t="shared" si="433"/>
        <v>22.233844089999991</v>
      </c>
      <c r="BA235" s="640">
        <f t="shared" si="434"/>
        <v>11.033917086593508</v>
      </c>
      <c r="BB235" s="445"/>
      <c r="BD235" s="446">
        <f t="shared" si="435"/>
        <v>31.598647</v>
      </c>
      <c r="BE235" s="446">
        <f t="shared" si="436"/>
        <v>5.0711489640679819</v>
      </c>
      <c r="BF235" s="446">
        <f t="shared" si="437"/>
        <v>1.6024144599999985</v>
      </c>
    </row>
    <row r="236" spans="1:73" ht="13.5" customHeight="1" thickBot="1">
      <c r="A236" s="433" t="s">
        <v>16</v>
      </c>
      <c r="B236" s="467">
        <f>SUM(B226:B235)</f>
        <v>1071.2789770899994</v>
      </c>
      <c r="C236" s="456">
        <f>SUM(C226:C235)</f>
        <v>891.03038914000001</v>
      </c>
      <c r="D236" s="456">
        <f>+B236-C236</f>
        <v>180.24858794999943</v>
      </c>
      <c r="E236" s="1376">
        <f>+D236/B236*100</f>
        <v>16.825550748659612</v>
      </c>
      <c r="F236" s="455">
        <f>SUM(F226:F235)</f>
        <v>982.05232246999981</v>
      </c>
      <c r="G236" s="456">
        <f>SUM(G226:G235)</f>
        <v>878.93361307000009</v>
      </c>
      <c r="H236" s="456">
        <f t="shared" si="397"/>
        <v>103.11870939999972</v>
      </c>
      <c r="I236" s="457">
        <f t="shared" si="398"/>
        <v>10.500327430685328</v>
      </c>
      <c r="J236" s="645">
        <f>SUM(J226:J235)</f>
        <v>988.15833733000056</v>
      </c>
      <c r="K236" s="456">
        <f>SUM(K226:K235)</f>
        <v>907.79937347000009</v>
      </c>
      <c r="L236" s="456">
        <f t="shared" si="400"/>
        <v>80.358963860000472</v>
      </c>
      <c r="M236" s="1376">
        <f t="shared" si="401"/>
        <v>8.1321950971066066</v>
      </c>
      <c r="N236" s="645">
        <f>SUM(N226:N235)</f>
        <v>915.96546136999996</v>
      </c>
      <c r="O236" s="456">
        <f>SUM(O226:O235)</f>
        <v>890.75295578999999</v>
      </c>
      <c r="P236" s="456">
        <f t="shared" si="403"/>
        <v>25.21250557999997</v>
      </c>
      <c r="Q236" s="457">
        <f t="shared" si="404"/>
        <v>2.7525607289045473</v>
      </c>
      <c r="R236" s="467">
        <f>SUM(R226:R235)</f>
        <v>935.97290394000038</v>
      </c>
      <c r="S236" s="456">
        <f>SUM(S226:S235)</f>
        <v>872.0960955700001</v>
      </c>
      <c r="T236" s="456">
        <f t="shared" si="406"/>
        <v>63.876808370000276</v>
      </c>
      <c r="U236" s="1376">
        <f t="shared" si="407"/>
        <v>6.8246429037752394</v>
      </c>
      <c r="V236" s="467">
        <f>SUM(V226:V235)</f>
        <v>1121.7542892799997</v>
      </c>
      <c r="W236" s="456">
        <f>SUM(W226:W235)</f>
        <v>874.48798562000002</v>
      </c>
      <c r="X236" s="456">
        <f t="shared" si="409"/>
        <v>247.26630365999972</v>
      </c>
      <c r="Y236" s="457">
        <f t="shared" si="410"/>
        <v>22.042822213651451</v>
      </c>
      <c r="Z236" s="468">
        <f>SUM(Z226:Z235)</f>
        <v>2000.6916604800001</v>
      </c>
      <c r="AA236" s="456">
        <f>SUM(AA226:AA235)</f>
        <v>1292.7326049339999</v>
      </c>
      <c r="AB236" s="456">
        <f t="shared" si="412"/>
        <v>707.95905554600017</v>
      </c>
      <c r="AC236" s="457">
        <f t="shared" si="413"/>
        <v>35.385715326875946</v>
      </c>
      <c r="AD236" s="467">
        <f>SUM(AD226:AD235)</f>
        <v>1690.36210443</v>
      </c>
      <c r="AE236" s="456">
        <f>SUM(AE226:AE235)</f>
        <v>1451.3833515699998</v>
      </c>
      <c r="AF236" s="456">
        <f t="shared" si="415"/>
        <v>238.97875286000021</v>
      </c>
      <c r="AG236" s="457">
        <f t="shared" si="416"/>
        <v>14.137725415974423</v>
      </c>
      <c r="AH236" s="467">
        <f>SUM(AH226:AH235)</f>
        <v>0</v>
      </c>
      <c r="AI236" s="456">
        <f>SUM(AI226:AI235)</f>
        <v>0</v>
      </c>
      <c r="AJ236" s="456">
        <f t="shared" si="431"/>
        <v>0</v>
      </c>
      <c r="AK236" s="1376" t="e">
        <f t="shared" si="418"/>
        <v>#DIV/0!</v>
      </c>
      <c r="AL236" s="467">
        <f>SUM(AL226:AL235)</f>
        <v>0</v>
      </c>
      <c r="AM236" s="456">
        <f>SUM(AM226:AM235)</f>
        <v>0</v>
      </c>
      <c r="AN236" s="456">
        <f t="shared" si="420"/>
        <v>0</v>
      </c>
      <c r="AO236" s="457" t="e">
        <f t="shared" si="421"/>
        <v>#DIV/0!</v>
      </c>
      <c r="AP236" s="467">
        <f>SUM(AP226:AP235)</f>
        <v>0</v>
      </c>
      <c r="AQ236" s="456">
        <f>SUM(AQ226:AQ235)</f>
        <v>0</v>
      </c>
      <c r="AR236" s="456">
        <f t="shared" si="423"/>
        <v>0</v>
      </c>
      <c r="AS236" s="457" t="e">
        <f t="shared" si="432"/>
        <v>#DIV/0!</v>
      </c>
      <c r="AT236" s="467">
        <f>SUM(AT226:AT235)</f>
        <v>0</v>
      </c>
      <c r="AU236" s="456">
        <f>SUM(AU226:AU235)</f>
        <v>0</v>
      </c>
      <c r="AV236" s="456">
        <f t="shared" si="425"/>
        <v>0</v>
      </c>
      <c r="AW236" s="457" t="e">
        <f t="shared" si="426"/>
        <v>#DIV/0!</v>
      </c>
      <c r="AX236" s="1048">
        <f>SUM(AX226:AX235)</f>
        <v>9706.236056390002</v>
      </c>
      <c r="AY236" s="1048">
        <f>SUM(AY226:AY235)</f>
        <v>8059.2163691640008</v>
      </c>
      <c r="AZ236" s="1048">
        <f t="shared" si="433"/>
        <v>1647.0196872260012</v>
      </c>
      <c r="BA236" s="646">
        <f t="shared" si="434"/>
        <v>16.968675371764757</v>
      </c>
      <c r="BB236" s="445"/>
      <c r="BD236" s="446">
        <f t="shared" si="435"/>
        <v>1690.36210443</v>
      </c>
      <c r="BE236" s="446">
        <f t="shared" si="436"/>
        <v>14.137725415974423</v>
      </c>
      <c r="BF236" s="446">
        <f t="shared" si="437"/>
        <v>238.97875286000021</v>
      </c>
    </row>
    <row r="237" spans="1:73" ht="14.4" thickBot="1">
      <c r="J237" s="445">
        <f>J236+F236+B236</f>
        <v>3041.4896368899999</v>
      </c>
      <c r="K237" s="445">
        <f>K236+G236+C236</f>
        <v>2677.7633756800001</v>
      </c>
      <c r="M237" s="470"/>
      <c r="N237" s="395"/>
      <c r="O237" s="395"/>
      <c r="P237" s="395"/>
      <c r="Q237" s="395"/>
      <c r="V237" s="1093"/>
      <c r="W237" s="1093"/>
      <c r="Z237" s="82"/>
      <c r="AA237" s="82"/>
      <c r="AB237" s="82"/>
      <c r="AC237" s="446"/>
      <c r="AH237" s="1243"/>
      <c r="AI237" s="1243"/>
      <c r="AJ237" s="1243"/>
      <c r="AK237" s="446"/>
      <c r="AT237" s="446"/>
      <c r="BB237" s="469"/>
      <c r="BD237" s="446"/>
      <c r="BE237" s="446"/>
    </row>
    <row r="238" spans="1:73" ht="18.600000000000001" thickBot="1">
      <c r="A238" s="394">
        <f>A206</f>
        <v>2024</v>
      </c>
      <c r="O238" s="446"/>
      <c r="Z238" s="481">
        <f>Z237-Z233</f>
        <v>-188.773777</v>
      </c>
      <c r="AA238" s="481">
        <f>AA237-AD233</f>
        <v>-158.15943100000001</v>
      </c>
      <c r="AB238" s="481">
        <f>AB237-AH233</f>
        <v>0</v>
      </c>
      <c r="AQ238" s="1091"/>
      <c r="AS238" s="446"/>
      <c r="AX238" s="445"/>
      <c r="AY238" s="470"/>
      <c r="AZ238" s="445"/>
      <c r="BA238" s="446"/>
    </row>
    <row r="239" spans="1:73">
      <c r="A239" s="2815" t="s">
        <v>308</v>
      </c>
      <c r="B239" s="2827" t="s">
        <v>71</v>
      </c>
      <c r="C239" s="2828"/>
      <c r="D239" s="2828"/>
      <c r="E239" s="3091"/>
      <c r="F239" s="2829" t="s">
        <v>72</v>
      </c>
      <c r="G239" s="2830"/>
      <c r="H239" s="2830"/>
      <c r="I239" s="3095"/>
      <c r="J239" s="2817" t="s">
        <v>73</v>
      </c>
      <c r="K239" s="2818"/>
      <c r="L239" s="2818"/>
      <c r="M239" s="3094"/>
      <c r="N239" s="2819" t="s">
        <v>74</v>
      </c>
      <c r="O239" s="2820"/>
      <c r="P239" s="2820"/>
      <c r="Q239" s="3090"/>
      <c r="R239" s="2821" t="s">
        <v>75</v>
      </c>
      <c r="S239" s="2822"/>
      <c r="T239" s="2822"/>
      <c r="U239" s="3093"/>
      <c r="V239" s="2823" t="s">
        <v>76</v>
      </c>
      <c r="W239" s="2824"/>
      <c r="X239" s="2824"/>
      <c r="Y239" s="3089"/>
      <c r="Z239" s="2827" t="s">
        <v>77</v>
      </c>
      <c r="AA239" s="2828"/>
      <c r="AB239" s="2828"/>
      <c r="AC239" s="3091"/>
      <c r="AD239" s="2829" t="s">
        <v>78</v>
      </c>
      <c r="AE239" s="2830"/>
      <c r="AF239" s="2830"/>
      <c r="AG239" s="3095"/>
      <c r="AH239" s="2817" t="s">
        <v>79</v>
      </c>
      <c r="AI239" s="2818"/>
      <c r="AJ239" s="2818"/>
      <c r="AK239" s="3094"/>
      <c r="AL239" s="2819" t="s">
        <v>80</v>
      </c>
      <c r="AM239" s="2820"/>
      <c r="AN239" s="2820"/>
      <c r="AO239" s="3090"/>
      <c r="AP239" s="2821" t="s">
        <v>81</v>
      </c>
      <c r="AQ239" s="2822"/>
      <c r="AR239" s="2822"/>
      <c r="AS239" s="3093"/>
      <c r="AT239" s="2823" t="s">
        <v>82</v>
      </c>
      <c r="AU239" s="2824"/>
      <c r="AV239" s="2824"/>
      <c r="AW239" s="3089"/>
      <c r="AX239" s="2825" t="s">
        <v>83</v>
      </c>
      <c r="AY239" s="2826"/>
      <c r="AZ239" s="2826"/>
      <c r="BA239" s="3088"/>
      <c r="BB239" s="473"/>
      <c r="BC239" s="430"/>
      <c r="BD239" s="430"/>
      <c r="BE239" s="430"/>
      <c r="BF239" s="430"/>
      <c r="BG239" s="430"/>
      <c r="BH239" s="430"/>
      <c r="BI239" s="430"/>
      <c r="BJ239" s="430"/>
      <c r="BK239" s="430"/>
      <c r="BL239" s="430"/>
      <c r="BM239" s="430"/>
      <c r="BN239" s="430"/>
      <c r="BO239" s="430"/>
      <c r="BP239" s="430"/>
      <c r="BQ239" s="430"/>
      <c r="BR239" s="430"/>
      <c r="BS239" s="430"/>
      <c r="BT239" s="430"/>
      <c r="BU239" s="430"/>
    </row>
    <row r="240" spans="1:73">
      <c r="A240" s="2816"/>
      <c r="B240" s="402" t="s">
        <v>24</v>
      </c>
      <c r="C240" s="403" t="s">
        <v>90</v>
      </c>
      <c r="D240" s="403" t="s">
        <v>89</v>
      </c>
      <c r="E240" s="404" t="s">
        <v>91</v>
      </c>
      <c r="F240" s="402" t="s">
        <v>24</v>
      </c>
      <c r="G240" s="403" t="s">
        <v>90</v>
      </c>
      <c r="H240" s="403" t="s">
        <v>89</v>
      </c>
      <c r="I240" s="404" t="s">
        <v>91</v>
      </c>
      <c r="J240" s="402" t="s">
        <v>24</v>
      </c>
      <c r="K240" s="403" t="s">
        <v>90</v>
      </c>
      <c r="L240" s="403" t="s">
        <v>89</v>
      </c>
      <c r="M240" s="404" t="s">
        <v>91</v>
      </c>
      <c r="N240" s="402" t="s">
        <v>24</v>
      </c>
      <c r="O240" s="403" t="s">
        <v>90</v>
      </c>
      <c r="P240" s="403" t="s">
        <v>89</v>
      </c>
      <c r="Q240" s="404" t="s">
        <v>91</v>
      </c>
      <c r="R240" s="402" t="s">
        <v>24</v>
      </c>
      <c r="S240" s="403" t="s">
        <v>90</v>
      </c>
      <c r="T240" s="403" t="s">
        <v>89</v>
      </c>
      <c r="U240" s="404" t="s">
        <v>91</v>
      </c>
      <c r="V240" s="402" t="s">
        <v>24</v>
      </c>
      <c r="W240" s="403" t="s">
        <v>90</v>
      </c>
      <c r="X240" s="403" t="s">
        <v>89</v>
      </c>
      <c r="Y240" s="404" t="s">
        <v>91</v>
      </c>
      <c r="Z240" s="402" t="s">
        <v>24</v>
      </c>
      <c r="AA240" s="403" t="s">
        <v>90</v>
      </c>
      <c r="AB240" s="403" t="s">
        <v>89</v>
      </c>
      <c r="AC240" s="404" t="s">
        <v>91</v>
      </c>
      <c r="AD240" s="402" t="s">
        <v>24</v>
      </c>
      <c r="AE240" s="403" t="s">
        <v>90</v>
      </c>
      <c r="AF240" s="403" t="s">
        <v>89</v>
      </c>
      <c r="AG240" s="404" t="s">
        <v>91</v>
      </c>
      <c r="AH240" s="402" t="s">
        <v>24</v>
      </c>
      <c r="AI240" s="403" t="s">
        <v>90</v>
      </c>
      <c r="AJ240" s="403" t="s">
        <v>89</v>
      </c>
      <c r="AK240" s="404" t="s">
        <v>91</v>
      </c>
      <c r="AL240" s="402" t="s">
        <v>24</v>
      </c>
      <c r="AM240" s="403" t="s">
        <v>90</v>
      </c>
      <c r="AN240" s="403" t="s">
        <v>89</v>
      </c>
      <c r="AO240" s="404" t="s">
        <v>91</v>
      </c>
      <c r="AP240" s="402" t="s">
        <v>24</v>
      </c>
      <c r="AQ240" s="403" t="s">
        <v>90</v>
      </c>
      <c r="AR240" s="403" t="s">
        <v>89</v>
      </c>
      <c r="AS240" s="404" t="s">
        <v>91</v>
      </c>
      <c r="AT240" s="402" t="s">
        <v>24</v>
      </c>
      <c r="AU240" s="403" t="s">
        <v>90</v>
      </c>
      <c r="AV240" s="403" t="s">
        <v>89</v>
      </c>
      <c r="AW240" s="404" t="s">
        <v>91</v>
      </c>
      <c r="AX240" s="647" t="s">
        <v>267</v>
      </c>
      <c r="AY240" s="403" t="s">
        <v>90</v>
      </c>
      <c r="AZ240" s="403" t="s">
        <v>89</v>
      </c>
      <c r="BA240" s="648" t="s">
        <v>91</v>
      </c>
      <c r="BB240" s="481"/>
      <c r="BD240" s="117" t="s">
        <v>178</v>
      </c>
      <c r="BE240" s="117" t="s">
        <v>245</v>
      </c>
      <c r="BF240" s="117" t="s">
        <v>857</v>
      </c>
      <c r="BI240" s="454"/>
      <c r="BJ240" s="649"/>
      <c r="BK240" s="454"/>
    </row>
    <row r="241" spans="1:64" ht="14.4">
      <c r="A241" s="397" t="s">
        <v>6</v>
      </c>
      <c r="B241" s="1830">
        <v>209.65213422000002</v>
      </c>
      <c r="C241" s="1392">
        <f t="shared" ref="C241:C250" si="438">+D209+E209</f>
        <v>173.35446779999998</v>
      </c>
      <c r="D241" s="440">
        <f>+B241-C241</f>
        <v>36.297666420000041</v>
      </c>
      <c r="E241" s="441">
        <f>+D241/B241*100</f>
        <v>17.313282574033238</v>
      </c>
      <c r="F241" s="1092">
        <v>188.14836954999976</v>
      </c>
      <c r="G241" s="439">
        <f t="shared" ref="G241:G250" si="439">+H209+I209</f>
        <v>174.67742153</v>
      </c>
      <c r="H241" s="440">
        <f t="shared" ref="H241:H251" si="440">+F241-G241</f>
        <v>13.470948019999753</v>
      </c>
      <c r="I241" s="441">
        <f t="shared" ref="I241:I251" si="441">+H241/F241*100</f>
        <v>7.1597474122250606</v>
      </c>
      <c r="J241" s="439">
        <v>189.44964502000033</v>
      </c>
      <c r="K241" s="439">
        <f t="shared" ref="K241:K250" si="442">+L209+M209</f>
        <v>178.02392445999999</v>
      </c>
      <c r="L241" s="440">
        <f t="shared" ref="L241:L251" si="443">+J241-K241</f>
        <v>11.425720560000343</v>
      </c>
      <c r="M241" s="441">
        <f t="shared" ref="M241:M251" si="444">+L241/J241*100</f>
        <v>6.0310065816138749</v>
      </c>
      <c r="N241" s="650">
        <v>169.27279298999957</v>
      </c>
      <c r="O241" s="1392">
        <f t="shared" ref="O241:O250" si="445">+P209+Q209</f>
        <v>166.50803217999999</v>
      </c>
      <c r="P241" s="440">
        <f t="shared" ref="P241:P251" si="446">+N241-O241</f>
        <v>2.7647608099995864</v>
      </c>
      <c r="Q241" s="441">
        <f>+P241/N241*100</f>
        <v>1.6333167079974422</v>
      </c>
      <c r="R241" s="650">
        <v>194.31121417000045</v>
      </c>
      <c r="S241" s="439">
        <f t="shared" ref="S241:S250" si="447">+T209+U209</f>
        <v>181.95515987000002</v>
      </c>
      <c r="T241" s="440">
        <f t="shared" ref="T241:T251" si="448">+R241-S241</f>
        <v>12.356054300000437</v>
      </c>
      <c r="U241" s="441">
        <f t="shared" ref="U241:U251" si="449">+T241/R241*100</f>
        <v>6.3588992291460231</v>
      </c>
      <c r="V241" s="438">
        <v>247.44001604999971</v>
      </c>
      <c r="W241" s="439">
        <f t="shared" ref="W241:W250" si="450">+X209+Y209</f>
        <v>194.33248583</v>
      </c>
      <c r="X241" s="440">
        <f t="shared" ref="X241:X251" si="451">+V241-W241</f>
        <v>53.107530219999717</v>
      </c>
      <c r="Y241" s="441">
        <f t="shared" ref="Y241:Y251" si="452">+X241/V241*100</f>
        <v>21.462789676374893</v>
      </c>
      <c r="Z241" s="1236">
        <v>367.25396119000038</v>
      </c>
      <c r="AA241" s="439">
        <f t="shared" ref="AA241:AA250" si="453">+AB209+AC209</f>
        <v>249.84373650000003</v>
      </c>
      <c r="AB241" s="440">
        <f t="shared" ref="AB241:AB251" si="454">+Z241-AA241</f>
        <v>117.41022469000035</v>
      </c>
      <c r="AC241" s="655">
        <f t="shared" ref="AC241:AC251" si="455">+AB241/Z241*100</f>
        <v>31.969764004603256</v>
      </c>
      <c r="AD241" s="450">
        <v>390.38474823999979</v>
      </c>
      <c r="AE241" s="439">
        <f t="shared" ref="AE241:AE250" si="456">+AF209+AG209</f>
        <v>303.17470093999998</v>
      </c>
      <c r="AF241" s="440">
        <f t="shared" ref="AF241:AF251" si="457">+AD241-AE241</f>
        <v>87.210047299999815</v>
      </c>
      <c r="AG241" s="441">
        <f t="shared" ref="AG241:AG251" si="458">+AF241/AD241*100</f>
        <v>22.339511902853602</v>
      </c>
      <c r="AH241" s="1075"/>
      <c r="AI241" s="1883">
        <f t="shared" ref="AI241:AI250" si="459">+AJ209+AK209</f>
        <v>0</v>
      </c>
      <c r="AJ241" s="1076">
        <f t="shared" ref="AJ241:AJ251" si="460">+AH241-AI241</f>
        <v>0</v>
      </c>
      <c r="AK241" s="1077" t="e">
        <f t="shared" ref="AK241:AK251" si="461">+AJ241/AH241*100</f>
        <v>#DIV/0!</v>
      </c>
      <c r="AL241" s="438"/>
      <c r="AM241" s="439">
        <f t="shared" ref="AM241:AM250" si="462">+AN209+AO209</f>
        <v>0</v>
      </c>
      <c r="AN241" s="440">
        <f t="shared" ref="AN241:AN251" si="463">+AL241-AM241</f>
        <v>0</v>
      </c>
      <c r="AO241" s="441" t="e">
        <f>+AN241/AL241*100</f>
        <v>#DIV/0!</v>
      </c>
      <c r="AP241" s="438"/>
      <c r="AQ241" s="1392">
        <f t="shared" ref="AQ241:AQ250" si="464">+AR209+AS209</f>
        <v>0</v>
      </c>
      <c r="AR241" s="440">
        <f>+AP241-AQ241</f>
        <v>0</v>
      </c>
      <c r="AS241" s="441" t="e">
        <f t="shared" ref="AS241:AS251" si="465">+AR241/AP241*100</f>
        <v>#DIV/0!</v>
      </c>
      <c r="AT241" s="438"/>
      <c r="AU241" s="439">
        <f t="shared" ref="AU241:AU250" si="466">+AV209+AW209</f>
        <v>0</v>
      </c>
      <c r="AV241" s="440">
        <f>+AT241-AU241</f>
        <v>0</v>
      </c>
      <c r="AW241" s="441" t="e">
        <f>+AV241/AT241*100</f>
        <v>#DIV/0!</v>
      </c>
      <c r="AX241" s="1047">
        <f>+B241+F241+J241+N241+R241+V241+Z241+AD241+AH241+AL241+AP241+AT241</f>
        <v>1955.9128814300002</v>
      </c>
      <c r="AY241" s="1047">
        <f t="shared" ref="AY241:AY250" si="467">+C241+G241+K241+O241+S241+W241+AA241+AE241+AI241+AM241+AQ241+AU241</f>
        <v>1621.8699291100002</v>
      </c>
      <c r="AZ241" s="447">
        <f>+AX241-AY241</f>
        <v>334.04295232000004</v>
      </c>
      <c r="BA241" s="640">
        <f>+AZ241/AX241*100</f>
        <v>17.078621215264747</v>
      </c>
      <c r="BB241" s="481"/>
      <c r="BC241" s="445"/>
      <c r="BD241" s="446">
        <f>AD241</f>
        <v>390.38474823999979</v>
      </c>
      <c r="BE241" s="446">
        <f>AG241</f>
        <v>22.339511902853602</v>
      </c>
      <c r="BF241" s="446">
        <f>AF241</f>
        <v>87.210047299999815</v>
      </c>
      <c r="BG241" s="482"/>
      <c r="BI241" s="454"/>
      <c r="BJ241" s="649"/>
      <c r="BK241" s="651"/>
    </row>
    <row r="242" spans="1:64" s="429" customFormat="1" ht="14.4">
      <c r="A242" s="652" t="s">
        <v>7</v>
      </c>
      <c r="B242" s="1092">
        <v>84.706562600000055</v>
      </c>
      <c r="C242" s="2164">
        <f t="shared" si="438"/>
        <v>73.140279569</v>
      </c>
      <c r="D242" s="654">
        <f t="shared" ref="D242:D251" si="468">+B242-C242</f>
        <v>11.566283031000054</v>
      </c>
      <c r="E242" s="655">
        <f t="shared" ref="E242:E251" si="469">+D242/B242*100</f>
        <v>13.65453003401657</v>
      </c>
      <c r="F242" s="439">
        <v>78.583083999999957</v>
      </c>
      <c r="G242" s="2148">
        <f t="shared" si="439"/>
        <v>71.117564790000003</v>
      </c>
      <c r="H242" s="654">
        <f t="shared" si="440"/>
        <v>7.4655192099999539</v>
      </c>
      <c r="I242" s="655">
        <f>+H242/F242*100</f>
        <v>9.5001606325350618</v>
      </c>
      <c r="J242" s="439">
        <v>79.383154000000019</v>
      </c>
      <c r="K242" s="2148">
        <f t="shared" si="442"/>
        <v>78.132661581241194</v>
      </c>
      <c r="L242" s="654">
        <f t="shared" si="443"/>
        <v>1.2504924187588244</v>
      </c>
      <c r="M242" s="655">
        <f t="shared" si="444"/>
        <v>1.5752616969071602</v>
      </c>
      <c r="N242" s="656">
        <v>73.616317700000053</v>
      </c>
      <c r="O242" s="2164">
        <f t="shared" si="445"/>
        <v>72.237812000000005</v>
      </c>
      <c r="P242" s="654">
        <f t="shared" si="446"/>
        <v>1.3785057000000478</v>
      </c>
      <c r="Q242" s="655">
        <f t="shared" ref="Q242:Q251" si="470">+P242/N242*100</f>
        <v>1.8725545409887392</v>
      </c>
      <c r="R242" s="656">
        <v>80.343738999999999</v>
      </c>
      <c r="S242" s="2148">
        <f t="shared" si="447"/>
        <v>73.198322000000005</v>
      </c>
      <c r="T242" s="654">
        <f t="shared" si="448"/>
        <v>7.1454169999999948</v>
      </c>
      <c r="U242" s="655">
        <f t="shared" si="449"/>
        <v>8.8935579659791468</v>
      </c>
      <c r="V242" s="438">
        <v>104.74964490000013</v>
      </c>
      <c r="W242" s="2148">
        <f t="shared" si="450"/>
        <v>80.711069468000005</v>
      </c>
      <c r="X242" s="654">
        <f t="shared" si="451"/>
        <v>24.03857543200013</v>
      </c>
      <c r="Y242" s="655">
        <f t="shared" si="452"/>
        <v>22.948598494007971</v>
      </c>
      <c r="Z242" s="2059">
        <v>149.90638999999985</v>
      </c>
      <c r="AA242" s="2148">
        <f t="shared" si="453"/>
        <v>108.72287877000001</v>
      </c>
      <c r="AB242" s="654">
        <f t="shared" si="454"/>
        <v>41.183511229999837</v>
      </c>
      <c r="AC242" s="655">
        <f t="shared" si="455"/>
        <v>27.472819023925449</v>
      </c>
      <c r="AD242" s="450">
        <v>148.76684479999994</v>
      </c>
      <c r="AE242" s="2148">
        <f t="shared" si="456"/>
        <v>119.97622917</v>
      </c>
      <c r="AF242" s="654">
        <f t="shared" si="457"/>
        <v>28.790615629999948</v>
      </c>
      <c r="AG242" s="655">
        <f t="shared" si="458"/>
        <v>19.352844156038699</v>
      </c>
      <c r="AH242" s="1075"/>
      <c r="AI242" s="2148">
        <f t="shared" si="459"/>
        <v>0</v>
      </c>
      <c r="AJ242" s="1076">
        <f t="shared" si="460"/>
        <v>0</v>
      </c>
      <c r="AK242" s="1077" t="e">
        <f t="shared" si="461"/>
        <v>#DIV/0!</v>
      </c>
      <c r="AL242" s="438"/>
      <c r="AM242" s="2148">
        <f t="shared" si="462"/>
        <v>0</v>
      </c>
      <c r="AN242" s="654">
        <f t="shared" si="463"/>
        <v>0</v>
      </c>
      <c r="AO242" s="655" t="e">
        <f t="shared" ref="AO242:AO251" si="471">+AN242/AL242*100</f>
        <v>#DIV/0!</v>
      </c>
      <c r="AP242" s="641"/>
      <c r="AQ242" s="2164">
        <f t="shared" si="464"/>
        <v>0</v>
      </c>
      <c r="AR242" s="654">
        <f t="shared" ref="AR242:AR251" si="472">+AP242-AQ242</f>
        <v>0</v>
      </c>
      <c r="AS242" s="655" t="e">
        <f t="shared" si="465"/>
        <v>#DIV/0!</v>
      </c>
      <c r="AT242" s="641"/>
      <c r="AU242" s="653">
        <f t="shared" si="466"/>
        <v>0</v>
      </c>
      <c r="AV242" s="654">
        <f t="shared" ref="AV242:AV251" si="473">+AT242-AU242</f>
        <v>0</v>
      </c>
      <c r="AW242" s="655" t="e">
        <f t="shared" ref="AW242:AW251" si="474">+AV242/AT242*100</f>
        <v>#DIV/0!</v>
      </c>
      <c r="AX242" s="1047">
        <f>+B242+F242+J242+N242+R242+V242+Z242+AD242+AH242+AL242+AP242+AT242</f>
        <v>800.05573700000002</v>
      </c>
      <c r="AY242" s="1047">
        <f t="shared" si="467"/>
        <v>677.23681734824117</v>
      </c>
      <c r="AZ242" s="447">
        <f t="shared" ref="AZ242:AZ250" si="475">+AX242-AY242</f>
        <v>122.81891965175885</v>
      </c>
      <c r="BA242" s="640">
        <f t="shared" ref="BA242:BA250" si="476">+AZ242/AX242*100</f>
        <v>15.351295412529344</v>
      </c>
      <c r="BB242" s="481"/>
      <c r="BC242" s="445"/>
      <c r="BD242" s="446">
        <f t="shared" ref="BD242:BD250" si="477">AD242</f>
        <v>148.76684479999994</v>
      </c>
      <c r="BE242" s="446">
        <f t="shared" ref="BE242:BE250" si="478">AG242</f>
        <v>19.352844156038699</v>
      </c>
      <c r="BF242" s="446">
        <f t="shared" ref="BF242:BF250" si="479">AF242</f>
        <v>28.790615629999948</v>
      </c>
      <c r="BG242" s="482"/>
      <c r="BI242" s="454"/>
      <c r="BJ242" s="649"/>
      <c r="BK242" s="454"/>
      <c r="BL242" s="117"/>
    </row>
    <row r="243" spans="1:64" ht="14.4">
      <c r="A243" s="397" t="s">
        <v>8</v>
      </c>
      <c r="B243" s="1092">
        <v>75.053181999999936</v>
      </c>
      <c r="C243" s="1392">
        <f t="shared" si="438"/>
        <v>66.616718719999994</v>
      </c>
      <c r="D243" s="440">
        <f t="shared" si="468"/>
        <v>8.4364632799999413</v>
      </c>
      <c r="E243" s="441">
        <f t="shared" si="469"/>
        <v>11.240647038789039</v>
      </c>
      <c r="F243" s="439">
        <v>69.922259999999909</v>
      </c>
      <c r="G243" s="439">
        <f t="shared" si="439"/>
        <v>63.548226610000015</v>
      </c>
      <c r="H243" s="440">
        <f t="shared" si="440"/>
        <v>6.3740333899998944</v>
      </c>
      <c r="I243" s="441">
        <f t="shared" si="441"/>
        <v>9.115885828060911</v>
      </c>
      <c r="J243" s="439">
        <v>72.88306500000003</v>
      </c>
      <c r="K243" s="439">
        <f t="shared" si="442"/>
        <v>70.22399089999999</v>
      </c>
      <c r="L243" s="440">
        <f t="shared" si="443"/>
        <v>2.6590741000000406</v>
      </c>
      <c r="M243" s="441">
        <f t="shared" si="444"/>
        <v>3.6484114656814164</v>
      </c>
      <c r="N243" s="650">
        <v>67.762062000000086</v>
      </c>
      <c r="O243" s="1392">
        <f t="shared" si="445"/>
        <v>66.795590339999976</v>
      </c>
      <c r="P243" s="440">
        <f t="shared" si="446"/>
        <v>0.96647166000010998</v>
      </c>
      <c r="Q243" s="441">
        <f t="shared" si="470"/>
        <v>1.4262725062884136</v>
      </c>
      <c r="R243" s="650">
        <v>70.904779000000033</v>
      </c>
      <c r="S243" s="439">
        <f t="shared" si="447"/>
        <v>65.70949887999997</v>
      </c>
      <c r="T243" s="440">
        <f t="shared" si="448"/>
        <v>5.1952801200000636</v>
      </c>
      <c r="U243" s="441">
        <f t="shared" si="449"/>
        <v>7.3271226471209525</v>
      </c>
      <c r="V243" s="438">
        <v>83.44801200000002</v>
      </c>
      <c r="W243" s="439">
        <f t="shared" si="450"/>
        <v>74.188148909999995</v>
      </c>
      <c r="X243" s="440">
        <f t="shared" si="451"/>
        <v>9.2598630900000245</v>
      </c>
      <c r="Y243" s="441">
        <f t="shared" si="452"/>
        <v>11.096565236329443</v>
      </c>
      <c r="Z243" s="1236">
        <v>121.78102999999996</v>
      </c>
      <c r="AA243" s="1392">
        <f t="shared" si="453"/>
        <v>90.396637019999986</v>
      </c>
      <c r="AB243" s="440">
        <f t="shared" si="454"/>
        <v>31.384392979999973</v>
      </c>
      <c r="AC243" s="441">
        <f t="shared" si="455"/>
        <v>25.771167299209068</v>
      </c>
      <c r="AD243" s="450">
        <v>115.55272699999998</v>
      </c>
      <c r="AE243" s="439">
        <f t="shared" si="456"/>
        <v>98.863659109999986</v>
      </c>
      <c r="AF243" s="440">
        <f t="shared" si="457"/>
        <v>16.68906788999999</v>
      </c>
      <c r="AG243" s="441">
        <f t="shared" si="458"/>
        <v>14.442816126702049</v>
      </c>
      <c r="AH243" s="1075"/>
      <c r="AI243" s="1883">
        <f t="shared" si="459"/>
        <v>0</v>
      </c>
      <c r="AJ243" s="1076">
        <f t="shared" si="460"/>
        <v>0</v>
      </c>
      <c r="AK243" s="1077" t="e">
        <f t="shared" si="461"/>
        <v>#DIV/0!</v>
      </c>
      <c r="AL243" s="438"/>
      <c r="AM243" s="439">
        <f t="shared" si="462"/>
        <v>0</v>
      </c>
      <c r="AN243" s="440">
        <f t="shared" si="463"/>
        <v>0</v>
      </c>
      <c r="AO243" s="441" t="e">
        <f t="shared" si="471"/>
        <v>#DIV/0!</v>
      </c>
      <c r="AP243" s="438"/>
      <c r="AQ243" s="1392">
        <f t="shared" si="464"/>
        <v>0</v>
      </c>
      <c r="AR243" s="440">
        <f t="shared" si="472"/>
        <v>0</v>
      </c>
      <c r="AS243" s="441" t="e">
        <f t="shared" si="465"/>
        <v>#DIV/0!</v>
      </c>
      <c r="AT243" s="438"/>
      <c r="AU243" s="439">
        <f t="shared" si="466"/>
        <v>0</v>
      </c>
      <c r="AV243" s="440">
        <f t="shared" si="473"/>
        <v>0</v>
      </c>
      <c r="AW243" s="441" t="e">
        <f t="shared" si="474"/>
        <v>#DIV/0!</v>
      </c>
      <c r="AX243" s="1047">
        <f>+B243+F243+J243+N243+R243+V243+Z243+AD243+AH243+AL243+AP243+AT243</f>
        <v>677.30711699999995</v>
      </c>
      <c r="AY243" s="1047">
        <f t="shared" si="467"/>
        <v>596.34247048999987</v>
      </c>
      <c r="AZ243" s="447">
        <f t="shared" si="475"/>
        <v>80.96464651000008</v>
      </c>
      <c r="BA243" s="644">
        <f>+AZ243/AX243*100</f>
        <v>11.953904584469335</v>
      </c>
      <c r="BB243" s="481"/>
      <c r="BC243" s="445"/>
      <c r="BD243" s="446">
        <f t="shared" si="477"/>
        <v>115.55272699999998</v>
      </c>
      <c r="BE243" s="446">
        <f t="shared" si="478"/>
        <v>14.442816126702049</v>
      </c>
      <c r="BF243" s="446">
        <f t="shared" si="479"/>
        <v>16.68906788999999</v>
      </c>
      <c r="BG243" s="482"/>
      <c r="BI243" s="454"/>
      <c r="BJ243" s="649"/>
      <c r="BK243" s="454"/>
    </row>
    <row r="244" spans="1:64" ht="14.4">
      <c r="A244" s="397" t="s">
        <v>4</v>
      </c>
      <c r="B244" s="1092">
        <v>147.401453</v>
      </c>
      <c r="C244" s="1392">
        <f t="shared" si="438"/>
        <v>118.87000036000001</v>
      </c>
      <c r="D244" s="440">
        <f t="shared" si="468"/>
        <v>28.531452639999998</v>
      </c>
      <c r="E244" s="441">
        <f t="shared" si="469"/>
        <v>19.356289954618017</v>
      </c>
      <c r="F244" s="439">
        <v>134.12059900000006</v>
      </c>
      <c r="G244" s="439">
        <f t="shared" si="439"/>
        <v>125.19053534</v>
      </c>
      <c r="H244" s="440">
        <f t="shared" si="440"/>
        <v>8.9300636600000587</v>
      </c>
      <c r="I244" s="441">
        <f t="shared" si="441"/>
        <v>6.6582342508029315</v>
      </c>
      <c r="J244" s="439">
        <v>128.97536500000007</v>
      </c>
      <c r="K244" s="439">
        <f t="shared" si="442"/>
        <v>121.83503970999999</v>
      </c>
      <c r="L244" s="440">
        <f t="shared" si="443"/>
        <v>7.140325290000078</v>
      </c>
      <c r="M244" s="441">
        <f t="shared" si="444"/>
        <v>5.5361931249429484</v>
      </c>
      <c r="N244" s="650">
        <v>116.88868399999984</v>
      </c>
      <c r="O244" s="1392">
        <f t="shared" si="445"/>
        <v>126.81165944999999</v>
      </c>
      <c r="P244" s="440">
        <f t="shared" si="446"/>
        <v>-9.9229754500001519</v>
      </c>
      <c r="Q244" s="441">
        <f t="shared" si="470"/>
        <v>-8.4892524326821626</v>
      </c>
      <c r="R244" s="650">
        <v>123.38300399999997</v>
      </c>
      <c r="S244" s="439">
        <f t="shared" si="447"/>
        <v>117.18250960000002</v>
      </c>
      <c r="T244" s="440">
        <f t="shared" si="448"/>
        <v>6.200494399999954</v>
      </c>
      <c r="U244" s="441">
        <f t="shared" si="449"/>
        <v>5.0254039851387926</v>
      </c>
      <c r="V244" s="438">
        <v>152.48351899999994</v>
      </c>
      <c r="W244" s="439">
        <f t="shared" si="450"/>
        <v>120.09255490000001</v>
      </c>
      <c r="X244" s="440">
        <f t="shared" si="451"/>
        <v>32.390964099999934</v>
      </c>
      <c r="Y244" s="441">
        <f t="shared" si="452"/>
        <v>21.242272156638741</v>
      </c>
      <c r="Z244" s="1236">
        <v>227.67376600000009</v>
      </c>
      <c r="AA244" s="439">
        <f t="shared" si="453"/>
        <v>155.35796694999999</v>
      </c>
      <c r="AB244" s="440">
        <f t="shared" si="454"/>
        <v>72.315799050000095</v>
      </c>
      <c r="AC244" s="441">
        <f t="shared" si="455"/>
        <v>31.762903702308886</v>
      </c>
      <c r="AD244" s="450">
        <v>238.84910980000012</v>
      </c>
      <c r="AE244" s="439">
        <f t="shared" si="456"/>
        <v>192.27355595</v>
      </c>
      <c r="AF244" s="440">
        <f t="shared" si="457"/>
        <v>46.575553850000119</v>
      </c>
      <c r="AG244" s="441">
        <f t="shared" si="458"/>
        <v>19.499990554287631</v>
      </c>
      <c r="AH244" s="1075"/>
      <c r="AI244" s="1883">
        <f t="shared" si="459"/>
        <v>0</v>
      </c>
      <c r="AJ244" s="1076">
        <f t="shared" si="460"/>
        <v>0</v>
      </c>
      <c r="AK244" s="1077" t="e">
        <f t="shared" si="461"/>
        <v>#DIV/0!</v>
      </c>
      <c r="AL244" s="438"/>
      <c r="AM244" s="439">
        <f t="shared" si="462"/>
        <v>0</v>
      </c>
      <c r="AN244" s="440">
        <f t="shared" si="463"/>
        <v>0</v>
      </c>
      <c r="AO244" s="441" t="e">
        <f t="shared" si="471"/>
        <v>#DIV/0!</v>
      </c>
      <c r="AP244" s="438"/>
      <c r="AQ244" s="1392">
        <f t="shared" si="464"/>
        <v>0</v>
      </c>
      <c r="AR244" s="440">
        <f t="shared" si="472"/>
        <v>0</v>
      </c>
      <c r="AS244" s="441" t="e">
        <f t="shared" si="465"/>
        <v>#DIV/0!</v>
      </c>
      <c r="AT244" s="438"/>
      <c r="AU244" s="439">
        <f t="shared" si="466"/>
        <v>0</v>
      </c>
      <c r="AV244" s="440">
        <f t="shared" si="473"/>
        <v>0</v>
      </c>
      <c r="AW244" s="441" t="e">
        <f t="shared" si="474"/>
        <v>#DIV/0!</v>
      </c>
      <c r="AX244" s="1047">
        <f t="shared" ref="AX244:AX250" si="480">+B244+F244+J244+N244+R244+V244+Z244+AD244+AH244+AL244+AP244+AT244</f>
        <v>1269.7754998</v>
      </c>
      <c r="AY244" s="1047">
        <f t="shared" si="467"/>
        <v>1077.61382226</v>
      </c>
      <c r="AZ244" s="447">
        <f t="shared" si="475"/>
        <v>192.16167754000003</v>
      </c>
      <c r="BA244" s="640">
        <f t="shared" si="476"/>
        <v>15.133515930199239</v>
      </c>
      <c r="BB244" s="481"/>
      <c r="BC244" s="445"/>
      <c r="BD244" s="446">
        <f t="shared" si="477"/>
        <v>238.84910980000012</v>
      </c>
      <c r="BE244" s="446">
        <f t="shared" si="478"/>
        <v>19.499990554287631</v>
      </c>
      <c r="BF244" s="446">
        <f t="shared" si="479"/>
        <v>46.575553850000119</v>
      </c>
      <c r="BG244" s="446"/>
      <c r="BI244" s="454"/>
      <c r="BJ244" s="649"/>
      <c r="BK244" s="651"/>
    </row>
    <row r="245" spans="1:64" ht="14.4">
      <c r="A245" s="397" t="s">
        <v>3</v>
      </c>
      <c r="B245" s="1092">
        <v>110.963966</v>
      </c>
      <c r="C245" s="1392">
        <f t="shared" si="438"/>
        <v>90.661097219999988</v>
      </c>
      <c r="D245" s="440">
        <f t="shared" si="468"/>
        <v>20.302868780000011</v>
      </c>
      <c r="E245" s="441">
        <f t="shared" si="469"/>
        <v>18.296812480548876</v>
      </c>
      <c r="F245" s="439">
        <v>108.901849</v>
      </c>
      <c r="G245" s="439">
        <f t="shared" si="439"/>
        <v>97.509880949999996</v>
      </c>
      <c r="H245" s="440">
        <f t="shared" si="440"/>
        <v>11.391968050000003</v>
      </c>
      <c r="I245" s="441">
        <f t="shared" si="441"/>
        <v>10.460766419126642</v>
      </c>
      <c r="J245" s="439">
        <v>129.821437</v>
      </c>
      <c r="K245" s="439">
        <f t="shared" si="442"/>
        <v>104.08160506</v>
      </c>
      <c r="L245" s="440">
        <f t="shared" si="443"/>
        <v>25.739831940000002</v>
      </c>
      <c r="M245" s="441">
        <f t="shared" si="444"/>
        <v>19.827104471197622</v>
      </c>
      <c r="N245" s="650">
        <v>130.16665716</v>
      </c>
      <c r="O245" s="1392">
        <f t="shared" si="445"/>
        <v>106.67208819</v>
      </c>
      <c r="P245" s="440">
        <f t="shared" si="446"/>
        <v>23.494568970000003</v>
      </c>
      <c r="Q245" s="441">
        <f t="shared" si="470"/>
        <v>18.049606160754848</v>
      </c>
      <c r="R245" s="650">
        <v>126.705455</v>
      </c>
      <c r="S245" s="439">
        <f t="shared" si="447"/>
        <v>125.99536298999999</v>
      </c>
      <c r="T245" s="440">
        <f t="shared" si="448"/>
        <v>0.71009201000001099</v>
      </c>
      <c r="U245" s="441">
        <f t="shared" si="449"/>
        <v>0.56042733913864329</v>
      </c>
      <c r="V245" s="438">
        <v>137.787262</v>
      </c>
      <c r="W245" s="439">
        <f t="shared" si="450"/>
        <v>115.25794804</v>
      </c>
      <c r="X245" s="440">
        <f t="shared" si="451"/>
        <v>22.529313959999996</v>
      </c>
      <c r="Y245" s="441">
        <f t="shared" si="452"/>
        <v>16.350795881262229</v>
      </c>
      <c r="Z245" s="1236">
        <v>183.01417000000001</v>
      </c>
      <c r="AA245" s="439">
        <f t="shared" si="453"/>
        <v>130.24699493</v>
      </c>
      <c r="AB245" s="440">
        <f t="shared" si="454"/>
        <v>52.767175070000008</v>
      </c>
      <c r="AC245" s="441">
        <f t="shared" si="455"/>
        <v>28.832289363167895</v>
      </c>
      <c r="AD245" s="450">
        <v>169.47863699999999</v>
      </c>
      <c r="AE245" s="439">
        <f t="shared" si="456"/>
        <v>143.09942434000001</v>
      </c>
      <c r="AF245" s="440">
        <f t="shared" si="457"/>
        <v>26.379212659999979</v>
      </c>
      <c r="AG245" s="441">
        <f t="shared" si="458"/>
        <v>15.564919052305088</v>
      </c>
      <c r="AH245" s="1075"/>
      <c r="AI245" s="1883">
        <f t="shared" si="459"/>
        <v>0</v>
      </c>
      <c r="AJ245" s="1076">
        <f t="shared" si="460"/>
        <v>0</v>
      </c>
      <c r="AK245" s="1077" t="e">
        <f t="shared" si="461"/>
        <v>#DIV/0!</v>
      </c>
      <c r="AL245" s="438"/>
      <c r="AM245" s="439">
        <f t="shared" si="462"/>
        <v>0</v>
      </c>
      <c r="AN245" s="440">
        <f t="shared" si="463"/>
        <v>0</v>
      </c>
      <c r="AO245" s="441" t="e">
        <f t="shared" si="471"/>
        <v>#DIV/0!</v>
      </c>
      <c r="AP245" s="438"/>
      <c r="AQ245" s="1392">
        <f t="shared" si="464"/>
        <v>0</v>
      </c>
      <c r="AR245" s="440">
        <f t="shared" si="472"/>
        <v>0</v>
      </c>
      <c r="AS245" s="441" t="e">
        <f t="shared" si="465"/>
        <v>#DIV/0!</v>
      </c>
      <c r="AT245" s="438"/>
      <c r="AU245" s="439">
        <f t="shared" si="466"/>
        <v>0</v>
      </c>
      <c r="AV245" s="440">
        <f t="shared" si="473"/>
        <v>0</v>
      </c>
      <c r="AW245" s="441" t="e">
        <f t="shared" si="474"/>
        <v>#DIV/0!</v>
      </c>
      <c r="AX245" s="1047">
        <f t="shared" si="480"/>
        <v>1096.83943316</v>
      </c>
      <c r="AY245" s="1047">
        <f t="shared" si="467"/>
        <v>913.52440172000001</v>
      </c>
      <c r="AZ245" s="447">
        <f>+AX245-AY245</f>
        <v>183.31503143999998</v>
      </c>
      <c r="BA245" s="640">
        <f>+AZ245/AX245*100</f>
        <v>16.713023428768278</v>
      </c>
      <c r="BB245" s="481"/>
      <c r="BC245" s="445"/>
      <c r="BD245" s="446">
        <f t="shared" si="477"/>
        <v>169.47863699999999</v>
      </c>
      <c r="BE245" s="446">
        <f t="shared" si="478"/>
        <v>15.564919052305088</v>
      </c>
      <c r="BF245" s="446">
        <f t="shared" si="479"/>
        <v>26.379212659999979</v>
      </c>
      <c r="BG245" s="446"/>
      <c r="BI245" s="454"/>
      <c r="BJ245" s="649"/>
      <c r="BK245" s="651"/>
    </row>
    <row r="246" spans="1:64" ht="14.4">
      <c r="A246" s="397" t="s">
        <v>397</v>
      </c>
      <c r="B246" s="1092">
        <v>93.340726500000059</v>
      </c>
      <c r="C246" s="1092">
        <f t="shared" si="438"/>
        <v>78.748938350000003</v>
      </c>
      <c r="D246" s="440">
        <f t="shared" si="468"/>
        <v>14.591788150000056</v>
      </c>
      <c r="E246" s="441">
        <f t="shared" si="469"/>
        <v>15.632820417355598</v>
      </c>
      <c r="F246" s="439">
        <v>85.62097348999977</v>
      </c>
      <c r="G246" s="1092">
        <f t="shared" si="439"/>
        <v>73.921200739999989</v>
      </c>
      <c r="H246" s="440">
        <f t="shared" si="440"/>
        <v>11.699772749999781</v>
      </c>
      <c r="I246" s="441">
        <f t="shared" si="441"/>
        <v>13.664610752605228</v>
      </c>
      <c r="J246" s="439">
        <v>83.602180820000001</v>
      </c>
      <c r="K246" s="439">
        <f t="shared" si="442"/>
        <v>71.023753470000003</v>
      </c>
      <c r="L246" s="440">
        <f t="shared" si="443"/>
        <v>12.578427349999998</v>
      </c>
      <c r="M246" s="441">
        <f t="shared" si="444"/>
        <v>15.045573245370273</v>
      </c>
      <c r="N246" s="650">
        <v>75.64062924000001</v>
      </c>
      <c r="O246" s="1392">
        <f t="shared" si="445"/>
        <v>76.340405899999993</v>
      </c>
      <c r="P246" s="440">
        <f t="shared" si="446"/>
        <v>-0.69977665999998351</v>
      </c>
      <c r="Q246" s="441">
        <f t="shared" si="470"/>
        <v>-0.92513331397556664</v>
      </c>
      <c r="R246" s="650">
        <v>82.321120750000063</v>
      </c>
      <c r="S246" s="1092">
        <f t="shared" si="447"/>
        <v>71.514363750000001</v>
      </c>
      <c r="T246" s="440">
        <f t="shared" si="448"/>
        <v>10.806757000000061</v>
      </c>
      <c r="U246" s="441">
        <f t="shared" si="449"/>
        <v>13.127563013651091</v>
      </c>
      <c r="V246" s="438">
        <v>100.22962827000011</v>
      </c>
      <c r="W246" s="439">
        <f t="shared" si="450"/>
        <v>83.354233250000007</v>
      </c>
      <c r="X246" s="440">
        <f t="shared" si="451"/>
        <v>16.875395020000099</v>
      </c>
      <c r="Y246" s="441">
        <f t="shared" si="452"/>
        <v>16.836733121009789</v>
      </c>
      <c r="Z246" s="1236">
        <v>148.21290550999984</v>
      </c>
      <c r="AA246" s="439">
        <f t="shared" si="453"/>
        <v>109.24320512</v>
      </c>
      <c r="AB246" s="440">
        <f t="shared" si="454"/>
        <v>38.969700389999844</v>
      </c>
      <c r="AC246" s="441">
        <f t="shared" si="455"/>
        <v>26.293054748441307</v>
      </c>
      <c r="AD246" s="479">
        <v>167.20619046000004</v>
      </c>
      <c r="AE246" s="439">
        <f t="shared" si="456"/>
        <v>115.84338299000001</v>
      </c>
      <c r="AF246" s="440">
        <f t="shared" si="457"/>
        <v>51.362807470000035</v>
      </c>
      <c r="AG246" s="441">
        <f t="shared" si="458"/>
        <v>30.718245137154369</v>
      </c>
      <c r="AH246" s="1075"/>
      <c r="AI246" s="1883">
        <f t="shared" si="459"/>
        <v>0</v>
      </c>
      <c r="AJ246" s="1076">
        <f t="shared" si="460"/>
        <v>0</v>
      </c>
      <c r="AK246" s="1077" t="e">
        <f t="shared" si="461"/>
        <v>#DIV/0!</v>
      </c>
      <c r="AL246" s="438"/>
      <c r="AM246" s="439">
        <f t="shared" si="462"/>
        <v>0</v>
      </c>
      <c r="AN246" s="440">
        <f t="shared" si="463"/>
        <v>0</v>
      </c>
      <c r="AO246" s="441" t="e">
        <f t="shared" si="471"/>
        <v>#DIV/0!</v>
      </c>
      <c r="AP246" s="438"/>
      <c r="AQ246" s="1392">
        <f t="shared" si="464"/>
        <v>0</v>
      </c>
      <c r="AR246" s="440">
        <f t="shared" si="472"/>
        <v>0</v>
      </c>
      <c r="AS246" s="441" t="e">
        <f t="shared" si="465"/>
        <v>#DIV/0!</v>
      </c>
      <c r="AT246" s="438"/>
      <c r="AU246" s="439">
        <f t="shared" si="466"/>
        <v>0</v>
      </c>
      <c r="AV246" s="440">
        <f t="shared" si="473"/>
        <v>0</v>
      </c>
      <c r="AW246" s="441" t="e">
        <f t="shared" si="474"/>
        <v>#DIV/0!</v>
      </c>
      <c r="AX246" s="1047">
        <f t="shared" si="480"/>
        <v>836.17435503999991</v>
      </c>
      <c r="AY246" s="1047">
        <f t="shared" si="467"/>
        <v>679.98948356999995</v>
      </c>
      <c r="AZ246" s="447">
        <f t="shared" si="475"/>
        <v>156.18487146999996</v>
      </c>
      <c r="BA246" s="640">
        <f t="shared" si="476"/>
        <v>18.678505329492985</v>
      </c>
      <c r="BB246" s="481"/>
      <c r="BC246" s="445"/>
      <c r="BD246" s="446">
        <f t="shared" si="477"/>
        <v>167.20619046000004</v>
      </c>
      <c r="BE246" s="446">
        <f t="shared" si="478"/>
        <v>30.718245137154369</v>
      </c>
      <c r="BF246" s="446">
        <f t="shared" si="479"/>
        <v>51.362807470000035</v>
      </c>
      <c r="BG246" s="446"/>
      <c r="BI246" s="454"/>
      <c r="BJ246" s="649"/>
      <c r="BK246" s="651"/>
    </row>
    <row r="247" spans="1:64" ht="14.4">
      <c r="A247" s="397" t="s">
        <v>399</v>
      </c>
      <c r="B247" s="1092">
        <v>169.89700279999991</v>
      </c>
      <c r="C247" s="1392">
        <f t="shared" si="438"/>
        <v>137.59095919999999</v>
      </c>
      <c r="D247" s="440">
        <f t="shared" si="468"/>
        <v>32.306043599999924</v>
      </c>
      <c r="E247" s="441">
        <f t="shared" si="469"/>
        <v>19.015075644406799</v>
      </c>
      <c r="F247" s="439">
        <v>154.97407039999999</v>
      </c>
      <c r="G247" s="439">
        <f t="shared" si="439"/>
        <v>127.03720300999998</v>
      </c>
      <c r="H247" s="440">
        <f t="shared" si="440"/>
        <v>27.936867390000003</v>
      </c>
      <c r="I247" s="441">
        <f t="shared" si="441"/>
        <v>18.026801075749514</v>
      </c>
      <c r="J247" s="439">
        <v>148.69466730000008</v>
      </c>
      <c r="K247" s="439">
        <f t="shared" si="442"/>
        <v>135.11711407999999</v>
      </c>
      <c r="L247" s="440">
        <f t="shared" si="443"/>
        <v>13.577553220000084</v>
      </c>
      <c r="M247" s="441">
        <f t="shared" si="444"/>
        <v>9.1311635222308194</v>
      </c>
      <c r="N247" s="650">
        <v>126.81067989999993</v>
      </c>
      <c r="O247" s="1392">
        <f t="shared" si="445"/>
        <v>144.31842633000002</v>
      </c>
      <c r="P247" s="440">
        <f t="shared" si="446"/>
        <v>-17.507746430000097</v>
      </c>
      <c r="Q247" s="441">
        <f t="shared" si="470"/>
        <v>-13.806208155185601</v>
      </c>
      <c r="R247" s="650">
        <v>145.97357170000004</v>
      </c>
      <c r="S247" s="1092">
        <f t="shared" si="447"/>
        <v>123.93356324000001</v>
      </c>
      <c r="T247" s="440">
        <f t="shared" si="448"/>
        <v>22.040008460000024</v>
      </c>
      <c r="U247" s="441">
        <f t="shared" si="449"/>
        <v>15.098629295237021</v>
      </c>
      <c r="V247" s="438">
        <v>174.85383400000003</v>
      </c>
      <c r="W247" s="439">
        <f t="shared" si="450"/>
        <v>141.13969666</v>
      </c>
      <c r="X247" s="440">
        <f t="shared" si="451"/>
        <v>33.714137340000036</v>
      </c>
      <c r="Y247" s="441">
        <f t="shared" si="452"/>
        <v>19.281325761492898</v>
      </c>
      <c r="Z247" s="1236">
        <v>251.92736919999993</v>
      </c>
      <c r="AA247" s="439">
        <f t="shared" si="453"/>
        <v>174.24524277</v>
      </c>
      <c r="AB247" s="440">
        <f t="shared" si="454"/>
        <v>77.682126429999926</v>
      </c>
      <c r="AC247" s="441">
        <f t="shared" si="455"/>
        <v>30.835127869068362</v>
      </c>
      <c r="AD247" s="450">
        <v>278.98992730000009</v>
      </c>
      <c r="AE247" s="439">
        <f t="shared" si="456"/>
        <v>186.34989824000002</v>
      </c>
      <c r="AF247" s="440">
        <f t="shared" si="457"/>
        <v>92.640029060000074</v>
      </c>
      <c r="AG247" s="441">
        <f t="shared" si="458"/>
        <v>33.205510305174393</v>
      </c>
      <c r="AH247" s="1075"/>
      <c r="AI247" s="1883">
        <f t="shared" si="459"/>
        <v>0</v>
      </c>
      <c r="AJ247" s="1076">
        <f t="shared" si="460"/>
        <v>0</v>
      </c>
      <c r="AK247" s="1077" t="e">
        <f t="shared" si="461"/>
        <v>#DIV/0!</v>
      </c>
      <c r="AL247" s="438"/>
      <c r="AM247" s="439">
        <f t="shared" si="462"/>
        <v>0</v>
      </c>
      <c r="AN247" s="440">
        <f t="shared" si="463"/>
        <v>0</v>
      </c>
      <c r="AO247" s="441" t="e">
        <f t="shared" si="471"/>
        <v>#DIV/0!</v>
      </c>
      <c r="AP247" s="438"/>
      <c r="AQ247" s="1392">
        <f t="shared" si="464"/>
        <v>0</v>
      </c>
      <c r="AR247" s="440">
        <f t="shared" si="472"/>
        <v>0</v>
      </c>
      <c r="AS247" s="441" t="e">
        <f t="shared" si="465"/>
        <v>#DIV/0!</v>
      </c>
      <c r="AT247" s="438"/>
      <c r="AU247" s="439">
        <f t="shared" si="466"/>
        <v>0</v>
      </c>
      <c r="AV247" s="440">
        <f t="shared" si="473"/>
        <v>0</v>
      </c>
      <c r="AW247" s="441" t="e">
        <f t="shared" si="474"/>
        <v>#DIV/0!</v>
      </c>
      <c r="AX247" s="1047">
        <f t="shared" si="480"/>
        <v>1452.1211226</v>
      </c>
      <c r="AY247" s="1047">
        <f t="shared" si="467"/>
        <v>1169.7321035300001</v>
      </c>
      <c r="AZ247" s="447">
        <f t="shared" si="475"/>
        <v>282.3890190699999</v>
      </c>
      <c r="BA247" s="640">
        <f t="shared" si="476"/>
        <v>19.446657353512411</v>
      </c>
      <c r="BB247" s="481"/>
      <c r="BC247" s="445"/>
      <c r="BD247" s="446">
        <f t="shared" si="477"/>
        <v>278.98992730000009</v>
      </c>
      <c r="BE247" s="446">
        <f t="shared" si="478"/>
        <v>33.205510305174393</v>
      </c>
      <c r="BF247" s="446">
        <f t="shared" si="479"/>
        <v>92.640029060000074</v>
      </c>
      <c r="BG247" s="446"/>
      <c r="BI247" s="454"/>
      <c r="BJ247" s="649"/>
      <c r="BK247" s="651"/>
    </row>
    <row r="248" spans="1:64" ht="14.4">
      <c r="A248" s="397" t="s">
        <v>883</v>
      </c>
      <c r="B248" s="1092">
        <v>81.359076999999942</v>
      </c>
      <c r="C248" s="1392">
        <f t="shared" si="438"/>
        <v>75.932044000000005</v>
      </c>
      <c r="D248" s="440">
        <f t="shared" si="468"/>
        <v>5.4270329999999376</v>
      </c>
      <c r="E248" s="441">
        <f t="shared" si="469"/>
        <v>6.670470216863376</v>
      </c>
      <c r="F248" s="2134">
        <v>75.20559200000001</v>
      </c>
      <c r="G248" s="439">
        <f t="shared" si="439"/>
        <v>75.500058179999996</v>
      </c>
      <c r="H248" s="440">
        <f t="shared" si="440"/>
        <v>-0.29446617999998637</v>
      </c>
      <c r="I248" s="441">
        <f t="shared" si="441"/>
        <v>-0.39154825082686179</v>
      </c>
      <c r="J248" s="439">
        <v>78.785555999999985</v>
      </c>
      <c r="K248" s="439">
        <f t="shared" si="442"/>
        <v>63.437038319999999</v>
      </c>
      <c r="L248" s="440">
        <f t="shared" si="443"/>
        <v>15.348517679999986</v>
      </c>
      <c r="M248" s="441">
        <f t="shared" si="444"/>
        <v>19.481385242746764</v>
      </c>
      <c r="N248" s="650">
        <v>78.598184000000003</v>
      </c>
      <c r="O248" s="1392">
        <f t="shared" si="445"/>
        <v>78.230869499999997</v>
      </c>
      <c r="P248" s="440">
        <f t="shared" si="446"/>
        <v>0.36731450000000621</v>
      </c>
      <c r="Q248" s="441">
        <f t="shared" si="470"/>
        <v>0.46733204421110569</v>
      </c>
      <c r="R248" s="650">
        <v>88.609729000000016</v>
      </c>
      <c r="S248" s="439">
        <f t="shared" si="447"/>
        <v>79.956732680000002</v>
      </c>
      <c r="T248" s="440">
        <f t="shared" si="448"/>
        <v>8.652996320000014</v>
      </c>
      <c r="U248" s="441">
        <f t="shared" si="449"/>
        <v>9.7652892268748648</v>
      </c>
      <c r="V248" s="438">
        <v>115.8427640000001</v>
      </c>
      <c r="W248" s="439">
        <f t="shared" si="450"/>
        <v>82.716812099999999</v>
      </c>
      <c r="X248" s="440">
        <f t="shared" si="451"/>
        <v>33.125951900000103</v>
      </c>
      <c r="Y248" s="441">
        <f t="shared" si="452"/>
        <v>28.595615950600141</v>
      </c>
      <c r="Z248" s="1236">
        <v>180.918407</v>
      </c>
      <c r="AA248" s="439">
        <f t="shared" si="453"/>
        <v>130.18466902</v>
      </c>
      <c r="AB248" s="440">
        <f t="shared" si="454"/>
        <v>50.733737980000001</v>
      </c>
      <c r="AC248" s="441">
        <f t="shared" si="455"/>
        <v>28.042330695516238</v>
      </c>
      <c r="AD248" s="450">
        <v>182.32920399999983</v>
      </c>
      <c r="AE248" s="439">
        <f t="shared" si="456"/>
        <v>149.24741668000001</v>
      </c>
      <c r="AF248" s="440">
        <f t="shared" si="457"/>
        <v>33.081787319999819</v>
      </c>
      <c r="AG248" s="441">
        <f t="shared" si="458"/>
        <v>18.143987136586112</v>
      </c>
      <c r="AH248" s="1075"/>
      <c r="AI248" s="1883">
        <f t="shared" si="459"/>
        <v>0</v>
      </c>
      <c r="AJ248" s="1076">
        <f t="shared" si="460"/>
        <v>0</v>
      </c>
      <c r="AK248" s="1077" t="e">
        <f t="shared" si="461"/>
        <v>#DIV/0!</v>
      </c>
      <c r="AL248" s="650"/>
      <c r="AM248" s="439">
        <f t="shared" si="462"/>
        <v>0</v>
      </c>
      <c r="AN248" s="440">
        <f t="shared" si="463"/>
        <v>0</v>
      </c>
      <c r="AO248" s="441" t="e">
        <f t="shared" si="471"/>
        <v>#DIV/0!</v>
      </c>
      <c r="AP248" s="438"/>
      <c r="AQ248" s="1392">
        <f t="shared" si="464"/>
        <v>0</v>
      </c>
      <c r="AR248" s="440">
        <f t="shared" si="472"/>
        <v>0</v>
      </c>
      <c r="AS248" s="441" t="e">
        <f t="shared" si="465"/>
        <v>#DIV/0!</v>
      </c>
      <c r="AT248" s="438"/>
      <c r="AU248" s="439">
        <f t="shared" si="466"/>
        <v>0</v>
      </c>
      <c r="AV248" s="440">
        <f t="shared" si="473"/>
        <v>0</v>
      </c>
      <c r="AW248" s="441" t="e">
        <f t="shared" si="474"/>
        <v>#DIV/0!</v>
      </c>
      <c r="AX248" s="1047">
        <f t="shared" si="480"/>
        <v>881.64851299999987</v>
      </c>
      <c r="AY248" s="1047">
        <f t="shared" si="467"/>
        <v>735.20564048000006</v>
      </c>
      <c r="AZ248" s="447">
        <f t="shared" si="475"/>
        <v>146.44287251999981</v>
      </c>
      <c r="BA248" s="640">
        <f t="shared" si="476"/>
        <v>16.610119606700888</v>
      </c>
      <c r="BB248" s="481"/>
      <c r="BC248" s="445"/>
      <c r="BD248" s="446">
        <f t="shared" si="477"/>
        <v>182.32920399999983</v>
      </c>
      <c r="BE248" s="446">
        <f t="shared" si="478"/>
        <v>18.143987136586112</v>
      </c>
      <c r="BF248" s="446">
        <f t="shared" si="479"/>
        <v>33.081787319999819</v>
      </c>
      <c r="BG248" s="446"/>
      <c r="BI248" s="454"/>
      <c r="BJ248" s="649"/>
      <c r="BK248" s="651"/>
    </row>
    <row r="249" spans="1:64" ht="14.4">
      <c r="A249" s="397" t="s">
        <v>884</v>
      </c>
      <c r="B249" s="1092">
        <v>101.77412199999998</v>
      </c>
      <c r="C249" s="1392">
        <f t="shared" si="438"/>
        <v>92.42690125</v>
      </c>
      <c r="D249" s="440">
        <f t="shared" si="468"/>
        <v>9.3472207499999769</v>
      </c>
      <c r="E249" s="441">
        <f t="shared" si="469"/>
        <v>9.1842804106921978</v>
      </c>
      <c r="F249" s="439">
        <v>90.934319000000215</v>
      </c>
      <c r="G249" s="439">
        <f t="shared" si="439"/>
        <v>90.537363769999999</v>
      </c>
      <c r="H249" s="440">
        <f t="shared" si="440"/>
        <v>0.39695523000021637</v>
      </c>
      <c r="I249" s="441">
        <f t="shared" si="441"/>
        <v>0.43652961210411156</v>
      </c>
      <c r="J249" s="439">
        <v>92.523427999999811</v>
      </c>
      <c r="K249" s="439">
        <f t="shared" si="442"/>
        <v>82.597470220000005</v>
      </c>
      <c r="L249" s="440">
        <f t="shared" si="443"/>
        <v>9.9259577799998056</v>
      </c>
      <c r="M249" s="441">
        <f t="shared" si="444"/>
        <v>10.728048013957963</v>
      </c>
      <c r="N249" s="650">
        <v>89.351176000000123</v>
      </c>
      <c r="O249" s="1392">
        <f t="shared" si="445"/>
        <v>92.551578870000014</v>
      </c>
      <c r="P249" s="440">
        <f t="shared" si="446"/>
        <v>-3.2004028699998912</v>
      </c>
      <c r="Q249" s="441">
        <f t="shared" si="470"/>
        <v>-3.5818251233759777</v>
      </c>
      <c r="R249" s="650">
        <v>103.87139199999986</v>
      </c>
      <c r="S249" s="439">
        <f t="shared" si="447"/>
        <v>99.469178409999998</v>
      </c>
      <c r="T249" s="440">
        <f t="shared" si="448"/>
        <v>4.4022135899998602</v>
      </c>
      <c r="U249" s="441">
        <f t="shared" si="449"/>
        <v>4.2381386301243236</v>
      </c>
      <c r="V249" s="438">
        <v>141.18135700000008</v>
      </c>
      <c r="W249" s="439">
        <f t="shared" si="450"/>
        <v>98.955296540000006</v>
      </c>
      <c r="X249" s="440">
        <f t="shared" si="451"/>
        <v>42.22606046000007</v>
      </c>
      <c r="Y249" s="441">
        <f t="shared" si="452"/>
        <v>29.909090943218548</v>
      </c>
      <c r="Z249" s="1236">
        <v>225.17220499999993</v>
      </c>
      <c r="AA249" s="439">
        <f t="shared" si="453"/>
        <v>157.05640701999999</v>
      </c>
      <c r="AB249" s="440">
        <f t="shared" si="454"/>
        <v>68.11579797999994</v>
      </c>
      <c r="AC249" s="441">
        <f t="shared" si="455"/>
        <v>30.250535575649739</v>
      </c>
      <c r="AD249" s="450">
        <v>231.29498500000008</v>
      </c>
      <c r="AE249" s="439">
        <f t="shared" si="456"/>
        <v>193.00641827999999</v>
      </c>
      <c r="AF249" s="440">
        <f t="shared" si="457"/>
        <v>38.288566720000091</v>
      </c>
      <c r="AG249" s="441">
        <f t="shared" si="458"/>
        <v>16.553997796363841</v>
      </c>
      <c r="AH249" s="1075"/>
      <c r="AI249" s="1883">
        <f t="shared" si="459"/>
        <v>0</v>
      </c>
      <c r="AJ249" s="1076">
        <f t="shared" si="460"/>
        <v>0</v>
      </c>
      <c r="AK249" s="1077" t="e">
        <f t="shared" si="461"/>
        <v>#DIV/0!</v>
      </c>
      <c r="AL249" s="438"/>
      <c r="AM249" s="439">
        <f t="shared" si="462"/>
        <v>0</v>
      </c>
      <c r="AN249" s="440">
        <f>+AL249-AM249</f>
        <v>0</v>
      </c>
      <c r="AO249" s="441" t="e">
        <f>+AN249/AL249*100</f>
        <v>#DIV/0!</v>
      </c>
      <c r="AP249" s="438"/>
      <c r="AQ249" s="1392">
        <f t="shared" si="464"/>
        <v>0</v>
      </c>
      <c r="AR249" s="440">
        <f t="shared" si="472"/>
        <v>0</v>
      </c>
      <c r="AS249" s="441" t="e">
        <f t="shared" si="465"/>
        <v>#DIV/0!</v>
      </c>
      <c r="AT249" s="438"/>
      <c r="AU249" s="439">
        <f t="shared" si="466"/>
        <v>0</v>
      </c>
      <c r="AV249" s="440">
        <f t="shared" si="473"/>
        <v>0</v>
      </c>
      <c r="AW249" s="441" t="e">
        <f t="shared" si="474"/>
        <v>#DIV/0!</v>
      </c>
      <c r="AX249" s="1047">
        <f>+B249+F249+J249+N249+R249+V249+Z249+AD249+AH249+AL249+AP249+AT249</f>
        <v>1076.1029840000001</v>
      </c>
      <c r="AY249" s="1047">
        <f t="shared" si="467"/>
        <v>906.60061436000001</v>
      </c>
      <c r="AZ249" s="447">
        <f t="shared" si="475"/>
        <v>169.5023696400001</v>
      </c>
      <c r="BA249" s="640">
        <f t="shared" si="476"/>
        <v>15.751500754132291</v>
      </c>
      <c r="BB249" s="481"/>
      <c r="BC249" s="445"/>
      <c r="BD249" s="446">
        <f t="shared" si="477"/>
        <v>231.29498500000008</v>
      </c>
      <c r="BE249" s="446">
        <f t="shared" si="478"/>
        <v>16.553997796363841</v>
      </c>
      <c r="BF249" s="446">
        <f t="shared" si="479"/>
        <v>38.288566720000091</v>
      </c>
      <c r="BG249" s="446"/>
      <c r="BI249" s="454"/>
      <c r="BJ249" s="649"/>
      <c r="BK249" s="651"/>
    </row>
    <row r="250" spans="1:64" ht="15" thickBot="1">
      <c r="A250" s="397" t="s">
        <v>885</v>
      </c>
      <c r="B250" s="1092">
        <v>23.117542</v>
      </c>
      <c r="C250" s="1392">
        <f t="shared" si="438"/>
        <v>20.755786140000005</v>
      </c>
      <c r="D250" s="440">
        <f t="shared" si="468"/>
        <v>2.3617558599999953</v>
      </c>
      <c r="E250" s="441">
        <f t="shared" si="469"/>
        <v>10.216293150889465</v>
      </c>
      <c r="F250" s="439">
        <v>21.543634000000001</v>
      </c>
      <c r="G250" s="439">
        <f t="shared" si="439"/>
        <v>21.488666459999997</v>
      </c>
      <c r="H250" s="440">
        <f t="shared" si="440"/>
        <v>5.4967540000003368E-2</v>
      </c>
      <c r="I250" s="441">
        <f t="shared" si="441"/>
        <v>0.25514516260350212</v>
      </c>
      <c r="J250" s="439">
        <v>23.154606999999999</v>
      </c>
      <c r="K250" s="439">
        <f t="shared" si="442"/>
        <v>19.592202190000002</v>
      </c>
      <c r="L250" s="440">
        <f t="shared" si="443"/>
        <v>3.5624048099999968</v>
      </c>
      <c r="M250" s="441">
        <f t="shared" si="444"/>
        <v>15.385295937002935</v>
      </c>
      <c r="N250" s="650">
        <v>21.443919999999999</v>
      </c>
      <c r="O250" s="1392">
        <f t="shared" si="445"/>
        <v>23.124733670000001</v>
      </c>
      <c r="P250" s="440">
        <f t="shared" si="446"/>
        <v>-1.6808136700000027</v>
      </c>
      <c r="Q250" s="441">
        <f t="shared" si="470"/>
        <v>-7.8381828975299426</v>
      </c>
      <c r="R250" s="650">
        <v>22.272918000000001</v>
      </c>
      <c r="S250" s="439">
        <f t="shared" si="447"/>
        <v>22.192336220000001</v>
      </c>
      <c r="T250" s="440">
        <f t="shared" si="448"/>
        <v>8.058177999999927E-2</v>
      </c>
      <c r="U250" s="441">
        <f t="shared" si="449"/>
        <v>0.36179264881233464</v>
      </c>
      <c r="V250" s="438">
        <v>24.698005999999999</v>
      </c>
      <c r="W250" s="439">
        <f t="shared" si="450"/>
        <v>17.962530529999999</v>
      </c>
      <c r="X250" s="440">
        <f t="shared" si="451"/>
        <v>6.7354754700000008</v>
      </c>
      <c r="Y250" s="441">
        <f t="shared" si="452"/>
        <v>27.271333037978856</v>
      </c>
      <c r="Z250" s="1236">
        <v>34.047181000000002</v>
      </c>
      <c r="AA250" s="439">
        <f t="shared" si="453"/>
        <v>27.44363744</v>
      </c>
      <c r="AB250" s="440">
        <f t="shared" si="454"/>
        <v>6.6035435600000021</v>
      </c>
      <c r="AC250" s="441">
        <f t="shared" si="455"/>
        <v>19.395272577779647</v>
      </c>
      <c r="AD250" s="450">
        <v>32.764583999999999</v>
      </c>
      <c r="AE250" s="439">
        <f t="shared" si="456"/>
        <v>30.241666519999999</v>
      </c>
      <c r="AF250" s="440">
        <f t="shared" si="457"/>
        <v>2.5229174800000003</v>
      </c>
      <c r="AG250" s="441">
        <f t="shared" si="458"/>
        <v>7.7001358540062652</v>
      </c>
      <c r="AH250" s="1075"/>
      <c r="AI250" s="1883">
        <f t="shared" si="459"/>
        <v>0</v>
      </c>
      <c r="AJ250" s="1076">
        <f t="shared" si="460"/>
        <v>0</v>
      </c>
      <c r="AK250" s="1077" t="e">
        <f t="shared" si="461"/>
        <v>#DIV/0!</v>
      </c>
      <c r="AL250" s="1100"/>
      <c r="AM250" s="439">
        <f t="shared" si="462"/>
        <v>0</v>
      </c>
      <c r="AN250" s="440">
        <f t="shared" si="463"/>
        <v>0</v>
      </c>
      <c r="AO250" s="441" t="e">
        <f t="shared" si="471"/>
        <v>#DIV/0!</v>
      </c>
      <c r="AP250" s="438"/>
      <c r="AQ250" s="1392">
        <f t="shared" si="464"/>
        <v>0</v>
      </c>
      <c r="AR250" s="440">
        <f t="shared" si="472"/>
        <v>0</v>
      </c>
      <c r="AS250" s="441" t="e">
        <f t="shared" si="465"/>
        <v>#DIV/0!</v>
      </c>
      <c r="AT250" s="650"/>
      <c r="AU250" s="439">
        <f t="shared" si="466"/>
        <v>0</v>
      </c>
      <c r="AV250" s="440">
        <f t="shared" si="473"/>
        <v>0</v>
      </c>
      <c r="AW250" s="441" t="e">
        <f t="shared" si="474"/>
        <v>#DIV/0!</v>
      </c>
      <c r="AX250" s="1047">
        <f t="shared" si="480"/>
        <v>203.04239200000001</v>
      </c>
      <c r="AY250" s="1047">
        <f t="shared" si="467"/>
        <v>182.80155916999999</v>
      </c>
      <c r="AZ250" s="447">
        <f t="shared" si="475"/>
        <v>20.240832830000016</v>
      </c>
      <c r="BA250" s="640">
        <f t="shared" si="476"/>
        <v>9.9687718562732535</v>
      </c>
      <c r="BB250" s="481"/>
      <c r="BC250" s="445"/>
      <c r="BD250" s="446">
        <f t="shared" si="477"/>
        <v>32.764583999999999</v>
      </c>
      <c r="BE250" s="446">
        <f t="shared" si="478"/>
        <v>7.7001358540062652</v>
      </c>
      <c r="BF250" s="446">
        <f t="shared" si="479"/>
        <v>2.5229174800000003</v>
      </c>
      <c r="BG250" s="446"/>
      <c r="BI250" s="454"/>
      <c r="BJ250" s="649"/>
      <c r="BK250" s="651"/>
    </row>
    <row r="251" spans="1:64" ht="14.4" thickBot="1">
      <c r="A251" s="433" t="s">
        <v>16</v>
      </c>
      <c r="B251" s="467">
        <f>SUM(B241:B250)</f>
        <v>1097.2657681199998</v>
      </c>
      <c r="C251" s="465">
        <f>SUM(C241:C250)</f>
        <v>928.0971926090001</v>
      </c>
      <c r="D251" s="456">
        <f t="shared" si="468"/>
        <v>169.16857551099974</v>
      </c>
      <c r="E251" s="1376">
        <f t="shared" si="469"/>
        <v>15.41728361770045</v>
      </c>
      <c r="F251" s="467">
        <f>SUM(F241:F250)</f>
        <v>1007.9547504399997</v>
      </c>
      <c r="G251" s="456">
        <f>SUM(G241:G250)</f>
        <v>920.52812138000002</v>
      </c>
      <c r="H251" s="456">
        <f t="shared" si="440"/>
        <v>87.426629059999641</v>
      </c>
      <c r="I251" s="457">
        <f t="shared" si="441"/>
        <v>8.673666057115712</v>
      </c>
      <c r="J251" s="467">
        <f>SUM(J241:J250)</f>
        <v>1027.2731051400006</v>
      </c>
      <c r="K251" s="456">
        <f>SUM(K241:K250)</f>
        <v>924.06479999124099</v>
      </c>
      <c r="L251" s="456">
        <f t="shared" si="443"/>
        <v>103.20830514875956</v>
      </c>
      <c r="M251" s="1376">
        <f t="shared" si="444"/>
        <v>10.046822469346548</v>
      </c>
      <c r="N251" s="467">
        <f>SUM(N241:N250)</f>
        <v>949.55110298999955</v>
      </c>
      <c r="O251" s="456">
        <f>SUM(O241:O250)</f>
        <v>953.59119642999997</v>
      </c>
      <c r="P251" s="456">
        <f t="shared" si="446"/>
        <v>-4.0400934400004189</v>
      </c>
      <c r="Q251" s="457">
        <f t="shared" si="470"/>
        <v>-0.42547404002572875</v>
      </c>
      <c r="R251" s="467">
        <f>SUM(R241:R250)</f>
        <v>1038.6969226200006</v>
      </c>
      <c r="S251" s="465">
        <f>SUM(S241:S250)</f>
        <v>961.10702764000007</v>
      </c>
      <c r="T251" s="456">
        <f t="shared" si="448"/>
        <v>77.589894980000508</v>
      </c>
      <c r="U251" s="1376">
        <f t="shared" si="449"/>
        <v>7.4699263365764477</v>
      </c>
      <c r="V251" s="467">
        <f>SUM(V241:V250)</f>
        <v>1282.7140432200001</v>
      </c>
      <c r="W251" s="456">
        <f>SUM(W241:W250)</f>
        <v>1008.7107762279999</v>
      </c>
      <c r="X251" s="456">
        <f t="shared" si="451"/>
        <v>274.00326699200025</v>
      </c>
      <c r="Y251" s="457">
        <f t="shared" si="452"/>
        <v>21.361212067513442</v>
      </c>
      <c r="Z251" s="1906">
        <f>SUM(Z241:Z250)</f>
        <v>1889.9073849000001</v>
      </c>
      <c r="AA251" s="456">
        <f>SUM(AA241:AA250)</f>
        <v>1332.74137554</v>
      </c>
      <c r="AB251" s="456">
        <f t="shared" si="454"/>
        <v>557.16600936000009</v>
      </c>
      <c r="AC251" s="1376">
        <f t="shared" si="455"/>
        <v>29.481127689729686</v>
      </c>
      <c r="AD251" s="1905">
        <f>SUM(AD241:AD250)</f>
        <v>1955.6169575999998</v>
      </c>
      <c r="AE251" s="456">
        <f>SUM(AE241:AE250)</f>
        <v>1532.0763522200002</v>
      </c>
      <c r="AF251" s="456">
        <f t="shared" si="457"/>
        <v>423.54060537999953</v>
      </c>
      <c r="AG251" s="1376">
        <f t="shared" si="458"/>
        <v>21.657646387960508</v>
      </c>
      <c r="AH251" s="1109">
        <f>SUM(AH241:AH250)</f>
        <v>0</v>
      </c>
      <c r="AI251" s="1794">
        <f>SUM(AI241:AI250)</f>
        <v>0</v>
      </c>
      <c r="AJ251" s="456">
        <f t="shared" si="460"/>
        <v>0</v>
      </c>
      <c r="AK251" s="1376" t="e">
        <f t="shared" si="461"/>
        <v>#DIV/0!</v>
      </c>
      <c r="AL251" s="1109">
        <f>SUM(AL241:AL250)</f>
        <v>0</v>
      </c>
      <c r="AM251" s="1794">
        <f>SUM(AM241:AM250)</f>
        <v>0</v>
      </c>
      <c r="AN251" s="456">
        <f t="shared" si="463"/>
        <v>0</v>
      </c>
      <c r="AO251" s="457" t="e">
        <f t="shared" si="471"/>
        <v>#DIV/0!</v>
      </c>
      <c r="AP251" s="1109">
        <f>SUM(AP241:AP250)</f>
        <v>0</v>
      </c>
      <c r="AQ251" s="1794">
        <f>SUM(AQ241:AQ250)</f>
        <v>0</v>
      </c>
      <c r="AR251" s="456">
        <f t="shared" si="472"/>
        <v>0</v>
      </c>
      <c r="AS251" s="457" t="e">
        <f t="shared" si="465"/>
        <v>#DIV/0!</v>
      </c>
      <c r="AT251" s="467">
        <f>SUM(AT241:AT250)</f>
        <v>0</v>
      </c>
      <c r="AU251" s="456">
        <f>SUM(AU241:AU250)</f>
        <v>0</v>
      </c>
      <c r="AV251" s="456">
        <f t="shared" si="473"/>
        <v>0</v>
      </c>
      <c r="AW251" s="457" t="e">
        <f t="shared" si="474"/>
        <v>#DIV/0!</v>
      </c>
      <c r="AX251" s="1048">
        <f>SUM(AX241:AX250)</f>
        <v>10248.980035029999</v>
      </c>
      <c r="AY251" s="1048">
        <f>SUM(AY241:AY250)</f>
        <v>8560.916842038243</v>
      </c>
      <c r="AZ251" s="1453">
        <f>+AX251-AY251</f>
        <v>1688.0631929917563</v>
      </c>
      <c r="BA251" s="646">
        <f>+AZ251/AX251*100</f>
        <v>16.470548164033136</v>
      </c>
      <c r="BB251" s="481"/>
      <c r="BC251" s="445"/>
      <c r="BD251" s="446">
        <f>AD251</f>
        <v>1955.6169575999998</v>
      </c>
      <c r="BE251" s="446">
        <f>AG251</f>
        <v>21.657646387960508</v>
      </c>
      <c r="BF251" s="446">
        <f>AF251</f>
        <v>423.54060537999953</v>
      </c>
    </row>
    <row r="252" spans="1:64" s="426" customFormat="1" ht="14.4" thickBot="1">
      <c r="B252" s="426" t="s">
        <v>421</v>
      </c>
      <c r="J252" s="395">
        <f>J251+F251+B251</f>
        <v>3132.4936237000002</v>
      </c>
      <c r="K252" s="395">
        <f>K251+G251+C251</f>
        <v>2772.6901139802412</v>
      </c>
      <c r="N252" s="395"/>
      <c r="O252" s="395"/>
      <c r="P252" s="395"/>
      <c r="R252" s="657"/>
      <c r="S252" s="657"/>
      <c r="T252" s="657"/>
      <c r="V252" s="395"/>
      <c r="W252" s="395"/>
      <c r="X252" s="1394" t="e">
        <f>#REF!-#REF!</f>
        <v>#REF!</v>
      </c>
      <c r="Z252" s="82"/>
      <c r="AA252" s="82"/>
      <c r="AB252" s="82"/>
      <c r="AC252" s="446"/>
      <c r="AE252" s="657"/>
      <c r="AH252" s="1243"/>
      <c r="AI252" s="1243"/>
      <c r="AJ252" s="1243"/>
      <c r="AK252" s="1242"/>
      <c r="AP252" s="1113"/>
      <c r="AT252" s="446"/>
      <c r="AX252" s="658"/>
      <c r="AY252" s="649"/>
      <c r="AZ252" s="649" t="e">
        <f>#REF!-#REF!</f>
        <v>#REF!</v>
      </c>
      <c r="BA252" s="649"/>
      <c r="BB252" s="649"/>
    </row>
    <row r="253" spans="1:64">
      <c r="A253" s="454"/>
      <c r="B253" s="446"/>
      <c r="C253" s="446"/>
      <c r="D253" s="657"/>
      <c r="E253" s="446"/>
      <c r="F253" s="446"/>
      <c r="G253" s="446"/>
      <c r="H253" s="446"/>
      <c r="I253" s="657"/>
      <c r="J253" s="446"/>
      <c r="K253" s="446"/>
      <c r="L253" s="446"/>
      <c r="M253" s="657"/>
      <c r="N253" s="446"/>
      <c r="O253" s="446"/>
      <c r="P253" s="446"/>
      <c r="Q253" s="657"/>
      <c r="R253" s="446"/>
      <c r="S253" s="446"/>
      <c r="T253" s="446"/>
      <c r="U253" s="657"/>
      <c r="V253" s="446"/>
      <c r="W253" s="446"/>
      <c r="X253" s="446"/>
      <c r="Y253" s="657"/>
      <c r="Z253" s="1093"/>
      <c r="AA253" s="1093"/>
      <c r="AB253" s="1093">
        <f>AB251+AF251+AJ251</f>
        <v>980.70661473999962</v>
      </c>
      <c r="AC253" s="657"/>
      <c r="AD253" s="446"/>
      <c r="AE253" s="446"/>
      <c r="AF253" s="446"/>
      <c r="AG253" s="657"/>
      <c r="AH253" s="446"/>
      <c r="AI253" s="446"/>
      <c r="AJ253" s="446"/>
      <c r="AK253" s="657"/>
      <c r="AL253" s="446"/>
      <c r="AM253" s="446"/>
      <c r="AN253" s="446"/>
      <c r="AO253" s="657"/>
      <c r="AQ253" s="446"/>
      <c r="AR253" s="446"/>
      <c r="AS253" s="657"/>
      <c r="AT253" s="446"/>
      <c r="AU253" s="446"/>
      <c r="AV253" s="446"/>
      <c r="AW253" s="657"/>
      <c r="AX253" s="658"/>
      <c r="AY253" s="658"/>
      <c r="AZ253" s="649"/>
      <c r="BA253" s="657"/>
      <c r="BB253" s="445"/>
      <c r="BC253" s="445"/>
      <c r="BD253" s="446"/>
      <c r="BE253" s="446"/>
    </row>
    <row r="254" spans="1:64" ht="18">
      <c r="A254" s="486" t="s">
        <v>86</v>
      </c>
      <c r="B254" s="487"/>
      <c r="C254" s="487"/>
      <c r="D254" s="487"/>
      <c r="E254" s="487"/>
      <c r="F254" s="487"/>
      <c r="G254" s="487"/>
      <c r="H254" s="487"/>
      <c r="I254" s="487"/>
      <c r="J254" s="487"/>
      <c r="K254" s="487"/>
      <c r="L254" s="487"/>
      <c r="M254" s="487"/>
      <c r="N254" s="487"/>
      <c r="O254" s="487"/>
      <c r="P254" s="487"/>
      <c r="Q254" s="487"/>
      <c r="R254" s="487"/>
      <c r="S254" s="487"/>
      <c r="T254" s="487"/>
      <c r="U254" s="487"/>
      <c r="V254" s="487"/>
      <c r="W254" s="487"/>
      <c r="X254" s="487"/>
      <c r="Y254" s="487"/>
      <c r="Z254" s="487"/>
      <c r="AA254" s="487"/>
      <c r="AB254" s="487"/>
      <c r="AC254" s="487"/>
      <c r="AD254" s="487"/>
      <c r="AE254" s="487"/>
      <c r="AF254" s="487"/>
      <c r="AG254" s="487"/>
      <c r="AH254" s="487"/>
      <c r="AI254" s="487"/>
      <c r="AJ254" s="487"/>
      <c r="AK254" s="487"/>
      <c r="AL254" s="487"/>
      <c r="AM254" s="487"/>
      <c r="AN254" s="487"/>
      <c r="AO254" s="487"/>
      <c r="AP254" s="1114"/>
      <c r="AQ254" s="487"/>
      <c r="AR254" s="487"/>
      <c r="AS254" s="487"/>
      <c r="AT254" s="487"/>
      <c r="AU254" s="487"/>
      <c r="AV254" s="487"/>
      <c r="AW254" s="487"/>
      <c r="AX254" s="487"/>
      <c r="AY254" s="497"/>
      <c r="AZ254" s="487"/>
      <c r="BA254" s="488"/>
      <c r="BB254" s="497"/>
    </row>
    <row r="255" spans="1:64" ht="18.600000000000001" thickBot="1">
      <c r="A255" s="489">
        <f>A223</f>
        <v>2023</v>
      </c>
      <c r="B255" s="487"/>
      <c r="C255" s="487"/>
      <c r="D255" s="487"/>
      <c r="E255" s="487"/>
      <c r="F255" s="487"/>
      <c r="G255" s="487"/>
      <c r="H255" s="487"/>
      <c r="I255" s="487"/>
      <c r="J255" s="487"/>
      <c r="K255" s="487"/>
      <c r="L255" s="487"/>
      <c r="M255" s="487"/>
      <c r="N255" s="487"/>
      <c r="O255" s="487"/>
      <c r="P255" s="487"/>
      <c r="Q255" s="487"/>
      <c r="R255" s="487"/>
      <c r="S255" s="487"/>
      <c r="T255" s="487"/>
      <c r="U255" s="487"/>
      <c r="V255" s="487"/>
      <c r="W255" s="487"/>
      <c r="X255" s="487"/>
      <c r="Y255" s="487"/>
      <c r="Z255" s="487"/>
      <c r="AA255" s="487"/>
      <c r="AB255" s="487"/>
      <c r="AC255" s="487"/>
      <c r="AD255" s="487"/>
      <c r="AE255" s="487"/>
      <c r="AF255" s="487"/>
      <c r="AG255" s="487"/>
      <c r="AH255" s="487"/>
      <c r="AI255" s="487"/>
      <c r="AJ255" s="487"/>
      <c r="AK255" s="487"/>
      <c r="AL255" s="487"/>
      <c r="AM255" s="487"/>
      <c r="AN255" s="487"/>
      <c r="AO255" s="487"/>
      <c r="AP255" s="1114"/>
      <c r="AQ255" s="487"/>
      <c r="AR255" s="487"/>
      <c r="AS255" s="487"/>
      <c r="AT255" s="487"/>
      <c r="AU255" s="487"/>
      <c r="AV255" s="487"/>
      <c r="AW255" s="487"/>
      <c r="AX255" s="659"/>
      <c r="AY255" s="659"/>
      <c r="AZ255" s="487"/>
      <c r="BA255" s="659"/>
      <c r="BB255" s="497"/>
    </row>
    <row r="256" spans="1:64">
      <c r="A256" s="2815" t="s">
        <v>308</v>
      </c>
      <c r="B256" s="2827" t="s">
        <v>71</v>
      </c>
      <c r="C256" s="2828"/>
      <c r="D256" s="2828"/>
      <c r="E256" s="3091"/>
      <c r="F256" s="2829" t="s">
        <v>72</v>
      </c>
      <c r="G256" s="2830"/>
      <c r="H256" s="2830"/>
      <c r="I256" s="3095"/>
      <c r="J256" s="2817" t="s">
        <v>73</v>
      </c>
      <c r="K256" s="2818"/>
      <c r="L256" s="2818"/>
      <c r="M256" s="3094"/>
      <c r="N256" s="2819" t="s">
        <v>74</v>
      </c>
      <c r="O256" s="2820"/>
      <c r="P256" s="2820"/>
      <c r="Q256" s="3090"/>
      <c r="R256" s="2821" t="s">
        <v>75</v>
      </c>
      <c r="S256" s="2822"/>
      <c r="T256" s="2822"/>
      <c r="U256" s="3093"/>
      <c r="V256" s="2823" t="s">
        <v>76</v>
      </c>
      <c r="W256" s="2824"/>
      <c r="X256" s="2824"/>
      <c r="Y256" s="3089"/>
      <c r="Z256" s="2827" t="s">
        <v>77</v>
      </c>
      <c r="AA256" s="2828"/>
      <c r="AB256" s="2828"/>
      <c r="AC256" s="3091"/>
      <c r="AD256" s="2829" t="s">
        <v>78</v>
      </c>
      <c r="AE256" s="2830"/>
      <c r="AF256" s="2830"/>
      <c r="AG256" s="3095"/>
      <c r="AH256" s="2817" t="s">
        <v>79</v>
      </c>
      <c r="AI256" s="2818"/>
      <c r="AJ256" s="2818"/>
      <c r="AK256" s="3094"/>
      <c r="AL256" s="2819" t="s">
        <v>80</v>
      </c>
      <c r="AM256" s="2820"/>
      <c r="AN256" s="2820"/>
      <c r="AO256" s="3090"/>
      <c r="AP256" s="2821" t="s">
        <v>81</v>
      </c>
      <c r="AQ256" s="2822"/>
      <c r="AR256" s="2822"/>
      <c r="AS256" s="3093"/>
      <c r="AT256" s="2823" t="s">
        <v>82</v>
      </c>
      <c r="AU256" s="2824"/>
      <c r="AV256" s="2824"/>
      <c r="AW256" s="3089"/>
      <c r="AX256" s="3097" t="s">
        <v>83</v>
      </c>
      <c r="AY256" s="3098"/>
      <c r="AZ256" s="3098"/>
      <c r="BA256" s="3098"/>
      <c r="BB256" s="3099"/>
    </row>
    <row r="257" spans="1:60" ht="14.4" thickBot="1">
      <c r="A257" s="2816"/>
      <c r="B257" s="402" t="s">
        <v>17</v>
      </c>
      <c r="C257" s="403" t="s">
        <v>18</v>
      </c>
      <c r="D257" s="403" t="s">
        <v>52</v>
      </c>
      <c r="E257" s="404" t="s">
        <v>19</v>
      </c>
      <c r="F257" s="402" t="s">
        <v>17</v>
      </c>
      <c r="G257" s="403" t="s">
        <v>18</v>
      </c>
      <c r="H257" s="403" t="s">
        <v>52</v>
      </c>
      <c r="I257" s="404" t="s">
        <v>19</v>
      </c>
      <c r="J257" s="402" t="s">
        <v>17</v>
      </c>
      <c r="K257" s="403" t="s">
        <v>18</v>
      </c>
      <c r="L257" s="403" t="s">
        <v>52</v>
      </c>
      <c r="M257" s="404" t="s">
        <v>19</v>
      </c>
      <c r="N257" s="402" t="s">
        <v>17</v>
      </c>
      <c r="O257" s="403" t="s">
        <v>18</v>
      </c>
      <c r="P257" s="403" t="s">
        <v>52</v>
      </c>
      <c r="Q257" s="404" t="s">
        <v>19</v>
      </c>
      <c r="R257" s="402" t="s">
        <v>17</v>
      </c>
      <c r="S257" s="403" t="s">
        <v>18</v>
      </c>
      <c r="T257" s="403" t="s">
        <v>52</v>
      </c>
      <c r="U257" s="404" t="s">
        <v>19</v>
      </c>
      <c r="V257" s="402" t="s">
        <v>17</v>
      </c>
      <c r="W257" s="403" t="s">
        <v>18</v>
      </c>
      <c r="X257" s="403" t="s">
        <v>52</v>
      </c>
      <c r="Y257" s="404" t="s">
        <v>19</v>
      </c>
      <c r="Z257" s="402" t="s">
        <v>17</v>
      </c>
      <c r="AA257" s="403" t="s">
        <v>18</v>
      </c>
      <c r="AB257" s="403" t="s">
        <v>52</v>
      </c>
      <c r="AC257" s="404" t="s">
        <v>19</v>
      </c>
      <c r="AD257" s="402" t="s">
        <v>17</v>
      </c>
      <c r="AE257" s="403" t="s">
        <v>18</v>
      </c>
      <c r="AF257" s="403" t="s">
        <v>52</v>
      </c>
      <c r="AG257" s="404" t="s">
        <v>19</v>
      </c>
      <c r="AH257" s="402" t="s">
        <v>17</v>
      </c>
      <c r="AI257" s="403" t="s">
        <v>18</v>
      </c>
      <c r="AJ257" s="403" t="s">
        <v>52</v>
      </c>
      <c r="AK257" s="404" t="s">
        <v>19</v>
      </c>
      <c r="AL257" s="402" t="s">
        <v>17</v>
      </c>
      <c r="AM257" s="403" t="s">
        <v>18</v>
      </c>
      <c r="AN257" s="403" t="s">
        <v>52</v>
      </c>
      <c r="AO257" s="404" t="s">
        <v>19</v>
      </c>
      <c r="AP257" s="1107" t="s">
        <v>17</v>
      </c>
      <c r="AQ257" s="403" t="s">
        <v>18</v>
      </c>
      <c r="AR257" s="403" t="s">
        <v>52</v>
      </c>
      <c r="AS257" s="404" t="s">
        <v>19</v>
      </c>
      <c r="AT257" s="402" t="s">
        <v>17</v>
      </c>
      <c r="AU257" s="403" t="s">
        <v>18</v>
      </c>
      <c r="AV257" s="403" t="s">
        <v>52</v>
      </c>
      <c r="AW257" s="404" t="s">
        <v>19</v>
      </c>
      <c r="AX257" s="403" t="s">
        <v>17</v>
      </c>
      <c r="AY257" s="403" t="s">
        <v>18</v>
      </c>
      <c r="AZ257" s="403" t="s">
        <v>52</v>
      </c>
      <c r="BA257" s="431" t="s">
        <v>19</v>
      </c>
      <c r="BB257" s="404" t="s">
        <v>160</v>
      </c>
      <c r="BD257" s="403" t="s">
        <v>17</v>
      </c>
      <c r="BE257" s="403" t="s">
        <v>18</v>
      </c>
      <c r="BF257" s="403" t="s">
        <v>52</v>
      </c>
      <c r="BG257" s="431" t="s">
        <v>19</v>
      </c>
    </row>
    <row r="258" spans="1:60">
      <c r="A258" s="397" t="s">
        <v>6</v>
      </c>
      <c r="B258" s="650">
        <v>396.23048569000002</v>
      </c>
      <c r="C258" s="439">
        <v>39.831412289999996</v>
      </c>
      <c r="D258" s="440">
        <f>SUM(B258:C258)</f>
        <v>436.06189798000003</v>
      </c>
      <c r="E258" s="441">
        <v>272.76263359000001</v>
      </c>
      <c r="F258" s="438">
        <v>422.25970102999997</v>
      </c>
      <c r="G258" s="439">
        <v>43.40545607</v>
      </c>
      <c r="H258" s="440">
        <f>SUM(F258:G258)</f>
        <v>465.66515709999999</v>
      </c>
      <c r="I258" s="441">
        <v>267.82293025999996</v>
      </c>
      <c r="J258" s="438">
        <v>378.46952219999281</v>
      </c>
      <c r="K258" s="439">
        <v>72.857370329999995</v>
      </c>
      <c r="L258" s="440">
        <f>SUM(J258:K258)</f>
        <v>451.32689252999279</v>
      </c>
      <c r="M258" s="441">
        <v>278.51749081999992</v>
      </c>
      <c r="N258" s="438">
        <v>384.57239384999997</v>
      </c>
      <c r="O258" s="439">
        <v>40.133522970000001</v>
      </c>
      <c r="P258" s="440">
        <f>SUM(N258:O258)</f>
        <v>424.70591681999997</v>
      </c>
      <c r="Q258" s="441">
        <v>255.776374</v>
      </c>
      <c r="R258" s="450">
        <v>380.40232607000007</v>
      </c>
      <c r="S258" s="451">
        <v>39.598701019999993</v>
      </c>
      <c r="T258" s="453">
        <f>SUM(R258:S258)</f>
        <v>420.00102709000009</v>
      </c>
      <c r="U258" s="452">
        <v>284.03454315000005</v>
      </c>
      <c r="V258" s="450">
        <v>391.13647789000004</v>
      </c>
      <c r="W258" s="451">
        <v>63.113752759999997</v>
      </c>
      <c r="X258" s="453">
        <f>SUM(V258:W258)</f>
        <v>454.25023065000005</v>
      </c>
      <c r="Y258" s="452">
        <v>270.29439907</v>
      </c>
      <c r="Z258" s="450">
        <v>680.49798959999998</v>
      </c>
      <c r="AA258" s="451">
        <v>36.772384530000004</v>
      </c>
      <c r="AB258" s="453">
        <f>SUM(Z258:AA258)</f>
        <v>717.27037412999994</v>
      </c>
      <c r="AC258" s="452">
        <v>360.44675547000003</v>
      </c>
      <c r="AD258" s="450">
        <v>899.92661514999998</v>
      </c>
      <c r="AE258" s="451">
        <v>46.702122570000007</v>
      </c>
      <c r="AF258" s="453">
        <f>SUM(AD258:AE258)</f>
        <v>946.62873772</v>
      </c>
      <c r="AG258" s="452">
        <v>333.95485180000003</v>
      </c>
      <c r="AH258" s="450"/>
      <c r="AI258" s="451"/>
      <c r="AJ258" s="453">
        <f>SUM(AH258:AI258)</f>
        <v>0</v>
      </c>
      <c r="AK258" s="452"/>
      <c r="AL258" s="450"/>
      <c r="AM258" s="451"/>
      <c r="AN258" s="453">
        <f>SUM(AL258:AM258)</f>
        <v>0</v>
      </c>
      <c r="AO258" s="452"/>
      <c r="AP258" s="438"/>
      <c r="AQ258" s="451"/>
      <c r="AR258" s="453">
        <f>SUM(AP258:AQ258)</f>
        <v>0</v>
      </c>
      <c r="AS258" s="452"/>
      <c r="AT258" s="450"/>
      <c r="AU258" s="451"/>
      <c r="AV258" s="453">
        <f>SUM(AT258:AU258)</f>
        <v>0</v>
      </c>
      <c r="AW258" s="452"/>
      <c r="AX258" s="821">
        <f>+B258+F258+J258+N258+R258+V258+Z258+AD258+AH258+AL258+AP258+AT258</f>
        <v>3933.4955114799932</v>
      </c>
      <c r="AY258" s="822">
        <f t="shared" ref="AY258:AY267" si="481">+C258+G258+K258+O258+S258+W258+AA258+AE258+AI258+AM258+AQ258+AU258</f>
        <v>382.41472254000001</v>
      </c>
      <c r="AZ258" s="822">
        <f t="shared" ref="AZ258:AZ267" si="482">+D258+H258+L258+P258+T258+X258+AB258+AF258+AJ258+AN258+AR258+AV258</f>
        <v>4315.9102340199925</v>
      </c>
      <c r="BA258" s="1251">
        <f t="shared" ref="BA258:BA267" si="483">+E258+I258+M258+Q258+U258+Y258+AC258+AG258+AK258+AO258+AS258+AW258</f>
        <v>2323.6099781600001</v>
      </c>
      <c r="BB258" s="824">
        <f>+AZ258+BA258</f>
        <v>6639.5202121799921</v>
      </c>
      <c r="BD258" s="446">
        <f>AD258</f>
        <v>899.92661514999998</v>
      </c>
      <c r="BE258" s="446">
        <f>AE258</f>
        <v>46.702122570000007</v>
      </c>
      <c r="BF258" s="446">
        <f>AF258</f>
        <v>946.62873772</v>
      </c>
      <c r="BG258" s="446">
        <f>AG258</f>
        <v>333.95485180000003</v>
      </c>
      <c r="BH258" s="446"/>
    </row>
    <row r="259" spans="1:60">
      <c r="A259" s="397" t="s">
        <v>7</v>
      </c>
      <c r="B259" s="438">
        <v>165.64019878000002</v>
      </c>
      <c r="C259" s="439">
        <v>23.84576393</v>
      </c>
      <c r="D259" s="440">
        <f t="shared" ref="D259:D267" si="484">SUM(B259:C259)</f>
        <v>189.48596271000002</v>
      </c>
      <c r="E259" s="441">
        <v>105.69250457</v>
      </c>
      <c r="F259" s="438">
        <v>153.91549171</v>
      </c>
      <c r="G259" s="439">
        <v>23.35862453</v>
      </c>
      <c r="H259" s="440">
        <f t="shared" ref="H259:H267" si="485">SUM(F259:G259)</f>
        <v>177.27411624000001</v>
      </c>
      <c r="I259" s="441">
        <v>101.3421101</v>
      </c>
      <c r="J259" s="438">
        <v>127.16904672000001</v>
      </c>
      <c r="K259" s="439">
        <v>79.681058609999994</v>
      </c>
      <c r="L259" s="440">
        <f t="shared" ref="L259:L267" si="486">SUM(J259:K259)</f>
        <v>206.85010533000002</v>
      </c>
      <c r="M259" s="441">
        <v>108.1499122</v>
      </c>
      <c r="N259" s="438">
        <v>172.46115628999999</v>
      </c>
      <c r="O259" s="439">
        <v>23.961576139999998</v>
      </c>
      <c r="P259" s="440">
        <f t="shared" ref="P259:P267" si="487">SUM(N259:O259)</f>
        <v>196.42273243</v>
      </c>
      <c r="Q259" s="441">
        <v>96.275051660000003</v>
      </c>
      <c r="R259" s="450">
        <v>153.07345814000001</v>
      </c>
      <c r="S259" s="451">
        <v>20.27492775</v>
      </c>
      <c r="T259" s="453">
        <f t="shared" ref="T259:T267" si="488">SUM(R259:S259)</f>
        <v>173.34838589</v>
      </c>
      <c r="U259" s="452">
        <v>102.34192330000002</v>
      </c>
      <c r="V259" s="450">
        <v>131.26</v>
      </c>
      <c r="W259" s="451">
        <v>55.914000000000001</v>
      </c>
      <c r="X259" s="453">
        <f t="shared" ref="X259:X267" si="489">SUM(V259:W259)</f>
        <v>187.17399999999998</v>
      </c>
      <c r="Y259" s="452">
        <v>105.27315520000001</v>
      </c>
      <c r="Z259" s="450">
        <v>341.65809538000002</v>
      </c>
      <c r="AA259" s="451">
        <v>22.49281306</v>
      </c>
      <c r="AB259" s="453">
        <f t="shared" ref="AB259:AB267" si="490">SUM(Z259:AA259)</f>
        <v>364.15090844000002</v>
      </c>
      <c r="AC259" s="452">
        <v>123.92506324999999</v>
      </c>
      <c r="AD259" s="450">
        <v>385.47416548000001</v>
      </c>
      <c r="AE259" s="451">
        <v>23.48469274</v>
      </c>
      <c r="AF259" s="453">
        <f t="shared" ref="AF259:AF267" si="491">SUM(AD259:AE259)</f>
        <v>408.95885822000002</v>
      </c>
      <c r="AG259" s="452">
        <v>117.9481772</v>
      </c>
      <c r="AH259" s="450"/>
      <c r="AI259" s="451"/>
      <c r="AJ259" s="453">
        <f t="shared" ref="AJ259:AJ267" si="492">SUM(AH259:AI259)</f>
        <v>0</v>
      </c>
      <c r="AK259" s="452"/>
      <c r="AL259" s="450"/>
      <c r="AM259" s="451"/>
      <c r="AN259" s="453">
        <f t="shared" ref="AN259:AN267" si="493">SUM(AL259:AM259)</f>
        <v>0</v>
      </c>
      <c r="AO259" s="452"/>
      <c r="AP259" s="438"/>
      <c r="AQ259" s="451"/>
      <c r="AR259" s="453">
        <f t="shared" ref="AR259:AR267" si="494">SUM(AP259:AQ259)</f>
        <v>0</v>
      </c>
      <c r="AS259" s="452"/>
      <c r="AT259" s="450"/>
      <c r="AU259" s="451"/>
      <c r="AV259" s="453">
        <f t="shared" ref="AV259:AV267" si="495">SUM(AT259:AU259)</f>
        <v>0</v>
      </c>
      <c r="AW259" s="452"/>
      <c r="AX259" s="636">
        <f t="shared" ref="AX259:AX267" si="496">+B259+F259+J259+N259+R259+V259+Z259+AD259+AH259+AL259+AP259+AT259</f>
        <v>1630.6516125000001</v>
      </c>
      <c r="AY259" s="447">
        <f t="shared" si="481"/>
        <v>273.01345676</v>
      </c>
      <c r="AZ259" s="447">
        <f t="shared" si="482"/>
        <v>1903.6650692600001</v>
      </c>
      <c r="BA259" s="1240">
        <f t="shared" si="483"/>
        <v>860.94789748000005</v>
      </c>
      <c r="BB259" s="826">
        <f t="shared" ref="BB259:BB267" si="497">+AZ259+BA259</f>
        <v>2764.61296674</v>
      </c>
      <c r="BD259" s="446">
        <f t="shared" ref="BD259:BD268" si="498">AD259</f>
        <v>385.47416548000001</v>
      </c>
      <c r="BE259" s="446">
        <f t="shared" ref="BE259:BE268" si="499">AE259</f>
        <v>23.48469274</v>
      </c>
      <c r="BF259" s="446">
        <f t="shared" ref="BF259:BF268" si="500">AF259</f>
        <v>408.95885822000002</v>
      </c>
      <c r="BG259" s="446">
        <f t="shared" ref="BG259:BG268" si="501">AG259</f>
        <v>117.9481772</v>
      </c>
    </row>
    <row r="260" spans="1:60">
      <c r="A260" s="397" t="s">
        <v>8</v>
      </c>
      <c r="B260" s="438">
        <v>159.96611148</v>
      </c>
      <c r="C260" s="438">
        <v>32.596720429999998</v>
      </c>
      <c r="D260" s="440">
        <f t="shared" si="484"/>
        <v>192.56283191</v>
      </c>
      <c r="E260" s="441">
        <v>74.259223000000006</v>
      </c>
      <c r="F260" s="438">
        <v>149.44901711000003</v>
      </c>
      <c r="G260" s="439">
        <v>35.145300230000004</v>
      </c>
      <c r="H260" s="440">
        <f t="shared" si="485"/>
        <v>184.59431734000003</v>
      </c>
      <c r="I260" s="441">
        <v>75.668599999999998</v>
      </c>
      <c r="J260" s="438">
        <v>142.62852606000001</v>
      </c>
      <c r="K260" s="439">
        <v>70.676540090000003</v>
      </c>
      <c r="L260" s="440">
        <f t="shared" si="486"/>
        <v>213.30506615000002</v>
      </c>
      <c r="M260" s="441">
        <v>81.643459590000006</v>
      </c>
      <c r="N260" s="438">
        <v>170.54853328999999</v>
      </c>
      <c r="O260" s="439">
        <v>32.188010269999999</v>
      </c>
      <c r="P260" s="440">
        <f t="shared" si="487"/>
        <v>202.73654356</v>
      </c>
      <c r="Q260" s="441">
        <v>66.220855560000004</v>
      </c>
      <c r="R260" s="450">
        <v>164.46056999999999</v>
      </c>
      <c r="S260" s="451">
        <v>33.36918</v>
      </c>
      <c r="T260" s="453">
        <f t="shared" si="488"/>
        <v>197.82974999999999</v>
      </c>
      <c r="U260" s="452">
        <v>81.541312000000005</v>
      </c>
      <c r="V260" s="450">
        <v>172.19801537000001</v>
      </c>
      <c r="W260" s="451">
        <v>61.468774199999999</v>
      </c>
      <c r="X260" s="453">
        <f t="shared" si="489"/>
        <v>233.66678956999999</v>
      </c>
      <c r="Y260" s="452">
        <v>77.734870000000001</v>
      </c>
      <c r="Z260" s="450">
        <v>284.56434353999998</v>
      </c>
      <c r="AA260" s="450">
        <v>30.712351210000005</v>
      </c>
      <c r="AB260" s="453">
        <f t="shared" si="490"/>
        <v>315.27669474999999</v>
      </c>
      <c r="AC260" s="452">
        <v>103.65</v>
      </c>
      <c r="AD260" s="450">
        <v>318.14177993999999</v>
      </c>
      <c r="AE260" s="451">
        <v>39.382872859999999</v>
      </c>
      <c r="AF260" s="453">
        <f t="shared" si="491"/>
        <v>357.52465280000001</v>
      </c>
      <c r="AG260" s="452">
        <v>68.441850000000002</v>
      </c>
      <c r="AH260" s="450"/>
      <c r="AI260" s="451"/>
      <c r="AJ260" s="453">
        <f t="shared" si="492"/>
        <v>0</v>
      </c>
      <c r="AK260" s="452"/>
      <c r="AL260" s="450"/>
      <c r="AM260" s="451"/>
      <c r="AN260" s="453">
        <f t="shared" si="493"/>
        <v>0</v>
      </c>
      <c r="AO260" s="452"/>
      <c r="AP260" s="438"/>
      <c r="AQ260" s="451"/>
      <c r="AR260" s="453">
        <f t="shared" si="494"/>
        <v>0</v>
      </c>
      <c r="AS260" s="452"/>
      <c r="AT260" s="450"/>
      <c r="AU260" s="451"/>
      <c r="AV260" s="453">
        <f t="shared" si="495"/>
        <v>0</v>
      </c>
      <c r="AW260" s="452"/>
      <c r="AX260" s="636">
        <f t="shared" si="496"/>
        <v>1561.95689679</v>
      </c>
      <c r="AY260" s="447">
        <f t="shared" si="481"/>
        <v>335.53974929000003</v>
      </c>
      <c r="AZ260" s="447">
        <f t="shared" si="482"/>
        <v>1897.4966460799999</v>
      </c>
      <c r="BA260" s="1240">
        <f t="shared" si="483"/>
        <v>629.16017015000011</v>
      </c>
      <c r="BB260" s="826">
        <f t="shared" si="497"/>
        <v>2526.65681623</v>
      </c>
      <c r="BD260" s="446">
        <f t="shared" si="498"/>
        <v>318.14177993999999</v>
      </c>
      <c r="BE260" s="446">
        <f t="shared" si="499"/>
        <v>39.382872859999999</v>
      </c>
      <c r="BF260" s="446">
        <f t="shared" si="500"/>
        <v>357.52465280000001</v>
      </c>
      <c r="BG260" s="446">
        <f t="shared" si="501"/>
        <v>68.441850000000002</v>
      </c>
    </row>
    <row r="261" spans="1:60">
      <c r="A261" s="397" t="s">
        <v>4</v>
      </c>
      <c r="B261" s="438">
        <v>323.76144105999998</v>
      </c>
      <c r="C261" s="439">
        <v>45.51637499000001</v>
      </c>
      <c r="D261" s="440">
        <f t="shared" si="484"/>
        <v>369.27781605000001</v>
      </c>
      <c r="E261" s="441">
        <v>130.25519308000003</v>
      </c>
      <c r="F261" s="438">
        <v>345.29707633999999</v>
      </c>
      <c r="G261" s="439">
        <v>51.860022919999999</v>
      </c>
      <c r="H261" s="440">
        <f t="shared" si="485"/>
        <v>397.15709926</v>
      </c>
      <c r="I261" s="441">
        <v>140.23188482</v>
      </c>
      <c r="J261" s="438">
        <v>323.51562271999995</v>
      </c>
      <c r="K261" s="439">
        <v>65.382668740000014</v>
      </c>
      <c r="L261" s="440">
        <f t="shared" si="486"/>
        <v>388.89829146</v>
      </c>
      <c r="M261" s="441">
        <v>150.22693093000001</v>
      </c>
      <c r="N261" s="438">
        <v>341.77641275999997</v>
      </c>
      <c r="O261" s="439">
        <v>46.825964350000007</v>
      </c>
      <c r="P261" s="440">
        <f t="shared" si="487"/>
        <v>388.60237710999996</v>
      </c>
      <c r="Q261" s="441">
        <v>144.00318317</v>
      </c>
      <c r="R261" s="450">
        <v>291.80817726000004</v>
      </c>
      <c r="S261" s="451">
        <v>44.555355159999998</v>
      </c>
      <c r="T261" s="453">
        <f t="shared" si="488"/>
        <v>336.36353242000001</v>
      </c>
      <c r="U261" s="452">
        <v>142.34790351000001</v>
      </c>
      <c r="V261" s="450">
        <v>270.65664500999998</v>
      </c>
      <c r="W261" s="451">
        <v>48.980412980000011</v>
      </c>
      <c r="X261" s="453">
        <f t="shared" si="489"/>
        <v>319.63705799000002</v>
      </c>
      <c r="Y261" s="452">
        <v>158.94987970999998</v>
      </c>
      <c r="Z261" s="450">
        <v>501.38515936999988</v>
      </c>
      <c r="AA261" s="451">
        <v>41.987398859999999</v>
      </c>
      <c r="AB261" s="453">
        <f t="shared" si="490"/>
        <v>543.37255822999987</v>
      </c>
      <c r="AC261" s="452">
        <v>161.32643590000001</v>
      </c>
      <c r="AD261" s="450">
        <v>661.68731481000009</v>
      </c>
      <c r="AE261" s="451">
        <v>46.552584160000002</v>
      </c>
      <c r="AF261" s="453">
        <f t="shared" si="491"/>
        <v>708.23989897000013</v>
      </c>
      <c r="AG261" s="452">
        <v>155.84604702999999</v>
      </c>
      <c r="AH261" s="450"/>
      <c r="AI261" s="451"/>
      <c r="AJ261" s="453">
        <f t="shared" si="492"/>
        <v>0</v>
      </c>
      <c r="AK261" s="452"/>
      <c r="AL261" s="450"/>
      <c r="AM261" s="451"/>
      <c r="AN261" s="453">
        <f t="shared" si="493"/>
        <v>0</v>
      </c>
      <c r="AO261" s="452"/>
      <c r="AP261" s="438"/>
      <c r="AQ261" s="451"/>
      <c r="AR261" s="453">
        <f t="shared" si="494"/>
        <v>0</v>
      </c>
      <c r="AS261" s="452"/>
      <c r="AT261" s="450"/>
      <c r="AU261" s="451"/>
      <c r="AV261" s="453">
        <f t="shared" si="495"/>
        <v>0</v>
      </c>
      <c r="AW261" s="452"/>
      <c r="AX261" s="636">
        <f t="shared" si="496"/>
        <v>3059.8878493299999</v>
      </c>
      <c r="AY261" s="447">
        <f t="shared" si="481"/>
        <v>391.66078216</v>
      </c>
      <c r="AZ261" s="447">
        <f t="shared" si="482"/>
        <v>3451.5486314899995</v>
      </c>
      <c r="BA261" s="1240">
        <f t="shared" si="483"/>
        <v>1183.1874581500001</v>
      </c>
      <c r="BB261" s="826">
        <f t="shared" si="497"/>
        <v>4634.7360896399996</v>
      </c>
      <c r="BD261" s="446">
        <f t="shared" si="498"/>
        <v>661.68731481000009</v>
      </c>
      <c r="BE261" s="446">
        <f t="shared" si="499"/>
        <v>46.552584160000002</v>
      </c>
      <c r="BF261" s="446">
        <f t="shared" si="500"/>
        <v>708.23989897000013</v>
      </c>
      <c r="BG261" s="446">
        <f t="shared" si="501"/>
        <v>155.84604702999999</v>
      </c>
    </row>
    <row r="262" spans="1:60">
      <c r="A262" s="397" t="s">
        <v>3</v>
      </c>
      <c r="B262" s="438">
        <v>193.92864283000003</v>
      </c>
      <c r="C262" s="439">
        <v>36.79675787</v>
      </c>
      <c r="D262" s="440">
        <f t="shared" si="484"/>
        <v>230.72540070000002</v>
      </c>
      <c r="E262" s="441">
        <v>112.57107915</v>
      </c>
      <c r="F262" s="438">
        <v>198.79949620000005</v>
      </c>
      <c r="G262" s="439">
        <v>21.974862309999999</v>
      </c>
      <c r="H262" s="440">
        <f t="shared" si="485"/>
        <v>220.77435851000004</v>
      </c>
      <c r="I262" s="441">
        <v>107.39106206999998</v>
      </c>
      <c r="J262" s="438">
        <v>160.12629956999999</v>
      </c>
      <c r="K262" s="439">
        <v>62.919121600000011</v>
      </c>
      <c r="L262" s="440">
        <f t="shared" si="486"/>
        <v>223.04542117</v>
      </c>
      <c r="M262" s="441">
        <v>133.61980170000001</v>
      </c>
      <c r="N262" s="438">
        <v>213.29037249999993</v>
      </c>
      <c r="O262" s="439">
        <v>29.401949269999999</v>
      </c>
      <c r="P262" s="440">
        <f t="shared" si="487"/>
        <v>242.69232176999992</v>
      </c>
      <c r="Q262" s="441">
        <v>105.03129000000001</v>
      </c>
      <c r="R262" s="450">
        <v>233.73808650999999</v>
      </c>
      <c r="S262" s="451">
        <v>18.990495829999997</v>
      </c>
      <c r="T262" s="453">
        <f t="shared" si="488"/>
        <v>252.72858233999997</v>
      </c>
      <c r="U262" s="452">
        <v>111.96670476999998</v>
      </c>
      <c r="V262" s="450">
        <v>191.07062687000001</v>
      </c>
      <c r="W262" s="451">
        <v>51.496756220000002</v>
      </c>
      <c r="X262" s="453">
        <f t="shared" si="489"/>
        <v>242.56738309000002</v>
      </c>
      <c r="Y262" s="452">
        <v>113.04296664</v>
      </c>
      <c r="Z262" s="450">
        <v>285.34231833999996</v>
      </c>
      <c r="AA262" s="451">
        <v>30.718046380000001</v>
      </c>
      <c r="AB262" s="453">
        <f t="shared" si="490"/>
        <v>316.06036471999994</v>
      </c>
      <c r="AC262" s="452">
        <v>136.06002006999998</v>
      </c>
      <c r="AD262" s="450">
        <v>349.94015983000003</v>
      </c>
      <c r="AE262" s="451">
        <v>23.062011060000003</v>
      </c>
      <c r="AF262" s="453">
        <f t="shared" si="491"/>
        <v>373.00217089</v>
      </c>
      <c r="AG262" s="452">
        <v>136.2776523</v>
      </c>
      <c r="AH262" s="450"/>
      <c r="AI262" s="451"/>
      <c r="AJ262" s="453">
        <f t="shared" si="492"/>
        <v>0</v>
      </c>
      <c r="AK262" s="452"/>
      <c r="AL262" s="450"/>
      <c r="AM262" s="451"/>
      <c r="AN262" s="453">
        <f t="shared" si="493"/>
        <v>0</v>
      </c>
      <c r="AO262" s="452"/>
      <c r="AP262" s="438"/>
      <c r="AQ262" s="451"/>
      <c r="AR262" s="453">
        <f t="shared" si="494"/>
        <v>0</v>
      </c>
      <c r="AS262" s="452"/>
      <c r="AT262" s="450"/>
      <c r="AU262" s="451"/>
      <c r="AV262" s="453">
        <f t="shared" si="495"/>
        <v>0</v>
      </c>
      <c r="AW262" s="452"/>
      <c r="AX262" s="636">
        <f t="shared" si="496"/>
        <v>1826.23600265</v>
      </c>
      <c r="AY262" s="447">
        <f t="shared" si="481"/>
        <v>275.36000053999999</v>
      </c>
      <c r="AZ262" s="447">
        <f t="shared" si="482"/>
        <v>2101.5960031899999</v>
      </c>
      <c r="BA262" s="1240">
        <f t="shared" si="483"/>
        <v>955.96057669999993</v>
      </c>
      <c r="BB262" s="826">
        <f t="shared" si="497"/>
        <v>3057.5565798899997</v>
      </c>
      <c r="BD262" s="446">
        <f t="shared" si="498"/>
        <v>349.94015983000003</v>
      </c>
      <c r="BE262" s="446">
        <f t="shared" si="499"/>
        <v>23.062011060000003</v>
      </c>
      <c r="BF262" s="446">
        <f t="shared" si="500"/>
        <v>373.00217089</v>
      </c>
      <c r="BG262" s="446">
        <f t="shared" si="501"/>
        <v>136.2776523</v>
      </c>
    </row>
    <row r="263" spans="1:60">
      <c r="A263" s="397" t="s">
        <v>397</v>
      </c>
      <c r="B263" s="438">
        <v>212.92994253999998</v>
      </c>
      <c r="C263" s="439">
        <v>34.584270429999997</v>
      </c>
      <c r="D263" s="440">
        <f t="shared" si="484"/>
        <v>247.51421296999999</v>
      </c>
      <c r="E263" s="441">
        <v>74.899691590000003</v>
      </c>
      <c r="F263" s="438">
        <v>202.76823622999999</v>
      </c>
      <c r="G263" s="439">
        <v>36.174285740000002</v>
      </c>
      <c r="H263" s="440">
        <f t="shared" si="485"/>
        <v>238.94252196999997</v>
      </c>
      <c r="I263" s="441">
        <v>65.005525810000009</v>
      </c>
      <c r="J263" s="438">
        <v>206.33889263</v>
      </c>
      <c r="K263" s="439">
        <v>40.482590760000001</v>
      </c>
      <c r="L263" s="440">
        <f t="shared" si="486"/>
        <v>246.82148339</v>
      </c>
      <c r="M263" s="441">
        <v>92.700950239999997</v>
      </c>
      <c r="N263" s="438">
        <v>214.14787357000003</v>
      </c>
      <c r="O263" s="439">
        <v>36.705940080000005</v>
      </c>
      <c r="P263" s="440">
        <f t="shared" si="487"/>
        <v>250.85381365000003</v>
      </c>
      <c r="Q263" s="441">
        <v>62.858552870000089</v>
      </c>
      <c r="R263" s="450">
        <v>179.71940482000002</v>
      </c>
      <c r="S263" s="451">
        <v>30.308912540000001</v>
      </c>
      <c r="T263" s="453">
        <f t="shared" si="488"/>
        <v>210.02831736000002</v>
      </c>
      <c r="U263" s="452">
        <v>95.050794319999994</v>
      </c>
      <c r="V263" s="450">
        <v>188.96296912</v>
      </c>
      <c r="W263" s="451">
        <v>29.015031010000001</v>
      </c>
      <c r="X263" s="453">
        <f t="shared" si="489"/>
        <v>217.97800013</v>
      </c>
      <c r="Y263" s="452">
        <v>93.643737959999996</v>
      </c>
      <c r="Z263" s="450">
        <v>298.02420224000639</v>
      </c>
      <c r="AA263" s="451">
        <v>32.242255040000032</v>
      </c>
      <c r="AB263" s="453">
        <f t="shared" si="490"/>
        <v>330.26645728000642</v>
      </c>
      <c r="AC263" s="452">
        <v>102.28761390000001</v>
      </c>
      <c r="AD263" s="450">
        <v>305.91903150000002</v>
      </c>
      <c r="AE263" s="451">
        <v>41.964590399999999</v>
      </c>
      <c r="AF263" s="453">
        <f t="shared" si="491"/>
        <v>347.88362190000004</v>
      </c>
      <c r="AG263" s="452">
        <v>111.76277162</v>
      </c>
      <c r="AH263" s="450"/>
      <c r="AI263" s="451"/>
      <c r="AJ263" s="453">
        <f t="shared" si="492"/>
        <v>0</v>
      </c>
      <c r="AK263" s="452"/>
      <c r="AL263" s="450"/>
      <c r="AM263" s="451"/>
      <c r="AN263" s="453">
        <f t="shared" si="493"/>
        <v>0</v>
      </c>
      <c r="AO263" s="452"/>
      <c r="AP263" s="438"/>
      <c r="AQ263" s="451"/>
      <c r="AR263" s="453">
        <f t="shared" si="494"/>
        <v>0</v>
      </c>
      <c r="AS263" s="452"/>
      <c r="AT263" s="450"/>
      <c r="AU263" s="451"/>
      <c r="AV263" s="453">
        <f t="shared" si="495"/>
        <v>0</v>
      </c>
      <c r="AW263" s="452"/>
      <c r="AX263" s="636">
        <f t="shared" si="496"/>
        <v>1808.8105526500065</v>
      </c>
      <c r="AY263" s="447">
        <f t="shared" si="481"/>
        <v>281.47787600000004</v>
      </c>
      <c r="AZ263" s="447">
        <f t="shared" si="482"/>
        <v>2090.2884286500066</v>
      </c>
      <c r="BA263" s="1240">
        <f t="shared" si="483"/>
        <v>698.20963831000017</v>
      </c>
      <c r="BB263" s="826">
        <f t="shared" si="497"/>
        <v>2788.4980669600068</v>
      </c>
      <c r="BD263" s="446">
        <f t="shared" si="498"/>
        <v>305.91903150000002</v>
      </c>
      <c r="BE263" s="446">
        <f t="shared" si="499"/>
        <v>41.964590399999999</v>
      </c>
      <c r="BF263" s="446">
        <f t="shared" si="500"/>
        <v>347.88362190000004</v>
      </c>
      <c r="BG263" s="446">
        <f t="shared" si="501"/>
        <v>111.76277162</v>
      </c>
    </row>
    <row r="264" spans="1:60">
      <c r="A264" s="397" t="s">
        <v>399</v>
      </c>
      <c r="B264" s="438">
        <v>367.36423330999992</v>
      </c>
      <c r="C264" s="439">
        <v>7.0909041300000002</v>
      </c>
      <c r="D264" s="440">
        <f t="shared" si="484"/>
        <v>374.45513743999993</v>
      </c>
      <c r="E264" s="441">
        <v>198.0553257</v>
      </c>
      <c r="F264" s="438">
        <v>318.17667601000005</v>
      </c>
      <c r="G264" s="439">
        <v>16.580708530000003</v>
      </c>
      <c r="H264" s="440">
        <f t="shared" si="485"/>
        <v>334.75738454000003</v>
      </c>
      <c r="I264" s="441">
        <v>185.56887868000001</v>
      </c>
      <c r="J264" s="438">
        <v>255.69268702000005</v>
      </c>
      <c r="K264" s="439">
        <v>115.46870343000001</v>
      </c>
      <c r="L264" s="440">
        <f t="shared" si="486"/>
        <v>371.16139045000006</v>
      </c>
      <c r="M264" s="441">
        <v>247.75193783</v>
      </c>
      <c r="N264" s="438">
        <v>334.11363061000009</v>
      </c>
      <c r="O264" s="439">
        <v>7.6226462599999998</v>
      </c>
      <c r="P264" s="440">
        <f t="shared" si="487"/>
        <v>341.7362768700001</v>
      </c>
      <c r="Q264" s="441">
        <v>229.75591130000001</v>
      </c>
      <c r="R264" s="450">
        <v>253.63980784999998</v>
      </c>
      <c r="S264" s="451">
        <v>14.757510960000001</v>
      </c>
      <c r="T264" s="453">
        <f t="shared" si="488"/>
        <v>268.39731881</v>
      </c>
      <c r="U264" s="452">
        <v>240.94959319999998</v>
      </c>
      <c r="V264" s="450">
        <v>247.60247225999998</v>
      </c>
      <c r="W264" s="451">
        <v>96.243467790000011</v>
      </c>
      <c r="X264" s="453">
        <f t="shared" si="489"/>
        <v>343.84594004999997</v>
      </c>
      <c r="Y264" s="452">
        <v>236.83791630000002</v>
      </c>
      <c r="Z264" s="450">
        <v>472.28291674000002</v>
      </c>
      <c r="AA264" s="451">
        <v>7.8867539800000008</v>
      </c>
      <c r="AB264" s="453">
        <f t="shared" si="490"/>
        <v>480.16967072</v>
      </c>
      <c r="AC264" s="452">
        <v>268.19706930000001</v>
      </c>
      <c r="AD264" s="450">
        <v>532.16002354000011</v>
      </c>
      <c r="AE264" s="451">
        <v>16.840538649999999</v>
      </c>
      <c r="AF264" s="453">
        <f t="shared" si="491"/>
        <v>549.0005621900001</v>
      </c>
      <c r="AG264" s="452">
        <v>271.85024179999999</v>
      </c>
      <c r="AH264" s="450"/>
      <c r="AI264" s="451"/>
      <c r="AJ264" s="453">
        <f t="shared" si="492"/>
        <v>0</v>
      </c>
      <c r="AK264" s="452"/>
      <c r="AL264" s="450"/>
      <c r="AM264" s="451"/>
      <c r="AN264" s="453">
        <f t="shared" si="493"/>
        <v>0</v>
      </c>
      <c r="AO264" s="452"/>
      <c r="AP264" s="438"/>
      <c r="AQ264" s="451"/>
      <c r="AR264" s="453">
        <f t="shared" si="494"/>
        <v>0</v>
      </c>
      <c r="AS264" s="452"/>
      <c r="AT264" s="450"/>
      <c r="AU264" s="451"/>
      <c r="AV264" s="453">
        <f t="shared" si="495"/>
        <v>0</v>
      </c>
      <c r="AW264" s="452"/>
      <c r="AX264" s="636">
        <f t="shared" si="496"/>
        <v>2781.0324473400005</v>
      </c>
      <c r="AY264" s="447">
        <f t="shared" si="481"/>
        <v>282.49123372999998</v>
      </c>
      <c r="AZ264" s="447">
        <f t="shared" si="482"/>
        <v>3063.5236810699998</v>
      </c>
      <c r="BA264" s="1240">
        <f t="shared" si="483"/>
        <v>1878.9668741099999</v>
      </c>
      <c r="BB264" s="826">
        <f t="shared" si="497"/>
        <v>4942.4905551800002</v>
      </c>
      <c r="BD264" s="446">
        <f t="shared" si="498"/>
        <v>532.16002354000011</v>
      </c>
      <c r="BE264" s="446">
        <f t="shared" si="499"/>
        <v>16.840538649999999</v>
      </c>
      <c r="BF264" s="446">
        <f t="shared" si="500"/>
        <v>549.0005621900001</v>
      </c>
      <c r="BG264" s="446">
        <f t="shared" si="501"/>
        <v>271.85024179999999</v>
      </c>
    </row>
    <row r="265" spans="1:60">
      <c r="A265" s="397" t="s">
        <v>883</v>
      </c>
      <c r="B265" s="438">
        <v>193.34031848000001</v>
      </c>
      <c r="C265" s="439">
        <v>40.190846619999995</v>
      </c>
      <c r="D265" s="440">
        <f t="shared" si="484"/>
        <v>233.53116510000001</v>
      </c>
      <c r="E265" s="441">
        <v>107.00535065</v>
      </c>
      <c r="F265" s="438">
        <v>174.69314072</v>
      </c>
      <c r="G265" s="439">
        <v>50.856705829999996</v>
      </c>
      <c r="H265" s="440">
        <f t="shared" si="485"/>
        <v>225.54984654999998</v>
      </c>
      <c r="I265" s="441">
        <v>92.163534619999979</v>
      </c>
      <c r="J265" s="438">
        <v>112.83140048</v>
      </c>
      <c r="K265" s="439">
        <v>41.572726210000006</v>
      </c>
      <c r="L265" s="440">
        <f t="shared" si="486"/>
        <v>154.40412669</v>
      </c>
      <c r="M265" s="441">
        <v>105.79000732999998</v>
      </c>
      <c r="N265" s="438">
        <v>325.85198747003</v>
      </c>
      <c r="O265" s="439">
        <v>46.904744219999891</v>
      </c>
      <c r="P265" s="440">
        <f t="shared" si="487"/>
        <v>372.75673169002988</v>
      </c>
      <c r="Q265" s="441">
        <v>128.77322640999989</v>
      </c>
      <c r="R265" s="450">
        <v>175.04683007000003</v>
      </c>
      <c r="S265" s="451">
        <v>42.082840620000006</v>
      </c>
      <c r="T265" s="453">
        <f t="shared" si="488"/>
        <v>217.12967069000004</v>
      </c>
      <c r="U265" s="452">
        <v>108.28947182999998</v>
      </c>
      <c r="V265" s="450">
        <v>160.53425211999999</v>
      </c>
      <c r="W265" s="451">
        <v>42.133447830000001</v>
      </c>
      <c r="X265" s="453">
        <f t="shared" si="489"/>
        <v>202.66769994999999</v>
      </c>
      <c r="Y265" s="452">
        <v>114.36181969999998</v>
      </c>
      <c r="Z265" s="450">
        <v>486.61519371000003</v>
      </c>
      <c r="AA265" s="451">
        <v>45.303296170000003</v>
      </c>
      <c r="AB265" s="453">
        <f t="shared" si="490"/>
        <v>531.91848988000004</v>
      </c>
      <c r="AC265" s="452">
        <v>169.80875519999998</v>
      </c>
      <c r="AD265" s="450">
        <v>469.62209185</v>
      </c>
      <c r="AE265" s="451">
        <v>51.936436790000002</v>
      </c>
      <c r="AF265" s="453">
        <f t="shared" si="491"/>
        <v>521.55852863999996</v>
      </c>
      <c r="AG265" s="452">
        <v>162.618089</v>
      </c>
      <c r="AH265" s="450"/>
      <c r="AI265" s="451"/>
      <c r="AJ265" s="453">
        <f t="shared" si="492"/>
        <v>0</v>
      </c>
      <c r="AK265" s="452"/>
      <c r="AL265" s="450"/>
      <c r="AM265" s="451"/>
      <c r="AN265" s="453">
        <f t="shared" si="493"/>
        <v>0</v>
      </c>
      <c r="AO265" s="452"/>
      <c r="AP265" s="438"/>
      <c r="AQ265" s="451"/>
      <c r="AR265" s="453">
        <f t="shared" si="494"/>
        <v>0</v>
      </c>
      <c r="AS265" s="452"/>
      <c r="AT265" s="450"/>
      <c r="AU265" s="451"/>
      <c r="AV265" s="453">
        <f t="shared" si="495"/>
        <v>0</v>
      </c>
      <c r="AW265" s="452"/>
      <c r="AX265" s="636">
        <f t="shared" si="496"/>
        <v>2098.53521490003</v>
      </c>
      <c r="AY265" s="447">
        <f t="shared" si="481"/>
        <v>360.98104428999994</v>
      </c>
      <c r="AZ265" s="447">
        <f t="shared" si="482"/>
        <v>2459.5162591900303</v>
      </c>
      <c r="BA265" s="1240">
        <f t="shared" si="483"/>
        <v>988.81025473999966</v>
      </c>
      <c r="BB265" s="826">
        <f t="shared" si="497"/>
        <v>3448.3265139300302</v>
      </c>
      <c r="BD265" s="446">
        <f t="shared" si="498"/>
        <v>469.62209185</v>
      </c>
      <c r="BE265" s="446">
        <f t="shared" si="499"/>
        <v>51.936436790000002</v>
      </c>
      <c r="BF265" s="446">
        <f t="shared" si="500"/>
        <v>521.55852863999996</v>
      </c>
      <c r="BG265" s="446">
        <f t="shared" si="501"/>
        <v>162.618089</v>
      </c>
    </row>
    <row r="266" spans="1:60">
      <c r="A266" s="397" t="s">
        <v>884</v>
      </c>
      <c r="B266" s="438">
        <v>228.29821836999963</v>
      </c>
      <c r="C266" s="439">
        <v>39.790474500000002</v>
      </c>
      <c r="D266" s="440">
        <f t="shared" si="484"/>
        <v>268.08869286999965</v>
      </c>
      <c r="E266" s="441">
        <v>102.77583</v>
      </c>
      <c r="F266" s="438">
        <v>230.00533128000012</v>
      </c>
      <c r="G266" s="439">
        <v>50.822464480000001</v>
      </c>
      <c r="H266" s="440">
        <f t="shared" si="485"/>
        <v>280.82779576000013</v>
      </c>
      <c r="I266" s="441">
        <v>93.064258370000005</v>
      </c>
      <c r="J266" s="438">
        <v>175.89164639999973</v>
      </c>
      <c r="K266" s="439">
        <v>59.625973059999986</v>
      </c>
      <c r="L266" s="440">
        <f t="shared" si="486"/>
        <v>235.51761945999971</v>
      </c>
      <c r="M266" s="441">
        <v>98.627254859999994</v>
      </c>
      <c r="N266" s="438">
        <v>204.11104195999968</v>
      </c>
      <c r="O266" s="439">
        <v>37.242203949999997</v>
      </c>
      <c r="P266" s="440">
        <f t="shared" si="487"/>
        <v>241.35324590999969</v>
      </c>
      <c r="Q266" s="441">
        <v>72.87273734</v>
      </c>
      <c r="R266" s="450">
        <v>224.63099141000004</v>
      </c>
      <c r="S266" s="451">
        <v>42.795125649999996</v>
      </c>
      <c r="T266" s="453">
        <f t="shared" si="488"/>
        <v>267.42611706000002</v>
      </c>
      <c r="U266" s="452">
        <v>106.1910498</v>
      </c>
      <c r="V266" s="450">
        <v>196.03134351000003</v>
      </c>
      <c r="W266" s="451">
        <v>49.774760880000002</v>
      </c>
      <c r="X266" s="453">
        <f t="shared" si="489"/>
        <v>245.80610439000003</v>
      </c>
      <c r="Y266" s="452">
        <v>113.9624168</v>
      </c>
      <c r="Z266" s="450">
        <v>488.62508616999997</v>
      </c>
      <c r="AA266" s="451">
        <v>48.694920809999999</v>
      </c>
      <c r="AB266" s="453">
        <f t="shared" si="490"/>
        <v>537.32000698000002</v>
      </c>
      <c r="AC266" s="452">
        <v>145.17407800000001</v>
      </c>
      <c r="AD266" s="450">
        <v>627.86548839999989</v>
      </c>
      <c r="AE266" s="451">
        <v>58.920622879999996</v>
      </c>
      <c r="AF266" s="453">
        <f t="shared" si="491"/>
        <v>686.78611127999989</v>
      </c>
      <c r="AG266" s="452">
        <v>130.58095740000002</v>
      </c>
      <c r="AH266" s="450"/>
      <c r="AI266" s="451"/>
      <c r="AJ266" s="453">
        <f t="shared" si="492"/>
        <v>0</v>
      </c>
      <c r="AK266" s="452"/>
      <c r="AL266" s="450"/>
      <c r="AM266" s="451"/>
      <c r="AN266" s="453">
        <f t="shared" si="493"/>
        <v>0</v>
      </c>
      <c r="AO266" s="452"/>
      <c r="AP266" s="438"/>
      <c r="AQ266" s="451"/>
      <c r="AR266" s="453">
        <f t="shared" si="494"/>
        <v>0</v>
      </c>
      <c r="AS266" s="452"/>
      <c r="AT266" s="450"/>
      <c r="AU266" s="451"/>
      <c r="AV266" s="453">
        <f t="shared" si="495"/>
        <v>0</v>
      </c>
      <c r="AW266" s="452"/>
      <c r="AX266" s="636">
        <f t="shared" si="496"/>
        <v>2375.4591474999988</v>
      </c>
      <c r="AY266" s="447">
        <f t="shared" si="481"/>
        <v>387.66654620999998</v>
      </c>
      <c r="AZ266" s="2036">
        <f t="shared" si="482"/>
        <v>2763.1256937099988</v>
      </c>
      <c r="BA266" s="1240">
        <f t="shared" si="483"/>
        <v>863.24858257000005</v>
      </c>
      <c r="BB266" s="826">
        <f t="shared" si="497"/>
        <v>3626.3742762799989</v>
      </c>
      <c r="BD266" s="446">
        <f t="shared" si="498"/>
        <v>627.86548839999989</v>
      </c>
      <c r="BE266" s="446">
        <f t="shared" si="499"/>
        <v>58.920622879999996</v>
      </c>
      <c r="BF266" s="446">
        <f t="shared" si="500"/>
        <v>686.78611127999989</v>
      </c>
      <c r="BG266" s="446">
        <f t="shared" si="501"/>
        <v>130.58095740000002</v>
      </c>
    </row>
    <row r="267" spans="1:60" ht="14.4" thickBot="1">
      <c r="A267" s="397" t="s">
        <v>885</v>
      </c>
      <c r="B267" s="462">
        <v>46.964151559999998</v>
      </c>
      <c r="C267" s="463">
        <v>16.700345639999998</v>
      </c>
      <c r="D267" s="440">
        <f t="shared" si="484"/>
        <v>63.6644972</v>
      </c>
      <c r="E267" s="464">
        <v>24.367311670000003</v>
      </c>
      <c r="F267" s="462">
        <v>51.277522409999996</v>
      </c>
      <c r="G267" s="463">
        <v>22.547297159999996</v>
      </c>
      <c r="H267" s="440">
        <f t="shared" si="485"/>
        <v>73.824819569999988</v>
      </c>
      <c r="I267" s="464">
        <v>23.30179605</v>
      </c>
      <c r="J267" s="438">
        <v>34.780540120000005</v>
      </c>
      <c r="K267" s="463">
        <v>22.127856179999998</v>
      </c>
      <c r="L267" s="440">
        <f t="shared" si="486"/>
        <v>56.908396300000007</v>
      </c>
      <c r="M267" s="464">
        <v>23.677362379999998</v>
      </c>
      <c r="N267" s="438">
        <v>54.3196747</v>
      </c>
      <c r="O267" s="439">
        <v>16.28933602</v>
      </c>
      <c r="P267" s="440">
        <f t="shared" si="487"/>
        <v>70.609010720000001</v>
      </c>
      <c r="Q267" s="464">
        <v>22.176423810000003</v>
      </c>
      <c r="R267" s="827">
        <v>45.849257600000008</v>
      </c>
      <c r="S267" s="828">
        <v>15.804197390000002</v>
      </c>
      <c r="T267" s="453">
        <f t="shared" si="488"/>
        <v>61.653454990000014</v>
      </c>
      <c r="U267" s="829">
        <v>23.887806609999998</v>
      </c>
      <c r="V267" s="827">
        <v>31.759454569999999</v>
      </c>
      <c r="W267" s="828">
        <v>15.553368390000001</v>
      </c>
      <c r="X267" s="453">
        <f t="shared" si="489"/>
        <v>47.312822959999998</v>
      </c>
      <c r="Y267" s="829">
        <v>22.535708939999999</v>
      </c>
      <c r="Z267" s="827">
        <v>83.132669910000018</v>
      </c>
      <c r="AA267" s="828">
        <v>14.665689249999998</v>
      </c>
      <c r="AB267" s="453">
        <f t="shared" si="490"/>
        <v>97.798359160000018</v>
      </c>
      <c r="AC267" s="829">
        <v>24.708632039999998</v>
      </c>
      <c r="AD267" s="827">
        <v>92.025483359999996</v>
      </c>
      <c r="AE267" s="828">
        <v>16.895985960000001</v>
      </c>
      <c r="AF267" s="453">
        <f t="shared" si="491"/>
        <v>108.92146932</v>
      </c>
      <c r="AG267" s="829">
        <v>23.504567570000003</v>
      </c>
      <c r="AH267" s="827"/>
      <c r="AI267" s="828"/>
      <c r="AJ267" s="453">
        <f t="shared" si="492"/>
        <v>0</v>
      </c>
      <c r="AK267" s="829"/>
      <c r="AL267" s="827"/>
      <c r="AM267" s="828"/>
      <c r="AN267" s="453">
        <f t="shared" si="493"/>
        <v>0</v>
      </c>
      <c r="AO267" s="829"/>
      <c r="AP267" s="462"/>
      <c r="AQ267" s="828"/>
      <c r="AR267" s="453">
        <f t="shared" si="494"/>
        <v>0</v>
      </c>
      <c r="AS267" s="829"/>
      <c r="AT267" s="827"/>
      <c r="AU267" s="828"/>
      <c r="AV267" s="453">
        <f t="shared" si="495"/>
        <v>0</v>
      </c>
      <c r="AW267" s="829"/>
      <c r="AX267" s="636">
        <f t="shared" si="496"/>
        <v>440.10875423000005</v>
      </c>
      <c r="AY267" s="447">
        <f t="shared" si="481"/>
        <v>140.58407598999997</v>
      </c>
      <c r="AZ267" s="447">
        <f t="shared" si="482"/>
        <v>580.69283022000002</v>
      </c>
      <c r="BA267" s="1240">
        <f t="shared" si="483"/>
        <v>188.15960907000002</v>
      </c>
      <c r="BB267" s="826">
        <f t="shared" si="497"/>
        <v>768.85243929000001</v>
      </c>
      <c r="BD267" s="446">
        <f t="shared" si="498"/>
        <v>92.025483359999996</v>
      </c>
      <c r="BE267" s="446">
        <f t="shared" si="499"/>
        <v>16.895985960000001</v>
      </c>
      <c r="BF267" s="446">
        <f t="shared" si="500"/>
        <v>108.92146932</v>
      </c>
      <c r="BG267" s="446">
        <f t="shared" si="501"/>
        <v>23.504567570000003</v>
      </c>
    </row>
    <row r="268" spans="1:60" ht="14.4" thickBot="1">
      <c r="A268" s="433" t="s">
        <v>16</v>
      </c>
      <c r="B268" s="455">
        <f t="shared" ref="B268:AG268" si="502">SUM(B258:B267)</f>
        <v>2288.4237440999996</v>
      </c>
      <c r="C268" s="456">
        <f t="shared" si="502"/>
        <v>316.94387083000004</v>
      </c>
      <c r="D268" s="456">
        <f t="shared" si="502"/>
        <v>2605.3676149299999</v>
      </c>
      <c r="E268" s="457">
        <f t="shared" si="502"/>
        <v>1202.644143</v>
      </c>
      <c r="F268" s="455">
        <f t="shared" si="502"/>
        <v>2246.6416890400001</v>
      </c>
      <c r="G268" s="456">
        <f t="shared" si="502"/>
        <v>352.72572779999996</v>
      </c>
      <c r="H268" s="456">
        <f t="shared" si="502"/>
        <v>2599.3674168400003</v>
      </c>
      <c r="I268" s="457">
        <f t="shared" si="502"/>
        <v>1151.56058078</v>
      </c>
      <c r="J268" s="455">
        <f t="shared" si="502"/>
        <v>1917.4441839199924</v>
      </c>
      <c r="K268" s="456">
        <f t="shared" si="502"/>
        <v>630.79460901000004</v>
      </c>
      <c r="L268" s="456">
        <f t="shared" si="502"/>
        <v>2548.2387929299925</v>
      </c>
      <c r="M268" s="457">
        <f t="shared" si="502"/>
        <v>1320.70510788</v>
      </c>
      <c r="N268" s="455">
        <f t="shared" si="502"/>
        <v>2415.1930770000299</v>
      </c>
      <c r="O268" s="456">
        <f t="shared" si="502"/>
        <v>317.27589352999991</v>
      </c>
      <c r="P268" s="2719">
        <f t="shared" si="502"/>
        <v>2732.4689705300293</v>
      </c>
      <c r="Q268" s="2043">
        <f t="shared" si="502"/>
        <v>1183.7436061199999</v>
      </c>
      <c r="R268" s="458">
        <f t="shared" si="502"/>
        <v>2102.3689097299998</v>
      </c>
      <c r="S268" s="477">
        <f t="shared" si="502"/>
        <v>302.53724691999997</v>
      </c>
      <c r="T268" s="477">
        <f t="shared" si="502"/>
        <v>2404.9061566500009</v>
      </c>
      <c r="U268" s="499">
        <f t="shared" si="502"/>
        <v>1296.6011024900001</v>
      </c>
      <c r="V268" s="458">
        <f t="shared" si="502"/>
        <v>1981.2122567199999</v>
      </c>
      <c r="W268" s="477">
        <f t="shared" si="502"/>
        <v>513.6937720599999</v>
      </c>
      <c r="X268" s="477">
        <f t="shared" si="502"/>
        <v>2494.9060287800007</v>
      </c>
      <c r="Y268" s="499">
        <f t="shared" si="502"/>
        <v>1306.6368703200001</v>
      </c>
      <c r="Z268" s="458">
        <f t="shared" si="502"/>
        <v>3922.1279750000058</v>
      </c>
      <c r="AA268" s="477">
        <f t="shared" si="502"/>
        <v>311.47590929000006</v>
      </c>
      <c r="AB268" s="477">
        <f t="shared" si="502"/>
        <v>4233.6038842900052</v>
      </c>
      <c r="AC268" s="499">
        <f t="shared" si="502"/>
        <v>1595.5844231299998</v>
      </c>
      <c r="AD268" s="458">
        <f t="shared" si="502"/>
        <v>4642.7621538600006</v>
      </c>
      <c r="AE268" s="477">
        <f t="shared" si="502"/>
        <v>365.74245807000005</v>
      </c>
      <c r="AF268" s="477">
        <f t="shared" si="502"/>
        <v>5008.5046119300005</v>
      </c>
      <c r="AG268" s="499">
        <f t="shared" si="502"/>
        <v>1512.7852057200002</v>
      </c>
      <c r="AH268" s="458">
        <f t="shared" ref="AH268:BB268" si="503">SUM(AH258:AH267)</f>
        <v>0</v>
      </c>
      <c r="AI268" s="477">
        <f t="shared" si="503"/>
        <v>0</v>
      </c>
      <c r="AJ268" s="477">
        <f t="shared" si="503"/>
        <v>0</v>
      </c>
      <c r="AK268" s="499">
        <f t="shared" si="503"/>
        <v>0</v>
      </c>
      <c r="AL268" s="458">
        <f t="shared" si="503"/>
        <v>0</v>
      </c>
      <c r="AM268" s="477">
        <f t="shared" si="503"/>
        <v>0</v>
      </c>
      <c r="AN268" s="477">
        <f t="shared" si="503"/>
        <v>0</v>
      </c>
      <c r="AO268" s="499">
        <f t="shared" si="503"/>
        <v>0</v>
      </c>
      <c r="AP268" s="1109">
        <f t="shared" si="503"/>
        <v>0</v>
      </c>
      <c r="AQ268" s="477">
        <f t="shared" si="503"/>
        <v>0</v>
      </c>
      <c r="AR268" s="477">
        <f t="shared" si="503"/>
        <v>0</v>
      </c>
      <c r="AS268" s="499">
        <f t="shared" si="503"/>
        <v>0</v>
      </c>
      <c r="AT268" s="458">
        <f t="shared" si="503"/>
        <v>0</v>
      </c>
      <c r="AU268" s="477">
        <f t="shared" si="503"/>
        <v>0</v>
      </c>
      <c r="AV268" s="477">
        <f t="shared" si="503"/>
        <v>0</v>
      </c>
      <c r="AW268" s="499">
        <f t="shared" si="503"/>
        <v>0</v>
      </c>
      <c r="AX268" s="830">
        <f t="shared" si="503"/>
        <v>21516.173989370029</v>
      </c>
      <c r="AY268" s="478">
        <f t="shared" si="503"/>
        <v>3111.1894875099997</v>
      </c>
      <c r="AZ268" s="1048">
        <f t="shared" si="503"/>
        <v>24627.363476880029</v>
      </c>
      <c r="BA268" s="1048">
        <f t="shared" si="503"/>
        <v>10570.261039440002</v>
      </c>
      <c r="BB268" s="2718">
        <f t="shared" si="503"/>
        <v>35197.624516320029</v>
      </c>
      <c r="BC268" s="446"/>
      <c r="BD268" s="446">
        <f t="shared" si="498"/>
        <v>4642.7621538600006</v>
      </c>
      <c r="BE268" s="446">
        <f t="shared" si="499"/>
        <v>365.74245807000005</v>
      </c>
      <c r="BF268" s="446">
        <f t="shared" si="500"/>
        <v>5008.5046119300005</v>
      </c>
      <c r="BG268" s="446">
        <f t="shared" si="501"/>
        <v>1512.7852057200002</v>
      </c>
    </row>
    <row r="269" spans="1:60" ht="14.4">
      <c r="A269" s="487"/>
      <c r="B269" s="487"/>
      <c r="C269" s="487"/>
      <c r="D269" s="487"/>
      <c r="E269" s="487"/>
      <c r="F269" s="487"/>
      <c r="G269" s="487"/>
      <c r="H269" s="487"/>
      <c r="I269" s="487"/>
      <c r="J269" s="498"/>
      <c r="K269" s="487"/>
      <c r="L269" s="395"/>
      <c r="M269" s="395"/>
      <c r="N269" s="487"/>
      <c r="O269" s="487"/>
      <c r="P269" s="395"/>
      <c r="Q269" s="395"/>
      <c r="R269" s="487"/>
      <c r="S269" s="487"/>
      <c r="T269" s="497">
        <f>T268+gaz!T360</f>
        <v>3227.198159380001</v>
      </c>
      <c r="U269" s="497">
        <f>U268+gaz!U360</f>
        <v>1384.9684312100001</v>
      </c>
      <c r="V269" s="487"/>
      <c r="W269" s="487"/>
      <c r="X269" s="497">
        <f>X268+T268+P268</f>
        <v>7632.2811559600304</v>
      </c>
      <c r="Y269" s="497">
        <f>Y268+U268+Q268</f>
        <v>3786.9815789300001</v>
      </c>
      <c r="Z269" s="487"/>
      <c r="AA269" s="487"/>
      <c r="AB269" s="659">
        <f>AB268+AF268+AJ268</f>
        <v>9242.1084962200057</v>
      </c>
      <c r="AC269" s="659">
        <f>AC268+AG268+AK268</f>
        <v>3108.36962885</v>
      </c>
      <c r="AD269" s="487"/>
      <c r="AE269" s="487"/>
      <c r="AF269" s="487"/>
      <c r="AG269" s="487"/>
      <c r="AH269" s="487"/>
      <c r="AI269" s="487"/>
      <c r="AJ269" s="1243">
        <f>AJ268+AF268+AB268</f>
        <v>9242.1084962200057</v>
      </c>
      <c r="AK269" s="1243">
        <f>AK268+AG268+AC268</f>
        <v>3108.36962885</v>
      </c>
      <c r="AL269" s="487"/>
      <c r="AM269" s="487"/>
      <c r="AN269" s="487"/>
      <c r="AO269" s="487"/>
      <c r="AP269" s="1114">
        <v>258.51900645000001</v>
      </c>
      <c r="AQ269" s="487">
        <v>15.34125079</v>
      </c>
      <c r="AR269" s="487">
        <v>273.86025724000001</v>
      </c>
      <c r="AS269" s="487">
        <v>114.28988726999999</v>
      </c>
      <c r="AT269" s="487"/>
      <c r="AU269" s="487" t="s">
        <v>265</v>
      </c>
      <c r="AV269" s="446">
        <f>AV268+AR268+AN268</f>
        <v>0</v>
      </c>
      <c r="AW269" s="446"/>
      <c r="AX269" s="487"/>
      <c r="AY269" s="487"/>
      <c r="AZ269" s="659">
        <f>AZ268+gaz!AZ360</f>
        <v>33056.374665050025</v>
      </c>
      <c r="BA269" s="497">
        <f>BA268+gaz!BA360</f>
        <v>11406.676339560001</v>
      </c>
      <c r="BB269" s="659"/>
      <c r="BF269" s="445">
        <f>T269</f>
        <v>3227.198159380001</v>
      </c>
    </row>
    <row r="270" spans="1:60" ht="18.600000000000001" thickBot="1">
      <c r="A270" s="489">
        <f>A238</f>
        <v>2024</v>
      </c>
      <c r="B270" s="487"/>
      <c r="C270" s="487"/>
      <c r="D270" s="487"/>
      <c r="E270" s="487"/>
      <c r="F270" s="498"/>
      <c r="G270" s="498"/>
      <c r="H270" s="487"/>
      <c r="I270" s="498"/>
      <c r="J270" s="487"/>
      <c r="K270" s="471"/>
      <c r="L270" s="487"/>
      <c r="M270" s="487"/>
      <c r="N270" s="487"/>
      <c r="O270" s="487"/>
      <c r="P270" s="497"/>
      <c r="Q270" s="497"/>
      <c r="R270" s="487"/>
      <c r="S270" s="487"/>
      <c r="T270" s="487"/>
      <c r="U270" s="497">
        <f>U269+T269</f>
        <v>4612.1665905900009</v>
      </c>
      <c r="V270" s="487"/>
      <c r="W270" s="487"/>
      <c r="X270" s="487"/>
      <c r="Y270" s="487"/>
      <c r="Z270" s="487"/>
      <c r="AA270" s="487"/>
      <c r="AB270" s="487"/>
      <c r="AC270" s="487"/>
      <c r="AD270" s="487"/>
      <c r="AE270" s="487"/>
      <c r="AF270" s="487"/>
      <c r="AG270" s="487"/>
      <c r="AH270" s="487"/>
      <c r="AI270" s="487"/>
      <c r="AJ270" s="487"/>
      <c r="AK270" s="487"/>
      <c r="AL270" s="459"/>
      <c r="AM270" s="459"/>
      <c r="AN270" s="487"/>
      <c r="AO270" s="459"/>
      <c r="AP270" s="1114"/>
      <c r="AQ270" s="487"/>
      <c r="AR270" s="487"/>
      <c r="AS270" s="487"/>
      <c r="AT270" s="487"/>
      <c r="AU270" s="487" t="s">
        <v>266</v>
      </c>
      <c r="AV270" s="659">
        <f>AW268+AS268+AO268</f>
        <v>0</v>
      </c>
      <c r="AW270" s="487"/>
      <c r="AX270" s="659"/>
      <c r="AY270" s="659"/>
      <c r="AZ270" s="659"/>
      <c r="BA270" s="497">
        <f>BA269+AZ269</f>
        <v>44463.051004610024</v>
      </c>
      <c r="BB270" s="487"/>
    </row>
    <row r="271" spans="1:60">
      <c r="A271" s="2815" t="s">
        <v>308</v>
      </c>
      <c r="B271" s="2827" t="s">
        <v>71</v>
      </c>
      <c r="C271" s="2828"/>
      <c r="D271" s="2828"/>
      <c r="E271" s="3091"/>
      <c r="F271" s="2829" t="s">
        <v>72</v>
      </c>
      <c r="G271" s="2830"/>
      <c r="H271" s="2830"/>
      <c r="I271" s="3095"/>
      <c r="J271" s="2817" t="s">
        <v>73</v>
      </c>
      <c r="K271" s="2818"/>
      <c r="L271" s="2818"/>
      <c r="M271" s="3094"/>
      <c r="N271" s="2819" t="s">
        <v>74</v>
      </c>
      <c r="O271" s="2820"/>
      <c r="P271" s="2820"/>
      <c r="Q271" s="3090"/>
      <c r="R271" s="2821" t="s">
        <v>75</v>
      </c>
      <c r="S271" s="2822"/>
      <c r="T271" s="2822"/>
      <c r="U271" s="3093"/>
      <c r="V271" s="2823" t="s">
        <v>76</v>
      </c>
      <c r="W271" s="2824"/>
      <c r="X271" s="2824"/>
      <c r="Y271" s="3089"/>
      <c r="Z271" s="2827" t="s">
        <v>77</v>
      </c>
      <c r="AA271" s="2828"/>
      <c r="AB271" s="2828"/>
      <c r="AC271" s="3091"/>
      <c r="AD271" s="2829" t="s">
        <v>78</v>
      </c>
      <c r="AE271" s="2830"/>
      <c r="AF271" s="2830"/>
      <c r="AG271" s="3095"/>
      <c r="AH271" s="2817" t="s">
        <v>79</v>
      </c>
      <c r="AI271" s="2818"/>
      <c r="AJ271" s="2818"/>
      <c r="AK271" s="3094"/>
      <c r="AL271" s="2819" t="s">
        <v>80</v>
      </c>
      <c r="AM271" s="2820"/>
      <c r="AN271" s="2820"/>
      <c r="AO271" s="3090"/>
      <c r="AP271" s="2821" t="s">
        <v>81</v>
      </c>
      <c r="AQ271" s="2822"/>
      <c r="AR271" s="2822"/>
      <c r="AS271" s="3093"/>
      <c r="AT271" s="2823" t="s">
        <v>82</v>
      </c>
      <c r="AU271" s="2824"/>
      <c r="AV271" s="2824"/>
      <c r="AW271" s="3089"/>
      <c r="AX271" s="3097" t="s">
        <v>83</v>
      </c>
      <c r="AY271" s="3098"/>
      <c r="AZ271" s="3098"/>
      <c r="BA271" s="3098"/>
      <c r="BB271" s="3099"/>
    </row>
    <row r="272" spans="1:60" ht="14.4" thickBot="1">
      <c r="A272" s="2816"/>
      <c r="B272" s="402" t="s">
        <v>17</v>
      </c>
      <c r="C272" s="403" t="s">
        <v>18</v>
      </c>
      <c r="D272" s="403" t="s">
        <v>52</v>
      </c>
      <c r="E272" s="404" t="s">
        <v>19</v>
      </c>
      <c r="F272" s="402" t="s">
        <v>17</v>
      </c>
      <c r="G272" s="403" t="s">
        <v>18</v>
      </c>
      <c r="H272" s="403" t="s">
        <v>52</v>
      </c>
      <c r="I272" s="404" t="s">
        <v>19</v>
      </c>
      <c r="J272" s="402" t="s">
        <v>17</v>
      </c>
      <c r="K272" s="403" t="s">
        <v>18</v>
      </c>
      <c r="L272" s="403" t="s">
        <v>52</v>
      </c>
      <c r="M272" s="404" t="s">
        <v>19</v>
      </c>
      <c r="N272" s="402" t="s">
        <v>17</v>
      </c>
      <c r="O272" s="403" t="s">
        <v>18</v>
      </c>
      <c r="P272" s="403" t="s">
        <v>52</v>
      </c>
      <c r="Q272" s="404" t="s">
        <v>19</v>
      </c>
      <c r="R272" s="402" t="s">
        <v>17</v>
      </c>
      <c r="S272" s="403" t="s">
        <v>18</v>
      </c>
      <c r="T272" s="403" t="s">
        <v>52</v>
      </c>
      <c r="U272" s="404" t="s">
        <v>19</v>
      </c>
      <c r="V272" s="402" t="s">
        <v>17</v>
      </c>
      <c r="W272" s="403" t="s">
        <v>18</v>
      </c>
      <c r="X272" s="403" t="s">
        <v>52</v>
      </c>
      <c r="Y272" s="404" t="s">
        <v>19</v>
      </c>
      <c r="Z272" s="402" t="s">
        <v>17</v>
      </c>
      <c r="AA272" s="403" t="s">
        <v>18</v>
      </c>
      <c r="AB272" s="403" t="s">
        <v>52</v>
      </c>
      <c r="AC272" s="404" t="s">
        <v>19</v>
      </c>
      <c r="AD272" s="402" t="s">
        <v>17</v>
      </c>
      <c r="AE272" s="403" t="s">
        <v>18</v>
      </c>
      <c r="AF272" s="403" t="s">
        <v>52</v>
      </c>
      <c r="AG272" s="404" t="s">
        <v>19</v>
      </c>
      <c r="AH272" s="402" t="s">
        <v>17</v>
      </c>
      <c r="AI272" s="403" t="s">
        <v>18</v>
      </c>
      <c r="AJ272" s="403" t="s">
        <v>52</v>
      </c>
      <c r="AK272" s="404" t="s">
        <v>19</v>
      </c>
      <c r="AL272" s="402" t="s">
        <v>17</v>
      </c>
      <c r="AM272" s="403" t="s">
        <v>18</v>
      </c>
      <c r="AN272" s="403" t="s">
        <v>52</v>
      </c>
      <c r="AO272" s="404" t="s">
        <v>19</v>
      </c>
      <c r="AP272" s="1107" t="s">
        <v>17</v>
      </c>
      <c r="AQ272" s="403" t="s">
        <v>18</v>
      </c>
      <c r="AR272" s="403" t="s">
        <v>52</v>
      </c>
      <c r="AS272" s="404" t="s">
        <v>19</v>
      </c>
      <c r="AT272" s="402" t="s">
        <v>17</v>
      </c>
      <c r="AU272" s="403" t="s">
        <v>18</v>
      </c>
      <c r="AV272" s="403" t="s">
        <v>52</v>
      </c>
      <c r="AW272" s="404" t="s">
        <v>19</v>
      </c>
      <c r="AX272" s="403" t="s">
        <v>17</v>
      </c>
      <c r="AY272" s="403" t="s">
        <v>18</v>
      </c>
      <c r="AZ272" s="403" t="s">
        <v>52</v>
      </c>
      <c r="BA272" s="431" t="s">
        <v>19</v>
      </c>
      <c r="BB272" s="404" t="s">
        <v>160</v>
      </c>
      <c r="BD272" s="403" t="s">
        <v>17</v>
      </c>
      <c r="BE272" s="403" t="s">
        <v>18</v>
      </c>
      <c r="BF272" s="403" t="s">
        <v>52</v>
      </c>
      <c r="BG272" s="431" t="s">
        <v>19</v>
      </c>
    </row>
    <row r="273" spans="1:61">
      <c r="A273" s="397" t="s">
        <v>6</v>
      </c>
      <c r="B273" s="438">
        <f>'Feuil-saisie'!E5/1000000</f>
        <v>380.35162829000006</v>
      </c>
      <c r="C273" s="439">
        <f>'Feuil-saisie'!F5/1000000</f>
        <v>42.522926829999996</v>
      </c>
      <c r="D273" s="440">
        <f>B273+C273</f>
        <v>422.87455512000008</v>
      </c>
      <c r="E273" s="441">
        <f>'Feuil-saisie'!G5/1000000</f>
        <v>296.39058462000003</v>
      </c>
      <c r="F273" s="438">
        <f>'Feuil-saisie'!Q5/1000000</f>
        <v>449.29142447999993</v>
      </c>
      <c r="G273" s="439">
        <f>'Feuil-saisie'!R5/1000000</f>
        <v>46.309733789999989</v>
      </c>
      <c r="H273" s="440">
        <f>F273+G273</f>
        <v>495.60115826999993</v>
      </c>
      <c r="I273" s="441">
        <f>'Feuil-saisie'!S5/1000000</f>
        <v>257.44180684999998</v>
      </c>
      <c r="J273" s="438">
        <f>'Feuil-saisie'!AC5/1000000</f>
        <v>385.85604602000001</v>
      </c>
      <c r="K273" s="439">
        <f>'Feuil-saisie'!AD5/1000000</f>
        <v>74.840827590000004</v>
      </c>
      <c r="L273" s="440">
        <f>J273+K273</f>
        <v>460.69687361000001</v>
      </c>
      <c r="M273" s="441">
        <f>'Feuil-saisie'!AE5/1000000</f>
        <v>281.65108113000002</v>
      </c>
      <c r="N273" s="438">
        <f>'Feuil-saisie'!AO5/1000000</f>
        <v>398.1697775099999</v>
      </c>
      <c r="O273" s="439">
        <f>'Feuil-saisie'!AP5/1000000</f>
        <v>44.037676689999998</v>
      </c>
      <c r="P273" s="440">
        <f>N273+O273</f>
        <v>442.20745419999992</v>
      </c>
      <c r="Q273" s="441">
        <f>'Feuil-saisie'!AQ5/1000000</f>
        <v>262.55893323999999</v>
      </c>
      <c r="R273" s="450">
        <f>'Feuil-saisie'!BA5/1000000</f>
        <v>402.87206990999999</v>
      </c>
      <c r="S273" s="451">
        <f>'Feuil-saisie'!BB5/1000000</f>
        <v>44.99583724</v>
      </c>
      <c r="T273" s="453">
        <f>R273+S273</f>
        <v>447.86790715000001</v>
      </c>
      <c r="U273" s="452">
        <f>'Feuil-saisie'!BC5/1000000</f>
        <v>307.24153011999999</v>
      </c>
      <c r="V273" s="450">
        <f>'Feuil-saisie'!BM5/1000000</f>
        <v>438.87915116000011</v>
      </c>
      <c r="W273" s="451">
        <f>'Feuil-saisie'!BN5/1000000</f>
        <v>71.824494240000007</v>
      </c>
      <c r="X273" s="453">
        <f>V273+W273</f>
        <v>510.70364540000014</v>
      </c>
      <c r="Y273" s="452">
        <f>'Feuil-saisie'!BO5/1000000</f>
        <v>307.21563368</v>
      </c>
      <c r="Z273" s="450">
        <f>'Feuil-saisie'!BY5/1000000</f>
        <v>706.38618885999995</v>
      </c>
      <c r="AA273" s="451">
        <f>'Feuil-saisie'!BZ5/1000000</f>
        <v>38.998882850000001</v>
      </c>
      <c r="AB273" s="453">
        <f>Z273+AA273</f>
        <v>745.38507170999992</v>
      </c>
      <c r="AC273" s="452">
        <f>'Feuil-saisie'!CA5/1000000</f>
        <v>346.49514578999987</v>
      </c>
      <c r="AD273" s="450">
        <f>'Feuil-saisie'!CK5/1000000</f>
        <v>770.29716877999999</v>
      </c>
      <c r="AE273" s="451">
        <f>'Feuil-saisie'!CL5/1000000</f>
        <v>27.903106640000001</v>
      </c>
      <c r="AF273" s="453">
        <f>AD273+AE273</f>
        <v>798.20027542000003</v>
      </c>
      <c r="AG273" s="452">
        <f>'Feuil-saisie'!CM5/1000000</f>
        <v>357.33169142600002</v>
      </c>
      <c r="AH273" s="450">
        <f>'Feuil-saisie'!CW5/1000000</f>
        <v>0</v>
      </c>
      <c r="AI273" s="451">
        <f>'Feuil-saisie'!CX5/1000000</f>
        <v>0</v>
      </c>
      <c r="AJ273" s="453">
        <f>AH273+AI273</f>
        <v>0</v>
      </c>
      <c r="AK273" s="452">
        <f>'Feuil-saisie'!CY5/1000000</f>
        <v>0</v>
      </c>
      <c r="AL273" s="450">
        <f>'Feuil-saisie'!DI5/1000000</f>
        <v>0</v>
      </c>
      <c r="AM273" s="451">
        <f>'Feuil-saisie'!DJ5/1000000</f>
        <v>0</v>
      </c>
      <c r="AN273" s="453">
        <f>AL273+AM273</f>
        <v>0</v>
      </c>
      <c r="AO273" s="452">
        <f>'Feuil-saisie'!DK5/1000000</f>
        <v>0</v>
      </c>
      <c r="AP273" s="438">
        <f>'Feuil-saisie'!DU5/1000000</f>
        <v>0</v>
      </c>
      <c r="AQ273" s="439">
        <f>'Feuil-saisie'!DV5/1000000</f>
        <v>0</v>
      </c>
      <c r="AR273" s="440">
        <f>AP273+AQ273</f>
        <v>0</v>
      </c>
      <c r="AS273" s="441">
        <f>'Feuil-saisie'!DW5/1000000</f>
        <v>0</v>
      </c>
      <c r="AT273" s="479">
        <f>'Feuil-saisie'!EG5/1000000</f>
        <v>0</v>
      </c>
      <c r="AU273" s="451">
        <f>'Feuil-saisie'!EH5/1000000</f>
        <v>0</v>
      </c>
      <c r="AV273" s="453">
        <f>AT273+AU273</f>
        <v>0</v>
      </c>
      <c r="AW273" s="452">
        <f>'Feuil-saisie'!EI5/1000000</f>
        <v>0</v>
      </c>
      <c r="AX273" s="1686">
        <f t="shared" ref="AX273:AX282" si="504">+B273+F273+J273+N273+R273+V273+Z273+AD273+AH273+AL273+AP273+AT273</f>
        <v>3932.1034550099998</v>
      </c>
      <c r="AY273" s="1687">
        <f t="shared" ref="AY273:AY282" si="505">+C273+G273+K273+O273+S273+W273+AA273+AE273+AI273+AM273+AQ273+AU273</f>
        <v>391.43348586999997</v>
      </c>
      <c r="AZ273" s="1687">
        <f t="shared" ref="AZ273:AZ282" si="506">+D273+H273+L273+P273+T273+X273+AB273+AF273+AJ273+AN273+AR273+AV273</f>
        <v>4323.5369408799997</v>
      </c>
      <c r="BA273" s="1688">
        <f t="shared" ref="BA273:BA282" si="507">+E273+I273+M273+Q273+U273+Y273+AC273+AG273+AK273+AO273+AS273+AW273</f>
        <v>2416.3264068559993</v>
      </c>
      <c r="BB273" s="1518">
        <f>+AZ273+BA273</f>
        <v>6739.863347735999</v>
      </c>
      <c r="BC273" s="482"/>
      <c r="BD273" s="446">
        <f>AD273</f>
        <v>770.29716877999999</v>
      </c>
      <c r="BE273" s="446">
        <f>AE273</f>
        <v>27.903106640000001</v>
      </c>
      <c r="BF273" s="446">
        <f>AF273</f>
        <v>798.20027542000003</v>
      </c>
      <c r="BG273" s="446">
        <f>AG273</f>
        <v>357.33169142600002</v>
      </c>
      <c r="BH273" s="446"/>
    </row>
    <row r="274" spans="1:61">
      <c r="A274" s="397" t="s">
        <v>7</v>
      </c>
      <c r="B274" s="438">
        <f>'Feuil-saisie'!E6/1000000</f>
        <v>172.0662772</v>
      </c>
      <c r="C274" s="439">
        <f>'Feuil-saisie'!F6/1000000</f>
        <v>24.325097789999997</v>
      </c>
      <c r="D274" s="440">
        <f t="shared" ref="D274:D282" si="508">B274+C274</f>
        <v>196.39137499</v>
      </c>
      <c r="E274" s="441">
        <f>'Feuil-saisie'!G6/1000000</f>
        <v>111.55278027999999</v>
      </c>
      <c r="F274" s="438">
        <f>'Feuil-saisie'!Q6/1000000</f>
        <v>164.69208172999996</v>
      </c>
      <c r="G274" s="439">
        <f>'Feuil-saisie'!R6/1000000</f>
        <v>23.86146716</v>
      </c>
      <c r="H274" s="440">
        <f>F274+G274</f>
        <v>188.55354888999995</v>
      </c>
      <c r="I274" s="441">
        <f>'Feuil-saisie'!S6/1000000</f>
        <v>111.79391936</v>
      </c>
      <c r="J274" s="438">
        <f>'Feuil-saisie'!AC6/1000000</f>
        <v>134.78131578999998</v>
      </c>
      <c r="K274" s="439">
        <f>'Feuil-saisie'!AD6/1000000</f>
        <v>85.3017842</v>
      </c>
      <c r="L274" s="440">
        <f t="shared" ref="L274:L282" si="509">J274+K274</f>
        <v>220.08309998999999</v>
      </c>
      <c r="M274" s="441">
        <f>'Feuil-saisie'!AE6/1000000</f>
        <v>112.94482410000001</v>
      </c>
      <c r="N274" s="438">
        <f>'Feuil-saisie'!AO6/1000000</f>
        <v>177.72500818</v>
      </c>
      <c r="O274" s="439">
        <f>'Feuil-saisie'!AP6/1000000</f>
        <v>25.462810470000001</v>
      </c>
      <c r="P274" s="440">
        <f t="shared" ref="P274:P282" si="510">N274+O274</f>
        <v>203.18781865</v>
      </c>
      <c r="Q274" s="441">
        <f>'Feuil-saisie'!AQ6/1000000</f>
        <v>104.89229229999999</v>
      </c>
      <c r="R274" s="450">
        <f>'Feuil-saisie'!BA6/1000000</f>
        <v>165.91883354999999</v>
      </c>
      <c r="S274" s="451">
        <f>'Feuil-saisie'!BB6/1000000</f>
        <v>21.76345998</v>
      </c>
      <c r="T274" s="453">
        <f t="shared" ref="T274:T282" si="511">R274+S274</f>
        <v>187.68229352999998</v>
      </c>
      <c r="U274" s="452">
        <f>'Feuil-saisie'!BC6/1000000</f>
        <v>112.83314660000001</v>
      </c>
      <c r="V274" s="450">
        <f>'Feuil-saisie'!BM6/1000000</f>
        <v>156.92503776999999</v>
      </c>
      <c r="W274" s="451">
        <f>'Feuil-saisie'!BN6/1000000</f>
        <v>64.542829429999998</v>
      </c>
      <c r="X274" s="453">
        <f t="shared" ref="X274:X282" si="512">V274+W274</f>
        <v>221.4678672</v>
      </c>
      <c r="Y274" s="452">
        <f>'Feuil-saisie'!BO6/1000000</f>
        <v>122.8215636</v>
      </c>
      <c r="Z274" s="450">
        <f>'Feuil-saisie'!BY6/1000000</f>
        <v>341.65809538000002</v>
      </c>
      <c r="AA274" s="451">
        <f>'Feuil-saisie'!BZ6/1000000</f>
        <v>22.49281306</v>
      </c>
      <c r="AB274" s="453">
        <f t="shared" ref="AB274:AB282" si="513">Z274+AA274</f>
        <v>364.15090844000002</v>
      </c>
      <c r="AC274" s="452">
        <f>'Feuil-saisie'!CA6/1000000</f>
        <v>122.63023200000001</v>
      </c>
      <c r="AD274" s="450">
        <f>'Feuil-saisie'!CK6/1000000</f>
        <v>369.74586440400003</v>
      </c>
      <c r="AE274" s="451">
        <f>'Feuil-saisie'!CL6/1000000</f>
        <v>22.620016755784</v>
      </c>
      <c r="AF274" s="453">
        <f t="shared" ref="AF274:AF282" si="514">AD274+AE274</f>
        <v>392.36588115978401</v>
      </c>
      <c r="AG274" s="452">
        <f>'Feuil-saisie'!CM6/1000000</f>
        <v>129.49685959999999</v>
      </c>
      <c r="AH274" s="450">
        <f>'Feuil-saisie'!CW6/1000000</f>
        <v>0</v>
      </c>
      <c r="AI274" s="451">
        <f>'Feuil-saisie'!CX6/1000000</f>
        <v>0</v>
      </c>
      <c r="AJ274" s="453">
        <f t="shared" ref="AJ274:AJ282" si="515">AH274+AI274</f>
        <v>0</v>
      </c>
      <c r="AK274" s="452">
        <f>'Feuil-saisie'!CY6/1000000</f>
        <v>0</v>
      </c>
      <c r="AL274" s="450">
        <f>'Feuil-saisie'!DI6/1000000</f>
        <v>0</v>
      </c>
      <c r="AM274" s="451">
        <f>'Feuil-saisie'!DJ6/1000000</f>
        <v>0</v>
      </c>
      <c r="AN274" s="453">
        <f t="shared" ref="AN274:AN282" si="516">AL274+AM274</f>
        <v>0</v>
      </c>
      <c r="AO274" s="452">
        <f>'Feuil-saisie'!DK6/1000000</f>
        <v>0</v>
      </c>
      <c r="AP274" s="438">
        <f>'Feuil-saisie'!DU6/1000000</f>
        <v>0</v>
      </c>
      <c r="AQ274" s="439">
        <f>'Feuil-saisie'!DV6/1000000</f>
        <v>0</v>
      </c>
      <c r="AR274" s="440">
        <f t="shared" ref="AR274:AR282" si="517">AP274+AQ274</f>
        <v>0</v>
      </c>
      <c r="AS274" s="441">
        <f>'Feuil-saisie'!DW6/1000000</f>
        <v>0</v>
      </c>
      <c r="AT274" s="450">
        <f>'Feuil-saisie'!EG6/1000000</f>
        <v>0</v>
      </c>
      <c r="AU274" s="451">
        <f>'Feuil-saisie'!EH6/1000000</f>
        <v>0</v>
      </c>
      <c r="AV274" s="453">
        <f t="shared" ref="AV274:AV282" si="518">AT274+AU274</f>
        <v>0</v>
      </c>
      <c r="AW274" s="452">
        <f>'Feuil-saisie'!EI6/1000000</f>
        <v>0</v>
      </c>
      <c r="AX274" s="1689">
        <f t="shared" si="504"/>
        <v>1683.5125140040002</v>
      </c>
      <c r="AY274" s="1690">
        <f t="shared" si="505"/>
        <v>290.37027884578396</v>
      </c>
      <c r="AZ274" s="1690">
        <f t="shared" si="506"/>
        <v>1973.882792849784</v>
      </c>
      <c r="BA274" s="1691">
        <f t="shared" si="507"/>
        <v>928.96561783999994</v>
      </c>
      <c r="BB274" s="1692">
        <f t="shared" ref="BB274:BB282" si="519">+AZ274+BA274</f>
        <v>2902.848410689784</v>
      </c>
      <c r="BC274" s="482"/>
      <c r="BD274" s="446">
        <f t="shared" ref="BD274:BD283" si="520">AD274</f>
        <v>369.74586440400003</v>
      </c>
      <c r="BE274" s="446">
        <f t="shared" ref="BE274:BE283" si="521">AE274</f>
        <v>22.620016755784</v>
      </c>
      <c r="BF274" s="446">
        <f t="shared" ref="BF274:BF283" si="522">AF274</f>
        <v>392.36588115978401</v>
      </c>
      <c r="BG274" s="446">
        <f t="shared" ref="BG274:BG283" si="523">AG274</f>
        <v>129.49685959999999</v>
      </c>
      <c r="BH274" s="446"/>
    </row>
    <row r="275" spans="1:61">
      <c r="A275" s="397" t="s">
        <v>8</v>
      </c>
      <c r="B275" s="438">
        <f>'Feuil-saisie'!E7/1000000</f>
        <v>168.31838071999999</v>
      </c>
      <c r="C275" s="439">
        <f>'Feuil-saisie'!F7/1000000</f>
        <v>33.759206590000005</v>
      </c>
      <c r="D275" s="440">
        <f t="shared" si="508"/>
        <v>202.07758731000001</v>
      </c>
      <c r="E275" s="441">
        <f>'Feuil-saisie'!G7/1000000</f>
        <v>63.311999999999998</v>
      </c>
      <c r="F275" s="438">
        <f>'Feuil-saisie'!Q7/1000000</f>
        <v>162.07753774</v>
      </c>
      <c r="G275" s="439">
        <f>'Feuil-saisie'!R7/1000000</f>
        <v>38.053791060000002</v>
      </c>
      <c r="H275" s="440">
        <f t="shared" ref="H275:H282" si="524">F275+G275</f>
        <v>200.13132880000001</v>
      </c>
      <c r="I275" s="441">
        <f>'Feuil-saisie'!S7/1000000</f>
        <v>74.006571369999975</v>
      </c>
      <c r="J275" s="438">
        <f>'Feuil-saisie'!AC7/1000000</f>
        <v>151.32429493000001</v>
      </c>
      <c r="K275" s="439">
        <f>'Feuil-saisie'!AD7/1000000</f>
        <v>80.008338170000002</v>
      </c>
      <c r="L275" s="440">
        <f t="shared" si="509"/>
        <v>231.33263310000001</v>
      </c>
      <c r="M275" s="441">
        <f>'Feuil-saisie'!AE7/1000000</f>
        <v>71.616548859999995</v>
      </c>
      <c r="N275" s="438">
        <f>'Feuil-saisie'!AO7/1000000</f>
        <v>180.78947245000001</v>
      </c>
      <c r="O275" s="439">
        <f>'Feuil-saisie'!AP7/1000000</f>
        <v>36.978440630000001</v>
      </c>
      <c r="P275" s="440">
        <f t="shared" si="510"/>
        <v>217.76791308</v>
      </c>
      <c r="Q275" s="441">
        <f>'Feuil-saisie'!AQ7/1000000</f>
        <v>81.93</v>
      </c>
      <c r="R275" s="450">
        <f>'Feuil-saisie'!BA7/1000000</f>
        <v>170.11195099</v>
      </c>
      <c r="S275" s="451">
        <f>'Feuil-saisie'!BB7/1000000</f>
        <v>36.685031439999996</v>
      </c>
      <c r="T275" s="453">
        <f t="shared" si="511"/>
        <v>206.79698242999999</v>
      </c>
      <c r="U275" s="452">
        <f>'Feuil-saisie'!BC7/1000000</f>
        <v>84.413934999999995</v>
      </c>
      <c r="V275" s="450">
        <f>'Feuil-saisie'!BM7/1000000</f>
        <v>183.36567128999999</v>
      </c>
      <c r="W275" s="451">
        <f>'Feuil-saisie'!BN7/1000000</f>
        <v>64.922409829999992</v>
      </c>
      <c r="X275" s="453">
        <f t="shared" si="512"/>
        <v>248.28808111999999</v>
      </c>
      <c r="Y275" s="452">
        <f>'Feuil-saisie'!BO7/1000000</f>
        <v>88.206999999999994</v>
      </c>
      <c r="Z275" s="450">
        <f>'Feuil-saisie'!BY7/1000000</f>
        <v>300.10781457000002</v>
      </c>
      <c r="AA275" s="451">
        <f>'Feuil-saisie'!BZ7/1000000</f>
        <v>33.77870652</v>
      </c>
      <c r="AB275" s="453">
        <f t="shared" si="513"/>
        <v>333.88652109000003</v>
      </c>
      <c r="AC275" s="452">
        <f>'Feuil-saisie'!CA7/1000000</f>
        <v>84.330906999999996</v>
      </c>
      <c r="AD275" s="450">
        <f>'Feuil-saisie'!CK7/1000000</f>
        <v>329.33219171000002</v>
      </c>
      <c r="AE275" s="450">
        <f>'Feuil-saisie'!CL7/1000000</f>
        <v>38.620850099999998</v>
      </c>
      <c r="AF275" s="453">
        <f t="shared" si="514"/>
        <v>367.95304181</v>
      </c>
      <c r="AG275" s="452">
        <f>'Feuil-saisie'!CM7/1000000</f>
        <v>73.104027709999997</v>
      </c>
      <c r="AH275" s="450">
        <f>'Feuil-saisie'!CW7/1000000</f>
        <v>0</v>
      </c>
      <c r="AI275" s="450">
        <f>'Feuil-saisie'!CX7/1000000</f>
        <v>0</v>
      </c>
      <c r="AJ275" s="453">
        <f t="shared" si="515"/>
        <v>0</v>
      </c>
      <c r="AK275" s="452">
        <f>'Feuil-saisie'!CY7/1000000</f>
        <v>0</v>
      </c>
      <c r="AL275" s="450">
        <f>'Feuil-saisie'!DI7/1000000</f>
        <v>0</v>
      </c>
      <c r="AM275" s="450">
        <f>'Feuil-saisie'!DJ7/1000000</f>
        <v>0</v>
      </c>
      <c r="AN275" s="453">
        <f t="shared" si="516"/>
        <v>0</v>
      </c>
      <c r="AO275" s="452">
        <f>'Feuil-saisie'!DK7/1000000</f>
        <v>0</v>
      </c>
      <c r="AP275" s="438">
        <f>'Feuil-saisie'!DU7/1000000</f>
        <v>0</v>
      </c>
      <c r="AQ275" s="439">
        <f>'Feuil-saisie'!DV7/1000000</f>
        <v>0</v>
      </c>
      <c r="AR275" s="440">
        <f t="shared" si="517"/>
        <v>0</v>
      </c>
      <c r="AS275" s="441">
        <f>'Feuil-saisie'!DW7/1000000</f>
        <v>0</v>
      </c>
      <c r="AT275" s="450">
        <f>'Feuil-saisie'!EG7/1000000</f>
        <v>0</v>
      </c>
      <c r="AU275" s="451">
        <f>'Feuil-saisie'!EH7/1000000</f>
        <v>0</v>
      </c>
      <c r="AV275" s="453">
        <f t="shared" si="518"/>
        <v>0</v>
      </c>
      <c r="AW275" s="452">
        <f>'Feuil-saisie'!EI7/1000000</f>
        <v>0</v>
      </c>
      <c r="AX275" s="1689">
        <f t="shared" si="504"/>
        <v>1645.4273143999999</v>
      </c>
      <c r="AY275" s="1690">
        <f t="shared" si="505"/>
        <v>362.80677433999995</v>
      </c>
      <c r="AZ275" s="1690">
        <f t="shared" si="506"/>
        <v>2008.2340887400003</v>
      </c>
      <c r="BA275" s="1691">
        <f t="shared" si="507"/>
        <v>620.92098993999991</v>
      </c>
      <c r="BB275" s="1692">
        <f t="shared" si="519"/>
        <v>2629.1550786800003</v>
      </c>
      <c r="BC275" s="482"/>
      <c r="BD275" s="446">
        <f t="shared" si="520"/>
        <v>329.33219171000002</v>
      </c>
      <c r="BE275" s="446">
        <f t="shared" si="521"/>
        <v>38.620850099999998</v>
      </c>
      <c r="BF275" s="446">
        <f t="shared" si="522"/>
        <v>367.95304181</v>
      </c>
      <c r="BG275" s="446">
        <f t="shared" si="523"/>
        <v>73.104027709999997</v>
      </c>
      <c r="BH275" s="446"/>
    </row>
    <row r="276" spans="1:61">
      <c r="A276" s="397" t="s">
        <v>4</v>
      </c>
      <c r="B276" s="438">
        <f>'Feuil-saisie'!E8/1000000</f>
        <v>334.65881839000002</v>
      </c>
      <c r="C276" s="439">
        <f>'Feuil-saisie'!F8/1000000</f>
        <v>47.91567603</v>
      </c>
      <c r="D276" s="440">
        <f t="shared" si="508"/>
        <v>382.57449442000001</v>
      </c>
      <c r="E276" s="441">
        <f>'Feuil-saisie'!G8/1000000</f>
        <v>139.98541771999999</v>
      </c>
      <c r="F276" s="438">
        <f>'Feuil-saisie'!Q8/1000000</f>
        <v>337.55573648999996</v>
      </c>
      <c r="G276" s="439">
        <f>'Feuil-saisie'!R8/1000000</f>
        <v>53.464350920000001</v>
      </c>
      <c r="H276" s="440">
        <f t="shared" si="524"/>
        <v>391.02008740999997</v>
      </c>
      <c r="I276" s="441">
        <f>'Feuil-saisie'!S8/1000000</f>
        <v>152.47022666000001</v>
      </c>
      <c r="J276" s="438">
        <f>'Feuil-saisie'!AC8/1000000</f>
        <v>305.68105023000004</v>
      </c>
      <c r="K276" s="439">
        <f>'Feuil-saisie'!AD8/1000000</f>
        <v>66.60562723999999</v>
      </c>
      <c r="L276" s="440">
        <f t="shared" si="509"/>
        <v>372.28667747000003</v>
      </c>
      <c r="M276" s="441">
        <f>'Feuil-saisie'!AE8/1000000</f>
        <v>154.15907748999999</v>
      </c>
      <c r="N276" s="438">
        <f>'Feuil-saisie'!AO8/1000000</f>
        <v>341.77877594</v>
      </c>
      <c r="O276" s="439">
        <f>'Feuil-saisie'!AP8/1000000</f>
        <v>48.185084789999991</v>
      </c>
      <c r="P276" s="440">
        <f t="shared" si="510"/>
        <v>389.96386072999996</v>
      </c>
      <c r="Q276" s="441">
        <f>'Feuil-saisie'!AQ8/1000000</f>
        <v>156.96085794000004</v>
      </c>
      <c r="R276" s="450">
        <f>'Feuil-saisie'!BA8/1000000</f>
        <v>308.43220923000007</v>
      </c>
      <c r="S276" s="451">
        <f>'Feuil-saisie'!BB8/1000000</f>
        <v>46.57792662</v>
      </c>
      <c r="T276" s="453">
        <f t="shared" si="511"/>
        <v>355.0101358500001</v>
      </c>
      <c r="U276" s="452">
        <f>'Feuil-saisie'!BC8/1000000</f>
        <v>151.44125602999998</v>
      </c>
      <c r="V276" s="450">
        <f>'Feuil-saisie'!BM8/1000000</f>
        <v>295.08998542</v>
      </c>
      <c r="W276" s="451">
        <f>'Feuil-saisie'!BN8/1000000</f>
        <v>53.063153199999988</v>
      </c>
      <c r="X276" s="453">
        <f t="shared" si="512"/>
        <v>348.15313861999999</v>
      </c>
      <c r="Y276" s="452">
        <f>'Feuil-saisie'!BO8/1000000</f>
        <v>166.30410759999998</v>
      </c>
      <c r="Z276" s="450">
        <f>'Feuil-saisie'!BY8/1000000</f>
        <v>504.86007703000001</v>
      </c>
      <c r="AA276" s="451">
        <f>'Feuil-saisie'!BZ8/1000000</f>
        <v>42.000725690000003</v>
      </c>
      <c r="AB276" s="453">
        <f t="shared" si="513"/>
        <v>546.86080272000004</v>
      </c>
      <c r="AC276" s="452">
        <f>'Feuil-saisie'!CA8/1000000</f>
        <v>152.17476055</v>
      </c>
      <c r="AD276" s="450">
        <f>'Feuil-saisie'!CK8/1000000</f>
        <v>646.88134727998852</v>
      </c>
      <c r="AE276" s="451">
        <f>'Feuil-saisie'!CL8/1000000</f>
        <v>49.383954110000005</v>
      </c>
      <c r="AF276" s="453">
        <f t="shared" si="514"/>
        <v>696.26530138998851</v>
      </c>
      <c r="AG276" s="452">
        <f>'Feuil-saisie'!CM8/1000000</f>
        <v>175.99633706999995</v>
      </c>
      <c r="AH276" s="450">
        <f>'Feuil-saisie'!CW8/1000000</f>
        <v>0</v>
      </c>
      <c r="AI276" s="451">
        <f>'Feuil-saisie'!CX8/1000000</f>
        <v>0</v>
      </c>
      <c r="AJ276" s="453">
        <f t="shared" si="515"/>
        <v>0</v>
      </c>
      <c r="AK276" s="452">
        <f>'Feuil-saisie'!CY8/1000000</f>
        <v>0</v>
      </c>
      <c r="AL276" s="450">
        <f>'Feuil-saisie'!DI8/1000000</f>
        <v>0</v>
      </c>
      <c r="AM276" s="451">
        <f>'Feuil-saisie'!DJ8/1000000</f>
        <v>0</v>
      </c>
      <c r="AN276" s="453">
        <f t="shared" si="516"/>
        <v>0</v>
      </c>
      <c r="AO276" s="452">
        <f>'Feuil-saisie'!DK8/1000000</f>
        <v>0</v>
      </c>
      <c r="AP276" s="438">
        <f>'Feuil-saisie'!DU8/1000000</f>
        <v>0</v>
      </c>
      <c r="AQ276" s="439">
        <f>'Feuil-saisie'!DV8/1000000</f>
        <v>0</v>
      </c>
      <c r="AR276" s="440">
        <f t="shared" si="517"/>
        <v>0</v>
      </c>
      <c r="AS276" s="441">
        <f>'Feuil-saisie'!DW8/1000000</f>
        <v>0</v>
      </c>
      <c r="AT276" s="450">
        <f>'Feuil-saisie'!EG8/1000000</f>
        <v>0</v>
      </c>
      <c r="AU276" s="451">
        <f>'Feuil-saisie'!EH8/1000000</f>
        <v>0</v>
      </c>
      <c r="AV276" s="453">
        <f t="shared" si="518"/>
        <v>0</v>
      </c>
      <c r="AW276" s="452">
        <f>'Feuil-saisie'!EI8/1000000</f>
        <v>0</v>
      </c>
      <c r="AX276" s="1689">
        <f t="shared" si="504"/>
        <v>3074.9380000099886</v>
      </c>
      <c r="AY276" s="1690">
        <f t="shared" si="505"/>
        <v>407.19649859999998</v>
      </c>
      <c r="AZ276" s="1690">
        <f t="shared" si="506"/>
        <v>3482.1344986099889</v>
      </c>
      <c r="BA276" s="1691">
        <f t="shared" si="507"/>
        <v>1249.4920410599998</v>
      </c>
      <c r="BB276" s="1692">
        <f t="shared" si="519"/>
        <v>4731.6265396699891</v>
      </c>
      <c r="BC276" s="482"/>
      <c r="BD276" s="446">
        <f t="shared" si="520"/>
        <v>646.88134727998852</v>
      </c>
      <c r="BE276" s="446">
        <f t="shared" si="521"/>
        <v>49.383954110000005</v>
      </c>
      <c r="BF276" s="446">
        <f t="shared" si="522"/>
        <v>696.26530138998851</v>
      </c>
      <c r="BG276" s="446">
        <f t="shared" si="523"/>
        <v>175.99633706999995</v>
      </c>
      <c r="BH276" s="446"/>
    </row>
    <row r="277" spans="1:61">
      <c r="A277" s="397" t="s">
        <v>3</v>
      </c>
      <c r="B277" s="438">
        <f>'Feuil-saisie'!E9/1000000</f>
        <v>208.86742713999999</v>
      </c>
      <c r="C277" s="439">
        <f>'Feuil-saisie'!F9/1000000</f>
        <v>30.270801740000003</v>
      </c>
      <c r="D277" s="440">
        <f t="shared" si="508"/>
        <v>239.13822887999999</v>
      </c>
      <c r="E277" s="441">
        <f>'Feuil-saisie'!G9/1000000</f>
        <v>111.37518523999999</v>
      </c>
      <c r="F277" s="438">
        <f>'Feuil-saisie'!Q9/1000000</f>
        <v>219.13254118000003</v>
      </c>
      <c r="G277" s="439">
        <f>'Feuil-saisie'!R9/1000000</f>
        <v>20.590589899999998</v>
      </c>
      <c r="H277" s="440">
        <f t="shared" si="524"/>
        <v>239.72313108000003</v>
      </c>
      <c r="I277" s="441">
        <f>'Feuil-saisie'!S9/1000000</f>
        <v>121.4654386</v>
      </c>
      <c r="J277" s="438">
        <f>'Feuil-saisie'!AC9/1000000</f>
        <v>175.46357011000001</v>
      </c>
      <c r="K277" s="439">
        <f>'Feuil-saisie'!AD9/1000000</f>
        <v>76.148174520000012</v>
      </c>
      <c r="L277" s="440">
        <f t="shared" si="509"/>
        <v>251.61174463000003</v>
      </c>
      <c r="M277" s="441">
        <f>'Feuil-saisie'!AE9/1000000</f>
        <v>131.73018281</v>
      </c>
      <c r="N277" s="438">
        <f>'Feuil-saisie'!AO9/1000000</f>
        <v>240.66929320999998</v>
      </c>
      <c r="O277" s="439">
        <f>'Feuil-saisie'!AP9/1000000</f>
        <v>27.996492939999996</v>
      </c>
      <c r="P277" s="440">
        <f t="shared" si="510"/>
        <v>268.66578614999997</v>
      </c>
      <c r="Q277" s="441">
        <f>'Feuil-saisie'!AQ9/1000000</f>
        <v>122.4860984</v>
      </c>
      <c r="R277" s="450">
        <f>'Feuil-saisie'!BA9/1000000</f>
        <v>271.99500138999997</v>
      </c>
      <c r="S277" s="451">
        <f>'Feuil-saisie'!BB9/1000000</f>
        <v>41.02763933</v>
      </c>
      <c r="T277" s="453">
        <f t="shared" si="511"/>
        <v>313.02264071999997</v>
      </c>
      <c r="U277" s="452">
        <f>'Feuil-saisie'!BC9/1000000</f>
        <v>136.09282490000001</v>
      </c>
      <c r="V277" s="450">
        <f>'Feuil-saisie'!BM9/1000000</f>
        <v>228.16655065999998</v>
      </c>
      <c r="W277" s="451">
        <f>'Feuil-saisie'!BN9/1000000</f>
        <v>52.13619306999999</v>
      </c>
      <c r="X277" s="453">
        <f t="shared" si="512"/>
        <v>280.30274372999997</v>
      </c>
      <c r="Y277" s="452">
        <f>'Feuil-saisie'!BO9/1000000</f>
        <v>134.11327281999999</v>
      </c>
      <c r="Z277" s="450">
        <f>'Feuil-saisie'!BY9/1000000</f>
        <v>329.61359691000001</v>
      </c>
      <c r="AA277" s="451">
        <f>'Feuil-saisie'!BZ9/1000000</f>
        <v>23.294241789999997</v>
      </c>
      <c r="AB277" s="453">
        <f t="shared" si="513"/>
        <v>352.90783870000001</v>
      </c>
      <c r="AC277" s="452">
        <f>'Feuil-saisie'!CA9/1000000</f>
        <v>153.64304665</v>
      </c>
      <c r="AD277" s="450">
        <f>'Feuil-saisie'!CK9/1000000</f>
        <v>397.18839137999998</v>
      </c>
      <c r="AE277" s="451">
        <f>'Feuil-saisie'!CL9/1000000</f>
        <v>14.498154909999997</v>
      </c>
      <c r="AF277" s="453">
        <f t="shared" si="514"/>
        <v>411.68654628999997</v>
      </c>
      <c r="AG277" s="452">
        <f>'Feuil-saisie'!CM9/1000000</f>
        <v>151.6918642</v>
      </c>
      <c r="AH277" s="450">
        <f>'Feuil-saisie'!CW9/1000000</f>
        <v>0</v>
      </c>
      <c r="AI277" s="451">
        <f>'Feuil-saisie'!CX9/1000000</f>
        <v>0</v>
      </c>
      <c r="AJ277" s="453">
        <f t="shared" si="515"/>
        <v>0</v>
      </c>
      <c r="AK277" s="452">
        <f>'Feuil-saisie'!CY9/1000000</f>
        <v>0</v>
      </c>
      <c r="AL277" s="450">
        <f>'Feuil-saisie'!DI9/1000000</f>
        <v>0</v>
      </c>
      <c r="AM277" s="451">
        <f>'Feuil-saisie'!DJ9/1000000</f>
        <v>0</v>
      </c>
      <c r="AN277" s="453">
        <f t="shared" si="516"/>
        <v>0</v>
      </c>
      <c r="AO277" s="452">
        <f>'Feuil-saisie'!DK9/1000000</f>
        <v>0</v>
      </c>
      <c r="AP277" s="438">
        <f>'Feuil-saisie'!DU9/1000000</f>
        <v>0</v>
      </c>
      <c r="AQ277" s="439">
        <f>'Feuil-saisie'!DV9/1000000</f>
        <v>0</v>
      </c>
      <c r="AR277" s="440">
        <f t="shared" si="517"/>
        <v>0</v>
      </c>
      <c r="AS277" s="441">
        <f>'Feuil-saisie'!DW9/1000000</f>
        <v>0</v>
      </c>
      <c r="AT277" s="450">
        <f>'Feuil-saisie'!EG9/1000000</f>
        <v>0</v>
      </c>
      <c r="AU277" s="451">
        <f>'Feuil-saisie'!EH9/1000000</f>
        <v>0</v>
      </c>
      <c r="AV277" s="453">
        <f t="shared" si="518"/>
        <v>0</v>
      </c>
      <c r="AW277" s="452">
        <f>'Feuil-saisie'!EI9/1000000</f>
        <v>0</v>
      </c>
      <c r="AX277" s="1689">
        <f t="shared" si="504"/>
        <v>2071.0963719800002</v>
      </c>
      <c r="AY277" s="1690">
        <f t="shared" si="505"/>
        <v>285.96228819999999</v>
      </c>
      <c r="AZ277" s="1690">
        <f t="shared" si="506"/>
        <v>2357.0586601800001</v>
      </c>
      <c r="BA277" s="1691">
        <f t="shared" si="507"/>
        <v>1062.5979136200001</v>
      </c>
      <c r="BB277" s="1692">
        <f t="shared" si="519"/>
        <v>3419.6565737999999</v>
      </c>
      <c r="BC277" s="482"/>
      <c r="BD277" s="446">
        <f t="shared" si="520"/>
        <v>397.18839137999998</v>
      </c>
      <c r="BE277" s="446">
        <f t="shared" si="521"/>
        <v>14.498154909999997</v>
      </c>
      <c r="BF277" s="446">
        <f t="shared" si="522"/>
        <v>411.68654628999997</v>
      </c>
      <c r="BG277" s="446">
        <f t="shared" si="523"/>
        <v>151.6918642</v>
      </c>
      <c r="BH277" s="446"/>
    </row>
    <row r="278" spans="1:61">
      <c r="A278" s="397" t="s">
        <v>397</v>
      </c>
      <c r="B278" s="438">
        <f>'Feuil-saisie'!E10/1000000</f>
        <v>212.46842654000736</v>
      </c>
      <c r="C278" s="439">
        <f>'Feuil-saisie'!F10/1000000</f>
        <v>36.198470040000004</v>
      </c>
      <c r="D278" s="440">
        <f t="shared" si="508"/>
        <v>248.66689658000735</v>
      </c>
      <c r="E278" s="441">
        <f>'Feuil-saisie'!G10/1000000</f>
        <v>95.571689090000007</v>
      </c>
      <c r="F278" s="438">
        <f>'Feuil-saisie'!Q10/1000000</f>
        <v>197.98638646000856</v>
      </c>
      <c r="G278" s="439">
        <f>'Feuil-saisie'!R10/1000000</f>
        <v>35.900679289999971</v>
      </c>
      <c r="H278" s="440">
        <f t="shared" si="524"/>
        <v>233.88706575000853</v>
      </c>
      <c r="I278" s="441">
        <f>'Feuil-saisie'!S10/1000000</f>
        <v>94.68354862999999</v>
      </c>
      <c r="J278" s="438">
        <f>'Feuil-saisie'!AC10/1000000</f>
        <v>189.94185323000704</v>
      </c>
      <c r="K278" s="439">
        <f>'Feuil-saisie'!AD10/1000000</f>
        <v>33.174089459999998</v>
      </c>
      <c r="L278" s="440">
        <f t="shared" si="509"/>
        <v>223.11594269000705</v>
      </c>
      <c r="M278" s="441">
        <f>'Feuil-saisie'!AE10/1000000</f>
        <v>90.748890020000005</v>
      </c>
      <c r="N278" s="438">
        <f>'Feuil-saisie'!AO10/1000000</f>
        <v>210.19966657000694</v>
      </c>
      <c r="O278" s="439">
        <f>'Feuil-saisie'!AP10/1000000</f>
        <v>35.274871439999998</v>
      </c>
      <c r="P278" s="440">
        <f t="shared" si="510"/>
        <v>245.47453801000694</v>
      </c>
      <c r="Q278" s="441">
        <f>'Feuil-saisie'!AQ10/1000000</f>
        <v>89.627026510000007</v>
      </c>
      <c r="R278" s="450">
        <f>'Feuil-saisie'!BA10/1000000</f>
        <v>182.51176102000966</v>
      </c>
      <c r="S278" s="451">
        <f>'Feuil-saisie'!BB10/1000000</f>
        <v>28.981217970000042</v>
      </c>
      <c r="T278" s="453">
        <f t="shared" si="511"/>
        <v>211.4929789900097</v>
      </c>
      <c r="U278" s="452">
        <f>'Feuil-saisie'!BC10/1000000</f>
        <v>99.632457680000002</v>
      </c>
      <c r="V278" s="450">
        <f>'Feuil-saisie'!BM10/1000000</f>
        <v>207.0762775800066</v>
      </c>
      <c r="W278" s="451">
        <f>'Feuil-saisie'!BN10/1000000</f>
        <v>36.34595259999999</v>
      </c>
      <c r="X278" s="453">
        <f t="shared" si="512"/>
        <v>243.42223018000658</v>
      </c>
      <c r="Y278" s="452">
        <f>'Feuil-saisie'!BO10/1000000</f>
        <v>110.11470799999999</v>
      </c>
      <c r="Z278" s="450">
        <f>'Feuil-saisie'!BY10/1000000</f>
        <v>311.09052312000921</v>
      </c>
      <c r="AA278" s="451">
        <f>'Feuil-saisie'!BZ10/1000000</f>
        <v>45.009892980000004</v>
      </c>
      <c r="AB278" s="453">
        <f t="shared" si="513"/>
        <v>356.10041610000923</v>
      </c>
      <c r="AC278" s="452">
        <f>'Feuil-saisie'!CA10/1000000</f>
        <v>122.4187153</v>
      </c>
      <c r="AD278" s="450">
        <f>'Feuil-saisie'!CK10/1000000</f>
        <v>355.358138250004</v>
      </c>
      <c r="AE278" s="451">
        <f>'Feuil-saisie'!CL10/1000000</f>
        <v>37.391298409999976</v>
      </c>
      <c r="AF278" s="453">
        <f t="shared" si="514"/>
        <v>392.74943666000399</v>
      </c>
      <c r="AG278" s="452">
        <f>'Feuil-saisie'!CM10/1000000</f>
        <v>146.63118105000001</v>
      </c>
      <c r="AH278" s="450">
        <f>'Feuil-saisie'!CW10/1000000</f>
        <v>0</v>
      </c>
      <c r="AI278" s="451">
        <f>'Feuil-saisie'!CX10/1000000</f>
        <v>0</v>
      </c>
      <c r="AJ278" s="453">
        <f t="shared" si="515"/>
        <v>0</v>
      </c>
      <c r="AK278" s="452">
        <f>'Feuil-saisie'!CY10/1000000</f>
        <v>0</v>
      </c>
      <c r="AL278" s="450">
        <f>'Feuil-saisie'!DI10/1000000</f>
        <v>0</v>
      </c>
      <c r="AM278" s="451">
        <f>'Feuil-saisie'!DJ10/1000000</f>
        <v>0</v>
      </c>
      <c r="AN278" s="453">
        <f t="shared" si="516"/>
        <v>0</v>
      </c>
      <c r="AO278" s="452">
        <f>'Feuil-saisie'!DK10/1000000</f>
        <v>0</v>
      </c>
      <c r="AP278" s="438">
        <f>'Feuil-saisie'!DU10/1000000</f>
        <v>0</v>
      </c>
      <c r="AQ278" s="439">
        <f>'Feuil-saisie'!DV10/1000000</f>
        <v>0</v>
      </c>
      <c r="AR278" s="440">
        <f t="shared" si="517"/>
        <v>0</v>
      </c>
      <c r="AS278" s="441">
        <f>'Feuil-saisie'!DW10/1000000</f>
        <v>0</v>
      </c>
      <c r="AT278" s="450">
        <f>'Feuil-saisie'!EG10/1000000</f>
        <v>0</v>
      </c>
      <c r="AU278" s="451">
        <f>'Feuil-saisie'!EH10/1000000</f>
        <v>0</v>
      </c>
      <c r="AV278" s="453">
        <f t="shared" si="518"/>
        <v>0</v>
      </c>
      <c r="AW278" s="452">
        <f>'Feuil-saisie'!EI10/1000000</f>
        <v>0</v>
      </c>
      <c r="AX278" s="1689">
        <f t="shared" si="504"/>
        <v>1866.6330327700593</v>
      </c>
      <c r="AY278" s="1690">
        <f t="shared" si="505"/>
        <v>288.27647218999999</v>
      </c>
      <c r="AZ278" s="1690">
        <f t="shared" si="506"/>
        <v>2154.9095049600592</v>
      </c>
      <c r="BA278" s="1691">
        <f t="shared" si="507"/>
        <v>849.42821628000002</v>
      </c>
      <c r="BB278" s="1692">
        <f t="shared" si="519"/>
        <v>3004.3377212400592</v>
      </c>
      <c r="BC278" s="482"/>
      <c r="BD278" s="446">
        <f t="shared" si="520"/>
        <v>355.358138250004</v>
      </c>
      <c r="BE278" s="446">
        <f t="shared" si="521"/>
        <v>37.391298409999976</v>
      </c>
      <c r="BF278" s="446">
        <f t="shared" si="522"/>
        <v>392.74943666000399</v>
      </c>
      <c r="BG278" s="446">
        <f t="shared" si="523"/>
        <v>146.63118105000001</v>
      </c>
      <c r="BH278" s="446"/>
    </row>
    <row r="279" spans="1:61" s="662" customFormat="1">
      <c r="A279" s="397" t="s">
        <v>399</v>
      </c>
      <c r="B279" s="438">
        <f>'Feuil-saisie'!E11/1000000</f>
        <v>380.49796951000002</v>
      </c>
      <c r="C279" s="439">
        <f>'Feuil-saisie'!F11/1000000</f>
        <v>6.7600333700000004</v>
      </c>
      <c r="D279" s="440">
        <f t="shared" si="508"/>
        <v>387.25800287999999</v>
      </c>
      <c r="E279" s="441">
        <f>'Feuil-saisie'!G11/1000000</f>
        <v>213.80193087999999</v>
      </c>
      <c r="F279" s="438">
        <f>'Feuil-saisie'!Q11/1000000</f>
        <v>322.22785189999996</v>
      </c>
      <c r="G279" s="439">
        <f>'Feuil-saisie'!R11/1000000</f>
        <v>16.027774270000002</v>
      </c>
      <c r="H279" s="440">
        <f t="shared" si="524"/>
        <v>338.25562616999997</v>
      </c>
      <c r="I279" s="441">
        <f>'Feuil-saisie'!S11/1000000</f>
        <v>211.08346431999999</v>
      </c>
      <c r="J279" s="438">
        <f>'Feuil-saisie'!AC11/1000000</f>
        <v>262.88244050999998</v>
      </c>
      <c r="K279" s="439">
        <f>'Feuil-saisie'!AD11/1000000</f>
        <v>116.29835003999999</v>
      </c>
      <c r="L279" s="440">
        <f t="shared" si="509"/>
        <v>379.18079054999998</v>
      </c>
      <c r="M279" s="441">
        <f>'Feuil-saisie'!AE11/1000000</f>
        <v>203.72773619</v>
      </c>
      <c r="N279" s="438">
        <f>'Feuil-saisie'!AO11/1000000</f>
        <v>346.25273040999997</v>
      </c>
      <c r="O279" s="439">
        <f>'Feuil-saisie'!AP11/1000000</f>
        <v>13.773835250000001</v>
      </c>
      <c r="P279" s="440">
        <f t="shared" si="510"/>
        <v>360.02656565999996</v>
      </c>
      <c r="Q279" s="441">
        <f>'Feuil-saisie'!AQ11/1000000</f>
        <v>216.02711485</v>
      </c>
      <c r="R279" s="450">
        <f>'Feuil-saisie'!BA11/1000000</f>
        <v>275.3175177</v>
      </c>
      <c r="S279" s="451">
        <f>'Feuil-saisie'!BB11/1000000</f>
        <v>18.88499367</v>
      </c>
      <c r="T279" s="453">
        <f t="shared" si="511"/>
        <v>294.20251137000002</v>
      </c>
      <c r="U279" s="452">
        <f>'Feuil-saisie'!BC11/1000000</f>
        <v>219.60100249999999</v>
      </c>
      <c r="V279" s="450">
        <f>'Feuil-saisie'!BM11/1000000</f>
        <v>268.65155937000003</v>
      </c>
      <c r="W279" s="451">
        <f>'Feuil-saisie'!BN11/1000000</f>
        <v>102.12976478000002</v>
      </c>
      <c r="X279" s="453">
        <f t="shared" si="512"/>
        <v>370.78132415000005</v>
      </c>
      <c r="Y279" s="452">
        <f>'Feuil-saisie'!BO11/1000000</f>
        <v>219.76904462000002</v>
      </c>
      <c r="Z279" s="450">
        <f>'Feuil-saisie'!BY11/1000000</f>
        <v>523.51590899999997</v>
      </c>
      <c r="AA279" s="451">
        <f>'Feuil-saisie'!BZ11/1000000</f>
        <v>13.7938695</v>
      </c>
      <c r="AB279" s="453">
        <f t="shared" si="513"/>
        <v>537.30977849999999</v>
      </c>
      <c r="AC279" s="452">
        <f>'Feuil-saisie'!CA11/1000000</f>
        <v>233.90714166000004</v>
      </c>
      <c r="AD279" s="450">
        <f>'Feuil-saisie'!CK11/1000000</f>
        <v>579.18113741999991</v>
      </c>
      <c r="AE279" s="451">
        <f>'Feuil-saisie'!CL11/1000000</f>
        <v>15.77036974</v>
      </c>
      <c r="AF279" s="453">
        <f t="shared" si="514"/>
        <v>594.95150715999989</v>
      </c>
      <c r="AG279" s="452">
        <f>'Feuil-saisie'!CM11/1000000</f>
        <v>292.68985349000002</v>
      </c>
      <c r="AH279" s="450">
        <f>'Feuil-saisie'!CW11/1000000</f>
        <v>0</v>
      </c>
      <c r="AI279" s="451">
        <f>'Feuil-saisie'!CX11/1000000</f>
        <v>0</v>
      </c>
      <c r="AJ279" s="453">
        <f t="shared" si="515"/>
        <v>0</v>
      </c>
      <c r="AK279" s="452">
        <f>'Feuil-saisie'!CY11/1000000</f>
        <v>0</v>
      </c>
      <c r="AL279" s="450">
        <f>'Feuil-saisie'!DI11/1000000</f>
        <v>0</v>
      </c>
      <c r="AM279" s="451">
        <f>'Feuil-saisie'!DJ11/1000000</f>
        <v>0</v>
      </c>
      <c r="AN279" s="453">
        <f t="shared" si="516"/>
        <v>0</v>
      </c>
      <c r="AO279" s="452">
        <f>'Feuil-saisie'!DK11/1000000</f>
        <v>0</v>
      </c>
      <c r="AP279" s="438">
        <f>'Feuil-saisie'!DU11/1000000</f>
        <v>0</v>
      </c>
      <c r="AQ279" s="439">
        <f>'Feuil-saisie'!DV11/1000000</f>
        <v>0</v>
      </c>
      <c r="AR279" s="440">
        <f t="shared" si="517"/>
        <v>0</v>
      </c>
      <c r="AS279" s="441">
        <f>'Feuil-saisie'!DW11/1000000</f>
        <v>0</v>
      </c>
      <c r="AT279" s="450">
        <f>'Feuil-saisie'!EG11/1000000</f>
        <v>0</v>
      </c>
      <c r="AU279" s="451">
        <f>'Feuil-saisie'!EH11/1000000</f>
        <v>0</v>
      </c>
      <c r="AV279" s="453">
        <f t="shared" si="518"/>
        <v>0</v>
      </c>
      <c r="AW279" s="452">
        <f>'Feuil-saisie'!EI11/1000000</f>
        <v>0</v>
      </c>
      <c r="AX279" s="1689">
        <f t="shared" si="504"/>
        <v>2958.5271158199994</v>
      </c>
      <c r="AY279" s="1690">
        <f t="shared" si="505"/>
        <v>303.43899062000003</v>
      </c>
      <c r="AZ279" s="1690">
        <f t="shared" si="506"/>
        <v>3261.9661064399997</v>
      </c>
      <c r="BA279" s="1691">
        <f t="shared" si="507"/>
        <v>1810.6072885099998</v>
      </c>
      <c r="BB279" s="1692">
        <f t="shared" si="519"/>
        <v>5072.5733949499991</v>
      </c>
      <c r="BC279" s="482"/>
      <c r="BD279" s="446">
        <f t="shared" si="520"/>
        <v>579.18113741999991</v>
      </c>
      <c r="BE279" s="446">
        <f t="shared" si="521"/>
        <v>15.77036974</v>
      </c>
      <c r="BF279" s="446">
        <f t="shared" si="522"/>
        <v>594.95150715999989</v>
      </c>
      <c r="BG279" s="446">
        <f t="shared" si="523"/>
        <v>292.68985349000002</v>
      </c>
      <c r="BH279" s="446"/>
      <c r="BI279" s="117"/>
    </row>
    <row r="280" spans="1:61">
      <c r="A280" s="397" t="s">
        <v>883</v>
      </c>
      <c r="B280" s="438">
        <f>'Feuil-saisie'!E12/1000000</f>
        <v>192.13939163000003</v>
      </c>
      <c r="C280" s="439">
        <f>'Feuil-saisie'!F12/1000000</f>
        <v>41.183749939999998</v>
      </c>
      <c r="D280" s="440">
        <f t="shared" si="508"/>
        <v>233.32314157000002</v>
      </c>
      <c r="E280" s="441">
        <f>'Feuil-saisie'!G12/1000000</f>
        <v>106.05830943000001</v>
      </c>
      <c r="F280" s="438">
        <f>'Feuil-saisie'!Q12/1000000</f>
        <v>181.43859277000001</v>
      </c>
      <c r="G280" s="439">
        <f>'Feuil-saisie'!R12/1000000</f>
        <v>53.848456990000003</v>
      </c>
      <c r="H280" s="440">
        <f t="shared" si="524"/>
        <v>235.28704976</v>
      </c>
      <c r="I280" s="441">
        <f>'Feuil-saisie'!S12/1000000</f>
        <v>103.9684074</v>
      </c>
      <c r="J280" s="438">
        <f>'Feuil-saisie'!AC12/1000000</f>
        <v>124.85358392999997</v>
      </c>
      <c r="K280" s="439">
        <f>'Feuil-saisie'!AD12/1000000</f>
        <v>43.857606529999998</v>
      </c>
      <c r="L280" s="440">
        <f t="shared" si="509"/>
        <v>168.71119045999995</v>
      </c>
      <c r="M280" s="441">
        <f>'Feuil-saisie'!AE12/1000000</f>
        <v>105.93428412</v>
      </c>
      <c r="N280" s="438">
        <f>'Feuil-saisie'!AO12/1000000</f>
        <v>189.29597718999997</v>
      </c>
      <c r="O280" s="439">
        <f>'Feuil-saisie'!AP12/1000000</f>
        <v>38.39849843999999</v>
      </c>
      <c r="P280" s="440">
        <f t="shared" si="510"/>
        <v>227.69447562999997</v>
      </c>
      <c r="Q280" s="441">
        <f>'Feuil-saisie'!AQ12/1000000</f>
        <v>117.48226170000001</v>
      </c>
      <c r="R280" s="450">
        <f>'Feuil-saisie'!BA12/1000000</f>
        <v>180.06514856000007</v>
      </c>
      <c r="S280" s="451">
        <f>'Feuil-saisie'!BB12/1000000</f>
        <v>47.878799149999999</v>
      </c>
      <c r="T280" s="453">
        <f t="shared" si="511"/>
        <v>227.94394771000006</v>
      </c>
      <c r="U280" s="452">
        <f>'Feuil-saisie'!BC12/1000000</f>
        <v>123.63801131999999</v>
      </c>
      <c r="V280" s="450">
        <f>'Feuil-saisie'!BM12/1000000</f>
        <v>183.71645879999997</v>
      </c>
      <c r="W280" s="451">
        <f>'Feuil-saisie'!BN12/1000000</f>
        <v>48.838841799999997</v>
      </c>
      <c r="X280" s="453">
        <f t="shared" si="512"/>
        <v>232.55530059999995</v>
      </c>
      <c r="Y280" s="452">
        <f>'Feuil-saisie'!BO12/1000000</f>
        <v>133.50050402000002</v>
      </c>
      <c r="Z280" s="450">
        <f>'Feuil-saisie'!BY12/1000000</f>
        <v>408.65313963000006</v>
      </c>
      <c r="AA280" s="451">
        <f>'Feuil-saisie'!BZ12/1000000</f>
        <v>43.534869369999988</v>
      </c>
      <c r="AB280" s="453">
        <f t="shared" si="513"/>
        <v>452.18800900000002</v>
      </c>
      <c r="AC280" s="452">
        <f>'Feuil-saisie'!CA12/1000000</f>
        <v>144.8377299</v>
      </c>
      <c r="AD280" s="450">
        <f>'Feuil-saisie'!CK12/1000000</f>
        <v>461.61494966725621</v>
      </c>
      <c r="AE280" s="451">
        <f>'Feuil-saisie'!CL12/1000000</f>
        <v>54.320803151731297</v>
      </c>
      <c r="AF280" s="453">
        <f t="shared" si="514"/>
        <v>515.93575281898757</v>
      </c>
      <c r="AG280" s="452">
        <f>'Feuil-saisie'!CM12/1000000</f>
        <v>146.67569547328748</v>
      </c>
      <c r="AH280" s="450">
        <f>'Feuil-saisie'!CW12/1000000</f>
        <v>0</v>
      </c>
      <c r="AI280" s="451">
        <f>'Feuil-saisie'!CX12/1000000</f>
        <v>0</v>
      </c>
      <c r="AJ280" s="453">
        <f t="shared" si="515"/>
        <v>0</v>
      </c>
      <c r="AK280" s="452">
        <f>'Feuil-saisie'!CY12/1000000</f>
        <v>0</v>
      </c>
      <c r="AL280" s="450">
        <f>'Feuil-saisie'!DI12/1000000</f>
        <v>0</v>
      </c>
      <c r="AM280" s="451">
        <f>'Feuil-saisie'!DJ12/1000000</f>
        <v>0</v>
      </c>
      <c r="AN280" s="453">
        <f t="shared" si="516"/>
        <v>0</v>
      </c>
      <c r="AO280" s="452">
        <f>'Feuil-saisie'!DK12/1000000</f>
        <v>0</v>
      </c>
      <c r="AP280" s="438">
        <f>'Feuil-saisie'!DU12/1000000</f>
        <v>0</v>
      </c>
      <c r="AQ280" s="439">
        <f>'Feuil-saisie'!DV12/1000000</f>
        <v>0</v>
      </c>
      <c r="AR280" s="440">
        <f t="shared" si="517"/>
        <v>0</v>
      </c>
      <c r="AS280" s="1247">
        <f>'Feuil-saisie'!DW12/1000000</f>
        <v>0</v>
      </c>
      <c r="AT280" s="450">
        <f>'Feuil-saisie'!EG12/1000000</f>
        <v>0</v>
      </c>
      <c r="AU280" s="451">
        <f>'Feuil-saisie'!EH12/1000000</f>
        <v>0</v>
      </c>
      <c r="AV280" s="453">
        <f t="shared" si="518"/>
        <v>0</v>
      </c>
      <c r="AW280" s="452">
        <f>'Feuil-saisie'!EI12/1000000</f>
        <v>0</v>
      </c>
      <c r="AX280" s="1689">
        <f t="shared" si="504"/>
        <v>1921.7772421772563</v>
      </c>
      <c r="AY280" s="1690">
        <f t="shared" si="505"/>
        <v>371.86162537173124</v>
      </c>
      <c r="AZ280" s="1690">
        <f t="shared" si="506"/>
        <v>2293.6388675489875</v>
      </c>
      <c r="BA280" s="1693">
        <f t="shared" si="507"/>
        <v>982.09520336328751</v>
      </c>
      <c r="BB280" s="1692">
        <f>+AZ280+BA280</f>
        <v>3275.734070912275</v>
      </c>
      <c r="BC280" s="482"/>
      <c r="BD280" s="446">
        <f t="shared" si="520"/>
        <v>461.61494966725621</v>
      </c>
      <c r="BE280" s="446">
        <f t="shared" si="521"/>
        <v>54.320803151731297</v>
      </c>
      <c r="BF280" s="446">
        <f t="shared" si="522"/>
        <v>515.93575281898757</v>
      </c>
      <c r="BG280" s="446">
        <f t="shared" si="523"/>
        <v>146.67569547328748</v>
      </c>
      <c r="BH280" s="446"/>
    </row>
    <row r="281" spans="1:61">
      <c r="A281" s="397" t="s">
        <v>884</v>
      </c>
      <c r="B281" s="438">
        <f>'Feuil-saisie'!E13/1000000</f>
        <v>266.54736201000003</v>
      </c>
      <c r="C281" s="439">
        <f>'Feuil-saisie'!F13/1000000</f>
        <v>44.491657379999999</v>
      </c>
      <c r="D281" s="440">
        <f>B281+C281</f>
        <v>311.03901939000002</v>
      </c>
      <c r="E281" s="441">
        <f>'Feuil-saisie'!G13/1000000</f>
        <v>98.779200079999995</v>
      </c>
      <c r="F281" s="438">
        <f>'Feuil-saisie'!Q13/1000000</f>
        <v>258.41476362000003</v>
      </c>
      <c r="G281" s="439">
        <f>'Feuil-saisie'!R13/1000000</f>
        <v>50.107381409999995</v>
      </c>
      <c r="H281" s="440">
        <f t="shared" si="524"/>
        <v>308.52214503000005</v>
      </c>
      <c r="I281" s="441">
        <f>'Feuil-saisie'!S13/1000000</f>
        <v>95.374218900000002</v>
      </c>
      <c r="J281" s="438">
        <f>'Feuil-saisie'!AC13/1000000</f>
        <v>191.36388657000001</v>
      </c>
      <c r="K281" s="439">
        <f>'Feuil-saisie'!AD13/1000000</f>
        <v>65.332084269999996</v>
      </c>
      <c r="L281" s="440">
        <f>J281+K281</f>
        <v>256.69597083999997</v>
      </c>
      <c r="M281" s="441">
        <f>'Feuil-saisie'!AE13/1000000</f>
        <v>96.263340349999993</v>
      </c>
      <c r="N281" s="438">
        <f>'Feuil-saisie'!AO13/1000000</f>
        <v>252.26985737000001</v>
      </c>
      <c r="O281" s="439">
        <f>'Feuil-saisie'!AP13/1000000</f>
        <v>47.493029800000002</v>
      </c>
      <c r="P281" s="440">
        <f>N281+O281</f>
        <v>299.76288717</v>
      </c>
      <c r="Q281" s="441">
        <f>'Feuil-saisie'!AQ13/1000000</f>
        <v>102.13922840000001</v>
      </c>
      <c r="R281" s="450">
        <f>'Feuil-saisie'!BA13/1000000</f>
        <v>245.74034939999999</v>
      </c>
      <c r="S281" s="451">
        <f>'Feuil-saisie'!BB13/1000000</f>
        <v>51.133630789999991</v>
      </c>
      <c r="T281" s="453">
        <f t="shared" si="511"/>
        <v>296.87398019</v>
      </c>
      <c r="U281" s="452">
        <f>'Feuil-saisie'!BC13/1000000</f>
        <v>119.94825040000001</v>
      </c>
      <c r="V281" s="450">
        <f>'Feuil-saisie'!BM13/1000000</f>
        <v>223.88042547999999</v>
      </c>
      <c r="W281" s="451">
        <f>'Feuil-saisie'!BN13/1000000</f>
        <v>55.709120290000001</v>
      </c>
      <c r="X281" s="453">
        <f t="shared" si="512"/>
        <v>279.58954576999997</v>
      </c>
      <c r="Y281" s="452">
        <f>'Feuil-saisie'!BO13/1000000</f>
        <v>123.6231693</v>
      </c>
      <c r="Z281" s="450">
        <f>'Feuil-saisie'!BY13/1000000</f>
        <v>487.30875774999993</v>
      </c>
      <c r="AA281" s="451">
        <f>'Feuil-saisie'!BZ13/1000000</f>
        <v>51.991040579999996</v>
      </c>
      <c r="AB281" s="453">
        <f t="shared" si="513"/>
        <v>539.29979832999993</v>
      </c>
      <c r="AC281" s="452">
        <f>'Feuil-saisie'!CA13/1000000</f>
        <v>142.21297269999999</v>
      </c>
      <c r="AD281" s="450">
        <f>'Feuil-saisie'!CK13/1000000</f>
        <v>665.93845718999125</v>
      </c>
      <c r="AE281" s="451">
        <f>'Feuil-saisie'!CL13/1000000</f>
        <v>61.526351680000047</v>
      </c>
      <c r="AF281" s="453">
        <f t="shared" si="514"/>
        <v>727.46480886999132</v>
      </c>
      <c r="AG281" s="452">
        <f>'Feuil-saisie'!CM13/1000000</f>
        <v>107.9944763</v>
      </c>
      <c r="AH281" s="450">
        <f>'Feuil-saisie'!CW13/1000000</f>
        <v>0</v>
      </c>
      <c r="AI281" s="451">
        <f>'Feuil-saisie'!CX13/1000000</f>
        <v>0</v>
      </c>
      <c r="AJ281" s="453">
        <f t="shared" si="515"/>
        <v>0</v>
      </c>
      <c r="AK281" s="452">
        <f>'Feuil-saisie'!CY13/1000000</f>
        <v>0</v>
      </c>
      <c r="AL281" s="450">
        <f>'Feuil-saisie'!DI13/1000000</f>
        <v>0</v>
      </c>
      <c r="AM281" s="451">
        <f>'Feuil-saisie'!DJ13/1000000</f>
        <v>0</v>
      </c>
      <c r="AN281" s="453">
        <f t="shared" si="516"/>
        <v>0</v>
      </c>
      <c r="AO281" s="452">
        <f>'Feuil-saisie'!DK13/1000000</f>
        <v>0</v>
      </c>
      <c r="AP281" s="438">
        <f>'Feuil-saisie'!DU13/1000000</f>
        <v>0</v>
      </c>
      <c r="AQ281" s="439">
        <f>'Feuil-saisie'!DV13/1000000</f>
        <v>0</v>
      </c>
      <c r="AR281" s="440">
        <f t="shared" si="517"/>
        <v>0</v>
      </c>
      <c r="AS281" s="441">
        <f>'Feuil-saisie'!DW13/1000000</f>
        <v>0</v>
      </c>
      <c r="AT281" s="450">
        <f>'Feuil-saisie'!EG13/1000000</f>
        <v>0</v>
      </c>
      <c r="AU281" s="451">
        <f>'Feuil-saisie'!EH13/1000000</f>
        <v>0</v>
      </c>
      <c r="AV281" s="453">
        <f t="shared" si="518"/>
        <v>0</v>
      </c>
      <c r="AW281" s="452">
        <f>'Feuil-saisie'!EI13/1000000</f>
        <v>0</v>
      </c>
      <c r="AX281" s="1689">
        <f t="shared" si="504"/>
        <v>2591.4638593899913</v>
      </c>
      <c r="AY281" s="1690">
        <f t="shared" si="505"/>
        <v>427.78429620000003</v>
      </c>
      <c r="AZ281" s="1690">
        <f t="shared" si="506"/>
        <v>3019.2481555899913</v>
      </c>
      <c r="BA281" s="1691">
        <f t="shared" si="507"/>
        <v>886.33485642999995</v>
      </c>
      <c r="BB281" s="1692">
        <f t="shared" si="519"/>
        <v>3905.5830120199912</v>
      </c>
      <c r="BC281" s="482"/>
      <c r="BD281" s="446">
        <f t="shared" si="520"/>
        <v>665.93845718999125</v>
      </c>
      <c r="BE281" s="446">
        <f t="shared" si="521"/>
        <v>61.526351680000047</v>
      </c>
      <c r="BF281" s="446">
        <f t="shared" si="522"/>
        <v>727.46480886999132</v>
      </c>
      <c r="BG281" s="446">
        <f t="shared" si="523"/>
        <v>107.9944763</v>
      </c>
      <c r="BH281" s="446"/>
    </row>
    <row r="282" spans="1:61" s="487" customFormat="1" ht="14.4" thickBot="1">
      <c r="A282" s="397" t="s">
        <v>885</v>
      </c>
      <c r="B282" s="438">
        <f>'Feuil-saisie'!E14/1000000</f>
        <v>47.928377820000314</v>
      </c>
      <c r="C282" s="439">
        <f>'Feuil-saisie'!F14/1000000</f>
        <v>17.962890050000006</v>
      </c>
      <c r="D282" s="440">
        <f t="shared" si="508"/>
        <v>65.89126787000032</v>
      </c>
      <c r="E282" s="441">
        <f>'Feuil-saisie'!G14/1000000</f>
        <v>23.09646609000001</v>
      </c>
      <c r="F282" s="650">
        <f>'Feuil-saisie'!Q14/1000000</f>
        <v>49.975441789999998</v>
      </c>
      <c r="G282" s="439">
        <f>'Feuil-saisie'!R14/1000000</f>
        <v>22.165406099999998</v>
      </c>
      <c r="H282" s="440">
        <f t="shared" si="524"/>
        <v>72.140847890000003</v>
      </c>
      <c r="I282" s="441">
        <f>'Feuil-saisie'!S14/1000000</f>
        <v>21.741308709999998</v>
      </c>
      <c r="J282" s="650">
        <f>'Feuil-saisie'!AC14/1000000</f>
        <v>36.224758710000003</v>
      </c>
      <c r="K282" s="463">
        <f>'Feuil-saisie'!AD14/1000000</f>
        <v>24.232083710000001</v>
      </c>
      <c r="L282" s="440">
        <f t="shared" si="509"/>
        <v>60.456842420000001</v>
      </c>
      <c r="M282" s="441">
        <f>'Feuil-saisie'!AE14/1000000</f>
        <v>23.072246839999998</v>
      </c>
      <c r="N282" s="438">
        <f>'Feuil-saisie'!AO14/1000000</f>
        <v>56.473489969999996</v>
      </c>
      <c r="O282" s="439">
        <f>'Feuil-saisie'!AP14/1000000</f>
        <v>19.792602330000001</v>
      </c>
      <c r="P282" s="440">
        <f t="shared" si="510"/>
        <v>76.266092299999997</v>
      </c>
      <c r="Q282" s="441">
        <f>'Feuil-saisie'!AQ14/1000000</f>
        <v>23.239603849999998</v>
      </c>
      <c r="R282" s="450">
        <f>'Feuil-saisie'!BA14/1000000</f>
        <v>51.619559600000002</v>
      </c>
      <c r="S282" s="451">
        <f>'Feuil-saisie'!BB14/1000000</f>
        <v>17.728942870000001</v>
      </c>
      <c r="T282" s="453">
        <f t="shared" si="511"/>
        <v>69.34850247</v>
      </c>
      <c r="U282" s="452">
        <f>'Feuil-saisie'!BC14/1000000</f>
        <v>25.446173430000002</v>
      </c>
      <c r="V282" s="450">
        <f>'Feuil-saisie'!BM14/1000000</f>
        <v>36.762800950000006</v>
      </c>
      <c r="W282" s="451">
        <f>'Feuil-saisie'!BN14/1000000</f>
        <v>17.118523990000003</v>
      </c>
      <c r="X282" s="453">
        <f t="shared" si="512"/>
        <v>53.881324940000013</v>
      </c>
      <c r="Y282" s="452">
        <f>'Feuil-saisie'!BO14/1000000</f>
        <v>23.190018759999997</v>
      </c>
      <c r="Z282" s="450">
        <f>'Feuil-saisie'!BY14/1000000</f>
        <v>81.051395780000007</v>
      </c>
      <c r="AA282" s="451">
        <f>'Feuil-saisie'!BZ14/1000000</f>
        <v>17.024476330000002</v>
      </c>
      <c r="AB282" s="453">
        <f t="shared" si="513"/>
        <v>98.075872110000006</v>
      </c>
      <c r="AC282" s="452">
        <f>'Feuil-saisie'!CA14/1000000</f>
        <v>22.968385999999995</v>
      </c>
      <c r="AD282" s="827">
        <f>'Feuil-saisie'!CK14/1000000</f>
        <v>96.532057519999981</v>
      </c>
      <c r="AE282" s="828">
        <f>'Feuil-saisie'!CL14/1000000</f>
        <v>20.515560220000005</v>
      </c>
      <c r="AF282" s="453">
        <f t="shared" si="514"/>
        <v>117.04761773999999</v>
      </c>
      <c r="AG282" s="452">
        <f>'Feuil-saisie'!CM14/1000000</f>
        <v>23.37974809</v>
      </c>
      <c r="AH282" s="827">
        <f>'Feuil-saisie'!CW14/1000000</f>
        <v>0</v>
      </c>
      <c r="AI282" s="828">
        <f>'Feuil-saisie'!CX14/1000000</f>
        <v>0</v>
      </c>
      <c r="AJ282" s="453">
        <f t="shared" si="515"/>
        <v>0</v>
      </c>
      <c r="AK282" s="829">
        <f>'Feuil-saisie'!CY14/1000000</f>
        <v>0</v>
      </c>
      <c r="AL282" s="827">
        <f>'Feuil-saisie'!DI14/1000000</f>
        <v>0</v>
      </c>
      <c r="AM282" s="828">
        <f>'Feuil-saisie'!DJ14/1000000</f>
        <v>0</v>
      </c>
      <c r="AN282" s="453">
        <f t="shared" si="516"/>
        <v>0</v>
      </c>
      <c r="AO282" s="829">
        <f>'Feuil-saisie'!DK14/1000000</f>
        <v>0</v>
      </c>
      <c r="AP282" s="438">
        <f>'Feuil-saisie'!DU14/1000000</f>
        <v>0</v>
      </c>
      <c r="AQ282" s="439">
        <f>'Feuil-saisie'!DV14/1000000</f>
        <v>0</v>
      </c>
      <c r="AR282" s="440">
        <f t="shared" si="517"/>
        <v>0</v>
      </c>
      <c r="AS282" s="441">
        <f>'Feuil-saisie'!DW14/1000000</f>
        <v>0</v>
      </c>
      <c r="AT282" s="450">
        <f>'Feuil-saisie'!EG14/1000000</f>
        <v>0</v>
      </c>
      <c r="AU282" s="451">
        <f>'Feuil-saisie'!EH14/1000000</f>
        <v>0</v>
      </c>
      <c r="AV282" s="453">
        <f t="shared" si="518"/>
        <v>0</v>
      </c>
      <c r="AW282" s="452">
        <f>'Feuil-saisie'!EI14/1000000</f>
        <v>0</v>
      </c>
      <c r="AX282" s="1689">
        <f t="shared" si="504"/>
        <v>456.56788214000028</v>
      </c>
      <c r="AY282" s="1690">
        <f t="shared" si="505"/>
        <v>156.54048560000001</v>
      </c>
      <c r="AZ282" s="1690">
        <f t="shared" si="506"/>
        <v>613.10836774000029</v>
      </c>
      <c r="BA282" s="1691">
        <f t="shared" si="507"/>
        <v>186.13395176999998</v>
      </c>
      <c r="BB282" s="1692">
        <f t="shared" si="519"/>
        <v>799.24231951000024</v>
      </c>
      <c r="BC282" s="482"/>
      <c r="BD282" s="446">
        <f t="shared" si="520"/>
        <v>96.532057519999981</v>
      </c>
      <c r="BE282" s="446">
        <f t="shared" si="521"/>
        <v>20.515560220000005</v>
      </c>
      <c r="BF282" s="446">
        <f t="shared" si="522"/>
        <v>117.04761773999999</v>
      </c>
      <c r="BG282" s="446">
        <f t="shared" si="523"/>
        <v>23.37974809</v>
      </c>
      <c r="BH282" s="446"/>
      <c r="BI282" s="117"/>
    </row>
    <row r="283" spans="1:61" ht="14.4" thickBot="1">
      <c r="A283" s="433" t="s">
        <v>16</v>
      </c>
      <c r="B283" s="455">
        <f t="shared" ref="B283:AG283" si="525">SUM(B273:B282)</f>
        <v>2363.8440592500078</v>
      </c>
      <c r="C283" s="456">
        <f t="shared" si="525"/>
        <v>325.39050975999999</v>
      </c>
      <c r="D283" s="456">
        <f t="shared" si="525"/>
        <v>2689.2345690100078</v>
      </c>
      <c r="E283" s="457">
        <f t="shared" si="525"/>
        <v>1259.9235634299998</v>
      </c>
      <c r="F283" s="455">
        <f t="shared" si="525"/>
        <v>2342.7923581600085</v>
      </c>
      <c r="G283" s="456">
        <f t="shared" si="525"/>
        <v>360.32963088999998</v>
      </c>
      <c r="H283" s="456">
        <f t="shared" si="525"/>
        <v>2703.1219890500083</v>
      </c>
      <c r="I283" s="457">
        <f t="shared" si="525"/>
        <v>1244.0289107999997</v>
      </c>
      <c r="J283" s="455">
        <f t="shared" si="525"/>
        <v>1958.3728000300073</v>
      </c>
      <c r="K283" s="456">
        <f t="shared" si="525"/>
        <v>665.79896572999996</v>
      </c>
      <c r="L283" s="456">
        <f t="shared" si="525"/>
        <v>2624.1717657600075</v>
      </c>
      <c r="M283" s="457">
        <f t="shared" si="525"/>
        <v>1271.8482119099999</v>
      </c>
      <c r="N283" s="455">
        <f t="shared" si="525"/>
        <v>2393.6240488000067</v>
      </c>
      <c r="O283" s="456">
        <f t="shared" si="525"/>
        <v>337.39334277999995</v>
      </c>
      <c r="P283" s="456">
        <f t="shared" si="525"/>
        <v>2731.0173915800065</v>
      </c>
      <c r="Q283" s="457">
        <f t="shared" si="525"/>
        <v>1277.3434171900003</v>
      </c>
      <c r="R283" s="458">
        <f t="shared" si="525"/>
        <v>2254.58440135001</v>
      </c>
      <c r="S283" s="477">
        <f t="shared" si="525"/>
        <v>355.65747906000007</v>
      </c>
      <c r="T283" s="477">
        <f t="shared" si="525"/>
        <v>2610.2418804100098</v>
      </c>
      <c r="U283" s="499">
        <f t="shared" si="525"/>
        <v>1380.2885879800001</v>
      </c>
      <c r="V283" s="458">
        <f t="shared" si="525"/>
        <v>2222.5139184800069</v>
      </c>
      <c r="W283" s="477">
        <f t="shared" si="525"/>
        <v>566.63128323000001</v>
      </c>
      <c r="X283" s="477">
        <f t="shared" si="525"/>
        <v>2789.1452017100064</v>
      </c>
      <c r="Y283" s="499">
        <f t="shared" si="525"/>
        <v>1428.8590224</v>
      </c>
      <c r="Z283" s="458">
        <f t="shared" si="525"/>
        <v>3994.245498030009</v>
      </c>
      <c r="AA283" s="477">
        <f t="shared" si="525"/>
        <v>331.91951867000006</v>
      </c>
      <c r="AB283" s="477">
        <f t="shared" si="525"/>
        <v>4326.1650167000089</v>
      </c>
      <c r="AC283" s="499">
        <f t="shared" si="525"/>
        <v>1525.6190375499998</v>
      </c>
      <c r="AD283" s="458">
        <f t="shared" si="525"/>
        <v>4672.0697036012398</v>
      </c>
      <c r="AE283" s="477">
        <f t="shared" si="525"/>
        <v>342.55046571751529</v>
      </c>
      <c r="AF283" s="477">
        <f t="shared" si="525"/>
        <v>5014.620169318755</v>
      </c>
      <c r="AG283" s="499">
        <f t="shared" si="525"/>
        <v>1604.9917344092876</v>
      </c>
      <c r="AH283" s="458">
        <f t="shared" ref="AH283:BB283" si="526">SUM(AH273:AH282)</f>
        <v>0</v>
      </c>
      <c r="AI283" s="477">
        <f t="shared" si="526"/>
        <v>0</v>
      </c>
      <c r="AJ283" s="477">
        <f t="shared" si="526"/>
        <v>0</v>
      </c>
      <c r="AK283" s="499">
        <f t="shared" si="526"/>
        <v>0</v>
      </c>
      <c r="AL283" s="458">
        <f t="shared" si="526"/>
        <v>0</v>
      </c>
      <c r="AM283" s="477">
        <f t="shared" si="526"/>
        <v>0</v>
      </c>
      <c r="AN283" s="477">
        <f t="shared" si="526"/>
        <v>0</v>
      </c>
      <c r="AO283" s="499">
        <f t="shared" si="526"/>
        <v>0</v>
      </c>
      <c r="AP283" s="455">
        <f t="shared" si="526"/>
        <v>0</v>
      </c>
      <c r="AQ283" s="456">
        <f t="shared" si="526"/>
        <v>0</v>
      </c>
      <c r="AR283" s="456">
        <f t="shared" si="526"/>
        <v>0</v>
      </c>
      <c r="AS283" s="457">
        <f t="shared" si="526"/>
        <v>0</v>
      </c>
      <c r="AT283" s="458">
        <f t="shared" si="526"/>
        <v>0</v>
      </c>
      <c r="AU283" s="477">
        <f t="shared" si="526"/>
        <v>0</v>
      </c>
      <c r="AV283" s="477">
        <f t="shared" si="526"/>
        <v>0</v>
      </c>
      <c r="AW283" s="499">
        <f t="shared" si="526"/>
        <v>0</v>
      </c>
      <c r="AX283" s="1694">
        <f t="shared" si="526"/>
        <v>22202.046787701296</v>
      </c>
      <c r="AY283" s="1695">
        <f t="shared" si="526"/>
        <v>3285.6711958375154</v>
      </c>
      <c r="AZ283" s="1695">
        <f t="shared" si="526"/>
        <v>25487.717983538809</v>
      </c>
      <c r="BA283" s="2157">
        <f t="shared" si="526"/>
        <v>10992.902485669285</v>
      </c>
      <c r="BB283" s="1696">
        <f t="shared" si="526"/>
        <v>36480.620469208094</v>
      </c>
      <c r="BC283" s="482"/>
      <c r="BD283" s="446">
        <f t="shared" si="520"/>
        <v>4672.0697036012398</v>
      </c>
      <c r="BE283" s="446">
        <f t="shared" si="521"/>
        <v>342.55046571751529</v>
      </c>
      <c r="BF283" s="446">
        <f t="shared" si="522"/>
        <v>5014.620169318755</v>
      </c>
      <c r="BG283" s="446">
        <f t="shared" si="523"/>
        <v>1604.9917344092876</v>
      </c>
      <c r="BH283" s="446"/>
    </row>
    <row r="284" spans="1:61" ht="14.4">
      <c r="F284" s="471"/>
      <c r="G284" s="471"/>
      <c r="I284" s="471"/>
      <c r="L284" s="395"/>
      <c r="M284" s="395"/>
      <c r="N284" s="471"/>
      <c r="O284" s="471"/>
      <c r="P284" s="395"/>
      <c r="Q284" s="665">
        <f>Q283+P283</f>
        <v>4008.3608087700068</v>
      </c>
      <c r="T284" s="445"/>
      <c r="U284" s="446"/>
      <c r="V284" s="663"/>
      <c r="W284" s="559"/>
      <c r="X284" s="446"/>
      <c r="Y284" s="446"/>
      <c r="AB284" s="659">
        <f>AB283+AF283+AJ283</f>
        <v>9340.7851860187639</v>
      </c>
      <c r="AC284" s="659">
        <f>AC283+AG283+AK283</f>
        <v>3130.6107719592874</v>
      </c>
      <c r="AD284" s="471"/>
      <c r="AE284" s="471"/>
      <c r="AG284" s="471"/>
      <c r="AH284" s="664"/>
      <c r="AI284" s="498"/>
      <c r="AJ284" s="1243"/>
      <c r="AK284" s="1243"/>
      <c r="AM284" s="665"/>
      <c r="AO284" s="665"/>
      <c r="AQ284" s="446"/>
      <c r="AR284" s="445"/>
      <c r="AT284" s="1106"/>
      <c r="AU284" s="471"/>
      <c r="AV284" s="446"/>
      <c r="AW284" s="471"/>
      <c r="AZ284" s="659"/>
      <c r="BB284" s="659"/>
      <c r="BF284" s="117">
        <f>T284</f>
        <v>0</v>
      </c>
    </row>
    <row r="285" spans="1:61" ht="14.4">
      <c r="B285" s="471"/>
      <c r="C285" s="471"/>
      <c r="E285" s="471"/>
      <c r="I285" s="469"/>
      <c r="M285" s="395"/>
      <c r="N285" s="498"/>
      <c r="P285" s="471"/>
      <c r="Q285" s="481"/>
      <c r="R285" s="471"/>
      <c r="S285" s="498"/>
      <c r="U285" s="1391"/>
      <c r="V285" s="471"/>
      <c r="W285" s="471"/>
      <c r="X285" s="445">
        <f>X276+Y276</f>
        <v>514.45724622</v>
      </c>
      <c r="Y285" s="555"/>
      <c r="Z285" s="471"/>
      <c r="AA285" s="471"/>
      <c r="AC285" s="471"/>
      <c r="AD285" s="471"/>
      <c r="AG285" s="471"/>
      <c r="AH285" s="471"/>
      <c r="AL285" s="471"/>
      <c r="AM285" s="498"/>
      <c r="AO285" s="498"/>
      <c r="AP285" s="1112"/>
      <c r="AU285" s="469"/>
      <c r="AX285" s="445"/>
      <c r="AY285" s="445"/>
      <c r="BA285" s="445"/>
    </row>
    <row r="286" spans="1:61" ht="18">
      <c r="A286" s="393" t="s">
        <v>87</v>
      </c>
      <c r="Y286" s="498"/>
      <c r="AS286" s="471"/>
      <c r="AU286" s="446"/>
    </row>
    <row r="287" spans="1:61" ht="18.600000000000001" thickBot="1">
      <c r="A287" s="394">
        <f>A255</f>
        <v>2023</v>
      </c>
      <c r="BF287" s="446"/>
      <c r="BG287" s="446"/>
      <c r="BI287" s="446"/>
    </row>
    <row r="288" spans="1:61">
      <c r="A288" s="2815" t="s">
        <v>308</v>
      </c>
      <c r="B288" s="2827" t="s">
        <v>71</v>
      </c>
      <c r="C288" s="2828"/>
      <c r="D288" s="2828"/>
      <c r="E288" s="3091"/>
      <c r="F288" s="2829" t="s">
        <v>72</v>
      </c>
      <c r="G288" s="2830"/>
      <c r="H288" s="2830"/>
      <c r="I288" s="3095"/>
      <c r="J288" s="2817" t="s">
        <v>73</v>
      </c>
      <c r="K288" s="2818"/>
      <c r="L288" s="2818"/>
      <c r="M288" s="3094"/>
      <c r="N288" s="2819" t="s">
        <v>74</v>
      </c>
      <c r="O288" s="2820"/>
      <c r="P288" s="2820"/>
      <c r="Q288" s="3090"/>
      <c r="R288" s="2821" t="s">
        <v>75</v>
      </c>
      <c r="S288" s="2822"/>
      <c r="T288" s="2822"/>
      <c r="U288" s="3093"/>
      <c r="V288" s="2823" t="s">
        <v>76</v>
      </c>
      <c r="W288" s="2824"/>
      <c r="X288" s="2824"/>
      <c r="Y288" s="3089"/>
      <c r="Z288" s="2827" t="s">
        <v>77</v>
      </c>
      <c r="AA288" s="2828"/>
      <c r="AB288" s="2828"/>
      <c r="AC288" s="3091"/>
      <c r="AD288" s="2829" t="s">
        <v>78</v>
      </c>
      <c r="AE288" s="2830"/>
      <c r="AF288" s="2830"/>
      <c r="AG288" s="3095"/>
      <c r="AH288" s="2817" t="s">
        <v>79</v>
      </c>
      <c r="AI288" s="2818"/>
      <c r="AJ288" s="2818"/>
      <c r="AK288" s="3094"/>
      <c r="AL288" s="2819" t="s">
        <v>80</v>
      </c>
      <c r="AM288" s="2820"/>
      <c r="AN288" s="2820"/>
      <c r="AO288" s="3090"/>
      <c r="AP288" s="2821" t="s">
        <v>81</v>
      </c>
      <c r="AQ288" s="2822"/>
      <c r="AR288" s="2822"/>
      <c r="AS288" s="3093"/>
      <c r="AT288" s="2823" t="s">
        <v>82</v>
      </c>
      <c r="AU288" s="2824"/>
      <c r="AV288" s="2824"/>
      <c r="AW288" s="3089"/>
      <c r="AX288" s="3097" t="s">
        <v>83</v>
      </c>
      <c r="AY288" s="3098"/>
      <c r="AZ288" s="3098"/>
      <c r="BA288" s="3098"/>
      <c r="BB288" s="3099"/>
      <c r="BF288" s="446"/>
      <c r="BG288" s="446"/>
      <c r="BI288" s="446"/>
    </row>
    <row r="289" spans="1:61" ht="14.4" thickBot="1">
      <c r="A289" s="2816"/>
      <c r="B289" s="402" t="s">
        <v>17</v>
      </c>
      <c r="C289" s="403" t="s">
        <v>18</v>
      </c>
      <c r="D289" s="403" t="s">
        <v>52</v>
      </c>
      <c r="E289" s="404" t="s">
        <v>19</v>
      </c>
      <c r="F289" s="402" t="s">
        <v>17</v>
      </c>
      <c r="G289" s="403" t="s">
        <v>18</v>
      </c>
      <c r="H289" s="403" t="s">
        <v>52</v>
      </c>
      <c r="I289" s="404" t="s">
        <v>19</v>
      </c>
      <c r="J289" s="402" t="s">
        <v>17</v>
      </c>
      <c r="K289" s="403" t="s">
        <v>18</v>
      </c>
      <c r="L289" s="403" t="s">
        <v>52</v>
      </c>
      <c r="M289" s="404" t="s">
        <v>19</v>
      </c>
      <c r="N289" s="402" t="s">
        <v>17</v>
      </c>
      <c r="O289" s="403" t="s">
        <v>18</v>
      </c>
      <c r="P289" s="403" t="s">
        <v>52</v>
      </c>
      <c r="Q289" s="404" t="s">
        <v>19</v>
      </c>
      <c r="R289" s="402" t="s">
        <v>17</v>
      </c>
      <c r="S289" s="403" t="s">
        <v>18</v>
      </c>
      <c r="T289" s="403" t="s">
        <v>52</v>
      </c>
      <c r="U289" s="404" t="s">
        <v>19</v>
      </c>
      <c r="V289" s="402" t="s">
        <v>17</v>
      </c>
      <c r="W289" s="403" t="s">
        <v>18</v>
      </c>
      <c r="X289" s="403" t="s">
        <v>52</v>
      </c>
      <c r="Y289" s="404" t="s">
        <v>19</v>
      </c>
      <c r="Z289" s="402" t="s">
        <v>17</v>
      </c>
      <c r="AA289" s="403" t="s">
        <v>18</v>
      </c>
      <c r="AB289" s="403" t="s">
        <v>52</v>
      </c>
      <c r="AC289" s="404" t="s">
        <v>19</v>
      </c>
      <c r="AD289" s="402" t="s">
        <v>17</v>
      </c>
      <c r="AE289" s="403" t="s">
        <v>18</v>
      </c>
      <c r="AF289" s="403" t="s">
        <v>52</v>
      </c>
      <c r="AG289" s="404" t="s">
        <v>19</v>
      </c>
      <c r="AH289" s="402" t="s">
        <v>17</v>
      </c>
      <c r="AI289" s="403" t="s">
        <v>18</v>
      </c>
      <c r="AJ289" s="403" t="s">
        <v>52</v>
      </c>
      <c r="AK289" s="404" t="s">
        <v>19</v>
      </c>
      <c r="AL289" s="402" t="s">
        <v>17</v>
      </c>
      <c r="AM289" s="403" t="s">
        <v>18</v>
      </c>
      <c r="AN289" s="403" t="s">
        <v>52</v>
      </c>
      <c r="AO289" s="404" t="s">
        <v>19</v>
      </c>
      <c r="AP289" s="1107" t="s">
        <v>17</v>
      </c>
      <c r="AQ289" s="403" t="s">
        <v>18</v>
      </c>
      <c r="AR289" s="403" t="s">
        <v>52</v>
      </c>
      <c r="AS289" s="404" t="s">
        <v>19</v>
      </c>
      <c r="AT289" s="402" t="s">
        <v>17</v>
      </c>
      <c r="AU289" s="403" t="s">
        <v>18</v>
      </c>
      <c r="AV289" s="403" t="s">
        <v>52</v>
      </c>
      <c r="AW289" s="404" t="s">
        <v>19</v>
      </c>
      <c r="AX289" s="403" t="s">
        <v>17</v>
      </c>
      <c r="AY289" s="403" t="s">
        <v>18</v>
      </c>
      <c r="AZ289" s="403" t="s">
        <v>52</v>
      </c>
      <c r="BA289" s="431" t="s">
        <v>19</v>
      </c>
      <c r="BB289" s="404" t="s">
        <v>160</v>
      </c>
      <c r="BE289" s="117" t="s">
        <v>52</v>
      </c>
      <c r="BF289" s="446" t="s">
        <v>19</v>
      </c>
      <c r="BG289" s="446"/>
      <c r="BI289" s="446"/>
    </row>
    <row r="290" spans="1:61">
      <c r="A290" s="397" t="s">
        <v>6</v>
      </c>
      <c r="B290" s="438">
        <f t="shared" ref="B290:AG290" si="527">+B258/B194*100</f>
        <v>464.7064113444099</v>
      </c>
      <c r="C290" s="439">
        <f t="shared" si="527"/>
        <v>404.06866681849556</v>
      </c>
      <c r="D290" s="440">
        <f t="shared" si="527"/>
        <v>458.42248137544567</v>
      </c>
      <c r="E290" s="441">
        <f>+E258/E194*100</f>
        <v>397.6186607946708</v>
      </c>
      <c r="F290" s="438">
        <f t="shared" si="527"/>
        <v>468.47660458842455</v>
      </c>
      <c r="G290" s="439">
        <f t="shared" si="527"/>
        <v>424.37660967861808</v>
      </c>
      <c r="H290" s="440">
        <f t="shared" si="527"/>
        <v>463.98233492962032</v>
      </c>
      <c r="I290" s="441">
        <f t="shared" si="527"/>
        <v>399.29944675980715</v>
      </c>
      <c r="J290" s="438">
        <f t="shared" si="527"/>
        <v>464.20840065560685</v>
      </c>
      <c r="K290" s="439">
        <f t="shared" si="527"/>
        <v>414.65629170865219</v>
      </c>
      <c r="L290" s="440">
        <f t="shared" si="527"/>
        <v>455.42281044336488</v>
      </c>
      <c r="M290" s="441">
        <f t="shared" si="527"/>
        <v>389.10221040385704</v>
      </c>
      <c r="N290" s="438">
        <f t="shared" si="527"/>
        <v>462.96531531724031</v>
      </c>
      <c r="O290" s="439">
        <f t="shared" si="527"/>
        <v>388.73632430297306</v>
      </c>
      <c r="P290" s="440">
        <f t="shared" si="527"/>
        <v>454.75954736004667</v>
      </c>
      <c r="Q290" s="441">
        <f t="shared" si="527"/>
        <v>395.14330276937147</v>
      </c>
      <c r="R290" s="438">
        <f t="shared" si="527"/>
        <v>460.33550298794535</v>
      </c>
      <c r="S290" s="439">
        <f t="shared" si="527"/>
        <v>378.70586624109939</v>
      </c>
      <c r="T290" s="440">
        <f t="shared" si="527"/>
        <v>451.16668313421042</v>
      </c>
      <c r="U290" s="441">
        <f t="shared" si="527"/>
        <v>393.01449287963095</v>
      </c>
      <c r="V290" s="438">
        <f t="shared" si="527"/>
        <v>457.95895954590355</v>
      </c>
      <c r="W290" s="439">
        <f t="shared" si="527"/>
        <v>412.76016051628898</v>
      </c>
      <c r="X290" s="440">
        <f t="shared" si="527"/>
        <v>451.09575860866789</v>
      </c>
      <c r="Y290" s="441">
        <f t="shared" si="527"/>
        <v>403.44500302390907</v>
      </c>
      <c r="Z290" s="438">
        <f t="shared" si="527"/>
        <v>480.8140221694851</v>
      </c>
      <c r="AA290" s="439">
        <f t="shared" si="527"/>
        <v>399.47221952448399</v>
      </c>
      <c r="AB290" s="440">
        <f t="shared" si="527"/>
        <v>475.84657725733041</v>
      </c>
      <c r="AC290" s="441">
        <f t="shared" si="527"/>
        <v>369.50799097593404</v>
      </c>
      <c r="AD290" s="438">
        <f t="shared" si="527"/>
        <v>491.12345850993682</v>
      </c>
      <c r="AE290" s="439">
        <f t="shared" si="527"/>
        <v>419.92394210276308</v>
      </c>
      <c r="AF290" s="440">
        <f t="shared" si="527"/>
        <v>487.0493154103529</v>
      </c>
      <c r="AG290" s="441">
        <f t="shared" si="527"/>
        <v>378.82957550573991</v>
      </c>
      <c r="AH290" s="438" t="e">
        <f t="shared" ref="AH290:BB290" si="528">+AH258/AH194*100</f>
        <v>#DIV/0!</v>
      </c>
      <c r="AI290" s="439" t="e">
        <f t="shared" si="528"/>
        <v>#DIV/0!</v>
      </c>
      <c r="AJ290" s="440" t="e">
        <f t="shared" si="528"/>
        <v>#DIV/0!</v>
      </c>
      <c r="AK290" s="441" t="e">
        <f t="shared" si="528"/>
        <v>#DIV/0!</v>
      </c>
      <c r="AL290" s="438" t="e">
        <f t="shared" si="528"/>
        <v>#DIV/0!</v>
      </c>
      <c r="AM290" s="439" t="e">
        <f t="shared" si="528"/>
        <v>#DIV/0!</v>
      </c>
      <c r="AN290" s="440" t="e">
        <f t="shared" si="528"/>
        <v>#DIV/0!</v>
      </c>
      <c r="AO290" s="441" t="e">
        <f t="shared" si="528"/>
        <v>#DIV/0!</v>
      </c>
      <c r="AP290" s="438" t="e">
        <f t="shared" si="528"/>
        <v>#DIV/0!</v>
      </c>
      <c r="AQ290" s="439" t="e">
        <f t="shared" si="528"/>
        <v>#DIV/0!</v>
      </c>
      <c r="AR290" s="440" t="e">
        <f t="shared" si="528"/>
        <v>#DIV/0!</v>
      </c>
      <c r="AS290" s="441" t="e">
        <f t="shared" si="528"/>
        <v>#DIV/0!</v>
      </c>
      <c r="AT290" s="438" t="e">
        <f t="shared" si="528"/>
        <v>#DIV/0!</v>
      </c>
      <c r="AU290" s="439" t="e">
        <f t="shared" si="528"/>
        <v>#DIV/0!</v>
      </c>
      <c r="AV290" s="440" t="e">
        <f t="shared" si="528"/>
        <v>#DIV/0!</v>
      </c>
      <c r="AW290" s="441" t="e">
        <f t="shared" si="528"/>
        <v>#DIV/0!</v>
      </c>
      <c r="AX290" s="660">
        <f t="shared" si="528"/>
        <v>472.31612237835918</v>
      </c>
      <c r="AY290" s="490">
        <f t="shared" si="528"/>
        <v>406.59029698555304</v>
      </c>
      <c r="AZ290" s="490">
        <f t="shared" si="528"/>
        <v>465.64655547066008</v>
      </c>
      <c r="BA290" s="491">
        <f t="shared" si="528"/>
        <v>389.2461648082944</v>
      </c>
      <c r="BB290" s="492">
        <f t="shared" si="528"/>
        <v>435.71687033423876</v>
      </c>
      <c r="BC290" s="117">
        <f>BB290/100</f>
        <v>4.3571687033423876</v>
      </c>
      <c r="BE290" s="446">
        <f>AF290</f>
        <v>487.0493154103529</v>
      </c>
      <c r="BF290" s="446">
        <f>AG290</f>
        <v>378.82957550573991</v>
      </c>
      <c r="BG290" s="446"/>
      <c r="BH290" s="446"/>
      <c r="BI290" s="446"/>
    </row>
    <row r="291" spans="1:61">
      <c r="A291" s="397" t="s">
        <v>7</v>
      </c>
      <c r="B291" s="438">
        <f t="shared" ref="B291:AG291" si="529">+B259/B195*100</f>
        <v>435.94649513282275</v>
      </c>
      <c r="C291" s="439">
        <f t="shared" si="529"/>
        <v>491.86786494725038</v>
      </c>
      <c r="D291" s="440">
        <f t="shared" si="529"/>
        <v>442.27433214195958</v>
      </c>
      <c r="E291" s="441">
        <f t="shared" si="529"/>
        <v>385.91471530710197</v>
      </c>
      <c r="F291" s="438">
        <f t="shared" si="529"/>
        <v>436.24850473797829</v>
      </c>
      <c r="G291" s="439">
        <f t="shared" si="529"/>
        <v>501.46583337430161</v>
      </c>
      <c r="H291" s="440">
        <f t="shared" si="529"/>
        <v>443.85464559829455</v>
      </c>
      <c r="I291" s="441">
        <f t="shared" si="529"/>
        <v>386.57012379424248</v>
      </c>
      <c r="J291" s="438">
        <f t="shared" si="529"/>
        <v>444.23642399888166</v>
      </c>
      <c r="K291" s="439">
        <f t="shared" si="529"/>
        <v>499.72805452833643</v>
      </c>
      <c r="L291" s="440">
        <f t="shared" si="529"/>
        <v>464.08792607389364</v>
      </c>
      <c r="M291" s="441">
        <f t="shared" si="529"/>
        <v>377.48660453752183</v>
      </c>
      <c r="N291" s="438">
        <f t="shared" si="529"/>
        <v>435.7781638954072</v>
      </c>
      <c r="O291" s="439">
        <f t="shared" si="529"/>
        <v>486.92137468614322</v>
      </c>
      <c r="P291" s="440">
        <f t="shared" si="529"/>
        <v>441.43428690757423</v>
      </c>
      <c r="Q291" s="441">
        <f t="shared" si="529"/>
        <v>386.43352720417039</v>
      </c>
      <c r="R291" s="438">
        <f t="shared" si="529"/>
        <v>433.50262730867792</v>
      </c>
      <c r="S291" s="439">
        <f t="shared" si="529"/>
        <v>477.60608958767898</v>
      </c>
      <c r="T291" s="440">
        <f t="shared" si="529"/>
        <v>438.23577625361384</v>
      </c>
      <c r="U291" s="441">
        <f t="shared" si="529"/>
        <v>397.10612922788891</v>
      </c>
      <c r="V291" s="438">
        <f t="shared" si="529"/>
        <v>442.71722740696885</v>
      </c>
      <c r="W291" s="439">
        <f t="shared" si="529"/>
        <v>503.68108593476381</v>
      </c>
      <c r="X291" s="440">
        <f t="shared" si="529"/>
        <v>459.32502137311417</v>
      </c>
      <c r="Y291" s="441">
        <f t="shared" si="529"/>
        <v>381.43526624892183</v>
      </c>
      <c r="Z291" s="438">
        <f t="shared" si="529"/>
        <v>467.53662871451206</v>
      </c>
      <c r="AA291" s="439">
        <f t="shared" si="529"/>
        <v>482.35492421927353</v>
      </c>
      <c r="AB291" s="440">
        <f t="shared" si="529"/>
        <v>468.42549090167927</v>
      </c>
      <c r="AC291" s="441">
        <f t="shared" si="529"/>
        <v>379.87823861928695</v>
      </c>
      <c r="AD291" s="438">
        <f t="shared" si="529"/>
        <v>478.74970250635869</v>
      </c>
      <c r="AE291" s="439">
        <f t="shared" si="529"/>
        <v>447.75041300916428</v>
      </c>
      <c r="AF291" s="440">
        <f t="shared" si="529"/>
        <v>476.85384237343288</v>
      </c>
      <c r="AG291" s="441">
        <f t="shared" si="529"/>
        <v>378.65964609340193</v>
      </c>
      <c r="AH291" s="438" t="e">
        <f t="shared" ref="AH291:BB291" si="530">+AH259/AH195*100</f>
        <v>#DIV/0!</v>
      </c>
      <c r="AI291" s="439" t="e">
        <f t="shared" si="530"/>
        <v>#DIV/0!</v>
      </c>
      <c r="AJ291" s="440" t="e">
        <f t="shared" si="530"/>
        <v>#DIV/0!</v>
      </c>
      <c r="AK291" s="441" t="e">
        <f t="shared" si="530"/>
        <v>#DIV/0!</v>
      </c>
      <c r="AL291" s="438" t="e">
        <f t="shared" si="530"/>
        <v>#DIV/0!</v>
      </c>
      <c r="AM291" s="439" t="e">
        <f t="shared" si="530"/>
        <v>#DIV/0!</v>
      </c>
      <c r="AN291" s="440" t="e">
        <f t="shared" si="530"/>
        <v>#DIV/0!</v>
      </c>
      <c r="AO291" s="441" t="e">
        <f t="shared" si="530"/>
        <v>#DIV/0!</v>
      </c>
      <c r="AP291" s="438" t="e">
        <f t="shared" si="530"/>
        <v>#DIV/0!</v>
      </c>
      <c r="AQ291" s="439" t="e">
        <f t="shared" si="530"/>
        <v>#DIV/0!</v>
      </c>
      <c r="AR291" s="440" t="e">
        <f t="shared" si="530"/>
        <v>#DIV/0!</v>
      </c>
      <c r="AS291" s="441" t="e">
        <f t="shared" si="530"/>
        <v>#DIV/0!</v>
      </c>
      <c r="AT291" s="438" t="e">
        <f t="shared" si="530"/>
        <v>#DIV/0!</v>
      </c>
      <c r="AU291" s="439" t="e">
        <f t="shared" si="530"/>
        <v>#DIV/0!</v>
      </c>
      <c r="AV291" s="440" t="e">
        <f t="shared" si="530"/>
        <v>#DIV/0!</v>
      </c>
      <c r="AW291" s="441" t="e">
        <f t="shared" si="530"/>
        <v>#DIV/0!</v>
      </c>
      <c r="AX291" s="638">
        <f t="shared" si="530"/>
        <v>452.9189470286089</v>
      </c>
      <c r="AY291" s="461">
        <f t="shared" si="530"/>
        <v>490.7988501994667</v>
      </c>
      <c r="AZ291" s="461">
        <f t="shared" si="530"/>
        <v>457.98830812367413</v>
      </c>
      <c r="BA291" s="493">
        <f t="shared" si="530"/>
        <v>383.82174044321926</v>
      </c>
      <c r="BB291" s="494">
        <f t="shared" si="530"/>
        <v>431.99283741164027</v>
      </c>
      <c r="BC291" s="117">
        <f t="shared" ref="BC291:BC304" si="531">BB291/100</f>
        <v>4.3199283741164027</v>
      </c>
      <c r="BE291" s="446">
        <f t="shared" ref="BE291:BE300" si="532">AF291</f>
        <v>476.85384237343288</v>
      </c>
      <c r="BF291" s="446">
        <f t="shared" ref="BF291:BF300" si="533">AG291</f>
        <v>378.65964609340193</v>
      </c>
      <c r="BG291" s="446"/>
    </row>
    <row r="292" spans="1:61">
      <c r="A292" s="397" t="s">
        <v>8</v>
      </c>
      <c r="B292" s="438">
        <f t="shared" ref="B292:AG292" si="534">+B260/B196*100</f>
        <v>431.59835269336116</v>
      </c>
      <c r="C292" s="439">
        <f t="shared" si="534"/>
        <v>525.67071979141349</v>
      </c>
      <c r="D292" s="440">
        <f t="shared" si="534"/>
        <v>445.08143571507344</v>
      </c>
      <c r="E292" s="441">
        <f t="shared" si="534"/>
        <v>416.5396406598436</v>
      </c>
      <c r="F292" s="438">
        <f t="shared" si="534"/>
        <v>417.9896579253068</v>
      </c>
      <c r="G292" s="439">
        <f t="shared" si="534"/>
        <v>518.94383878134806</v>
      </c>
      <c r="H292" s="440">
        <f t="shared" si="534"/>
        <v>434.06682304683625</v>
      </c>
      <c r="I292" s="441">
        <f t="shared" si="534"/>
        <v>408.13124497530015</v>
      </c>
      <c r="J292" s="438">
        <f t="shared" si="534"/>
        <v>429.23521387829328</v>
      </c>
      <c r="K292" s="439">
        <f t="shared" si="534"/>
        <v>514.72042925473897</v>
      </c>
      <c r="L292" s="440">
        <f t="shared" si="534"/>
        <v>454.2312244586185</v>
      </c>
      <c r="M292" s="441">
        <f t="shared" si="534"/>
        <v>391.39127321943602</v>
      </c>
      <c r="N292" s="438">
        <f t="shared" si="534"/>
        <v>431.79480552078269</v>
      </c>
      <c r="O292" s="439">
        <f t="shared" si="534"/>
        <v>492.76551729416889</v>
      </c>
      <c r="P292" s="440">
        <f t="shared" si="534"/>
        <v>440.44721201003625</v>
      </c>
      <c r="Q292" s="441">
        <f t="shared" si="534"/>
        <v>413.04625506652195</v>
      </c>
      <c r="R292" s="438">
        <f t="shared" si="534"/>
        <v>422.52047930088469</v>
      </c>
      <c r="S292" s="439">
        <f t="shared" si="534"/>
        <v>468.85059653115093</v>
      </c>
      <c r="T292" s="440">
        <f t="shared" si="534"/>
        <v>429.68241535904934</v>
      </c>
      <c r="U292" s="441">
        <f t="shared" si="534"/>
        <v>503.06366021971201</v>
      </c>
      <c r="V292" s="438">
        <f t="shared" si="534"/>
        <v>439.55761760599177</v>
      </c>
      <c r="W292" s="439">
        <f t="shared" si="534"/>
        <v>501.31884636786958</v>
      </c>
      <c r="X292" s="440">
        <f t="shared" si="534"/>
        <v>454.28017449326535</v>
      </c>
      <c r="Y292" s="441">
        <f t="shared" si="534"/>
        <v>514.45976174718726</v>
      </c>
      <c r="Z292" s="438">
        <f t="shared" si="534"/>
        <v>458.15237890413749</v>
      </c>
      <c r="AA292" s="439">
        <f t="shared" si="534"/>
        <v>475.88793658329649</v>
      </c>
      <c r="AB292" s="440">
        <f t="shared" si="534"/>
        <v>459.82174216861915</v>
      </c>
      <c r="AC292" s="441">
        <f t="shared" si="534"/>
        <v>469.89765638564245</v>
      </c>
      <c r="AD292" s="438">
        <f t="shared" si="534"/>
        <v>448.5612000483215</v>
      </c>
      <c r="AE292" s="439">
        <f t="shared" si="534"/>
        <v>396.17252487440948</v>
      </c>
      <c r="AF292" s="440">
        <f t="shared" si="534"/>
        <v>442.1210548347749</v>
      </c>
      <c r="AG292" s="441">
        <f t="shared" si="534"/>
        <v>326.53554389312973</v>
      </c>
      <c r="AH292" s="438" t="e">
        <f t="shared" ref="AH292:BB292" si="535">+AH260/AH196*100</f>
        <v>#DIV/0!</v>
      </c>
      <c r="AI292" s="439" t="e">
        <f t="shared" si="535"/>
        <v>#DIV/0!</v>
      </c>
      <c r="AJ292" s="440" t="e">
        <f t="shared" si="535"/>
        <v>#DIV/0!</v>
      </c>
      <c r="AK292" s="441" t="e">
        <f t="shared" si="535"/>
        <v>#DIV/0!</v>
      </c>
      <c r="AL292" s="438" t="e">
        <f t="shared" si="535"/>
        <v>#DIV/0!</v>
      </c>
      <c r="AM292" s="439" t="e">
        <f t="shared" si="535"/>
        <v>#DIV/0!</v>
      </c>
      <c r="AN292" s="440" t="e">
        <f t="shared" si="535"/>
        <v>#DIV/0!</v>
      </c>
      <c r="AO292" s="441" t="e">
        <f t="shared" si="535"/>
        <v>#DIV/0!</v>
      </c>
      <c r="AP292" s="438" t="e">
        <f t="shared" si="535"/>
        <v>#DIV/0!</v>
      </c>
      <c r="AQ292" s="439" t="e">
        <f t="shared" si="535"/>
        <v>#DIV/0!</v>
      </c>
      <c r="AR292" s="440" t="e">
        <f t="shared" si="535"/>
        <v>#DIV/0!</v>
      </c>
      <c r="AS292" s="441" t="e">
        <f t="shared" si="535"/>
        <v>#DIV/0!</v>
      </c>
      <c r="AT292" s="438" t="e">
        <f t="shared" si="535"/>
        <v>#DIV/0!</v>
      </c>
      <c r="AU292" s="439" t="e">
        <f t="shared" si="535"/>
        <v>#DIV/0!</v>
      </c>
      <c r="AV292" s="440" t="e">
        <f t="shared" si="535"/>
        <v>#DIV/0!</v>
      </c>
      <c r="AW292" s="441" t="e">
        <f t="shared" si="535"/>
        <v>#DIV/0!</v>
      </c>
      <c r="AX292" s="638">
        <f t="shared" si="535"/>
        <v>437.91641983376968</v>
      </c>
      <c r="AY292" s="461">
        <f t="shared" si="535"/>
        <v>486.22050478634992</v>
      </c>
      <c r="AZ292" s="461">
        <f t="shared" si="535"/>
        <v>445.7471475092043</v>
      </c>
      <c r="BA292" s="493">
        <f t="shared" si="535"/>
        <v>426.26904195357838</v>
      </c>
      <c r="BB292" s="494">
        <f t="shared" si="535"/>
        <v>440.7323566992016</v>
      </c>
      <c r="BC292" s="117">
        <f t="shared" si="531"/>
        <v>4.4073235669920159</v>
      </c>
      <c r="BE292" s="446">
        <f t="shared" si="532"/>
        <v>442.1210548347749</v>
      </c>
      <c r="BF292" s="446">
        <f t="shared" si="533"/>
        <v>326.53554389312973</v>
      </c>
      <c r="BG292" s="446"/>
    </row>
    <row r="293" spans="1:61">
      <c r="A293" s="397" t="s">
        <v>4</v>
      </c>
      <c r="B293" s="438">
        <f t="shared" ref="B293:AG293" si="536">+B261/B197*100</f>
        <v>447.8975072130047</v>
      </c>
      <c r="C293" s="439">
        <f t="shared" si="536"/>
        <v>526.68486902009727</v>
      </c>
      <c r="D293" s="440">
        <f t="shared" si="536"/>
        <v>456.31109426378049</v>
      </c>
      <c r="E293" s="441">
        <f t="shared" si="536"/>
        <v>400.69293963284639</v>
      </c>
      <c r="F293" s="438">
        <f t="shared" si="536"/>
        <v>453.20215805328746</v>
      </c>
      <c r="G293" s="439">
        <f t="shared" si="536"/>
        <v>527.49372057959999</v>
      </c>
      <c r="H293" s="440">
        <f t="shared" si="536"/>
        <v>461.69290252995989</v>
      </c>
      <c r="I293" s="441">
        <f t="shared" si="536"/>
        <v>384.99076339050202</v>
      </c>
      <c r="J293" s="438">
        <f t="shared" si="536"/>
        <v>458.72483082804149</v>
      </c>
      <c r="K293" s="439">
        <f t="shared" si="536"/>
        <v>530.22266447990512</v>
      </c>
      <c r="L293" s="440">
        <f t="shared" si="536"/>
        <v>469.36558591094706</v>
      </c>
      <c r="M293" s="441">
        <f t="shared" si="536"/>
        <v>367.4750812980987</v>
      </c>
      <c r="N293" s="438">
        <f t="shared" si="536"/>
        <v>449.76390273991046</v>
      </c>
      <c r="O293" s="439">
        <f t="shared" si="536"/>
        <v>524.67412721289998</v>
      </c>
      <c r="P293" s="440">
        <f t="shared" si="536"/>
        <v>457.63715200269672</v>
      </c>
      <c r="Q293" s="441">
        <f t="shared" si="536"/>
        <v>382.16913977243394</v>
      </c>
      <c r="R293" s="438">
        <f t="shared" si="536"/>
        <v>442.64317138664831</v>
      </c>
      <c r="S293" s="439">
        <f t="shared" si="536"/>
        <v>525.41432176868932</v>
      </c>
      <c r="T293" s="440">
        <f t="shared" si="536"/>
        <v>452.07683405676386</v>
      </c>
      <c r="U293" s="441">
        <f t="shared" si="536"/>
        <v>388.50616326984931</v>
      </c>
      <c r="V293" s="438">
        <f t="shared" si="536"/>
        <v>445.69223956803177</v>
      </c>
      <c r="W293" s="439">
        <f t="shared" si="536"/>
        <v>525.40330349100634</v>
      </c>
      <c r="X293" s="440">
        <f t="shared" si="536"/>
        <v>456.30044738811984</v>
      </c>
      <c r="Y293" s="441">
        <f t="shared" si="536"/>
        <v>386.50697979258007</v>
      </c>
      <c r="Z293" s="438">
        <f t="shared" si="536"/>
        <v>464.97055771957287</v>
      </c>
      <c r="AA293" s="439">
        <f t="shared" si="536"/>
        <v>524.16631120854095</v>
      </c>
      <c r="AB293" s="440">
        <f t="shared" si="536"/>
        <v>469.06386829955045</v>
      </c>
      <c r="AC293" s="441">
        <f t="shared" si="536"/>
        <v>383.46281527479715</v>
      </c>
      <c r="AD293" s="438">
        <f t="shared" si="536"/>
        <v>478.30251816248949</v>
      </c>
      <c r="AE293" s="439">
        <f t="shared" si="536"/>
        <v>525.88140863326214</v>
      </c>
      <c r="AF293" s="440">
        <f t="shared" si="536"/>
        <v>481.16394717462629</v>
      </c>
      <c r="AG293" s="441">
        <f t="shared" si="536"/>
        <v>381.49482324855649</v>
      </c>
      <c r="AH293" s="438" t="e">
        <f t="shared" ref="AH293:BB293" si="537">+AH261/AH197*100</f>
        <v>#DIV/0!</v>
      </c>
      <c r="AI293" s="439" t="e">
        <f t="shared" si="537"/>
        <v>#DIV/0!</v>
      </c>
      <c r="AJ293" s="440" t="e">
        <f t="shared" si="537"/>
        <v>#DIV/0!</v>
      </c>
      <c r="AK293" s="441" t="e">
        <f t="shared" si="537"/>
        <v>#DIV/0!</v>
      </c>
      <c r="AL293" s="438" t="e">
        <f t="shared" si="537"/>
        <v>#DIV/0!</v>
      </c>
      <c r="AM293" s="439" t="e">
        <f t="shared" si="537"/>
        <v>#DIV/0!</v>
      </c>
      <c r="AN293" s="440" t="e">
        <f t="shared" si="537"/>
        <v>#DIV/0!</v>
      </c>
      <c r="AO293" s="441" t="e">
        <f t="shared" si="537"/>
        <v>#DIV/0!</v>
      </c>
      <c r="AP293" s="438" t="e">
        <f t="shared" si="537"/>
        <v>#DIV/0!</v>
      </c>
      <c r="AQ293" s="439" t="e">
        <f t="shared" si="537"/>
        <v>#DIV/0!</v>
      </c>
      <c r="AR293" s="440" t="e">
        <f t="shared" si="537"/>
        <v>#DIV/0!</v>
      </c>
      <c r="AS293" s="441" t="e">
        <f t="shared" si="537"/>
        <v>#DIV/0!</v>
      </c>
      <c r="AT293" s="438" t="e">
        <f t="shared" si="537"/>
        <v>#DIV/0!</v>
      </c>
      <c r="AU293" s="439" t="e">
        <f t="shared" si="537"/>
        <v>#DIV/0!</v>
      </c>
      <c r="AV293" s="440" t="e">
        <f t="shared" si="537"/>
        <v>#DIV/0!</v>
      </c>
      <c r="AW293" s="441" t="e">
        <f t="shared" si="537"/>
        <v>#DIV/0!</v>
      </c>
      <c r="AX293" s="638">
        <f t="shared" si="537"/>
        <v>458.19460798415338</v>
      </c>
      <c r="AY293" s="461">
        <f t="shared" si="537"/>
        <v>526.4647366179446</v>
      </c>
      <c r="AZ293" s="461">
        <f t="shared" si="537"/>
        <v>465.03759295842843</v>
      </c>
      <c r="BA293" s="493">
        <f t="shared" si="537"/>
        <v>383.92685208303982</v>
      </c>
      <c r="BB293" s="494">
        <f t="shared" si="537"/>
        <v>441.23998585332845</v>
      </c>
      <c r="BC293" s="117">
        <f t="shared" si="531"/>
        <v>4.4123998585332842</v>
      </c>
      <c r="BE293" s="446">
        <f t="shared" si="532"/>
        <v>481.16394717462629</v>
      </c>
      <c r="BF293" s="446">
        <f t="shared" si="533"/>
        <v>381.49482324855649</v>
      </c>
      <c r="BG293" s="446"/>
    </row>
    <row r="294" spans="1:61">
      <c r="A294" s="397" t="s">
        <v>3</v>
      </c>
      <c r="B294" s="438">
        <f t="shared" ref="B294:AG294" si="538">+B262/B198*100</f>
        <v>383.34472028448801</v>
      </c>
      <c r="C294" s="439">
        <f t="shared" si="538"/>
        <v>341.79909796100731</v>
      </c>
      <c r="D294" s="440">
        <f t="shared" si="538"/>
        <v>376.05485170792258</v>
      </c>
      <c r="E294" s="441">
        <f t="shared" si="538"/>
        <v>417.66492084279702</v>
      </c>
      <c r="F294" s="438">
        <f t="shared" si="538"/>
        <v>375.93485894691685</v>
      </c>
      <c r="G294" s="439">
        <f t="shared" si="538"/>
        <v>276.56336757748352</v>
      </c>
      <c r="H294" s="440">
        <f t="shared" si="538"/>
        <v>362.95420661161052</v>
      </c>
      <c r="I294" s="441">
        <f t="shared" si="538"/>
        <v>423.2455359345737</v>
      </c>
      <c r="J294" s="438">
        <f t="shared" si="538"/>
        <v>362.01336799107958</v>
      </c>
      <c r="K294" s="439">
        <f t="shared" si="538"/>
        <v>348.2579613506864</v>
      </c>
      <c r="L294" s="440">
        <f t="shared" si="538"/>
        <v>358.02427470465557</v>
      </c>
      <c r="M294" s="441">
        <f t="shared" si="538"/>
        <v>453.6601577892261</v>
      </c>
      <c r="N294" s="438">
        <f t="shared" si="538"/>
        <v>365.70683777832642</v>
      </c>
      <c r="O294" s="439">
        <f t="shared" si="538"/>
        <v>331.95096517376538</v>
      </c>
      <c r="P294" s="440">
        <f t="shared" si="538"/>
        <v>361.25631590763982</v>
      </c>
      <c r="Q294" s="441">
        <f t="shared" si="538"/>
        <v>419.52793613998398</v>
      </c>
      <c r="R294" s="438">
        <f t="shared" si="538"/>
        <v>354.34948376115085</v>
      </c>
      <c r="S294" s="439">
        <f t="shared" si="538"/>
        <v>215.05160967985546</v>
      </c>
      <c r="T294" s="440">
        <f t="shared" si="538"/>
        <v>337.90290175360195</v>
      </c>
      <c r="U294" s="441">
        <f t="shared" si="538"/>
        <v>416.52398453948251</v>
      </c>
      <c r="V294" s="438">
        <f t="shared" si="538"/>
        <v>356.25729450592161</v>
      </c>
      <c r="W294" s="439">
        <f t="shared" si="538"/>
        <v>375.17064943288841</v>
      </c>
      <c r="X294" s="440">
        <f t="shared" si="538"/>
        <v>360.11140412984861</v>
      </c>
      <c r="Y294" s="441">
        <f t="shared" si="538"/>
        <v>432.61811971649661</v>
      </c>
      <c r="Z294" s="438">
        <f t="shared" si="538"/>
        <v>394.96746595782935</v>
      </c>
      <c r="AA294" s="439">
        <f t="shared" si="538"/>
        <v>286.4994174048087</v>
      </c>
      <c r="AB294" s="440">
        <f t="shared" si="538"/>
        <v>380.949996688417</v>
      </c>
      <c r="AC294" s="441">
        <f t="shared" si="538"/>
        <v>399.49272778531707</v>
      </c>
      <c r="AD294" s="438">
        <f t="shared" si="538"/>
        <v>397.00779177069955</v>
      </c>
      <c r="AE294" s="439">
        <f t="shared" si="538"/>
        <v>349.29913862710151</v>
      </c>
      <c r="AF294" s="440">
        <f t="shared" si="538"/>
        <v>393.68324543359381</v>
      </c>
      <c r="AG294" s="441">
        <f t="shared" si="538"/>
        <v>401.8212143205717</v>
      </c>
      <c r="AH294" s="438" t="e">
        <f t="shared" ref="AH294:BB294" si="539">+AH262/AH198*100</f>
        <v>#DIV/0!</v>
      </c>
      <c r="AI294" s="439" t="e">
        <f t="shared" si="539"/>
        <v>#DIV/0!</v>
      </c>
      <c r="AJ294" s="440" t="e">
        <f t="shared" si="539"/>
        <v>#DIV/0!</v>
      </c>
      <c r="AK294" s="441" t="e">
        <f t="shared" si="539"/>
        <v>#DIV/0!</v>
      </c>
      <c r="AL294" s="438" t="e">
        <f t="shared" si="539"/>
        <v>#DIV/0!</v>
      </c>
      <c r="AM294" s="439" t="e">
        <f t="shared" si="539"/>
        <v>#DIV/0!</v>
      </c>
      <c r="AN294" s="440" t="e">
        <f t="shared" si="539"/>
        <v>#DIV/0!</v>
      </c>
      <c r="AO294" s="441" t="e">
        <f t="shared" si="539"/>
        <v>#DIV/0!</v>
      </c>
      <c r="AP294" s="438" t="e">
        <f t="shared" si="539"/>
        <v>#DIV/0!</v>
      </c>
      <c r="AQ294" s="439" t="e">
        <f t="shared" si="539"/>
        <v>#DIV/0!</v>
      </c>
      <c r="AR294" s="440" t="e">
        <f t="shared" si="539"/>
        <v>#DIV/0!</v>
      </c>
      <c r="AS294" s="441" t="e">
        <f t="shared" si="539"/>
        <v>#DIV/0!</v>
      </c>
      <c r="AT294" s="438" t="e">
        <f t="shared" si="539"/>
        <v>#DIV/0!</v>
      </c>
      <c r="AU294" s="439" t="e">
        <f t="shared" si="539"/>
        <v>#DIV/0!</v>
      </c>
      <c r="AV294" s="440" t="e">
        <f t="shared" si="539"/>
        <v>#DIV/0!</v>
      </c>
      <c r="AW294" s="441" t="e">
        <f t="shared" si="539"/>
        <v>#DIV/0!</v>
      </c>
      <c r="AX294" s="638">
        <f t="shared" si="539"/>
        <v>375.76165957809621</v>
      </c>
      <c r="AY294" s="461">
        <f t="shared" si="539"/>
        <v>321.9961861413455</v>
      </c>
      <c r="AZ294" s="461">
        <f t="shared" si="539"/>
        <v>367.71681140682392</v>
      </c>
      <c r="BA294" s="493">
        <f t="shared" si="539"/>
        <v>419.65017211726581</v>
      </c>
      <c r="BB294" s="494">
        <f t="shared" si="539"/>
        <v>382.51728338363523</v>
      </c>
      <c r="BC294" s="117">
        <f t="shared" si="531"/>
        <v>3.8251728338363522</v>
      </c>
      <c r="BE294" s="446">
        <f t="shared" si="532"/>
        <v>393.68324543359381</v>
      </c>
      <c r="BF294" s="446">
        <f t="shared" si="533"/>
        <v>401.8212143205717</v>
      </c>
      <c r="BG294" s="446"/>
    </row>
    <row r="295" spans="1:61">
      <c r="A295" s="397" t="s">
        <v>397</v>
      </c>
      <c r="B295" s="438">
        <f t="shared" ref="B295:AG295" si="540">+B263/B199*100</f>
        <v>443.84578571616612</v>
      </c>
      <c r="C295" s="439">
        <f t="shared" si="540"/>
        <v>470.36553592949025</v>
      </c>
      <c r="D295" s="440">
        <f t="shared" si="540"/>
        <v>447.37013874401657</v>
      </c>
      <c r="E295" s="441">
        <f t="shared" si="540"/>
        <v>302.2486445452397</v>
      </c>
      <c r="F295" s="438">
        <f t="shared" si="540"/>
        <v>441.78761112791551</v>
      </c>
      <c r="G295" s="439">
        <f t="shared" si="540"/>
        <v>496.91420474643138</v>
      </c>
      <c r="H295" s="440">
        <f t="shared" si="540"/>
        <v>449.33428927909171</v>
      </c>
      <c r="I295" s="441">
        <f t="shared" si="540"/>
        <v>299.97426610321611</v>
      </c>
      <c r="J295" s="438">
        <f t="shared" si="540"/>
        <v>459.38329394283375</v>
      </c>
      <c r="K295" s="439">
        <f t="shared" si="540"/>
        <v>494.51397944795588</v>
      </c>
      <c r="L295" s="440">
        <f t="shared" si="540"/>
        <v>464.79904405485814</v>
      </c>
      <c r="M295" s="441">
        <f t="shared" si="540"/>
        <v>416.92165897635942</v>
      </c>
      <c r="N295" s="438">
        <f t="shared" si="540"/>
        <v>457.06737997774854</v>
      </c>
      <c r="O295" s="439">
        <f t="shared" si="540"/>
        <v>474.38392514890279</v>
      </c>
      <c r="P295" s="440">
        <f t="shared" si="540"/>
        <v>459.52182365749445</v>
      </c>
      <c r="Q295" s="441">
        <f t="shared" si="540"/>
        <v>292.87009982861895</v>
      </c>
      <c r="R295" s="438">
        <f t="shared" si="540"/>
        <v>447.5965708490038</v>
      </c>
      <c r="S295" s="439">
        <f t="shared" si="540"/>
        <v>474.3967235243166</v>
      </c>
      <c r="T295" s="440">
        <f t="shared" si="540"/>
        <v>451.27557191789089</v>
      </c>
      <c r="U295" s="441">
        <f t="shared" si="540"/>
        <v>420.75715744329017</v>
      </c>
      <c r="V295" s="438">
        <f t="shared" si="540"/>
        <v>455.31040503383406</v>
      </c>
      <c r="W295" s="439">
        <f t="shared" si="540"/>
        <v>439.37309295932118</v>
      </c>
      <c r="X295" s="440">
        <f t="shared" si="540"/>
        <v>453.12260450643896</v>
      </c>
      <c r="Y295" s="441">
        <f t="shared" si="540"/>
        <v>424.05921765259762</v>
      </c>
      <c r="Z295" s="438">
        <f t="shared" si="540"/>
        <v>471.03028707961283</v>
      </c>
      <c r="AA295" s="439">
        <f t="shared" si="540"/>
        <v>428.54965943716962</v>
      </c>
      <c r="AB295" s="440">
        <f t="shared" si="540"/>
        <v>466.51571090118864</v>
      </c>
      <c r="AC295" s="441">
        <f t="shared" si="540"/>
        <v>361.72726677983098</v>
      </c>
      <c r="AD295" s="438">
        <f t="shared" si="540"/>
        <v>432.92859716552857</v>
      </c>
      <c r="AE295" s="439">
        <f t="shared" si="540"/>
        <v>631.19909897009677</v>
      </c>
      <c r="AF295" s="440">
        <f t="shared" si="540"/>
        <v>449.97893238888588</v>
      </c>
      <c r="AG295" s="441">
        <f t="shared" si="540"/>
        <v>412.57382687292471</v>
      </c>
      <c r="AH295" s="438" t="e">
        <f t="shared" ref="AH295:BB295" si="541">+AH263/AH199*100</f>
        <v>#DIV/0!</v>
      </c>
      <c r="AI295" s="439" t="e">
        <f t="shared" si="541"/>
        <v>#DIV/0!</v>
      </c>
      <c r="AJ295" s="440" t="e">
        <f t="shared" si="541"/>
        <v>#DIV/0!</v>
      </c>
      <c r="AK295" s="441" t="e">
        <f t="shared" si="541"/>
        <v>#DIV/0!</v>
      </c>
      <c r="AL295" s="438" t="e">
        <f t="shared" si="541"/>
        <v>#DIV/0!</v>
      </c>
      <c r="AM295" s="439" t="e">
        <f t="shared" si="541"/>
        <v>#DIV/0!</v>
      </c>
      <c r="AN295" s="440" t="e">
        <f t="shared" si="541"/>
        <v>#DIV/0!</v>
      </c>
      <c r="AO295" s="441" t="e">
        <f t="shared" si="541"/>
        <v>#DIV/0!</v>
      </c>
      <c r="AP295" s="438" t="e">
        <f t="shared" si="541"/>
        <v>#DIV/0!</v>
      </c>
      <c r="AQ295" s="439" t="e">
        <f t="shared" si="541"/>
        <v>#DIV/0!</v>
      </c>
      <c r="AR295" s="440" t="e">
        <f t="shared" si="541"/>
        <v>#DIV/0!</v>
      </c>
      <c r="AS295" s="441" t="e">
        <f t="shared" si="541"/>
        <v>#DIV/0!</v>
      </c>
      <c r="AT295" s="438" t="e">
        <f t="shared" si="541"/>
        <v>#DIV/0!</v>
      </c>
      <c r="AU295" s="439" t="e">
        <f t="shared" si="541"/>
        <v>#DIV/0!</v>
      </c>
      <c r="AV295" s="440" t="e">
        <f t="shared" si="541"/>
        <v>#DIV/0!</v>
      </c>
      <c r="AW295" s="441" t="e">
        <f t="shared" si="541"/>
        <v>#DIV/0!</v>
      </c>
      <c r="AX295" s="638">
        <f t="shared" si="541"/>
        <v>450.81899145152261</v>
      </c>
      <c r="AY295" s="461">
        <f t="shared" si="541"/>
        <v>487.65244103266508</v>
      </c>
      <c r="AZ295" s="461">
        <f t="shared" si="541"/>
        <v>455.45145633016409</v>
      </c>
      <c r="BA295" s="493">
        <f t="shared" si="541"/>
        <v>367.11438139376372</v>
      </c>
      <c r="BB295" s="494">
        <f t="shared" si="541"/>
        <v>429.56986834937953</v>
      </c>
      <c r="BC295" s="117">
        <f t="shared" si="531"/>
        <v>4.2956986834937956</v>
      </c>
      <c r="BE295" s="446">
        <f t="shared" si="532"/>
        <v>449.97893238888588</v>
      </c>
      <c r="BF295" s="446">
        <f t="shared" si="533"/>
        <v>412.57382687292471</v>
      </c>
      <c r="BG295" s="446"/>
    </row>
    <row r="296" spans="1:61">
      <c r="A296" s="397" t="s">
        <v>399</v>
      </c>
      <c r="B296" s="438">
        <f t="shared" ref="B296:AG296" si="542">+B264/B200*100</f>
        <v>471.72446989584802</v>
      </c>
      <c r="C296" s="439">
        <f t="shared" si="542"/>
        <v>520.95026624584534</v>
      </c>
      <c r="D296" s="440">
        <f t="shared" si="542"/>
        <v>472.57006900753458</v>
      </c>
      <c r="E296" s="441">
        <f t="shared" si="542"/>
        <v>376.64125184817675</v>
      </c>
      <c r="F296" s="438">
        <f t="shared" si="542"/>
        <v>465.91790037552636</v>
      </c>
      <c r="G296" s="439">
        <f t="shared" si="542"/>
        <v>529.82193343509664</v>
      </c>
      <c r="H296" s="440">
        <f t="shared" si="542"/>
        <v>468.71806098521034</v>
      </c>
      <c r="I296" s="441">
        <f t="shared" si="542"/>
        <v>370.77072044901422</v>
      </c>
      <c r="J296" s="438">
        <f t="shared" si="542"/>
        <v>468.48274549953766</v>
      </c>
      <c r="K296" s="439">
        <f t="shared" si="542"/>
        <v>490.28094653521146</v>
      </c>
      <c r="L296" s="440">
        <f t="shared" si="542"/>
        <v>475.053567733514</v>
      </c>
      <c r="M296" s="441">
        <f t="shared" si="542"/>
        <v>357.0197538264311</v>
      </c>
      <c r="N296" s="438">
        <f t="shared" si="542"/>
        <v>466.94387542630136</v>
      </c>
      <c r="O296" s="439">
        <f t="shared" si="542"/>
        <v>358.36485614201365</v>
      </c>
      <c r="P296" s="440">
        <f t="shared" si="542"/>
        <v>463.80932930586357</v>
      </c>
      <c r="Q296" s="441">
        <f t="shared" si="542"/>
        <v>438.41582530658246</v>
      </c>
      <c r="R296" s="438">
        <f t="shared" si="542"/>
        <v>451.56966483941403</v>
      </c>
      <c r="S296" s="439">
        <f t="shared" si="542"/>
        <v>394.35546238360746</v>
      </c>
      <c r="T296" s="440">
        <f t="shared" si="542"/>
        <v>447.99590819083403</v>
      </c>
      <c r="U296" s="441">
        <f t="shared" si="542"/>
        <v>443.93606541713461</v>
      </c>
      <c r="V296" s="438">
        <f t="shared" si="542"/>
        <v>462.28676164336741</v>
      </c>
      <c r="W296" s="439">
        <f t="shared" si="542"/>
        <v>490.4429134622647</v>
      </c>
      <c r="X296" s="440">
        <f t="shared" si="542"/>
        <v>469.83662452867179</v>
      </c>
      <c r="Y296" s="441">
        <f t="shared" si="542"/>
        <v>458.92524293903671</v>
      </c>
      <c r="Z296" s="438">
        <f t="shared" si="542"/>
        <v>476.03994777825244</v>
      </c>
      <c r="AA296" s="439">
        <f t="shared" si="542"/>
        <v>385.55287670429271</v>
      </c>
      <c r="AB296" s="440">
        <f t="shared" si="542"/>
        <v>474.21193749598541</v>
      </c>
      <c r="AC296" s="441">
        <f t="shared" si="542"/>
        <v>444.91687311816241</v>
      </c>
      <c r="AD296" s="438">
        <f t="shared" si="542"/>
        <v>481.96395042763351</v>
      </c>
      <c r="AE296" s="439">
        <f t="shared" si="542"/>
        <v>341.60249958213853</v>
      </c>
      <c r="AF296" s="440">
        <f t="shared" si="542"/>
        <v>475.96486709245232</v>
      </c>
      <c r="AG296" s="441">
        <f t="shared" si="542"/>
        <v>450.15432100204117</v>
      </c>
      <c r="AH296" s="438" t="e">
        <f t="shared" ref="AH296:BB296" si="543">+AH264/AH200*100</f>
        <v>#DIV/0!</v>
      </c>
      <c r="AI296" s="439" t="e">
        <f t="shared" si="543"/>
        <v>#DIV/0!</v>
      </c>
      <c r="AJ296" s="440" t="e">
        <f t="shared" si="543"/>
        <v>#DIV/0!</v>
      </c>
      <c r="AK296" s="441" t="e">
        <f t="shared" si="543"/>
        <v>#DIV/0!</v>
      </c>
      <c r="AL296" s="438" t="e">
        <f t="shared" si="543"/>
        <v>#DIV/0!</v>
      </c>
      <c r="AM296" s="439" t="e">
        <f t="shared" si="543"/>
        <v>#DIV/0!</v>
      </c>
      <c r="AN296" s="440" t="e">
        <f t="shared" si="543"/>
        <v>#DIV/0!</v>
      </c>
      <c r="AO296" s="441" t="e">
        <f t="shared" si="543"/>
        <v>#DIV/0!</v>
      </c>
      <c r="AP296" s="438" t="e">
        <f t="shared" si="543"/>
        <v>#DIV/0!</v>
      </c>
      <c r="AQ296" s="439" t="e">
        <f t="shared" si="543"/>
        <v>#DIV/0!</v>
      </c>
      <c r="AR296" s="440" t="e">
        <f t="shared" si="543"/>
        <v>#DIV/0!</v>
      </c>
      <c r="AS296" s="441" t="e">
        <f t="shared" si="543"/>
        <v>#DIV/0!</v>
      </c>
      <c r="AT296" s="438" t="e">
        <f t="shared" si="543"/>
        <v>#DIV/0!</v>
      </c>
      <c r="AU296" s="439" t="e">
        <f t="shared" si="543"/>
        <v>#DIV/0!</v>
      </c>
      <c r="AV296" s="440" t="e">
        <f t="shared" si="543"/>
        <v>#DIV/0!</v>
      </c>
      <c r="AW296" s="441" t="e">
        <f t="shared" si="543"/>
        <v>#DIV/0!</v>
      </c>
      <c r="AX296" s="638">
        <f t="shared" si="543"/>
        <v>470.04384547581327</v>
      </c>
      <c r="AY296" s="461">
        <f t="shared" si="543"/>
        <v>466.8455482565455</v>
      </c>
      <c r="AZ296" s="461">
        <f t="shared" si="543"/>
        <v>469.74709362658666</v>
      </c>
      <c r="BA296" s="493">
        <f t="shared" si="543"/>
        <v>416.63341296387324</v>
      </c>
      <c r="BB296" s="494">
        <f t="shared" si="543"/>
        <v>448.03329210657</v>
      </c>
      <c r="BC296" s="117">
        <f t="shared" si="531"/>
        <v>4.4803329210656999</v>
      </c>
      <c r="BE296" s="446">
        <f t="shared" si="532"/>
        <v>475.96486709245232</v>
      </c>
      <c r="BF296" s="446">
        <f t="shared" si="533"/>
        <v>450.15432100204117</v>
      </c>
      <c r="BG296" s="446"/>
    </row>
    <row r="297" spans="1:61">
      <c r="A297" s="397" t="s">
        <v>883</v>
      </c>
      <c r="B297" s="438">
        <f t="shared" ref="B297:AG297" si="544">+B265/B201*100</f>
        <v>455.0584045105266</v>
      </c>
      <c r="C297" s="439">
        <f t="shared" si="544"/>
        <v>538.656705323864</v>
      </c>
      <c r="D297" s="440">
        <f t="shared" si="544"/>
        <v>467.54639032883529</v>
      </c>
      <c r="E297" s="441">
        <f t="shared" si="544"/>
        <v>439.48498899879712</v>
      </c>
      <c r="F297" s="438">
        <f t="shared" si="544"/>
        <v>443.7513225616832</v>
      </c>
      <c r="G297" s="439">
        <f t="shared" si="544"/>
        <v>535.82100427957585</v>
      </c>
      <c r="H297" s="440">
        <f t="shared" si="544"/>
        <v>461.63690633105512</v>
      </c>
      <c r="I297" s="441">
        <f t="shared" si="544"/>
        <v>428.2592863376106</v>
      </c>
      <c r="J297" s="438">
        <f t="shared" si="544"/>
        <v>429.25270660197913</v>
      </c>
      <c r="K297" s="439">
        <f t="shared" si="544"/>
        <v>536.06632563719631</v>
      </c>
      <c r="L297" s="440">
        <f t="shared" si="544"/>
        <v>453.58697418219043</v>
      </c>
      <c r="M297" s="441">
        <f t="shared" si="544"/>
        <v>416.67865205564294</v>
      </c>
      <c r="N297" s="438">
        <f t="shared" si="544"/>
        <v>819.99028617531735</v>
      </c>
      <c r="O297" s="439">
        <f t="shared" si="544"/>
        <v>668.88871487815823</v>
      </c>
      <c r="P297" s="440">
        <f t="shared" si="544"/>
        <v>797.32598632369434</v>
      </c>
      <c r="Q297" s="441">
        <f t="shared" si="544"/>
        <v>489.20101126700882</v>
      </c>
      <c r="R297" s="438">
        <f t="shared" si="544"/>
        <v>438.68217355829097</v>
      </c>
      <c r="S297" s="439">
        <f t="shared" si="544"/>
        <v>529.90433933145914</v>
      </c>
      <c r="T297" s="440">
        <f t="shared" si="544"/>
        <v>453.82392685516839</v>
      </c>
      <c r="U297" s="441">
        <f t="shared" si="544"/>
        <v>416.94307118131826</v>
      </c>
      <c r="V297" s="438">
        <f t="shared" si="544"/>
        <v>441.84157851697802</v>
      </c>
      <c r="W297" s="439">
        <f t="shared" si="544"/>
        <v>535.87803266820617</v>
      </c>
      <c r="X297" s="440">
        <f t="shared" si="544"/>
        <v>458.57093661761371</v>
      </c>
      <c r="Y297" s="441">
        <f t="shared" si="544"/>
        <v>424.37629623145529</v>
      </c>
      <c r="Z297" s="438">
        <f t="shared" si="544"/>
        <v>613.69095943524735</v>
      </c>
      <c r="AA297" s="439">
        <f t="shared" si="544"/>
        <v>644.98685447279365</v>
      </c>
      <c r="AB297" s="440">
        <f t="shared" si="544"/>
        <v>616.23761041394471</v>
      </c>
      <c r="AC297" s="441">
        <f t="shared" si="544"/>
        <v>480.01459983263101</v>
      </c>
      <c r="AD297" s="438">
        <f t="shared" si="544"/>
        <v>479.9038298448167</v>
      </c>
      <c r="AE297" s="439">
        <f t="shared" si="544"/>
        <v>535.44804931573628</v>
      </c>
      <c r="AF297" s="440">
        <f t="shared" si="544"/>
        <v>484.91286795178053</v>
      </c>
      <c r="AG297" s="441">
        <f t="shared" si="544"/>
        <v>483.45573293315107</v>
      </c>
      <c r="AH297" s="438" t="e">
        <f t="shared" ref="AH297:BB297" si="545">+AH265/AH201*100</f>
        <v>#DIV/0!</v>
      </c>
      <c r="AI297" s="439" t="e">
        <f t="shared" si="545"/>
        <v>#DIV/0!</v>
      </c>
      <c r="AJ297" s="440" t="e">
        <f t="shared" si="545"/>
        <v>#DIV/0!</v>
      </c>
      <c r="AK297" s="441" t="e">
        <f t="shared" si="545"/>
        <v>#DIV/0!</v>
      </c>
      <c r="AL297" s="438" t="e">
        <f t="shared" si="545"/>
        <v>#DIV/0!</v>
      </c>
      <c r="AM297" s="439" t="e">
        <f t="shared" si="545"/>
        <v>#DIV/0!</v>
      </c>
      <c r="AN297" s="440" t="e">
        <f t="shared" si="545"/>
        <v>#DIV/0!</v>
      </c>
      <c r="AO297" s="441" t="e">
        <f t="shared" si="545"/>
        <v>#DIV/0!</v>
      </c>
      <c r="AP297" s="438" t="e">
        <f t="shared" si="545"/>
        <v>#DIV/0!</v>
      </c>
      <c r="AQ297" s="439" t="e">
        <f t="shared" si="545"/>
        <v>#DIV/0!</v>
      </c>
      <c r="AR297" s="440" t="e">
        <f t="shared" si="545"/>
        <v>#DIV/0!</v>
      </c>
      <c r="AS297" s="441" t="e">
        <f t="shared" si="545"/>
        <v>#DIV/0!</v>
      </c>
      <c r="AT297" s="438" t="e">
        <f t="shared" si="545"/>
        <v>#DIV/0!</v>
      </c>
      <c r="AU297" s="439" t="e">
        <f t="shared" si="545"/>
        <v>#DIV/0!</v>
      </c>
      <c r="AV297" s="440" t="e">
        <f t="shared" si="545"/>
        <v>#DIV/0!</v>
      </c>
      <c r="AW297" s="441" t="e">
        <f t="shared" si="545"/>
        <v>#DIV/0!</v>
      </c>
      <c r="AX297" s="638">
        <f t="shared" si="545"/>
        <v>522.97994893135535</v>
      </c>
      <c r="AY297" s="461">
        <f t="shared" si="545"/>
        <v>561.85755361503732</v>
      </c>
      <c r="AZ297" s="461">
        <f t="shared" si="545"/>
        <v>528.34564546842887</v>
      </c>
      <c r="BA297" s="493">
        <f t="shared" si="545"/>
        <v>450.45584818804383</v>
      </c>
      <c r="BB297" s="494">
        <f t="shared" si="545"/>
        <v>503.38623847166036</v>
      </c>
      <c r="BC297" s="117">
        <f t="shared" si="531"/>
        <v>5.0338623847166035</v>
      </c>
      <c r="BE297" s="446">
        <f t="shared" si="532"/>
        <v>484.91286795178053</v>
      </c>
      <c r="BF297" s="446">
        <f t="shared" si="533"/>
        <v>483.45573293315107</v>
      </c>
      <c r="BG297" s="446"/>
    </row>
    <row r="298" spans="1:61">
      <c r="A298" s="397" t="s">
        <v>884</v>
      </c>
      <c r="B298" s="438">
        <f t="shared" ref="B298:AG298" si="546">+B266/B202*100</f>
        <v>414.62201155175296</v>
      </c>
      <c r="C298" s="439">
        <f t="shared" si="546"/>
        <v>514.08954844767868</v>
      </c>
      <c r="D298" s="440">
        <f t="shared" si="546"/>
        <v>426.88086629866467</v>
      </c>
      <c r="E298" s="441">
        <f t="shared" si="546"/>
        <v>421.32814254147917</v>
      </c>
      <c r="F298" s="438">
        <f t="shared" si="546"/>
        <v>419.03008967108963</v>
      </c>
      <c r="G298" s="439">
        <f t="shared" si="546"/>
        <v>515.58189532997972</v>
      </c>
      <c r="H298" s="440">
        <f t="shared" si="546"/>
        <v>433.72940959918094</v>
      </c>
      <c r="I298" s="441">
        <f t="shared" si="546"/>
        <v>426.81723946459107</v>
      </c>
      <c r="J298" s="438">
        <f t="shared" si="546"/>
        <v>417.77385694054902</v>
      </c>
      <c r="K298" s="439">
        <f t="shared" si="546"/>
        <v>436.60601067607826</v>
      </c>
      <c r="L298" s="440">
        <f t="shared" si="546"/>
        <v>422.38631248628076</v>
      </c>
      <c r="M298" s="441">
        <f t="shared" si="546"/>
        <v>416.71417410190389</v>
      </c>
      <c r="N298" s="438">
        <f t="shared" si="546"/>
        <v>362.21661159739887</v>
      </c>
      <c r="O298" s="439">
        <f t="shared" si="546"/>
        <v>439.33095824750819</v>
      </c>
      <c r="P298" s="440">
        <f t="shared" si="546"/>
        <v>372.30028985813919</v>
      </c>
      <c r="Q298" s="441">
        <f t="shared" si="546"/>
        <v>302.9027865194472</v>
      </c>
      <c r="R298" s="438">
        <f t="shared" si="546"/>
        <v>406.49993735951028</v>
      </c>
      <c r="S298" s="439">
        <f t="shared" si="546"/>
        <v>495.11991770354814</v>
      </c>
      <c r="T298" s="440">
        <f t="shared" si="546"/>
        <v>418.48645830110689</v>
      </c>
      <c r="U298" s="441">
        <f t="shared" si="546"/>
        <v>412.54881877846532</v>
      </c>
      <c r="V298" s="438">
        <f t="shared" si="546"/>
        <v>432.55943797712126</v>
      </c>
      <c r="W298" s="439">
        <f t="shared" si="546"/>
        <v>426.61124947771481</v>
      </c>
      <c r="X298" s="440">
        <f t="shared" si="546"/>
        <v>431.34159784719213</v>
      </c>
      <c r="Y298" s="441">
        <f t="shared" si="546"/>
        <v>413.14054933603097</v>
      </c>
      <c r="Z298" s="438">
        <f t="shared" si="546"/>
        <v>448.79853374226826</v>
      </c>
      <c r="AA298" s="439">
        <f t="shared" si="546"/>
        <v>439.66368639301203</v>
      </c>
      <c r="AB298" s="440">
        <f t="shared" si="546"/>
        <v>447.955071187398</v>
      </c>
      <c r="AC298" s="441">
        <f t="shared" si="546"/>
        <v>386.88487273389188</v>
      </c>
      <c r="AD298" s="438">
        <f t="shared" si="546"/>
        <v>461.30097905806196</v>
      </c>
      <c r="AE298" s="439">
        <f t="shared" si="546"/>
        <v>427.95391946663506</v>
      </c>
      <c r="AF298" s="440">
        <f t="shared" si="546"/>
        <v>458.2376256074715</v>
      </c>
      <c r="AG298" s="441">
        <f t="shared" si="546"/>
        <v>405.21310250777242</v>
      </c>
      <c r="AH298" s="438" t="e">
        <f t="shared" ref="AH298:BB298" si="547">+AH266/AH202*100</f>
        <v>#DIV/0!</v>
      </c>
      <c r="AI298" s="439" t="e">
        <f t="shared" si="547"/>
        <v>#DIV/0!</v>
      </c>
      <c r="AJ298" s="440" t="e">
        <f t="shared" si="547"/>
        <v>#DIV/0!</v>
      </c>
      <c r="AK298" s="441" t="e">
        <f t="shared" si="547"/>
        <v>#DIV/0!</v>
      </c>
      <c r="AL298" s="438" t="e">
        <f t="shared" si="547"/>
        <v>#DIV/0!</v>
      </c>
      <c r="AM298" s="439" t="e">
        <f t="shared" si="547"/>
        <v>#DIV/0!</v>
      </c>
      <c r="AN298" s="440" t="e">
        <f t="shared" si="547"/>
        <v>#DIV/0!</v>
      </c>
      <c r="AO298" s="441" t="e">
        <f t="shared" si="547"/>
        <v>#DIV/0!</v>
      </c>
      <c r="AP298" s="438" t="e">
        <f t="shared" si="547"/>
        <v>#DIV/0!</v>
      </c>
      <c r="AQ298" s="439" t="e">
        <f t="shared" si="547"/>
        <v>#DIV/0!</v>
      </c>
      <c r="AR298" s="440" t="e">
        <f t="shared" si="547"/>
        <v>#DIV/0!</v>
      </c>
      <c r="AS298" s="441" t="e">
        <f t="shared" si="547"/>
        <v>#DIV/0!</v>
      </c>
      <c r="AT298" s="438" t="e">
        <f t="shared" si="547"/>
        <v>#DIV/0!</v>
      </c>
      <c r="AU298" s="439" t="e">
        <f t="shared" si="547"/>
        <v>#DIV/0!</v>
      </c>
      <c r="AV298" s="440" t="e">
        <f t="shared" si="547"/>
        <v>#DIV/0!</v>
      </c>
      <c r="AW298" s="441" t="e">
        <f t="shared" si="547"/>
        <v>#DIV/0!</v>
      </c>
      <c r="AX298" s="638">
        <f t="shared" si="547"/>
        <v>428.8105743599881</v>
      </c>
      <c r="AY298" s="461">
        <f t="shared" si="547"/>
        <v>456.69426276181565</v>
      </c>
      <c r="AZ298" s="461">
        <f t="shared" si="547"/>
        <v>432.51553896905114</v>
      </c>
      <c r="BA298" s="493">
        <f t="shared" si="547"/>
        <v>397.81542032519741</v>
      </c>
      <c r="BB298" s="494">
        <f t="shared" si="547"/>
        <v>423.71743818452609</v>
      </c>
      <c r="BC298" s="117">
        <f t="shared" si="531"/>
        <v>4.2371743818452607</v>
      </c>
      <c r="BE298" s="446">
        <f t="shared" si="532"/>
        <v>458.2376256074715</v>
      </c>
      <c r="BF298" s="446">
        <f t="shared" si="533"/>
        <v>405.21310250777242</v>
      </c>
      <c r="BG298" s="446"/>
    </row>
    <row r="299" spans="1:61" ht="14.4" thickBot="1">
      <c r="A299" s="397" t="s">
        <v>885</v>
      </c>
      <c r="B299" s="438">
        <f t="shared" ref="B299:AG299" si="548">+B267/B203*100</f>
        <v>417.66929616760928</v>
      </c>
      <c r="C299" s="439">
        <f t="shared" si="548"/>
        <v>537.21748461965296</v>
      </c>
      <c r="D299" s="440">
        <f t="shared" si="548"/>
        <v>443.56186930494175</v>
      </c>
      <c r="E299" s="441">
        <f t="shared" si="548"/>
        <v>376.58178720864794</v>
      </c>
      <c r="F299" s="438">
        <f t="shared" si="548"/>
        <v>425.75940998253117</v>
      </c>
      <c r="G299" s="439">
        <f t="shared" si="548"/>
        <v>537.43465775014079</v>
      </c>
      <c r="H299" s="440">
        <f t="shared" si="548"/>
        <v>454.61054157133356</v>
      </c>
      <c r="I299" s="441">
        <f t="shared" si="548"/>
        <v>379.38753138265872</v>
      </c>
      <c r="J299" s="438">
        <f t="shared" si="548"/>
        <v>412.83201713024482</v>
      </c>
      <c r="K299" s="439">
        <f t="shared" si="548"/>
        <v>535.72247661888355</v>
      </c>
      <c r="L299" s="440">
        <f t="shared" si="548"/>
        <v>453.26067603930926</v>
      </c>
      <c r="M299" s="441">
        <f t="shared" si="548"/>
        <v>374.94329922532182</v>
      </c>
      <c r="N299" s="438">
        <f t="shared" si="548"/>
        <v>417.45695794710781</v>
      </c>
      <c r="O299" s="439">
        <f t="shared" si="548"/>
        <v>536.21618128730051</v>
      </c>
      <c r="P299" s="440">
        <f t="shared" si="548"/>
        <v>439.93503948193478</v>
      </c>
      <c r="Q299" s="441">
        <f t="shared" si="548"/>
        <v>357.72748578967793</v>
      </c>
      <c r="R299" s="438">
        <f t="shared" si="548"/>
        <v>420.75876192689174</v>
      </c>
      <c r="S299" s="439">
        <f t="shared" si="548"/>
        <v>533.20126240671038</v>
      </c>
      <c r="T299" s="440">
        <f t="shared" si="548"/>
        <v>444.80364617546229</v>
      </c>
      <c r="U299" s="441">
        <f t="shared" si="548"/>
        <v>411.98511961444416</v>
      </c>
      <c r="V299" s="438">
        <f t="shared" si="548"/>
        <v>411.81496910880855</v>
      </c>
      <c r="W299" s="439">
        <f t="shared" si="548"/>
        <v>533.31112736414832</v>
      </c>
      <c r="X299" s="440">
        <f t="shared" si="548"/>
        <v>445.1527392477941</v>
      </c>
      <c r="Y299" s="441">
        <f t="shared" si="548"/>
        <v>381.29150749248083</v>
      </c>
      <c r="Z299" s="438">
        <f t="shared" si="548"/>
        <v>428.60284810412105</v>
      </c>
      <c r="AA299" s="439">
        <f t="shared" si="548"/>
        <v>533.70845530597353</v>
      </c>
      <c r="AB299" s="440">
        <f t="shared" si="548"/>
        <v>441.64551915330901</v>
      </c>
      <c r="AC299" s="441">
        <f t="shared" si="548"/>
        <v>373.89769586929441</v>
      </c>
      <c r="AD299" s="438">
        <f t="shared" si="548"/>
        <v>454.71604576161167</v>
      </c>
      <c r="AE299" s="439">
        <f t="shared" si="548"/>
        <v>533.94082087781135</v>
      </c>
      <c r="AF299" s="440">
        <f t="shared" si="548"/>
        <v>465.42854879353416</v>
      </c>
      <c r="AG299" s="441">
        <f t="shared" si="548"/>
        <v>356.46312953718393</v>
      </c>
      <c r="AH299" s="438" t="e">
        <f t="shared" ref="AH299:BB299" si="549">+AH267/AH203*100</f>
        <v>#DIV/0!</v>
      </c>
      <c r="AI299" s="439" t="e">
        <f t="shared" si="549"/>
        <v>#DIV/0!</v>
      </c>
      <c r="AJ299" s="440" t="e">
        <f t="shared" si="549"/>
        <v>#DIV/0!</v>
      </c>
      <c r="AK299" s="441" t="e">
        <f t="shared" si="549"/>
        <v>#DIV/0!</v>
      </c>
      <c r="AL299" s="438" t="e">
        <f t="shared" si="549"/>
        <v>#DIV/0!</v>
      </c>
      <c r="AM299" s="439" t="e">
        <f t="shared" si="549"/>
        <v>#DIV/0!</v>
      </c>
      <c r="AN299" s="440" t="e">
        <f t="shared" si="549"/>
        <v>#DIV/0!</v>
      </c>
      <c r="AO299" s="441" t="e">
        <f t="shared" si="549"/>
        <v>#DIV/0!</v>
      </c>
      <c r="AP299" s="438" t="e">
        <f t="shared" si="549"/>
        <v>#DIV/0!</v>
      </c>
      <c r="AQ299" s="439" t="e">
        <f t="shared" si="549"/>
        <v>#DIV/0!</v>
      </c>
      <c r="AR299" s="440" t="e">
        <f t="shared" si="549"/>
        <v>#DIV/0!</v>
      </c>
      <c r="AS299" s="441" t="e">
        <f t="shared" si="549"/>
        <v>#DIV/0!</v>
      </c>
      <c r="AT299" s="438" t="e">
        <f t="shared" si="549"/>
        <v>#DIV/0!</v>
      </c>
      <c r="AU299" s="439" t="e">
        <f t="shared" si="549"/>
        <v>#DIV/0!</v>
      </c>
      <c r="AV299" s="440" t="e">
        <f t="shared" si="549"/>
        <v>#DIV/0!</v>
      </c>
      <c r="AW299" s="441" t="e">
        <f t="shared" si="549"/>
        <v>#DIV/0!</v>
      </c>
      <c r="AX299" s="638">
        <f t="shared" si="549"/>
        <v>427.42238760136513</v>
      </c>
      <c r="AY299" s="461">
        <f t="shared" si="549"/>
        <v>535.25238348499192</v>
      </c>
      <c r="AZ299" s="461">
        <f t="shared" si="549"/>
        <v>449.33747920047466</v>
      </c>
      <c r="BA299" s="493">
        <f t="shared" si="549"/>
        <v>376.03658220095201</v>
      </c>
      <c r="BB299" s="494">
        <f t="shared" si="549"/>
        <v>428.87791939985095</v>
      </c>
      <c r="BC299" s="117">
        <f t="shared" si="531"/>
        <v>4.2887791939985096</v>
      </c>
      <c r="BE299" s="446">
        <f t="shared" si="532"/>
        <v>465.42854879353416</v>
      </c>
      <c r="BF299" s="446">
        <f t="shared" si="533"/>
        <v>356.46312953718393</v>
      </c>
      <c r="BG299" s="446"/>
    </row>
    <row r="300" spans="1:61" ht="14.4" thickBot="1">
      <c r="A300" s="433" t="s">
        <v>16</v>
      </c>
      <c r="B300" s="455">
        <f t="shared" ref="B300:AG300" si="550">+B268/B204*100</f>
        <v>441.9163539964851</v>
      </c>
      <c r="C300" s="456">
        <f t="shared" si="550"/>
        <v>470.67620977485757</v>
      </c>
      <c r="D300" s="456">
        <f t="shared" si="550"/>
        <v>445.22582170258687</v>
      </c>
      <c r="E300" s="457">
        <f t="shared" si="550"/>
        <v>393.21181323488759</v>
      </c>
      <c r="F300" s="455">
        <f t="shared" si="550"/>
        <v>439.88752023631542</v>
      </c>
      <c r="G300" s="456">
        <f t="shared" si="550"/>
        <v>480.62500702591973</v>
      </c>
      <c r="H300" s="456">
        <f t="shared" si="550"/>
        <v>445.00578792801025</v>
      </c>
      <c r="I300" s="457">
        <f t="shared" si="550"/>
        <v>390.60619523465618</v>
      </c>
      <c r="J300" s="455">
        <f t="shared" si="550"/>
        <v>441.34969330654832</v>
      </c>
      <c r="K300" s="456">
        <f t="shared" si="550"/>
        <v>467.51616419453273</v>
      </c>
      <c r="L300" s="456">
        <f t="shared" si="550"/>
        <v>447.55035848506554</v>
      </c>
      <c r="M300" s="457">
        <f t="shared" si="550"/>
        <v>390.25090582089194</v>
      </c>
      <c r="N300" s="455">
        <f t="shared" si="550"/>
        <v>460.94974593021686</v>
      </c>
      <c r="O300" s="456">
        <f t="shared" si="550"/>
        <v>466.91728505040783</v>
      </c>
      <c r="P300" s="456">
        <f t="shared" si="550"/>
        <v>461.63481713994264</v>
      </c>
      <c r="Q300" s="457">
        <f t="shared" si="550"/>
        <v>396.11073639256892</v>
      </c>
      <c r="R300" s="455">
        <f t="shared" si="550"/>
        <v>428.06153130392539</v>
      </c>
      <c r="S300" s="456">
        <f t="shared" si="550"/>
        <v>439.67365977081647</v>
      </c>
      <c r="T300" s="456">
        <f t="shared" si="550"/>
        <v>429.48849734114214</v>
      </c>
      <c r="U300" s="457">
        <f t="shared" si="550"/>
        <v>415.37822164360119</v>
      </c>
      <c r="V300" s="455">
        <f t="shared" si="550"/>
        <v>437.33532146764463</v>
      </c>
      <c r="W300" s="456">
        <f t="shared" si="550"/>
        <v>465.40481934401805</v>
      </c>
      <c r="X300" s="456">
        <f t="shared" si="550"/>
        <v>442.8344680025794</v>
      </c>
      <c r="Y300" s="457">
        <f t="shared" si="550"/>
        <v>420.01452024893274</v>
      </c>
      <c r="Z300" s="455">
        <f t="shared" si="550"/>
        <v>474.35211776978201</v>
      </c>
      <c r="AA300" s="456">
        <f t="shared" si="550"/>
        <v>448.35601445076128</v>
      </c>
      <c r="AB300" s="456">
        <f t="shared" si="550"/>
        <v>472.33722624230455</v>
      </c>
      <c r="AC300" s="457">
        <f t="shared" si="550"/>
        <v>402.4954120147064</v>
      </c>
      <c r="AD300" s="455">
        <f t="shared" si="550"/>
        <v>465.93212370976886</v>
      </c>
      <c r="AE300" s="456">
        <f t="shared" si="550"/>
        <v>457.33605361051906</v>
      </c>
      <c r="AF300" s="456">
        <f t="shared" si="550"/>
        <v>465.29347979760854</v>
      </c>
      <c r="AG300" s="457">
        <f t="shared" si="550"/>
        <v>403.44709105424306</v>
      </c>
      <c r="AH300" s="455" t="e">
        <f t="shared" ref="AH300:BB300" si="551">+AH268/AH204*100</f>
        <v>#DIV/0!</v>
      </c>
      <c r="AI300" s="456" t="e">
        <f t="shared" si="551"/>
        <v>#DIV/0!</v>
      </c>
      <c r="AJ300" s="456" t="e">
        <f t="shared" si="551"/>
        <v>#DIV/0!</v>
      </c>
      <c r="AK300" s="457" t="e">
        <f t="shared" si="551"/>
        <v>#DIV/0!</v>
      </c>
      <c r="AL300" s="455" t="e">
        <f t="shared" si="551"/>
        <v>#DIV/0!</v>
      </c>
      <c r="AM300" s="456" t="e">
        <f t="shared" si="551"/>
        <v>#DIV/0!</v>
      </c>
      <c r="AN300" s="456" t="e">
        <f t="shared" si="551"/>
        <v>#DIV/0!</v>
      </c>
      <c r="AO300" s="457" t="e">
        <f t="shared" si="551"/>
        <v>#DIV/0!</v>
      </c>
      <c r="AP300" s="455" t="e">
        <f t="shared" si="551"/>
        <v>#DIV/0!</v>
      </c>
      <c r="AQ300" s="456" t="e">
        <f t="shared" si="551"/>
        <v>#DIV/0!</v>
      </c>
      <c r="AR300" s="456" t="e">
        <f t="shared" si="551"/>
        <v>#DIV/0!</v>
      </c>
      <c r="AS300" s="457" t="e">
        <f t="shared" si="551"/>
        <v>#DIV/0!</v>
      </c>
      <c r="AT300" s="455" t="e">
        <f t="shared" si="551"/>
        <v>#DIV/0!</v>
      </c>
      <c r="AU300" s="456" t="e">
        <f t="shared" si="551"/>
        <v>#DIV/0!</v>
      </c>
      <c r="AV300" s="456" t="e">
        <f t="shared" si="551"/>
        <v>#DIV/0!</v>
      </c>
      <c r="AW300" s="457" t="e">
        <f t="shared" si="551"/>
        <v>#DIV/0!</v>
      </c>
      <c r="AX300" s="661">
        <f t="shared" si="551"/>
        <v>452.55066681986324</v>
      </c>
      <c r="AY300" s="495">
        <f t="shared" si="551"/>
        <v>462.81551113965003</v>
      </c>
      <c r="AZ300" s="495">
        <f t="shared" si="551"/>
        <v>453.82223242369577</v>
      </c>
      <c r="BA300" s="495">
        <f t="shared" si="551"/>
        <v>401.51990999712126</v>
      </c>
      <c r="BB300" s="496">
        <f t="shared" si="551"/>
        <v>436.73755491901687</v>
      </c>
      <c r="BC300" s="117">
        <f t="shared" si="531"/>
        <v>4.3673755491901689</v>
      </c>
      <c r="BE300" s="446">
        <f t="shared" si="532"/>
        <v>465.29347979760854</v>
      </c>
      <c r="BF300" s="446">
        <f t="shared" si="533"/>
        <v>403.44709105424306</v>
      </c>
      <c r="BG300" s="446"/>
    </row>
    <row r="301" spans="1:61">
      <c r="BC301" s="117">
        <f t="shared" si="531"/>
        <v>0</v>
      </c>
    </row>
    <row r="302" spans="1:61" ht="18.600000000000001" thickBot="1">
      <c r="A302" s="394">
        <f>A270</f>
        <v>2024</v>
      </c>
      <c r="BC302" s="117">
        <f t="shared" si="531"/>
        <v>0</v>
      </c>
    </row>
    <row r="303" spans="1:61">
      <c r="A303" s="2815" t="s">
        <v>308</v>
      </c>
      <c r="B303" s="2827" t="s">
        <v>71</v>
      </c>
      <c r="C303" s="2828"/>
      <c r="D303" s="2828"/>
      <c r="E303" s="3091"/>
      <c r="F303" s="2829" t="s">
        <v>72</v>
      </c>
      <c r="G303" s="2830"/>
      <c r="H303" s="2830"/>
      <c r="I303" s="3095"/>
      <c r="J303" s="2817" t="s">
        <v>73</v>
      </c>
      <c r="K303" s="2818"/>
      <c r="L303" s="2818"/>
      <c r="M303" s="3094"/>
      <c r="N303" s="2819" t="s">
        <v>74</v>
      </c>
      <c r="O303" s="2820"/>
      <c r="P303" s="2820"/>
      <c r="Q303" s="3090"/>
      <c r="R303" s="2821" t="s">
        <v>75</v>
      </c>
      <c r="S303" s="2822"/>
      <c r="T303" s="2822"/>
      <c r="U303" s="3093"/>
      <c r="V303" s="2823" t="s">
        <v>76</v>
      </c>
      <c r="W303" s="2824"/>
      <c r="X303" s="2824"/>
      <c r="Y303" s="3089"/>
      <c r="Z303" s="2827" t="s">
        <v>77</v>
      </c>
      <c r="AA303" s="2828"/>
      <c r="AB303" s="2828"/>
      <c r="AC303" s="3091"/>
      <c r="AD303" s="2829" t="s">
        <v>78</v>
      </c>
      <c r="AE303" s="2830"/>
      <c r="AF303" s="2830"/>
      <c r="AG303" s="3095"/>
      <c r="AH303" s="2817" t="s">
        <v>79</v>
      </c>
      <c r="AI303" s="2818"/>
      <c r="AJ303" s="2818"/>
      <c r="AK303" s="3094"/>
      <c r="AL303" s="2819" t="s">
        <v>80</v>
      </c>
      <c r="AM303" s="2820"/>
      <c r="AN303" s="2820"/>
      <c r="AO303" s="3090"/>
      <c r="AP303" s="2821" t="s">
        <v>81</v>
      </c>
      <c r="AQ303" s="2822"/>
      <c r="AR303" s="2822"/>
      <c r="AS303" s="3093"/>
      <c r="AT303" s="2823" t="s">
        <v>82</v>
      </c>
      <c r="AU303" s="2824"/>
      <c r="AV303" s="2824"/>
      <c r="AW303" s="3089"/>
      <c r="AX303" s="3097" t="s">
        <v>83</v>
      </c>
      <c r="AY303" s="3098"/>
      <c r="AZ303" s="3098"/>
      <c r="BA303" s="3098"/>
      <c r="BB303" s="3099"/>
      <c r="BC303" s="117">
        <f t="shared" si="531"/>
        <v>0</v>
      </c>
    </row>
    <row r="304" spans="1:61" ht="14.4" thickBot="1">
      <c r="A304" s="2816"/>
      <c r="B304" s="402" t="s">
        <v>17</v>
      </c>
      <c r="C304" s="403" t="s">
        <v>18</v>
      </c>
      <c r="D304" s="403" t="s">
        <v>52</v>
      </c>
      <c r="E304" s="404" t="s">
        <v>19</v>
      </c>
      <c r="F304" s="402" t="s">
        <v>17</v>
      </c>
      <c r="G304" s="403" t="s">
        <v>18</v>
      </c>
      <c r="H304" s="403" t="s">
        <v>52</v>
      </c>
      <c r="I304" s="404" t="s">
        <v>19</v>
      </c>
      <c r="J304" s="402" t="s">
        <v>17</v>
      </c>
      <c r="K304" s="403" t="s">
        <v>18</v>
      </c>
      <c r="L304" s="403" t="s">
        <v>52</v>
      </c>
      <c r="M304" s="404" t="s">
        <v>19</v>
      </c>
      <c r="N304" s="402" t="s">
        <v>17</v>
      </c>
      <c r="O304" s="403" t="s">
        <v>18</v>
      </c>
      <c r="P304" s="403" t="s">
        <v>52</v>
      </c>
      <c r="Q304" s="404" t="s">
        <v>19</v>
      </c>
      <c r="R304" s="402" t="s">
        <v>17</v>
      </c>
      <c r="S304" s="403" t="s">
        <v>18</v>
      </c>
      <c r="T304" s="403" t="s">
        <v>52</v>
      </c>
      <c r="U304" s="404" t="s">
        <v>19</v>
      </c>
      <c r="V304" s="402" t="s">
        <v>17</v>
      </c>
      <c r="W304" s="403" t="s">
        <v>18</v>
      </c>
      <c r="X304" s="403" t="s">
        <v>52</v>
      </c>
      <c r="Y304" s="404" t="s">
        <v>19</v>
      </c>
      <c r="Z304" s="402" t="s">
        <v>17</v>
      </c>
      <c r="AA304" s="403" t="s">
        <v>18</v>
      </c>
      <c r="AB304" s="403" t="s">
        <v>52</v>
      </c>
      <c r="AC304" s="404" t="s">
        <v>19</v>
      </c>
      <c r="AD304" s="402" t="s">
        <v>17</v>
      </c>
      <c r="AE304" s="403" t="s">
        <v>18</v>
      </c>
      <c r="AF304" s="403" t="s">
        <v>52</v>
      </c>
      <c r="AG304" s="404" t="s">
        <v>19</v>
      </c>
      <c r="AH304" s="402" t="s">
        <v>17</v>
      </c>
      <c r="AI304" s="403" t="s">
        <v>18</v>
      </c>
      <c r="AJ304" s="403" t="s">
        <v>52</v>
      </c>
      <c r="AK304" s="404" t="s">
        <v>19</v>
      </c>
      <c r="AL304" s="402" t="s">
        <v>17</v>
      </c>
      <c r="AM304" s="403" t="s">
        <v>18</v>
      </c>
      <c r="AN304" s="403" t="s">
        <v>52</v>
      </c>
      <c r="AO304" s="404" t="s">
        <v>19</v>
      </c>
      <c r="AP304" s="1107" t="s">
        <v>17</v>
      </c>
      <c r="AQ304" s="403" t="s">
        <v>18</v>
      </c>
      <c r="AR304" s="403" t="s">
        <v>52</v>
      </c>
      <c r="AS304" s="404" t="s">
        <v>19</v>
      </c>
      <c r="AT304" s="402" t="s">
        <v>17</v>
      </c>
      <c r="AU304" s="403" t="s">
        <v>18</v>
      </c>
      <c r="AV304" s="403" t="s">
        <v>52</v>
      </c>
      <c r="AW304" s="404" t="s">
        <v>19</v>
      </c>
      <c r="AX304" s="403" t="s">
        <v>17</v>
      </c>
      <c r="AY304" s="403" t="s">
        <v>18</v>
      </c>
      <c r="AZ304" s="403" t="s">
        <v>52</v>
      </c>
      <c r="BA304" s="431" t="s">
        <v>19</v>
      </c>
      <c r="BB304" s="404" t="s">
        <v>160</v>
      </c>
      <c r="BC304" s="117" t="e">
        <f t="shared" si="531"/>
        <v>#VALUE!</v>
      </c>
      <c r="BE304" s="117" t="s">
        <v>52</v>
      </c>
      <c r="BF304" s="117" t="s">
        <v>19</v>
      </c>
    </row>
    <row r="305" spans="1:59">
      <c r="A305" s="397" t="s">
        <v>6</v>
      </c>
      <c r="B305" s="438">
        <f t="shared" ref="B305:AG305" si="552">+B273/B209*100</f>
        <v>456.6701030019301</v>
      </c>
      <c r="C305" s="439">
        <f t="shared" si="552"/>
        <v>394.6903400526316</v>
      </c>
      <c r="D305" s="440">
        <f t="shared" si="552"/>
        <v>449.5710028923009</v>
      </c>
      <c r="E305" s="441">
        <f t="shared" si="552"/>
        <v>373.79315661055637</v>
      </c>
      <c r="F305" s="438">
        <f t="shared" si="552"/>
        <v>467.67115334904003</v>
      </c>
      <c r="G305" s="439">
        <f t="shared" si="552"/>
        <v>432.3025671414739</v>
      </c>
      <c r="H305" s="440">
        <f t="shared" si="552"/>
        <v>464.12299540610144</v>
      </c>
      <c r="I305" s="441">
        <f t="shared" si="552"/>
        <v>379.17564522942399</v>
      </c>
      <c r="J305" s="438">
        <f t="shared" si="552"/>
        <v>461.04507491252713</v>
      </c>
      <c r="K305" s="439">
        <f t="shared" si="552"/>
        <v>422.7875900560374</v>
      </c>
      <c r="L305" s="440">
        <f t="shared" si="552"/>
        <v>454.36589373115402</v>
      </c>
      <c r="M305" s="441">
        <f t="shared" si="552"/>
        <v>367.54408005132535</v>
      </c>
      <c r="N305" s="438">
        <f t="shared" si="552"/>
        <v>461.61972758403795</v>
      </c>
      <c r="O305" s="439">
        <f t="shared" si="552"/>
        <v>348.86702695979693</v>
      </c>
      <c r="P305" s="440">
        <f t="shared" si="552"/>
        <v>447.22538563841698</v>
      </c>
      <c r="Q305" s="441">
        <f t="shared" si="552"/>
        <v>388.22823296791665</v>
      </c>
      <c r="R305" s="438">
        <f t="shared" si="552"/>
        <v>457.84974208282676</v>
      </c>
      <c r="S305" s="439">
        <f t="shared" si="552"/>
        <v>338.36786501332352</v>
      </c>
      <c r="T305" s="440">
        <f t="shared" si="552"/>
        <v>442.16352456810017</v>
      </c>
      <c r="U305" s="441">
        <f t="shared" si="552"/>
        <v>380.88554979955347</v>
      </c>
      <c r="V305" s="438">
        <f t="shared" si="552"/>
        <v>462.80129941881574</v>
      </c>
      <c r="W305" s="439">
        <f t="shared" si="552"/>
        <v>360.1978599206862</v>
      </c>
      <c r="X305" s="440">
        <f t="shared" si="552"/>
        <v>444.97504637483428</v>
      </c>
      <c r="Y305" s="441">
        <f t="shared" si="552"/>
        <v>386.13757509400864</v>
      </c>
      <c r="Z305" s="438">
        <f t="shared" si="552"/>
        <v>481.1385038888248</v>
      </c>
      <c r="AA305" s="439">
        <f t="shared" si="552"/>
        <v>387.98511815579621</v>
      </c>
      <c r="AB305" s="440">
        <f t="shared" si="552"/>
        <v>475.1694762851767</v>
      </c>
      <c r="AC305" s="441">
        <f t="shared" si="552"/>
        <v>372.66946451245622</v>
      </c>
      <c r="AD305" s="438">
        <f t="shared" si="552"/>
        <v>397.36021890125136</v>
      </c>
      <c r="AE305" s="439">
        <f t="shared" si="552"/>
        <v>220.98419711243031</v>
      </c>
      <c r="AF305" s="440">
        <f t="shared" si="552"/>
        <v>386.57442471660124</v>
      </c>
      <c r="AG305" s="441">
        <f t="shared" si="552"/>
        <v>369.54768918085841</v>
      </c>
      <c r="AH305" s="438" t="e">
        <f t="shared" ref="AH305:BB305" si="553">+AH273/AH209*100</f>
        <v>#DIV/0!</v>
      </c>
      <c r="AI305" s="439" t="e">
        <f t="shared" si="553"/>
        <v>#DIV/0!</v>
      </c>
      <c r="AJ305" s="440" t="e">
        <f t="shared" si="553"/>
        <v>#DIV/0!</v>
      </c>
      <c r="AK305" s="441" t="e">
        <f t="shared" si="553"/>
        <v>#DIV/0!</v>
      </c>
      <c r="AL305" s="438" t="e">
        <f t="shared" si="553"/>
        <v>#DIV/0!</v>
      </c>
      <c r="AM305" s="439" t="e">
        <f t="shared" si="553"/>
        <v>#DIV/0!</v>
      </c>
      <c r="AN305" s="440" t="e">
        <f t="shared" si="553"/>
        <v>#DIV/0!</v>
      </c>
      <c r="AO305" s="441" t="e">
        <f t="shared" si="553"/>
        <v>#DIV/0!</v>
      </c>
      <c r="AP305" s="1108" t="e">
        <f t="shared" si="553"/>
        <v>#DIV/0!</v>
      </c>
      <c r="AQ305" s="439" t="e">
        <f t="shared" si="553"/>
        <v>#DIV/0!</v>
      </c>
      <c r="AR305" s="440" t="e">
        <f t="shared" si="553"/>
        <v>#DIV/0!</v>
      </c>
      <c r="AS305" s="441" t="e">
        <f t="shared" si="553"/>
        <v>#DIV/0!</v>
      </c>
      <c r="AT305" s="438" t="e">
        <f t="shared" si="553"/>
        <v>#DIV/0!</v>
      </c>
      <c r="AU305" s="439" t="e">
        <f t="shared" si="553"/>
        <v>#DIV/0!</v>
      </c>
      <c r="AV305" s="440" t="e">
        <f t="shared" si="553"/>
        <v>#DIV/0!</v>
      </c>
      <c r="AW305" s="441" t="e">
        <f t="shared" si="553"/>
        <v>#DIV/0!</v>
      </c>
      <c r="AX305" s="660">
        <f t="shared" si="553"/>
        <v>450.51756202955755</v>
      </c>
      <c r="AY305" s="490">
        <f t="shared" si="553"/>
        <v>363.35528270368229</v>
      </c>
      <c r="AZ305" s="490">
        <f t="shared" si="553"/>
        <v>440.94128578400199</v>
      </c>
      <c r="BA305" s="491">
        <f t="shared" si="553"/>
        <v>376.75891307530361</v>
      </c>
      <c r="BB305" s="492">
        <f t="shared" si="553"/>
        <v>415.5612744749817</v>
      </c>
      <c r="BC305" s="117">
        <f>AZ305/100</f>
        <v>4.40941285784002</v>
      </c>
      <c r="BE305" s="446">
        <f>AF305</f>
        <v>386.57442471660124</v>
      </c>
      <c r="BF305" s="446">
        <f>AG305</f>
        <v>369.54768918085841</v>
      </c>
      <c r="BG305" s="446"/>
    </row>
    <row r="306" spans="1:59">
      <c r="A306" s="397" t="s">
        <v>7</v>
      </c>
      <c r="B306" s="438">
        <f t="shared" ref="B306:AG306" si="554">+B274/B210*100</f>
        <v>431.6724673308417</v>
      </c>
      <c r="C306" s="439">
        <f t="shared" si="554"/>
        <v>487.08021743413781</v>
      </c>
      <c r="D306" s="440">
        <f t="shared" si="554"/>
        <v>437.84152969732634</v>
      </c>
      <c r="E306" s="441">
        <f t="shared" si="554"/>
        <v>394.37679725014328</v>
      </c>
      <c r="F306" s="438">
        <f t="shared" si="554"/>
        <v>436.49365711358644</v>
      </c>
      <c r="G306" s="439">
        <f t="shared" si="554"/>
        <v>481.3656217142663</v>
      </c>
      <c r="H306" s="440">
        <f t="shared" si="554"/>
        <v>441.70433355684003</v>
      </c>
      <c r="I306" s="441">
        <f t="shared" si="554"/>
        <v>393.22745367147974</v>
      </c>
      <c r="J306" s="438">
        <f t="shared" si="554"/>
        <v>448.41438682304789</v>
      </c>
      <c r="K306" s="439">
        <f t="shared" si="554"/>
        <v>476.76764446330361</v>
      </c>
      <c r="L306" s="440">
        <f t="shared" si="554"/>
        <v>458.99412042883182</v>
      </c>
      <c r="M306" s="441">
        <f t="shared" si="554"/>
        <v>374.1919491261371</v>
      </c>
      <c r="N306" s="438">
        <f t="shared" si="554"/>
        <v>436.51491269714427</v>
      </c>
      <c r="O306" s="439">
        <f t="shared" si="554"/>
        <v>466.071940861889</v>
      </c>
      <c r="P306" s="440">
        <f t="shared" si="554"/>
        <v>440.01179321792029</v>
      </c>
      <c r="Q306" s="441">
        <f t="shared" si="554"/>
        <v>402.50304029163465</v>
      </c>
      <c r="R306" s="438">
        <f t="shared" si="554"/>
        <v>426.86116209652045</v>
      </c>
      <c r="S306" s="439">
        <f t="shared" si="554"/>
        <v>394.89834671679534</v>
      </c>
      <c r="T306" s="440">
        <f t="shared" si="554"/>
        <v>422.892045416266</v>
      </c>
      <c r="U306" s="441">
        <f t="shared" si="554"/>
        <v>391.54168143914819</v>
      </c>
      <c r="V306" s="438">
        <f t="shared" si="554"/>
        <v>442.12660060074535</v>
      </c>
      <c r="W306" s="439">
        <f t="shared" si="554"/>
        <v>503.14800173872339</v>
      </c>
      <c r="X306" s="440">
        <f t="shared" si="554"/>
        <v>458.32597221938818</v>
      </c>
      <c r="Y306" s="441">
        <f t="shared" si="554"/>
        <v>379.1955673811018</v>
      </c>
      <c r="Z306" s="438">
        <f t="shared" si="554"/>
        <v>472.20214712616144</v>
      </c>
      <c r="AA306" s="439">
        <f t="shared" si="554"/>
        <v>432.75924183290726</v>
      </c>
      <c r="AB306" s="440">
        <f t="shared" si="554"/>
        <v>469.55867466901486</v>
      </c>
      <c r="AC306" s="441">
        <f t="shared" si="554"/>
        <v>393.40949685077896</v>
      </c>
      <c r="AD306" s="438">
        <f t="shared" si="554"/>
        <v>458.44835461572148</v>
      </c>
      <c r="AE306" s="439">
        <f t="shared" si="554"/>
        <v>431.26482244436221</v>
      </c>
      <c r="AF306" s="440">
        <f t="shared" si="554"/>
        <v>456.78846705781433</v>
      </c>
      <c r="AG306" s="441">
        <f t="shared" si="554"/>
        <v>379.98347267727297</v>
      </c>
      <c r="AH306" s="438" t="e">
        <f t="shared" ref="AH306:BB306" si="555">+AH274/AH210*100</f>
        <v>#DIV/0!</v>
      </c>
      <c r="AI306" s="439" t="e">
        <f t="shared" si="555"/>
        <v>#DIV/0!</v>
      </c>
      <c r="AJ306" s="440" t="e">
        <f t="shared" si="555"/>
        <v>#DIV/0!</v>
      </c>
      <c r="AK306" s="441" t="e">
        <f t="shared" si="555"/>
        <v>#DIV/0!</v>
      </c>
      <c r="AL306" s="438" t="e">
        <f t="shared" si="555"/>
        <v>#DIV/0!</v>
      </c>
      <c r="AM306" s="439" t="e">
        <f t="shared" si="555"/>
        <v>#DIV/0!</v>
      </c>
      <c r="AN306" s="440" t="e">
        <f t="shared" si="555"/>
        <v>#DIV/0!</v>
      </c>
      <c r="AO306" s="441" t="e">
        <f t="shared" si="555"/>
        <v>#DIV/0!</v>
      </c>
      <c r="AP306" s="1108" t="e">
        <f t="shared" si="555"/>
        <v>#DIV/0!</v>
      </c>
      <c r="AQ306" s="439" t="e">
        <f t="shared" si="555"/>
        <v>#DIV/0!</v>
      </c>
      <c r="AR306" s="440" t="e">
        <f t="shared" si="555"/>
        <v>#DIV/0!</v>
      </c>
      <c r="AS306" s="441" t="e">
        <f t="shared" si="555"/>
        <v>#DIV/0!</v>
      </c>
      <c r="AT306" s="438" t="e">
        <f t="shared" si="555"/>
        <v>#DIV/0!</v>
      </c>
      <c r="AU306" s="439" t="e">
        <f t="shared" si="555"/>
        <v>#DIV/0!</v>
      </c>
      <c r="AV306" s="440" t="e">
        <f t="shared" si="555"/>
        <v>#DIV/0!</v>
      </c>
      <c r="AW306" s="441" t="e">
        <f t="shared" si="555"/>
        <v>#DIV/0!</v>
      </c>
      <c r="AX306" s="638">
        <f t="shared" si="555"/>
        <v>448.06271153497875</v>
      </c>
      <c r="AY306" s="461">
        <f t="shared" si="555"/>
        <v>467.67836761124653</v>
      </c>
      <c r="AZ306" s="461">
        <f t="shared" si="555"/>
        <v>450.84442930307222</v>
      </c>
      <c r="BA306" s="493">
        <f t="shared" si="555"/>
        <v>388.01030694330268</v>
      </c>
      <c r="BB306" s="494">
        <f t="shared" si="555"/>
        <v>428.63121678116227</v>
      </c>
      <c r="BC306" s="117">
        <f t="shared" ref="BC306:BC315" si="556">AZ306/100</f>
        <v>4.5084442930307222</v>
      </c>
      <c r="BE306" s="446">
        <f t="shared" ref="BE306:BE315" si="557">AF306</f>
        <v>456.78846705781433</v>
      </c>
      <c r="BF306" s="446">
        <f t="shared" ref="BF306:BF315" si="558">AG306</f>
        <v>379.98347267727297</v>
      </c>
    </row>
    <row r="307" spans="1:59">
      <c r="A307" s="397" t="s">
        <v>8</v>
      </c>
      <c r="B307" s="438">
        <f t="shared" ref="B307:AG307" si="559">+B275/B211*100</f>
        <v>430.19653111349925</v>
      </c>
      <c r="C307" s="439">
        <f t="shared" si="559"/>
        <v>522.15291350695645</v>
      </c>
      <c r="D307" s="440">
        <f t="shared" si="559"/>
        <v>443.2370326286275</v>
      </c>
      <c r="E307" s="441">
        <f t="shared" si="559"/>
        <v>301.12143306224073</v>
      </c>
      <c r="F307" s="438">
        <f t="shared" si="559"/>
        <v>420.36264075054942</v>
      </c>
      <c r="G307" s="439">
        <f t="shared" si="559"/>
        <v>506.18745612869429</v>
      </c>
      <c r="H307" s="440">
        <f t="shared" si="559"/>
        <v>434.36626463076192</v>
      </c>
      <c r="I307" s="441">
        <f t="shared" si="559"/>
        <v>423.52633806127596</v>
      </c>
      <c r="J307" s="438">
        <f t="shared" si="559"/>
        <v>421.99561822471833</v>
      </c>
      <c r="K307" s="439">
        <f t="shared" si="559"/>
        <v>465.91232938758355</v>
      </c>
      <c r="L307" s="440">
        <f t="shared" si="559"/>
        <v>436.21648367015513</v>
      </c>
      <c r="M307" s="441">
        <f t="shared" si="559"/>
        <v>416.55985641405329</v>
      </c>
      <c r="N307" s="438">
        <f t="shared" si="559"/>
        <v>429.92328145401314</v>
      </c>
      <c r="O307" s="439">
        <f t="shared" si="559"/>
        <v>432.08966145083554</v>
      </c>
      <c r="P307" s="440">
        <f t="shared" si="559"/>
        <v>430.28961469652796</v>
      </c>
      <c r="Q307" s="441">
        <f t="shared" si="559"/>
        <v>506.17891858354216</v>
      </c>
      <c r="R307" s="438">
        <f t="shared" si="559"/>
        <v>418.54200001486117</v>
      </c>
      <c r="S307" s="439">
        <f t="shared" si="559"/>
        <v>441.1082399453619</v>
      </c>
      <c r="T307" s="440">
        <f t="shared" si="559"/>
        <v>422.37516135967434</v>
      </c>
      <c r="U307" s="441">
        <f t="shared" si="559"/>
        <v>503.99385375159164</v>
      </c>
      <c r="V307" s="438">
        <f t="shared" si="559"/>
        <v>434.65331162820462</v>
      </c>
      <c r="W307" s="439">
        <f t="shared" si="559"/>
        <v>464.58926330556585</v>
      </c>
      <c r="X307" s="440">
        <f t="shared" si="559"/>
        <v>442.10209305771667</v>
      </c>
      <c r="Y307" s="441">
        <f t="shared" si="559"/>
        <v>489.29551553185257</v>
      </c>
      <c r="Z307" s="438">
        <f t="shared" si="559"/>
        <v>455.27946827716221</v>
      </c>
      <c r="AA307" s="439">
        <f t="shared" si="559"/>
        <v>400.44891022274493</v>
      </c>
      <c r="AB307" s="440">
        <f t="shared" si="559"/>
        <v>449.05899995217385</v>
      </c>
      <c r="AC307" s="441">
        <f t="shared" si="559"/>
        <v>525.61769321743861</v>
      </c>
      <c r="AD307" s="438">
        <f t="shared" si="559"/>
        <v>455.92750222279284</v>
      </c>
      <c r="AE307" s="439">
        <f t="shared" si="559"/>
        <v>423.07282465441494</v>
      </c>
      <c r="AF307" s="440">
        <f t="shared" si="559"/>
        <v>452.2412783203543</v>
      </c>
      <c r="AG307" s="441">
        <f t="shared" si="559"/>
        <v>417.70030226196911</v>
      </c>
      <c r="AH307" s="438" t="e">
        <f t="shared" ref="AH307:BB307" si="560">+AH275/AH211*100</f>
        <v>#DIV/0!</v>
      </c>
      <c r="AI307" s="439" t="e">
        <f t="shared" si="560"/>
        <v>#DIV/0!</v>
      </c>
      <c r="AJ307" s="440" t="e">
        <f t="shared" si="560"/>
        <v>#DIV/0!</v>
      </c>
      <c r="AK307" s="441" t="e">
        <f t="shared" si="560"/>
        <v>#DIV/0!</v>
      </c>
      <c r="AL307" s="438" t="e">
        <f t="shared" si="560"/>
        <v>#DIV/0!</v>
      </c>
      <c r="AM307" s="439" t="e">
        <f t="shared" si="560"/>
        <v>#DIV/0!</v>
      </c>
      <c r="AN307" s="440" t="e">
        <f t="shared" si="560"/>
        <v>#DIV/0!</v>
      </c>
      <c r="AO307" s="441" t="e">
        <f t="shared" si="560"/>
        <v>#DIV/0!</v>
      </c>
      <c r="AP307" s="1108" t="e">
        <f t="shared" si="560"/>
        <v>#DIV/0!</v>
      </c>
      <c r="AQ307" s="439" t="e">
        <f t="shared" si="560"/>
        <v>#DIV/0!</v>
      </c>
      <c r="AR307" s="440" t="e">
        <f t="shared" si="560"/>
        <v>#DIV/0!</v>
      </c>
      <c r="AS307" s="441" t="e">
        <f t="shared" si="560"/>
        <v>#DIV/0!</v>
      </c>
      <c r="AT307" s="438" t="e">
        <f t="shared" si="560"/>
        <v>#DIV/0!</v>
      </c>
      <c r="AU307" s="439" t="e">
        <f t="shared" si="560"/>
        <v>#DIV/0!</v>
      </c>
      <c r="AV307" s="440" t="e">
        <f t="shared" si="560"/>
        <v>#DIV/0!</v>
      </c>
      <c r="AW307" s="441" t="e">
        <f t="shared" si="560"/>
        <v>#DIV/0!</v>
      </c>
      <c r="AX307" s="638">
        <f t="shared" si="560"/>
        <v>436.94588721884662</v>
      </c>
      <c r="AY307" s="461">
        <f t="shared" si="560"/>
        <v>455.96991320860212</v>
      </c>
      <c r="AZ307" s="461">
        <f t="shared" si="560"/>
        <v>440.26437976186327</v>
      </c>
      <c r="BA307" s="493">
        <f t="shared" si="560"/>
        <v>442.88321519426825</v>
      </c>
      <c r="BB307" s="494">
        <f t="shared" si="560"/>
        <v>440.88006620083399</v>
      </c>
      <c r="BC307" s="117">
        <f t="shared" si="556"/>
        <v>4.4026437976186328</v>
      </c>
      <c r="BE307" s="446">
        <f t="shared" si="557"/>
        <v>452.2412783203543</v>
      </c>
      <c r="BF307" s="446">
        <f t="shared" si="558"/>
        <v>417.70030226196911</v>
      </c>
    </row>
    <row r="308" spans="1:59">
      <c r="A308" s="397" t="s">
        <v>4</v>
      </c>
      <c r="B308" s="438">
        <f t="shared" ref="B308:AG308" si="561">+B276/B212*100</f>
        <v>449.11876589521819</v>
      </c>
      <c r="C308" s="439">
        <f t="shared" si="561"/>
        <v>527.25617983611107</v>
      </c>
      <c r="D308" s="440">
        <f t="shared" si="561"/>
        <v>457.61246372093956</v>
      </c>
      <c r="E308" s="441">
        <f t="shared" si="561"/>
        <v>396.92231880622944</v>
      </c>
      <c r="F308" s="438">
        <f t="shared" si="561"/>
        <v>452.29540538251456</v>
      </c>
      <c r="G308" s="439">
        <f t="shared" si="561"/>
        <v>528.04458877849402</v>
      </c>
      <c r="H308" s="440">
        <f t="shared" si="561"/>
        <v>461.34434713371098</v>
      </c>
      <c r="I308" s="441">
        <f t="shared" si="561"/>
        <v>377.0854215754361</v>
      </c>
      <c r="J308" s="438">
        <f t="shared" si="561"/>
        <v>453.85598348960519</v>
      </c>
      <c r="K308" s="439">
        <f t="shared" si="561"/>
        <v>530.44405836971998</v>
      </c>
      <c r="L308" s="440">
        <f t="shared" si="561"/>
        <v>465.89079012699671</v>
      </c>
      <c r="M308" s="441">
        <f t="shared" si="561"/>
        <v>367.68916131046046</v>
      </c>
      <c r="N308" s="438">
        <f t="shared" si="561"/>
        <v>449.15621716540386</v>
      </c>
      <c r="O308" s="439">
        <f t="shared" si="561"/>
        <v>526.733320040678</v>
      </c>
      <c r="P308" s="440">
        <f t="shared" si="561"/>
        <v>457.48160877265445</v>
      </c>
      <c r="Q308" s="441">
        <f t="shared" si="561"/>
        <v>377.57995623524391</v>
      </c>
      <c r="R308" s="438">
        <f t="shared" si="561"/>
        <v>444.47449619054964</v>
      </c>
      <c r="S308" s="439">
        <f t="shared" si="561"/>
        <v>524.97520818763337</v>
      </c>
      <c r="T308" s="440">
        <f t="shared" si="561"/>
        <v>453.60035429648224</v>
      </c>
      <c r="U308" s="441">
        <f t="shared" si="561"/>
        <v>389.1335851987966</v>
      </c>
      <c r="V308" s="438">
        <f t="shared" si="561"/>
        <v>448.19219154662005</v>
      </c>
      <c r="W308" s="439">
        <f t="shared" si="561"/>
        <v>527.24519429062946</v>
      </c>
      <c r="X308" s="440">
        <f t="shared" si="561"/>
        <v>458.67391067608008</v>
      </c>
      <c r="Y308" s="441">
        <f t="shared" si="561"/>
        <v>376.35349083761082</v>
      </c>
      <c r="Z308" s="438">
        <f t="shared" si="561"/>
        <v>464.16498306289026</v>
      </c>
      <c r="AA308" s="439">
        <f t="shared" si="561"/>
        <v>524.71536170128775</v>
      </c>
      <c r="AB308" s="440">
        <f t="shared" si="561"/>
        <v>468.31559087590068</v>
      </c>
      <c r="AC308" s="441">
        <f t="shared" si="561"/>
        <v>394.37702546239564</v>
      </c>
      <c r="AD308" s="438">
        <f t="shared" si="561"/>
        <v>476.7694497786942</v>
      </c>
      <c r="AE308" s="439">
        <f t="shared" si="561"/>
        <v>526.02372402859305</v>
      </c>
      <c r="AF308" s="440">
        <f t="shared" si="561"/>
        <v>479.95696301708949</v>
      </c>
      <c r="AG308" s="441">
        <f t="shared" si="561"/>
        <v>372.83190506031104</v>
      </c>
      <c r="AH308" s="438" t="e">
        <f t="shared" ref="AH308:BB308" si="562">+AH276/AH212*100</f>
        <v>#DIV/0!</v>
      </c>
      <c r="AI308" s="439" t="e">
        <f t="shared" si="562"/>
        <v>#DIV/0!</v>
      </c>
      <c r="AJ308" s="440" t="e">
        <f t="shared" si="562"/>
        <v>#DIV/0!</v>
      </c>
      <c r="AK308" s="441" t="e">
        <f t="shared" si="562"/>
        <v>#DIV/0!</v>
      </c>
      <c r="AL308" s="438" t="e">
        <f t="shared" si="562"/>
        <v>#DIV/0!</v>
      </c>
      <c r="AM308" s="439" t="e">
        <f t="shared" si="562"/>
        <v>#DIV/0!</v>
      </c>
      <c r="AN308" s="440" t="e">
        <f t="shared" si="562"/>
        <v>#DIV/0!</v>
      </c>
      <c r="AO308" s="441" t="e">
        <f t="shared" si="562"/>
        <v>#DIV/0!</v>
      </c>
      <c r="AP308" s="1108" t="e">
        <f t="shared" si="562"/>
        <v>#DIV/0!</v>
      </c>
      <c r="AQ308" s="439" t="e">
        <f t="shared" si="562"/>
        <v>#DIV/0!</v>
      </c>
      <c r="AR308" s="440" t="e">
        <f t="shared" si="562"/>
        <v>#DIV/0!</v>
      </c>
      <c r="AS308" s="441" t="e">
        <f t="shared" si="562"/>
        <v>#DIV/0!</v>
      </c>
      <c r="AT308" s="438" t="e">
        <f t="shared" si="562"/>
        <v>#DIV/0!</v>
      </c>
      <c r="AU308" s="439" t="e">
        <f t="shared" si="562"/>
        <v>#DIV/0!</v>
      </c>
      <c r="AV308" s="440" t="e">
        <f t="shared" si="562"/>
        <v>#DIV/0!</v>
      </c>
      <c r="AW308" s="441" t="e">
        <f t="shared" si="562"/>
        <v>#DIV/0!</v>
      </c>
      <c r="AX308" s="638">
        <f t="shared" si="562"/>
        <v>457.39501737616808</v>
      </c>
      <c r="AY308" s="461">
        <f t="shared" si="562"/>
        <v>527.13930341592697</v>
      </c>
      <c r="AZ308" s="461">
        <f t="shared" si="562"/>
        <v>464.58296676535707</v>
      </c>
      <c r="BA308" s="493">
        <f t="shared" si="562"/>
        <v>380.83182315658127</v>
      </c>
      <c r="BB308" s="494">
        <f t="shared" si="562"/>
        <v>439.08369045848889</v>
      </c>
      <c r="BC308" s="117">
        <f t="shared" si="556"/>
        <v>4.6458296676535706</v>
      </c>
      <c r="BE308" s="446">
        <f t="shared" si="557"/>
        <v>479.95696301708949</v>
      </c>
      <c r="BF308" s="446">
        <f t="shared" si="558"/>
        <v>372.83190506031104</v>
      </c>
    </row>
    <row r="309" spans="1:59">
      <c r="A309" s="397" t="s">
        <v>3</v>
      </c>
      <c r="B309" s="438">
        <f t="shared" ref="B309:AG309" si="563">+B277/B213*100</f>
        <v>369.20582743965781</v>
      </c>
      <c r="C309" s="439">
        <f t="shared" si="563"/>
        <v>365.78111884731857</v>
      </c>
      <c r="D309" s="440">
        <f t="shared" si="563"/>
        <v>368.76877716468869</v>
      </c>
      <c r="E309" s="441">
        <f t="shared" si="563"/>
        <v>431.46343668002396</v>
      </c>
      <c r="F309" s="438">
        <f t="shared" si="563"/>
        <v>361.46198051453365</v>
      </c>
      <c r="G309" s="439">
        <f t="shared" si="563"/>
        <v>265.63111641985438</v>
      </c>
      <c r="H309" s="440">
        <f t="shared" si="563"/>
        <v>350.59786023437692</v>
      </c>
      <c r="I309" s="441">
        <f t="shared" si="563"/>
        <v>416.91480318839183</v>
      </c>
      <c r="J309" s="438">
        <f t="shared" si="563"/>
        <v>348.82003697544388</v>
      </c>
      <c r="K309" s="439">
        <f t="shared" si="563"/>
        <v>367.29772091968158</v>
      </c>
      <c r="L309" s="440">
        <f t="shared" si="563"/>
        <v>354.21293621835036</v>
      </c>
      <c r="M309" s="441">
        <f t="shared" si="563"/>
        <v>398.60778434515203</v>
      </c>
      <c r="N309" s="438">
        <f t="shared" si="563"/>
        <v>354.88295759945004</v>
      </c>
      <c r="O309" s="439">
        <f t="shared" si="563"/>
        <v>308.77611886634526</v>
      </c>
      <c r="P309" s="440">
        <f t="shared" si="563"/>
        <v>349.4455434094794</v>
      </c>
      <c r="Q309" s="441">
        <f t="shared" si="563"/>
        <v>411.1839336424552</v>
      </c>
      <c r="R309" s="438">
        <f t="shared" si="563"/>
        <v>345.96601163624644</v>
      </c>
      <c r="S309" s="439">
        <f t="shared" si="563"/>
        <v>295.73979952546273</v>
      </c>
      <c r="T309" s="440">
        <f t="shared" si="563"/>
        <v>338.4325673824834</v>
      </c>
      <c r="U309" s="441">
        <f t="shared" si="563"/>
        <v>406.20499330941379</v>
      </c>
      <c r="V309" s="438">
        <f t="shared" si="563"/>
        <v>348.90365596371413</v>
      </c>
      <c r="W309" s="439">
        <f t="shared" si="563"/>
        <v>302.22965467363821</v>
      </c>
      <c r="X309" s="440">
        <f t="shared" si="563"/>
        <v>339.1614695651237</v>
      </c>
      <c r="Y309" s="441">
        <f t="shared" si="563"/>
        <v>411.23729040857455</v>
      </c>
      <c r="Z309" s="438">
        <f t="shared" si="563"/>
        <v>395.60600782876321</v>
      </c>
      <c r="AA309" s="439">
        <f t="shared" si="563"/>
        <v>292.82637866379582</v>
      </c>
      <c r="AB309" s="440">
        <f t="shared" si="563"/>
        <v>386.64823275334106</v>
      </c>
      <c r="AC309" s="441">
        <f t="shared" si="563"/>
        <v>394.22566540864881</v>
      </c>
      <c r="AD309" s="438">
        <f t="shared" si="563"/>
        <v>394.17931713424014</v>
      </c>
      <c r="AE309" s="439">
        <f t="shared" si="563"/>
        <v>329.17173053978536</v>
      </c>
      <c r="AF309" s="440">
        <f t="shared" si="563"/>
        <v>391.45679506007019</v>
      </c>
      <c r="AG309" s="441">
        <f t="shared" si="563"/>
        <v>399.90882233085688</v>
      </c>
      <c r="AH309" s="438" t="e">
        <f t="shared" ref="AH309:BB309" si="564">+AH277/AH213*100</f>
        <v>#DIV/0!</v>
      </c>
      <c r="AI309" s="439" t="e">
        <f t="shared" si="564"/>
        <v>#DIV/0!</v>
      </c>
      <c r="AJ309" s="440" t="e">
        <f t="shared" si="564"/>
        <v>#DIV/0!</v>
      </c>
      <c r="AK309" s="441" t="e">
        <f t="shared" si="564"/>
        <v>#DIV/0!</v>
      </c>
      <c r="AL309" s="438" t="e">
        <f t="shared" si="564"/>
        <v>#DIV/0!</v>
      </c>
      <c r="AM309" s="439" t="e">
        <f t="shared" si="564"/>
        <v>#DIV/0!</v>
      </c>
      <c r="AN309" s="440" t="e">
        <f t="shared" si="564"/>
        <v>#DIV/0!</v>
      </c>
      <c r="AO309" s="441" t="e">
        <f t="shared" si="564"/>
        <v>#DIV/0!</v>
      </c>
      <c r="AP309" s="1108" t="e">
        <f t="shared" si="564"/>
        <v>#DIV/0!</v>
      </c>
      <c r="AQ309" s="439" t="e">
        <f t="shared" si="564"/>
        <v>#DIV/0!</v>
      </c>
      <c r="AR309" s="440" t="e">
        <f t="shared" si="564"/>
        <v>#DIV/0!</v>
      </c>
      <c r="AS309" s="441" t="e">
        <f t="shared" si="564"/>
        <v>#DIV/0!</v>
      </c>
      <c r="AT309" s="438" t="e">
        <f t="shared" si="564"/>
        <v>#DIV/0!</v>
      </c>
      <c r="AU309" s="439" t="e">
        <f t="shared" si="564"/>
        <v>#DIV/0!</v>
      </c>
      <c r="AV309" s="440" t="e">
        <f t="shared" si="564"/>
        <v>#DIV/0!</v>
      </c>
      <c r="AW309" s="441" t="e">
        <f t="shared" si="564"/>
        <v>#DIV/0!</v>
      </c>
      <c r="AX309" s="638">
        <f t="shared" si="564"/>
        <v>367.59962268604147</v>
      </c>
      <c r="AY309" s="461">
        <f t="shared" si="564"/>
        <v>320.19437443498811</v>
      </c>
      <c r="AZ309" s="461">
        <f t="shared" si="564"/>
        <v>361.11335818907008</v>
      </c>
      <c r="BA309" s="493">
        <f t="shared" si="564"/>
        <v>407.43077851589834</v>
      </c>
      <c r="BB309" s="494">
        <f t="shared" si="564"/>
        <v>374.33664249815439</v>
      </c>
      <c r="BC309" s="117">
        <f t="shared" si="556"/>
        <v>3.6111335818907007</v>
      </c>
      <c r="BE309" s="446">
        <f t="shared" si="557"/>
        <v>391.45679506007019</v>
      </c>
      <c r="BF309" s="446">
        <f t="shared" si="558"/>
        <v>399.90882233085688</v>
      </c>
    </row>
    <row r="310" spans="1:59">
      <c r="A310" s="397" t="s">
        <v>397</v>
      </c>
      <c r="B310" s="438">
        <f t="shared" ref="B310:AG310" si="565">+B278/B214*100</f>
        <v>458.33572215301848</v>
      </c>
      <c r="C310" s="439">
        <f t="shared" si="565"/>
        <v>372.96524476415033</v>
      </c>
      <c r="D310" s="440">
        <f t="shared" si="565"/>
        <v>443.55620498229575</v>
      </c>
      <c r="E310" s="441">
        <f t="shared" si="565"/>
        <v>421.2647982926722</v>
      </c>
      <c r="F310" s="438">
        <f t="shared" si="565"/>
        <v>452.26157405526931</v>
      </c>
      <c r="G310" s="439">
        <f t="shared" si="565"/>
        <v>444.87379751586633</v>
      </c>
      <c r="H310" s="440">
        <f t="shared" si="565"/>
        <v>451.11168098427584</v>
      </c>
      <c r="I310" s="441">
        <f t="shared" si="565"/>
        <v>428.92959958656576</v>
      </c>
      <c r="J310" s="438">
        <f t="shared" si="565"/>
        <v>456.35021375382257</v>
      </c>
      <c r="K310" s="439">
        <f t="shared" si="565"/>
        <v>438.09763949022124</v>
      </c>
      <c r="L310" s="440">
        <f t="shared" si="565"/>
        <v>453.54065678078388</v>
      </c>
      <c r="M310" s="441">
        <f t="shared" si="565"/>
        <v>415.71676961588162</v>
      </c>
      <c r="N310" s="438">
        <f t="shared" si="565"/>
        <v>455.84148247780502</v>
      </c>
      <c r="O310" s="439">
        <f t="shared" si="565"/>
        <v>386.54906736410493</v>
      </c>
      <c r="P310" s="440">
        <f t="shared" si="565"/>
        <v>444.39404480989771</v>
      </c>
      <c r="Q310" s="441">
        <f t="shared" si="565"/>
        <v>424.72491330346213</v>
      </c>
      <c r="R310" s="438">
        <f t="shared" si="565"/>
        <v>448.13454597359043</v>
      </c>
      <c r="S310" s="439">
        <f t="shared" si="565"/>
        <v>410.88498851257577</v>
      </c>
      <c r="T310" s="440">
        <f t="shared" si="565"/>
        <v>442.63574496271065</v>
      </c>
      <c r="U310" s="441">
        <f t="shared" si="565"/>
        <v>419.78792923750063</v>
      </c>
      <c r="V310" s="438">
        <f t="shared" si="565"/>
        <v>456.89641152695833</v>
      </c>
      <c r="W310" s="439">
        <f t="shared" si="565"/>
        <v>299.63783560392312</v>
      </c>
      <c r="X310" s="440">
        <f t="shared" si="565"/>
        <v>423.69426998001052</v>
      </c>
      <c r="Y310" s="441">
        <f t="shared" si="565"/>
        <v>425.1220728345512</v>
      </c>
      <c r="Z310" s="438">
        <f t="shared" si="565"/>
        <v>470.67554107474888</v>
      </c>
      <c r="AA310" s="439">
        <f t="shared" si="565"/>
        <v>337.31019309461971</v>
      </c>
      <c r="AB310" s="440">
        <f t="shared" si="565"/>
        <v>448.27327827480934</v>
      </c>
      <c r="AC310" s="441">
        <f t="shared" si="565"/>
        <v>410.73266527607313</v>
      </c>
      <c r="AD310" s="438">
        <f t="shared" si="565"/>
        <v>477.7135092202833</v>
      </c>
      <c r="AE310" s="439">
        <f t="shared" si="565"/>
        <v>332.24639555389945</v>
      </c>
      <c r="AF310" s="440">
        <f t="shared" si="565"/>
        <v>458.59775476756573</v>
      </c>
      <c r="AG310" s="441">
        <f t="shared" si="565"/>
        <v>485.50147944995763</v>
      </c>
      <c r="AH310" s="438" t="e">
        <f t="shared" ref="AH310:BB310" si="566">+AH278/AH214*100</f>
        <v>#DIV/0!</v>
      </c>
      <c r="AI310" s="439" t="e">
        <f t="shared" si="566"/>
        <v>#DIV/0!</v>
      </c>
      <c r="AJ310" s="440" t="e">
        <f t="shared" si="566"/>
        <v>#DIV/0!</v>
      </c>
      <c r="AK310" s="441" t="e">
        <f t="shared" si="566"/>
        <v>#DIV/0!</v>
      </c>
      <c r="AL310" s="438" t="e">
        <f t="shared" si="566"/>
        <v>#DIV/0!</v>
      </c>
      <c r="AM310" s="439" t="e">
        <f t="shared" si="566"/>
        <v>#DIV/0!</v>
      </c>
      <c r="AN310" s="440" t="e">
        <f t="shared" si="566"/>
        <v>#DIV/0!</v>
      </c>
      <c r="AO310" s="441" t="e">
        <f t="shared" si="566"/>
        <v>#DIV/0!</v>
      </c>
      <c r="AP310" s="1108" t="e">
        <f t="shared" si="566"/>
        <v>#DIV/0!</v>
      </c>
      <c r="AQ310" s="439" t="e">
        <f t="shared" si="566"/>
        <v>#DIV/0!</v>
      </c>
      <c r="AR310" s="440" t="e">
        <f t="shared" si="566"/>
        <v>#DIV/0!</v>
      </c>
      <c r="AS310" s="441" t="e">
        <f t="shared" si="566"/>
        <v>#DIV/0!</v>
      </c>
      <c r="AT310" s="438" t="e">
        <f t="shared" si="566"/>
        <v>#DIV/0!</v>
      </c>
      <c r="AU310" s="439" t="e">
        <f t="shared" si="566"/>
        <v>#DIV/0!</v>
      </c>
      <c r="AV310" s="440" t="e">
        <f t="shared" si="566"/>
        <v>#DIV/0!</v>
      </c>
      <c r="AW310" s="441" t="e">
        <f t="shared" si="566"/>
        <v>#DIV/0!</v>
      </c>
      <c r="AX310" s="638">
        <f t="shared" si="566"/>
        <v>461.58200775432664</v>
      </c>
      <c r="AY310" s="461">
        <f t="shared" si="566"/>
        <v>368.38316288162218</v>
      </c>
      <c r="AZ310" s="461">
        <f t="shared" si="566"/>
        <v>446.47131144829234</v>
      </c>
      <c r="BA310" s="493">
        <f t="shared" si="566"/>
        <v>430.44775276512848</v>
      </c>
      <c r="BB310" s="494">
        <f t="shared" si="566"/>
        <v>441.8212036849514</v>
      </c>
      <c r="BC310" s="117">
        <f t="shared" si="556"/>
        <v>4.4647131144829233</v>
      </c>
      <c r="BE310" s="446">
        <f t="shared" si="557"/>
        <v>458.59775476756573</v>
      </c>
      <c r="BF310" s="446">
        <f t="shared" si="558"/>
        <v>485.50147944995763</v>
      </c>
    </row>
    <row r="311" spans="1:59">
      <c r="A311" s="397" t="s">
        <v>399</v>
      </c>
      <c r="B311" s="438">
        <f t="shared" ref="B311:AG311" si="567">+B279/B215*100</f>
        <v>471.08445236090654</v>
      </c>
      <c r="C311" s="439">
        <f t="shared" si="567"/>
        <v>527.16224117709453</v>
      </c>
      <c r="D311" s="440">
        <f t="shared" si="567"/>
        <v>471.96084959387161</v>
      </c>
      <c r="E311" s="441">
        <f t="shared" si="567"/>
        <v>384.96535885032102</v>
      </c>
      <c r="F311" s="438">
        <f t="shared" si="567"/>
        <v>465.85583707824281</v>
      </c>
      <c r="G311" s="439">
        <f t="shared" si="567"/>
        <v>518.01204003887415</v>
      </c>
      <c r="H311" s="440">
        <f t="shared" si="567"/>
        <v>468.08901202811688</v>
      </c>
      <c r="I311" s="441">
        <f t="shared" si="567"/>
        <v>385.37091228632954</v>
      </c>
      <c r="J311" s="438">
        <f t="shared" si="567"/>
        <v>467.68160385049538</v>
      </c>
      <c r="K311" s="439">
        <f t="shared" si="567"/>
        <v>492.71205841961734</v>
      </c>
      <c r="L311" s="440">
        <f t="shared" si="567"/>
        <v>475.08401475801969</v>
      </c>
      <c r="M311" s="441">
        <f t="shared" si="567"/>
        <v>368.3799648676212</v>
      </c>
      <c r="N311" s="438">
        <f t="shared" si="567"/>
        <v>465.30330233732258</v>
      </c>
      <c r="O311" s="439">
        <f t="shared" si="567"/>
        <v>231.27625165454165</v>
      </c>
      <c r="P311" s="440">
        <f t="shared" si="567"/>
        <v>447.9614302562079</v>
      </c>
      <c r="Q311" s="441">
        <f t="shared" si="567"/>
        <v>337.81454872720104</v>
      </c>
      <c r="R311" s="438">
        <f t="shared" si="567"/>
        <v>452.61976386325335</v>
      </c>
      <c r="S311" s="439">
        <f t="shared" si="567"/>
        <v>329.68783029895894</v>
      </c>
      <c r="T311" s="440">
        <f t="shared" si="567"/>
        <v>442.03957508068993</v>
      </c>
      <c r="U311" s="441">
        <f t="shared" si="567"/>
        <v>382.72771233231157</v>
      </c>
      <c r="V311" s="438">
        <f t="shared" si="567"/>
        <v>463.24477825809083</v>
      </c>
      <c r="W311" s="439">
        <f t="shared" si="567"/>
        <v>399.03113618253349</v>
      </c>
      <c r="X311" s="440">
        <f t="shared" si="567"/>
        <v>443.58269226144904</v>
      </c>
      <c r="Y311" s="441">
        <f t="shared" si="567"/>
        <v>381.86284845194177</v>
      </c>
      <c r="Z311" s="438">
        <f t="shared" si="567"/>
        <v>479.76969719863973</v>
      </c>
      <c r="AA311" s="439">
        <f t="shared" si="567"/>
        <v>232.72779498704242</v>
      </c>
      <c r="AB311" s="440">
        <f t="shared" si="567"/>
        <v>467.04228987058468</v>
      </c>
      <c r="AC311" s="441">
        <f t="shared" si="567"/>
        <v>395.11318957816877</v>
      </c>
      <c r="AD311" s="438">
        <f t="shared" si="567"/>
        <v>484.52450721449691</v>
      </c>
      <c r="AE311" s="439">
        <f t="shared" si="567"/>
        <v>457.6689305801869</v>
      </c>
      <c r="AF311" s="440">
        <f t="shared" si="567"/>
        <v>483.77204598596364</v>
      </c>
      <c r="AG311" s="441">
        <f t="shared" si="567"/>
        <v>461.88823962492461</v>
      </c>
      <c r="AH311" s="438" t="e">
        <f t="shared" ref="AH311:BB311" si="568">+AH279/AH215*100</f>
        <v>#DIV/0!</v>
      </c>
      <c r="AI311" s="439" t="e">
        <f t="shared" si="568"/>
        <v>#DIV/0!</v>
      </c>
      <c r="AJ311" s="440" t="e">
        <f t="shared" si="568"/>
        <v>#DIV/0!</v>
      </c>
      <c r="AK311" s="441" t="e">
        <f t="shared" si="568"/>
        <v>#DIV/0!</v>
      </c>
      <c r="AL311" s="438" t="e">
        <f t="shared" si="568"/>
        <v>#DIV/0!</v>
      </c>
      <c r="AM311" s="439" t="e">
        <f t="shared" si="568"/>
        <v>#DIV/0!</v>
      </c>
      <c r="AN311" s="440" t="e">
        <f t="shared" si="568"/>
        <v>#DIV/0!</v>
      </c>
      <c r="AO311" s="441" t="e">
        <f t="shared" si="568"/>
        <v>#DIV/0!</v>
      </c>
      <c r="AP311" s="1108" t="e">
        <f t="shared" si="568"/>
        <v>#DIV/0!</v>
      </c>
      <c r="AQ311" s="439" t="e">
        <f t="shared" si="568"/>
        <v>#DIV/0!</v>
      </c>
      <c r="AR311" s="440" t="e">
        <f t="shared" si="568"/>
        <v>#DIV/0!</v>
      </c>
      <c r="AS311" s="441" t="e">
        <f t="shared" si="568"/>
        <v>#DIV/0!</v>
      </c>
      <c r="AT311" s="438" t="e">
        <f t="shared" si="568"/>
        <v>#DIV/0!</v>
      </c>
      <c r="AU311" s="439" t="e">
        <f t="shared" si="568"/>
        <v>#DIV/0!</v>
      </c>
      <c r="AV311" s="440" t="e">
        <f t="shared" si="568"/>
        <v>#DIV/0!</v>
      </c>
      <c r="AW311" s="441" t="e">
        <f t="shared" si="568"/>
        <v>#DIV/0!</v>
      </c>
      <c r="AX311" s="638">
        <f t="shared" si="568"/>
        <v>471.07385534417324</v>
      </c>
      <c r="AY311" s="461">
        <f t="shared" si="568"/>
        <v>406.58489994345661</v>
      </c>
      <c r="AZ311" s="461">
        <f t="shared" si="568"/>
        <v>464.22443166473704</v>
      </c>
      <c r="BA311" s="493">
        <f t="shared" si="568"/>
        <v>387.65884002378095</v>
      </c>
      <c r="BB311" s="494">
        <f t="shared" si="568"/>
        <v>433.65257563181024</v>
      </c>
      <c r="BC311" s="117">
        <f t="shared" si="556"/>
        <v>4.6422443166473704</v>
      </c>
      <c r="BE311" s="446">
        <f t="shared" si="557"/>
        <v>483.77204598596364</v>
      </c>
      <c r="BF311" s="446">
        <f t="shared" si="558"/>
        <v>461.88823962492461</v>
      </c>
    </row>
    <row r="312" spans="1:59">
      <c r="A312" s="397" t="s">
        <v>883</v>
      </c>
      <c r="B312" s="438">
        <f t="shared" ref="B312:AG312" si="569">+B280/B216*100</f>
        <v>444.65303410701375</v>
      </c>
      <c r="C312" s="439">
        <f t="shared" si="569"/>
        <v>536.17155432760273</v>
      </c>
      <c r="D312" s="440">
        <f t="shared" si="569"/>
        <v>458.46578641975498</v>
      </c>
      <c r="E312" s="441">
        <f t="shared" si="569"/>
        <v>423.55751100923635</v>
      </c>
      <c r="F312" s="438">
        <f t="shared" si="569"/>
        <v>442.09096508811473</v>
      </c>
      <c r="G312" s="439">
        <f t="shared" si="569"/>
        <v>536.20185137831231</v>
      </c>
      <c r="H312" s="440">
        <f t="shared" si="569"/>
        <v>460.59231783300396</v>
      </c>
      <c r="I312" s="441">
        <f t="shared" si="569"/>
        <v>425.81248160222918</v>
      </c>
      <c r="J312" s="438">
        <f t="shared" si="569"/>
        <v>422.73819946731425</v>
      </c>
      <c r="K312" s="439">
        <f t="shared" si="569"/>
        <v>536.81149532069696</v>
      </c>
      <c r="L312" s="440">
        <f t="shared" si="569"/>
        <v>447.45622482910721</v>
      </c>
      <c r="M312" s="441">
        <f t="shared" si="569"/>
        <v>411.67465222569922</v>
      </c>
      <c r="N312" s="438">
        <f t="shared" si="569"/>
        <v>447.07362880513381</v>
      </c>
      <c r="O312" s="439">
        <f t="shared" si="569"/>
        <v>535.1652650781391</v>
      </c>
      <c r="P312" s="440">
        <f t="shared" si="569"/>
        <v>459.83842139961001</v>
      </c>
      <c r="Q312" s="441">
        <f t="shared" si="569"/>
        <v>409.13662255130674</v>
      </c>
      <c r="R312" s="438">
        <f t="shared" si="569"/>
        <v>439.82043880396998</v>
      </c>
      <c r="S312" s="439">
        <f t="shared" si="569"/>
        <v>535.24523018357991</v>
      </c>
      <c r="T312" s="440">
        <f t="shared" si="569"/>
        <v>456.93140795360011</v>
      </c>
      <c r="U312" s="441">
        <f t="shared" si="569"/>
        <v>411.15473898269545</v>
      </c>
      <c r="V312" s="438">
        <f t="shared" si="569"/>
        <v>446.18546406502071</v>
      </c>
      <c r="W312" s="439">
        <f t="shared" si="569"/>
        <v>536.53320581029573</v>
      </c>
      <c r="X312" s="440">
        <f t="shared" si="569"/>
        <v>462.54276727490725</v>
      </c>
      <c r="Y312" s="441">
        <f t="shared" si="569"/>
        <v>411.54024662992896</v>
      </c>
      <c r="Z312" s="438">
        <f t="shared" si="569"/>
        <v>475.26706585847194</v>
      </c>
      <c r="AA312" s="439">
        <f t="shared" si="569"/>
        <v>536.26450305124126</v>
      </c>
      <c r="AB312" s="440">
        <f t="shared" si="569"/>
        <v>480.52930548273719</v>
      </c>
      <c r="AC312" s="441">
        <f t="shared" si="569"/>
        <v>401.40600120722667</v>
      </c>
      <c r="AD312" s="438">
        <f t="shared" si="569"/>
        <v>445.40411374214858</v>
      </c>
      <c r="AE312" s="439">
        <f t="shared" si="569"/>
        <v>536.05615787855254</v>
      </c>
      <c r="AF312" s="440">
        <f t="shared" si="569"/>
        <v>453.47821703310336</v>
      </c>
      <c r="AG312" s="441">
        <f t="shared" si="569"/>
        <v>413.46889345833188</v>
      </c>
      <c r="AH312" s="438" t="e">
        <f t="shared" ref="AH312:BB312" si="570">+AH280/AH216*100</f>
        <v>#DIV/0!</v>
      </c>
      <c r="AI312" s="439" t="e">
        <f t="shared" si="570"/>
        <v>#DIV/0!</v>
      </c>
      <c r="AJ312" s="440" t="e">
        <f t="shared" si="570"/>
        <v>#DIV/0!</v>
      </c>
      <c r="AK312" s="441" t="e">
        <f t="shared" si="570"/>
        <v>#DIV/0!</v>
      </c>
      <c r="AL312" s="438" t="e">
        <f t="shared" si="570"/>
        <v>#DIV/0!</v>
      </c>
      <c r="AM312" s="439" t="e">
        <f t="shared" si="570"/>
        <v>#DIV/0!</v>
      </c>
      <c r="AN312" s="440" t="e">
        <f t="shared" si="570"/>
        <v>#DIV/0!</v>
      </c>
      <c r="AO312" s="441" t="e">
        <f t="shared" si="570"/>
        <v>#DIV/0!</v>
      </c>
      <c r="AP312" s="1108" t="e">
        <f t="shared" si="570"/>
        <v>#DIV/0!</v>
      </c>
      <c r="AQ312" s="439" t="e">
        <f t="shared" si="570"/>
        <v>#DIV/0!</v>
      </c>
      <c r="AR312" s="440" t="e">
        <f t="shared" si="570"/>
        <v>#DIV/0!</v>
      </c>
      <c r="AS312" s="441" t="e">
        <f t="shared" si="570"/>
        <v>#DIV/0!</v>
      </c>
      <c r="AT312" s="438" t="e">
        <f t="shared" si="570"/>
        <v>#DIV/0!</v>
      </c>
      <c r="AU312" s="439" t="e">
        <f t="shared" si="570"/>
        <v>#DIV/0!</v>
      </c>
      <c r="AV312" s="440" t="e">
        <f t="shared" si="570"/>
        <v>#DIV/0!</v>
      </c>
      <c r="AW312" s="441" t="e">
        <f t="shared" si="570"/>
        <v>#DIV/0!</v>
      </c>
      <c r="AX312" s="638">
        <f t="shared" si="570"/>
        <v>449.15326952775831</v>
      </c>
      <c r="AY312" s="461">
        <f t="shared" si="570"/>
        <v>536.06925151183088</v>
      </c>
      <c r="AZ312" s="461">
        <f t="shared" si="570"/>
        <v>461.27873736769988</v>
      </c>
      <c r="BA312" s="493">
        <f t="shared" si="570"/>
        <v>412.69577955548493</v>
      </c>
      <c r="BB312" s="494">
        <f t="shared" si="570"/>
        <v>445.55344662122263</v>
      </c>
      <c r="BC312" s="117">
        <f t="shared" si="556"/>
        <v>4.6127873736769986</v>
      </c>
      <c r="BE312" s="446">
        <f t="shared" si="557"/>
        <v>453.47821703310336</v>
      </c>
      <c r="BF312" s="446">
        <f t="shared" si="558"/>
        <v>413.46889345833188</v>
      </c>
    </row>
    <row r="313" spans="1:59">
      <c r="A313" s="397" t="s">
        <v>884</v>
      </c>
      <c r="B313" s="438">
        <f t="shared" ref="B313:AG313" si="571">+B281/B217*100</f>
        <v>439.20576116125085</v>
      </c>
      <c r="C313" s="439">
        <f t="shared" si="571"/>
        <v>518.76941820702064</v>
      </c>
      <c r="D313" s="440">
        <f t="shared" si="571"/>
        <v>449.0573409946669</v>
      </c>
      <c r="E313" s="441">
        <f t="shared" si="571"/>
        <v>426.47051604181422</v>
      </c>
      <c r="F313" s="438">
        <f t="shared" si="571"/>
        <v>438.33068247190477</v>
      </c>
      <c r="G313" s="439">
        <f t="shared" si="571"/>
        <v>513.95712598125965</v>
      </c>
      <c r="H313" s="440">
        <f t="shared" si="571"/>
        <v>449.06239014226122</v>
      </c>
      <c r="I313" s="441">
        <f t="shared" si="571"/>
        <v>436.82039193053851</v>
      </c>
      <c r="J313" s="438">
        <f t="shared" si="571"/>
        <v>428.42408594009038</v>
      </c>
      <c r="K313" s="439">
        <f t="shared" si="571"/>
        <v>441.4380127423068</v>
      </c>
      <c r="L313" s="440">
        <f t="shared" si="571"/>
        <v>431.66293607847683</v>
      </c>
      <c r="M313" s="441">
        <f t="shared" si="571"/>
        <v>416.17117571335649</v>
      </c>
      <c r="N313" s="438">
        <f t="shared" si="571"/>
        <v>432.77659576402618</v>
      </c>
      <c r="O313" s="439">
        <f t="shared" si="571"/>
        <v>476.75206298307097</v>
      </c>
      <c r="P313" s="440">
        <f t="shared" si="571"/>
        <v>439.1950032379624</v>
      </c>
      <c r="Q313" s="441">
        <f t="shared" si="571"/>
        <v>420.34716619485823</v>
      </c>
      <c r="R313" s="438">
        <f t="shared" si="571"/>
        <v>421.31106316462927</v>
      </c>
      <c r="S313" s="439">
        <f t="shared" si="571"/>
        <v>439.25088851147115</v>
      </c>
      <c r="T313" s="440">
        <f t="shared" si="571"/>
        <v>424.29581900357857</v>
      </c>
      <c r="U313" s="441">
        <f t="shared" si="571"/>
        <v>406.59670750823898</v>
      </c>
      <c r="V313" s="438">
        <f t="shared" si="571"/>
        <v>412.00144888495737</v>
      </c>
      <c r="W313" s="439">
        <f t="shared" si="571"/>
        <v>384.32492677980576</v>
      </c>
      <c r="X313" s="440">
        <f t="shared" si="571"/>
        <v>406.17331233762985</v>
      </c>
      <c r="Y313" s="441">
        <f t="shared" si="571"/>
        <v>410.43193878030115</v>
      </c>
      <c r="Z313" s="438">
        <f t="shared" si="571"/>
        <v>448.23115028726284</v>
      </c>
      <c r="AA313" s="439">
        <f t="shared" si="571"/>
        <v>438.81005753791209</v>
      </c>
      <c r="AB313" s="440">
        <f t="shared" si="571"/>
        <v>447.30532928046182</v>
      </c>
      <c r="AC313" s="441">
        <f t="shared" si="571"/>
        <v>389.73096306274994</v>
      </c>
      <c r="AD313" s="438">
        <f t="shared" si="571"/>
        <v>468.50589427143257</v>
      </c>
      <c r="AE313" s="439">
        <f t="shared" si="571"/>
        <v>392.65935352427113</v>
      </c>
      <c r="AF313" s="440">
        <f t="shared" si="571"/>
        <v>460.97500293928795</v>
      </c>
      <c r="AG313" s="441">
        <f t="shared" si="571"/>
        <v>306.83400726865796</v>
      </c>
      <c r="AH313" s="438" t="e">
        <f t="shared" ref="AH313:BB313" si="572">+AH281/AH217*100</f>
        <v>#DIV/0!</v>
      </c>
      <c r="AI313" s="439" t="e">
        <f t="shared" si="572"/>
        <v>#DIV/0!</v>
      </c>
      <c r="AJ313" s="440" t="e">
        <f t="shared" si="572"/>
        <v>#DIV/0!</v>
      </c>
      <c r="AK313" s="441" t="e">
        <f t="shared" si="572"/>
        <v>#DIV/0!</v>
      </c>
      <c r="AL313" s="438" t="e">
        <f t="shared" si="572"/>
        <v>#DIV/0!</v>
      </c>
      <c r="AM313" s="439" t="e">
        <f t="shared" si="572"/>
        <v>#DIV/0!</v>
      </c>
      <c r="AN313" s="440" t="e">
        <f t="shared" si="572"/>
        <v>#DIV/0!</v>
      </c>
      <c r="AO313" s="441" t="e">
        <f t="shared" si="572"/>
        <v>#DIV/0!</v>
      </c>
      <c r="AP313" s="1108" t="e">
        <f t="shared" si="572"/>
        <v>#DIV/0!</v>
      </c>
      <c r="AQ313" s="439" t="e">
        <f t="shared" si="572"/>
        <v>#DIV/0!</v>
      </c>
      <c r="AR313" s="440" t="e">
        <f t="shared" si="572"/>
        <v>#DIV/0!</v>
      </c>
      <c r="AS313" s="441" t="e">
        <f t="shared" si="572"/>
        <v>#DIV/0!</v>
      </c>
      <c r="AT313" s="438" t="e">
        <f t="shared" si="572"/>
        <v>#DIV/0!</v>
      </c>
      <c r="AU313" s="439" t="e">
        <f t="shared" si="572"/>
        <v>#DIV/0!</v>
      </c>
      <c r="AV313" s="440" t="e">
        <f t="shared" si="572"/>
        <v>#DIV/0!</v>
      </c>
      <c r="AW313" s="441" t="e">
        <f t="shared" si="572"/>
        <v>#DIV/0!</v>
      </c>
      <c r="AX313" s="638">
        <f t="shared" si="572"/>
        <v>442.13346455550607</v>
      </c>
      <c r="AY313" s="461">
        <f t="shared" si="572"/>
        <v>442.19507096271684</v>
      </c>
      <c r="AZ313" s="461">
        <f t="shared" si="572"/>
        <v>442.14219225879168</v>
      </c>
      <c r="BA313" s="493">
        <f t="shared" si="572"/>
        <v>396.15833644277461</v>
      </c>
      <c r="BB313" s="494">
        <f t="shared" si="572"/>
        <v>430.79421634597878</v>
      </c>
      <c r="BC313" s="117">
        <f t="shared" si="556"/>
        <v>4.4214219225879168</v>
      </c>
      <c r="BE313" s="446">
        <f t="shared" si="557"/>
        <v>460.97500293928795</v>
      </c>
      <c r="BF313" s="446">
        <f t="shared" si="558"/>
        <v>306.83400726865796</v>
      </c>
    </row>
    <row r="314" spans="1:59" ht="14.4" thickBot="1">
      <c r="A314" s="397" t="s">
        <v>885</v>
      </c>
      <c r="B314" s="438">
        <f t="shared" ref="B314:AG314" si="573">+B282/B218*100</f>
        <v>414.05657622799669</v>
      </c>
      <c r="C314" s="439">
        <f t="shared" si="573"/>
        <v>537.36525924150976</v>
      </c>
      <c r="D314" s="440">
        <f t="shared" si="573"/>
        <v>441.68696553151915</v>
      </c>
      <c r="E314" s="441">
        <f t="shared" si="573"/>
        <v>395.64364860677676</v>
      </c>
      <c r="F314" s="438">
        <f t="shared" si="573"/>
        <v>416.77796734741327</v>
      </c>
      <c r="G314" s="439">
        <f t="shared" si="573"/>
        <v>537.01719247273888</v>
      </c>
      <c r="H314" s="440">
        <f t="shared" si="573"/>
        <v>447.56809956467788</v>
      </c>
      <c r="I314" s="441">
        <f t="shared" si="573"/>
        <v>404.84652318828552</v>
      </c>
      <c r="J314" s="438">
        <f t="shared" si="573"/>
        <v>408.17802325587945</v>
      </c>
      <c r="K314" s="439">
        <f t="shared" si="573"/>
        <v>536.7245674677639</v>
      </c>
      <c r="L314" s="440">
        <f t="shared" si="573"/>
        <v>451.52248488056318</v>
      </c>
      <c r="M314" s="441">
        <f t="shared" si="573"/>
        <v>371.97407322660462</v>
      </c>
      <c r="N314" s="438">
        <f t="shared" si="573"/>
        <v>418.84694763846699</v>
      </c>
      <c r="O314" s="439">
        <f t="shared" si="573"/>
        <v>536.50367384865433</v>
      </c>
      <c r="P314" s="440">
        <f t="shared" si="573"/>
        <v>444.12358518979545</v>
      </c>
      <c r="Q314" s="441">
        <f t="shared" si="573"/>
        <v>390.41978800694204</v>
      </c>
      <c r="R314" s="438">
        <f t="shared" si="573"/>
        <v>419.60404549873277</v>
      </c>
      <c r="S314" s="439">
        <f t="shared" si="573"/>
        <v>533.68746656728797</v>
      </c>
      <c r="T314" s="440">
        <f t="shared" si="573"/>
        <v>443.8605273061724</v>
      </c>
      <c r="U314" s="441">
        <f t="shared" si="573"/>
        <v>387.4031434419162</v>
      </c>
      <c r="V314" s="438">
        <f t="shared" si="573"/>
        <v>409.23082433246253</v>
      </c>
      <c r="W314" s="439">
        <f t="shared" si="573"/>
        <v>532.42071674610645</v>
      </c>
      <c r="X314" s="440">
        <f t="shared" si="573"/>
        <v>441.70034827724305</v>
      </c>
      <c r="Y314" s="441">
        <f t="shared" si="573"/>
        <v>402.33099599223311</v>
      </c>
      <c r="Z314" s="438">
        <f t="shared" si="573"/>
        <v>431.04784293387013</v>
      </c>
      <c r="AA314" s="439">
        <f t="shared" si="573"/>
        <v>528.60341104844611</v>
      </c>
      <c r="AB314" s="440">
        <f t="shared" si="573"/>
        <v>445.31376353960883</v>
      </c>
      <c r="AC314" s="441">
        <f t="shared" si="573"/>
        <v>423.79876123386413</v>
      </c>
      <c r="AD314" s="438">
        <f t="shared" si="573"/>
        <v>455.28435786087596</v>
      </c>
      <c r="AE314" s="439">
        <f t="shared" si="573"/>
        <v>530.73785215234648</v>
      </c>
      <c r="AF314" s="440">
        <f t="shared" si="573"/>
        <v>466.91923664630667</v>
      </c>
      <c r="AG314" s="441">
        <f t="shared" si="573"/>
        <v>451.90469346390643</v>
      </c>
      <c r="AH314" s="438" t="e">
        <f t="shared" ref="AH314:BB314" si="574">+AH282/AH218*100</f>
        <v>#DIV/0!</v>
      </c>
      <c r="AI314" s="439" t="e">
        <f t="shared" si="574"/>
        <v>#DIV/0!</v>
      </c>
      <c r="AJ314" s="440" t="e">
        <f t="shared" si="574"/>
        <v>#DIV/0!</v>
      </c>
      <c r="AK314" s="441" t="e">
        <f t="shared" si="574"/>
        <v>#DIV/0!</v>
      </c>
      <c r="AL314" s="438" t="e">
        <f t="shared" si="574"/>
        <v>#DIV/0!</v>
      </c>
      <c r="AM314" s="439" t="e">
        <f t="shared" si="574"/>
        <v>#DIV/0!</v>
      </c>
      <c r="AN314" s="440" t="e">
        <f t="shared" si="574"/>
        <v>#DIV/0!</v>
      </c>
      <c r="AO314" s="441" t="e">
        <f t="shared" si="574"/>
        <v>#DIV/0!</v>
      </c>
      <c r="AP314" s="1108" t="e">
        <f t="shared" si="574"/>
        <v>#DIV/0!</v>
      </c>
      <c r="AQ314" s="439" t="e">
        <f t="shared" si="574"/>
        <v>#DIV/0!</v>
      </c>
      <c r="AR314" s="440" t="e">
        <f t="shared" si="574"/>
        <v>#DIV/0!</v>
      </c>
      <c r="AS314" s="441" t="e">
        <f t="shared" si="574"/>
        <v>#DIV/0!</v>
      </c>
      <c r="AT314" s="438" t="e">
        <f t="shared" si="574"/>
        <v>#DIV/0!</v>
      </c>
      <c r="AU314" s="439" t="e">
        <f t="shared" si="574"/>
        <v>#DIV/0!</v>
      </c>
      <c r="AV314" s="440" t="e">
        <f t="shared" si="574"/>
        <v>#DIV/0!</v>
      </c>
      <c r="AW314" s="441" t="e">
        <f t="shared" si="574"/>
        <v>#DIV/0!</v>
      </c>
      <c r="AX314" s="638">
        <f t="shared" si="574"/>
        <v>425.84193842037934</v>
      </c>
      <c r="AY314" s="461">
        <f t="shared" si="574"/>
        <v>534.31176274446841</v>
      </c>
      <c r="AZ314" s="461">
        <f t="shared" si="574"/>
        <v>449.12108638087818</v>
      </c>
      <c r="BA314" s="493">
        <f t="shared" si="574"/>
        <v>402.1159562748802</v>
      </c>
      <c r="BB314" s="494">
        <f t="shared" si="574"/>
        <v>437.21854624157157</v>
      </c>
      <c r="BC314" s="117">
        <f t="shared" si="556"/>
        <v>4.4912108638087815</v>
      </c>
      <c r="BE314" s="446">
        <f t="shared" si="557"/>
        <v>466.91923664630667</v>
      </c>
      <c r="BF314" s="446">
        <f t="shared" si="558"/>
        <v>451.90469346390643</v>
      </c>
    </row>
    <row r="315" spans="1:59" ht="14.4" thickBot="1">
      <c r="A315" s="433" t="s">
        <v>16</v>
      </c>
      <c r="B315" s="455">
        <f t="shared" ref="B315:AG315" si="575">+B283/B219*100</f>
        <v>441.04609512812812</v>
      </c>
      <c r="C315" s="456">
        <f t="shared" si="575"/>
        <v>463.61989377750945</v>
      </c>
      <c r="D315" s="456">
        <f t="shared" si="575"/>
        <v>443.65987454050116</v>
      </c>
      <c r="E315" s="457">
        <f t="shared" si="575"/>
        <v>391.34211536163616</v>
      </c>
      <c r="F315" s="455">
        <f t="shared" si="575"/>
        <v>439.92377587049998</v>
      </c>
      <c r="G315" s="456">
        <f t="shared" si="575"/>
        <v>473.20263074036848</v>
      </c>
      <c r="H315" s="456">
        <f t="shared" si="575"/>
        <v>444.08694022414454</v>
      </c>
      <c r="I315" s="457">
        <f t="shared" si="575"/>
        <v>398.9368468766429</v>
      </c>
      <c r="J315" s="455">
        <f t="shared" si="575"/>
        <v>436.97099131769016</v>
      </c>
      <c r="K315" s="456">
        <f t="shared" si="575"/>
        <v>460.07564125871613</v>
      </c>
      <c r="L315" s="456">
        <f t="shared" si="575"/>
        <v>442.61051911538613</v>
      </c>
      <c r="M315" s="457">
        <f t="shared" si="575"/>
        <v>384.03566579235496</v>
      </c>
      <c r="N315" s="455">
        <f t="shared" si="575"/>
        <v>437.13319890563412</v>
      </c>
      <c r="O315" s="456">
        <f t="shared" si="575"/>
        <v>417.73961805563209</v>
      </c>
      <c r="P315" s="456">
        <f t="shared" si="575"/>
        <v>434.64035874028781</v>
      </c>
      <c r="Q315" s="457">
        <f t="shared" si="575"/>
        <v>392.72469094190251</v>
      </c>
      <c r="R315" s="455">
        <f t="shared" si="575"/>
        <v>426.48616856497046</v>
      </c>
      <c r="S315" s="456">
        <f t="shared" si="575"/>
        <v>410.87640868784155</v>
      </c>
      <c r="T315" s="456">
        <f t="shared" si="575"/>
        <v>424.28983229691022</v>
      </c>
      <c r="U315" s="457">
        <f t="shared" si="575"/>
        <v>399.03750577859245</v>
      </c>
      <c r="V315" s="455">
        <f t="shared" si="575"/>
        <v>434.4580603371237</v>
      </c>
      <c r="W315" s="456">
        <f t="shared" si="575"/>
        <v>408.84080853799497</v>
      </c>
      <c r="X315" s="456">
        <f t="shared" si="575"/>
        <v>428.99718621105239</v>
      </c>
      <c r="Y315" s="457">
        <f t="shared" si="575"/>
        <v>398.50359866025758</v>
      </c>
      <c r="Z315" s="455">
        <f t="shared" si="575"/>
        <v>461.28726451508453</v>
      </c>
      <c r="AA315" s="456">
        <f t="shared" si="575"/>
        <v>404.27872338601134</v>
      </c>
      <c r="AB315" s="456">
        <f t="shared" si="575"/>
        <v>456.34999536315115</v>
      </c>
      <c r="AC315" s="457">
        <f t="shared" si="575"/>
        <v>396.52361650319847</v>
      </c>
      <c r="AD315" s="455">
        <f t="shared" si="575"/>
        <v>447.47832778839989</v>
      </c>
      <c r="AE315" s="456">
        <f t="shared" si="575"/>
        <v>402.23884712704165</v>
      </c>
      <c r="AF315" s="456">
        <f t="shared" si="575"/>
        <v>444.06664790389942</v>
      </c>
      <c r="AG315" s="457">
        <f t="shared" si="575"/>
        <v>398.43210987116009</v>
      </c>
      <c r="AH315" s="455" t="e">
        <f t="shared" ref="AH315:BB315" si="576">+AH283/AH219*100</f>
        <v>#DIV/0!</v>
      </c>
      <c r="AI315" s="456" t="e">
        <f t="shared" si="576"/>
        <v>#DIV/0!</v>
      </c>
      <c r="AJ315" s="456" t="e">
        <f t="shared" si="576"/>
        <v>#DIV/0!</v>
      </c>
      <c r="AK315" s="457" t="e">
        <f t="shared" si="576"/>
        <v>#DIV/0!</v>
      </c>
      <c r="AL315" s="455" t="e">
        <f t="shared" si="576"/>
        <v>#DIV/0!</v>
      </c>
      <c r="AM315" s="456" t="e">
        <f t="shared" si="576"/>
        <v>#DIV/0!</v>
      </c>
      <c r="AN315" s="456" t="e">
        <f t="shared" si="576"/>
        <v>#DIV/0!</v>
      </c>
      <c r="AO315" s="457" t="e">
        <f t="shared" si="576"/>
        <v>#DIV/0!</v>
      </c>
      <c r="AP315" s="1109" t="e">
        <f t="shared" si="576"/>
        <v>#DIV/0!</v>
      </c>
      <c r="AQ315" s="456" t="e">
        <f t="shared" si="576"/>
        <v>#DIV/0!</v>
      </c>
      <c r="AR315" s="456" t="e">
        <f t="shared" si="576"/>
        <v>#DIV/0!</v>
      </c>
      <c r="AS315" s="457" t="e">
        <f t="shared" si="576"/>
        <v>#DIV/0!</v>
      </c>
      <c r="AT315" s="455" t="e">
        <f t="shared" si="576"/>
        <v>#DIV/0!</v>
      </c>
      <c r="AU315" s="456" t="e">
        <f t="shared" si="576"/>
        <v>#DIV/0!</v>
      </c>
      <c r="AV315" s="456" t="e">
        <f t="shared" si="576"/>
        <v>#DIV/0!</v>
      </c>
      <c r="AW315" s="457" t="e">
        <f t="shared" si="576"/>
        <v>#DIV/0!</v>
      </c>
      <c r="AX315" s="661">
        <f t="shared" si="576"/>
        <v>442.76287659775033</v>
      </c>
      <c r="AY315" s="495">
        <f t="shared" si="576"/>
        <v>429.93156624486977</v>
      </c>
      <c r="AZ315" s="495">
        <f t="shared" si="576"/>
        <v>441.06592937466712</v>
      </c>
      <c r="BA315" s="495">
        <f t="shared" si="576"/>
        <v>395.10795840747704</v>
      </c>
      <c r="BB315" s="496">
        <f t="shared" si="576"/>
        <v>426.12983097874047</v>
      </c>
      <c r="BC315" s="117">
        <f t="shared" si="556"/>
        <v>4.4106592937466713</v>
      </c>
      <c r="BE315" s="446">
        <f t="shared" si="557"/>
        <v>444.06664790389942</v>
      </c>
      <c r="BF315" s="446">
        <f t="shared" si="558"/>
        <v>398.43210987116009</v>
      </c>
    </row>
    <row r="318" spans="1:59">
      <c r="Y318" s="117" t="e">
        <f>Y315*#REF!</f>
        <v>#REF!</v>
      </c>
      <c r="AK318" s="117">
        <v>2115589</v>
      </c>
      <c r="AL318" s="117">
        <v>2216784</v>
      </c>
      <c r="AM318" s="117">
        <v>2320410</v>
      </c>
      <c r="AN318" s="117">
        <v>2431146</v>
      </c>
      <c r="AO318" s="117">
        <v>2546011</v>
      </c>
      <c r="AW318" s="117" t="s">
        <v>614</v>
      </c>
    </row>
    <row r="421" spans="4:5">
      <c r="D421" s="117" t="s">
        <v>808</v>
      </c>
      <c r="E421" s="117" t="s">
        <v>523</v>
      </c>
    </row>
    <row r="422" spans="4:5">
      <c r="D422" s="1671">
        <v>43466</v>
      </c>
      <c r="E422" s="117">
        <v>257.02474737999933</v>
      </c>
    </row>
    <row r="423" spans="4:5">
      <c r="D423" s="1671">
        <v>43497</v>
      </c>
      <c r="E423" s="117">
        <v>113.3881915000004</v>
      </c>
    </row>
    <row r="424" spans="4:5">
      <c r="D424" s="1671">
        <v>43525</v>
      </c>
      <c r="E424" s="117">
        <v>140.62272934999987</v>
      </c>
    </row>
    <row r="425" spans="4:5">
      <c r="D425" s="1671">
        <v>43556</v>
      </c>
      <c r="E425" s="117">
        <v>20.284606549999808</v>
      </c>
    </row>
    <row r="426" spans="4:5">
      <c r="D426" s="1671">
        <v>43586</v>
      </c>
      <c r="E426" s="117">
        <v>237.45052657999963</v>
      </c>
    </row>
    <row r="427" spans="4:5">
      <c r="D427" s="1671">
        <v>43617</v>
      </c>
      <c r="E427" s="117">
        <v>711.12040488999946</v>
      </c>
    </row>
    <row r="428" spans="4:5">
      <c r="D428" s="1671">
        <v>43647</v>
      </c>
      <c r="E428" s="117">
        <v>769.84996945999956</v>
      </c>
    </row>
    <row r="429" spans="4:5">
      <c r="D429" s="1671">
        <v>43678</v>
      </c>
      <c r="E429" s="117">
        <v>521.96786410999925</v>
      </c>
    </row>
    <row r="430" spans="4:5">
      <c r="D430" s="1671">
        <v>43709</v>
      </c>
      <c r="E430" s="117">
        <v>17.589062740000827</v>
      </c>
    </row>
    <row r="437" spans="2:3">
      <c r="B437" s="117" t="s">
        <v>808</v>
      </c>
    </row>
    <row r="438" spans="2:3">
      <c r="B438" s="1671">
        <v>43466</v>
      </c>
      <c r="C438" s="117">
        <v>214.37001303999978</v>
      </c>
    </row>
    <row r="439" spans="2:3">
      <c r="B439" s="1671">
        <v>43497</v>
      </c>
      <c r="C439" s="117">
        <v>90.770850339999924</v>
      </c>
    </row>
    <row r="440" spans="2:3">
      <c r="B440" s="1671">
        <v>43525</v>
      </c>
      <c r="C440" s="117">
        <v>155.8135670500003</v>
      </c>
    </row>
    <row r="441" spans="2:3">
      <c r="B441" s="1671">
        <v>43556</v>
      </c>
      <c r="C441" s="117">
        <v>-11.558847509999623</v>
      </c>
    </row>
    <row r="442" spans="2:3">
      <c r="B442" s="1671">
        <v>43586</v>
      </c>
      <c r="C442" s="117">
        <v>317.57912239999996</v>
      </c>
    </row>
    <row r="443" spans="2:3">
      <c r="B443" s="1671">
        <v>43617</v>
      </c>
      <c r="C443" s="117">
        <v>592.92756519</v>
      </c>
    </row>
    <row r="444" spans="2:3">
      <c r="B444" s="1671">
        <v>43647</v>
      </c>
      <c r="C444" s="117">
        <v>781.90776265276872</v>
      </c>
    </row>
    <row r="445" spans="2:3">
      <c r="B445" s="1671">
        <v>43678</v>
      </c>
      <c r="C445" s="117">
        <v>628.51300848000028</v>
      </c>
    </row>
    <row r="446" spans="2:3">
      <c r="B446" s="1671">
        <v>43709</v>
      </c>
      <c r="C446" s="117">
        <v>1450.8637576700003</v>
      </c>
    </row>
  </sheetData>
  <mergeCells count="278">
    <mergeCell ref="AX160:BA160"/>
    <mergeCell ref="A175:A176"/>
    <mergeCell ref="B175:E175"/>
    <mergeCell ref="F175:I175"/>
    <mergeCell ref="J175:M175"/>
    <mergeCell ref="N175:Q175"/>
    <mergeCell ref="R175:U175"/>
    <mergeCell ref="V175:Y175"/>
    <mergeCell ref="Z175:AC175"/>
    <mergeCell ref="AD175:AG175"/>
    <mergeCell ref="AH175:AK175"/>
    <mergeCell ref="AL175:AO175"/>
    <mergeCell ref="AP175:AS175"/>
    <mergeCell ref="AT175:AW175"/>
    <mergeCell ref="AX175:BA175"/>
    <mergeCell ref="A160:A161"/>
    <mergeCell ref="B160:E160"/>
    <mergeCell ref="F160:I160"/>
    <mergeCell ref="J160:M160"/>
    <mergeCell ref="N160:Q160"/>
    <mergeCell ref="R160:U160"/>
    <mergeCell ref="V160:Y160"/>
    <mergeCell ref="Z160:AC160"/>
    <mergeCell ref="AD160:AG160"/>
    <mergeCell ref="AX129:BA129"/>
    <mergeCell ref="A144:A145"/>
    <mergeCell ref="B144:E144"/>
    <mergeCell ref="F144:I144"/>
    <mergeCell ref="J144:M144"/>
    <mergeCell ref="N144:Q144"/>
    <mergeCell ref="R144:U144"/>
    <mergeCell ref="V144:Y144"/>
    <mergeCell ref="Z144:AC144"/>
    <mergeCell ref="AD144:AG144"/>
    <mergeCell ref="AH144:AK144"/>
    <mergeCell ref="AL144:AO144"/>
    <mergeCell ref="AP144:AS144"/>
    <mergeCell ref="AT144:AW144"/>
    <mergeCell ref="AX144:BA144"/>
    <mergeCell ref="A129:A130"/>
    <mergeCell ref="B129:E129"/>
    <mergeCell ref="F129:I129"/>
    <mergeCell ref="J129:M129"/>
    <mergeCell ref="N129:Q129"/>
    <mergeCell ref="R129:U129"/>
    <mergeCell ref="V129:Y129"/>
    <mergeCell ref="Z129:AC129"/>
    <mergeCell ref="AD129:AG129"/>
    <mergeCell ref="AX98:BA98"/>
    <mergeCell ref="A113:A114"/>
    <mergeCell ref="B113:E113"/>
    <mergeCell ref="F113:I113"/>
    <mergeCell ref="J113:M113"/>
    <mergeCell ref="N113:Q113"/>
    <mergeCell ref="R113:U113"/>
    <mergeCell ref="V113:Y113"/>
    <mergeCell ref="Z113:AC113"/>
    <mergeCell ref="AD113:AG113"/>
    <mergeCell ref="AH113:AK113"/>
    <mergeCell ref="AL113:AO113"/>
    <mergeCell ref="AP113:AS113"/>
    <mergeCell ref="AT113:AW113"/>
    <mergeCell ref="AX113:BA113"/>
    <mergeCell ref="A98:A99"/>
    <mergeCell ref="B98:E98"/>
    <mergeCell ref="F98:I98"/>
    <mergeCell ref="J98:M98"/>
    <mergeCell ref="N98:Q98"/>
    <mergeCell ref="R98:U98"/>
    <mergeCell ref="V98:Y98"/>
    <mergeCell ref="Z98:AC98"/>
    <mergeCell ref="AD98:AG98"/>
    <mergeCell ref="AX67:BA67"/>
    <mergeCell ref="A82:A83"/>
    <mergeCell ref="B82:E82"/>
    <mergeCell ref="F82:I82"/>
    <mergeCell ref="J82:M82"/>
    <mergeCell ref="N82:Q82"/>
    <mergeCell ref="R82:U82"/>
    <mergeCell ref="V82:Y82"/>
    <mergeCell ref="Z82:AC82"/>
    <mergeCell ref="AD82:AG82"/>
    <mergeCell ref="AH82:AK82"/>
    <mergeCell ref="AL82:AO82"/>
    <mergeCell ref="AP82:AS82"/>
    <mergeCell ref="AT82:AW82"/>
    <mergeCell ref="AX82:BA82"/>
    <mergeCell ref="AL67:AO67"/>
    <mergeCell ref="AP67:AS67"/>
    <mergeCell ref="AT67:AW67"/>
    <mergeCell ref="AD271:AG271"/>
    <mergeCell ref="AL303:AO303"/>
    <mergeCell ref="AD288:AG288"/>
    <mergeCell ref="AH288:AK288"/>
    <mergeCell ref="AL288:AO288"/>
    <mergeCell ref="AD303:AG303"/>
    <mergeCell ref="AL271:AO271"/>
    <mergeCell ref="AH271:AK271"/>
    <mergeCell ref="AH303:AK303"/>
    <mergeCell ref="AX192:BB192"/>
    <mergeCell ref="AP224:AS224"/>
    <mergeCell ref="AX207:BB207"/>
    <mergeCell ref="AP192:AS192"/>
    <mergeCell ref="AX256:BB256"/>
    <mergeCell ref="AL256:AO256"/>
    <mergeCell ref="AP303:AS303"/>
    <mergeCell ref="AP288:AS288"/>
    <mergeCell ref="AT239:AW239"/>
    <mergeCell ref="AT256:AW256"/>
    <mergeCell ref="AP271:AS271"/>
    <mergeCell ref="AP256:AS256"/>
    <mergeCell ref="AP239:AS239"/>
    <mergeCell ref="AX288:BB288"/>
    <mergeCell ref="AX303:BB303"/>
    <mergeCell ref="AT288:AW288"/>
    <mergeCell ref="AX271:BB271"/>
    <mergeCell ref="AT303:AW303"/>
    <mergeCell ref="AT271:AW271"/>
    <mergeCell ref="AH256:AK256"/>
    <mergeCell ref="AX239:BA239"/>
    <mergeCell ref="R207:U207"/>
    <mergeCell ref="AL239:AO239"/>
    <mergeCell ref="AD207:AG207"/>
    <mergeCell ref="AD239:AG239"/>
    <mergeCell ref="AD224:AG224"/>
    <mergeCell ref="Z207:AC207"/>
    <mergeCell ref="AH224:AK224"/>
    <mergeCell ref="AL224:AO224"/>
    <mergeCell ref="AL207:AO207"/>
    <mergeCell ref="AX224:BA224"/>
    <mergeCell ref="R3:U3"/>
    <mergeCell ref="R18:U18"/>
    <mergeCell ref="F207:I207"/>
    <mergeCell ref="J192:M192"/>
    <mergeCell ref="R50:U50"/>
    <mergeCell ref="J35:M35"/>
    <mergeCell ref="F3:I3"/>
    <mergeCell ref="J3:M3"/>
    <mergeCell ref="R192:U192"/>
    <mergeCell ref="J207:M207"/>
    <mergeCell ref="F67:I67"/>
    <mergeCell ref="J67:M67"/>
    <mergeCell ref="N67:Q67"/>
    <mergeCell ref="R67:U67"/>
    <mergeCell ref="A3:A4"/>
    <mergeCell ref="N3:Q3"/>
    <mergeCell ref="F35:I35"/>
    <mergeCell ref="J18:M18"/>
    <mergeCell ref="B3:E3"/>
    <mergeCell ref="N271:Q271"/>
    <mergeCell ref="J256:M256"/>
    <mergeCell ref="N207:Q207"/>
    <mergeCell ref="F50:I50"/>
    <mergeCell ref="J50:M50"/>
    <mergeCell ref="J224:M224"/>
    <mergeCell ref="N239:Q239"/>
    <mergeCell ref="F224:I224"/>
    <mergeCell ref="F192:I192"/>
    <mergeCell ref="N256:Q256"/>
    <mergeCell ref="J271:M271"/>
    <mergeCell ref="J239:M239"/>
    <mergeCell ref="N224:Q224"/>
    <mergeCell ref="A192:A193"/>
    <mergeCell ref="B192:E192"/>
    <mergeCell ref="A207:A208"/>
    <mergeCell ref="A224:A225"/>
    <mergeCell ref="B224:E224"/>
    <mergeCell ref="B207:E207"/>
    <mergeCell ref="AT3:AW3"/>
    <mergeCell ref="AT224:AW224"/>
    <mergeCell ref="AP207:AS207"/>
    <mergeCell ref="AH239:AK239"/>
    <mergeCell ref="AH207:AK207"/>
    <mergeCell ref="AT192:AW192"/>
    <mergeCell ref="AP50:AS50"/>
    <mergeCell ref="AT207:AW207"/>
    <mergeCell ref="AH192:AK192"/>
    <mergeCell ref="AL3:AO3"/>
    <mergeCell ref="AH67:AK67"/>
    <mergeCell ref="AH98:AK98"/>
    <mergeCell ref="AL98:AO98"/>
    <mergeCell ref="AP98:AS98"/>
    <mergeCell ref="AT98:AW98"/>
    <mergeCell ref="AH129:AK129"/>
    <mergeCell ref="AL129:AO129"/>
    <mergeCell ref="AP129:AS129"/>
    <mergeCell ref="AT129:AW129"/>
    <mergeCell ref="AH160:AK160"/>
    <mergeCell ref="AL160:AO160"/>
    <mergeCell ref="AP160:AS160"/>
    <mergeCell ref="AT160:AW160"/>
    <mergeCell ref="V303:Y303"/>
    <mergeCell ref="Z303:AC303"/>
    <mergeCell ref="V50:Y50"/>
    <mergeCell ref="AP3:AS3"/>
    <mergeCell ref="V3:Y3"/>
    <mergeCell ref="Z3:AC3"/>
    <mergeCell ref="AH3:AK3"/>
    <mergeCell ref="AD3:AG3"/>
    <mergeCell ref="V271:Y271"/>
    <mergeCell ref="V256:Y256"/>
    <mergeCell ref="V288:Y288"/>
    <mergeCell ref="Z271:AC271"/>
    <mergeCell ref="Z256:AC256"/>
    <mergeCell ref="Z35:AC35"/>
    <mergeCell ref="V224:Y224"/>
    <mergeCell ref="V207:Y207"/>
    <mergeCell ref="V239:Y239"/>
    <mergeCell ref="Z224:AC224"/>
    <mergeCell ref="Z288:AC288"/>
    <mergeCell ref="Z192:AC192"/>
    <mergeCell ref="V35:Y35"/>
    <mergeCell ref="AL192:AO192"/>
    <mergeCell ref="Z239:AC239"/>
    <mergeCell ref="AD256:AG256"/>
    <mergeCell ref="R303:U303"/>
    <mergeCell ref="N192:Q192"/>
    <mergeCell ref="A18:A19"/>
    <mergeCell ref="B18:E18"/>
    <mergeCell ref="F18:I18"/>
    <mergeCell ref="N18:Q18"/>
    <mergeCell ref="R35:U35"/>
    <mergeCell ref="N35:Q35"/>
    <mergeCell ref="A303:A304"/>
    <mergeCell ref="B303:E303"/>
    <mergeCell ref="F303:I303"/>
    <mergeCell ref="J303:M303"/>
    <mergeCell ref="B35:E35"/>
    <mergeCell ref="R271:U271"/>
    <mergeCell ref="N303:Q303"/>
    <mergeCell ref="N288:Q288"/>
    <mergeCell ref="R288:U288"/>
    <mergeCell ref="B288:E288"/>
    <mergeCell ref="F288:I288"/>
    <mergeCell ref="J288:M288"/>
    <mergeCell ref="A288:A289"/>
    <mergeCell ref="A271:A272"/>
    <mergeCell ref="B271:E271"/>
    <mergeCell ref="F271:I271"/>
    <mergeCell ref="A256:A257"/>
    <mergeCell ref="A239:A240"/>
    <mergeCell ref="B239:E239"/>
    <mergeCell ref="F239:I239"/>
    <mergeCell ref="F256:I256"/>
    <mergeCell ref="B256:E256"/>
    <mergeCell ref="V192:Y192"/>
    <mergeCell ref="AD18:AG18"/>
    <mergeCell ref="AD35:AG35"/>
    <mergeCell ref="Z50:AC50"/>
    <mergeCell ref="AD50:AG50"/>
    <mergeCell ref="AD192:AG192"/>
    <mergeCell ref="A50:A51"/>
    <mergeCell ref="B50:E50"/>
    <mergeCell ref="N50:Q50"/>
    <mergeCell ref="A35:A36"/>
    <mergeCell ref="R239:U239"/>
    <mergeCell ref="R224:U224"/>
    <mergeCell ref="R256:U256"/>
    <mergeCell ref="A67:A68"/>
    <mergeCell ref="B67:E67"/>
    <mergeCell ref="V67:Y67"/>
    <mergeCell ref="Z67:AC67"/>
    <mergeCell ref="AD67:AG67"/>
    <mergeCell ref="AX35:BA35"/>
    <mergeCell ref="AT50:AW50"/>
    <mergeCell ref="AL35:AO35"/>
    <mergeCell ref="V18:Y18"/>
    <mergeCell ref="Z18:AC18"/>
    <mergeCell ref="AX50:BA50"/>
    <mergeCell ref="AT35:AW35"/>
    <mergeCell ref="AT18:AW18"/>
    <mergeCell ref="AP18:AS18"/>
    <mergeCell ref="AH35:AK35"/>
    <mergeCell ref="AL18:AO18"/>
    <mergeCell ref="AP35:AS35"/>
    <mergeCell ref="AH50:AK50"/>
    <mergeCell ref="AL50:AO50"/>
    <mergeCell ref="AH18:AK18"/>
  </mergeCells>
  <phoneticPr fontId="28" type="noConversion"/>
  <pageMargins left="1.0629921259842521" right="0.15748031496062992" top="0.78740157480314965" bottom="1.7322834645669292" header="0.51181102362204722" footer="0.51181102362204722"/>
  <pageSetup paperSize="9" scale="65" orientation="landscape" horizontalDpi="4294967294" verticalDpi="4294967294" r:id="rId1"/>
  <headerFooter alignWithMargins="0"/>
  <colBreaks count="1" manualBreakCount="1">
    <brk id="54" max="1048575" man="1"/>
  </colBreaks>
  <drawing r:id="rId2"/>
</worksheet>
</file>

<file path=xl/worksheets/sheet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600-000000000000}">
  <sheetPr codeName="Feuil21">
    <tabColor indexed="26"/>
  </sheetPr>
  <dimension ref="A1:BU407"/>
  <sheetViews>
    <sheetView showGridLines="0" topLeftCell="A229" zoomScale="70" zoomScaleNormal="70" workbookViewId="0">
      <pane xSplit="1" topLeftCell="Y1" activePane="topRight" state="frozen"/>
      <selection activeCell="A312" sqref="A312"/>
      <selection pane="topRight" activeCell="AX243" sqref="AX243:AY252"/>
    </sheetView>
  </sheetViews>
  <sheetFormatPr baseColWidth="10" defaultColWidth="11.44140625" defaultRowHeight="13.8"/>
  <cols>
    <col min="1" max="1" width="34.5546875" style="117" customWidth="1"/>
    <col min="2" max="2" width="18.33203125" style="117" customWidth="1"/>
    <col min="3" max="3" width="15" style="117" customWidth="1"/>
    <col min="4" max="4" width="17.5546875" style="117" customWidth="1"/>
    <col min="5" max="5" width="15.5546875" style="117" customWidth="1"/>
    <col min="6" max="6" width="17.33203125" style="117" customWidth="1"/>
    <col min="7" max="7" width="15.6640625" style="117" customWidth="1"/>
    <col min="8" max="8" width="16.33203125" style="117" customWidth="1"/>
    <col min="9" max="9" width="18" style="117" customWidth="1"/>
    <col min="10" max="10" width="17.5546875" style="117" customWidth="1"/>
    <col min="11" max="11" width="15.109375" style="117" customWidth="1"/>
    <col min="12" max="12" width="16.33203125" style="117" customWidth="1"/>
    <col min="13" max="13" width="14.33203125" style="117" customWidth="1"/>
    <col min="14" max="14" width="18.109375" style="117" customWidth="1"/>
    <col min="15" max="15" width="11.44140625" style="117" customWidth="1"/>
    <col min="16" max="16" width="18.33203125" style="117" customWidth="1"/>
    <col min="17" max="17" width="15.109375" style="117" customWidth="1"/>
    <col min="18" max="18" width="16.44140625" style="117" customWidth="1"/>
    <col min="19" max="19" width="11.44140625" style="117" customWidth="1"/>
    <col min="20" max="20" width="17.109375" style="117" customWidth="1"/>
    <col min="21" max="21" width="14.44140625" style="117" customWidth="1"/>
    <col min="22" max="22" width="16.109375" style="117" customWidth="1"/>
    <col min="23" max="23" width="11.44140625" style="117" customWidth="1"/>
    <col min="24" max="24" width="16.33203125" style="117" customWidth="1"/>
    <col min="25" max="25" width="17.109375" style="117" customWidth="1"/>
    <col min="26" max="26" width="17.44140625" style="117" customWidth="1"/>
    <col min="27" max="27" width="14.109375" style="117" customWidth="1"/>
    <col min="28" max="28" width="16.33203125" style="117" customWidth="1"/>
    <col min="29" max="29" width="13" style="117" customWidth="1"/>
    <col min="30" max="30" width="14.88671875" style="470" customWidth="1"/>
    <col min="31" max="31" width="11.44140625" style="117" customWidth="1"/>
    <col min="32" max="32" width="15.109375" style="117" customWidth="1"/>
    <col min="33" max="33" width="14.33203125" style="117" customWidth="1"/>
    <col min="34" max="34" width="17" style="117" hidden="1" customWidth="1"/>
    <col min="35" max="35" width="13.6640625" style="117" hidden="1" customWidth="1"/>
    <col min="36" max="37" width="16.6640625" style="117" hidden="1" customWidth="1"/>
    <col min="38" max="38" width="16.88671875" style="117" hidden="1" customWidth="1"/>
    <col min="39" max="39" width="11.44140625" style="117" hidden="1" customWidth="1"/>
    <col min="40" max="40" width="14.33203125" style="117" hidden="1" customWidth="1"/>
    <col min="41" max="41" width="13.33203125" style="117" hidden="1" customWidth="1"/>
    <col min="42" max="42" width="17" style="117" hidden="1" customWidth="1"/>
    <col min="43" max="43" width="12.44140625" style="117" hidden="1" customWidth="1"/>
    <col min="44" max="44" width="16.33203125" style="117" hidden="1" customWidth="1"/>
    <col min="45" max="45" width="14.5546875" style="117" hidden="1" customWidth="1"/>
    <col min="46" max="46" width="16.6640625" style="117" hidden="1" customWidth="1"/>
    <col min="47" max="47" width="11.44140625" style="117" hidden="1" customWidth="1"/>
    <col min="48" max="48" width="17.109375" style="117" hidden="1" customWidth="1"/>
    <col min="49" max="49" width="17.33203125" style="117" hidden="1" customWidth="1"/>
    <col min="50" max="50" width="27" style="470" customWidth="1"/>
    <col min="51" max="51" width="19.44140625" style="117" customWidth="1"/>
    <col min="52" max="52" width="20" style="117" customWidth="1"/>
    <col min="53" max="53" width="19" style="117" customWidth="1"/>
    <col min="54" max="54" width="16" style="117" bestFit="1" customWidth="1"/>
    <col min="55" max="55" width="14" style="117" customWidth="1"/>
    <col min="56" max="56" width="11.44140625" style="117"/>
    <col min="57" max="58" width="15.44140625" style="117" bestFit="1" customWidth="1"/>
    <col min="59" max="59" width="13.44140625" style="117" bestFit="1" customWidth="1"/>
    <col min="60" max="62" width="11.44140625" style="117"/>
    <col min="63" max="63" width="14.88671875" style="117" bestFit="1" customWidth="1"/>
    <col min="64" max="64" width="12.88671875" style="117" customWidth="1"/>
    <col min="65" max="65" width="11.44140625" style="117"/>
    <col min="66" max="66" width="14.88671875" style="117" bestFit="1" customWidth="1"/>
    <col min="67" max="16384" width="11.44140625" style="117"/>
  </cols>
  <sheetData>
    <row r="1" spans="1:62" ht="18">
      <c r="A1" s="393" t="s">
        <v>84</v>
      </c>
    </row>
    <row r="2" spans="1:62" ht="18.600000000000001" thickBot="1">
      <c r="A2" s="394">
        <f>élec!A2</f>
        <v>2023</v>
      </c>
      <c r="AT2" s="395">
        <f>AT5+6</f>
        <v>6</v>
      </c>
      <c r="BC2" s="396">
        <v>44896</v>
      </c>
    </row>
    <row r="3" spans="1:62">
      <c r="A3" s="2815" t="s">
        <v>308</v>
      </c>
      <c r="B3" s="2827" t="s">
        <v>71</v>
      </c>
      <c r="C3" s="2828"/>
      <c r="D3" s="2828"/>
      <c r="E3" s="3091"/>
      <c r="F3" s="2829" t="s">
        <v>72</v>
      </c>
      <c r="G3" s="2830"/>
      <c r="H3" s="2830"/>
      <c r="I3" s="3095"/>
      <c r="J3" s="2817" t="s">
        <v>73</v>
      </c>
      <c r="K3" s="2818"/>
      <c r="L3" s="2818"/>
      <c r="M3" s="3094"/>
      <c r="N3" s="2819" t="s">
        <v>74</v>
      </c>
      <c r="O3" s="2820"/>
      <c r="P3" s="2820"/>
      <c r="Q3" s="3090"/>
      <c r="R3" s="2821" t="s">
        <v>75</v>
      </c>
      <c r="S3" s="2822"/>
      <c r="T3" s="2822"/>
      <c r="U3" s="3093"/>
      <c r="V3" s="2823" t="s">
        <v>76</v>
      </c>
      <c r="W3" s="2824"/>
      <c r="X3" s="2824"/>
      <c r="Y3" s="3089"/>
      <c r="Z3" s="2827" t="s">
        <v>77</v>
      </c>
      <c r="AA3" s="2828"/>
      <c r="AB3" s="2828"/>
      <c r="AC3" s="3091"/>
      <c r="AD3" s="2829" t="s">
        <v>78</v>
      </c>
      <c r="AE3" s="2830"/>
      <c r="AF3" s="2830"/>
      <c r="AG3" s="3095"/>
      <c r="AH3" s="2817" t="s">
        <v>79</v>
      </c>
      <c r="AI3" s="2818"/>
      <c r="AJ3" s="2818"/>
      <c r="AK3" s="3094"/>
      <c r="AL3" s="2819" t="s">
        <v>80</v>
      </c>
      <c r="AM3" s="2820"/>
      <c r="AN3" s="2820"/>
      <c r="AO3" s="3090"/>
      <c r="AP3" s="2821" t="s">
        <v>81</v>
      </c>
      <c r="AQ3" s="2822"/>
      <c r="AR3" s="2822"/>
      <c r="AS3" s="3093"/>
      <c r="AT3" s="2823" t="s">
        <v>82</v>
      </c>
      <c r="AU3" s="2824"/>
      <c r="AV3" s="2824"/>
      <c r="AW3" s="3089"/>
    </row>
    <row r="4" spans="1:62">
      <c r="A4" s="2816"/>
      <c r="B4" s="402" t="s">
        <v>17</v>
      </c>
      <c r="C4" s="403" t="s">
        <v>18</v>
      </c>
      <c r="D4" s="403" t="s">
        <v>56</v>
      </c>
      <c r="E4" s="404" t="s">
        <v>21</v>
      </c>
      <c r="F4" s="402" t="s">
        <v>17</v>
      </c>
      <c r="G4" s="403" t="s">
        <v>18</v>
      </c>
      <c r="H4" s="403" t="s">
        <v>56</v>
      </c>
      <c r="I4" s="404" t="s">
        <v>21</v>
      </c>
      <c r="J4" s="402" t="s">
        <v>17</v>
      </c>
      <c r="K4" s="403" t="s">
        <v>18</v>
      </c>
      <c r="L4" s="403" t="s">
        <v>56</v>
      </c>
      <c r="M4" s="404" t="s">
        <v>21</v>
      </c>
      <c r="N4" s="402" t="s">
        <v>17</v>
      </c>
      <c r="O4" s="403" t="s">
        <v>18</v>
      </c>
      <c r="P4" s="403" t="s">
        <v>56</v>
      </c>
      <c r="Q4" s="404" t="s">
        <v>21</v>
      </c>
      <c r="R4" s="402" t="s">
        <v>17</v>
      </c>
      <c r="S4" s="403" t="s">
        <v>18</v>
      </c>
      <c r="T4" s="403" t="s">
        <v>56</v>
      </c>
      <c r="U4" s="404" t="s">
        <v>21</v>
      </c>
      <c r="V4" s="402" t="s">
        <v>17</v>
      </c>
      <c r="W4" s="403" t="s">
        <v>18</v>
      </c>
      <c r="X4" s="403" t="s">
        <v>56</v>
      </c>
      <c r="Y4" s="404" t="s">
        <v>21</v>
      </c>
      <c r="Z4" s="402" t="s">
        <v>17</v>
      </c>
      <c r="AA4" s="403" t="s">
        <v>18</v>
      </c>
      <c r="AB4" s="403" t="s">
        <v>56</v>
      </c>
      <c r="AC4" s="404" t="s">
        <v>21</v>
      </c>
      <c r="AD4" s="1062" t="s">
        <v>17</v>
      </c>
      <c r="AE4" s="403" t="s">
        <v>18</v>
      </c>
      <c r="AF4" s="403" t="s">
        <v>56</v>
      </c>
      <c r="AG4" s="404" t="s">
        <v>21</v>
      </c>
      <c r="AH4" s="402" t="s">
        <v>17</v>
      </c>
      <c r="AI4" s="403" t="s">
        <v>18</v>
      </c>
      <c r="AJ4" s="403" t="s">
        <v>56</v>
      </c>
      <c r="AK4" s="404" t="s">
        <v>21</v>
      </c>
      <c r="AL4" s="402" t="s">
        <v>17</v>
      </c>
      <c r="AM4" s="403" t="s">
        <v>18</v>
      </c>
      <c r="AN4" s="403" t="s">
        <v>56</v>
      </c>
      <c r="AO4" s="404" t="s">
        <v>21</v>
      </c>
      <c r="AP4" s="402" t="s">
        <v>17</v>
      </c>
      <c r="AQ4" s="403" t="s">
        <v>18</v>
      </c>
      <c r="AR4" s="403" t="s">
        <v>56</v>
      </c>
      <c r="AS4" s="404" t="s">
        <v>21</v>
      </c>
      <c r="AT4" s="402" t="s">
        <v>17</v>
      </c>
      <c r="AU4" s="403" t="s">
        <v>18</v>
      </c>
      <c r="AV4" s="403" t="s">
        <v>56</v>
      </c>
      <c r="AW4" s="404" t="s">
        <v>21</v>
      </c>
      <c r="AY4" s="117" t="s">
        <v>56</v>
      </c>
      <c r="AZ4" s="117" t="s">
        <v>21</v>
      </c>
    </row>
    <row r="5" spans="1:62">
      <c r="A5" s="397" t="s">
        <v>6</v>
      </c>
      <c r="B5" s="398">
        <v>223704</v>
      </c>
      <c r="C5" s="399">
        <v>2121</v>
      </c>
      <c r="D5" s="400">
        <f t="shared" ref="D5:D14" si="0">SUM(B5:C5)</f>
        <v>225825</v>
      </c>
      <c r="E5" s="401">
        <v>387</v>
      </c>
      <c r="F5" s="398">
        <v>225882</v>
      </c>
      <c r="G5" s="399">
        <v>2130</v>
      </c>
      <c r="H5" s="400">
        <f t="shared" ref="H5:H14" si="1">SUM(F5:G5)</f>
        <v>228012</v>
      </c>
      <c r="I5" s="401">
        <v>389</v>
      </c>
      <c r="J5" s="405">
        <v>227031</v>
      </c>
      <c r="K5" s="406">
        <v>2135</v>
      </c>
      <c r="L5" s="400">
        <f t="shared" ref="L5:L14" si="2">SUM(J5:K5)</f>
        <v>229166</v>
      </c>
      <c r="M5" s="407">
        <v>388</v>
      </c>
      <c r="N5" s="399">
        <v>228660</v>
      </c>
      <c r="O5" s="399">
        <v>2139</v>
      </c>
      <c r="P5" s="400">
        <f t="shared" ref="P5:P14" si="3">SUM(N5:O5)</f>
        <v>230799</v>
      </c>
      <c r="Q5" s="401">
        <v>388</v>
      </c>
      <c r="R5" s="398">
        <v>229253</v>
      </c>
      <c r="S5" s="399">
        <v>2148</v>
      </c>
      <c r="T5" s="400">
        <f t="shared" ref="T5:T14" si="4">SUM(R5:S5)</f>
        <v>231401</v>
      </c>
      <c r="U5" s="401">
        <v>389</v>
      </c>
      <c r="V5" s="398">
        <v>230476</v>
      </c>
      <c r="W5" s="399">
        <v>2150</v>
      </c>
      <c r="X5" s="400">
        <f t="shared" ref="X5:X14" si="5">SUM(V5:W5)</f>
        <v>232626</v>
      </c>
      <c r="Y5" s="401">
        <v>390</v>
      </c>
      <c r="Z5" s="398">
        <v>231307</v>
      </c>
      <c r="AA5" s="399">
        <v>2151</v>
      </c>
      <c r="AB5" s="400">
        <f t="shared" ref="AB5:AB14" si="6">SUM(Z5:AA5)</f>
        <v>233458</v>
      </c>
      <c r="AC5" s="401">
        <v>390</v>
      </c>
      <c r="AD5" s="398">
        <v>231973</v>
      </c>
      <c r="AE5" s="399">
        <v>2151</v>
      </c>
      <c r="AF5" s="400">
        <f t="shared" ref="AF5:AF14" si="7">SUM(AD5:AE5)</f>
        <v>234124</v>
      </c>
      <c r="AG5" s="401">
        <v>390</v>
      </c>
      <c r="AH5" s="398"/>
      <c r="AI5" s="399"/>
      <c r="AJ5" s="400">
        <f t="shared" ref="AJ5:AJ14" si="8">SUM(AH5:AI5)</f>
        <v>0</v>
      </c>
      <c r="AK5" s="401"/>
      <c r="AL5" s="398"/>
      <c r="AM5" s="399"/>
      <c r="AN5" s="400">
        <f t="shared" ref="AN5:AN14" si="9">SUM(AL5:AM5)</f>
        <v>0</v>
      </c>
      <c r="AO5" s="401"/>
      <c r="AP5" s="398"/>
      <c r="AQ5" s="399"/>
      <c r="AR5" s="1697">
        <f t="shared" ref="AR5:AR14" si="10">SUM(AP5:AQ5)</f>
        <v>0</v>
      </c>
      <c r="AS5" s="401"/>
      <c r="AT5" s="398"/>
      <c r="AU5" s="399"/>
      <c r="AV5" s="400">
        <f t="shared" ref="AV5:AV14" si="11">SUM(AT5:AU5)</f>
        <v>0</v>
      </c>
      <c r="AW5" s="401"/>
      <c r="AY5" s="395">
        <f>AF5</f>
        <v>234124</v>
      </c>
      <c r="AZ5" s="395">
        <f>AG5</f>
        <v>390</v>
      </c>
      <c r="BB5" s="397" t="s">
        <v>6</v>
      </c>
      <c r="BC5" s="398">
        <v>221631</v>
      </c>
      <c r="BD5" s="399">
        <v>2119</v>
      </c>
      <c r="BE5" s="400">
        <v>223750</v>
      </c>
      <c r="BF5" s="401">
        <v>386</v>
      </c>
    </row>
    <row r="6" spans="1:62">
      <c r="A6" s="397" t="s">
        <v>7</v>
      </c>
      <c r="B6" s="398">
        <v>155995</v>
      </c>
      <c r="C6" s="399">
        <v>2342</v>
      </c>
      <c r="D6" s="400">
        <f t="shared" si="0"/>
        <v>158337</v>
      </c>
      <c r="E6" s="401">
        <v>223</v>
      </c>
      <c r="F6" s="398">
        <v>157190</v>
      </c>
      <c r="G6" s="399">
        <v>2366</v>
      </c>
      <c r="H6" s="400">
        <f t="shared" si="1"/>
        <v>159556</v>
      </c>
      <c r="I6" s="401">
        <v>223</v>
      </c>
      <c r="J6" s="398">
        <v>158771</v>
      </c>
      <c r="K6" s="399">
        <v>2422</v>
      </c>
      <c r="L6" s="400">
        <f t="shared" si="2"/>
        <v>161193</v>
      </c>
      <c r="M6" s="408">
        <v>223</v>
      </c>
      <c r="N6" s="399">
        <v>159327</v>
      </c>
      <c r="O6" s="399">
        <v>2433</v>
      </c>
      <c r="P6" s="400">
        <f t="shared" si="3"/>
        <v>161760</v>
      </c>
      <c r="Q6" s="401">
        <v>226</v>
      </c>
      <c r="R6" s="398">
        <v>159788</v>
      </c>
      <c r="S6" s="399">
        <v>2437</v>
      </c>
      <c r="T6" s="400">
        <f t="shared" si="4"/>
        <v>162225</v>
      </c>
      <c r="U6" s="401">
        <v>231</v>
      </c>
      <c r="V6" s="398">
        <v>160196</v>
      </c>
      <c r="W6" s="399">
        <v>2444</v>
      </c>
      <c r="X6" s="400">
        <f t="shared" si="5"/>
        <v>162640</v>
      </c>
      <c r="Y6" s="401">
        <v>231</v>
      </c>
      <c r="Z6" s="398">
        <v>160415</v>
      </c>
      <c r="AA6" s="399">
        <v>2448</v>
      </c>
      <c r="AB6" s="400">
        <f t="shared" si="6"/>
        <v>162863</v>
      </c>
      <c r="AC6" s="401">
        <v>232</v>
      </c>
      <c r="AD6" s="398">
        <v>160771</v>
      </c>
      <c r="AE6" s="399">
        <v>2451</v>
      </c>
      <c r="AF6" s="400">
        <f t="shared" si="7"/>
        <v>163222</v>
      </c>
      <c r="AG6" s="401">
        <v>232</v>
      </c>
      <c r="AH6" s="398"/>
      <c r="AI6" s="399"/>
      <c r="AJ6" s="400">
        <f t="shared" si="8"/>
        <v>0</v>
      </c>
      <c r="AK6" s="401"/>
      <c r="AL6" s="398"/>
      <c r="AM6" s="399"/>
      <c r="AN6" s="400">
        <f t="shared" si="9"/>
        <v>0</v>
      </c>
      <c r="AO6" s="401"/>
      <c r="AP6" s="398"/>
      <c r="AQ6" s="399"/>
      <c r="AR6" s="1697">
        <f t="shared" si="10"/>
        <v>0</v>
      </c>
      <c r="AS6" s="401"/>
      <c r="AT6" s="398"/>
      <c r="AU6" s="399"/>
      <c r="AV6" s="400">
        <f t="shared" si="11"/>
        <v>0</v>
      </c>
      <c r="AW6" s="401"/>
      <c r="AY6" s="395">
        <f t="shared" ref="AY6:AY15" si="12">AF6</f>
        <v>163222</v>
      </c>
      <c r="AZ6" s="395">
        <f t="shared" ref="AZ6:AZ15" si="13">AG6</f>
        <v>232</v>
      </c>
      <c r="BB6" s="397" t="s">
        <v>7</v>
      </c>
      <c r="BC6" s="398">
        <v>155215</v>
      </c>
      <c r="BD6" s="399">
        <v>2342</v>
      </c>
      <c r="BE6" s="400">
        <v>157557</v>
      </c>
      <c r="BF6" s="401">
        <v>223</v>
      </c>
    </row>
    <row r="7" spans="1:62">
      <c r="A7" s="397" t="s">
        <v>8</v>
      </c>
      <c r="B7" s="398">
        <v>138156</v>
      </c>
      <c r="C7" s="399">
        <v>1870</v>
      </c>
      <c r="D7" s="400">
        <f t="shared" si="0"/>
        <v>140026</v>
      </c>
      <c r="E7" s="401">
        <v>166</v>
      </c>
      <c r="F7" s="398">
        <v>140733</v>
      </c>
      <c r="G7" s="399">
        <v>1892</v>
      </c>
      <c r="H7" s="400">
        <f t="shared" si="1"/>
        <v>142625</v>
      </c>
      <c r="I7" s="401">
        <v>166</v>
      </c>
      <c r="J7" s="409">
        <v>141847</v>
      </c>
      <c r="K7" s="410">
        <v>1907</v>
      </c>
      <c r="L7" s="400">
        <f t="shared" si="2"/>
        <v>143754</v>
      </c>
      <c r="M7" s="408">
        <v>167</v>
      </c>
      <c r="N7" s="398">
        <v>143049</v>
      </c>
      <c r="O7" s="399">
        <v>1916</v>
      </c>
      <c r="P7" s="400">
        <f t="shared" si="3"/>
        <v>144965</v>
      </c>
      <c r="Q7" s="401">
        <v>167</v>
      </c>
      <c r="R7" s="398">
        <v>144041</v>
      </c>
      <c r="S7" s="399">
        <v>1922</v>
      </c>
      <c r="T7" s="400">
        <f t="shared" si="4"/>
        <v>145963</v>
      </c>
      <c r="U7" s="401">
        <v>167</v>
      </c>
      <c r="V7" s="398">
        <v>144593</v>
      </c>
      <c r="W7" s="399">
        <v>1930</v>
      </c>
      <c r="X7" s="400">
        <f t="shared" si="5"/>
        <v>146523</v>
      </c>
      <c r="Y7" s="401">
        <v>167</v>
      </c>
      <c r="Z7" s="398">
        <v>145398</v>
      </c>
      <c r="AA7" s="399">
        <v>1935</v>
      </c>
      <c r="AB7" s="400">
        <f t="shared" si="6"/>
        <v>147333</v>
      </c>
      <c r="AC7" s="401">
        <v>167</v>
      </c>
      <c r="AD7" s="398">
        <v>146541</v>
      </c>
      <c r="AE7" s="399">
        <v>1937</v>
      </c>
      <c r="AF7" s="400">
        <f t="shared" si="7"/>
        <v>148478</v>
      </c>
      <c r="AG7" s="401">
        <v>167</v>
      </c>
      <c r="AH7" s="398"/>
      <c r="AI7" s="399"/>
      <c r="AJ7" s="400">
        <f t="shared" si="8"/>
        <v>0</v>
      </c>
      <c r="AK7" s="401"/>
      <c r="AL7" s="398"/>
      <c r="AM7" s="399"/>
      <c r="AN7" s="400">
        <f t="shared" si="9"/>
        <v>0</v>
      </c>
      <c r="AO7" s="401"/>
      <c r="AP7" s="398"/>
      <c r="AQ7" s="399"/>
      <c r="AR7" s="1697">
        <f t="shared" si="10"/>
        <v>0</v>
      </c>
      <c r="AS7" s="401"/>
      <c r="AT7" s="398"/>
      <c r="AU7" s="399"/>
      <c r="AV7" s="400">
        <f t="shared" si="11"/>
        <v>0</v>
      </c>
      <c r="AW7" s="401"/>
      <c r="AY7" s="395">
        <f t="shared" si="12"/>
        <v>148478</v>
      </c>
      <c r="AZ7" s="395">
        <f t="shared" si="13"/>
        <v>167</v>
      </c>
      <c r="BB7" s="397" t="s">
        <v>8</v>
      </c>
      <c r="BC7" s="398">
        <v>135754</v>
      </c>
      <c r="BD7" s="399">
        <v>1854</v>
      </c>
      <c r="BE7" s="400">
        <v>137608</v>
      </c>
      <c r="BF7" s="401">
        <v>167</v>
      </c>
    </row>
    <row r="8" spans="1:62">
      <c r="A8" s="397" t="s">
        <v>4</v>
      </c>
      <c r="B8" s="398">
        <v>296891</v>
      </c>
      <c r="C8" s="399">
        <v>2926</v>
      </c>
      <c r="D8" s="400">
        <f t="shared" si="0"/>
        <v>299817</v>
      </c>
      <c r="E8" s="401">
        <v>262</v>
      </c>
      <c r="F8" s="398">
        <v>298339</v>
      </c>
      <c r="G8" s="399">
        <v>2950</v>
      </c>
      <c r="H8" s="400">
        <f t="shared" si="1"/>
        <v>301289</v>
      </c>
      <c r="I8" s="401">
        <v>262</v>
      </c>
      <c r="J8" s="409">
        <v>299732</v>
      </c>
      <c r="K8" s="410">
        <v>2964</v>
      </c>
      <c r="L8" s="400">
        <f t="shared" si="2"/>
        <v>302696</v>
      </c>
      <c r="M8" s="408">
        <v>262</v>
      </c>
      <c r="N8" s="398">
        <v>300576</v>
      </c>
      <c r="O8" s="399">
        <v>2973</v>
      </c>
      <c r="P8" s="400">
        <f t="shared" si="3"/>
        <v>303549</v>
      </c>
      <c r="Q8" s="401">
        <v>262</v>
      </c>
      <c r="R8" s="398">
        <v>301452</v>
      </c>
      <c r="S8" s="399">
        <v>2976</v>
      </c>
      <c r="T8" s="400">
        <f t="shared" si="4"/>
        <v>304428</v>
      </c>
      <c r="U8" s="401">
        <v>262</v>
      </c>
      <c r="V8" s="398">
        <v>302256</v>
      </c>
      <c r="W8" s="399">
        <v>2976</v>
      </c>
      <c r="X8" s="400">
        <f t="shared" si="5"/>
        <v>305232</v>
      </c>
      <c r="Y8" s="401">
        <v>262</v>
      </c>
      <c r="Z8" s="398">
        <v>303116</v>
      </c>
      <c r="AA8" s="399">
        <v>2981</v>
      </c>
      <c r="AB8" s="400">
        <f t="shared" si="6"/>
        <v>306097</v>
      </c>
      <c r="AC8" s="401">
        <v>262</v>
      </c>
      <c r="AD8" s="398">
        <v>303977</v>
      </c>
      <c r="AE8" s="399">
        <v>2981</v>
      </c>
      <c r="AF8" s="400">
        <f t="shared" si="7"/>
        <v>306958</v>
      </c>
      <c r="AG8" s="401">
        <v>262</v>
      </c>
      <c r="AH8" s="398"/>
      <c r="AI8" s="399"/>
      <c r="AJ8" s="400">
        <f t="shared" si="8"/>
        <v>0</v>
      </c>
      <c r="AK8" s="401"/>
      <c r="AL8" s="398"/>
      <c r="AM8" s="399"/>
      <c r="AN8" s="400">
        <f t="shared" si="9"/>
        <v>0</v>
      </c>
      <c r="AO8" s="401"/>
      <c r="AP8" s="398"/>
      <c r="AQ8" s="399"/>
      <c r="AR8" s="1697">
        <f t="shared" si="10"/>
        <v>0</v>
      </c>
      <c r="AS8" s="401"/>
      <c r="AT8" s="398"/>
      <c r="AU8" s="399"/>
      <c r="AV8" s="400">
        <f t="shared" si="11"/>
        <v>0</v>
      </c>
      <c r="AW8" s="401"/>
      <c r="AY8" s="395">
        <f t="shared" si="12"/>
        <v>306958</v>
      </c>
      <c r="AZ8" s="395">
        <f t="shared" si="13"/>
        <v>262</v>
      </c>
      <c r="BB8" s="397" t="s">
        <v>4</v>
      </c>
      <c r="BC8" s="398">
        <v>295809</v>
      </c>
      <c r="BD8" s="399">
        <v>2909</v>
      </c>
      <c r="BE8" s="400">
        <v>298718</v>
      </c>
      <c r="BF8" s="401">
        <v>261</v>
      </c>
    </row>
    <row r="9" spans="1:62">
      <c r="A9" s="397" t="s">
        <v>3</v>
      </c>
      <c r="B9" s="398">
        <v>187247</v>
      </c>
      <c r="C9" s="399">
        <v>2860</v>
      </c>
      <c r="D9" s="400">
        <f t="shared" si="0"/>
        <v>190107</v>
      </c>
      <c r="E9" s="401">
        <v>174</v>
      </c>
      <c r="F9" s="398">
        <v>187978</v>
      </c>
      <c r="G9" s="399">
        <v>2872</v>
      </c>
      <c r="H9" s="400">
        <f t="shared" si="1"/>
        <v>190850</v>
      </c>
      <c r="I9" s="401">
        <v>175</v>
      </c>
      <c r="J9" s="405">
        <v>188656</v>
      </c>
      <c r="K9" s="406">
        <v>2879</v>
      </c>
      <c r="L9" s="400">
        <f t="shared" si="2"/>
        <v>191535</v>
      </c>
      <c r="M9" s="407">
        <v>175</v>
      </c>
      <c r="N9" s="398">
        <v>188867</v>
      </c>
      <c r="O9" s="399">
        <v>2883</v>
      </c>
      <c r="P9" s="400">
        <f t="shared" si="3"/>
        <v>191750</v>
      </c>
      <c r="Q9" s="401">
        <v>176</v>
      </c>
      <c r="R9" s="398">
        <v>189260</v>
      </c>
      <c r="S9" s="399">
        <v>2886</v>
      </c>
      <c r="T9" s="400">
        <f t="shared" si="4"/>
        <v>192146</v>
      </c>
      <c r="U9" s="401">
        <v>176</v>
      </c>
      <c r="V9" s="398">
        <v>189546</v>
      </c>
      <c r="W9" s="399">
        <v>2887</v>
      </c>
      <c r="X9" s="400">
        <f t="shared" si="5"/>
        <v>192433</v>
      </c>
      <c r="Y9" s="401">
        <v>176</v>
      </c>
      <c r="Z9" s="398">
        <v>189831</v>
      </c>
      <c r="AA9" s="399">
        <v>2886</v>
      </c>
      <c r="AB9" s="400">
        <f t="shared" si="6"/>
        <v>192717</v>
      </c>
      <c r="AC9" s="401">
        <v>176</v>
      </c>
      <c r="AD9" s="398">
        <v>190202</v>
      </c>
      <c r="AE9" s="399">
        <v>2887</v>
      </c>
      <c r="AF9" s="400">
        <f t="shared" si="7"/>
        <v>193089</v>
      </c>
      <c r="AG9" s="401">
        <v>176</v>
      </c>
      <c r="AH9" s="398"/>
      <c r="AI9" s="399"/>
      <c r="AJ9" s="400">
        <f t="shared" si="8"/>
        <v>0</v>
      </c>
      <c r="AK9" s="401"/>
      <c r="AL9" s="398"/>
      <c r="AM9" s="399"/>
      <c r="AN9" s="400">
        <f t="shared" si="9"/>
        <v>0</v>
      </c>
      <c r="AO9" s="401"/>
      <c r="AP9" s="398"/>
      <c r="AQ9" s="399"/>
      <c r="AR9" s="1697">
        <f t="shared" si="10"/>
        <v>0</v>
      </c>
      <c r="AS9" s="401"/>
      <c r="AT9" s="398"/>
      <c r="AU9" s="399"/>
      <c r="AV9" s="400">
        <f t="shared" si="11"/>
        <v>0</v>
      </c>
      <c r="AW9" s="401"/>
      <c r="AY9" s="395">
        <f t="shared" si="12"/>
        <v>193089</v>
      </c>
      <c r="AZ9" s="395">
        <f t="shared" si="13"/>
        <v>176</v>
      </c>
      <c r="BB9" s="397" t="s">
        <v>3</v>
      </c>
      <c r="BC9" s="398">
        <v>186463</v>
      </c>
      <c r="BD9" s="399">
        <v>2855</v>
      </c>
      <c r="BE9" s="400">
        <v>189318</v>
      </c>
      <c r="BF9" s="401">
        <v>174</v>
      </c>
    </row>
    <row r="10" spans="1:62">
      <c r="A10" s="397" t="s">
        <v>397</v>
      </c>
      <c r="B10" s="398">
        <v>113784</v>
      </c>
      <c r="C10" s="399">
        <v>1016</v>
      </c>
      <c r="D10" s="400">
        <f t="shared" si="0"/>
        <v>114800</v>
      </c>
      <c r="E10" s="401">
        <v>121</v>
      </c>
      <c r="F10" s="398">
        <v>115136</v>
      </c>
      <c r="G10" s="399">
        <v>1018</v>
      </c>
      <c r="H10" s="400">
        <f t="shared" si="1"/>
        <v>116154</v>
      </c>
      <c r="I10" s="401">
        <v>120</v>
      </c>
      <c r="J10" s="411">
        <v>116043</v>
      </c>
      <c r="K10" s="410">
        <v>1021</v>
      </c>
      <c r="L10" s="400">
        <f t="shared" si="2"/>
        <v>117064</v>
      </c>
      <c r="M10" s="408">
        <v>119</v>
      </c>
      <c r="N10" s="398">
        <v>117265</v>
      </c>
      <c r="O10" s="399">
        <v>1036</v>
      </c>
      <c r="P10" s="400">
        <f t="shared" si="3"/>
        <v>118301</v>
      </c>
      <c r="Q10" s="401">
        <v>119</v>
      </c>
      <c r="R10" s="398">
        <v>118071</v>
      </c>
      <c r="S10" s="399">
        <v>1039</v>
      </c>
      <c r="T10" s="400">
        <f t="shared" si="4"/>
        <v>119110</v>
      </c>
      <c r="U10" s="401">
        <v>119</v>
      </c>
      <c r="V10" s="398">
        <v>119112</v>
      </c>
      <c r="W10" s="399">
        <v>1041</v>
      </c>
      <c r="X10" s="400">
        <f t="shared" si="5"/>
        <v>120153</v>
      </c>
      <c r="Y10" s="401">
        <v>121</v>
      </c>
      <c r="Z10" s="398">
        <v>119908</v>
      </c>
      <c r="AA10" s="399">
        <v>1050</v>
      </c>
      <c r="AB10" s="400">
        <f t="shared" si="6"/>
        <v>120958</v>
      </c>
      <c r="AC10" s="401">
        <v>121</v>
      </c>
      <c r="AD10" s="398">
        <v>120280</v>
      </c>
      <c r="AE10" s="399">
        <v>1063</v>
      </c>
      <c r="AF10" s="400">
        <f t="shared" si="7"/>
        <v>121343</v>
      </c>
      <c r="AG10" s="401">
        <v>121</v>
      </c>
      <c r="AH10" s="398"/>
      <c r="AI10" s="399"/>
      <c r="AJ10" s="400">
        <f t="shared" si="8"/>
        <v>0</v>
      </c>
      <c r="AK10" s="401"/>
      <c r="AL10" s="398"/>
      <c r="AM10" s="399"/>
      <c r="AN10" s="400">
        <f t="shared" si="9"/>
        <v>0</v>
      </c>
      <c r="AO10" s="401"/>
      <c r="AP10" s="398"/>
      <c r="AQ10" s="399"/>
      <c r="AR10" s="1697">
        <f t="shared" si="10"/>
        <v>0</v>
      </c>
      <c r="AS10" s="401"/>
      <c r="AT10" s="398"/>
      <c r="AU10" s="399"/>
      <c r="AV10" s="400">
        <f t="shared" si="11"/>
        <v>0</v>
      </c>
      <c r="AW10" s="401"/>
      <c r="AY10" s="395">
        <f t="shared" si="12"/>
        <v>121343</v>
      </c>
      <c r="AZ10" s="395">
        <f t="shared" si="13"/>
        <v>121</v>
      </c>
      <c r="BB10" s="397" t="s">
        <v>397</v>
      </c>
      <c r="BC10" s="398">
        <v>112855</v>
      </c>
      <c r="BD10" s="399">
        <v>1012</v>
      </c>
      <c r="BE10" s="400">
        <v>113867</v>
      </c>
      <c r="BF10" s="401">
        <v>121</v>
      </c>
    </row>
    <row r="11" spans="1:62" s="412" customFormat="1">
      <c r="A11" s="397" t="s">
        <v>399</v>
      </c>
      <c r="B11" s="398">
        <v>162321</v>
      </c>
      <c r="C11" s="399">
        <v>1450</v>
      </c>
      <c r="D11" s="400">
        <f t="shared" si="0"/>
        <v>163771</v>
      </c>
      <c r="E11" s="401">
        <v>252</v>
      </c>
      <c r="F11" s="398">
        <v>164639</v>
      </c>
      <c r="G11" s="399">
        <v>1469</v>
      </c>
      <c r="H11" s="400">
        <f t="shared" si="1"/>
        <v>166108</v>
      </c>
      <c r="I11" s="401">
        <v>252</v>
      </c>
      <c r="J11" s="409">
        <v>166215</v>
      </c>
      <c r="K11" s="410">
        <v>1490</v>
      </c>
      <c r="L11" s="400">
        <f t="shared" si="2"/>
        <v>167705</v>
      </c>
      <c r="M11" s="408">
        <v>252</v>
      </c>
      <c r="N11" s="398">
        <v>167694</v>
      </c>
      <c r="O11" s="399">
        <v>1492</v>
      </c>
      <c r="P11" s="400">
        <f t="shared" si="3"/>
        <v>169186</v>
      </c>
      <c r="Q11" s="401">
        <v>252</v>
      </c>
      <c r="R11" s="398">
        <v>168610</v>
      </c>
      <c r="S11" s="399">
        <v>1496</v>
      </c>
      <c r="T11" s="400">
        <f t="shared" si="4"/>
        <v>170106</v>
      </c>
      <c r="U11" s="401">
        <v>252</v>
      </c>
      <c r="V11" s="398">
        <v>169409</v>
      </c>
      <c r="W11" s="399">
        <v>1501</v>
      </c>
      <c r="X11" s="400">
        <f t="shared" si="5"/>
        <v>170910</v>
      </c>
      <c r="Y11" s="401">
        <v>254</v>
      </c>
      <c r="Z11" s="398">
        <v>170130</v>
      </c>
      <c r="AA11" s="399">
        <v>1501</v>
      </c>
      <c r="AB11" s="400">
        <f t="shared" si="6"/>
        <v>171631</v>
      </c>
      <c r="AC11" s="401">
        <v>254</v>
      </c>
      <c r="AD11" s="398">
        <v>170820</v>
      </c>
      <c r="AE11" s="399">
        <v>1502</v>
      </c>
      <c r="AF11" s="400">
        <f t="shared" si="7"/>
        <v>172322</v>
      </c>
      <c r="AG11" s="401">
        <v>254</v>
      </c>
      <c r="AH11" s="398"/>
      <c r="AI11" s="399"/>
      <c r="AJ11" s="400">
        <f t="shared" si="8"/>
        <v>0</v>
      </c>
      <c r="AK11" s="401"/>
      <c r="AL11" s="398"/>
      <c r="AM11" s="399"/>
      <c r="AN11" s="400">
        <f t="shared" si="9"/>
        <v>0</v>
      </c>
      <c r="AO11" s="401"/>
      <c r="AP11" s="398"/>
      <c r="AQ11" s="399"/>
      <c r="AR11" s="1697">
        <f t="shared" si="10"/>
        <v>0</v>
      </c>
      <c r="AS11" s="401"/>
      <c r="AT11" s="398"/>
      <c r="AU11" s="399"/>
      <c r="AV11" s="400">
        <f t="shared" si="11"/>
        <v>0</v>
      </c>
      <c r="AW11" s="401"/>
      <c r="AX11" s="470"/>
      <c r="AY11" s="395">
        <f t="shared" si="12"/>
        <v>172322</v>
      </c>
      <c r="AZ11" s="395">
        <f t="shared" si="13"/>
        <v>254</v>
      </c>
      <c r="BA11" s="117"/>
      <c r="BB11" s="397" t="s">
        <v>399</v>
      </c>
      <c r="BC11" s="398">
        <v>161194</v>
      </c>
      <c r="BD11" s="399">
        <v>1438</v>
      </c>
      <c r="BE11" s="400">
        <v>162632</v>
      </c>
      <c r="BF11" s="401">
        <v>251</v>
      </c>
      <c r="BG11" s="117"/>
      <c r="BH11" s="117"/>
      <c r="BI11" s="117"/>
      <c r="BJ11" s="117"/>
    </row>
    <row r="12" spans="1:62">
      <c r="A12" s="397" t="s">
        <v>883</v>
      </c>
      <c r="B12" s="398">
        <v>115230</v>
      </c>
      <c r="C12" s="399">
        <v>1344</v>
      </c>
      <c r="D12" s="400">
        <f t="shared" si="0"/>
        <v>116574</v>
      </c>
      <c r="E12" s="401">
        <v>132</v>
      </c>
      <c r="F12" s="398">
        <v>116486</v>
      </c>
      <c r="G12" s="399">
        <v>1344</v>
      </c>
      <c r="H12" s="400">
        <f t="shared" si="1"/>
        <v>117830</v>
      </c>
      <c r="I12" s="401">
        <v>135</v>
      </c>
      <c r="J12" s="409">
        <v>117680</v>
      </c>
      <c r="K12" s="413">
        <v>1354</v>
      </c>
      <c r="L12" s="400">
        <f t="shared" si="2"/>
        <v>119034</v>
      </c>
      <c r="M12" s="414">
        <v>135</v>
      </c>
      <c r="N12" s="415">
        <v>118300</v>
      </c>
      <c r="O12" s="416">
        <v>1356</v>
      </c>
      <c r="P12" s="400">
        <f t="shared" si="3"/>
        <v>119656</v>
      </c>
      <c r="Q12" s="401">
        <v>137</v>
      </c>
      <c r="R12" s="398">
        <v>118701</v>
      </c>
      <c r="S12" s="399">
        <v>1360</v>
      </c>
      <c r="T12" s="400">
        <f t="shared" si="4"/>
        <v>120061</v>
      </c>
      <c r="U12" s="401">
        <v>137</v>
      </c>
      <c r="V12" s="398">
        <v>119238</v>
      </c>
      <c r="W12" s="399">
        <v>1361</v>
      </c>
      <c r="X12" s="400">
        <f t="shared" si="5"/>
        <v>120599</v>
      </c>
      <c r="Y12" s="401">
        <v>137</v>
      </c>
      <c r="Z12" s="398">
        <v>119594</v>
      </c>
      <c r="AA12" s="399">
        <v>1360</v>
      </c>
      <c r="AB12" s="400">
        <f t="shared" si="6"/>
        <v>120954</v>
      </c>
      <c r="AC12" s="401">
        <v>137</v>
      </c>
      <c r="AD12" s="398">
        <v>119910</v>
      </c>
      <c r="AE12" s="399">
        <v>1362</v>
      </c>
      <c r="AF12" s="400">
        <f t="shared" si="7"/>
        <v>121272</v>
      </c>
      <c r="AG12" s="401">
        <v>137</v>
      </c>
      <c r="AH12" s="398"/>
      <c r="AI12" s="399"/>
      <c r="AJ12" s="400">
        <f t="shared" si="8"/>
        <v>0</v>
      </c>
      <c r="AK12" s="401"/>
      <c r="AL12" s="398"/>
      <c r="AM12" s="399"/>
      <c r="AN12" s="400">
        <f t="shared" si="9"/>
        <v>0</v>
      </c>
      <c r="AO12" s="401"/>
      <c r="AP12" s="398"/>
      <c r="AQ12" s="399"/>
      <c r="AR12" s="1697">
        <f t="shared" si="10"/>
        <v>0</v>
      </c>
      <c r="AS12" s="401"/>
      <c r="AT12" s="398"/>
      <c r="AU12" s="399"/>
      <c r="AV12" s="400">
        <f t="shared" si="11"/>
        <v>0</v>
      </c>
      <c r="AW12" s="401"/>
      <c r="AY12" s="395">
        <f t="shared" si="12"/>
        <v>121272</v>
      </c>
      <c r="AZ12" s="395">
        <f t="shared" si="13"/>
        <v>137</v>
      </c>
      <c r="BB12" s="397" t="s">
        <v>883</v>
      </c>
      <c r="BC12" s="398">
        <v>113861</v>
      </c>
      <c r="BD12" s="399">
        <v>1336</v>
      </c>
      <c r="BE12" s="400">
        <v>115197</v>
      </c>
      <c r="BF12" s="401">
        <v>130</v>
      </c>
    </row>
    <row r="13" spans="1:62">
      <c r="A13" s="397" t="s">
        <v>884</v>
      </c>
      <c r="B13" s="398">
        <v>143827</v>
      </c>
      <c r="C13" s="399">
        <v>1344</v>
      </c>
      <c r="D13" s="400">
        <f t="shared" si="0"/>
        <v>145171</v>
      </c>
      <c r="E13" s="401">
        <v>161</v>
      </c>
      <c r="F13" s="398">
        <v>146130</v>
      </c>
      <c r="G13" s="399">
        <v>1362</v>
      </c>
      <c r="H13" s="400">
        <f t="shared" si="1"/>
        <v>147492</v>
      </c>
      <c r="I13" s="401">
        <v>161</v>
      </c>
      <c r="J13" s="398">
        <v>147989</v>
      </c>
      <c r="K13" s="399">
        <v>1378</v>
      </c>
      <c r="L13" s="400">
        <f t="shared" si="2"/>
        <v>149367</v>
      </c>
      <c r="M13" s="408">
        <v>162</v>
      </c>
      <c r="N13" s="398">
        <v>149309</v>
      </c>
      <c r="O13" s="399">
        <v>1386</v>
      </c>
      <c r="P13" s="400">
        <f t="shared" si="3"/>
        <v>150695</v>
      </c>
      <c r="Q13" s="401">
        <v>162</v>
      </c>
      <c r="R13" s="398">
        <v>150125</v>
      </c>
      <c r="S13" s="399">
        <v>1390</v>
      </c>
      <c r="T13" s="400">
        <f t="shared" si="4"/>
        <v>151515</v>
      </c>
      <c r="U13" s="401">
        <v>162</v>
      </c>
      <c r="V13" s="398">
        <v>151137</v>
      </c>
      <c r="W13" s="399">
        <v>1396</v>
      </c>
      <c r="X13" s="400">
        <f t="shared" si="5"/>
        <v>152533</v>
      </c>
      <c r="Y13" s="401">
        <v>163</v>
      </c>
      <c r="Z13" s="398">
        <v>151653</v>
      </c>
      <c r="AA13" s="399">
        <v>1401</v>
      </c>
      <c r="AB13" s="400">
        <f t="shared" si="6"/>
        <v>153054</v>
      </c>
      <c r="AC13" s="401">
        <v>163</v>
      </c>
      <c r="AD13" s="398">
        <v>152009</v>
      </c>
      <c r="AE13" s="399">
        <v>1408</v>
      </c>
      <c r="AF13" s="400">
        <f t="shared" si="7"/>
        <v>153417</v>
      </c>
      <c r="AG13" s="401">
        <v>164</v>
      </c>
      <c r="AH13" s="398"/>
      <c r="AI13" s="399"/>
      <c r="AJ13" s="400">
        <f t="shared" si="8"/>
        <v>0</v>
      </c>
      <c r="AK13" s="401"/>
      <c r="AL13" s="398"/>
      <c r="AM13" s="399"/>
      <c r="AN13" s="400">
        <f t="shared" si="9"/>
        <v>0</v>
      </c>
      <c r="AO13" s="401"/>
      <c r="AP13" s="398"/>
      <c r="AQ13" s="399"/>
      <c r="AR13" s="1697">
        <f t="shared" si="10"/>
        <v>0</v>
      </c>
      <c r="AS13" s="401"/>
      <c r="AT13" s="398"/>
      <c r="AU13" s="399"/>
      <c r="AV13" s="400">
        <f t="shared" si="11"/>
        <v>0</v>
      </c>
      <c r="AW13" s="401"/>
      <c r="AY13" s="395">
        <f t="shared" si="12"/>
        <v>153417</v>
      </c>
      <c r="AZ13" s="395">
        <f t="shared" si="13"/>
        <v>164</v>
      </c>
      <c r="BB13" s="397" t="s">
        <v>884</v>
      </c>
      <c r="BC13" s="398">
        <v>140764</v>
      </c>
      <c r="BD13" s="399">
        <v>1326</v>
      </c>
      <c r="BE13" s="400">
        <v>142090</v>
      </c>
      <c r="BF13" s="401">
        <v>161</v>
      </c>
    </row>
    <row r="14" spans="1:62" ht="14.4" thickBot="1">
      <c r="A14" s="397" t="s">
        <v>885</v>
      </c>
      <c r="B14" s="398">
        <v>58132</v>
      </c>
      <c r="C14" s="399">
        <v>1237</v>
      </c>
      <c r="D14" s="400">
        <f t="shared" si="0"/>
        <v>59369</v>
      </c>
      <c r="E14" s="401">
        <v>33</v>
      </c>
      <c r="F14" s="398">
        <v>59155</v>
      </c>
      <c r="G14" s="399">
        <v>1241</v>
      </c>
      <c r="H14" s="400">
        <f t="shared" si="1"/>
        <v>60396</v>
      </c>
      <c r="I14" s="401">
        <v>33</v>
      </c>
      <c r="J14" s="409">
        <v>60337</v>
      </c>
      <c r="K14" s="410">
        <v>1250</v>
      </c>
      <c r="L14" s="400">
        <f t="shared" si="2"/>
        <v>61587</v>
      </c>
      <c r="M14" s="408">
        <v>33</v>
      </c>
      <c r="N14" s="410">
        <v>61195</v>
      </c>
      <c r="O14" s="416">
        <v>1256</v>
      </c>
      <c r="P14" s="400">
        <f t="shared" si="3"/>
        <v>62451</v>
      </c>
      <c r="Q14" s="401">
        <v>33</v>
      </c>
      <c r="R14" s="398">
        <v>62068</v>
      </c>
      <c r="S14" s="399">
        <v>1260</v>
      </c>
      <c r="T14" s="400">
        <f t="shared" si="4"/>
        <v>63328</v>
      </c>
      <c r="U14" s="401">
        <v>33</v>
      </c>
      <c r="V14" s="398">
        <v>62614</v>
      </c>
      <c r="W14" s="399">
        <v>1263</v>
      </c>
      <c r="X14" s="400">
        <f t="shared" si="5"/>
        <v>63877</v>
      </c>
      <c r="Y14" s="401">
        <v>33</v>
      </c>
      <c r="Z14" s="398">
        <v>62860</v>
      </c>
      <c r="AA14" s="399">
        <v>1266</v>
      </c>
      <c r="AB14" s="400">
        <f t="shared" si="6"/>
        <v>64126</v>
      </c>
      <c r="AC14" s="401">
        <v>33</v>
      </c>
      <c r="AD14" s="398">
        <v>63162</v>
      </c>
      <c r="AE14" s="399">
        <v>1267</v>
      </c>
      <c r="AF14" s="400">
        <f t="shared" si="7"/>
        <v>64429</v>
      </c>
      <c r="AG14" s="401">
        <v>33</v>
      </c>
      <c r="AH14" s="398"/>
      <c r="AI14" s="399"/>
      <c r="AJ14" s="400">
        <f t="shared" si="8"/>
        <v>0</v>
      </c>
      <c r="AK14" s="401"/>
      <c r="AL14" s="398"/>
      <c r="AM14" s="399"/>
      <c r="AN14" s="400">
        <f t="shared" si="9"/>
        <v>0</v>
      </c>
      <c r="AO14" s="401"/>
      <c r="AP14" s="398"/>
      <c r="AQ14" s="399"/>
      <c r="AR14" s="1697">
        <f t="shared" si="10"/>
        <v>0</v>
      </c>
      <c r="AS14" s="401"/>
      <c r="AT14" s="398"/>
      <c r="AU14" s="399"/>
      <c r="AV14" s="400">
        <f t="shared" si="11"/>
        <v>0</v>
      </c>
      <c r="AW14" s="401"/>
      <c r="AY14" s="395">
        <f t="shared" si="12"/>
        <v>64429</v>
      </c>
      <c r="AZ14" s="395">
        <f t="shared" si="13"/>
        <v>33</v>
      </c>
      <c r="BB14" s="397" t="s">
        <v>885</v>
      </c>
      <c r="BC14" s="398">
        <v>57673</v>
      </c>
      <c r="BD14" s="399">
        <v>1229</v>
      </c>
      <c r="BE14" s="400">
        <v>58902</v>
      </c>
      <c r="BF14" s="401">
        <v>33</v>
      </c>
    </row>
    <row r="15" spans="1:62" ht="14.4" thickBot="1">
      <c r="A15" s="418" t="s">
        <v>16</v>
      </c>
      <c r="B15" s="417">
        <f t="shared" ref="B15:AW15" si="14">SUM(B5:B14)</f>
        <v>1595287</v>
      </c>
      <c r="C15" s="419">
        <f t="shared" si="14"/>
        <v>18510</v>
      </c>
      <c r="D15" s="419">
        <f t="shared" si="14"/>
        <v>1613797</v>
      </c>
      <c r="E15" s="420">
        <f t="shared" si="14"/>
        <v>1911</v>
      </c>
      <c r="F15" s="417">
        <f t="shared" si="14"/>
        <v>1611668</v>
      </c>
      <c r="G15" s="419">
        <f t="shared" si="14"/>
        <v>18644</v>
      </c>
      <c r="H15" s="419">
        <f t="shared" si="14"/>
        <v>1630312</v>
      </c>
      <c r="I15" s="420">
        <f t="shared" si="14"/>
        <v>1916</v>
      </c>
      <c r="J15" s="417">
        <f t="shared" si="14"/>
        <v>1624301</v>
      </c>
      <c r="K15" s="419">
        <f t="shared" si="14"/>
        <v>18800</v>
      </c>
      <c r="L15" s="419">
        <f t="shared" si="14"/>
        <v>1643101</v>
      </c>
      <c r="M15" s="420">
        <f t="shared" si="14"/>
        <v>1916</v>
      </c>
      <c r="N15" s="417">
        <f t="shared" si="14"/>
        <v>1634242</v>
      </c>
      <c r="O15" s="419">
        <f t="shared" si="14"/>
        <v>18870</v>
      </c>
      <c r="P15" s="419">
        <f t="shared" si="14"/>
        <v>1653112</v>
      </c>
      <c r="Q15" s="420">
        <f t="shared" si="14"/>
        <v>1922</v>
      </c>
      <c r="R15" s="417">
        <f t="shared" si="14"/>
        <v>1641369</v>
      </c>
      <c r="S15" s="419">
        <f t="shared" si="14"/>
        <v>18914</v>
      </c>
      <c r="T15" s="419">
        <f t="shared" si="14"/>
        <v>1660283</v>
      </c>
      <c r="U15" s="420">
        <f t="shared" si="14"/>
        <v>1928</v>
      </c>
      <c r="V15" s="417">
        <f t="shared" si="14"/>
        <v>1648577</v>
      </c>
      <c r="W15" s="419">
        <f t="shared" si="14"/>
        <v>18949</v>
      </c>
      <c r="X15" s="419">
        <f t="shared" si="14"/>
        <v>1667526</v>
      </c>
      <c r="Y15" s="420">
        <f t="shared" si="14"/>
        <v>1934</v>
      </c>
      <c r="Z15" s="417">
        <f t="shared" si="14"/>
        <v>1654212</v>
      </c>
      <c r="AA15" s="419">
        <f t="shared" si="14"/>
        <v>18979</v>
      </c>
      <c r="AB15" s="419">
        <f t="shared" si="14"/>
        <v>1673191</v>
      </c>
      <c r="AC15" s="420">
        <f t="shared" si="14"/>
        <v>1935</v>
      </c>
      <c r="AD15" s="417">
        <f t="shared" si="14"/>
        <v>1659645</v>
      </c>
      <c r="AE15" s="419">
        <f t="shared" si="14"/>
        <v>19009</v>
      </c>
      <c r="AF15" s="419">
        <f t="shared" si="14"/>
        <v>1678654</v>
      </c>
      <c r="AG15" s="420">
        <f t="shared" si="14"/>
        <v>1936</v>
      </c>
      <c r="AH15" s="417">
        <f t="shared" si="14"/>
        <v>0</v>
      </c>
      <c r="AI15" s="419">
        <f t="shared" si="14"/>
        <v>0</v>
      </c>
      <c r="AJ15" s="419">
        <f t="shared" si="14"/>
        <v>0</v>
      </c>
      <c r="AK15" s="420">
        <f t="shared" si="14"/>
        <v>0</v>
      </c>
      <c r="AL15" s="417">
        <f t="shared" si="14"/>
        <v>0</v>
      </c>
      <c r="AM15" s="419">
        <f t="shared" si="14"/>
        <v>0</v>
      </c>
      <c r="AN15" s="419">
        <f t="shared" si="14"/>
        <v>0</v>
      </c>
      <c r="AO15" s="420">
        <f t="shared" si="14"/>
        <v>0</v>
      </c>
      <c r="AP15" s="417">
        <f t="shared" si="14"/>
        <v>0</v>
      </c>
      <c r="AQ15" s="419">
        <f t="shared" si="14"/>
        <v>0</v>
      </c>
      <c r="AR15" s="419">
        <f t="shared" si="14"/>
        <v>0</v>
      </c>
      <c r="AS15" s="419">
        <f t="shared" si="14"/>
        <v>0</v>
      </c>
      <c r="AT15" s="417">
        <f t="shared" si="14"/>
        <v>0</v>
      </c>
      <c r="AU15" s="419">
        <f t="shared" si="14"/>
        <v>0</v>
      </c>
      <c r="AV15" s="419">
        <f t="shared" si="14"/>
        <v>0</v>
      </c>
      <c r="AW15" s="420">
        <f t="shared" si="14"/>
        <v>0</v>
      </c>
      <c r="AY15" s="395">
        <f t="shared" si="12"/>
        <v>1678654</v>
      </c>
      <c r="AZ15" s="395">
        <f t="shared" si="13"/>
        <v>1936</v>
      </c>
      <c r="BB15" s="106"/>
      <c r="BC15" s="417">
        <f>SUM(BC5:BC14)</f>
        <v>1581219</v>
      </c>
      <c r="BD15" s="417">
        <f>SUM(BD5:BD14)</f>
        <v>18420</v>
      </c>
      <c r="BE15" s="417">
        <f>SUM(BE5:BE14)</f>
        <v>1599639</v>
      </c>
      <c r="BF15" s="417">
        <f>SUM(BF5:BF14)</f>
        <v>1907</v>
      </c>
    </row>
    <row r="16" spans="1:62">
      <c r="AE16" s="470"/>
      <c r="AF16" s="470"/>
      <c r="AG16" s="470"/>
      <c r="AH16" s="470"/>
      <c r="AI16" s="470"/>
      <c r="AJ16" s="470"/>
      <c r="AK16" s="470"/>
      <c r="AL16" s="470"/>
      <c r="AM16" s="470"/>
      <c r="AN16" s="470"/>
      <c r="AO16" s="470"/>
      <c r="AP16" s="470"/>
      <c r="AQ16" s="470"/>
      <c r="AR16" s="470"/>
      <c r="AS16" s="470"/>
      <c r="AT16" s="470"/>
      <c r="AU16" s="470"/>
      <c r="AV16" s="470"/>
      <c r="AW16" s="470"/>
    </row>
    <row r="17" spans="1:62" ht="18.600000000000001" thickBot="1">
      <c r="A17" s="394">
        <f>élec!A17</f>
        <v>2024</v>
      </c>
      <c r="BC17" s="396">
        <v>45261</v>
      </c>
    </row>
    <row r="18" spans="1:62">
      <c r="A18" s="2815" t="s">
        <v>308</v>
      </c>
      <c r="B18" s="2827" t="s">
        <v>71</v>
      </c>
      <c r="C18" s="2828"/>
      <c r="D18" s="2828"/>
      <c r="E18" s="3091"/>
      <c r="F18" s="2829" t="s">
        <v>72</v>
      </c>
      <c r="G18" s="2830"/>
      <c r="H18" s="2830"/>
      <c r="I18" s="3095"/>
      <c r="J18" s="2817" t="s">
        <v>73</v>
      </c>
      <c r="K18" s="2818"/>
      <c r="L18" s="2818"/>
      <c r="M18" s="3094"/>
      <c r="N18" s="2819" t="s">
        <v>74</v>
      </c>
      <c r="O18" s="2820"/>
      <c r="P18" s="2820"/>
      <c r="Q18" s="3090"/>
      <c r="R18" s="2821" t="s">
        <v>75</v>
      </c>
      <c r="S18" s="2822"/>
      <c r="T18" s="2822"/>
      <c r="U18" s="3093"/>
      <c r="V18" s="2823" t="s">
        <v>76</v>
      </c>
      <c r="W18" s="2824"/>
      <c r="X18" s="2824"/>
      <c r="Y18" s="3089"/>
      <c r="Z18" s="2827" t="s">
        <v>77</v>
      </c>
      <c r="AA18" s="2828"/>
      <c r="AB18" s="2828"/>
      <c r="AC18" s="3091"/>
      <c r="AD18" s="2829" t="s">
        <v>78</v>
      </c>
      <c r="AE18" s="2830"/>
      <c r="AF18" s="2830"/>
      <c r="AG18" s="3095"/>
      <c r="AH18" s="2817" t="s">
        <v>79</v>
      </c>
      <c r="AI18" s="2818"/>
      <c r="AJ18" s="2818"/>
      <c r="AK18" s="3094"/>
      <c r="AL18" s="2819" t="s">
        <v>80</v>
      </c>
      <c r="AM18" s="2820"/>
      <c r="AN18" s="2820"/>
      <c r="AO18" s="3090"/>
      <c r="AP18" s="2821" t="s">
        <v>81</v>
      </c>
      <c r="AQ18" s="2822"/>
      <c r="AR18" s="2822"/>
      <c r="AS18" s="3093"/>
      <c r="AT18" s="2823" t="s">
        <v>82</v>
      </c>
      <c r="AU18" s="2824"/>
      <c r="AV18" s="2824"/>
      <c r="AW18" s="3089"/>
      <c r="BC18" s="421" t="s">
        <v>82</v>
      </c>
      <c r="BD18" s="422"/>
      <c r="BE18" s="422"/>
      <c r="BF18" s="423"/>
    </row>
    <row r="19" spans="1:62">
      <c r="A19" s="2816"/>
      <c r="B19" s="402" t="s">
        <v>17</v>
      </c>
      <c r="C19" s="403" t="s">
        <v>18</v>
      </c>
      <c r="D19" s="403" t="s">
        <v>56</v>
      </c>
      <c r="E19" s="404" t="s">
        <v>21</v>
      </c>
      <c r="F19" s="402" t="s">
        <v>17</v>
      </c>
      <c r="G19" s="403" t="s">
        <v>18</v>
      </c>
      <c r="H19" s="403" t="s">
        <v>56</v>
      </c>
      <c r="I19" s="404" t="s">
        <v>21</v>
      </c>
      <c r="J19" s="402" t="s">
        <v>17</v>
      </c>
      <c r="K19" s="403" t="s">
        <v>18</v>
      </c>
      <c r="L19" s="403" t="s">
        <v>56</v>
      </c>
      <c r="M19" s="404" t="s">
        <v>21</v>
      </c>
      <c r="N19" s="402" t="s">
        <v>17</v>
      </c>
      <c r="O19" s="403" t="s">
        <v>18</v>
      </c>
      <c r="P19" s="403" t="s">
        <v>56</v>
      </c>
      <c r="Q19" s="404" t="s">
        <v>21</v>
      </c>
      <c r="R19" s="402" t="s">
        <v>17</v>
      </c>
      <c r="S19" s="403" t="s">
        <v>18</v>
      </c>
      <c r="T19" s="403" t="s">
        <v>56</v>
      </c>
      <c r="U19" s="404" t="s">
        <v>21</v>
      </c>
      <c r="V19" s="402" t="s">
        <v>17</v>
      </c>
      <c r="W19" s="403" t="s">
        <v>18</v>
      </c>
      <c r="X19" s="403" t="s">
        <v>56</v>
      </c>
      <c r="Y19" s="404" t="s">
        <v>21</v>
      </c>
      <c r="Z19" s="402" t="s">
        <v>17</v>
      </c>
      <c r="AA19" s="403" t="s">
        <v>18</v>
      </c>
      <c r="AB19" s="403" t="s">
        <v>56</v>
      </c>
      <c r="AC19" s="404" t="s">
        <v>21</v>
      </c>
      <c r="AD19" s="1062" t="s">
        <v>17</v>
      </c>
      <c r="AE19" s="403" t="s">
        <v>18</v>
      </c>
      <c r="AF19" s="403" t="s">
        <v>56</v>
      </c>
      <c r="AG19" s="404" t="s">
        <v>21</v>
      </c>
      <c r="AH19" s="402" t="s">
        <v>17</v>
      </c>
      <c r="AI19" s="403" t="s">
        <v>18</v>
      </c>
      <c r="AJ19" s="403" t="s">
        <v>56</v>
      </c>
      <c r="AK19" s="404" t="s">
        <v>21</v>
      </c>
      <c r="AL19" s="402" t="s">
        <v>17</v>
      </c>
      <c r="AM19" s="403" t="s">
        <v>18</v>
      </c>
      <c r="AN19" s="403" t="s">
        <v>56</v>
      </c>
      <c r="AO19" s="404" t="s">
        <v>21</v>
      </c>
      <c r="AP19" s="402" t="s">
        <v>17</v>
      </c>
      <c r="AQ19" s="403" t="s">
        <v>18</v>
      </c>
      <c r="AR19" s="403" t="s">
        <v>56</v>
      </c>
      <c r="AS19" s="404" t="s">
        <v>21</v>
      </c>
      <c r="AT19" s="402" t="s">
        <v>17</v>
      </c>
      <c r="AU19" s="403" t="s">
        <v>18</v>
      </c>
      <c r="AV19" s="403" t="s">
        <v>56</v>
      </c>
      <c r="AW19" s="404" t="s">
        <v>21</v>
      </c>
      <c r="AY19" s="117" t="s">
        <v>56</v>
      </c>
      <c r="AZ19" s="117" t="s">
        <v>21</v>
      </c>
      <c r="BC19" s="402" t="s">
        <v>17</v>
      </c>
      <c r="BD19" s="403" t="s">
        <v>18</v>
      </c>
      <c r="BE19" s="403" t="s">
        <v>56</v>
      </c>
      <c r="BF19" s="404" t="s">
        <v>21</v>
      </c>
    </row>
    <row r="20" spans="1:62">
      <c r="A20" s="397" t="s">
        <v>6</v>
      </c>
      <c r="B20" s="398">
        <f>'Feuil-saisie'!G406</f>
        <v>239486</v>
      </c>
      <c r="C20" s="399">
        <f>'Feuil-saisie'!H406</f>
        <v>2173</v>
      </c>
      <c r="D20" s="400">
        <f>C20+B20</f>
        <v>241659</v>
      </c>
      <c r="E20" s="401">
        <f>'Feuil-saisie'!J406</f>
        <v>382</v>
      </c>
      <c r="F20" s="398">
        <f>'Feuil-saisie'!Q406</f>
        <v>241498</v>
      </c>
      <c r="G20" s="399">
        <f>'Feuil-saisie'!R406</f>
        <v>2182</v>
      </c>
      <c r="H20" s="400">
        <f>G20+F20</f>
        <v>243680</v>
      </c>
      <c r="I20" s="401">
        <f>'Feuil-saisie'!T406</f>
        <v>382</v>
      </c>
      <c r="J20" s="398">
        <f>'Feuil-saisie'!AA406</f>
        <v>243060</v>
      </c>
      <c r="K20" s="399">
        <f>'Feuil-saisie'!AB406</f>
        <v>2189</v>
      </c>
      <c r="L20" s="400">
        <f>K20+J20</f>
        <v>245249</v>
      </c>
      <c r="M20" s="401">
        <f>'Feuil-saisie'!AD406</f>
        <v>383</v>
      </c>
      <c r="N20" s="398">
        <f>'Feuil-saisie'!AK406</f>
        <v>244313</v>
      </c>
      <c r="O20" s="399">
        <f>'Feuil-saisie'!AL406</f>
        <v>2192</v>
      </c>
      <c r="P20" s="400">
        <f>O20+N20</f>
        <v>246505</v>
      </c>
      <c r="Q20" s="401">
        <f>'Feuil-saisie'!AN406</f>
        <v>384</v>
      </c>
      <c r="R20" s="398">
        <f>'Feuil-saisie'!AU406</f>
        <v>245710</v>
      </c>
      <c r="S20" s="399">
        <f>'Feuil-saisie'!AV406</f>
        <v>2193</v>
      </c>
      <c r="T20" s="400">
        <f>S20+R20</f>
        <v>247903</v>
      </c>
      <c r="U20" s="401">
        <f>'Feuil-saisie'!AX406</f>
        <v>384</v>
      </c>
      <c r="V20" s="398">
        <f>'Feuil-saisie'!BE406</f>
        <v>246873</v>
      </c>
      <c r="W20" s="399">
        <f>'Feuil-saisie'!BF406</f>
        <v>2196</v>
      </c>
      <c r="X20" s="400">
        <f>W20+V20</f>
        <v>249069</v>
      </c>
      <c r="Y20" s="401">
        <f>'Feuil-saisie'!BH406</f>
        <v>384</v>
      </c>
      <c r="Z20" s="398">
        <f>'Feuil-saisie'!BO406</f>
        <v>247886</v>
      </c>
      <c r="AA20" s="399">
        <f>'Feuil-saisie'!BP406</f>
        <v>2196</v>
      </c>
      <c r="AB20" s="400">
        <f>AA20+Z20</f>
        <v>250082</v>
      </c>
      <c r="AC20" s="401">
        <f>'Feuil-saisie'!BR406</f>
        <v>386</v>
      </c>
      <c r="AD20" s="398">
        <f>'Feuil-saisie'!BY406</f>
        <v>248992</v>
      </c>
      <c r="AE20" s="399">
        <f>'Feuil-saisie'!BZ406</f>
        <v>2198</v>
      </c>
      <c r="AF20" s="400">
        <f>AE20+AD20</f>
        <v>251190</v>
      </c>
      <c r="AG20" s="401">
        <f>'Feuil-saisie'!CB406</f>
        <v>386</v>
      </c>
      <c r="AH20" s="398">
        <f>'Feuil-saisie'!CI406</f>
        <v>0</v>
      </c>
      <c r="AI20" s="399">
        <f>'Feuil-saisie'!CJ406</f>
        <v>0</v>
      </c>
      <c r="AJ20" s="400">
        <f>SUM(AH20:AI20)</f>
        <v>0</v>
      </c>
      <c r="AK20" s="401">
        <f>'Feuil-saisie'!CL406</f>
        <v>0</v>
      </c>
      <c r="AL20" s="398">
        <f>'Feuil-saisie'!CS406</f>
        <v>0</v>
      </c>
      <c r="AM20" s="399">
        <f>'Feuil-saisie'!CT406</f>
        <v>0</v>
      </c>
      <c r="AN20" s="400">
        <f>SUM(AL20:AM20)</f>
        <v>0</v>
      </c>
      <c r="AO20" s="399">
        <f>'Feuil-saisie'!CV406</f>
        <v>0</v>
      </c>
      <c r="AP20" s="398">
        <f>'Feuil-saisie'!DC406</f>
        <v>0</v>
      </c>
      <c r="AQ20" s="399">
        <f>'Feuil-saisie'!DD406</f>
        <v>0</v>
      </c>
      <c r="AR20" s="1697">
        <f t="shared" ref="AR20:AR29" si="15">AP20+AQ20</f>
        <v>0</v>
      </c>
      <c r="AS20" s="401">
        <f>'Feuil-saisie'!DF406</f>
        <v>0</v>
      </c>
      <c r="AT20" s="398">
        <f>'Feuil-saisie'!DM406</f>
        <v>0</v>
      </c>
      <c r="AU20" s="399">
        <f>'Feuil-saisie'!DN406</f>
        <v>0</v>
      </c>
      <c r="AV20" s="400">
        <f>AU20+AT20</f>
        <v>0</v>
      </c>
      <c r="AW20" s="401">
        <f>'Feuil-saisie'!DP406</f>
        <v>0</v>
      </c>
      <c r="AX20" s="395"/>
      <c r="AY20" s="395">
        <f>AF20</f>
        <v>251190</v>
      </c>
      <c r="AZ20" s="395">
        <f>AG20</f>
        <v>386</v>
      </c>
      <c r="BB20" s="397" t="s">
        <v>6</v>
      </c>
      <c r="BC20" s="398">
        <v>236978</v>
      </c>
      <c r="BD20" s="399">
        <v>2167</v>
      </c>
      <c r="BE20" s="400">
        <v>239145</v>
      </c>
      <c r="BF20" s="401">
        <v>390</v>
      </c>
    </row>
    <row r="21" spans="1:62">
      <c r="A21" s="397" t="s">
        <v>7</v>
      </c>
      <c r="B21" s="398">
        <f>'Feuil-saisie'!G407</f>
        <v>165538</v>
      </c>
      <c r="C21" s="399">
        <f>'Feuil-saisie'!H407</f>
        <v>2543</v>
      </c>
      <c r="D21" s="400">
        <f t="shared" ref="D21:D29" si="16">C21+B21</f>
        <v>168081</v>
      </c>
      <c r="E21" s="401">
        <f>'Feuil-saisie'!J407</f>
        <v>236</v>
      </c>
      <c r="F21" s="398">
        <f>'Feuil-saisie'!Q407</f>
        <v>166429</v>
      </c>
      <c r="G21" s="399">
        <f>'Feuil-saisie'!R407</f>
        <v>2555</v>
      </c>
      <c r="H21" s="400">
        <f t="shared" ref="H21:H29" si="17">G21+F21</f>
        <v>168984</v>
      </c>
      <c r="I21" s="401">
        <f>'Feuil-saisie'!T407</f>
        <v>236</v>
      </c>
      <c r="J21" s="398">
        <f>'Feuil-saisie'!AA407</f>
        <v>167266</v>
      </c>
      <c r="K21" s="399">
        <f>'Feuil-saisie'!AB407</f>
        <v>2563</v>
      </c>
      <c r="L21" s="400">
        <f t="shared" ref="L21:L29" si="18">K21+J21</f>
        <v>169829</v>
      </c>
      <c r="M21" s="401">
        <f>'Feuil-saisie'!AD407</f>
        <v>239</v>
      </c>
      <c r="N21" s="398">
        <f>'Feuil-saisie'!AK407</f>
        <v>167833</v>
      </c>
      <c r="O21" s="399">
        <f>'Feuil-saisie'!AL407</f>
        <v>2572</v>
      </c>
      <c r="P21" s="400">
        <f t="shared" ref="P21:P29" si="19">O21+N21</f>
        <v>170405</v>
      </c>
      <c r="Q21" s="401">
        <f>'Feuil-saisie'!AN407</f>
        <v>239</v>
      </c>
      <c r="R21" s="398">
        <f>'Feuil-saisie'!AU407</f>
        <v>168278</v>
      </c>
      <c r="S21" s="399">
        <f>'Feuil-saisie'!AV407</f>
        <v>2585</v>
      </c>
      <c r="T21" s="400">
        <f t="shared" ref="T21:T29" si="20">S21+R21</f>
        <v>170863</v>
      </c>
      <c r="U21" s="401">
        <f>'Feuil-saisie'!AX407</f>
        <v>241</v>
      </c>
      <c r="V21" s="398">
        <f>'Feuil-saisie'!BE407</f>
        <v>168684</v>
      </c>
      <c r="W21" s="399">
        <f>'Feuil-saisie'!BF407</f>
        <v>2598</v>
      </c>
      <c r="X21" s="400">
        <f t="shared" ref="X21:X29" si="21">W21+V21</f>
        <v>171282</v>
      </c>
      <c r="Y21" s="401">
        <f>'Feuil-saisie'!BH407</f>
        <v>241</v>
      </c>
      <c r="Z21" s="398">
        <f>'Feuil-saisie'!BO407</f>
        <v>168952</v>
      </c>
      <c r="AA21" s="399">
        <f>'Feuil-saisie'!BP407</f>
        <v>2602</v>
      </c>
      <c r="AB21" s="400">
        <f t="shared" ref="AB21:AB29" si="22">AA21+Z21</f>
        <v>171554</v>
      </c>
      <c r="AC21" s="401">
        <f>'Feuil-saisie'!BR407</f>
        <v>241</v>
      </c>
      <c r="AD21" s="398">
        <f>'Feuil-saisie'!BY407</f>
        <v>169365</v>
      </c>
      <c r="AE21" s="399">
        <f>'Feuil-saisie'!BZ407</f>
        <v>2606</v>
      </c>
      <c r="AF21" s="400">
        <f t="shared" ref="AF21:AF29" si="23">AE21+AD21</f>
        <v>171971</v>
      </c>
      <c r="AG21" s="401">
        <f>'Feuil-saisie'!CB407</f>
        <v>241</v>
      </c>
      <c r="AH21" s="398">
        <f>'Feuil-saisie'!CI407</f>
        <v>0</v>
      </c>
      <c r="AI21" s="399">
        <f>'Feuil-saisie'!CJ407</f>
        <v>0</v>
      </c>
      <c r="AJ21" s="400">
        <f t="shared" ref="AJ21:AJ29" si="24">SUM(AH21:AI21)</f>
        <v>0</v>
      </c>
      <c r="AK21" s="401">
        <f>'Feuil-saisie'!CL407</f>
        <v>0</v>
      </c>
      <c r="AL21" s="398">
        <f>'Feuil-saisie'!CS407</f>
        <v>0</v>
      </c>
      <c r="AM21" s="399">
        <f>'Feuil-saisie'!CT407</f>
        <v>0</v>
      </c>
      <c r="AN21" s="400">
        <f t="shared" ref="AN21:AN29" si="25">SUM(AL21:AM21)</f>
        <v>0</v>
      </c>
      <c r="AO21" s="399">
        <f>'Feuil-saisie'!CV407</f>
        <v>0</v>
      </c>
      <c r="AP21" s="398">
        <f>'Feuil-saisie'!DC407</f>
        <v>0</v>
      </c>
      <c r="AQ21" s="399">
        <f>'Feuil-saisie'!DD407</f>
        <v>0</v>
      </c>
      <c r="AR21" s="1697">
        <f t="shared" si="15"/>
        <v>0</v>
      </c>
      <c r="AS21" s="401">
        <f>'Feuil-saisie'!DF407</f>
        <v>0</v>
      </c>
      <c r="AT21" s="398">
        <f>'Feuil-saisie'!DM407</f>
        <v>0</v>
      </c>
      <c r="AU21" s="399">
        <f>'Feuil-saisie'!DN407</f>
        <v>0</v>
      </c>
      <c r="AV21" s="400">
        <f t="shared" ref="AV21:AV29" si="26">AU21+AT21</f>
        <v>0</v>
      </c>
      <c r="AW21" s="401">
        <f>'Feuil-saisie'!DP407</f>
        <v>0</v>
      </c>
      <c r="AX21" s="395"/>
      <c r="AY21" s="395">
        <f t="shared" ref="AY21:AY30" si="27">AF21</f>
        <v>171971</v>
      </c>
      <c r="AZ21" s="395">
        <f t="shared" ref="AZ21:AZ29" si="28">AG21</f>
        <v>241</v>
      </c>
      <c r="BB21" s="397" t="s">
        <v>7</v>
      </c>
      <c r="BC21" s="398">
        <v>164411</v>
      </c>
      <c r="BD21" s="399">
        <v>2517</v>
      </c>
      <c r="BE21" s="400">
        <v>166928</v>
      </c>
      <c r="BF21" s="401">
        <v>236</v>
      </c>
    </row>
    <row r="22" spans="1:62">
      <c r="A22" s="397" t="s">
        <v>8</v>
      </c>
      <c r="B22" s="398">
        <f>'Feuil-saisie'!G408</f>
        <v>154329</v>
      </c>
      <c r="C22" s="399">
        <f>'Feuil-saisie'!H408</f>
        <v>2016</v>
      </c>
      <c r="D22" s="400">
        <f t="shared" si="16"/>
        <v>156345</v>
      </c>
      <c r="E22" s="401">
        <f>'Feuil-saisie'!J408</f>
        <v>175</v>
      </c>
      <c r="F22" s="398">
        <f>'Feuil-saisie'!Q408</f>
        <v>155852</v>
      </c>
      <c r="G22" s="399">
        <f>'Feuil-saisie'!R408</f>
        <v>2045</v>
      </c>
      <c r="H22" s="400">
        <f t="shared" si="17"/>
        <v>157897</v>
      </c>
      <c r="I22" s="401">
        <f>'Feuil-saisie'!T408</f>
        <v>178</v>
      </c>
      <c r="J22" s="398">
        <f>'Feuil-saisie'!AA408</f>
        <v>157306</v>
      </c>
      <c r="K22" s="399">
        <f>'Feuil-saisie'!AB408</f>
        <v>2060</v>
      </c>
      <c r="L22" s="400">
        <f t="shared" si="18"/>
        <v>159366</v>
      </c>
      <c r="M22" s="401">
        <f>'Feuil-saisie'!AD408</f>
        <v>179</v>
      </c>
      <c r="N22" s="398">
        <f>'Feuil-saisie'!AK408</f>
        <v>157987</v>
      </c>
      <c r="O22" s="399">
        <f>'Feuil-saisie'!AL408</f>
        <v>2063</v>
      </c>
      <c r="P22" s="400">
        <f t="shared" si="19"/>
        <v>160050</v>
      </c>
      <c r="Q22" s="401">
        <f>'Feuil-saisie'!AN408</f>
        <v>179</v>
      </c>
      <c r="R22" s="398">
        <f>'Feuil-saisie'!AU408</f>
        <v>158655</v>
      </c>
      <c r="S22" s="399">
        <f>'Feuil-saisie'!AV408</f>
        <v>2070</v>
      </c>
      <c r="T22" s="400">
        <f t="shared" si="20"/>
        <v>160725</v>
      </c>
      <c r="U22" s="401">
        <f>'Feuil-saisie'!AX408</f>
        <v>179</v>
      </c>
      <c r="V22" s="398">
        <f>'Feuil-saisie'!BE408</f>
        <v>159251</v>
      </c>
      <c r="W22" s="399">
        <f>'Feuil-saisie'!BF408</f>
        <v>2077</v>
      </c>
      <c r="X22" s="400">
        <f t="shared" si="21"/>
        <v>161328</v>
      </c>
      <c r="Y22" s="401">
        <f>'Feuil-saisie'!BH408</f>
        <v>179</v>
      </c>
      <c r="Z22" s="398">
        <f>'Feuil-saisie'!BO408</f>
        <v>159720</v>
      </c>
      <c r="AA22" s="399">
        <f>'Feuil-saisie'!BP408</f>
        <v>2079</v>
      </c>
      <c r="AB22" s="400">
        <f t="shared" si="22"/>
        <v>161799</v>
      </c>
      <c r="AC22" s="401">
        <f>'Feuil-saisie'!BR408</f>
        <v>179</v>
      </c>
      <c r="AD22" s="398">
        <f>'Feuil-saisie'!BY408</f>
        <v>160664</v>
      </c>
      <c r="AE22" s="399">
        <f>'Feuil-saisie'!BZ408</f>
        <v>2087</v>
      </c>
      <c r="AF22" s="400">
        <f t="shared" si="23"/>
        <v>162751</v>
      </c>
      <c r="AG22" s="401">
        <f>'Feuil-saisie'!CB408</f>
        <v>179</v>
      </c>
      <c r="AH22" s="398">
        <f>'Feuil-saisie'!CI408</f>
        <v>0</v>
      </c>
      <c r="AI22" s="399">
        <f>'Feuil-saisie'!CJ408</f>
        <v>0</v>
      </c>
      <c r="AJ22" s="400">
        <f t="shared" si="24"/>
        <v>0</v>
      </c>
      <c r="AK22" s="401">
        <f>'Feuil-saisie'!CL408</f>
        <v>0</v>
      </c>
      <c r="AL22" s="398">
        <f>'Feuil-saisie'!CS408</f>
        <v>0</v>
      </c>
      <c r="AM22" s="399">
        <f>'Feuil-saisie'!CT408</f>
        <v>0</v>
      </c>
      <c r="AN22" s="400">
        <f t="shared" si="25"/>
        <v>0</v>
      </c>
      <c r="AO22" s="399">
        <f>'Feuil-saisie'!CV408</f>
        <v>0</v>
      </c>
      <c r="AP22" s="398">
        <f>'Feuil-saisie'!DC408</f>
        <v>0</v>
      </c>
      <c r="AQ22" s="399">
        <f>'Feuil-saisie'!DD408</f>
        <v>0</v>
      </c>
      <c r="AR22" s="1697">
        <f t="shared" si="15"/>
        <v>0</v>
      </c>
      <c r="AS22" s="401">
        <f>'Feuil-saisie'!DF408</f>
        <v>0</v>
      </c>
      <c r="AT22" s="398">
        <f>'Feuil-saisie'!DM408</f>
        <v>0</v>
      </c>
      <c r="AU22" s="399">
        <f>'Feuil-saisie'!DN408</f>
        <v>0</v>
      </c>
      <c r="AV22" s="400">
        <f t="shared" si="26"/>
        <v>0</v>
      </c>
      <c r="AW22" s="401">
        <f>'Feuil-saisie'!DP408</f>
        <v>0</v>
      </c>
      <c r="AX22" s="395"/>
      <c r="AY22" s="395">
        <f t="shared" si="27"/>
        <v>162751</v>
      </c>
      <c r="AZ22" s="395">
        <f t="shared" si="28"/>
        <v>179</v>
      </c>
      <c r="BB22" s="397" t="s">
        <v>8</v>
      </c>
      <c r="BC22" s="398">
        <v>153058</v>
      </c>
      <c r="BD22" s="399">
        <v>1999</v>
      </c>
      <c r="BE22" s="400">
        <v>155057</v>
      </c>
      <c r="BF22" s="401">
        <v>170</v>
      </c>
    </row>
    <row r="23" spans="1:62">
      <c r="A23" s="397" t="s">
        <v>4</v>
      </c>
      <c r="B23" s="398">
        <f>'Feuil-saisie'!G409</f>
        <v>311081</v>
      </c>
      <c r="C23" s="399">
        <f>'Feuil-saisie'!H409</f>
        <v>3069</v>
      </c>
      <c r="D23" s="400">
        <f t="shared" si="16"/>
        <v>314150</v>
      </c>
      <c r="E23" s="401">
        <f>'Feuil-saisie'!J409</f>
        <v>273</v>
      </c>
      <c r="F23" s="398">
        <f>'Feuil-saisie'!Q409</f>
        <v>312945</v>
      </c>
      <c r="G23" s="399">
        <f>'Feuil-saisie'!R409</f>
        <v>3074</v>
      </c>
      <c r="H23" s="400">
        <f t="shared" si="17"/>
        <v>316019</v>
      </c>
      <c r="I23" s="401">
        <f>'Feuil-saisie'!T409</f>
        <v>273</v>
      </c>
      <c r="J23" s="398">
        <f>'Feuil-saisie'!AA409</f>
        <v>313872</v>
      </c>
      <c r="K23" s="399">
        <f>'Feuil-saisie'!AB409</f>
        <v>3083</v>
      </c>
      <c r="L23" s="400">
        <f t="shared" si="18"/>
        <v>316955</v>
      </c>
      <c r="M23" s="401">
        <f>'Feuil-saisie'!AD409</f>
        <v>274</v>
      </c>
      <c r="N23" s="398">
        <f>'Feuil-saisie'!AK409</f>
        <v>314922</v>
      </c>
      <c r="O23" s="399">
        <f>'Feuil-saisie'!AL409</f>
        <v>3100</v>
      </c>
      <c r="P23" s="400">
        <f t="shared" si="19"/>
        <v>318022</v>
      </c>
      <c r="Q23" s="401">
        <f>'Feuil-saisie'!AN409</f>
        <v>275</v>
      </c>
      <c r="R23" s="398">
        <f>'Feuil-saisie'!AU409</f>
        <v>316064</v>
      </c>
      <c r="S23" s="399">
        <f>'Feuil-saisie'!AV409</f>
        <v>3109</v>
      </c>
      <c r="T23" s="400">
        <f t="shared" si="20"/>
        <v>319173</v>
      </c>
      <c r="U23" s="401">
        <f>'Feuil-saisie'!AX409</f>
        <v>276</v>
      </c>
      <c r="V23" s="398">
        <f>'Feuil-saisie'!BE409</f>
        <v>317240</v>
      </c>
      <c r="W23" s="399">
        <f>'Feuil-saisie'!BF409</f>
        <v>3113</v>
      </c>
      <c r="X23" s="400">
        <f t="shared" si="21"/>
        <v>320353</v>
      </c>
      <c r="Y23" s="401">
        <f>'Feuil-saisie'!BH409</f>
        <v>277</v>
      </c>
      <c r="Z23" s="398">
        <f>'Feuil-saisie'!BO409</f>
        <v>318363</v>
      </c>
      <c r="AA23" s="399">
        <f>'Feuil-saisie'!BP409</f>
        <v>3115</v>
      </c>
      <c r="AB23" s="400">
        <f t="shared" si="22"/>
        <v>321478</v>
      </c>
      <c r="AC23" s="401">
        <f>'Feuil-saisie'!BR409</f>
        <v>280</v>
      </c>
      <c r="AD23" s="398">
        <f>'Feuil-saisie'!BY409</f>
        <v>319303</v>
      </c>
      <c r="AE23" s="399">
        <f>'Feuil-saisie'!BZ409</f>
        <v>3116</v>
      </c>
      <c r="AF23" s="400">
        <f t="shared" si="23"/>
        <v>322419</v>
      </c>
      <c r="AG23" s="401">
        <f>'Feuil-saisie'!CB409</f>
        <v>280</v>
      </c>
      <c r="AH23" s="398">
        <f>'Feuil-saisie'!CI409</f>
        <v>0</v>
      </c>
      <c r="AI23" s="399">
        <f>'Feuil-saisie'!CJ409</f>
        <v>0</v>
      </c>
      <c r="AJ23" s="400">
        <f t="shared" si="24"/>
        <v>0</v>
      </c>
      <c r="AK23" s="401">
        <f>'Feuil-saisie'!CL409</f>
        <v>0</v>
      </c>
      <c r="AL23" s="398">
        <f>'Feuil-saisie'!CS409</f>
        <v>0</v>
      </c>
      <c r="AM23" s="399">
        <f>'Feuil-saisie'!CT409</f>
        <v>0</v>
      </c>
      <c r="AN23" s="400">
        <f t="shared" si="25"/>
        <v>0</v>
      </c>
      <c r="AO23" s="399">
        <f>'Feuil-saisie'!CV409</f>
        <v>0</v>
      </c>
      <c r="AP23" s="398">
        <f>'Feuil-saisie'!DC409</f>
        <v>0</v>
      </c>
      <c r="AQ23" s="399">
        <f>'Feuil-saisie'!DD409</f>
        <v>0</v>
      </c>
      <c r="AR23" s="1697">
        <f t="shared" si="15"/>
        <v>0</v>
      </c>
      <c r="AS23" s="401">
        <f>'Feuil-saisie'!DF409</f>
        <v>0</v>
      </c>
      <c r="AT23" s="398">
        <f>'Feuil-saisie'!DM409</f>
        <v>0</v>
      </c>
      <c r="AU23" s="399">
        <f>'Feuil-saisie'!DN409</f>
        <v>0</v>
      </c>
      <c r="AV23" s="400">
        <f t="shared" si="26"/>
        <v>0</v>
      </c>
      <c r="AW23" s="401">
        <f>'Feuil-saisie'!DP409</f>
        <v>0</v>
      </c>
      <c r="AX23" s="395"/>
      <c r="AY23" s="395">
        <f t="shared" si="27"/>
        <v>322419</v>
      </c>
      <c r="AZ23" s="395">
        <f t="shared" si="28"/>
        <v>280</v>
      </c>
      <c r="BB23" s="397" t="s">
        <v>4</v>
      </c>
      <c r="BC23" s="398">
        <v>308972</v>
      </c>
      <c r="BD23" s="399">
        <v>3035</v>
      </c>
      <c r="BE23" s="400">
        <v>312007</v>
      </c>
      <c r="BF23" s="401">
        <v>273</v>
      </c>
    </row>
    <row r="24" spans="1:62">
      <c r="A24" s="397" t="s">
        <v>3</v>
      </c>
      <c r="B24" s="398">
        <f>'Feuil-saisie'!G410</f>
        <v>193500</v>
      </c>
      <c r="C24" s="399">
        <f>'Feuil-saisie'!H410</f>
        <v>2913</v>
      </c>
      <c r="D24" s="400">
        <f t="shared" si="16"/>
        <v>196413</v>
      </c>
      <c r="E24" s="401">
        <f>'Feuil-saisie'!J410</f>
        <v>180</v>
      </c>
      <c r="F24" s="398">
        <f>'Feuil-saisie'!Q410</f>
        <v>194153</v>
      </c>
      <c r="G24" s="399">
        <f>'Feuil-saisie'!R410</f>
        <v>2921</v>
      </c>
      <c r="H24" s="400">
        <f t="shared" si="17"/>
        <v>197074</v>
      </c>
      <c r="I24" s="401">
        <f>'Feuil-saisie'!T410</f>
        <v>180</v>
      </c>
      <c r="J24" s="398">
        <f>'Feuil-saisie'!AA410</f>
        <v>194498</v>
      </c>
      <c r="K24" s="399">
        <f>'Feuil-saisie'!AB410</f>
        <v>2943</v>
      </c>
      <c r="L24" s="400">
        <f t="shared" si="18"/>
        <v>197441</v>
      </c>
      <c r="M24" s="401">
        <f>'Feuil-saisie'!AD410</f>
        <v>180</v>
      </c>
      <c r="N24" s="398">
        <f>'Feuil-saisie'!AK410</f>
        <v>194775</v>
      </c>
      <c r="O24" s="399">
        <f>'Feuil-saisie'!AL410</f>
        <v>2945</v>
      </c>
      <c r="P24" s="400">
        <f t="shared" si="19"/>
        <v>197720</v>
      </c>
      <c r="Q24" s="401">
        <f>'Feuil-saisie'!AN410</f>
        <v>180</v>
      </c>
      <c r="R24" s="398">
        <f>'Feuil-saisie'!AU410</f>
        <v>195110</v>
      </c>
      <c r="S24" s="399">
        <f>'Feuil-saisie'!AV410</f>
        <v>2954</v>
      </c>
      <c r="T24" s="400">
        <f t="shared" si="20"/>
        <v>198064</v>
      </c>
      <c r="U24" s="401">
        <f>'Feuil-saisie'!AX410</f>
        <v>182</v>
      </c>
      <c r="V24" s="398">
        <f>'Feuil-saisie'!BE410</f>
        <v>195478</v>
      </c>
      <c r="W24" s="399">
        <f>'Feuil-saisie'!BF410</f>
        <v>2956</v>
      </c>
      <c r="X24" s="400">
        <f t="shared" si="21"/>
        <v>198434</v>
      </c>
      <c r="Y24" s="401">
        <f>'Feuil-saisie'!BH410</f>
        <v>182</v>
      </c>
      <c r="Z24" s="398">
        <f>'Feuil-saisie'!BO410</f>
        <v>195863</v>
      </c>
      <c r="AA24" s="399">
        <f>'Feuil-saisie'!BP410</f>
        <v>2962</v>
      </c>
      <c r="AB24" s="400">
        <f t="shared" si="22"/>
        <v>198825</v>
      </c>
      <c r="AC24" s="401">
        <f>'Feuil-saisie'!BR410</f>
        <v>182</v>
      </c>
      <c r="AD24" s="398">
        <f>'Feuil-saisie'!BY410</f>
        <v>196325</v>
      </c>
      <c r="AE24" s="399">
        <f>'Feuil-saisie'!BZ410</f>
        <v>2962</v>
      </c>
      <c r="AF24" s="400">
        <f t="shared" si="23"/>
        <v>199287</v>
      </c>
      <c r="AG24" s="401">
        <f>'Feuil-saisie'!CB410</f>
        <v>182</v>
      </c>
      <c r="AH24" s="398">
        <f>'Feuil-saisie'!CI410</f>
        <v>0</v>
      </c>
      <c r="AI24" s="399">
        <f>'Feuil-saisie'!CJ410</f>
        <v>0</v>
      </c>
      <c r="AJ24" s="400">
        <f t="shared" si="24"/>
        <v>0</v>
      </c>
      <c r="AK24" s="401">
        <f>'Feuil-saisie'!CL410</f>
        <v>0</v>
      </c>
      <c r="AL24" s="398">
        <f>'Feuil-saisie'!CS410</f>
        <v>0</v>
      </c>
      <c r="AM24" s="399">
        <f>'Feuil-saisie'!CT410</f>
        <v>0</v>
      </c>
      <c r="AN24" s="400">
        <f t="shared" si="25"/>
        <v>0</v>
      </c>
      <c r="AO24" s="399">
        <f>'Feuil-saisie'!CV410</f>
        <v>0</v>
      </c>
      <c r="AP24" s="398">
        <f>'Feuil-saisie'!DC410</f>
        <v>0</v>
      </c>
      <c r="AQ24" s="399">
        <f>'Feuil-saisie'!DD410</f>
        <v>0</v>
      </c>
      <c r="AR24" s="1697">
        <f t="shared" si="15"/>
        <v>0</v>
      </c>
      <c r="AS24" s="401">
        <f>'Feuil-saisie'!DF410</f>
        <v>0</v>
      </c>
      <c r="AT24" s="398">
        <f>'Feuil-saisie'!DM410</f>
        <v>0</v>
      </c>
      <c r="AU24" s="399">
        <f>'Feuil-saisie'!DN410</f>
        <v>0</v>
      </c>
      <c r="AV24" s="400">
        <f t="shared" si="26"/>
        <v>0</v>
      </c>
      <c r="AW24" s="401">
        <f>'Feuil-saisie'!DP410</f>
        <v>0</v>
      </c>
      <c r="AX24" s="395"/>
      <c r="AY24" s="395">
        <f t="shared" si="27"/>
        <v>199287</v>
      </c>
      <c r="AZ24" s="395">
        <f t="shared" si="28"/>
        <v>182</v>
      </c>
      <c r="BB24" s="397" t="s">
        <v>3</v>
      </c>
      <c r="BC24" s="398">
        <v>192904</v>
      </c>
      <c r="BD24" s="399">
        <v>2903</v>
      </c>
      <c r="BE24" s="400">
        <v>195807</v>
      </c>
      <c r="BF24" s="401">
        <v>180</v>
      </c>
    </row>
    <row r="25" spans="1:62">
      <c r="A25" s="397" t="s">
        <v>397</v>
      </c>
      <c r="B25" s="398">
        <f>'Feuil-saisie'!G411</f>
        <v>124476</v>
      </c>
      <c r="C25" s="399">
        <f>'Feuil-saisie'!H411</f>
        <v>1081</v>
      </c>
      <c r="D25" s="400">
        <f t="shared" si="16"/>
        <v>125557</v>
      </c>
      <c r="E25" s="401">
        <f>'Feuil-saisie'!J411</f>
        <v>126</v>
      </c>
      <c r="F25" s="398">
        <f>'Feuil-saisie'!Q411</f>
        <v>125065</v>
      </c>
      <c r="G25" s="399">
        <f>'Feuil-saisie'!R411</f>
        <v>1086</v>
      </c>
      <c r="H25" s="400">
        <f t="shared" si="17"/>
        <v>126151</v>
      </c>
      <c r="I25" s="401">
        <f>'Feuil-saisie'!T411</f>
        <v>126</v>
      </c>
      <c r="J25" s="398">
        <f>'Feuil-saisie'!AA411</f>
        <v>126353</v>
      </c>
      <c r="K25" s="399">
        <f>'Feuil-saisie'!AB411</f>
        <v>1088</v>
      </c>
      <c r="L25" s="400">
        <f t="shared" si="18"/>
        <v>127441</v>
      </c>
      <c r="M25" s="401">
        <f>'Feuil-saisie'!AD411</f>
        <v>127</v>
      </c>
      <c r="N25" s="398">
        <f>'Feuil-saisie'!AK411</f>
        <v>127109</v>
      </c>
      <c r="O25" s="399">
        <f>'Feuil-saisie'!AL411</f>
        <v>1089</v>
      </c>
      <c r="P25" s="400">
        <f t="shared" si="19"/>
        <v>128198</v>
      </c>
      <c r="Q25" s="401">
        <f>'Feuil-saisie'!AN411</f>
        <v>127</v>
      </c>
      <c r="R25" s="398">
        <f>'Feuil-saisie'!AU411</f>
        <v>127788</v>
      </c>
      <c r="S25" s="399">
        <f>'Feuil-saisie'!AV411</f>
        <v>1095</v>
      </c>
      <c r="T25" s="400">
        <f t="shared" si="20"/>
        <v>128883</v>
      </c>
      <c r="U25" s="401">
        <f>'Feuil-saisie'!AX411</f>
        <v>129</v>
      </c>
      <c r="V25" s="398">
        <f>'Feuil-saisie'!BE411</f>
        <v>128222</v>
      </c>
      <c r="W25" s="399">
        <f>'Feuil-saisie'!BF411</f>
        <v>1097</v>
      </c>
      <c r="X25" s="400">
        <f t="shared" si="21"/>
        <v>129319</v>
      </c>
      <c r="Y25" s="401">
        <f>'Feuil-saisie'!BH411</f>
        <v>129</v>
      </c>
      <c r="Z25" s="398">
        <f>'Feuil-saisie'!BO411</f>
        <v>128844</v>
      </c>
      <c r="AA25" s="399">
        <f>'Feuil-saisie'!BP411</f>
        <v>1099</v>
      </c>
      <c r="AB25" s="400">
        <f t="shared" si="22"/>
        <v>129943</v>
      </c>
      <c r="AC25" s="401">
        <f>'Feuil-saisie'!BR411</f>
        <v>130</v>
      </c>
      <c r="AD25" s="398">
        <f>'Feuil-saisie'!BY411</f>
        <v>129373</v>
      </c>
      <c r="AE25" s="399">
        <f>'Feuil-saisie'!BZ411</f>
        <v>1100</v>
      </c>
      <c r="AF25" s="400">
        <f t="shared" si="23"/>
        <v>130473</v>
      </c>
      <c r="AG25" s="401">
        <f>'Feuil-saisie'!CB411</f>
        <v>130</v>
      </c>
      <c r="AH25" s="398">
        <f>'Feuil-saisie'!CI411</f>
        <v>0</v>
      </c>
      <c r="AI25" s="399">
        <f>'Feuil-saisie'!CJ411</f>
        <v>0</v>
      </c>
      <c r="AJ25" s="400">
        <f t="shared" si="24"/>
        <v>0</v>
      </c>
      <c r="AK25" s="401">
        <f>'Feuil-saisie'!CL411</f>
        <v>0</v>
      </c>
      <c r="AL25" s="398">
        <f>'Feuil-saisie'!CS411</f>
        <v>0</v>
      </c>
      <c r="AM25" s="399">
        <f>'Feuil-saisie'!CT411</f>
        <v>0</v>
      </c>
      <c r="AN25" s="400">
        <f t="shared" si="25"/>
        <v>0</v>
      </c>
      <c r="AO25" s="399">
        <f>'Feuil-saisie'!CV411</f>
        <v>0</v>
      </c>
      <c r="AP25" s="398">
        <f>'Feuil-saisie'!DC411</f>
        <v>0</v>
      </c>
      <c r="AQ25" s="399">
        <f>'Feuil-saisie'!DD411</f>
        <v>0</v>
      </c>
      <c r="AR25" s="1697">
        <f t="shared" si="15"/>
        <v>0</v>
      </c>
      <c r="AS25" s="401">
        <f>'Feuil-saisie'!DF411</f>
        <v>0</v>
      </c>
      <c r="AT25" s="398">
        <f>'Feuil-saisie'!DM411</f>
        <v>0</v>
      </c>
      <c r="AU25" s="399">
        <f>'Feuil-saisie'!DN411</f>
        <v>0</v>
      </c>
      <c r="AV25" s="400">
        <f t="shared" si="26"/>
        <v>0</v>
      </c>
      <c r="AW25" s="401">
        <f>'Feuil-saisie'!DP411</f>
        <v>0</v>
      </c>
      <c r="AX25" s="395"/>
      <c r="AY25" s="395">
        <f t="shared" si="27"/>
        <v>130473</v>
      </c>
      <c r="AZ25" s="395">
        <f t="shared" si="28"/>
        <v>130</v>
      </c>
      <c r="BB25" s="397" t="s">
        <v>397</v>
      </c>
      <c r="BC25" s="398">
        <v>123602</v>
      </c>
      <c r="BD25" s="399">
        <v>1074</v>
      </c>
      <c r="BE25" s="400">
        <v>124676</v>
      </c>
      <c r="BF25" s="401">
        <v>126</v>
      </c>
    </row>
    <row r="26" spans="1:62" s="412" customFormat="1">
      <c r="A26" s="397" t="s">
        <v>399</v>
      </c>
      <c r="B26" s="398">
        <f>'Feuil-saisie'!G412</f>
        <v>178470</v>
      </c>
      <c r="C26" s="399">
        <f>'Feuil-saisie'!H412</f>
        <v>1523</v>
      </c>
      <c r="D26" s="400">
        <f t="shared" si="16"/>
        <v>179993</v>
      </c>
      <c r="E26" s="401">
        <f>'Feuil-saisie'!J412</f>
        <v>260</v>
      </c>
      <c r="F26" s="398">
        <f>'Feuil-saisie'!Q412</f>
        <v>179986</v>
      </c>
      <c r="G26" s="399">
        <f>'Feuil-saisie'!R412</f>
        <v>1532</v>
      </c>
      <c r="H26" s="400">
        <f t="shared" si="17"/>
        <v>181518</v>
      </c>
      <c r="I26" s="401">
        <f>'Feuil-saisie'!T412</f>
        <v>260</v>
      </c>
      <c r="J26" s="398">
        <f>'Feuil-saisie'!AA412</f>
        <v>181317</v>
      </c>
      <c r="K26" s="399">
        <f>'Feuil-saisie'!AB412</f>
        <v>1538</v>
      </c>
      <c r="L26" s="400">
        <f t="shared" si="18"/>
        <v>182855</v>
      </c>
      <c r="M26" s="401">
        <f>'Feuil-saisie'!AD412</f>
        <v>261</v>
      </c>
      <c r="N26" s="398">
        <f>'Feuil-saisie'!AK412</f>
        <v>182522</v>
      </c>
      <c r="O26" s="399">
        <f>'Feuil-saisie'!AL412</f>
        <v>1543</v>
      </c>
      <c r="P26" s="400">
        <f t="shared" si="19"/>
        <v>184065</v>
      </c>
      <c r="Q26" s="401">
        <f>'Feuil-saisie'!AN412</f>
        <v>262</v>
      </c>
      <c r="R26" s="398">
        <f>'Feuil-saisie'!AU412</f>
        <v>183610</v>
      </c>
      <c r="S26" s="399">
        <f>'Feuil-saisie'!AV412</f>
        <v>1551</v>
      </c>
      <c r="T26" s="400">
        <f t="shared" si="20"/>
        <v>185161</v>
      </c>
      <c r="U26" s="401">
        <f>'Feuil-saisie'!AX412</f>
        <v>264</v>
      </c>
      <c r="V26" s="398">
        <f>'Feuil-saisie'!BE412</f>
        <v>184962</v>
      </c>
      <c r="W26" s="399">
        <f>'Feuil-saisie'!BF412</f>
        <v>1552</v>
      </c>
      <c r="X26" s="400">
        <f t="shared" si="21"/>
        <v>186514</v>
      </c>
      <c r="Y26" s="401">
        <f>'Feuil-saisie'!BH412</f>
        <v>265</v>
      </c>
      <c r="Z26" s="398">
        <f>'Feuil-saisie'!BO412</f>
        <v>186218</v>
      </c>
      <c r="AA26" s="399">
        <f>'Feuil-saisie'!BP412</f>
        <v>1553</v>
      </c>
      <c r="AB26" s="400">
        <f t="shared" si="22"/>
        <v>187771</v>
      </c>
      <c r="AC26" s="401">
        <f>'Feuil-saisie'!BR412</f>
        <v>267</v>
      </c>
      <c r="AD26" s="398">
        <f>'Feuil-saisie'!BY412</f>
        <v>187132</v>
      </c>
      <c r="AE26" s="399">
        <f>'Feuil-saisie'!BZ412</f>
        <v>1554</v>
      </c>
      <c r="AF26" s="400">
        <f t="shared" si="23"/>
        <v>188686</v>
      </c>
      <c r="AG26" s="401">
        <f>'Feuil-saisie'!CB412</f>
        <v>269</v>
      </c>
      <c r="AH26" s="398">
        <f>'Feuil-saisie'!CI412</f>
        <v>0</v>
      </c>
      <c r="AI26" s="399">
        <f>'Feuil-saisie'!CJ412</f>
        <v>0</v>
      </c>
      <c r="AJ26" s="400">
        <f t="shared" si="24"/>
        <v>0</v>
      </c>
      <c r="AK26" s="401">
        <f>'Feuil-saisie'!CL412</f>
        <v>0</v>
      </c>
      <c r="AL26" s="398">
        <f>'Feuil-saisie'!CS412</f>
        <v>0</v>
      </c>
      <c r="AM26" s="399">
        <f>'Feuil-saisie'!CT412</f>
        <v>0</v>
      </c>
      <c r="AN26" s="400">
        <f t="shared" si="25"/>
        <v>0</v>
      </c>
      <c r="AO26" s="399">
        <f>'Feuil-saisie'!CV412</f>
        <v>0</v>
      </c>
      <c r="AP26" s="398">
        <f>'Feuil-saisie'!DC412</f>
        <v>0</v>
      </c>
      <c r="AQ26" s="399">
        <f>'Feuil-saisie'!DD412</f>
        <v>0</v>
      </c>
      <c r="AR26" s="1697">
        <f t="shared" si="15"/>
        <v>0</v>
      </c>
      <c r="AS26" s="401">
        <f>'Feuil-saisie'!DF412</f>
        <v>0</v>
      </c>
      <c r="AT26" s="398">
        <f>'Feuil-saisie'!DM412</f>
        <v>0</v>
      </c>
      <c r="AU26" s="399">
        <f>'Feuil-saisie'!DN412</f>
        <v>0</v>
      </c>
      <c r="AV26" s="400">
        <f t="shared" si="26"/>
        <v>0</v>
      </c>
      <c r="AW26" s="401">
        <f>'Feuil-saisie'!DP412</f>
        <v>0</v>
      </c>
      <c r="AX26" s="2042"/>
      <c r="AY26" s="395">
        <f t="shared" si="27"/>
        <v>188686</v>
      </c>
      <c r="AZ26" s="395">
        <f t="shared" si="28"/>
        <v>269</v>
      </c>
      <c r="BA26" s="117"/>
      <c r="BB26" s="397" t="s">
        <v>399</v>
      </c>
      <c r="BC26" s="398">
        <v>176848</v>
      </c>
      <c r="BD26" s="399">
        <v>1510</v>
      </c>
      <c r="BE26" s="400">
        <v>178358</v>
      </c>
      <c r="BF26" s="401">
        <v>260</v>
      </c>
      <c r="BG26" s="117"/>
      <c r="BH26" s="117"/>
      <c r="BI26" s="117"/>
      <c r="BJ26" s="117"/>
    </row>
    <row r="27" spans="1:62">
      <c r="A27" s="397" t="s">
        <v>883</v>
      </c>
      <c r="B27" s="398">
        <f>'Feuil-saisie'!G413</f>
        <v>124119</v>
      </c>
      <c r="C27" s="399">
        <f>'Feuil-saisie'!H413</f>
        <v>1403</v>
      </c>
      <c r="D27" s="400">
        <f t="shared" si="16"/>
        <v>125522</v>
      </c>
      <c r="E27" s="401">
        <f>'Feuil-saisie'!J413</f>
        <v>144</v>
      </c>
      <c r="F27" s="398">
        <f>'Feuil-saisie'!Q413</f>
        <v>124770</v>
      </c>
      <c r="G27" s="399">
        <f>'Feuil-saisie'!R413</f>
        <v>1407</v>
      </c>
      <c r="H27" s="400">
        <f t="shared" si="17"/>
        <v>126177</v>
      </c>
      <c r="I27" s="401">
        <f>'Feuil-saisie'!T413</f>
        <v>144</v>
      </c>
      <c r="J27" s="398">
        <f>'Feuil-saisie'!AA413</f>
        <v>125688</v>
      </c>
      <c r="K27" s="399">
        <f>'Feuil-saisie'!AB413</f>
        <v>1411</v>
      </c>
      <c r="L27" s="400">
        <f t="shared" si="18"/>
        <v>127099</v>
      </c>
      <c r="M27" s="401">
        <f>'Feuil-saisie'!AD413</f>
        <v>145</v>
      </c>
      <c r="N27" s="398">
        <f>'Feuil-saisie'!AK413</f>
        <v>126015</v>
      </c>
      <c r="O27" s="399">
        <f>'Feuil-saisie'!AL413</f>
        <v>1416</v>
      </c>
      <c r="P27" s="400">
        <f t="shared" si="19"/>
        <v>127431</v>
      </c>
      <c r="Q27" s="401">
        <f>'Feuil-saisie'!AN413</f>
        <v>146</v>
      </c>
      <c r="R27" s="398">
        <f>'Feuil-saisie'!AU413</f>
        <v>126630</v>
      </c>
      <c r="S27" s="399">
        <f>'Feuil-saisie'!AV413</f>
        <v>1418</v>
      </c>
      <c r="T27" s="400">
        <f t="shared" si="20"/>
        <v>128048</v>
      </c>
      <c r="U27" s="401">
        <f>'Feuil-saisie'!AX413</f>
        <v>147</v>
      </c>
      <c r="V27" s="398">
        <f>'Feuil-saisie'!BE413</f>
        <v>127279</v>
      </c>
      <c r="W27" s="399">
        <f>'Feuil-saisie'!BF413</f>
        <v>1417</v>
      </c>
      <c r="X27" s="400">
        <f t="shared" si="21"/>
        <v>128696</v>
      </c>
      <c r="Y27" s="401">
        <f>'Feuil-saisie'!BH413</f>
        <v>148</v>
      </c>
      <c r="Z27" s="398">
        <f>'Feuil-saisie'!BO413</f>
        <v>127729</v>
      </c>
      <c r="AA27" s="399">
        <f>'Feuil-saisie'!BP413</f>
        <v>1422</v>
      </c>
      <c r="AB27" s="400">
        <f t="shared" si="22"/>
        <v>129151</v>
      </c>
      <c r="AC27" s="401">
        <f>'Feuil-saisie'!BR413</f>
        <v>148</v>
      </c>
      <c r="AD27" s="398">
        <f>'Feuil-saisie'!BY413</f>
        <v>128085</v>
      </c>
      <c r="AE27" s="399">
        <f>'Feuil-saisie'!BZ413</f>
        <v>1422</v>
      </c>
      <c r="AF27" s="400">
        <f t="shared" si="23"/>
        <v>129507</v>
      </c>
      <c r="AG27" s="401">
        <f>'Feuil-saisie'!CB413</f>
        <v>148</v>
      </c>
      <c r="AH27" s="398">
        <f>'Feuil-saisie'!CI413</f>
        <v>0</v>
      </c>
      <c r="AI27" s="399">
        <f>'Feuil-saisie'!CJ413</f>
        <v>0</v>
      </c>
      <c r="AJ27" s="400">
        <f t="shared" si="24"/>
        <v>0</v>
      </c>
      <c r="AK27" s="401">
        <f>'Feuil-saisie'!CL413</f>
        <v>0</v>
      </c>
      <c r="AL27" s="398">
        <f>'Feuil-saisie'!CS413</f>
        <v>0</v>
      </c>
      <c r="AM27" s="399">
        <f>'Feuil-saisie'!CT413</f>
        <v>0</v>
      </c>
      <c r="AN27" s="400">
        <f t="shared" si="25"/>
        <v>0</v>
      </c>
      <c r="AO27" s="399">
        <f>'Feuil-saisie'!CV413</f>
        <v>0</v>
      </c>
      <c r="AP27" s="398">
        <f>'Feuil-saisie'!DC413</f>
        <v>0</v>
      </c>
      <c r="AQ27" s="399">
        <f>'Feuil-saisie'!DD413</f>
        <v>0</v>
      </c>
      <c r="AR27" s="1697">
        <f t="shared" si="15"/>
        <v>0</v>
      </c>
      <c r="AS27" s="401">
        <f>'Feuil-saisie'!DF413</f>
        <v>0</v>
      </c>
      <c r="AT27" s="398">
        <f>'Feuil-saisie'!DM413</f>
        <v>0</v>
      </c>
      <c r="AU27" s="399">
        <f>'Feuil-saisie'!DN413</f>
        <v>0</v>
      </c>
      <c r="AV27" s="400">
        <f t="shared" si="26"/>
        <v>0</v>
      </c>
      <c r="AW27" s="401">
        <f>'Feuil-saisie'!DP413</f>
        <v>0</v>
      </c>
      <c r="AX27" s="395"/>
      <c r="AY27" s="395">
        <f t="shared" si="27"/>
        <v>129507</v>
      </c>
      <c r="AZ27" s="395">
        <f t="shared" si="28"/>
        <v>148</v>
      </c>
      <c r="BB27" s="397" t="s">
        <v>883</v>
      </c>
      <c r="BC27" s="398">
        <v>123557</v>
      </c>
      <c r="BD27" s="399">
        <v>1397</v>
      </c>
      <c r="BE27" s="400">
        <v>124954</v>
      </c>
      <c r="BF27" s="401">
        <v>144</v>
      </c>
    </row>
    <row r="28" spans="1:62">
      <c r="A28" s="397" t="s">
        <v>884</v>
      </c>
      <c r="B28" s="398">
        <f>'Feuil-saisie'!G414</f>
        <v>157253</v>
      </c>
      <c r="C28" s="399">
        <f>'Feuil-saisie'!H414</f>
        <v>1500</v>
      </c>
      <c r="D28" s="400">
        <f t="shared" si="16"/>
        <v>158753</v>
      </c>
      <c r="E28" s="401">
        <f>'Feuil-saisie'!J414</f>
        <v>166</v>
      </c>
      <c r="F28" s="398">
        <f>'Feuil-saisie'!Q414</f>
        <v>158791</v>
      </c>
      <c r="G28" s="399">
        <f>'Feuil-saisie'!R414</f>
        <v>1518</v>
      </c>
      <c r="H28" s="400">
        <f t="shared" si="17"/>
        <v>160309</v>
      </c>
      <c r="I28" s="401">
        <f>'Feuil-saisie'!T414</f>
        <v>166</v>
      </c>
      <c r="J28" s="398">
        <f>'Feuil-saisie'!AA414</f>
        <v>160234</v>
      </c>
      <c r="K28" s="399">
        <f>'Feuil-saisie'!AB414</f>
        <v>1528</v>
      </c>
      <c r="L28" s="400">
        <f t="shared" si="18"/>
        <v>161762</v>
      </c>
      <c r="M28" s="401">
        <f>'Feuil-saisie'!AD414</f>
        <v>167</v>
      </c>
      <c r="N28" s="398">
        <f>'Feuil-saisie'!AK414</f>
        <v>160999</v>
      </c>
      <c r="O28" s="399">
        <f>'Feuil-saisie'!AL414</f>
        <v>1555</v>
      </c>
      <c r="P28" s="400">
        <f t="shared" si="19"/>
        <v>162554</v>
      </c>
      <c r="Q28" s="401">
        <f>'Feuil-saisie'!AN414</f>
        <v>168</v>
      </c>
      <c r="R28" s="398">
        <f>'Feuil-saisie'!AU414</f>
        <v>161861</v>
      </c>
      <c r="S28" s="399">
        <f>'Feuil-saisie'!AV414</f>
        <v>1564</v>
      </c>
      <c r="T28" s="400">
        <f t="shared" si="20"/>
        <v>163425</v>
      </c>
      <c r="U28" s="401">
        <f>'Feuil-saisie'!AX414</f>
        <v>168</v>
      </c>
      <c r="V28" s="398">
        <f>'Feuil-saisie'!BE414</f>
        <v>162324</v>
      </c>
      <c r="W28" s="399">
        <f>'Feuil-saisie'!BF414</f>
        <v>1565</v>
      </c>
      <c r="X28" s="400">
        <f t="shared" si="21"/>
        <v>163889</v>
      </c>
      <c r="Y28" s="401">
        <f>'Feuil-saisie'!BH414</f>
        <v>168</v>
      </c>
      <c r="Z28" s="398">
        <f>'Feuil-saisie'!BO414</f>
        <v>162902</v>
      </c>
      <c r="AA28" s="399">
        <f>'Feuil-saisie'!BP414</f>
        <v>1570</v>
      </c>
      <c r="AB28" s="400">
        <f t="shared" si="22"/>
        <v>164472</v>
      </c>
      <c r="AC28" s="401">
        <f>'Feuil-saisie'!BR414</f>
        <v>169</v>
      </c>
      <c r="AD28" s="398">
        <f>'Feuil-saisie'!BY414</f>
        <v>164113</v>
      </c>
      <c r="AE28" s="399">
        <f>'Feuil-saisie'!BZ414</f>
        <v>1574</v>
      </c>
      <c r="AF28" s="400">
        <f t="shared" si="23"/>
        <v>165687</v>
      </c>
      <c r="AG28" s="401">
        <f>'Feuil-saisie'!CB414</f>
        <v>171</v>
      </c>
      <c r="AH28" s="398">
        <f>'Feuil-saisie'!CI414</f>
        <v>0</v>
      </c>
      <c r="AI28" s="399">
        <f>'Feuil-saisie'!CJ414</f>
        <v>0</v>
      </c>
      <c r="AJ28" s="400">
        <f t="shared" si="24"/>
        <v>0</v>
      </c>
      <c r="AK28" s="401">
        <f>'Feuil-saisie'!CL414</f>
        <v>0</v>
      </c>
      <c r="AL28" s="398">
        <f>'Feuil-saisie'!CS414</f>
        <v>0</v>
      </c>
      <c r="AM28" s="399">
        <f>'Feuil-saisie'!CT414</f>
        <v>0</v>
      </c>
      <c r="AN28" s="400">
        <f t="shared" si="25"/>
        <v>0</v>
      </c>
      <c r="AO28" s="399">
        <f>'Feuil-saisie'!CV414</f>
        <v>0</v>
      </c>
      <c r="AP28" s="398">
        <f>'Feuil-saisie'!DC414</f>
        <v>0</v>
      </c>
      <c r="AQ28" s="399">
        <f>'Feuil-saisie'!DD414</f>
        <v>0</v>
      </c>
      <c r="AR28" s="1697">
        <f t="shared" si="15"/>
        <v>0</v>
      </c>
      <c r="AS28" s="401">
        <f>'Feuil-saisie'!DF414</f>
        <v>0</v>
      </c>
      <c r="AT28" s="398">
        <f>'Feuil-saisie'!DM414</f>
        <v>0</v>
      </c>
      <c r="AU28" s="399">
        <f>'Feuil-saisie'!DN414</f>
        <v>0</v>
      </c>
      <c r="AV28" s="400">
        <f t="shared" si="26"/>
        <v>0</v>
      </c>
      <c r="AW28" s="401">
        <f>'Feuil-saisie'!DP414</f>
        <v>0</v>
      </c>
      <c r="AX28" s="395"/>
      <c r="AY28" s="395">
        <f t="shared" si="27"/>
        <v>165687</v>
      </c>
      <c r="AZ28" s="395">
        <f t="shared" si="28"/>
        <v>171</v>
      </c>
      <c r="BB28" s="397" t="s">
        <v>884</v>
      </c>
      <c r="BC28" s="398">
        <v>155806</v>
      </c>
      <c r="BD28" s="399">
        <v>1475</v>
      </c>
      <c r="BE28" s="400">
        <v>157281</v>
      </c>
      <c r="BF28" s="401">
        <v>166</v>
      </c>
    </row>
    <row r="29" spans="1:62" ht="14.4" thickBot="1">
      <c r="A29" s="397" t="s">
        <v>885</v>
      </c>
      <c r="B29" s="398">
        <f>'Feuil-saisie'!G415</f>
        <v>65330</v>
      </c>
      <c r="C29" s="399">
        <f>'Feuil-saisie'!H415</f>
        <v>1300</v>
      </c>
      <c r="D29" s="400">
        <f t="shared" si="16"/>
        <v>66630</v>
      </c>
      <c r="E29" s="401">
        <f>'Feuil-saisie'!J415</f>
        <v>34</v>
      </c>
      <c r="F29" s="398">
        <f>'Feuil-saisie'!Q415</f>
        <v>65877</v>
      </c>
      <c r="G29" s="399">
        <f>'Feuil-saisie'!R415</f>
        <v>1304</v>
      </c>
      <c r="H29" s="400">
        <f t="shared" si="17"/>
        <v>67181</v>
      </c>
      <c r="I29" s="401">
        <f>'Feuil-saisie'!T415</f>
        <v>34</v>
      </c>
      <c r="J29" s="398">
        <f>'Feuil-saisie'!AA415</f>
        <v>66694</v>
      </c>
      <c r="K29" s="399">
        <f>'Feuil-saisie'!AB415</f>
        <v>1307</v>
      </c>
      <c r="L29" s="400">
        <f t="shared" si="18"/>
        <v>68001</v>
      </c>
      <c r="M29" s="401">
        <f>'Feuil-saisie'!AD415</f>
        <v>34</v>
      </c>
      <c r="N29" s="398">
        <f>'Feuil-saisie'!AK415</f>
        <v>67573</v>
      </c>
      <c r="O29" s="399">
        <f>'Feuil-saisie'!AL415</f>
        <v>1310</v>
      </c>
      <c r="P29" s="400">
        <f t="shared" si="19"/>
        <v>68883</v>
      </c>
      <c r="Q29" s="401">
        <f>'Feuil-saisie'!AN415</f>
        <v>34</v>
      </c>
      <c r="R29" s="398">
        <f>'Feuil-saisie'!AU415</f>
        <v>68437</v>
      </c>
      <c r="S29" s="399">
        <f>'Feuil-saisie'!AV415</f>
        <v>1309</v>
      </c>
      <c r="T29" s="400">
        <f t="shared" si="20"/>
        <v>69746</v>
      </c>
      <c r="U29" s="401">
        <f>'Feuil-saisie'!AX415</f>
        <v>35</v>
      </c>
      <c r="V29" s="398">
        <f>'Feuil-saisie'!BE415</f>
        <v>68679</v>
      </c>
      <c r="W29" s="399">
        <f>'Feuil-saisie'!BF415</f>
        <v>1315</v>
      </c>
      <c r="X29" s="400">
        <f t="shared" si="21"/>
        <v>69994</v>
      </c>
      <c r="Y29" s="401">
        <f>'Feuil-saisie'!BH415</f>
        <v>35</v>
      </c>
      <c r="Z29" s="398">
        <f>'Feuil-saisie'!BO415</f>
        <v>68892</v>
      </c>
      <c r="AA29" s="399">
        <f>'Feuil-saisie'!BP415</f>
        <v>1315</v>
      </c>
      <c r="AB29" s="400">
        <f t="shared" si="22"/>
        <v>70207</v>
      </c>
      <c r="AC29" s="401">
        <f>'Feuil-saisie'!BR415</f>
        <v>35</v>
      </c>
      <c r="AD29" s="398">
        <f>'Feuil-saisie'!BY415</f>
        <v>69066</v>
      </c>
      <c r="AE29" s="399">
        <f>'Feuil-saisie'!BZ415</f>
        <v>1317</v>
      </c>
      <c r="AF29" s="400">
        <f t="shared" si="23"/>
        <v>70383</v>
      </c>
      <c r="AG29" s="401">
        <f>'Feuil-saisie'!CB415</f>
        <v>35</v>
      </c>
      <c r="AH29" s="398">
        <f>'Feuil-saisie'!CI415</f>
        <v>0</v>
      </c>
      <c r="AI29" s="399">
        <f>'Feuil-saisie'!CJ415</f>
        <v>0</v>
      </c>
      <c r="AJ29" s="400">
        <f t="shared" si="24"/>
        <v>0</v>
      </c>
      <c r="AK29" s="401">
        <f>'Feuil-saisie'!CL415</f>
        <v>0</v>
      </c>
      <c r="AL29" s="398">
        <f>'Feuil-saisie'!CS415</f>
        <v>0</v>
      </c>
      <c r="AM29" s="399">
        <f>'Feuil-saisie'!CT415</f>
        <v>0</v>
      </c>
      <c r="AN29" s="400">
        <f t="shared" si="25"/>
        <v>0</v>
      </c>
      <c r="AO29" s="399">
        <f>'Feuil-saisie'!CV415</f>
        <v>0</v>
      </c>
      <c r="AP29" s="398">
        <f>'Feuil-saisie'!DC415</f>
        <v>0</v>
      </c>
      <c r="AQ29" s="399">
        <f>'Feuil-saisie'!DD415</f>
        <v>0</v>
      </c>
      <c r="AR29" s="1697">
        <f t="shared" si="15"/>
        <v>0</v>
      </c>
      <c r="AS29" s="401">
        <f>'Feuil-saisie'!DF415</f>
        <v>0</v>
      </c>
      <c r="AT29" s="398">
        <f>'Feuil-saisie'!DM415</f>
        <v>0</v>
      </c>
      <c r="AU29" s="399">
        <f>'Feuil-saisie'!DN415</f>
        <v>0</v>
      </c>
      <c r="AV29" s="400">
        <f t="shared" si="26"/>
        <v>0</v>
      </c>
      <c r="AW29" s="401">
        <f>'Feuil-saisie'!DP415</f>
        <v>0</v>
      </c>
      <c r="AX29" s="395"/>
      <c r="AY29" s="395">
        <f t="shared" si="27"/>
        <v>70383</v>
      </c>
      <c r="AZ29" s="395">
        <f t="shared" si="28"/>
        <v>35</v>
      </c>
      <c r="BB29" s="397" t="s">
        <v>885</v>
      </c>
      <c r="BC29" s="398">
        <v>64932</v>
      </c>
      <c r="BD29" s="399">
        <v>1290</v>
      </c>
      <c r="BE29" s="400">
        <v>66222</v>
      </c>
      <c r="BF29" s="401">
        <v>34</v>
      </c>
    </row>
    <row r="30" spans="1:62" ht="14.4" thickBot="1">
      <c r="A30" s="418" t="s">
        <v>16</v>
      </c>
      <c r="B30" s="417">
        <f t="shared" ref="B30:AW30" si="29">SUM(B20:B29)</f>
        <v>1713582</v>
      </c>
      <c r="C30" s="419">
        <f t="shared" si="29"/>
        <v>19521</v>
      </c>
      <c r="D30" s="419">
        <f t="shared" si="29"/>
        <v>1733103</v>
      </c>
      <c r="E30" s="420">
        <f t="shared" si="29"/>
        <v>1976</v>
      </c>
      <c r="F30" s="417">
        <f t="shared" si="29"/>
        <v>1725366</v>
      </c>
      <c r="G30" s="419">
        <f t="shared" si="29"/>
        <v>19624</v>
      </c>
      <c r="H30" s="419">
        <f t="shared" si="29"/>
        <v>1744990</v>
      </c>
      <c r="I30" s="420">
        <f t="shared" si="29"/>
        <v>1979</v>
      </c>
      <c r="J30" s="417">
        <f t="shared" si="29"/>
        <v>1736288</v>
      </c>
      <c r="K30" s="419">
        <f t="shared" si="29"/>
        <v>19710</v>
      </c>
      <c r="L30" s="419">
        <f t="shared" si="29"/>
        <v>1755998</v>
      </c>
      <c r="M30" s="420">
        <f t="shared" si="29"/>
        <v>1989</v>
      </c>
      <c r="N30" s="417">
        <f t="shared" si="29"/>
        <v>1744048</v>
      </c>
      <c r="O30" s="419">
        <f t="shared" si="29"/>
        <v>19785</v>
      </c>
      <c r="P30" s="419">
        <f t="shared" si="29"/>
        <v>1763833</v>
      </c>
      <c r="Q30" s="420">
        <f t="shared" si="29"/>
        <v>1994</v>
      </c>
      <c r="R30" s="417">
        <f t="shared" si="29"/>
        <v>1752143</v>
      </c>
      <c r="S30" s="419">
        <f t="shared" si="29"/>
        <v>19848</v>
      </c>
      <c r="T30" s="419">
        <f t="shared" si="29"/>
        <v>1771991</v>
      </c>
      <c r="U30" s="420">
        <f t="shared" si="29"/>
        <v>2005</v>
      </c>
      <c r="V30" s="417">
        <f t="shared" si="29"/>
        <v>1758992</v>
      </c>
      <c r="W30" s="419">
        <f t="shared" si="29"/>
        <v>19886</v>
      </c>
      <c r="X30" s="419">
        <f t="shared" si="29"/>
        <v>1778878</v>
      </c>
      <c r="Y30" s="420">
        <f t="shared" si="29"/>
        <v>2008</v>
      </c>
      <c r="Z30" s="417">
        <f t="shared" si="29"/>
        <v>1765369</v>
      </c>
      <c r="AA30" s="419">
        <f t="shared" si="29"/>
        <v>19913</v>
      </c>
      <c r="AB30" s="419">
        <f t="shared" si="29"/>
        <v>1785282</v>
      </c>
      <c r="AC30" s="420">
        <f t="shared" si="29"/>
        <v>2017</v>
      </c>
      <c r="AD30" s="417">
        <f t="shared" si="29"/>
        <v>1772418</v>
      </c>
      <c r="AE30" s="419">
        <f t="shared" si="29"/>
        <v>19936</v>
      </c>
      <c r="AF30" s="419">
        <f t="shared" si="29"/>
        <v>1792354</v>
      </c>
      <c r="AG30" s="420">
        <f t="shared" si="29"/>
        <v>2021</v>
      </c>
      <c r="AH30" s="417">
        <f t="shared" si="29"/>
        <v>0</v>
      </c>
      <c r="AI30" s="419">
        <f t="shared" si="29"/>
        <v>0</v>
      </c>
      <c r="AJ30" s="419">
        <f t="shared" si="29"/>
        <v>0</v>
      </c>
      <c r="AK30" s="420">
        <f t="shared" si="29"/>
        <v>0</v>
      </c>
      <c r="AL30" s="417">
        <f t="shared" si="29"/>
        <v>0</v>
      </c>
      <c r="AM30" s="419">
        <f t="shared" si="29"/>
        <v>0</v>
      </c>
      <c r="AN30" s="419">
        <f t="shared" si="29"/>
        <v>0</v>
      </c>
      <c r="AO30" s="420">
        <f t="shared" si="29"/>
        <v>0</v>
      </c>
      <c r="AP30" s="417">
        <f t="shared" si="29"/>
        <v>0</v>
      </c>
      <c r="AQ30" s="419">
        <f t="shared" si="29"/>
        <v>0</v>
      </c>
      <c r="AR30" s="419">
        <f t="shared" si="29"/>
        <v>0</v>
      </c>
      <c r="AS30" s="420">
        <f t="shared" si="29"/>
        <v>0</v>
      </c>
      <c r="AT30" s="417">
        <f t="shared" si="29"/>
        <v>0</v>
      </c>
      <c r="AU30" s="419">
        <f t="shared" si="29"/>
        <v>0</v>
      </c>
      <c r="AV30" s="419">
        <f t="shared" si="29"/>
        <v>0</v>
      </c>
      <c r="AW30" s="420">
        <f t="shared" si="29"/>
        <v>0</v>
      </c>
      <c r="AY30" s="395">
        <f t="shared" si="27"/>
        <v>1792354</v>
      </c>
      <c r="AZ30" s="395">
        <f>AG30</f>
        <v>2021</v>
      </c>
      <c r="BC30" s="417">
        <f>SUM(BC20:BC29)</f>
        <v>1701068</v>
      </c>
      <c r="BD30" s="417">
        <f>SUM(BD20:BD29)</f>
        <v>19367</v>
      </c>
      <c r="BE30" s="417">
        <f>SUM(BE20:BE29)</f>
        <v>1720435</v>
      </c>
      <c r="BF30" s="417">
        <f>SUM(BF20:BF29)</f>
        <v>1979</v>
      </c>
    </row>
    <row r="31" spans="1:62" ht="15" customHeight="1">
      <c r="A31" s="424"/>
      <c r="B31" s="424"/>
      <c r="C31" s="424"/>
      <c r="D31" s="424"/>
      <c r="E31" s="424"/>
      <c r="F31" s="424"/>
      <c r="G31" s="424"/>
      <c r="H31" s="424"/>
      <c r="I31" s="424"/>
      <c r="J31" s="424"/>
      <c r="K31" s="424"/>
      <c r="L31" s="424"/>
      <c r="M31" s="424"/>
      <c r="N31" s="424"/>
      <c r="O31" s="424"/>
      <c r="P31" s="424"/>
      <c r="Q31" s="424"/>
      <c r="R31" s="424"/>
      <c r="S31" s="424"/>
      <c r="T31" s="424"/>
      <c r="U31" s="424"/>
      <c r="V31" s="424"/>
      <c r="W31" s="424"/>
      <c r="X31" s="424"/>
      <c r="Y31" s="424"/>
      <c r="Z31" s="425"/>
      <c r="AA31" s="424"/>
      <c r="AB31" s="1276">
        <f>AB30/élec!AB30*100</f>
        <v>63.11119815270709</v>
      </c>
      <c r="AC31" s="424"/>
      <c r="AD31" s="1056"/>
      <c r="AE31" s="424"/>
      <c r="AF31" s="424"/>
      <c r="AG31" s="424"/>
      <c r="AH31" s="424"/>
      <c r="AI31" s="424"/>
      <c r="AJ31" s="424"/>
      <c r="AK31" s="424"/>
      <c r="AL31" s="426"/>
      <c r="AM31" s="424"/>
      <c r="AN31" s="424"/>
      <c r="AO31" s="424"/>
      <c r="AP31" s="424"/>
      <c r="AQ31" s="424"/>
      <c r="AR31" s="424"/>
      <c r="AS31" s="424"/>
      <c r="AT31" s="424"/>
      <c r="AU31" s="424"/>
      <c r="AV31" s="424"/>
      <c r="AW31" s="424"/>
      <c r="AX31" s="1056"/>
      <c r="AY31" s="424">
        <f>AB31</f>
        <v>63.11119815270709</v>
      </c>
      <c r="AZ31" s="424"/>
      <c r="BA31" s="424"/>
    </row>
    <row r="32" spans="1:62">
      <c r="A32" s="424"/>
      <c r="B32" s="424"/>
      <c r="C32" s="424"/>
      <c r="D32" s="424"/>
      <c r="E32" s="424"/>
      <c r="F32" s="424"/>
      <c r="G32" s="424"/>
      <c r="H32" s="424"/>
      <c r="I32" s="424"/>
      <c r="J32" s="424"/>
      <c r="K32" s="424"/>
      <c r="L32" s="424"/>
      <c r="M32" s="424"/>
      <c r="N32" s="424"/>
      <c r="O32" s="424"/>
      <c r="P32" s="424"/>
      <c r="Q32" s="424"/>
      <c r="R32" s="424"/>
      <c r="S32" s="424"/>
      <c r="T32" s="424"/>
      <c r="U32" s="424"/>
      <c r="V32" s="424"/>
      <c r="W32" s="424"/>
      <c r="X32" s="424"/>
      <c r="Y32" s="424"/>
      <c r="Z32" s="424"/>
      <c r="AA32" s="424"/>
      <c r="AB32" s="424"/>
      <c r="AC32" s="424"/>
      <c r="AD32" s="1068"/>
      <c r="AE32" s="424"/>
      <c r="AF32" s="424"/>
      <c r="AG32" s="424"/>
      <c r="AH32" s="424"/>
      <c r="AI32" s="424"/>
      <c r="AJ32" s="424"/>
      <c r="AK32" s="424"/>
      <c r="AL32" s="424"/>
      <c r="AM32" s="424"/>
      <c r="AN32" s="424"/>
      <c r="AO32" s="424"/>
      <c r="AP32" s="424"/>
      <c r="AQ32" s="424"/>
      <c r="AR32" s="424"/>
      <c r="AS32" s="424"/>
      <c r="AT32" s="424"/>
      <c r="AU32" s="424"/>
      <c r="AV32" s="428"/>
      <c r="AW32" s="424"/>
      <c r="AX32" s="1056"/>
      <c r="AY32" s="424"/>
      <c r="AZ32" s="424"/>
      <c r="BA32" s="424"/>
    </row>
    <row r="33" spans="1:73" ht="18">
      <c r="A33" s="393" t="s">
        <v>644</v>
      </c>
      <c r="I33" s="429"/>
    </row>
    <row r="34" spans="1:73" ht="18.600000000000001" thickBot="1">
      <c r="A34" s="394">
        <f>A2</f>
        <v>2023</v>
      </c>
    </row>
    <row r="35" spans="1:73">
      <c r="A35" s="2815" t="str">
        <f>A3</f>
        <v>DD</v>
      </c>
      <c r="B35" s="2827" t="s">
        <v>71</v>
      </c>
      <c r="C35" s="2828"/>
      <c r="D35" s="2828"/>
      <c r="E35" s="3091"/>
      <c r="F35" s="2829" t="s">
        <v>72</v>
      </c>
      <c r="G35" s="2830"/>
      <c r="H35" s="2830"/>
      <c r="I35" s="3095"/>
      <c r="J35" s="2817" t="s">
        <v>73</v>
      </c>
      <c r="K35" s="2818"/>
      <c r="L35" s="2818"/>
      <c r="M35" s="3094"/>
      <c r="N35" s="2819" t="s">
        <v>74</v>
      </c>
      <c r="O35" s="2820"/>
      <c r="P35" s="2820"/>
      <c r="Q35" s="3090"/>
      <c r="R35" s="2821" t="s">
        <v>75</v>
      </c>
      <c r="S35" s="2822"/>
      <c r="T35" s="2822"/>
      <c r="U35" s="3093"/>
      <c r="V35" s="2823" t="s">
        <v>76</v>
      </c>
      <c r="W35" s="2824"/>
      <c r="X35" s="2824"/>
      <c r="Y35" s="3089"/>
      <c r="Z35" s="2827" t="s">
        <v>77</v>
      </c>
      <c r="AA35" s="2828"/>
      <c r="AB35" s="2828"/>
      <c r="AC35" s="3091"/>
      <c r="AD35" s="2829" t="s">
        <v>78</v>
      </c>
      <c r="AE35" s="2830"/>
      <c r="AF35" s="2830"/>
      <c r="AG35" s="3095"/>
      <c r="AH35" s="2817" t="s">
        <v>79</v>
      </c>
      <c r="AI35" s="2818"/>
      <c r="AJ35" s="2818"/>
      <c r="AK35" s="3094"/>
      <c r="AL35" s="2819" t="s">
        <v>80</v>
      </c>
      <c r="AM35" s="2820"/>
      <c r="AN35" s="2820"/>
      <c r="AO35" s="3090"/>
      <c r="AP35" s="2821" t="s">
        <v>81</v>
      </c>
      <c r="AQ35" s="2822"/>
      <c r="AR35" s="2822"/>
      <c r="AS35" s="3093"/>
      <c r="AT35" s="2823" t="s">
        <v>82</v>
      </c>
      <c r="AU35" s="2824"/>
      <c r="AV35" s="2824"/>
      <c r="AW35" s="3089"/>
      <c r="AX35" s="2825" t="s">
        <v>83</v>
      </c>
      <c r="AY35" s="2826"/>
      <c r="AZ35" s="2826"/>
      <c r="BA35" s="3088"/>
      <c r="BF35" s="430"/>
      <c r="BG35" s="430"/>
      <c r="BJ35" s="430"/>
      <c r="BK35" s="430"/>
      <c r="BL35" s="430"/>
      <c r="BM35" s="430"/>
      <c r="BR35" s="3112"/>
      <c r="BS35" s="3112"/>
      <c r="BT35" s="3112"/>
      <c r="BU35" s="3112"/>
    </row>
    <row r="36" spans="1:73" ht="14.4" thickBot="1">
      <c r="A36" s="2816"/>
      <c r="B36" s="402" t="s">
        <v>17</v>
      </c>
      <c r="C36" s="403" t="s">
        <v>18</v>
      </c>
      <c r="D36" s="403" t="s">
        <v>56</v>
      </c>
      <c r="E36" s="404" t="s">
        <v>21</v>
      </c>
      <c r="F36" s="402" t="s">
        <v>17</v>
      </c>
      <c r="G36" s="403" t="s">
        <v>18</v>
      </c>
      <c r="H36" s="403" t="s">
        <v>56</v>
      </c>
      <c r="I36" s="404" t="s">
        <v>21</v>
      </c>
      <c r="J36" s="402" t="s">
        <v>17</v>
      </c>
      <c r="K36" s="403" t="s">
        <v>18</v>
      </c>
      <c r="L36" s="403" t="s">
        <v>56</v>
      </c>
      <c r="M36" s="404" t="s">
        <v>21</v>
      </c>
      <c r="N36" s="402" t="s">
        <v>17</v>
      </c>
      <c r="O36" s="403" t="s">
        <v>18</v>
      </c>
      <c r="P36" s="403" t="s">
        <v>56</v>
      </c>
      <c r="Q36" s="404" t="s">
        <v>21</v>
      </c>
      <c r="R36" s="402" t="s">
        <v>17</v>
      </c>
      <c r="S36" s="403" t="s">
        <v>18</v>
      </c>
      <c r="T36" s="403" t="s">
        <v>56</v>
      </c>
      <c r="U36" s="404" t="s">
        <v>21</v>
      </c>
      <c r="V36" s="402" t="s">
        <v>17</v>
      </c>
      <c r="W36" s="403" t="s">
        <v>18</v>
      </c>
      <c r="X36" s="403" t="s">
        <v>56</v>
      </c>
      <c r="Y36" s="404" t="s">
        <v>21</v>
      </c>
      <c r="Z36" s="402" t="s">
        <v>17</v>
      </c>
      <c r="AA36" s="403" t="s">
        <v>18</v>
      </c>
      <c r="AB36" s="403" t="s">
        <v>56</v>
      </c>
      <c r="AC36" s="404" t="s">
        <v>21</v>
      </c>
      <c r="AD36" s="628" t="s">
        <v>17</v>
      </c>
      <c r="AE36" s="403" t="s">
        <v>18</v>
      </c>
      <c r="AF36" s="403" t="s">
        <v>56</v>
      </c>
      <c r="AG36" s="404" t="s">
        <v>21</v>
      </c>
      <c r="AH36" s="402" t="s">
        <v>17</v>
      </c>
      <c r="AI36" s="403" t="s">
        <v>18</v>
      </c>
      <c r="AJ36" s="403" t="s">
        <v>56</v>
      </c>
      <c r="AK36" s="404" t="s">
        <v>21</v>
      </c>
      <c r="AL36" s="402" t="s">
        <v>17</v>
      </c>
      <c r="AM36" s="403" t="s">
        <v>18</v>
      </c>
      <c r="AN36" s="403" t="s">
        <v>56</v>
      </c>
      <c r="AO36" s="404" t="s">
        <v>21</v>
      </c>
      <c r="AP36" s="402" t="s">
        <v>17</v>
      </c>
      <c r="AQ36" s="403" t="s">
        <v>18</v>
      </c>
      <c r="AR36" s="403" t="s">
        <v>56</v>
      </c>
      <c r="AS36" s="404" t="s">
        <v>21</v>
      </c>
      <c r="AT36" s="402" t="s">
        <v>17</v>
      </c>
      <c r="AU36" s="403" t="s">
        <v>18</v>
      </c>
      <c r="AV36" s="403" t="s">
        <v>56</v>
      </c>
      <c r="AW36" s="404" t="s">
        <v>21</v>
      </c>
      <c r="AX36" s="1057" t="s">
        <v>17</v>
      </c>
      <c r="AY36" s="403" t="s">
        <v>18</v>
      </c>
      <c r="AZ36" s="403" t="s">
        <v>56</v>
      </c>
      <c r="BA36" s="431" t="s">
        <v>21</v>
      </c>
      <c r="BC36" s="117" t="s">
        <v>175</v>
      </c>
      <c r="BD36" s="117" t="s">
        <v>181</v>
      </c>
      <c r="BE36" s="117" t="s">
        <v>182</v>
      </c>
    </row>
    <row r="37" spans="1:73" ht="14.4" thickBot="1">
      <c r="A37" s="397" t="s">
        <v>6</v>
      </c>
      <c r="B37" s="398">
        <f t="shared" ref="B37:B46" si="30">B5-BC5</f>
        <v>2073</v>
      </c>
      <c r="C37" s="399">
        <f t="shared" ref="C37:C46" si="31">C5-BD5</f>
        <v>2</v>
      </c>
      <c r="D37" s="400">
        <f>+B37+C37</f>
        <v>2075</v>
      </c>
      <c r="E37" s="401">
        <f t="shared" ref="E37:E46" si="32">E5-BF5</f>
        <v>1</v>
      </c>
      <c r="F37" s="398">
        <f>F5-B5</f>
        <v>2178</v>
      </c>
      <c r="G37" s="398">
        <f t="shared" ref="G37:G46" si="33">G5-C5</f>
        <v>9</v>
      </c>
      <c r="H37" s="400">
        <f>+F37+G37</f>
        <v>2187</v>
      </c>
      <c r="I37" s="401">
        <f t="shared" ref="I37:I46" si="34">I5-E5</f>
        <v>2</v>
      </c>
      <c r="J37" s="398">
        <f>J5-F5</f>
        <v>1149</v>
      </c>
      <c r="K37" s="398">
        <f t="shared" ref="K37:K46" si="35">K5-G5</f>
        <v>5</v>
      </c>
      <c r="L37" s="400">
        <f>+J37+K37</f>
        <v>1154</v>
      </c>
      <c r="M37" s="401">
        <f t="shared" ref="M37:M46" si="36">M5-I5</f>
        <v>-1</v>
      </c>
      <c r="N37" s="398">
        <f>N5-J5</f>
        <v>1629</v>
      </c>
      <c r="O37" s="398">
        <f t="shared" ref="O37:O46" si="37">O5-K5</f>
        <v>4</v>
      </c>
      <c r="P37" s="400">
        <f>+N37+O37</f>
        <v>1633</v>
      </c>
      <c r="Q37" s="401">
        <f t="shared" ref="Q37:Q46" si="38">Q5-M5</f>
        <v>0</v>
      </c>
      <c r="R37" s="398">
        <f>R5-N5</f>
        <v>593</v>
      </c>
      <c r="S37" s="399">
        <f t="shared" ref="S37:S46" si="39">S5-O5</f>
        <v>9</v>
      </c>
      <c r="T37" s="400">
        <f>+R37+S37</f>
        <v>602</v>
      </c>
      <c r="U37" s="401">
        <f t="shared" ref="U37:U46" si="40">U5-Q5</f>
        <v>1</v>
      </c>
      <c r="V37" s="398">
        <f>V5-R5</f>
        <v>1223</v>
      </c>
      <c r="W37" s="399">
        <f t="shared" ref="W37:W46" si="41">W5-S5</f>
        <v>2</v>
      </c>
      <c r="X37" s="400">
        <f>+V37+W37</f>
        <v>1225</v>
      </c>
      <c r="Y37" s="401">
        <f t="shared" ref="Y37:Y46" si="42">Y5-U5</f>
        <v>1</v>
      </c>
      <c r="Z37" s="398">
        <f>Z5-V5</f>
        <v>831</v>
      </c>
      <c r="AA37" s="399">
        <f t="shared" ref="AA37:AA46" si="43">AA5-W5</f>
        <v>1</v>
      </c>
      <c r="AB37" s="400">
        <f>+Z37+AA37</f>
        <v>832</v>
      </c>
      <c r="AC37" s="401">
        <f t="shared" ref="AC37:AC46" si="44">AC5-Y5</f>
        <v>0</v>
      </c>
      <c r="AD37" s="398">
        <f>AD5-Z5</f>
        <v>666</v>
      </c>
      <c r="AE37" s="399">
        <f t="shared" ref="AE37:AE46" si="45">AE5-AA5</f>
        <v>0</v>
      </c>
      <c r="AF37" s="400">
        <f>+AD37+AE37</f>
        <v>666</v>
      </c>
      <c r="AG37" s="401">
        <f t="shared" ref="AG37:AG46" si="46">AG5-AC5</f>
        <v>0</v>
      </c>
      <c r="AH37" s="398"/>
      <c r="AI37" s="399"/>
      <c r="AJ37" s="400">
        <f>+AH37+AI37</f>
        <v>0</v>
      </c>
      <c r="AK37" s="401"/>
      <c r="AL37" s="398">
        <f>AL5-AH5</f>
        <v>0</v>
      </c>
      <c r="AM37" s="399">
        <f t="shared" ref="AM37:AM46" si="47">AM5-AI5</f>
        <v>0</v>
      </c>
      <c r="AN37" s="400">
        <f>+AL37+AM37</f>
        <v>0</v>
      </c>
      <c r="AO37" s="401">
        <f t="shared" ref="AO37:AO46" si="48">AO5-AK5</f>
        <v>0</v>
      </c>
      <c r="AP37" s="398">
        <f>AP5-AL5</f>
        <v>0</v>
      </c>
      <c r="AQ37" s="399">
        <f t="shared" ref="AQ37:AQ46" si="49">AQ5-AM5</f>
        <v>0</v>
      </c>
      <c r="AR37" s="400">
        <f>+AP37+AQ37</f>
        <v>0</v>
      </c>
      <c r="AS37" s="401">
        <f t="shared" ref="AS37:AS46" si="50">AS5-AO5</f>
        <v>0</v>
      </c>
      <c r="AT37" s="398">
        <f>AT5-AP5</f>
        <v>0</v>
      </c>
      <c r="AU37" s="399">
        <f t="shared" ref="AU37:AU46" si="51">AU5-AQ5</f>
        <v>0</v>
      </c>
      <c r="AV37" s="400">
        <f>+AT37+AU37</f>
        <v>0</v>
      </c>
      <c r="AW37" s="401">
        <f t="shared" ref="AW37:AW46" si="52">AW5-AS5</f>
        <v>0</v>
      </c>
      <c r="AX37" s="432">
        <f>B37+F37+J37+N37+R37+V37+Z37+AD37+AH37+AL37+AP37+AT37</f>
        <v>10342</v>
      </c>
      <c r="AY37" s="432">
        <f>C37+G37+K37+O37+S37+W37+AA37+AE37+AI37+AM37+AQ37+AU37</f>
        <v>32</v>
      </c>
      <c r="AZ37" s="432">
        <f>AX37+AY37</f>
        <v>10374</v>
      </c>
      <c r="BA37" s="432">
        <f>E37+I37+M37+Q37+U37+Y37+AC37+AG37+AK37+AO37+AS37+AW37</f>
        <v>4</v>
      </c>
      <c r="BC37" s="395">
        <f>AF37+AG37</f>
        <v>666</v>
      </c>
      <c r="BD37" s="395">
        <f>AF37</f>
        <v>666</v>
      </c>
      <c r="BE37" s="395">
        <f>AG37</f>
        <v>0</v>
      </c>
      <c r="BF37" s="395"/>
      <c r="BG37" s="395"/>
    </row>
    <row r="38" spans="1:73" ht="14.4" thickBot="1">
      <c r="A38" s="397" t="s">
        <v>7</v>
      </c>
      <c r="B38" s="398">
        <f t="shared" si="30"/>
        <v>780</v>
      </c>
      <c r="C38" s="399">
        <f t="shared" si="31"/>
        <v>0</v>
      </c>
      <c r="D38" s="400">
        <f t="shared" ref="D38:D46" si="53">+B38+C38</f>
        <v>780</v>
      </c>
      <c r="E38" s="401">
        <f t="shared" si="32"/>
        <v>0</v>
      </c>
      <c r="F38" s="398">
        <f t="shared" ref="F38:F46" si="54">F6-B6</f>
        <v>1195</v>
      </c>
      <c r="G38" s="398">
        <f t="shared" si="33"/>
        <v>24</v>
      </c>
      <c r="H38" s="400">
        <f>+F38+G38</f>
        <v>1219</v>
      </c>
      <c r="I38" s="401">
        <f t="shared" si="34"/>
        <v>0</v>
      </c>
      <c r="J38" s="398">
        <f t="shared" ref="J38:J46" si="55">J6-F6</f>
        <v>1581</v>
      </c>
      <c r="K38" s="398">
        <f t="shared" si="35"/>
        <v>56</v>
      </c>
      <c r="L38" s="400">
        <f>+J38+K38</f>
        <v>1637</v>
      </c>
      <c r="M38" s="401">
        <f t="shared" si="36"/>
        <v>0</v>
      </c>
      <c r="N38" s="398">
        <f t="shared" ref="N38:N46" si="56">N6-J6</f>
        <v>556</v>
      </c>
      <c r="O38" s="398">
        <f t="shared" si="37"/>
        <v>11</v>
      </c>
      <c r="P38" s="400">
        <f>+N38+O38</f>
        <v>567</v>
      </c>
      <c r="Q38" s="401">
        <f t="shared" si="38"/>
        <v>3</v>
      </c>
      <c r="R38" s="398">
        <f t="shared" ref="R38:R46" si="57">R6-N6</f>
        <v>461</v>
      </c>
      <c r="S38" s="399">
        <f t="shared" si="39"/>
        <v>4</v>
      </c>
      <c r="T38" s="400">
        <f>+R38+S38</f>
        <v>465</v>
      </c>
      <c r="U38" s="401">
        <f t="shared" si="40"/>
        <v>5</v>
      </c>
      <c r="V38" s="398">
        <f t="shared" ref="V38:V46" si="58">V6-R6</f>
        <v>408</v>
      </c>
      <c r="W38" s="399">
        <f t="shared" si="41"/>
        <v>7</v>
      </c>
      <c r="X38" s="400">
        <f>+V38+W38</f>
        <v>415</v>
      </c>
      <c r="Y38" s="401">
        <f t="shared" si="42"/>
        <v>0</v>
      </c>
      <c r="Z38" s="398">
        <f t="shared" ref="Z38:Z46" si="59">Z6-V6</f>
        <v>219</v>
      </c>
      <c r="AA38" s="399">
        <f t="shared" si="43"/>
        <v>4</v>
      </c>
      <c r="AB38" s="400">
        <f>+Z38+AA38</f>
        <v>223</v>
      </c>
      <c r="AC38" s="401">
        <f t="shared" si="44"/>
        <v>1</v>
      </c>
      <c r="AD38" s="398">
        <f t="shared" ref="AD38:AD46" si="60">AD6-Z6</f>
        <v>356</v>
      </c>
      <c r="AE38" s="399">
        <f t="shared" si="45"/>
        <v>3</v>
      </c>
      <c r="AF38" s="400">
        <f>+AD38+AE38</f>
        <v>359</v>
      </c>
      <c r="AG38" s="401">
        <f t="shared" si="46"/>
        <v>0</v>
      </c>
      <c r="AH38" s="398"/>
      <c r="AI38" s="399"/>
      <c r="AJ38" s="400">
        <f>+AH38+AI38</f>
        <v>0</v>
      </c>
      <c r="AK38" s="401"/>
      <c r="AL38" s="398">
        <f t="shared" ref="AL38:AL46" si="61">AL6-AH6</f>
        <v>0</v>
      </c>
      <c r="AM38" s="399">
        <f t="shared" si="47"/>
        <v>0</v>
      </c>
      <c r="AN38" s="400">
        <f>+AL38+AM38</f>
        <v>0</v>
      </c>
      <c r="AO38" s="401">
        <f t="shared" si="48"/>
        <v>0</v>
      </c>
      <c r="AP38" s="398">
        <f t="shared" ref="AP38:AP46" si="62">AP6-AL6</f>
        <v>0</v>
      </c>
      <c r="AQ38" s="399">
        <f t="shared" si="49"/>
        <v>0</v>
      </c>
      <c r="AR38" s="400">
        <f>+AP38+AQ38</f>
        <v>0</v>
      </c>
      <c r="AS38" s="401">
        <f t="shared" si="50"/>
        <v>0</v>
      </c>
      <c r="AT38" s="398">
        <f t="shared" ref="AT38:AT46" si="63">AT6-AP6</f>
        <v>0</v>
      </c>
      <c r="AU38" s="399">
        <f t="shared" si="51"/>
        <v>0</v>
      </c>
      <c r="AV38" s="400">
        <f>+AT38+AU38</f>
        <v>0</v>
      </c>
      <c r="AW38" s="401">
        <f t="shared" si="52"/>
        <v>0</v>
      </c>
      <c r="AX38" s="432">
        <f t="shared" ref="AX38:AY46" si="64">B38+F38+J38+N38+R38+V38+Z38+AD38+AH38+AL38+AP38+AT38</f>
        <v>5556</v>
      </c>
      <c r="AY38" s="432">
        <f t="shared" si="64"/>
        <v>109</v>
      </c>
      <c r="AZ38" s="432">
        <f t="shared" ref="AZ38:AZ46" si="65">AX38+AY38</f>
        <v>5665</v>
      </c>
      <c r="BA38" s="432">
        <f t="shared" ref="BA38:BA46" si="66">E38+I38+M38+Q38+U38+Y38+AC38+AG38+AK38+AO38+AS38+AW38</f>
        <v>9</v>
      </c>
      <c r="BC38" s="395">
        <f t="shared" ref="BC38:BC47" si="67">AF38+AG38</f>
        <v>359</v>
      </c>
      <c r="BD38" s="395">
        <f t="shared" ref="BD38:BD47" si="68">AF38</f>
        <v>359</v>
      </c>
      <c r="BE38" s="395">
        <f t="shared" ref="BE38:BE46" si="69">AG38</f>
        <v>0</v>
      </c>
      <c r="BF38" s="395"/>
      <c r="BG38" s="395"/>
    </row>
    <row r="39" spans="1:73" ht="14.4" thickBot="1">
      <c r="A39" s="397" t="s">
        <v>8</v>
      </c>
      <c r="B39" s="398">
        <f t="shared" si="30"/>
        <v>2402</v>
      </c>
      <c r="C39" s="399">
        <f t="shared" si="31"/>
        <v>16</v>
      </c>
      <c r="D39" s="400">
        <f t="shared" si="53"/>
        <v>2418</v>
      </c>
      <c r="E39" s="401">
        <f t="shared" si="32"/>
        <v>-1</v>
      </c>
      <c r="F39" s="398">
        <f t="shared" si="54"/>
        <v>2577</v>
      </c>
      <c r="G39" s="398">
        <f t="shared" si="33"/>
        <v>22</v>
      </c>
      <c r="H39" s="400">
        <f>+F39+G39</f>
        <v>2599</v>
      </c>
      <c r="I39" s="401">
        <f t="shared" si="34"/>
        <v>0</v>
      </c>
      <c r="J39" s="398">
        <f t="shared" si="55"/>
        <v>1114</v>
      </c>
      <c r="K39" s="398">
        <f t="shared" si="35"/>
        <v>15</v>
      </c>
      <c r="L39" s="400">
        <f>+J39+K39</f>
        <v>1129</v>
      </c>
      <c r="M39" s="401">
        <f t="shared" si="36"/>
        <v>1</v>
      </c>
      <c r="N39" s="398">
        <f t="shared" si="56"/>
        <v>1202</v>
      </c>
      <c r="O39" s="398">
        <f t="shared" si="37"/>
        <v>9</v>
      </c>
      <c r="P39" s="400">
        <f>+N39+O39</f>
        <v>1211</v>
      </c>
      <c r="Q39" s="401">
        <f t="shared" si="38"/>
        <v>0</v>
      </c>
      <c r="R39" s="398">
        <f t="shared" si="57"/>
        <v>992</v>
      </c>
      <c r="S39" s="399">
        <f t="shared" si="39"/>
        <v>6</v>
      </c>
      <c r="T39" s="400">
        <f>+R39+S39</f>
        <v>998</v>
      </c>
      <c r="U39" s="401">
        <f t="shared" si="40"/>
        <v>0</v>
      </c>
      <c r="V39" s="398">
        <f t="shared" si="58"/>
        <v>552</v>
      </c>
      <c r="W39" s="399">
        <f t="shared" si="41"/>
        <v>8</v>
      </c>
      <c r="X39" s="400">
        <f>+V39+W39</f>
        <v>560</v>
      </c>
      <c r="Y39" s="401">
        <f t="shared" si="42"/>
        <v>0</v>
      </c>
      <c r="Z39" s="398">
        <f t="shared" si="59"/>
        <v>805</v>
      </c>
      <c r="AA39" s="399">
        <f t="shared" si="43"/>
        <v>5</v>
      </c>
      <c r="AB39" s="400">
        <f>+Z39+AA39</f>
        <v>810</v>
      </c>
      <c r="AC39" s="401">
        <f t="shared" si="44"/>
        <v>0</v>
      </c>
      <c r="AD39" s="398">
        <f t="shared" si="60"/>
        <v>1143</v>
      </c>
      <c r="AE39" s="399">
        <f t="shared" si="45"/>
        <v>2</v>
      </c>
      <c r="AF39" s="400">
        <f>+AD39+AE39</f>
        <v>1145</v>
      </c>
      <c r="AG39" s="401">
        <f t="shared" si="46"/>
        <v>0</v>
      </c>
      <c r="AH39" s="398"/>
      <c r="AI39" s="399"/>
      <c r="AJ39" s="400">
        <f>+AH39+AI39</f>
        <v>0</v>
      </c>
      <c r="AK39" s="401"/>
      <c r="AL39" s="398">
        <f t="shared" si="61"/>
        <v>0</v>
      </c>
      <c r="AM39" s="399">
        <f t="shared" si="47"/>
        <v>0</v>
      </c>
      <c r="AN39" s="400">
        <f>+AL39+AM39</f>
        <v>0</v>
      </c>
      <c r="AO39" s="401">
        <f t="shared" si="48"/>
        <v>0</v>
      </c>
      <c r="AP39" s="398">
        <f t="shared" si="62"/>
        <v>0</v>
      </c>
      <c r="AQ39" s="399">
        <f t="shared" si="49"/>
        <v>0</v>
      </c>
      <c r="AR39" s="400">
        <f>+AP39+AQ39</f>
        <v>0</v>
      </c>
      <c r="AS39" s="401">
        <f t="shared" si="50"/>
        <v>0</v>
      </c>
      <c r="AT39" s="398">
        <f t="shared" si="63"/>
        <v>0</v>
      </c>
      <c r="AU39" s="399">
        <f t="shared" si="51"/>
        <v>0</v>
      </c>
      <c r="AV39" s="400">
        <f>+AT39+AU39</f>
        <v>0</v>
      </c>
      <c r="AW39" s="401">
        <f t="shared" si="52"/>
        <v>0</v>
      </c>
      <c r="AX39" s="432">
        <f t="shared" si="64"/>
        <v>10787</v>
      </c>
      <c r="AY39" s="432">
        <f t="shared" si="64"/>
        <v>83</v>
      </c>
      <c r="AZ39" s="432">
        <f t="shared" si="65"/>
        <v>10870</v>
      </c>
      <c r="BA39" s="432">
        <f t="shared" si="66"/>
        <v>0</v>
      </c>
      <c r="BC39" s="395">
        <f t="shared" si="67"/>
        <v>1145</v>
      </c>
      <c r="BD39" s="395">
        <f t="shared" si="68"/>
        <v>1145</v>
      </c>
      <c r="BE39" s="395">
        <f t="shared" si="69"/>
        <v>0</v>
      </c>
      <c r="BF39" s="395"/>
      <c r="BG39" s="395"/>
    </row>
    <row r="40" spans="1:73" ht="14.4" thickBot="1">
      <c r="A40" s="397" t="s">
        <v>4</v>
      </c>
      <c r="B40" s="398">
        <f t="shared" si="30"/>
        <v>1082</v>
      </c>
      <c r="C40" s="399">
        <f t="shared" si="31"/>
        <v>17</v>
      </c>
      <c r="D40" s="400">
        <f t="shared" si="53"/>
        <v>1099</v>
      </c>
      <c r="E40" s="401">
        <f t="shared" si="32"/>
        <v>1</v>
      </c>
      <c r="F40" s="398">
        <f t="shared" si="54"/>
        <v>1448</v>
      </c>
      <c r="G40" s="398">
        <f t="shared" si="33"/>
        <v>24</v>
      </c>
      <c r="H40" s="400">
        <f t="shared" ref="H40:H46" si="70">+F40+G40</f>
        <v>1472</v>
      </c>
      <c r="I40" s="401">
        <f t="shared" si="34"/>
        <v>0</v>
      </c>
      <c r="J40" s="398">
        <f t="shared" si="55"/>
        <v>1393</v>
      </c>
      <c r="K40" s="398">
        <f t="shared" si="35"/>
        <v>14</v>
      </c>
      <c r="L40" s="400">
        <f t="shared" ref="L40:L46" si="71">+J40+K40</f>
        <v>1407</v>
      </c>
      <c r="M40" s="401">
        <f t="shared" si="36"/>
        <v>0</v>
      </c>
      <c r="N40" s="398">
        <f t="shared" si="56"/>
        <v>844</v>
      </c>
      <c r="O40" s="398">
        <f t="shared" si="37"/>
        <v>9</v>
      </c>
      <c r="P40" s="400">
        <f t="shared" ref="P40:P46" si="72">+N40+O40</f>
        <v>853</v>
      </c>
      <c r="Q40" s="401">
        <f t="shared" si="38"/>
        <v>0</v>
      </c>
      <c r="R40" s="398">
        <f t="shared" si="57"/>
        <v>876</v>
      </c>
      <c r="S40" s="399">
        <f t="shared" si="39"/>
        <v>3</v>
      </c>
      <c r="T40" s="400">
        <f t="shared" ref="T40:T46" si="73">+R40+S40</f>
        <v>879</v>
      </c>
      <c r="U40" s="401">
        <f t="shared" si="40"/>
        <v>0</v>
      </c>
      <c r="V40" s="398">
        <f t="shared" si="58"/>
        <v>804</v>
      </c>
      <c r="W40" s="399">
        <f t="shared" si="41"/>
        <v>0</v>
      </c>
      <c r="X40" s="400">
        <f t="shared" ref="X40:X46" si="74">+V40+W40</f>
        <v>804</v>
      </c>
      <c r="Y40" s="401">
        <f t="shared" si="42"/>
        <v>0</v>
      </c>
      <c r="Z40" s="398">
        <f t="shared" si="59"/>
        <v>860</v>
      </c>
      <c r="AA40" s="399">
        <f t="shared" si="43"/>
        <v>5</v>
      </c>
      <c r="AB40" s="400">
        <f t="shared" ref="AB40:AB46" si="75">+Z40+AA40</f>
        <v>865</v>
      </c>
      <c r="AC40" s="401">
        <f t="shared" si="44"/>
        <v>0</v>
      </c>
      <c r="AD40" s="398">
        <f t="shared" si="60"/>
        <v>861</v>
      </c>
      <c r="AE40" s="399">
        <f t="shared" si="45"/>
        <v>0</v>
      </c>
      <c r="AF40" s="400">
        <f t="shared" ref="AF40:AF46" si="76">+AD40+AE40</f>
        <v>861</v>
      </c>
      <c r="AG40" s="401">
        <f t="shared" si="46"/>
        <v>0</v>
      </c>
      <c r="AH40" s="398"/>
      <c r="AI40" s="399"/>
      <c r="AJ40" s="400">
        <f t="shared" ref="AJ40:AJ46" si="77">+AH40+AI40</f>
        <v>0</v>
      </c>
      <c r="AK40" s="401"/>
      <c r="AL40" s="398">
        <f t="shared" si="61"/>
        <v>0</v>
      </c>
      <c r="AM40" s="399">
        <f t="shared" si="47"/>
        <v>0</v>
      </c>
      <c r="AN40" s="400">
        <f t="shared" ref="AN40:AN46" si="78">+AL40+AM40</f>
        <v>0</v>
      </c>
      <c r="AO40" s="401">
        <f t="shared" si="48"/>
        <v>0</v>
      </c>
      <c r="AP40" s="398">
        <f t="shared" si="62"/>
        <v>0</v>
      </c>
      <c r="AQ40" s="399">
        <f t="shared" si="49"/>
        <v>0</v>
      </c>
      <c r="AR40" s="400">
        <f t="shared" ref="AR40:AR46" si="79">+AP40+AQ40</f>
        <v>0</v>
      </c>
      <c r="AS40" s="401">
        <f t="shared" si="50"/>
        <v>0</v>
      </c>
      <c r="AT40" s="398">
        <f t="shared" si="63"/>
        <v>0</v>
      </c>
      <c r="AU40" s="399">
        <f t="shared" si="51"/>
        <v>0</v>
      </c>
      <c r="AV40" s="400">
        <f t="shared" ref="AV40:AV46" si="80">+AT40+AU40</f>
        <v>0</v>
      </c>
      <c r="AW40" s="401">
        <f t="shared" si="52"/>
        <v>0</v>
      </c>
      <c r="AX40" s="432">
        <f t="shared" si="64"/>
        <v>8168</v>
      </c>
      <c r="AY40" s="432">
        <f t="shared" si="64"/>
        <v>72</v>
      </c>
      <c r="AZ40" s="432">
        <f t="shared" si="65"/>
        <v>8240</v>
      </c>
      <c r="BA40" s="432">
        <f t="shared" si="66"/>
        <v>1</v>
      </c>
      <c r="BC40" s="395">
        <f t="shared" si="67"/>
        <v>861</v>
      </c>
      <c r="BD40" s="395">
        <f t="shared" si="68"/>
        <v>861</v>
      </c>
      <c r="BE40" s="395">
        <f t="shared" si="69"/>
        <v>0</v>
      </c>
      <c r="BF40" s="395"/>
      <c r="BG40" s="395"/>
    </row>
    <row r="41" spans="1:73" ht="14.4" thickBot="1">
      <c r="A41" s="397" t="s">
        <v>3</v>
      </c>
      <c r="B41" s="398">
        <f t="shared" si="30"/>
        <v>784</v>
      </c>
      <c r="C41" s="399">
        <f t="shared" si="31"/>
        <v>5</v>
      </c>
      <c r="D41" s="400">
        <f t="shared" si="53"/>
        <v>789</v>
      </c>
      <c r="E41" s="401">
        <f t="shared" si="32"/>
        <v>0</v>
      </c>
      <c r="F41" s="398">
        <f t="shared" si="54"/>
        <v>731</v>
      </c>
      <c r="G41" s="398">
        <f t="shared" si="33"/>
        <v>12</v>
      </c>
      <c r="H41" s="400">
        <f t="shared" si="70"/>
        <v>743</v>
      </c>
      <c r="I41" s="401">
        <f t="shared" si="34"/>
        <v>1</v>
      </c>
      <c r="J41" s="398">
        <f t="shared" si="55"/>
        <v>678</v>
      </c>
      <c r="K41" s="398">
        <f t="shared" si="35"/>
        <v>7</v>
      </c>
      <c r="L41" s="400">
        <f t="shared" si="71"/>
        <v>685</v>
      </c>
      <c r="M41" s="401">
        <f t="shared" si="36"/>
        <v>0</v>
      </c>
      <c r="N41" s="398">
        <f t="shared" si="56"/>
        <v>211</v>
      </c>
      <c r="O41" s="398">
        <f t="shared" si="37"/>
        <v>4</v>
      </c>
      <c r="P41" s="400">
        <f t="shared" si="72"/>
        <v>215</v>
      </c>
      <c r="Q41" s="401">
        <f t="shared" si="38"/>
        <v>1</v>
      </c>
      <c r="R41" s="398">
        <f t="shared" si="57"/>
        <v>393</v>
      </c>
      <c r="S41" s="399">
        <f t="shared" si="39"/>
        <v>3</v>
      </c>
      <c r="T41" s="400">
        <f t="shared" si="73"/>
        <v>396</v>
      </c>
      <c r="U41" s="401">
        <f t="shared" si="40"/>
        <v>0</v>
      </c>
      <c r="V41" s="398">
        <f t="shared" si="58"/>
        <v>286</v>
      </c>
      <c r="W41" s="399">
        <f t="shared" si="41"/>
        <v>1</v>
      </c>
      <c r="X41" s="400">
        <f t="shared" si="74"/>
        <v>287</v>
      </c>
      <c r="Y41" s="401">
        <f t="shared" si="42"/>
        <v>0</v>
      </c>
      <c r="Z41" s="398">
        <f t="shared" si="59"/>
        <v>285</v>
      </c>
      <c r="AA41" s="399">
        <f t="shared" si="43"/>
        <v>-1</v>
      </c>
      <c r="AB41" s="400">
        <f t="shared" si="75"/>
        <v>284</v>
      </c>
      <c r="AC41" s="401">
        <f t="shared" si="44"/>
        <v>0</v>
      </c>
      <c r="AD41" s="398">
        <f t="shared" si="60"/>
        <v>371</v>
      </c>
      <c r="AE41" s="399">
        <f t="shared" si="45"/>
        <v>1</v>
      </c>
      <c r="AF41" s="400">
        <f t="shared" si="76"/>
        <v>372</v>
      </c>
      <c r="AG41" s="401">
        <f t="shared" si="46"/>
        <v>0</v>
      </c>
      <c r="AH41" s="398"/>
      <c r="AI41" s="399"/>
      <c r="AJ41" s="400">
        <f t="shared" si="77"/>
        <v>0</v>
      </c>
      <c r="AK41" s="401"/>
      <c r="AL41" s="398">
        <f t="shared" si="61"/>
        <v>0</v>
      </c>
      <c r="AM41" s="399">
        <f t="shared" si="47"/>
        <v>0</v>
      </c>
      <c r="AN41" s="400">
        <f t="shared" si="78"/>
        <v>0</v>
      </c>
      <c r="AO41" s="401">
        <f t="shared" si="48"/>
        <v>0</v>
      </c>
      <c r="AP41" s="398">
        <f t="shared" si="62"/>
        <v>0</v>
      </c>
      <c r="AQ41" s="399">
        <f t="shared" si="49"/>
        <v>0</v>
      </c>
      <c r="AR41" s="400">
        <f t="shared" si="79"/>
        <v>0</v>
      </c>
      <c r="AS41" s="401">
        <f t="shared" si="50"/>
        <v>0</v>
      </c>
      <c r="AT41" s="398">
        <f t="shared" si="63"/>
        <v>0</v>
      </c>
      <c r="AU41" s="399">
        <f t="shared" si="51"/>
        <v>0</v>
      </c>
      <c r="AV41" s="400">
        <f t="shared" si="80"/>
        <v>0</v>
      </c>
      <c r="AW41" s="401">
        <f t="shared" si="52"/>
        <v>0</v>
      </c>
      <c r="AX41" s="432">
        <f t="shared" si="64"/>
        <v>3739</v>
      </c>
      <c r="AY41" s="432">
        <f t="shared" si="64"/>
        <v>32</v>
      </c>
      <c r="AZ41" s="432">
        <f t="shared" si="65"/>
        <v>3771</v>
      </c>
      <c r="BA41" s="432">
        <f t="shared" si="66"/>
        <v>2</v>
      </c>
      <c r="BC41" s="395">
        <f t="shared" si="67"/>
        <v>372</v>
      </c>
      <c r="BD41" s="395">
        <f t="shared" si="68"/>
        <v>372</v>
      </c>
      <c r="BE41" s="395">
        <f t="shared" si="69"/>
        <v>0</v>
      </c>
      <c r="BF41" s="395"/>
      <c r="BG41" s="395"/>
    </row>
    <row r="42" spans="1:73" ht="14.4" thickBot="1">
      <c r="A42" s="397" t="s">
        <v>397</v>
      </c>
      <c r="B42" s="398">
        <f t="shared" si="30"/>
        <v>929</v>
      </c>
      <c r="C42" s="399">
        <f t="shared" si="31"/>
        <v>4</v>
      </c>
      <c r="D42" s="400">
        <f t="shared" si="53"/>
        <v>933</v>
      </c>
      <c r="E42" s="401">
        <f t="shared" si="32"/>
        <v>0</v>
      </c>
      <c r="F42" s="398">
        <f t="shared" si="54"/>
        <v>1352</v>
      </c>
      <c r="G42" s="398">
        <f t="shared" si="33"/>
        <v>2</v>
      </c>
      <c r="H42" s="400">
        <f t="shared" si="70"/>
        <v>1354</v>
      </c>
      <c r="I42" s="401">
        <f t="shared" si="34"/>
        <v>-1</v>
      </c>
      <c r="J42" s="398">
        <f t="shared" si="55"/>
        <v>907</v>
      </c>
      <c r="K42" s="398">
        <f t="shared" si="35"/>
        <v>3</v>
      </c>
      <c r="L42" s="400">
        <f t="shared" si="71"/>
        <v>910</v>
      </c>
      <c r="M42" s="401">
        <f t="shared" si="36"/>
        <v>-1</v>
      </c>
      <c r="N42" s="398">
        <f t="shared" si="56"/>
        <v>1222</v>
      </c>
      <c r="O42" s="398">
        <f t="shared" si="37"/>
        <v>15</v>
      </c>
      <c r="P42" s="400">
        <f t="shared" si="72"/>
        <v>1237</v>
      </c>
      <c r="Q42" s="401">
        <f t="shared" si="38"/>
        <v>0</v>
      </c>
      <c r="R42" s="398">
        <f t="shared" si="57"/>
        <v>806</v>
      </c>
      <c r="S42" s="399">
        <f t="shared" si="39"/>
        <v>3</v>
      </c>
      <c r="T42" s="400">
        <f t="shared" si="73"/>
        <v>809</v>
      </c>
      <c r="U42" s="401">
        <f t="shared" si="40"/>
        <v>0</v>
      </c>
      <c r="V42" s="398">
        <f t="shared" si="58"/>
        <v>1041</v>
      </c>
      <c r="W42" s="399">
        <f t="shared" si="41"/>
        <v>2</v>
      </c>
      <c r="X42" s="400">
        <f t="shared" si="74"/>
        <v>1043</v>
      </c>
      <c r="Y42" s="401">
        <f t="shared" si="42"/>
        <v>2</v>
      </c>
      <c r="Z42" s="398">
        <f t="shared" si="59"/>
        <v>796</v>
      </c>
      <c r="AA42" s="399">
        <f t="shared" si="43"/>
        <v>9</v>
      </c>
      <c r="AB42" s="400">
        <f t="shared" si="75"/>
        <v>805</v>
      </c>
      <c r="AC42" s="401">
        <f t="shared" si="44"/>
        <v>0</v>
      </c>
      <c r="AD42" s="398">
        <f t="shared" si="60"/>
        <v>372</v>
      </c>
      <c r="AE42" s="399">
        <f t="shared" si="45"/>
        <v>13</v>
      </c>
      <c r="AF42" s="400">
        <f t="shared" si="76"/>
        <v>385</v>
      </c>
      <c r="AG42" s="401">
        <f t="shared" si="46"/>
        <v>0</v>
      </c>
      <c r="AH42" s="398"/>
      <c r="AI42" s="399"/>
      <c r="AJ42" s="400">
        <f t="shared" si="77"/>
        <v>0</v>
      </c>
      <c r="AK42" s="401"/>
      <c r="AL42" s="398">
        <f t="shared" si="61"/>
        <v>0</v>
      </c>
      <c r="AM42" s="399">
        <f t="shared" si="47"/>
        <v>0</v>
      </c>
      <c r="AN42" s="400">
        <f t="shared" si="78"/>
        <v>0</v>
      </c>
      <c r="AO42" s="401">
        <f t="shared" si="48"/>
        <v>0</v>
      </c>
      <c r="AP42" s="398">
        <f t="shared" si="62"/>
        <v>0</v>
      </c>
      <c r="AQ42" s="399">
        <f t="shared" si="49"/>
        <v>0</v>
      </c>
      <c r="AR42" s="400">
        <f t="shared" si="79"/>
        <v>0</v>
      </c>
      <c r="AS42" s="401">
        <f t="shared" si="50"/>
        <v>0</v>
      </c>
      <c r="AT42" s="398">
        <f t="shared" si="63"/>
        <v>0</v>
      </c>
      <c r="AU42" s="399">
        <f t="shared" si="51"/>
        <v>0</v>
      </c>
      <c r="AV42" s="400">
        <f t="shared" si="80"/>
        <v>0</v>
      </c>
      <c r="AW42" s="401">
        <f t="shared" si="52"/>
        <v>0</v>
      </c>
      <c r="AX42" s="432">
        <f t="shared" si="64"/>
        <v>7425</v>
      </c>
      <c r="AY42" s="432">
        <f t="shared" si="64"/>
        <v>51</v>
      </c>
      <c r="AZ42" s="432">
        <f t="shared" si="65"/>
        <v>7476</v>
      </c>
      <c r="BA42" s="432">
        <f t="shared" si="66"/>
        <v>0</v>
      </c>
      <c r="BC42" s="395">
        <f t="shared" si="67"/>
        <v>385</v>
      </c>
      <c r="BD42" s="395">
        <f t="shared" si="68"/>
        <v>385</v>
      </c>
      <c r="BE42" s="395">
        <f t="shared" si="69"/>
        <v>0</v>
      </c>
      <c r="BF42" s="395"/>
      <c r="BG42" s="395"/>
    </row>
    <row r="43" spans="1:73" ht="14.4" thickBot="1">
      <c r="A43" s="397" t="s">
        <v>399</v>
      </c>
      <c r="B43" s="398">
        <f t="shared" si="30"/>
        <v>1127</v>
      </c>
      <c r="C43" s="399">
        <f t="shared" si="31"/>
        <v>12</v>
      </c>
      <c r="D43" s="400">
        <f t="shared" si="53"/>
        <v>1139</v>
      </c>
      <c r="E43" s="401">
        <f t="shared" si="32"/>
        <v>1</v>
      </c>
      <c r="F43" s="398">
        <f t="shared" si="54"/>
        <v>2318</v>
      </c>
      <c r="G43" s="398">
        <f t="shared" si="33"/>
        <v>19</v>
      </c>
      <c r="H43" s="400">
        <f t="shared" si="70"/>
        <v>2337</v>
      </c>
      <c r="I43" s="401">
        <f t="shared" si="34"/>
        <v>0</v>
      </c>
      <c r="J43" s="398">
        <f t="shared" si="55"/>
        <v>1576</v>
      </c>
      <c r="K43" s="398">
        <f t="shared" si="35"/>
        <v>21</v>
      </c>
      <c r="L43" s="400">
        <f t="shared" si="71"/>
        <v>1597</v>
      </c>
      <c r="M43" s="401">
        <f t="shared" si="36"/>
        <v>0</v>
      </c>
      <c r="N43" s="398">
        <f t="shared" si="56"/>
        <v>1479</v>
      </c>
      <c r="O43" s="398">
        <f t="shared" si="37"/>
        <v>2</v>
      </c>
      <c r="P43" s="400">
        <f t="shared" si="72"/>
        <v>1481</v>
      </c>
      <c r="Q43" s="401">
        <f t="shared" si="38"/>
        <v>0</v>
      </c>
      <c r="R43" s="398">
        <f t="shared" si="57"/>
        <v>916</v>
      </c>
      <c r="S43" s="399">
        <f t="shared" si="39"/>
        <v>4</v>
      </c>
      <c r="T43" s="400">
        <f t="shared" si="73"/>
        <v>920</v>
      </c>
      <c r="U43" s="401">
        <f t="shared" si="40"/>
        <v>0</v>
      </c>
      <c r="V43" s="398">
        <f t="shared" si="58"/>
        <v>799</v>
      </c>
      <c r="W43" s="399">
        <f t="shared" si="41"/>
        <v>5</v>
      </c>
      <c r="X43" s="400">
        <f t="shared" si="74"/>
        <v>804</v>
      </c>
      <c r="Y43" s="401">
        <f t="shared" si="42"/>
        <v>2</v>
      </c>
      <c r="Z43" s="398">
        <f t="shared" si="59"/>
        <v>721</v>
      </c>
      <c r="AA43" s="399">
        <f t="shared" si="43"/>
        <v>0</v>
      </c>
      <c r="AB43" s="400">
        <f t="shared" si="75"/>
        <v>721</v>
      </c>
      <c r="AC43" s="401">
        <f t="shared" si="44"/>
        <v>0</v>
      </c>
      <c r="AD43" s="398">
        <f t="shared" si="60"/>
        <v>690</v>
      </c>
      <c r="AE43" s="399">
        <f t="shared" si="45"/>
        <v>1</v>
      </c>
      <c r="AF43" s="400">
        <f t="shared" si="76"/>
        <v>691</v>
      </c>
      <c r="AG43" s="401">
        <f t="shared" si="46"/>
        <v>0</v>
      </c>
      <c r="AH43" s="398"/>
      <c r="AI43" s="399"/>
      <c r="AJ43" s="400">
        <f t="shared" si="77"/>
        <v>0</v>
      </c>
      <c r="AK43" s="401"/>
      <c r="AL43" s="398">
        <f t="shared" si="61"/>
        <v>0</v>
      </c>
      <c r="AM43" s="399">
        <f t="shared" si="47"/>
        <v>0</v>
      </c>
      <c r="AN43" s="400">
        <f t="shared" si="78"/>
        <v>0</v>
      </c>
      <c r="AO43" s="401">
        <f t="shared" si="48"/>
        <v>0</v>
      </c>
      <c r="AP43" s="398">
        <f t="shared" si="62"/>
        <v>0</v>
      </c>
      <c r="AQ43" s="399">
        <f t="shared" si="49"/>
        <v>0</v>
      </c>
      <c r="AR43" s="400">
        <f t="shared" si="79"/>
        <v>0</v>
      </c>
      <c r="AS43" s="401">
        <f t="shared" si="50"/>
        <v>0</v>
      </c>
      <c r="AT43" s="398">
        <f t="shared" si="63"/>
        <v>0</v>
      </c>
      <c r="AU43" s="399">
        <f t="shared" si="51"/>
        <v>0</v>
      </c>
      <c r="AV43" s="400">
        <f t="shared" si="80"/>
        <v>0</v>
      </c>
      <c r="AW43" s="401">
        <f t="shared" si="52"/>
        <v>0</v>
      </c>
      <c r="AX43" s="432">
        <f t="shared" si="64"/>
        <v>9626</v>
      </c>
      <c r="AY43" s="432">
        <f t="shared" si="64"/>
        <v>64</v>
      </c>
      <c r="AZ43" s="432">
        <f t="shared" si="65"/>
        <v>9690</v>
      </c>
      <c r="BA43" s="432">
        <f t="shared" si="66"/>
        <v>3</v>
      </c>
      <c r="BC43" s="395">
        <f t="shared" si="67"/>
        <v>691</v>
      </c>
      <c r="BD43" s="395">
        <f t="shared" si="68"/>
        <v>691</v>
      </c>
      <c r="BE43" s="395">
        <f t="shared" si="69"/>
        <v>0</v>
      </c>
      <c r="BF43" s="395"/>
      <c r="BG43" s="395"/>
    </row>
    <row r="44" spans="1:73" ht="14.4" thickBot="1">
      <c r="A44" s="397" t="s">
        <v>883</v>
      </c>
      <c r="B44" s="398">
        <f t="shared" si="30"/>
        <v>1369</v>
      </c>
      <c r="C44" s="399">
        <f t="shared" si="31"/>
        <v>8</v>
      </c>
      <c r="D44" s="400">
        <f t="shared" si="53"/>
        <v>1377</v>
      </c>
      <c r="E44" s="401">
        <f t="shared" si="32"/>
        <v>2</v>
      </c>
      <c r="F44" s="398">
        <f t="shared" si="54"/>
        <v>1256</v>
      </c>
      <c r="G44" s="398">
        <f t="shared" si="33"/>
        <v>0</v>
      </c>
      <c r="H44" s="400">
        <f t="shared" si="70"/>
        <v>1256</v>
      </c>
      <c r="I44" s="401">
        <f t="shared" si="34"/>
        <v>3</v>
      </c>
      <c r="J44" s="398">
        <f t="shared" si="55"/>
        <v>1194</v>
      </c>
      <c r="K44" s="398">
        <f t="shared" si="35"/>
        <v>10</v>
      </c>
      <c r="L44" s="400">
        <f t="shared" si="71"/>
        <v>1204</v>
      </c>
      <c r="M44" s="401">
        <f t="shared" si="36"/>
        <v>0</v>
      </c>
      <c r="N44" s="398">
        <f t="shared" si="56"/>
        <v>620</v>
      </c>
      <c r="O44" s="398">
        <f t="shared" si="37"/>
        <v>2</v>
      </c>
      <c r="P44" s="400">
        <f t="shared" si="72"/>
        <v>622</v>
      </c>
      <c r="Q44" s="401">
        <f t="shared" si="38"/>
        <v>2</v>
      </c>
      <c r="R44" s="398">
        <f t="shared" si="57"/>
        <v>401</v>
      </c>
      <c r="S44" s="399">
        <f t="shared" si="39"/>
        <v>4</v>
      </c>
      <c r="T44" s="400">
        <f t="shared" si="73"/>
        <v>405</v>
      </c>
      <c r="U44" s="401">
        <f t="shared" si="40"/>
        <v>0</v>
      </c>
      <c r="V44" s="398">
        <f t="shared" si="58"/>
        <v>537</v>
      </c>
      <c r="W44" s="399">
        <f t="shared" si="41"/>
        <v>1</v>
      </c>
      <c r="X44" s="400">
        <f t="shared" si="74"/>
        <v>538</v>
      </c>
      <c r="Y44" s="401">
        <f t="shared" si="42"/>
        <v>0</v>
      </c>
      <c r="Z44" s="398">
        <f t="shared" si="59"/>
        <v>356</v>
      </c>
      <c r="AA44" s="399">
        <f t="shared" si="43"/>
        <v>-1</v>
      </c>
      <c r="AB44" s="400">
        <f t="shared" si="75"/>
        <v>355</v>
      </c>
      <c r="AC44" s="401">
        <f t="shared" si="44"/>
        <v>0</v>
      </c>
      <c r="AD44" s="398">
        <f t="shared" si="60"/>
        <v>316</v>
      </c>
      <c r="AE44" s="399">
        <f t="shared" si="45"/>
        <v>2</v>
      </c>
      <c r="AF44" s="400">
        <f t="shared" si="76"/>
        <v>318</v>
      </c>
      <c r="AG44" s="401">
        <f t="shared" si="46"/>
        <v>0</v>
      </c>
      <c r="AH44" s="398"/>
      <c r="AI44" s="399"/>
      <c r="AJ44" s="400">
        <f t="shared" si="77"/>
        <v>0</v>
      </c>
      <c r="AK44" s="401"/>
      <c r="AL44" s="398">
        <f t="shared" si="61"/>
        <v>0</v>
      </c>
      <c r="AM44" s="399">
        <f t="shared" si="47"/>
        <v>0</v>
      </c>
      <c r="AN44" s="400">
        <f t="shared" si="78"/>
        <v>0</v>
      </c>
      <c r="AO44" s="401">
        <f t="shared" si="48"/>
        <v>0</v>
      </c>
      <c r="AP44" s="398">
        <f t="shared" si="62"/>
        <v>0</v>
      </c>
      <c r="AQ44" s="399">
        <f t="shared" si="49"/>
        <v>0</v>
      </c>
      <c r="AR44" s="400">
        <f t="shared" si="79"/>
        <v>0</v>
      </c>
      <c r="AS44" s="401">
        <f t="shared" si="50"/>
        <v>0</v>
      </c>
      <c r="AT44" s="398">
        <f t="shared" si="63"/>
        <v>0</v>
      </c>
      <c r="AU44" s="399">
        <f t="shared" si="51"/>
        <v>0</v>
      </c>
      <c r="AV44" s="400">
        <f t="shared" si="80"/>
        <v>0</v>
      </c>
      <c r="AW44" s="401">
        <f t="shared" si="52"/>
        <v>0</v>
      </c>
      <c r="AX44" s="432">
        <f t="shared" si="64"/>
        <v>6049</v>
      </c>
      <c r="AY44" s="432">
        <f t="shared" si="64"/>
        <v>26</v>
      </c>
      <c r="AZ44" s="432">
        <f t="shared" si="65"/>
        <v>6075</v>
      </c>
      <c r="BA44" s="432">
        <f t="shared" si="66"/>
        <v>7</v>
      </c>
      <c r="BC44" s="395">
        <f t="shared" si="67"/>
        <v>318</v>
      </c>
      <c r="BD44" s="395">
        <f t="shared" si="68"/>
        <v>318</v>
      </c>
      <c r="BE44" s="395">
        <f t="shared" si="69"/>
        <v>0</v>
      </c>
      <c r="BF44" s="395"/>
      <c r="BG44" s="395"/>
    </row>
    <row r="45" spans="1:73" ht="14.4" thickBot="1">
      <c r="A45" s="397" t="s">
        <v>884</v>
      </c>
      <c r="B45" s="398">
        <f t="shared" si="30"/>
        <v>3063</v>
      </c>
      <c r="C45" s="399">
        <f t="shared" si="31"/>
        <v>18</v>
      </c>
      <c r="D45" s="400">
        <f t="shared" si="53"/>
        <v>3081</v>
      </c>
      <c r="E45" s="401">
        <f t="shared" si="32"/>
        <v>0</v>
      </c>
      <c r="F45" s="398">
        <f t="shared" si="54"/>
        <v>2303</v>
      </c>
      <c r="G45" s="398">
        <f t="shared" si="33"/>
        <v>18</v>
      </c>
      <c r="H45" s="400">
        <f t="shared" si="70"/>
        <v>2321</v>
      </c>
      <c r="I45" s="401">
        <f t="shared" si="34"/>
        <v>0</v>
      </c>
      <c r="J45" s="398">
        <f t="shared" si="55"/>
        <v>1859</v>
      </c>
      <c r="K45" s="398">
        <f t="shared" si="35"/>
        <v>16</v>
      </c>
      <c r="L45" s="400">
        <f t="shared" si="71"/>
        <v>1875</v>
      </c>
      <c r="M45" s="401">
        <f t="shared" si="36"/>
        <v>1</v>
      </c>
      <c r="N45" s="398">
        <f t="shared" si="56"/>
        <v>1320</v>
      </c>
      <c r="O45" s="398">
        <f t="shared" si="37"/>
        <v>8</v>
      </c>
      <c r="P45" s="400">
        <f t="shared" si="72"/>
        <v>1328</v>
      </c>
      <c r="Q45" s="401">
        <f t="shared" si="38"/>
        <v>0</v>
      </c>
      <c r="R45" s="398">
        <f t="shared" si="57"/>
        <v>816</v>
      </c>
      <c r="S45" s="399">
        <f t="shared" si="39"/>
        <v>4</v>
      </c>
      <c r="T45" s="400">
        <f t="shared" si="73"/>
        <v>820</v>
      </c>
      <c r="U45" s="401">
        <f t="shared" si="40"/>
        <v>0</v>
      </c>
      <c r="V45" s="398">
        <f t="shared" si="58"/>
        <v>1012</v>
      </c>
      <c r="W45" s="399">
        <f t="shared" si="41"/>
        <v>6</v>
      </c>
      <c r="X45" s="400">
        <f t="shared" si="74"/>
        <v>1018</v>
      </c>
      <c r="Y45" s="401">
        <f t="shared" si="42"/>
        <v>1</v>
      </c>
      <c r="Z45" s="398">
        <f t="shared" si="59"/>
        <v>516</v>
      </c>
      <c r="AA45" s="399">
        <f t="shared" si="43"/>
        <v>5</v>
      </c>
      <c r="AB45" s="400">
        <f t="shared" si="75"/>
        <v>521</v>
      </c>
      <c r="AC45" s="401">
        <f t="shared" si="44"/>
        <v>0</v>
      </c>
      <c r="AD45" s="398">
        <f t="shared" si="60"/>
        <v>356</v>
      </c>
      <c r="AE45" s="399">
        <f t="shared" si="45"/>
        <v>7</v>
      </c>
      <c r="AF45" s="400">
        <f t="shared" si="76"/>
        <v>363</v>
      </c>
      <c r="AG45" s="401">
        <f t="shared" si="46"/>
        <v>1</v>
      </c>
      <c r="AH45" s="398"/>
      <c r="AI45" s="399"/>
      <c r="AJ45" s="400">
        <f t="shared" si="77"/>
        <v>0</v>
      </c>
      <c r="AK45" s="401"/>
      <c r="AL45" s="398">
        <f t="shared" si="61"/>
        <v>0</v>
      </c>
      <c r="AM45" s="399">
        <f t="shared" si="47"/>
        <v>0</v>
      </c>
      <c r="AN45" s="400">
        <f t="shared" si="78"/>
        <v>0</v>
      </c>
      <c r="AO45" s="401">
        <f t="shared" si="48"/>
        <v>0</v>
      </c>
      <c r="AP45" s="398">
        <f t="shared" si="62"/>
        <v>0</v>
      </c>
      <c r="AQ45" s="399">
        <f t="shared" si="49"/>
        <v>0</v>
      </c>
      <c r="AR45" s="400">
        <f t="shared" si="79"/>
        <v>0</v>
      </c>
      <c r="AS45" s="401">
        <f t="shared" si="50"/>
        <v>0</v>
      </c>
      <c r="AT45" s="398">
        <f t="shared" si="63"/>
        <v>0</v>
      </c>
      <c r="AU45" s="399">
        <f t="shared" si="51"/>
        <v>0</v>
      </c>
      <c r="AV45" s="400">
        <f t="shared" si="80"/>
        <v>0</v>
      </c>
      <c r="AW45" s="401">
        <f t="shared" si="52"/>
        <v>0</v>
      </c>
      <c r="AX45" s="432">
        <f t="shared" si="64"/>
        <v>11245</v>
      </c>
      <c r="AY45" s="432">
        <f t="shared" si="64"/>
        <v>82</v>
      </c>
      <c r="AZ45" s="432">
        <f t="shared" si="65"/>
        <v>11327</v>
      </c>
      <c r="BA45" s="432">
        <f t="shared" si="66"/>
        <v>3</v>
      </c>
      <c r="BC45" s="395">
        <f t="shared" si="67"/>
        <v>364</v>
      </c>
      <c r="BD45" s="395">
        <f t="shared" si="68"/>
        <v>363</v>
      </c>
      <c r="BE45" s="395">
        <f t="shared" si="69"/>
        <v>1</v>
      </c>
      <c r="BF45" s="395"/>
      <c r="BG45" s="395"/>
    </row>
    <row r="46" spans="1:73" ht="14.4" thickBot="1">
      <c r="A46" s="397" t="s">
        <v>885</v>
      </c>
      <c r="B46" s="398">
        <f t="shared" si="30"/>
        <v>459</v>
      </c>
      <c r="C46" s="399">
        <f t="shared" si="31"/>
        <v>8</v>
      </c>
      <c r="D46" s="400">
        <f t="shared" si="53"/>
        <v>467</v>
      </c>
      <c r="E46" s="401">
        <f t="shared" si="32"/>
        <v>0</v>
      </c>
      <c r="F46" s="398">
        <f t="shared" si="54"/>
        <v>1023</v>
      </c>
      <c r="G46" s="398">
        <f t="shared" si="33"/>
        <v>4</v>
      </c>
      <c r="H46" s="400">
        <f t="shared" si="70"/>
        <v>1027</v>
      </c>
      <c r="I46" s="401">
        <f t="shared" si="34"/>
        <v>0</v>
      </c>
      <c r="J46" s="398">
        <f t="shared" si="55"/>
        <v>1182</v>
      </c>
      <c r="K46" s="398">
        <f t="shared" si="35"/>
        <v>9</v>
      </c>
      <c r="L46" s="400">
        <f t="shared" si="71"/>
        <v>1191</v>
      </c>
      <c r="M46" s="401">
        <f t="shared" si="36"/>
        <v>0</v>
      </c>
      <c r="N46" s="398">
        <f t="shared" si="56"/>
        <v>858</v>
      </c>
      <c r="O46" s="398">
        <f t="shared" si="37"/>
        <v>6</v>
      </c>
      <c r="P46" s="400">
        <f t="shared" si="72"/>
        <v>864</v>
      </c>
      <c r="Q46" s="401">
        <f t="shared" si="38"/>
        <v>0</v>
      </c>
      <c r="R46" s="398">
        <f t="shared" si="57"/>
        <v>873</v>
      </c>
      <c r="S46" s="399">
        <f t="shared" si="39"/>
        <v>4</v>
      </c>
      <c r="T46" s="400">
        <f t="shared" si="73"/>
        <v>877</v>
      </c>
      <c r="U46" s="401">
        <f t="shared" si="40"/>
        <v>0</v>
      </c>
      <c r="V46" s="398">
        <f t="shared" si="58"/>
        <v>546</v>
      </c>
      <c r="W46" s="399">
        <f t="shared" si="41"/>
        <v>3</v>
      </c>
      <c r="X46" s="400">
        <f t="shared" si="74"/>
        <v>549</v>
      </c>
      <c r="Y46" s="401">
        <f t="shared" si="42"/>
        <v>0</v>
      </c>
      <c r="Z46" s="398">
        <f t="shared" si="59"/>
        <v>246</v>
      </c>
      <c r="AA46" s="399">
        <f t="shared" si="43"/>
        <v>3</v>
      </c>
      <c r="AB46" s="400">
        <f t="shared" si="75"/>
        <v>249</v>
      </c>
      <c r="AC46" s="401">
        <f t="shared" si="44"/>
        <v>0</v>
      </c>
      <c r="AD46" s="398">
        <f t="shared" si="60"/>
        <v>302</v>
      </c>
      <c r="AE46" s="399">
        <f t="shared" si="45"/>
        <v>1</v>
      </c>
      <c r="AF46" s="400">
        <f t="shared" si="76"/>
        <v>303</v>
      </c>
      <c r="AG46" s="401">
        <f t="shared" si="46"/>
        <v>0</v>
      </c>
      <c r="AH46" s="398"/>
      <c r="AI46" s="399"/>
      <c r="AJ46" s="400">
        <f t="shared" si="77"/>
        <v>0</v>
      </c>
      <c r="AK46" s="401"/>
      <c r="AL46" s="398">
        <f t="shared" si="61"/>
        <v>0</v>
      </c>
      <c r="AM46" s="399">
        <f t="shared" si="47"/>
        <v>0</v>
      </c>
      <c r="AN46" s="400">
        <f t="shared" si="78"/>
        <v>0</v>
      </c>
      <c r="AO46" s="401">
        <f t="shared" si="48"/>
        <v>0</v>
      </c>
      <c r="AP46" s="398">
        <f t="shared" si="62"/>
        <v>0</v>
      </c>
      <c r="AQ46" s="399">
        <f t="shared" si="49"/>
        <v>0</v>
      </c>
      <c r="AR46" s="400">
        <f t="shared" si="79"/>
        <v>0</v>
      </c>
      <c r="AS46" s="401">
        <f t="shared" si="50"/>
        <v>0</v>
      </c>
      <c r="AT46" s="398">
        <f t="shared" si="63"/>
        <v>0</v>
      </c>
      <c r="AU46" s="399">
        <f t="shared" si="51"/>
        <v>0</v>
      </c>
      <c r="AV46" s="400">
        <f t="shared" si="80"/>
        <v>0</v>
      </c>
      <c r="AW46" s="401">
        <f t="shared" si="52"/>
        <v>0</v>
      </c>
      <c r="AX46" s="432">
        <f t="shared" si="64"/>
        <v>5489</v>
      </c>
      <c r="AY46" s="432">
        <f t="shared" si="64"/>
        <v>38</v>
      </c>
      <c r="AZ46" s="432">
        <f t="shared" si="65"/>
        <v>5527</v>
      </c>
      <c r="BA46" s="432">
        <f t="shared" si="66"/>
        <v>0</v>
      </c>
      <c r="BC46" s="395">
        <f t="shared" si="67"/>
        <v>303</v>
      </c>
      <c r="BD46" s="395">
        <f t="shared" si="68"/>
        <v>303</v>
      </c>
      <c r="BE46" s="395">
        <f t="shared" si="69"/>
        <v>0</v>
      </c>
      <c r="BF46" s="395"/>
      <c r="BG46" s="395"/>
    </row>
    <row r="47" spans="1:73" ht="14.4" thickBot="1">
      <c r="A47" s="433" t="s">
        <v>16</v>
      </c>
      <c r="B47" s="417">
        <f t="shared" ref="B47:AG47" si="81">SUM(B37:B46)</f>
        <v>14068</v>
      </c>
      <c r="C47" s="419">
        <f t="shared" si="81"/>
        <v>90</v>
      </c>
      <c r="D47" s="419">
        <f t="shared" si="81"/>
        <v>14158</v>
      </c>
      <c r="E47" s="420">
        <f t="shared" si="81"/>
        <v>4</v>
      </c>
      <c r="F47" s="417">
        <f t="shared" si="81"/>
        <v>16381</v>
      </c>
      <c r="G47" s="419">
        <f t="shared" si="81"/>
        <v>134</v>
      </c>
      <c r="H47" s="419">
        <f t="shared" si="81"/>
        <v>16515</v>
      </c>
      <c r="I47" s="420">
        <f t="shared" si="81"/>
        <v>5</v>
      </c>
      <c r="J47" s="417">
        <f t="shared" si="81"/>
        <v>12633</v>
      </c>
      <c r="K47" s="419">
        <f t="shared" si="81"/>
        <v>156</v>
      </c>
      <c r="L47" s="419">
        <f t="shared" si="81"/>
        <v>12789</v>
      </c>
      <c r="M47" s="420">
        <f t="shared" si="81"/>
        <v>0</v>
      </c>
      <c r="N47" s="417">
        <f t="shared" si="81"/>
        <v>9941</v>
      </c>
      <c r="O47" s="419">
        <f t="shared" si="81"/>
        <v>70</v>
      </c>
      <c r="P47" s="419">
        <f t="shared" si="81"/>
        <v>10011</v>
      </c>
      <c r="Q47" s="420">
        <f t="shared" si="81"/>
        <v>6</v>
      </c>
      <c r="R47" s="417">
        <f t="shared" si="81"/>
        <v>7127</v>
      </c>
      <c r="S47" s="419">
        <f t="shared" si="81"/>
        <v>44</v>
      </c>
      <c r="T47" s="419">
        <f t="shared" si="81"/>
        <v>7171</v>
      </c>
      <c r="U47" s="420">
        <f t="shared" si="81"/>
        <v>6</v>
      </c>
      <c r="V47" s="417">
        <f t="shared" si="81"/>
        <v>7208</v>
      </c>
      <c r="W47" s="419">
        <f t="shared" si="81"/>
        <v>35</v>
      </c>
      <c r="X47" s="419">
        <f t="shared" si="81"/>
        <v>7243</v>
      </c>
      <c r="Y47" s="420">
        <f t="shared" si="81"/>
        <v>6</v>
      </c>
      <c r="Z47" s="417">
        <f t="shared" si="81"/>
        <v>5635</v>
      </c>
      <c r="AA47" s="419">
        <f t="shared" si="81"/>
        <v>30</v>
      </c>
      <c r="AB47" s="419">
        <f t="shared" si="81"/>
        <v>5665</v>
      </c>
      <c r="AC47" s="420">
        <f t="shared" si="81"/>
        <v>1</v>
      </c>
      <c r="AD47" s="417">
        <f t="shared" si="81"/>
        <v>5433</v>
      </c>
      <c r="AE47" s="419">
        <f t="shared" si="81"/>
        <v>30</v>
      </c>
      <c r="AF47" s="419">
        <f t="shared" si="81"/>
        <v>5463</v>
      </c>
      <c r="AG47" s="420">
        <f t="shared" si="81"/>
        <v>1</v>
      </c>
      <c r="AH47" s="417">
        <f t="shared" ref="AH47:BA47" si="82">SUM(AH37:AH46)</f>
        <v>0</v>
      </c>
      <c r="AI47" s="419">
        <f t="shared" si="82"/>
        <v>0</v>
      </c>
      <c r="AJ47" s="419">
        <f t="shared" si="82"/>
        <v>0</v>
      </c>
      <c r="AK47" s="420">
        <f t="shared" si="82"/>
        <v>0</v>
      </c>
      <c r="AL47" s="417">
        <f t="shared" si="82"/>
        <v>0</v>
      </c>
      <c r="AM47" s="419">
        <f t="shared" si="82"/>
        <v>0</v>
      </c>
      <c r="AN47" s="419">
        <f t="shared" si="82"/>
        <v>0</v>
      </c>
      <c r="AO47" s="420">
        <f t="shared" si="82"/>
        <v>0</v>
      </c>
      <c r="AP47" s="417">
        <f t="shared" si="82"/>
        <v>0</v>
      </c>
      <c r="AQ47" s="419">
        <f t="shared" si="82"/>
        <v>0</v>
      </c>
      <c r="AR47" s="419">
        <f t="shared" si="82"/>
        <v>0</v>
      </c>
      <c r="AS47" s="420">
        <f t="shared" si="82"/>
        <v>0</v>
      </c>
      <c r="AT47" s="417">
        <f t="shared" si="82"/>
        <v>0</v>
      </c>
      <c r="AU47" s="419">
        <f t="shared" si="82"/>
        <v>0</v>
      </c>
      <c r="AV47" s="419">
        <f t="shared" si="82"/>
        <v>0</v>
      </c>
      <c r="AW47" s="420">
        <f t="shared" si="82"/>
        <v>0</v>
      </c>
      <c r="AX47" s="434">
        <f t="shared" si="82"/>
        <v>78426</v>
      </c>
      <c r="AY47" s="434">
        <f t="shared" si="82"/>
        <v>589</v>
      </c>
      <c r="AZ47" s="434">
        <f t="shared" si="82"/>
        <v>79015</v>
      </c>
      <c r="BA47" s="434">
        <f t="shared" si="82"/>
        <v>29</v>
      </c>
      <c r="BC47" s="395">
        <f t="shared" si="67"/>
        <v>5464</v>
      </c>
      <c r="BD47" s="395">
        <f t="shared" si="68"/>
        <v>5463</v>
      </c>
      <c r="BE47" s="395">
        <f>AG47</f>
        <v>1</v>
      </c>
      <c r="BF47" s="395"/>
      <c r="BG47" s="395"/>
    </row>
    <row r="48" spans="1:73">
      <c r="L48" s="395">
        <f>L47+H47+D47</f>
        <v>43462</v>
      </c>
      <c r="M48" s="395">
        <f>M47+I47+E47</f>
        <v>9</v>
      </c>
      <c r="P48" s="395">
        <f>P47+T47+X47</f>
        <v>24425</v>
      </c>
      <c r="Q48" s="395">
        <f>Q47+U47+Y47</f>
        <v>18</v>
      </c>
      <c r="AJ48" s="395">
        <f>AJ47+AF47+AB47</f>
        <v>11128</v>
      </c>
      <c r="AK48" s="395">
        <f>AK47+AG47+AC47</f>
        <v>2</v>
      </c>
      <c r="AV48" s="117">
        <f>AV47+AR47+AN47</f>
        <v>0</v>
      </c>
      <c r="AW48" s="117">
        <f>AW47+AS47+AO47</f>
        <v>0</v>
      </c>
    </row>
    <row r="49" spans="1:73" ht="18.600000000000001" thickBot="1">
      <c r="A49" s="394">
        <f>A17</f>
        <v>2024</v>
      </c>
    </row>
    <row r="50" spans="1:73">
      <c r="A50" s="2815" t="str">
        <f>A35</f>
        <v>DD</v>
      </c>
      <c r="B50" s="2827" t="s">
        <v>71</v>
      </c>
      <c r="C50" s="2828"/>
      <c r="D50" s="2828"/>
      <c r="E50" s="3091"/>
      <c r="F50" s="2829" t="s">
        <v>72</v>
      </c>
      <c r="G50" s="2830"/>
      <c r="H50" s="2830"/>
      <c r="I50" s="3095"/>
      <c r="J50" s="2817" t="s">
        <v>73</v>
      </c>
      <c r="K50" s="2818"/>
      <c r="L50" s="2818"/>
      <c r="M50" s="3094"/>
      <c r="N50" s="2819" t="s">
        <v>74</v>
      </c>
      <c r="O50" s="2820"/>
      <c r="P50" s="2820"/>
      <c r="Q50" s="3090"/>
      <c r="R50" s="2821" t="s">
        <v>75</v>
      </c>
      <c r="S50" s="2822"/>
      <c r="T50" s="2822"/>
      <c r="U50" s="3093"/>
      <c r="V50" s="2823" t="s">
        <v>76</v>
      </c>
      <c r="W50" s="2824"/>
      <c r="X50" s="2824"/>
      <c r="Y50" s="3089"/>
      <c r="Z50" s="2827" t="s">
        <v>77</v>
      </c>
      <c r="AA50" s="2828"/>
      <c r="AB50" s="2828"/>
      <c r="AC50" s="3091"/>
      <c r="AD50" s="2829" t="s">
        <v>78</v>
      </c>
      <c r="AE50" s="2830"/>
      <c r="AF50" s="2830"/>
      <c r="AG50" s="3095"/>
      <c r="AH50" s="2817" t="s">
        <v>79</v>
      </c>
      <c r="AI50" s="2818"/>
      <c r="AJ50" s="2818"/>
      <c r="AK50" s="3094"/>
      <c r="AL50" s="2819" t="s">
        <v>80</v>
      </c>
      <c r="AM50" s="2820"/>
      <c r="AN50" s="2820"/>
      <c r="AO50" s="3090"/>
      <c r="AP50" s="2821" t="s">
        <v>81</v>
      </c>
      <c r="AQ50" s="2822"/>
      <c r="AR50" s="2822"/>
      <c r="AS50" s="3093"/>
      <c r="AT50" s="2823" t="s">
        <v>82</v>
      </c>
      <c r="AU50" s="2824"/>
      <c r="AV50" s="2824"/>
      <c r="AW50" s="3089"/>
      <c r="AX50" s="2825" t="s">
        <v>83</v>
      </c>
      <c r="AY50" s="2826"/>
      <c r="AZ50" s="2826"/>
      <c r="BA50" s="3088"/>
      <c r="BG50" s="430"/>
      <c r="BH50" s="430"/>
      <c r="BI50" s="430"/>
      <c r="BJ50" s="430"/>
      <c r="BK50" s="430"/>
      <c r="BL50" s="430"/>
      <c r="BM50" s="430"/>
      <c r="BR50" s="3112"/>
      <c r="BS50" s="3112"/>
      <c r="BT50" s="3112"/>
      <c r="BU50" s="3112"/>
    </row>
    <row r="51" spans="1:73" ht="14.4" thickBot="1">
      <c r="A51" s="2816"/>
      <c r="B51" s="402" t="s">
        <v>17</v>
      </c>
      <c r="C51" s="403" t="s">
        <v>18</v>
      </c>
      <c r="D51" s="403" t="s">
        <v>56</v>
      </c>
      <c r="E51" s="404" t="s">
        <v>21</v>
      </c>
      <c r="F51" s="402" t="s">
        <v>17</v>
      </c>
      <c r="G51" s="403" t="s">
        <v>18</v>
      </c>
      <c r="H51" s="403" t="s">
        <v>56</v>
      </c>
      <c r="I51" s="404" t="s">
        <v>21</v>
      </c>
      <c r="J51" s="402" t="s">
        <v>17</v>
      </c>
      <c r="K51" s="403" t="s">
        <v>18</v>
      </c>
      <c r="L51" s="403" t="s">
        <v>56</v>
      </c>
      <c r="M51" s="404" t="s">
        <v>21</v>
      </c>
      <c r="N51" s="402" t="s">
        <v>17</v>
      </c>
      <c r="O51" s="403" t="s">
        <v>18</v>
      </c>
      <c r="P51" s="403" t="s">
        <v>56</v>
      </c>
      <c r="Q51" s="404" t="s">
        <v>21</v>
      </c>
      <c r="R51" s="402" t="s">
        <v>17</v>
      </c>
      <c r="S51" s="403" t="s">
        <v>18</v>
      </c>
      <c r="T51" s="403" t="s">
        <v>56</v>
      </c>
      <c r="U51" s="404" t="s">
        <v>21</v>
      </c>
      <c r="V51" s="402" t="s">
        <v>17</v>
      </c>
      <c r="W51" s="403" t="s">
        <v>18</v>
      </c>
      <c r="X51" s="403" t="s">
        <v>56</v>
      </c>
      <c r="Y51" s="404" t="s">
        <v>21</v>
      </c>
      <c r="Z51" s="402" t="s">
        <v>17</v>
      </c>
      <c r="AA51" s="403" t="s">
        <v>18</v>
      </c>
      <c r="AB51" s="403" t="s">
        <v>56</v>
      </c>
      <c r="AC51" s="404" t="s">
        <v>21</v>
      </c>
      <c r="AD51" s="628" t="s">
        <v>17</v>
      </c>
      <c r="AE51" s="403" t="s">
        <v>18</v>
      </c>
      <c r="AF51" s="403" t="s">
        <v>56</v>
      </c>
      <c r="AG51" s="404" t="s">
        <v>21</v>
      </c>
      <c r="AH51" s="402" t="s">
        <v>17</v>
      </c>
      <c r="AI51" s="403" t="s">
        <v>18</v>
      </c>
      <c r="AJ51" s="403" t="s">
        <v>56</v>
      </c>
      <c r="AK51" s="404" t="s">
        <v>21</v>
      </c>
      <c r="AL51" s="402" t="s">
        <v>17</v>
      </c>
      <c r="AM51" s="403" t="s">
        <v>18</v>
      </c>
      <c r="AN51" s="403" t="s">
        <v>56</v>
      </c>
      <c r="AO51" s="404" t="s">
        <v>21</v>
      </c>
      <c r="AP51" s="402" t="s">
        <v>17</v>
      </c>
      <c r="AQ51" s="403" t="s">
        <v>18</v>
      </c>
      <c r="AR51" s="403" t="s">
        <v>56</v>
      </c>
      <c r="AS51" s="404" t="s">
        <v>21</v>
      </c>
      <c r="AT51" s="402" t="s">
        <v>17</v>
      </c>
      <c r="AU51" s="403" t="s">
        <v>18</v>
      </c>
      <c r="AV51" s="403" t="s">
        <v>56</v>
      </c>
      <c r="AW51" s="404" t="s">
        <v>21</v>
      </c>
      <c r="AX51" s="1057" t="s">
        <v>17</v>
      </c>
      <c r="AY51" s="403" t="s">
        <v>18</v>
      </c>
      <c r="AZ51" s="403" t="s">
        <v>56</v>
      </c>
      <c r="BA51" s="431" t="s">
        <v>21</v>
      </c>
      <c r="BB51" s="435"/>
      <c r="BC51" s="117" t="s">
        <v>175</v>
      </c>
      <c r="BD51" s="117" t="s">
        <v>181</v>
      </c>
      <c r="BE51" s="117" t="s">
        <v>182</v>
      </c>
      <c r="BG51" s="426"/>
      <c r="BH51" s="426"/>
      <c r="BI51" s="426"/>
    </row>
    <row r="52" spans="1:73" ht="14.4" thickBot="1">
      <c r="A52" s="397" t="s">
        <v>6</v>
      </c>
      <c r="B52" s="398">
        <f t="shared" ref="B52:B61" si="83">B20-BC20</f>
        <v>2508</v>
      </c>
      <c r="C52" s="399">
        <f t="shared" ref="C52:C61" si="84">C20-BD20</f>
        <v>6</v>
      </c>
      <c r="D52" s="400">
        <f>+B52+C52</f>
        <v>2514</v>
      </c>
      <c r="E52" s="401">
        <f t="shared" ref="E52:E61" si="85">E20-BF20</f>
        <v>-8</v>
      </c>
      <c r="F52" s="398">
        <f>F20-B20</f>
        <v>2012</v>
      </c>
      <c r="G52" s="398">
        <f t="shared" ref="G52:G61" si="86">G20-C20</f>
        <v>9</v>
      </c>
      <c r="H52" s="400">
        <f>+F52+G52</f>
        <v>2021</v>
      </c>
      <c r="I52" s="401">
        <f t="shared" ref="I52:I61" si="87">I20-E20</f>
        <v>0</v>
      </c>
      <c r="J52" s="398">
        <f>J20-F20</f>
        <v>1562</v>
      </c>
      <c r="K52" s="399">
        <f t="shared" ref="K52:K61" si="88">K20-G20</f>
        <v>7</v>
      </c>
      <c r="L52" s="400">
        <f>+J52+K52</f>
        <v>1569</v>
      </c>
      <c r="M52" s="401">
        <f t="shared" ref="M52:M61" si="89">M20-I20</f>
        <v>1</v>
      </c>
      <c r="N52" s="398">
        <f>N20-J20</f>
        <v>1253</v>
      </c>
      <c r="O52" s="398">
        <f t="shared" ref="O52:O61" si="90">O20-K20</f>
        <v>3</v>
      </c>
      <c r="P52" s="400">
        <f>+N52+O52</f>
        <v>1256</v>
      </c>
      <c r="Q52" s="401">
        <f t="shared" ref="Q52:Q61" si="91">Q20-M20</f>
        <v>1</v>
      </c>
      <c r="R52" s="398">
        <f>R20-N20</f>
        <v>1397</v>
      </c>
      <c r="S52" s="399">
        <f t="shared" ref="S52:S61" si="92">S20-O20</f>
        <v>1</v>
      </c>
      <c r="T52" s="400">
        <f>+R52+S52</f>
        <v>1398</v>
      </c>
      <c r="U52" s="401">
        <f t="shared" ref="U52:U61" si="93">U20-Q20</f>
        <v>0</v>
      </c>
      <c r="V52" s="398">
        <f>V20-R20</f>
        <v>1163</v>
      </c>
      <c r="W52" s="399">
        <f t="shared" ref="W52:W61" si="94">W20-S20</f>
        <v>3</v>
      </c>
      <c r="X52" s="400">
        <f>+V52+W52</f>
        <v>1166</v>
      </c>
      <c r="Y52" s="401">
        <f t="shared" ref="Y52:Y61" si="95">Y20-U20</f>
        <v>0</v>
      </c>
      <c r="Z52" s="398">
        <f>Z20-V20</f>
        <v>1013</v>
      </c>
      <c r="AA52" s="399">
        <f t="shared" ref="AA52:AA61" si="96">AA20-W20</f>
        <v>0</v>
      </c>
      <c r="AB52" s="400">
        <f>+Z52+AA52</f>
        <v>1013</v>
      </c>
      <c r="AC52" s="401">
        <f t="shared" ref="AC52:AC61" si="97">AC20-Y20</f>
        <v>2</v>
      </c>
      <c r="AD52" s="398">
        <f>AD20-Z20</f>
        <v>1106</v>
      </c>
      <c r="AE52" s="399">
        <f t="shared" ref="AE52:AE61" si="98">AE20-AA20</f>
        <v>2</v>
      </c>
      <c r="AF52" s="400">
        <f>+AD52+AE52</f>
        <v>1108</v>
      </c>
      <c r="AG52" s="401">
        <f t="shared" ref="AG52:AG61" si="99">AG20-AC20</f>
        <v>0</v>
      </c>
      <c r="AH52" s="398"/>
      <c r="AI52" s="399"/>
      <c r="AJ52" s="400">
        <f>+AH52+AI52</f>
        <v>0</v>
      </c>
      <c r="AK52" s="401"/>
      <c r="AL52" s="398">
        <f>AL20-AH20</f>
        <v>0</v>
      </c>
      <c r="AM52" s="399">
        <f t="shared" ref="AM52:AM61" si="100">AM20-AI20</f>
        <v>0</v>
      </c>
      <c r="AN52" s="400">
        <f>+AL52+AM52</f>
        <v>0</v>
      </c>
      <c r="AO52" s="401">
        <f t="shared" ref="AO52:AO61" si="101">AO20-AK20</f>
        <v>0</v>
      </c>
      <c r="AP52" s="398">
        <f>AP20-AL20</f>
        <v>0</v>
      </c>
      <c r="AQ52" s="399">
        <f t="shared" ref="AQ52:AQ61" si="102">AQ20-AM20</f>
        <v>0</v>
      </c>
      <c r="AR52" s="400">
        <f>+AP52+AQ52</f>
        <v>0</v>
      </c>
      <c r="AS52" s="401">
        <f t="shared" ref="AS52:AS61" si="103">AS20-AO20</f>
        <v>0</v>
      </c>
      <c r="AT52" s="398">
        <f>AT20-AP20</f>
        <v>0</v>
      </c>
      <c r="AU52" s="399">
        <f t="shared" ref="AU52:AU61" si="104">AU20-AQ20</f>
        <v>0</v>
      </c>
      <c r="AV52" s="400">
        <f>+AT52+AU52</f>
        <v>0</v>
      </c>
      <c r="AW52" s="401">
        <f t="shared" ref="AW52:AW61" si="105">AW20-AS20</f>
        <v>0</v>
      </c>
      <c r="AX52" s="432">
        <f>B52+F52+J52+N52+R52+V52+Z52+AD52+AH52+AL52+AP52+AT52</f>
        <v>12014</v>
      </c>
      <c r="AY52" s="432">
        <f>C52+G52+K52+O52+S52+W52+AA52+AE52+AI52+AM52+AQ52+AU52</f>
        <v>31</v>
      </c>
      <c r="AZ52" s="432">
        <f>D52+H52+L52+P52+T52+X52+AB52+AF52+AJ52+AN52+AR52+AV52</f>
        <v>12045</v>
      </c>
      <c r="BA52" s="432">
        <f>E52+I52+M52+Q52+U52+Y52+AC52+AG52+AK52+AO52+AS52+AW52</f>
        <v>-4</v>
      </c>
      <c r="BB52" s="435"/>
      <c r="BC52" s="395">
        <f>AF52+AG52</f>
        <v>1108</v>
      </c>
      <c r="BD52" s="395">
        <f>AF52</f>
        <v>1108</v>
      </c>
      <c r="BE52" s="395">
        <f>AG52</f>
        <v>0</v>
      </c>
      <c r="BG52" s="430"/>
      <c r="BH52" s="430"/>
      <c r="BI52" s="430"/>
      <c r="BJ52" s="430"/>
      <c r="BK52" s="430"/>
      <c r="BL52" s="430"/>
      <c r="BM52" s="430"/>
    </row>
    <row r="53" spans="1:73" ht="14.4" thickBot="1">
      <c r="A53" s="397" t="s">
        <v>7</v>
      </c>
      <c r="B53" s="398">
        <f t="shared" si="83"/>
        <v>1127</v>
      </c>
      <c r="C53" s="399">
        <f t="shared" si="84"/>
        <v>26</v>
      </c>
      <c r="D53" s="400">
        <f t="shared" ref="D53:D60" si="106">+B53+C53</f>
        <v>1153</v>
      </c>
      <c r="E53" s="401">
        <f t="shared" si="85"/>
        <v>0</v>
      </c>
      <c r="F53" s="398">
        <f t="shared" ref="F53:F61" si="107">F21-B21</f>
        <v>891</v>
      </c>
      <c r="G53" s="398">
        <f t="shared" si="86"/>
        <v>12</v>
      </c>
      <c r="H53" s="400">
        <f>+F53+G53</f>
        <v>903</v>
      </c>
      <c r="I53" s="401">
        <f t="shared" si="87"/>
        <v>0</v>
      </c>
      <c r="J53" s="398">
        <f t="shared" ref="J53:J61" si="108">J21-F21</f>
        <v>837</v>
      </c>
      <c r="K53" s="399">
        <f t="shared" si="88"/>
        <v>8</v>
      </c>
      <c r="L53" s="400">
        <f>+J53+K53</f>
        <v>845</v>
      </c>
      <c r="M53" s="401">
        <f t="shared" si="89"/>
        <v>3</v>
      </c>
      <c r="N53" s="398">
        <f t="shared" ref="N53:N61" si="109">N21-J21</f>
        <v>567</v>
      </c>
      <c r="O53" s="398">
        <f t="shared" si="90"/>
        <v>9</v>
      </c>
      <c r="P53" s="400">
        <f>+N53+O53</f>
        <v>576</v>
      </c>
      <c r="Q53" s="401">
        <f t="shared" si="91"/>
        <v>0</v>
      </c>
      <c r="R53" s="398">
        <f t="shared" ref="R53:R61" si="110">R21-N21</f>
        <v>445</v>
      </c>
      <c r="S53" s="399">
        <f t="shared" si="92"/>
        <v>13</v>
      </c>
      <c r="T53" s="400">
        <f>+R53+S53</f>
        <v>458</v>
      </c>
      <c r="U53" s="401">
        <f t="shared" si="93"/>
        <v>2</v>
      </c>
      <c r="V53" s="398">
        <f t="shared" ref="V53:V61" si="111">V21-R21</f>
        <v>406</v>
      </c>
      <c r="W53" s="399">
        <f t="shared" si="94"/>
        <v>13</v>
      </c>
      <c r="X53" s="400">
        <f>+V53+W53</f>
        <v>419</v>
      </c>
      <c r="Y53" s="401">
        <f t="shared" si="95"/>
        <v>0</v>
      </c>
      <c r="Z53" s="398">
        <f t="shared" ref="Z53:Z61" si="112">Z21-V21</f>
        <v>268</v>
      </c>
      <c r="AA53" s="399">
        <f t="shared" si="96"/>
        <v>4</v>
      </c>
      <c r="AB53" s="400">
        <f>+Z53+AA53</f>
        <v>272</v>
      </c>
      <c r="AC53" s="401">
        <f t="shared" si="97"/>
        <v>0</v>
      </c>
      <c r="AD53" s="398">
        <f t="shared" ref="AD53:AD61" si="113">AD21-Z21</f>
        <v>413</v>
      </c>
      <c r="AE53" s="399">
        <f t="shared" si="98"/>
        <v>4</v>
      </c>
      <c r="AF53" s="400">
        <f>+AD53+AE53</f>
        <v>417</v>
      </c>
      <c r="AG53" s="401">
        <f t="shared" si="99"/>
        <v>0</v>
      </c>
      <c r="AH53" s="398"/>
      <c r="AI53" s="399"/>
      <c r="AJ53" s="400">
        <f>+AH53+AI53</f>
        <v>0</v>
      </c>
      <c r="AK53" s="401"/>
      <c r="AL53" s="398">
        <f t="shared" ref="AL53:AL61" si="114">AL21-AH21</f>
        <v>0</v>
      </c>
      <c r="AM53" s="399">
        <f t="shared" si="100"/>
        <v>0</v>
      </c>
      <c r="AN53" s="400">
        <f>+AL53+AM53</f>
        <v>0</v>
      </c>
      <c r="AO53" s="401">
        <f t="shared" si="101"/>
        <v>0</v>
      </c>
      <c r="AP53" s="398">
        <f t="shared" ref="AP53:AP61" si="115">AP21-AL21</f>
        <v>0</v>
      </c>
      <c r="AQ53" s="399">
        <f t="shared" si="102"/>
        <v>0</v>
      </c>
      <c r="AR53" s="400">
        <f>+AP53+AQ53</f>
        <v>0</v>
      </c>
      <c r="AS53" s="401">
        <f t="shared" si="103"/>
        <v>0</v>
      </c>
      <c r="AT53" s="398">
        <f t="shared" ref="AT53:AT61" si="116">AT21-AP21</f>
        <v>0</v>
      </c>
      <c r="AU53" s="399">
        <f t="shared" si="104"/>
        <v>0</v>
      </c>
      <c r="AV53" s="400">
        <f>+AT53+AU53</f>
        <v>0</v>
      </c>
      <c r="AW53" s="401">
        <f t="shared" si="105"/>
        <v>0</v>
      </c>
      <c r="AX53" s="432">
        <f t="shared" ref="AX53:AX61" si="117">B53+F53+J53+N53+R53+V53+Z53+AD53+AH53+AL53+AP53+AT53</f>
        <v>4954</v>
      </c>
      <c r="AY53" s="432">
        <f t="shared" ref="AY53:AY61" si="118">C53+G53+K53+O53+S53+W53+AA53+AE53+AI53+AM53+AQ53+AU53</f>
        <v>89</v>
      </c>
      <c r="AZ53" s="432">
        <f t="shared" ref="AZ53:AZ61" si="119">D53+H53+L53+P53+T53+X53+AB53+AF53+AJ53+AN53+AR53+AV53</f>
        <v>5043</v>
      </c>
      <c r="BA53" s="432">
        <f t="shared" ref="BA53:BA61" si="120">E53+I53+M53+Q53+U53+Y53+AC53+AG53+AK53+AO53+AS53+AW53</f>
        <v>5</v>
      </c>
      <c r="BB53" s="435"/>
      <c r="BC53" s="395">
        <f t="shared" ref="BC53:BC62" si="121">AF53+AG53</f>
        <v>417</v>
      </c>
      <c r="BD53" s="395">
        <f t="shared" ref="BD53:BD62" si="122">AF53</f>
        <v>417</v>
      </c>
      <c r="BE53" s="395">
        <f t="shared" ref="BE53:BE61" si="123">AG53</f>
        <v>0</v>
      </c>
      <c r="BG53" s="426"/>
      <c r="BH53" s="426"/>
      <c r="BI53" s="426"/>
    </row>
    <row r="54" spans="1:73" ht="14.4" thickBot="1">
      <c r="A54" s="397" t="s">
        <v>8</v>
      </c>
      <c r="B54" s="398">
        <f t="shared" si="83"/>
        <v>1271</v>
      </c>
      <c r="C54" s="399">
        <f t="shared" si="84"/>
        <v>17</v>
      </c>
      <c r="D54" s="400">
        <f t="shared" si="106"/>
        <v>1288</v>
      </c>
      <c r="E54" s="401">
        <f t="shared" si="85"/>
        <v>5</v>
      </c>
      <c r="F54" s="398">
        <f t="shared" si="107"/>
        <v>1523</v>
      </c>
      <c r="G54" s="398">
        <f t="shared" si="86"/>
        <v>29</v>
      </c>
      <c r="H54" s="400">
        <f>+F54+G54</f>
        <v>1552</v>
      </c>
      <c r="I54" s="401">
        <f t="shared" si="87"/>
        <v>3</v>
      </c>
      <c r="J54" s="398">
        <f t="shared" si="108"/>
        <v>1454</v>
      </c>
      <c r="K54" s="399">
        <f t="shared" si="88"/>
        <v>15</v>
      </c>
      <c r="L54" s="400">
        <f>+J54+K54</f>
        <v>1469</v>
      </c>
      <c r="M54" s="401">
        <f t="shared" si="89"/>
        <v>1</v>
      </c>
      <c r="N54" s="398">
        <f t="shared" si="109"/>
        <v>681</v>
      </c>
      <c r="O54" s="398">
        <f t="shared" si="90"/>
        <v>3</v>
      </c>
      <c r="P54" s="400">
        <f>+N54+O54</f>
        <v>684</v>
      </c>
      <c r="Q54" s="401">
        <f t="shared" si="91"/>
        <v>0</v>
      </c>
      <c r="R54" s="398">
        <f t="shared" si="110"/>
        <v>668</v>
      </c>
      <c r="S54" s="399">
        <f t="shared" si="92"/>
        <v>7</v>
      </c>
      <c r="T54" s="400">
        <f>+R54+S54</f>
        <v>675</v>
      </c>
      <c r="U54" s="401">
        <f t="shared" si="93"/>
        <v>0</v>
      </c>
      <c r="V54" s="398">
        <f t="shared" si="111"/>
        <v>596</v>
      </c>
      <c r="W54" s="399">
        <f t="shared" si="94"/>
        <v>7</v>
      </c>
      <c r="X54" s="400">
        <f>+V54+W54</f>
        <v>603</v>
      </c>
      <c r="Y54" s="401">
        <f t="shared" si="95"/>
        <v>0</v>
      </c>
      <c r="Z54" s="398">
        <f t="shared" si="112"/>
        <v>469</v>
      </c>
      <c r="AA54" s="399">
        <f t="shared" si="96"/>
        <v>2</v>
      </c>
      <c r="AB54" s="400">
        <f>+Z54+AA54</f>
        <v>471</v>
      </c>
      <c r="AC54" s="401">
        <f t="shared" si="97"/>
        <v>0</v>
      </c>
      <c r="AD54" s="398">
        <f t="shared" si="113"/>
        <v>944</v>
      </c>
      <c r="AE54" s="399">
        <f t="shared" si="98"/>
        <v>8</v>
      </c>
      <c r="AF54" s="400">
        <f>+AD54+AE54</f>
        <v>952</v>
      </c>
      <c r="AG54" s="401">
        <f t="shared" si="99"/>
        <v>0</v>
      </c>
      <c r="AH54" s="398"/>
      <c r="AI54" s="399"/>
      <c r="AJ54" s="400">
        <f>+AH54+AI54</f>
        <v>0</v>
      </c>
      <c r="AK54" s="401"/>
      <c r="AL54" s="398">
        <f t="shared" si="114"/>
        <v>0</v>
      </c>
      <c r="AM54" s="399">
        <f t="shared" si="100"/>
        <v>0</v>
      </c>
      <c r="AN54" s="400">
        <f>+AL54+AM54</f>
        <v>0</v>
      </c>
      <c r="AO54" s="401">
        <f t="shared" si="101"/>
        <v>0</v>
      </c>
      <c r="AP54" s="398">
        <f t="shared" si="115"/>
        <v>0</v>
      </c>
      <c r="AQ54" s="399">
        <f t="shared" si="102"/>
        <v>0</v>
      </c>
      <c r="AR54" s="400">
        <f>+AP54+AQ54</f>
        <v>0</v>
      </c>
      <c r="AS54" s="401">
        <f t="shared" si="103"/>
        <v>0</v>
      </c>
      <c r="AT54" s="398">
        <f t="shared" si="116"/>
        <v>0</v>
      </c>
      <c r="AU54" s="399">
        <f t="shared" si="104"/>
        <v>0</v>
      </c>
      <c r="AV54" s="400">
        <f>+AT54+AU54</f>
        <v>0</v>
      </c>
      <c r="AW54" s="401">
        <f t="shared" si="105"/>
        <v>0</v>
      </c>
      <c r="AX54" s="432">
        <f t="shared" si="117"/>
        <v>7606</v>
      </c>
      <c r="AY54" s="432">
        <f t="shared" si="118"/>
        <v>88</v>
      </c>
      <c r="AZ54" s="432">
        <f t="shared" si="119"/>
        <v>7694</v>
      </c>
      <c r="BA54" s="432">
        <f t="shared" si="120"/>
        <v>9</v>
      </c>
      <c r="BB54" s="435"/>
      <c r="BC54" s="395">
        <f t="shared" si="121"/>
        <v>952</v>
      </c>
      <c r="BD54" s="395">
        <f t="shared" si="122"/>
        <v>952</v>
      </c>
      <c r="BE54" s="395">
        <f t="shared" si="123"/>
        <v>0</v>
      </c>
      <c r="BG54" s="430"/>
      <c r="BH54" s="430"/>
      <c r="BI54" s="430"/>
      <c r="BJ54" s="430"/>
      <c r="BK54" s="430"/>
      <c r="BL54" s="430"/>
      <c r="BM54" s="430"/>
    </row>
    <row r="55" spans="1:73" ht="14.4" thickBot="1">
      <c r="A55" s="397" t="s">
        <v>4</v>
      </c>
      <c r="B55" s="398">
        <f t="shared" si="83"/>
        <v>2109</v>
      </c>
      <c r="C55" s="399">
        <f t="shared" si="84"/>
        <v>34</v>
      </c>
      <c r="D55" s="400">
        <f t="shared" si="106"/>
        <v>2143</v>
      </c>
      <c r="E55" s="401">
        <f t="shared" si="85"/>
        <v>0</v>
      </c>
      <c r="F55" s="398">
        <f t="shared" si="107"/>
        <v>1864</v>
      </c>
      <c r="G55" s="398">
        <f t="shared" si="86"/>
        <v>5</v>
      </c>
      <c r="H55" s="400">
        <f t="shared" ref="H55:H61" si="124">+F55+G55</f>
        <v>1869</v>
      </c>
      <c r="I55" s="401">
        <f t="shared" si="87"/>
        <v>0</v>
      </c>
      <c r="J55" s="398">
        <f t="shared" si="108"/>
        <v>927</v>
      </c>
      <c r="K55" s="399">
        <f t="shared" si="88"/>
        <v>9</v>
      </c>
      <c r="L55" s="400">
        <f t="shared" ref="L55:L61" si="125">+J55+K55</f>
        <v>936</v>
      </c>
      <c r="M55" s="401">
        <f t="shared" si="89"/>
        <v>1</v>
      </c>
      <c r="N55" s="398">
        <f t="shared" si="109"/>
        <v>1050</v>
      </c>
      <c r="O55" s="398">
        <f t="shared" si="90"/>
        <v>17</v>
      </c>
      <c r="P55" s="400">
        <f t="shared" ref="P55:P61" si="126">+N55+O55</f>
        <v>1067</v>
      </c>
      <c r="Q55" s="401">
        <f t="shared" si="91"/>
        <v>1</v>
      </c>
      <c r="R55" s="398">
        <f t="shared" si="110"/>
        <v>1142</v>
      </c>
      <c r="S55" s="399">
        <f t="shared" si="92"/>
        <v>9</v>
      </c>
      <c r="T55" s="400">
        <f t="shared" ref="T55:T61" si="127">+R55+S55</f>
        <v>1151</v>
      </c>
      <c r="U55" s="401">
        <f t="shared" si="93"/>
        <v>1</v>
      </c>
      <c r="V55" s="398">
        <f t="shared" si="111"/>
        <v>1176</v>
      </c>
      <c r="W55" s="399">
        <f t="shared" si="94"/>
        <v>4</v>
      </c>
      <c r="X55" s="400">
        <f t="shared" ref="X55:X61" si="128">+V55+W55</f>
        <v>1180</v>
      </c>
      <c r="Y55" s="401">
        <f t="shared" si="95"/>
        <v>1</v>
      </c>
      <c r="Z55" s="398">
        <f t="shared" si="112"/>
        <v>1123</v>
      </c>
      <c r="AA55" s="399">
        <f t="shared" si="96"/>
        <v>2</v>
      </c>
      <c r="AB55" s="400">
        <f t="shared" ref="AB55:AB61" si="129">+Z55+AA55</f>
        <v>1125</v>
      </c>
      <c r="AC55" s="401">
        <f t="shared" si="97"/>
        <v>3</v>
      </c>
      <c r="AD55" s="398">
        <f t="shared" si="113"/>
        <v>940</v>
      </c>
      <c r="AE55" s="399">
        <f t="shared" si="98"/>
        <v>1</v>
      </c>
      <c r="AF55" s="400">
        <f t="shared" ref="AF55:AF61" si="130">+AD55+AE55</f>
        <v>941</v>
      </c>
      <c r="AG55" s="401">
        <f t="shared" si="99"/>
        <v>0</v>
      </c>
      <c r="AH55" s="398"/>
      <c r="AI55" s="399"/>
      <c r="AJ55" s="400">
        <f t="shared" ref="AJ55:AJ61" si="131">+AH55+AI55</f>
        <v>0</v>
      </c>
      <c r="AK55" s="401"/>
      <c r="AL55" s="398">
        <f t="shared" si="114"/>
        <v>0</v>
      </c>
      <c r="AM55" s="399">
        <f t="shared" si="100"/>
        <v>0</v>
      </c>
      <c r="AN55" s="400">
        <f t="shared" ref="AN55:AN61" si="132">+AL55+AM55</f>
        <v>0</v>
      </c>
      <c r="AO55" s="401">
        <f t="shared" si="101"/>
        <v>0</v>
      </c>
      <c r="AP55" s="398">
        <f t="shared" si="115"/>
        <v>0</v>
      </c>
      <c r="AQ55" s="399">
        <f t="shared" si="102"/>
        <v>0</v>
      </c>
      <c r="AR55" s="400">
        <f t="shared" ref="AR55:AR61" si="133">+AP55+AQ55</f>
        <v>0</v>
      </c>
      <c r="AS55" s="401">
        <f t="shared" si="103"/>
        <v>0</v>
      </c>
      <c r="AT55" s="398">
        <f t="shared" si="116"/>
        <v>0</v>
      </c>
      <c r="AU55" s="399">
        <f t="shared" si="104"/>
        <v>0</v>
      </c>
      <c r="AV55" s="400">
        <f t="shared" ref="AV55:AV61" si="134">+AT55+AU55</f>
        <v>0</v>
      </c>
      <c r="AW55" s="401">
        <f t="shared" si="105"/>
        <v>0</v>
      </c>
      <c r="AX55" s="432">
        <f t="shared" si="117"/>
        <v>10331</v>
      </c>
      <c r="AY55" s="432">
        <f t="shared" si="118"/>
        <v>81</v>
      </c>
      <c r="AZ55" s="432">
        <f t="shared" si="119"/>
        <v>10412</v>
      </c>
      <c r="BA55" s="432">
        <f>E55+I55+M55+Q55+U55+Y55+AC55+AG55+AK55+AO55+AS55+AW55</f>
        <v>7</v>
      </c>
      <c r="BB55" s="435"/>
      <c r="BC55" s="395">
        <f t="shared" si="121"/>
        <v>941</v>
      </c>
      <c r="BD55" s="395">
        <f t="shared" si="122"/>
        <v>941</v>
      </c>
      <c r="BE55" s="395">
        <f t="shared" si="123"/>
        <v>0</v>
      </c>
      <c r="BG55" s="426"/>
      <c r="BH55" s="426"/>
      <c r="BI55" s="426"/>
    </row>
    <row r="56" spans="1:73" ht="14.4" thickBot="1">
      <c r="A56" s="397" t="s">
        <v>3</v>
      </c>
      <c r="B56" s="398">
        <f t="shared" si="83"/>
        <v>596</v>
      </c>
      <c r="C56" s="399">
        <f t="shared" si="84"/>
        <v>10</v>
      </c>
      <c r="D56" s="400">
        <f t="shared" si="106"/>
        <v>606</v>
      </c>
      <c r="E56" s="401">
        <f t="shared" si="85"/>
        <v>0</v>
      </c>
      <c r="F56" s="398">
        <f t="shared" si="107"/>
        <v>653</v>
      </c>
      <c r="G56" s="398">
        <f t="shared" si="86"/>
        <v>8</v>
      </c>
      <c r="H56" s="400">
        <f t="shared" si="124"/>
        <v>661</v>
      </c>
      <c r="I56" s="401">
        <f t="shared" si="87"/>
        <v>0</v>
      </c>
      <c r="J56" s="398">
        <f t="shared" si="108"/>
        <v>345</v>
      </c>
      <c r="K56" s="399">
        <f t="shared" si="88"/>
        <v>22</v>
      </c>
      <c r="L56" s="400">
        <f t="shared" si="125"/>
        <v>367</v>
      </c>
      <c r="M56" s="401">
        <f t="shared" si="89"/>
        <v>0</v>
      </c>
      <c r="N56" s="398">
        <f t="shared" si="109"/>
        <v>277</v>
      </c>
      <c r="O56" s="398">
        <f t="shared" si="90"/>
        <v>2</v>
      </c>
      <c r="P56" s="400">
        <f t="shared" si="126"/>
        <v>279</v>
      </c>
      <c r="Q56" s="401">
        <f t="shared" si="91"/>
        <v>0</v>
      </c>
      <c r="R56" s="398">
        <f t="shared" si="110"/>
        <v>335</v>
      </c>
      <c r="S56" s="399">
        <f t="shared" si="92"/>
        <v>9</v>
      </c>
      <c r="T56" s="400">
        <f t="shared" si="127"/>
        <v>344</v>
      </c>
      <c r="U56" s="401">
        <f t="shared" si="93"/>
        <v>2</v>
      </c>
      <c r="V56" s="398">
        <f t="shared" si="111"/>
        <v>368</v>
      </c>
      <c r="W56" s="399">
        <f t="shared" si="94"/>
        <v>2</v>
      </c>
      <c r="X56" s="400">
        <f t="shared" si="128"/>
        <v>370</v>
      </c>
      <c r="Y56" s="401">
        <f t="shared" si="95"/>
        <v>0</v>
      </c>
      <c r="Z56" s="398">
        <f t="shared" si="112"/>
        <v>385</v>
      </c>
      <c r="AA56" s="399">
        <f t="shared" si="96"/>
        <v>6</v>
      </c>
      <c r="AB56" s="400">
        <f t="shared" si="129"/>
        <v>391</v>
      </c>
      <c r="AC56" s="401">
        <f t="shared" si="97"/>
        <v>0</v>
      </c>
      <c r="AD56" s="398">
        <f t="shared" si="113"/>
        <v>462</v>
      </c>
      <c r="AE56" s="399">
        <f t="shared" si="98"/>
        <v>0</v>
      </c>
      <c r="AF56" s="400">
        <f t="shared" si="130"/>
        <v>462</v>
      </c>
      <c r="AG56" s="401">
        <f t="shared" si="99"/>
        <v>0</v>
      </c>
      <c r="AH56" s="398"/>
      <c r="AI56" s="399"/>
      <c r="AJ56" s="400">
        <f t="shared" si="131"/>
        <v>0</v>
      </c>
      <c r="AK56" s="401"/>
      <c r="AL56" s="398">
        <f t="shared" si="114"/>
        <v>0</v>
      </c>
      <c r="AM56" s="399">
        <f t="shared" si="100"/>
        <v>0</v>
      </c>
      <c r="AN56" s="400">
        <f t="shared" si="132"/>
        <v>0</v>
      </c>
      <c r="AO56" s="401">
        <f t="shared" si="101"/>
        <v>0</v>
      </c>
      <c r="AP56" s="398">
        <f t="shared" si="115"/>
        <v>0</v>
      </c>
      <c r="AQ56" s="399">
        <f t="shared" si="102"/>
        <v>0</v>
      </c>
      <c r="AR56" s="400">
        <f t="shared" si="133"/>
        <v>0</v>
      </c>
      <c r="AS56" s="401">
        <f t="shared" si="103"/>
        <v>0</v>
      </c>
      <c r="AT56" s="398">
        <f t="shared" si="116"/>
        <v>0</v>
      </c>
      <c r="AU56" s="399">
        <f t="shared" si="104"/>
        <v>0</v>
      </c>
      <c r="AV56" s="400">
        <f t="shared" si="134"/>
        <v>0</v>
      </c>
      <c r="AW56" s="401">
        <f t="shared" si="105"/>
        <v>0</v>
      </c>
      <c r="AX56" s="432">
        <f t="shared" si="117"/>
        <v>3421</v>
      </c>
      <c r="AY56" s="432">
        <f t="shared" si="118"/>
        <v>59</v>
      </c>
      <c r="AZ56" s="432">
        <f t="shared" si="119"/>
        <v>3480</v>
      </c>
      <c r="BA56" s="432">
        <f t="shared" si="120"/>
        <v>2</v>
      </c>
      <c r="BB56" s="435"/>
      <c r="BC56" s="395">
        <f t="shared" si="121"/>
        <v>462</v>
      </c>
      <c r="BD56" s="395">
        <f t="shared" si="122"/>
        <v>462</v>
      </c>
      <c r="BE56" s="395">
        <f t="shared" si="123"/>
        <v>0</v>
      </c>
      <c r="BG56" s="430"/>
      <c r="BH56" s="430"/>
      <c r="BI56" s="430"/>
      <c r="BJ56" s="430"/>
      <c r="BK56" s="430"/>
      <c r="BL56" s="430"/>
      <c r="BM56" s="430"/>
    </row>
    <row r="57" spans="1:73" ht="14.4" thickBot="1">
      <c r="A57" s="397" t="s">
        <v>397</v>
      </c>
      <c r="B57" s="398">
        <f t="shared" si="83"/>
        <v>874</v>
      </c>
      <c r="C57" s="399">
        <f t="shared" si="84"/>
        <v>7</v>
      </c>
      <c r="D57" s="400">
        <f t="shared" si="106"/>
        <v>881</v>
      </c>
      <c r="E57" s="401">
        <f t="shared" si="85"/>
        <v>0</v>
      </c>
      <c r="F57" s="398">
        <f t="shared" si="107"/>
        <v>589</v>
      </c>
      <c r="G57" s="398">
        <f t="shared" si="86"/>
        <v>5</v>
      </c>
      <c r="H57" s="400">
        <f t="shared" si="124"/>
        <v>594</v>
      </c>
      <c r="I57" s="401">
        <f t="shared" si="87"/>
        <v>0</v>
      </c>
      <c r="J57" s="398">
        <f t="shared" si="108"/>
        <v>1288</v>
      </c>
      <c r="K57" s="399">
        <f t="shared" si="88"/>
        <v>2</v>
      </c>
      <c r="L57" s="400">
        <f t="shared" si="125"/>
        <v>1290</v>
      </c>
      <c r="M57" s="401">
        <f>M25-I25</f>
        <v>1</v>
      </c>
      <c r="N57" s="398">
        <f t="shared" si="109"/>
        <v>756</v>
      </c>
      <c r="O57" s="398">
        <f t="shared" si="90"/>
        <v>1</v>
      </c>
      <c r="P57" s="400">
        <f t="shared" si="126"/>
        <v>757</v>
      </c>
      <c r="Q57" s="401">
        <f t="shared" si="91"/>
        <v>0</v>
      </c>
      <c r="R57" s="398">
        <f t="shared" si="110"/>
        <v>679</v>
      </c>
      <c r="S57" s="399">
        <f t="shared" si="92"/>
        <v>6</v>
      </c>
      <c r="T57" s="400">
        <f t="shared" si="127"/>
        <v>685</v>
      </c>
      <c r="U57" s="401">
        <f t="shared" si="93"/>
        <v>2</v>
      </c>
      <c r="V57" s="398">
        <f t="shared" si="111"/>
        <v>434</v>
      </c>
      <c r="W57" s="399">
        <f t="shared" si="94"/>
        <v>2</v>
      </c>
      <c r="X57" s="400">
        <f t="shared" si="128"/>
        <v>436</v>
      </c>
      <c r="Y57" s="401">
        <f t="shared" si="95"/>
        <v>0</v>
      </c>
      <c r="Z57" s="398">
        <f t="shared" si="112"/>
        <v>622</v>
      </c>
      <c r="AA57" s="399">
        <f t="shared" si="96"/>
        <v>2</v>
      </c>
      <c r="AB57" s="400">
        <f t="shared" si="129"/>
        <v>624</v>
      </c>
      <c r="AC57" s="401">
        <f t="shared" si="97"/>
        <v>1</v>
      </c>
      <c r="AD57" s="398">
        <f t="shared" si="113"/>
        <v>529</v>
      </c>
      <c r="AE57" s="399">
        <f t="shared" si="98"/>
        <v>1</v>
      </c>
      <c r="AF57" s="400">
        <f t="shared" si="130"/>
        <v>530</v>
      </c>
      <c r="AG57" s="401">
        <f t="shared" si="99"/>
        <v>0</v>
      </c>
      <c r="AH57" s="398"/>
      <c r="AI57" s="399"/>
      <c r="AJ57" s="400">
        <f t="shared" si="131"/>
        <v>0</v>
      </c>
      <c r="AK57" s="401"/>
      <c r="AL57" s="398">
        <f t="shared" si="114"/>
        <v>0</v>
      </c>
      <c r="AM57" s="399">
        <f t="shared" si="100"/>
        <v>0</v>
      </c>
      <c r="AN57" s="400">
        <f t="shared" si="132"/>
        <v>0</v>
      </c>
      <c r="AO57" s="401">
        <f t="shared" si="101"/>
        <v>0</v>
      </c>
      <c r="AP57" s="398">
        <f t="shared" si="115"/>
        <v>0</v>
      </c>
      <c r="AQ57" s="399">
        <f t="shared" si="102"/>
        <v>0</v>
      </c>
      <c r="AR57" s="400">
        <f t="shared" si="133"/>
        <v>0</v>
      </c>
      <c r="AS57" s="401">
        <f t="shared" si="103"/>
        <v>0</v>
      </c>
      <c r="AT57" s="398">
        <f t="shared" si="116"/>
        <v>0</v>
      </c>
      <c r="AU57" s="399">
        <f t="shared" si="104"/>
        <v>0</v>
      </c>
      <c r="AV57" s="400">
        <f t="shared" si="134"/>
        <v>0</v>
      </c>
      <c r="AW57" s="401">
        <f t="shared" si="105"/>
        <v>0</v>
      </c>
      <c r="AX57" s="432">
        <f t="shared" si="117"/>
        <v>5771</v>
      </c>
      <c r="AY57" s="432">
        <f t="shared" si="118"/>
        <v>26</v>
      </c>
      <c r="AZ57" s="432">
        <f t="shared" si="119"/>
        <v>5797</v>
      </c>
      <c r="BA57" s="432">
        <f t="shared" si="120"/>
        <v>4</v>
      </c>
      <c r="BB57" s="435"/>
      <c r="BC57" s="395">
        <f t="shared" si="121"/>
        <v>530</v>
      </c>
      <c r="BD57" s="395">
        <f t="shared" si="122"/>
        <v>530</v>
      </c>
      <c r="BE57" s="395">
        <f t="shared" si="123"/>
        <v>0</v>
      </c>
      <c r="BG57" s="426"/>
      <c r="BH57" s="426"/>
      <c r="BI57" s="426"/>
    </row>
    <row r="58" spans="1:73" ht="14.4" thickBot="1">
      <c r="A58" s="397" t="s">
        <v>399</v>
      </c>
      <c r="B58" s="398">
        <f t="shared" si="83"/>
        <v>1622</v>
      </c>
      <c r="C58" s="399">
        <f t="shared" si="84"/>
        <v>13</v>
      </c>
      <c r="D58" s="400">
        <f>+B58+C58</f>
        <v>1635</v>
      </c>
      <c r="E58" s="401">
        <f t="shared" si="85"/>
        <v>0</v>
      </c>
      <c r="F58" s="398">
        <f t="shared" si="107"/>
        <v>1516</v>
      </c>
      <c r="G58" s="398">
        <f t="shared" si="86"/>
        <v>9</v>
      </c>
      <c r="H58" s="400">
        <f t="shared" si="124"/>
        <v>1525</v>
      </c>
      <c r="I58" s="401">
        <f t="shared" si="87"/>
        <v>0</v>
      </c>
      <c r="J58" s="398">
        <f t="shared" si="108"/>
        <v>1331</v>
      </c>
      <c r="K58" s="399">
        <f t="shared" si="88"/>
        <v>6</v>
      </c>
      <c r="L58" s="400">
        <f t="shared" si="125"/>
        <v>1337</v>
      </c>
      <c r="M58" s="401">
        <f t="shared" si="89"/>
        <v>1</v>
      </c>
      <c r="N58" s="398">
        <f t="shared" si="109"/>
        <v>1205</v>
      </c>
      <c r="O58" s="398">
        <f t="shared" si="90"/>
        <v>5</v>
      </c>
      <c r="P58" s="400">
        <f t="shared" si="126"/>
        <v>1210</v>
      </c>
      <c r="Q58" s="401">
        <f t="shared" si="91"/>
        <v>1</v>
      </c>
      <c r="R58" s="398">
        <f t="shared" si="110"/>
        <v>1088</v>
      </c>
      <c r="S58" s="399">
        <f t="shared" si="92"/>
        <v>8</v>
      </c>
      <c r="T58" s="400">
        <f t="shared" si="127"/>
        <v>1096</v>
      </c>
      <c r="U58" s="401">
        <f t="shared" si="93"/>
        <v>2</v>
      </c>
      <c r="V58" s="398">
        <f t="shared" si="111"/>
        <v>1352</v>
      </c>
      <c r="W58" s="399">
        <f t="shared" si="94"/>
        <v>1</v>
      </c>
      <c r="X58" s="400">
        <f t="shared" si="128"/>
        <v>1353</v>
      </c>
      <c r="Y58" s="401">
        <f t="shared" si="95"/>
        <v>1</v>
      </c>
      <c r="Z58" s="398">
        <f t="shared" si="112"/>
        <v>1256</v>
      </c>
      <c r="AA58" s="399">
        <f t="shared" si="96"/>
        <v>1</v>
      </c>
      <c r="AB58" s="400">
        <f t="shared" si="129"/>
        <v>1257</v>
      </c>
      <c r="AC58" s="401">
        <f t="shared" si="97"/>
        <v>2</v>
      </c>
      <c r="AD58" s="398">
        <f t="shared" si="113"/>
        <v>914</v>
      </c>
      <c r="AE58" s="399">
        <f t="shared" si="98"/>
        <v>1</v>
      </c>
      <c r="AF58" s="400">
        <f t="shared" si="130"/>
        <v>915</v>
      </c>
      <c r="AG58" s="401">
        <f t="shared" si="99"/>
        <v>2</v>
      </c>
      <c r="AH58" s="398"/>
      <c r="AI58" s="399"/>
      <c r="AJ58" s="400">
        <f t="shared" si="131"/>
        <v>0</v>
      </c>
      <c r="AK58" s="401"/>
      <c r="AL58" s="398">
        <f t="shared" si="114"/>
        <v>0</v>
      </c>
      <c r="AM58" s="399">
        <f t="shared" si="100"/>
        <v>0</v>
      </c>
      <c r="AN58" s="400">
        <f t="shared" si="132"/>
        <v>0</v>
      </c>
      <c r="AO58" s="401">
        <f t="shared" si="101"/>
        <v>0</v>
      </c>
      <c r="AP58" s="398">
        <f t="shared" si="115"/>
        <v>0</v>
      </c>
      <c r="AQ58" s="399">
        <f t="shared" si="102"/>
        <v>0</v>
      </c>
      <c r="AR58" s="400">
        <f t="shared" si="133"/>
        <v>0</v>
      </c>
      <c r="AS58" s="401">
        <f t="shared" si="103"/>
        <v>0</v>
      </c>
      <c r="AT58" s="398">
        <f t="shared" si="116"/>
        <v>0</v>
      </c>
      <c r="AU58" s="399">
        <f t="shared" si="104"/>
        <v>0</v>
      </c>
      <c r="AV58" s="400">
        <f t="shared" si="134"/>
        <v>0</v>
      </c>
      <c r="AW58" s="401">
        <f t="shared" si="105"/>
        <v>0</v>
      </c>
      <c r="AX58" s="432">
        <f t="shared" si="117"/>
        <v>10284</v>
      </c>
      <c r="AY58" s="432">
        <f t="shared" si="118"/>
        <v>44</v>
      </c>
      <c r="AZ58" s="432">
        <f t="shared" si="119"/>
        <v>10328</v>
      </c>
      <c r="BA58" s="432">
        <f t="shared" si="120"/>
        <v>9</v>
      </c>
      <c r="BB58" s="435"/>
      <c r="BC58" s="395">
        <f t="shared" si="121"/>
        <v>917</v>
      </c>
      <c r="BD58" s="395">
        <f t="shared" si="122"/>
        <v>915</v>
      </c>
      <c r="BE58" s="395">
        <f t="shared" si="123"/>
        <v>2</v>
      </c>
      <c r="BG58" s="430"/>
      <c r="BH58" s="430"/>
      <c r="BI58" s="430"/>
      <c r="BJ58" s="430"/>
      <c r="BK58" s="430"/>
      <c r="BL58" s="430"/>
      <c r="BM58" s="430"/>
    </row>
    <row r="59" spans="1:73" ht="14.4" thickBot="1">
      <c r="A59" s="397" t="s">
        <v>883</v>
      </c>
      <c r="B59" s="398">
        <f t="shared" si="83"/>
        <v>562</v>
      </c>
      <c r="C59" s="399">
        <f t="shared" si="84"/>
        <v>6</v>
      </c>
      <c r="D59" s="400">
        <f t="shared" si="106"/>
        <v>568</v>
      </c>
      <c r="E59" s="401">
        <f t="shared" si="85"/>
        <v>0</v>
      </c>
      <c r="F59" s="398">
        <f t="shared" si="107"/>
        <v>651</v>
      </c>
      <c r="G59" s="398">
        <f t="shared" si="86"/>
        <v>4</v>
      </c>
      <c r="H59" s="400">
        <f t="shared" si="124"/>
        <v>655</v>
      </c>
      <c r="I59" s="401">
        <f t="shared" si="87"/>
        <v>0</v>
      </c>
      <c r="J59" s="398">
        <f t="shared" si="108"/>
        <v>918</v>
      </c>
      <c r="K59" s="399">
        <f t="shared" si="88"/>
        <v>4</v>
      </c>
      <c r="L59" s="400">
        <f t="shared" si="125"/>
        <v>922</v>
      </c>
      <c r="M59" s="401">
        <f t="shared" si="89"/>
        <v>1</v>
      </c>
      <c r="N59" s="398">
        <f t="shared" si="109"/>
        <v>327</v>
      </c>
      <c r="O59" s="398">
        <f t="shared" si="90"/>
        <v>5</v>
      </c>
      <c r="P59" s="400">
        <f t="shared" si="126"/>
        <v>332</v>
      </c>
      <c r="Q59" s="401">
        <f t="shared" si="91"/>
        <v>1</v>
      </c>
      <c r="R59" s="398">
        <f t="shared" si="110"/>
        <v>615</v>
      </c>
      <c r="S59" s="399">
        <f t="shared" si="92"/>
        <v>2</v>
      </c>
      <c r="T59" s="400">
        <f t="shared" si="127"/>
        <v>617</v>
      </c>
      <c r="U59" s="401">
        <f t="shared" si="93"/>
        <v>1</v>
      </c>
      <c r="V59" s="398">
        <f t="shared" si="111"/>
        <v>649</v>
      </c>
      <c r="W59" s="399">
        <f t="shared" si="94"/>
        <v>-1</v>
      </c>
      <c r="X59" s="400">
        <f t="shared" si="128"/>
        <v>648</v>
      </c>
      <c r="Y59" s="401">
        <f t="shared" si="95"/>
        <v>1</v>
      </c>
      <c r="Z59" s="398">
        <f t="shared" si="112"/>
        <v>450</v>
      </c>
      <c r="AA59" s="399">
        <f t="shared" si="96"/>
        <v>5</v>
      </c>
      <c r="AB59" s="400">
        <f t="shared" si="129"/>
        <v>455</v>
      </c>
      <c r="AC59" s="401">
        <f t="shared" si="97"/>
        <v>0</v>
      </c>
      <c r="AD59" s="398">
        <f t="shared" si="113"/>
        <v>356</v>
      </c>
      <c r="AE59" s="399">
        <f t="shared" si="98"/>
        <v>0</v>
      </c>
      <c r="AF59" s="400">
        <f t="shared" si="130"/>
        <v>356</v>
      </c>
      <c r="AG59" s="401">
        <f t="shared" si="99"/>
        <v>0</v>
      </c>
      <c r="AH59" s="398"/>
      <c r="AI59" s="399"/>
      <c r="AJ59" s="400">
        <f t="shared" si="131"/>
        <v>0</v>
      </c>
      <c r="AK59" s="401"/>
      <c r="AL59" s="398">
        <f t="shared" si="114"/>
        <v>0</v>
      </c>
      <c r="AM59" s="399">
        <f t="shared" si="100"/>
        <v>0</v>
      </c>
      <c r="AN59" s="400">
        <f t="shared" si="132"/>
        <v>0</v>
      </c>
      <c r="AO59" s="401">
        <f t="shared" si="101"/>
        <v>0</v>
      </c>
      <c r="AP59" s="398">
        <f t="shared" si="115"/>
        <v>0</v>
      </c>
      <c r="AQ59" s="399">
        <f t="shared" si="102"/>
        <v>0</v>
      </c>
      <c r="AR59" s="400">
        <f t="shared" si="133"/>
        <v>0</v>
      </c>
      <c r="AS59" s="401">
        <f t="shared" si="103"/>
        <v>0</v>
      </c>
      <c r="AT59" s="398">
        <f t="shared" si="116"/>
        <v>0</v>
      </c>
      <c r="AU59" s="399">
        <f t="shared" si="104"/>
        <v>0</v>
      </c>
      <c r="AV59" s="400">
        <f t="shared" si="134"/>
        <v>0</v>
      </c>
      <c r="AW59" s="401">
        <f t="shared" si="105"/>
        <v>0</v>
      </c>
      <c r="AX59" s="432">
        <f t="shared" si="117"/>
        <v>4528</v>
      </c>
      <c r="AY59" s="432">
        <f t="shared" si="118"/>
        <v>25</v>
      </c>
      <c r="AZ59" s="432">
        <f t="shared" si="119"/>
        <v>4553</v>
      </c>
      <c r="BA59" s="432">
        <f t="shared" si="120"/>
        <v>4</v>
      </c>
      <c r="BB59" s="435"/>
      <c r="BC59" s="395">
        <f t="shared" si="121"/>
        <v>356</v>
      </c>
      <c r="BD59" s="395">
        <f t="shared" si="122"/>
        <v>356</v>
      </c>
      <c r="BE59" s="395">
        <f t="shared" si="123"/>
        <v>0</v>
      </c>
      <c r="BG59" s="426"/>
      <c r="BH59" s="426"/>
      <c r="BI59" s="426"/>
    </row>
    <row r="60" spans="1:73" ht="14.4" thickBot="1">
      <c r="A60" s="397" t="s">
        <v>884</v>
      </c>
      <c r="B60" s="398">
        <f t="shared" si="83"/>
        <v>1447</v>
      </c>
      <c r="C60" s="399">
        <f t="shared" si="84"/>
        <v>25</v>
      </c>
      <c r="D60" s="400">
        <f t="shared" si="106"/>
        <v>1472</v>
      </c>
      <c r="E60" s="401">
        <f t="shared" si="85"/>
        <v>0</v>
      </c>
      <c r="F60" s="398">
        <f t="shared" si="107"/>
        <v>1538</v>
      </c>
      <c r="G60" s="398">
        <f t="shared" si="86"/>
        <v>18</v>
      </c>
      <c r="H60" s="400">
        <f t="shared" si="124"/>
        <v>1556</v>
      </c>
      <c r="I60" s="401">
        <f t="shared" si="87"/>
        <v>0</v>
      </c>
      <c r="J60" s="398">
        <f t="shared" si="108"/>
        <v>1443</v>
      </c>
      <c r="K60" s="399">
        <f t="shared" si="88"/>
        <v>10</v>
      </c>
      <c r="L60" s="400">
        <f t="shared" si="125"/>
        <v>1453</v>
      </c>
      <c r="M60" s="401">
        <f t="shared" si="89"/>
        <v>1</v>
      </c>
      <c r="N60" s="398">
        <f t="shared" si="109"/>
        <v>765</v>
      </c>
      <c r="O60" s="398">
        <f t="shared" si="90"/>
        <v>27</v>
      </c>
      <c r="P60" s="400">
        <f t="shared" si="126"/>
        <v>792</v>
      </c>
      <c r="Q60" s="401">
        <f t="shared" si="91"/>
        <v>1</v>
      </c>
      <c r="R60" s="398">
        <f t="shared" si="110"/>
        <v>862</v>
      </c>
      <c r="S60" s="399">
        <f t="shared" si="92"/>
        <v>9</v>
      </c>
      <c r="T60" s="400">
        <f t="shared" si="127"/>
        <v>871</v>
      </c>
      <c r="U60" s="401">
        <f t="shared" si="93"/>
        <v>0</v>
      </c>
      <c r="V60" s="398">
        <f t="shared" si="111"/>
        <v>463</v>
      </c>
      <c r="W60" s="399">
        <f t="shared" si="94"/>
        <v>1</v>
      </c>
      <c r="X60" s="400">
        <f t="shared" si="128"/>
        <v>464</v>
      </c>
      <c r="Y60" s="401">
        <f t="shared" si="95"/>
        <v>0</v>
      </c>
      <c r="Z60" s="398">
        <f t="shared" si="112"/>
        <v>578</v>
      </c>
      <c r="AA60" s="399">
        <f t="shared" si="96"/>
        <v>5</v>
      </c>
      <c r="AB60" s="400">
        <f t="shared" si="129"/>
        <v>583</v>
      </c>
      <c r="AC60" s="401">
        <f t="shared" si="97"/>
        <v>1</v>
      </c>
      <c r="AD60" s="398">
        <f t="shared" si="113"/>
        <v>1211</v>
      </c>
      <c r="AE60" s="399">
        <f t="shared" si="98"/>
        <v>4</v>
      </c>
      <c r="AF60" s="400">
        <f t="shared" si="130"/>
        <v>1215</v>
      </c>
      <c r="AG60" s="401">
        <f t="shared" si="99"/>
        <v>2</v>
      </c>
      <c r="AH60" s="398"/>
      <c r="AI60" s="399"/>
      <c r="AJ60" s="400">
        <f t="shared" si="131"/>
        <v>0</v>
      </c>
      <c r="AK60" s="401"/>
      <c r="AL60" s="398">
        <f t="shared" si="114"/>
        <v>0</v>
      </c>
      <c r="AM60" s="399">
        <f t="shared" si="100"/>
        <v>0</v>
      </c>
      <c r="AN60" s="400">
        <f t="shared" si="132"/>
        <v>0</v>
      </c>
      <c r="AO60" s="401">
        <f t="shared" si="101"/>
        <v>0</v>
      </c>
      <c r="AP60" s="398">
        <f t="shared" si="115"/>
        <v>0</v>
      </c>
      <c r="AQ60" s="399">
        <f t="shared" si="102"/>
        <v>0</v>
      </c>
      <c r="AR60" s="400">
        <f t="shared" si="133"/>
        <v>0</v>
      </c>
      <c r="AS60" s="401">
        <f t="shared" si="103"/>
        <v>0</v>
      </c>
      <c r="AT60" s="398">
        <f t="shared" si="116"/>
        <v>0</v>
      </c>
      <c r="AU60" s="399">
        <f t="shared" si="104"/>
        <v>0</v>
      </c>
      <c r="AV60" s="400">
        <f t="shared" si="134"/>
        <v>0</v>
      </c>
      <c r="AW60" s="401">
        <f t="shared" si="105"/>
        <v>0</v>
      </c>
      <c r="AX60" s="432">
        <f t="shared" si="117"/>
        <v>8307</v>
      </c>
      <c r="AY60" s="432">
        <f t="shared" si="118"/>
        <v>99</v>
      </c>
      <c r="AZ60" s="432">
        <f t="shared" si="119"/>
        <v>8406</v>
      </c>
      <c r="BA60" s="432">
        <f t="shared" si="120"/>
        <v>5</v>
      </c>
      <c r="BB60" s="435"/>
      <c r="BC60" s="395">
        <f t="shared" si="121"/>
        <v>1217</v>
      </c>
      <c r="BD60" s="395">
        <f t="shared" si="122"/>
        <v>1215</v>
      </c>
      <c r="BE60" s="395">
        <f t="shared" si="123"/>
        <v>2</v>
      </c>
      <c r="BG60" s="430"/>
      <c r="BH60" s="430"/>
      <c r="BI60" s="430"/>
      <c r="BJ60" s="430"/>
      <c r="BK60" s="430"/>
      <c r="BL60" s="430"/>
      <c r="BM60" s="430"/>
    </row>
    <row r="61" spans="1:73" ht="14.4" thickBot="1">
      <c r="A61" s="397" t="s">
        <v>885</v>
      </c>
      <c r="B61" s="398">
        <f t="shared" si="83"/>
        <v>398</v>
      </c>
      <c r="C61" s="399">
        <f t="shared" si="84"/>
        <v>10</v>
      </c>
      <c r="D61" s="400">
        <f>+B61+C61</f>
        <v>408</v>
      </c>
      <c r="E61" s="401">
        <f t="shared" si="85"/>
        <v>0</v>
      </c>
      <c r="F61" s="398">
        <f t="shared" si="107"/>
        <v>547</v>
      </c>
      <c r="G61" s="398">
        <f t="shared" si="86"/>
        <v>4</v>
      </c>
      <c r="H61" s="400">
        <f t="shared" si="124"/>
        <v>551</v>
      </c>
      <c r="I61" s="401">
        <f t="shared" si="87"/>
        <v>0</v>
      </c>
      <c r="J61" s="398">
        <f t="shared" si="108"/>
        <v>817</v>
      </c>
      <c r="K61" s="399">
        <f t="shared" si="88"/>
        <v>3</v>
      </c>
      <c r="L61" s="400">
        <f t="shared" si="125"/>
        <v>820</v>
      </c>
      <c r="M61" s="401">
        <f t="shared" si="89"/>
        <v>0</v>
      </c>
      <c r="N61" s="398">
        <f t="shared" si="109"/>
        <v>879</v>
      </c>
      <c r="O61" s="398">
        <f t="shared" si="90"/>
        <v>3</v>
      </c>
      <c r="P61" s="400">
        <f t="shared" si="126"/>
        <v>882</v>
      </c>
      <c r="Q61" s="401">
        <f t="shared" si="91"/>
        <v>0</v>
      </c>
      <c r="R61" s="398">
        <f t="shared" si="110"/>
        <v>864</v>
      </c>
      <c r="S61" s="399">
        <f t="shared" si="92"/>
        <v>-1</v>
      </c>
      <c r="T61" s="400">
        <f t="shared" si="127"/>
        <v>863</v>
      </c>
      <c r="U61" s="401">
        <f t="shared" si="93"/>
        <v>1</v>
      </c>
      <c r="V61" s="398">
        <f t="shared" si="111"/>
        <v>242</v>
      </c>
      <c r="W61" s="399">
        <f t="shared" si="94"/>
        <v>6</v>
      </c>
      <c r="X61" s="400">
        <f t="shared" si="128"/>
        <v>248</v>
      </c>
      <c r="Y61" s="401">
        <f t="shared" si="95"/>
        <v>0</v>
      </c>
      <c r="Z61" s="398">
        <f t="shared" si="112"/>
        <v>213</v>
      </c>
      <c r="AA61" s="399">
        <f t="shared" si="96"/>
        <v>0</v>
      </c>
      <c r="AB61" s="400">
        <f t="shared" si="129"/>
        <v>213</v>
      </c>
      <c r="AC61" s="401">
        <f t="shared" si="97"/>
        <v>0</v>
      </c>
      <c r="AD61" s="398">
        <f t="shared" si="113"/>
        <v>174</v>
      </c>
      <c r="AE61" s="399">
        <f t="shared" si="98"/>
        <v>2</v>
      </c>
      <c r="AF61" s="400">
        <f t="shared" si="130"/>
        <v>176</v>
      </c>
      <c r="AG61" s="401">
        <f t="shared" si="99"/>
        <v>0</v>
      </c>
      <c r="AH61" s="398"/>
      <c r="AI61" s="399"/>
      <c r="AJ61" s="400">
        <f t="shared" si="131"/>
        <v>0</v>
      </c>
      <c r="AK61" s="401"/>
      <c r="AL61" s="398">
        <f t="shared" si="114"/>
        <v>0</v>
      </c>
      <c r="AM61" s="399">
        <f t="shared" si="100"/>
        <v>0</v>
      </c>
      <c r="AN61" s="400">
        <f t="shared" si="132"/>
        <v>0</v>
      </c>
      <c r="AO61" s="401">
        <f t="shared" si="101"/>
        <v>0</v>
      </c>
      <c r="AP61" s="398">
        <f t="shared" si="115"/>
        <v>0</v>
      </c>
      <c r="AQ61" s="399">
        <f t="shared" si="102"/>
        <v>0</v>
      </c>
      <c r="AR61" s="400">
        <f t="shared" si="133"/>
        <v>0</v>
      </c>
      <c r="AS61" s="401">
        <f t="shared" si="103"/>
        <v>0</v>
      </c>
      <c r="AT61" s="398">
        <f t="shared" si="116"/>
        <v>0</v>
      </c>
      <c r="AU61" s="399">
        <f t="shared" si="104"/>
        <v>0</v>
      </c>
      <c r="AV61" s="400">
        <f t="shared" si="134"/>
        <v>0</v>
      </c>
      <c r="AW61" s="401">
        <f t="shared" si="105"/>
        <v>0</v>
      </c>
      <c r="AX61" s="432">
        <f t="shared" si="117"/>
        <v>4134</v>
      </c>
      <c r="AY61" s="432">
        <f t="shared" si="118"/>
        <v>27</v>
      </c>
      <c r="AZ61" s="432">
        <f t="shared" si="119"/>
        <v>4161</v>
      </c>
      <c r="BA61" s="432">
        <f t="shared" si="120"/>
        <v>1</v>
      </c>
      <c r="BB61" s="435"/>
      <c r="BC61" s="395">
        <f t="shared" si="121"/>
        <v>176</v>
      </c>
      <c r="BD61" s="395">
        <f t="shared" si="122"/>
        <v>176</v>
      </c>
      <c r="BE61" s="395">
        <f t="shared" si="123"/>
        <v>0</v>
      </c>
      <c r="BG61" s="426"/>
      <c r="BH61" s="426"/>
      <c r="BI61" s="426"/>
    </row>
    <row r="62" spans="1:73" ht="14.4" thickBot="1">
      <c r="A62" s="433" t="s">
        <v>16</v>
      </c>
      <c r="B62" s="417">
        <f t="shared" ref="B62:AG62" si="135">SUM(B52:B61)</f>
        <v>12514</v>
      </c>
      <c r="C62" s="419">
        <f t="shared" si="135"/>
        <v>154</v>
      </c>
      <c r="D62" s="419">
        <f t="shared" si="135"/>
        <v>12668</v>
      </c>
      <c r="E62" s="420">
        <f t="shared" si="135"/>
        <v>-3</v>
      </c>
      <c r="F62" s="417">
        <f t="shared" si="135"/>
        <v>11784</v>
      </c>
      <c r="G62" s="419">
        <f t="shared" si="135"/>
        <v>103</v>
      </c>
      <c r="H62" s="419">
        <f t="shared" si="135"/>
        <v>11887</v>
      </c>
      <c r="I62" s="420">
        <f t="shared" si="135"/>
        <v>3</v>
      </c>
      <c r="J62" s="417">
        <f t="shared" si="135"/>
        <v>10922</v>
      </c>
      <c r="K62" s="419">
        <f t="shared" si="135"/>
        <v>86</v>
      </c>
      <c r="L62" s="419">
        <f t="shared" si="135"/>
        <v>11008</v>
      </c>
      <c r="M62" s="420">
        <f t="shared" si="135"/>
        <v>10</v>
      </c>
      <c r="N62" s="417">
        <f t="shared" si="135"/>
        <v>7760</v>
      </c>
      <c r="O62" s="419">
        <f t="shared" si="135"/>
        <v>75</v>
      </c>
      <c r="P62" s="419">
        <f t="shared" si="135"/>
        <v>7835</v>
      </c>
      <c r="Q62" s="420">
        <f t="shared" si="135"/>
        <v>5</v>
      </c>
      <c r="R62" s="417">
        <f t="shared" si="135"/>
        <v>8095</v>
      </c>
      <c r="S62" s="419">
        <f t="shared" si="135"/>
        <v>63</v>
      </c>
      <c r="T62" s="419">
        <f t="shared" si="135"/>
        <v>8158</v>
      </c>
      <c r="U62" s="420">
        <f t="shared" si="135"/>
        <v>11</v>
      </c>
      <c r="V62" s="417">
        <f t="shared" si="135"/>
        <v>6849</v>
      </c>
      <c r="W62" s="419">
        <f t="shared" si="135"/>
        <v>38</v>
      </c>
      <c r="X62" s="419">
        <f t="shared" si="135"/>
        <v>6887</v>
      </c>
      <c r="Y62" s="420">
        <f t="shared" si="135"/>
        <v>3</v>
      </c>
      <c r="Z62" s="417">
        <f t="shared" si="135"/>
        <v>6377</v>
      </c>
      <c r="AA62" s="419">
        <f t="shared" si="135"/>
        <v>27</v>
      </c>
      <c r="AB62" s="419">
        <f t="shared" si="135"/>
        <v>6404</v>
      </c>
      <c r="AC62" s="420">
        <f t="shared" si="135"/>
        <v>9</v>
      </c>
      <c r="AD62" s="417">
        <f t="shared" si="135"/>
        <v>7049</v>
      </c>
      <c r="AE62" s="419">
        <f t="shared" si="135"/>
        <v>23</v>
      </c>
      <c r="AF62" s="419">
        <f t="shared" si="135"/>
        <v>7072</v>
      </c>
      <c r="AG62" s="420">
        <f t="shared" si="135"/>
        <v>4</v>
      </c>
      <c r="AH62" s="417">
        <f t="shared" ref="AH62:BA62" si="136">SUM(AH52:AH61)</f>
        <v>0</v>
      </c>
      <c r="AI62" s="419">
        <f t="shared" si="136"/>
        <v>0</v>
      </c>
      <c r="AJ62" s="419">
        <f t="shared" si="136"/>
        <v>0</v>
      </c>
      <c r="AK62" s="420">
        <f t="shared" si="136"/>
        <v>0</v>
      </c>
      <c r="AL62" s="417">
        <f t="shared" si="136"/>
        <v>0</v>
      </c>
      <c r="AM62" s="419">
        <f t="shared" si="136"/>
        <v>0</v>
      </c>
      <c r="AN62" s="419">
        <f t="shared" si="136"/>
        <v>0</v>
      </c>
      <c r="AO62" s="420">
        <f t="shared" si="136"/>
        <v>0</v>
      </c>
      <c r="AP62" s="417">
        <f t="shared" si="136"/>
        <v>0</v>
      </c>
      <c r="AQ62" s="419">
        <f t="shared" si="136"/>
        <v>0</v>
      </c>
      <c r="AR62" s="419">
        <f t="shared" si="136"/>
        <v>0</v>
      </c>
      <c r="AS62" s="420">
        <f t="shared" si="136"/>
        <v>0</v>
      </c>
      <c r="AT62" s="417">
        <f t="shared" si="136"/>
        <v>0</v>
      </c>
      <c r="AU62" s="419">
        <f t="shared" si="136"/>
        <v>0</v>
      </c>
      <c r="AV62" s="419">
        <f t="shared" si="136"/>
        <v>0</v>
      </c>
      <c r="AW62" s="420">
        <f t="shared" si="136"/>
        <v>0</v>
      </c>
      <c r="AX62" s="434">
        <f t="shared" si="136"/>
        <v>71350</v>
      </c>
      <c r="AY62" s="434">
        <f t="shared" si="136"/>
        <v>569</v>
      </c>
      <c r="AZ62" s="434">
        <f t="shared" si="136"/>
        <v>71919</v>
      </c>
      <c r="BA62" s="434">
        <f t="shared" si="136"/>
        <v>42</v>
      </c>
      <c r="BB62" s="435"/>
      <c r="BC62" s="395">
        <f t="shared" si="121"/>
        <v>7076</v>
      </c>
      <c r="BD62" s="395">
        <f t="shared" si="122"/>
        <v>7072</v>
      </c>
      <c r="BE62" s="395">
        <f>AG62</f>
        <v>4</v>
      </c>
      <c r="BG62" s="430"/>
      <c r="BH62" s="430"/>
      <c r="BI62" s="430"/>
      <c r="BJ62" s="430"/>
      <c r="BK62" s="430"/>
      <c r="BL62" s="430"/>
      <c r="BM62" s="430"/>
    </row>
    <row r="63" spans="1:73">
      <c r="L63" s="395">
        <f>L62+H62+D62</f>
        <v>35563</v>
      </c>
      <c r="M63" s="395">
        <f>M62+I62+E62</f>
        <v>10</v>
      </c>
      <c r="P63" s="395">
        <f>P62+T62+X62</f>
        <v>22880</v>
      </c>
      <c r="Q63" s="395">
        <f>Q62+U62+Y62</f>
        <v>19</v>
      </c>
      <c r="X63" s="395">
        <f>X62+T62+P62</f>
        <v>22880</v>
      </c>
      <c r="Y63" s="395">
        <f>Y62+U62+Q62</f>
        <v>19</v>
      </c>
      <c r="AJ63" s="117">
        <f>AJ62+AF62+AB62</f>
        <v>13476</v>
      </c>
      <c r="AK63" s="117">
        <f>AK62+AG62+AC62</f>
        <v>13</v>
      </c>
      <c r="AV63" s="117">
        <f>AV62+AR62+AN62</f>
        <v>0</v>
      </c>
      <c r="AW63" s="117">
        <f>AW62+AS62+AO62</f>
        <v>0</v>
      </c>
      <c r="BG63" s="426"/>
      <c r="BH63" s="426"/>
      <c r="BI63" s="426"/>
    </row>
    <row r="64" spans="1:73">
      <c r="BG64" s="430"/>
      <c r="BH64" s="430"/>
      <c r="BI64" s="430"/>
      <c r="BJ64" s="430"/>
      <c r="BK64" s="430"/>
      <c r="BL64" s="430"/>
      <c r="BM64" s="430"/>
    </row>
    <row r="65" spans="1:73" ht="18">
      <c r="A65" s="393" t="s">
        <v>861</v>
      </c>
      <c r="I65" s="429"/>
      <c r="BG65" s="426"/>
      <c r="BH65" s="426"/>
      <c r="BI65" s="426"/>
    </row>
    <row r="66" spans="1:73" ht="18.600000000000001" thickBot="1">
      <c r="A66" s="394">
        <f>A34</f>
        <v>2023</v>
      </c>
      <c r="BG66" s="430"/>
      <c r="BH66" s="430"/>
      <c r="BI66" s="430"/>
      <c r="BJ66" s="430"/>
      <c r="BK66" s="430"/>
      <c r="BL66" s="430"/>
      <c r="BM66" s="430"/>
    </row>
    <row r="67" spans="1:73">
      <c r="A67" s="2815" t="str">
        <f>A35</f>
        <v>DD</v>
      </c>
      <c r="B67" s="2827" t="s">
        <v>71</v>
      </c>
      <c r="C67" s="2828"/>
      <c r="D67" s="2828"/>
      <c r="E67" s="3091"/>
      <c r="F67" s="2829" t="s">
        <v>72</v>
      </c>
      <c r="G67" s="2830"/>
      <c r="H67" s="2830"/>
      <c r="I67" s="3095"/>
      <c r="J67" s="2817" t="s">
        <v>73</v>
      </c>
      <c r="K67" s="2818"/>
      <c r="L67" s="2818"/>
      <c r="M67" s="3094"/>
      <c r="N67" s="2819" t="s">
        <v>74</v>
      </c>
      <c r="O67" s="2820"/>
      <c r="P67" s="2820"/>
      <c r="Q67" s="3090"/>
      <c r="R67" s="2821" t="s">
        <v>75</v>
      </c>
      <c r="S67" s="2822"/>
      <c r="T67" s="2822"/>
      <c r="U67" s="3093"/>
      <c r="V67" s="2823" t="s">
        <v>76</v>
      </c>
      <c r="W67" s="2824"/>
      <c r="X67" s="2824"/>
      <c r="Y67" s="3089"/>
      <c r="Z67" s="2827" t="s">
        <v>77</v>
      </c>
      <c r="AA67" s="2828"/>
      <c r="AB67" s="2828"/>
      <c r="AC67" s="3091"/>
      <c r="AD67" s="2829" t="s">
        <v>78</v>
      </c>
      <c r="AE67" s="2830"/>
      <c r="AF67" s="2830"/>
      <c r="AG67" s="3095"/>
      <c r="AH67" s="2817" t="s">
        <v>79</v>
      </c>
      <c r="AI67" s="2818"/>
      <c r="AJ67" s="2818"/>
      <c r="AK67" s="3094"/>
      <c r="AL67" s="2819" t="s">
        <v>80</v>
      </c>
      <c r="AM67" s="2820"/>
      <c r="AN67" s="2820"/>
      <c r="AO67" s="3090"/>
      <c r="AP67" s="2821" t="s">
        <v>81</v>
      </c>
      <c r="AQ67" s="2822"/>
      <c r="AR67" s="2822"/>
      <c r="AS67" s="3093"/>
      <c r="AT67" s="2823" t="s">
        <v>82</v>
      </c>
      <c r="AU67" s="2824"/>
      <c r="AV67" s="2824"/>
      <c r="AW67" s="3089"/>
      <c r="AX67" s="2825" t="s">
        <v>83</v>
      </c>
      <c r="AY67" s="2826"/>
      <c r="AZ67" s="2826"/>
      <c r="BA67" s="3088"/>
      <c r="BG67" s="426"/>
      <c r="BH67" s="426"/>
      <c r="BI67" s="426"/>
      <c r="BR67" s="3112"/>
      <c r="BS67" s="3112"/>
      <c r="BT67" s="3112"/>
      <c r="BU67" s="3112"/>
    </row>
    <row r="68" spans="1:73" ht="14.4" thickBot="1">
      <c r="A68" s="2816"/>
      <c r="B68" s="402" t="s">
        <v>17</v>
      </c>
      <c r="C68" s="403" t="s">
        <v>18</v>
      </c>
      <c r="D68" s="403" t="s">
        <v>56</v>
      </c>
      <c r="E68" s="404" t="s">
        <v>21</v>
      </c>
      <c r="F68" s="402" t="s">
        <v>17</v>
      </c>
      <c r="G68" s="403" t="s">
        <v>18</v>
      </c>
      <c r="H68" s="403" t="s">
        <v>56</v>
      </c>
      <c r="I68" s="404" t="s">
        <v>21</v>
      </c>
      <c r="J68" s="402" t="s">
        <v>17</v>
      </c>
      <c r="K68" s="403" t="s">
        <v>18</v>
      </c>
      <c r="L68" s="403" t="s">
        <v>56</v>
      </c>
      <c r="M68" s="404" t="s">
        <v>21</v>
      </c>
      <c r="N68" s="402" t="s">
        <v>17</v>
      </c>
      <c r="O68" s="403" t="s">
        <v>18</v>
      </c>
      <c r="P68" s="403" t="s">
        <v>56</v>
      </c>
      <c r="Q68" s="404" t="s">
        <v>21</v>
      </c>
      <c r="R68" s="402" t="s">
        <v>17</v>
      </c>
      <c r="S68" s="403" t="s">
        <v>18</v>
      </c>
      <c r="T68" s="403" t="s">
        <v>56</v>
      </c>
      <c r="U68" s="404" t="s">
        <v>21</v>
      </c>
      <c r="V68" s="402" t="s">
        <v>17</v>
      </c>
      <c r="W68" s="403" t="s">
        <v>18</v>
      </c>
      <c r="X68" s="403" t="s">
        <v>56</v>
      </c>
      <c r="Y68" s="404" t="s">
        <v>21</v>
      </c>
      <c r="Z68" s="402" t="s">
        <v>17</v>
      </c>
      <c r="AA68" s="403" t="s">
        <v>18</v>
      </c>
      <c r="AB68" s="403" t="s">
        <v>56</v>
      </c>
      <c r="AC68" s="404" t="s">
        <v>21</v>
      </c>
      <c r="AD68" s="628" t="s">
        <v>17</v>
      </c>
      <c r="AE68" s="403" t="s">
        <v>18</v>
      </c>
      <c r="AF68" s="403" t="s">
        <v>56</v>
      </c>
      <c r="AG68" s="404" t="s">
        <v>21</v>
      </c>
      <c r="AH68" s="402" t="s">
        <v>17</v>
      </c>
      <c r="AI68" s="403" t="s">
        <v>18</v>
      </c>
      <c r="AJ68" s="403" t="s">
        <v>56</v>
      </c>
      <c r="AK68" s="404" t="s">
        <v>21</v>
      </c>
      <c r="AL68" s="402" t="s">
        <v>17</v>
      </c>
      <c r="AM68" s="403" t="s">
        <v>18</v>
      </c>
      <c r="AN68" s="403" t="s">
        <v>56</v>
      </c>
      <c r="AO68" s="404" t="s">
        <v>21</v>
      </c>
      <c r="AP68" s="402" t="s">
        <v>17</v>
      </c>
      <c r="AQ68" s="403" t="s">
        <v>18</v>
      </c>
      <c r="AR68" s="403" t="s">
        <v>56</v>
      </c>
      <c r="AS68" s="404" t="s">
        <v>21</v>
      </c>
      <c r="AT68" s="402" t="s">
        <v>17</v>
      </c>
      <c r="AU68" s="403" t="s">
        <v>18</v>
      </c>
      <c r="AV68" s="403" t="s">
        <v>56</v>
      </c>
      <c r="AW68" s="404" t="s">
        <v>21</v>
      </c>
      <c r="AX68" s="1057" t="s">
        <v>17</v>
      </c>
      <c r="AY68" s="403" t="s">
        <v>18</v>
      </c>
      <c r="AZ68" s="403" t="s">
        <v>56</v>
      </c>
      <c r="BA68" s="431" t="s">
        <v>21</v>
      </c>
      <c r="BD68" s="117" t="s">
        <v>181</v>
      </c>
      <c r="BE68" s="117" t="s">
        <v>182</v>
      </c>
    </row>
    <row r="69" spans="1:73" ht="14.4" thickBot="1">
      <c r="A69" s="397" t="s">
        <v>6</v>
      </c>
      <c r="B69" s="398">
        <v>47</v>
      </c>
      <c r="C69" s="399">
        <v>0</v>
      </c>
      <c r="D69" s="400">
        <f t="shared" ref="D69:D78" si="137">+B69+C69</f>
        <v>47</v>
      </c>
      <c r="E69" s="401">
        <v>1</v>
      </c>
      <c r="F69" s="398">
        <v>51</v>
      </c>
      <c r="G69" s="398">
        <v>0</v>
      </c>
      <c r="H69" s="400">
        <f t="shared" ref="H69:H78" si="138">+F69+G69</f>
        <v>51</v>
      </c>
      <c r="I69" s="401">
        <v>1</v>
      </c>
      <c r="J69" s="398">
        <v>49</v>
      </c>
      <c r="K69" s="398">
        <v>0</v>
      </c>
      <c r="L69" s="400">
        <f t="shared" ref="L69:L78" si="139">+J69+K69</f>
        <v>49</v>
      </c>
      <c r="M69" s="401">
        <v>1</v>
      </c>
      <c r="N69" s="398">
        <v>39</v>
      </c>
      <c r="O69" s="398">
        <v>0</v>
      </c>
      <c r="P69" s="400">
        <f t="shared" ref="P69:P78" si="140">+N69+O69</f>
        <v>39</v>
      </c>
      <c r="Q69" s="401">
        <v>0</v>
      </c>
      <c r="R69" s="398">
        <v>191</v>
      </c>
      <c r="S69" s="398">
        <v>0</v>
      </c>
      <c r="T69" s="400">
        <f t="shared" ref="T69:T78" si="141">+R69+S69</f>
        <v>191</v>
      </c>
      <c r="U69" s="401">
        <v>0</v>
      </c>
      <c r="V69" s="398">
        <v>109</v>
      </c>
      <c r="W69" s="398">
        <v>0</v>
      </c>
      <c r="X69" s="400">
        <f t="shared" ref="X69:X78" si="142">+V69+W69</f>
        <v>109</v>
      </c>
      <c r="Y69" s="401">
        <v>0</v>
      </c>
      <c r="Z69" s="398">
        <v>114</v>
      </c>
      <c r="AA69" s="398">
        <v>0</v>
      </c>
      <c r="AB69" s="400">
        <f t="shared" ref="AB69:AB78" si="143">+Z69+AA69</f>
        <v>114</v>
      </c>
      <c r="AC69" s="401">
        <v>0</v>
      </c>
      <c r="AD69" s="398">
        <v>175</v>
      </c>
      <c r="AE69" s="398">
        <v>0</v>
      </c>
      <c r="AF69" s="400">
        <f t="shared" ref="AF69:AF78" si="144">+AD69+AE69</f>
        <v>175</v>
      </c>
      <c r="AG69" s="401">
        <v>0</v>
      </c>
      <c r="AH69" s="398"/>
      <c r="AI69" s="398"/>
      <c r="AJ69" s="400">
        <f t="shared" ref="AJ69:AJ78" si="145">+AH69+AI69</f>
        <v>0</v>
      </c>
      <c r="AK69" s="401"/>
      <c r="AL69" s="398"/>
      <c r="AM69" s="398"/>
      <c r="AN69" s="400">
        <f t="shared" ref="AN69:AN78" si="146">+AL69+AM69</f>
        <v>0</v>
      </c>
      <c r="AO69" s="401"/>
      <c r="AP69" s="398"/>
      <c r="AQ69" s="398"/>
      <c r="AR69" s="400">
        <f t="shared" ref="AR69:AR78" si="147">+AP69+AQ69</f>
        <v>0</v>
      </c>
      <c r="AS69" s="401"/>
      <c r="AT69" s="398"/>
      <c r="AU69" s="398"/>
      <c r="AV69" s="400">
        <f t="shared" ref="AV69:AV78" si="148">+AT69+AU69</f>
        <v>0</v>
      </c>
      <c r="AW69" s="401"/>
      <c r="AX69" s="432">
        <f>B69+F69+J69+N69+R69+V69+Z69+AD69+AH69+AL69+AP69+AT69</f>
        <v>775</v>
      </c>
      <c r="AY69" s="432">
        <f>C69+G69+K69+O69+S69+W69+AA69+AE69+AI69+AM69+AQ69+AU69</f>
        <v>0</v>
      </c>
      <c r="AZ69" s="432">
        <f>D69+H69+L69+P69+T69+X69+AB69+AF69+AJ69+AN69+AR69+AV69</f>
        <v>775</v>
      </c>
      <c r="BA69" s="432">
        <f>E69+I69+M69+Q69+U69+Y69+AC69+AG69+AK69+AO69+AS69+AW69</f>
        <v>3</v>
      </c>
      <c r="BB69" s="395"/>
      <c r="BC69" s="395"/>
      <c r="BD69" s="395">
        <f>AF69</f>
        <v>175</v>
      </c>
      <c r="BE69" s="395">
        <f>AG69</f>
        <v>0</v>
      </c>
      <c r="BG69" s="395"/>
    </row>
    <row r="70" spans="1:73" ht="14.4" thickBot="1">
      <c r="A70" s="397" t="s">
        <v>7</v>
      </c>
      <c r="B70" s="398">
        <v>85</v>
      </c>
      <c r="C70" s="399">
        <v>5</v>
      </c>
      <c r="D70" s="400">
        <f t="shared" si="137"/>
        <v>90</v>
      </c>
      <c r="E70" s="401">
        <v>0</v>
      </c>
      <c r="F70" s="398">
        <v>73</v>
      </c>
      <c r="G70" s="398">
        <v>2</v>
      </c>
      <c r="H70" s="400">
        <f t="shared" si="138"/>
        <v>75</v>
      </c>
      <c r="I70" s="401">
        <v>0</v>
      </c>
      <c r="J70" s="398">
        <v>121</v>
      </c>
      <c r="K70" s="398">
        <v>2</v>
      </c>
      <c r="L70" s="400">
        <f t="shared" si="139"/>
        <v>123</v>
      </c>
      <c r="M70" s="401">
        <v>0</v>
      </c>
      <c r="N70" s="398">
        <v>44</v>
      </c>
      <c r="O70" s="398">
        <v>2</v>
      </c>
      <c r="P70" s="400">
        <f t="shared" si="140"/>
        <v>46</v>
      </c>
      <c r="Q70" s="401">
        <v>0</v>
      </c>
      <c r="R70" s="398">
        <v>88</v>
      </c>
      <c r="S70" s="398">
        <v>0</v>
      </c>
      <c r="T70" s="400">
        <f t="shared" si="141"/>
        <v>88</v>
      </c>
      <c r="U70" s="401">
        <v>0</v>
      </c>
      <c r="V70" s="398">
        <v>121</v>
      </c>
      <c r="W70" s="398">
        <v>2</v>
      </c>
      <c r="X70" s="400">
        <f t="shared" si="142"/>
        <v>123</v>
      </c>
      <c r="Y70" s="401">
        <v>0</v>
      </c>
      <c r="Z70" s="398">
        <v>294</v>
      </c>
      <c r="AA70" s="398">
        <v>3</v>
      </c>
      <c r="AB70" s="400">
        <f t="shared" si="143"/>
        <v>297</v>
      </c>
      <c r="AC70" s="401">
        <v>0</v>
      </c>
      <c r="AD70" s="398">
        <v>248</v>
      </c>
      <c r="AE70" s="398">
        <v>1</v>
      </c>
      <c r="AF70" s="400">
        <f t="shared" si="144"/>
        <v>249</v>
      </c>
      <c r="AG70" s="401">
        <v>0</v>
      </c>
      <c r="AH70" s="398"/>
      <c r="AI70" s="398"/>
      <c r="AJ70" s="400">
        <f t="shared" si="145"/>
        <v>0</v>
      </c>
      <c r="AK70" s="401"/>
      <c r="AL70" s="398"/>
      <c r="AM70" s="398"/>
      <c r="AN70" s="400">
        <f t="shared" si="146"/>
        <v>0</v>
      </c>
      <c r="AO70" s="401"/>
      <c r="AP70" s="398"/>
      <c r="AQ70" s="398"/>
      <c r="AR70" s="400">
        <f t="shared" si="147"/>
        <v>0</v>
      </c>
      <c r="AS70" s="401"/>
      <c r="AT70" s="398"/>
      <c r="AU70" s="398"/>
      <c r="AV70" s="400">
        <f t="shared" si="148"/>
        <v>0</v>
      </c>
      <c r="AW70" s="401"/>
      <c r="AX70" s="432">
        <f t="shared" ref="AX70:AX78" si="149">B70+F70+J70+N70+R70+V70+Z70+AD70+AH70+AL70+AP70+AT70</f>
        <v>1074</v>
      </c>
      <c r="AY70" s="432">
        <f t="shared" ref="AY70:AY78" si="150">C70+G70+K70+O70+S70+W70+AA70+AE70+AI70+AM70+AQ70+AU70</f>
        <v>17</v>
      </c>
      <c r="AZ70" s="432">
        <f t="shared" ref="AZ70:AZ78" si="151">D70+H70+L70+P70+T70+X70+AB70+AF70+AJ70+AN70+AR70+AV70</f>
        <v>1091</v>
      </c>
      <c r="BA70" s="432">
        <f t="shared" ref="BA70:BA78" si="152">E70+I70+M70+Q70+U70+Y70+AC70+AG70+AK70+AO70+AS70+AW70</f>
        <v>0</v>
      </c>
      <c r="BB70" s="395"/>
      <c r="BC70" s="395"/>
      <c r="BD70" s="395">
        <f t="shared" ref="BD70:BD79" si="153">AF70</f>
        <v>249</v>
      </c>
      <c r="BE70" s="395">
        <f t="shared" ref="BE70:BE79" si="154">AG70</f>
        <v>0</v>
      </c>
      <c r="BG70" s="395"/>
    </row>
    <row r="71" spans="1:73" ht="14.4" thickBot="1">
      <c r="A71" s="397" t="s">
        <v>8</v>
      </c>
      <c r="B71" s="398">
        <v>41</v>
      </c>
      <c r="C71" s="399">
        <v>0</v>
      </c>
      <c r="D71" s="400">
        <f t="shared" si="137"/>
        <v>41</v>
      </c>
      <c r="E71" s="401">
        <v>1</v>
      </c>
      <c r="F71" s="398">
        <v>37</v>
      </c>
      <c r="G71" s="398">
        <v>0</v>
      </c>
      <c r="H71" s="400">
        <f t="shared" si="138"/>
        <v>37</v>
      </c>
      <c r="I71" s="401">
        <v>0</v>
      </c>
      <c r="J71" s="398">
        <v>51</v>
      </c>
      <c r="K71" s="398">
        <v>2</v>
      </c>
      <c r="L71" s="400">
        <f t="shared" si="139"/>
        <v>53</v>
      </c>
      <c r="M71" s="401">
        <v>0</v>
      </c>
      <c r="N71" s="398">
        <v>40</v>
      </c>
      <c r="O71" s="398">
        <v>0</v>
      </c>
      <c r="P71" s="400">
        <f t="shared" si="140"/>
        <v>40</v>
      </c>
      <c r="Q71" s="401">
        <v>0</v>
      </c>
      <c r="R71" s="398">
        <v>54</v>
      </c>
      <c r="S71" s="398">
        <v>3</v>
      </c>
      <c r="T71" s="400">
        <f t="shared" si="141"/>
        <v>57</v>
      </c>
      <c r="U71" s="401">
        <v>0</v>
      </c>
      <c r="V71" s="398">
        <v>81</v>
      </c>
      <c r="W71" s="398">
        <v>0</v>
      </c>
      <c r="X71" s="400">
        <f t="shared" si="142"/>
        <v>81</v>
      </c>
      <c r="Y71" s="401">
        <v>0</v>
      </c>
      <c r="Z71" s="398">
        <v>77</v>
      </c>
      <c r="AA71" s="398">
        <v>1</v>
      </c>
      <c r="AB71" s="400">
        <f t="shared" si="143"/>
        <v>78</v>
      </c>
      <c r="AC71" s="401">
        <v>0</v>
      </c>
      <c r="AD71" s="398">
        <v>73</v>
      </c>
      <c r="AE71" s="398">
        <v>0</v>
      </c>
      <c r="AF71" s="400">
        <f t="shared" si="144"/>
        <v>73</v>
      </c>
      <c r="AG71" s="401">
        <v>1</v>
      </c>
      <c r="AH71" s="398"/>
      <c r="AI71" s="398"/>
      <c r="AJ71" s="400">
        <f t="shared" si="145"/>
        <v>0</v>
      </c>
      <c r="AK71" s="401"/>
      <c r="AL71" s="398"/>
      <c r="AM71" s="398"/>
      <c r="AN71" s="400">
        <f t="shared" si="146"/>
        <v>0</v>
      </c>
      <c r="AO71" s="401"/>
      <c r="AP71" s="398"/>
      <c r="AQ71" s="398"/>
      <c r="AR71" s="400">
        <f t="shared" si="147"/>
        <v>0</v>
      </c>
      <c r="AS71" s="401"/>
      <c r="AT71" s="398"/>
      <c r="AU71" s="398"/>
      <c r="AV71" s="400">
        <f t="shared" si="148"/>
        <v>0</v>
      </c>
      <c r="AW71" s="401"/>
      <c r="AX71" s="432">
        <f t="shared" si="149"/>
        <v>454</v>
      </c>
      <c r="AY71" s="432">
        <f t="shared" si="150"/>
        <v>6</v>
      </c>
      <c r="AZ71" s="432">
        <f t="shared" si="151"/>
        <v>460</v>
      </c>
      <c r="BA71" s="432">
        <f t="shared" si="152"/>
        <v>2</v>
      </c>
      <c r="BB71" s="395"/>
      <c r="BC71" s="395"/>
      <c r="BD71" s="395">
        <f t="shared" si="153"/>
        <v>73</v>
      </c>
      <c r="BE71" s="395">
        <f t="shared" si="154"/>
        <v>1</v>
      </c>
      <c r="BG71" s="395"/>
    </row>
    <row r="72" spans="1:73" ht="14.4" thickBot="1">
      <c r="A72" s="397" t="s">
        <v>4</v>
      </c>
      <c r="B72" s="398">
        <v>163</v>
      </c>
      <c r="C72" s="399">
        <v>0</v>
      </c>
      <c r="D72" s="400">
        <f t="shared" si="137"/>
        <v>163</v>
      </c>
      <c r="E72" s="401">
        <v>0</v>
      </c>
      <c r="F72" s="398">
        <v>176</v>
      </c>
      <c r="G72" s="398">
        <v>0</v>
      </c>
      <c r="H72" s="400">
        <f t="shared" si="138"/>
        <v>176</v>
      </c>
      <c r="I72" s="401">
        <v>0</v>
      </c>
      <c r="J72" s="398">
        <v>111</v>
      </c>
      <c r="K72" s="398">
        <v>0</v>
      </c>
      <c r="L72" s="400">
        <f t="shared" si="139"/>
        <v>111</v>
      </c>
      <c r="M72" s="401">
        <v>0</v>
      </c>
      <c r="N72" s="398">
        <v>77</v>
      </c>
      <c r="O72" s="398">
        <v>0</v>
      </c>
      <c r="P72" s="400">
        <f t="shared" si="140"/>
        <v>77</v>
      </c>
      <c r="Q72" s="401">
        <v>0</v>
      </c>
      <c r="R72" s="398">
        <v>191</v>
      </c>
      <c r="S72" s="398">
        <v>2</v>
      </c>
      <c r="T72" s="400">
        <f t="shared" si="141"/>
        <v>193</v>
      </c>
      <c r="U72" s="401">
        <v>0</v>
      </c>
      <c r="V72" s="398">
        <v>210</v>
      </c>
      <c r="W72" s="398">
        <v>1</v>
      </c>
      <c r="X72" s="400">
        <f t="shared" si="142"/>
        <v>211</v>
      </c>
      <c r="Y72" s="401">
        <v>0</v>
      </c>
      <c r="Z72" s="398">
        <v>240</v>
      </c>
      <c r="AA72" s="398">
        <v>2</v>
      </c>
      <c r="AB72" s="400">
        <f t="shared" si="143"/>
        <v>242</v>
      </c>
      <c r="AC72" s="401">
        <v>0</v>
      </c>
      <c r="AD72" s="398">
        <v>242</v>
      </c>
      <c r="AE72" s="398">
        <v>2</v>
      </c>
      <c r="AF72" s="400">
        <f t="shared" si="144"/>
        <v>244</v>
      </c>
      <c r="AG72" s="401">
        <v>0</v>
      </c>
      <c r="AH72" s="398"/>
      <c r="AI72" s="398"/>
      <c r="AJ72" s="400">
        <f t="shared" si="145"/>
        <v>0</v>
      </c>
      <c r="AK72" s="401"/>
      <c r="AL72" s="398"/>
      <c r="AM72" s="398"/>
      <c r="AN72" s="400">
        <f t="shared" si="146"/>
        <v>0</v>
      </c>
      <c r="AO72" s="401"/>
      <c r="AP72" s="398"/>
      <c r="AQ72" s="398"/>
      <c r="AR72" s="400">
        <f t="shared" si="147"/>
        <v>0</v>
      </c>
      <c r="AS72" s="401"/>
      <c r="AT72" s="398"/>
      <c r="AU72" s="398"/>
      <c r="AV72" s="400">
        <f t="shared" si="148"/>
        <v>0</v>
      </c>
      <c r="AW72" s="401"/>
      <c r="AX72" s="432">
        <f t="shared" si="149"/>
        <v>1410</v>
      </c>
      <c r="AY72" s="432">
        <f t="shared" si="150"/>
        <v>7</v>
      </c>
      <c r="AZ72" s="432">
        <f t="shared" si="151"/>
        <v>1417</v>
      </c>
      <c r="BA72" s="432">
        <f t="shared" si="152"/>
        <v>0</v>
      </c>
      <c r="BB72" s="395"/>
      <c r="BC72" s="395"/>
      <c r="BD72" s="395">
        <f t="shared" si="153"/>
        <v>244</v>
      </c>
      <c r="BE72" s="395">
        <f t="shared" si="154"/>
        <v>0</v>
      </c>
      <c r="BG72" s="395"/>
    </row>
    <row r="73" spans="1:73" ht="14.4" thickBot="1">
      <c r="A73" s="397" t="s">
        <v>3</v>
      </c>
      <c r="B73" s="398">
        <v>15</v>
      </c>
      <c r="C73" s="399">
        <v>2</v>
      </c>
      <c r="D73" s="400">
        <f t="shared" si="137"/>
        <v>17</v>
      </c>
      <c r="E73" s="401">
        <v>0</v>
      </c>
      <c r="F73" s="398">
        <v>7</v>
      </c>
      <c r="G73" s="398">
        <v>0</v>
      </c>
      <c r="H73" s="400">
        <f t="shared" si="138"/>
        <v>7</v>
      </c>
      <c r="I73" s="401">
        <v>0</v>
      </c>
      <c r="J73" s="398">
        <v>19</v>
      </c>
      <c r="K73" s="398">
        <v>3</v>
      </c>
      <c r="L73" s="400">
        <f t="shared" si="139"/>
        <v>22</v>
      </c>
      <c r="M73" s="401">
        <v>0</v>
      </c>
      <c r="N73" s="398">
        <v>9</v>
      </c>
      <c r="O73" s="398">
        <v>1</v>
      </c>
      <c r="P73" s="400">
        <f t="shared" si="140"/>
        <v>10</v>
      </c>
      <c r="Q73" s="401">
        <v>0</v>
      </c>
      <c r="R73" s="398">
        <v>90</v>
      </c>
      <c r="S73" s="398">
        <v>0</v>
      </c>
      <c r="T73" s="400">
        <f t="shared" si="141"/>
        <v>90</v>
      </c>
      <c r="U73" s="401">
        <v>0</v>
      </c>
      <c r="V73" s="398">
        <v>70</v>
      </c>
      <c r="W73" s="398">
        <v>1</v>
      </c>
      <c r="X73" s="400">
        <f t="shared" si="142"/>
        <v>71</v>
      </c>
      <c r="Y73" s="401">
        <v>0</v>
      </c>
      <c r="Z73" s="398">
        <v>133</v>
      </c>
      <c r="AA73" s="398">
        <v>3</v>
      </c>
      <c r="AB73" s="400">
        <f t="shared" si="143"/>
        <v>136</v>
      </c>
      <c r="AC73" s="401">
        <v>0</v>
      </c>
      <c r="AD73" s="398">
        <v>51</v>
      </c>
      <c r="AE73" s="398">
        <v>2</v>
      </c>
      <c r="AF73" s="400">
        <f t="shared" si="144"/>
        <v>53</v>
      </c>
      <c r="AG73" s="401">
        <v>0</v>
      </c>
      <c r="AH73" s="398"/>
      <c r="AI73" s="398"/>
      <c r="AJ73" s="400">
        <f t="shared" si="145"/>
        <v>0</v>
      </c>
      <c r="AK73" s="401"/>
      <c r="AL73" s="398"/>
      <c r="AM73" s="398"/>
      <c r="AN73" s="400">
        <f t="shared" si="146"/>
        <v>0</v>
      </c>
      <c r="AO73" s="401"/>
      <c r="AP73" s="398"/>
      <c r="AQ73" s="398"/>
      <c r="AR73" s="400">
        <f t="shared" si="147"/>
        <v>0</v>
      </c>
      <c r="AS73" s="401"/>
      <c r="AT73" s="398"/>
      <c r="AU73" s="398"/>
      <c r="AV73" s="400">
        <f t="shared" si="148"/>
        <v>0</v>
      </c>
      <c r="AW73" s="401"/>
      <c r="AX73" s="432">
        <f t="shared" si="149"/>
        <v>394</v>
      </c>
      <c r="AY73" s="432">
        <f t="shared" si="150"/>
        <v>12</v>
      </c>
      <c r="AZ73" s="432">
        <f t="shared" si="151"/>
        <v>406</v>
      </c>
      <c r="BA73" s="432">
        <f t="shared" si="152"/>
        <v>0</v>
      </c>
      <c r="BB73" s="395"/>
      <c r="BC73" s="395"/>
      <c r="BD73" s="395">
        <f t="shared" si="153"/>
        <v>53</v>
      </c>
      <c r="BE73" s="395">
        <f t="shared" si="154"/>
        <v>0</v>
      </c>
      <c r="BG73" s="395"/>
    </row>
    <row r="74" spans="1:73" ht="14.4" thickBot="1">
      <c r="A74" s="397" t="s">
        <v>397</v>
      </c>
      <c r="B74" s="398">
        <v>19</v>
      </c>
      <c r="C74" s="399">
        <v>0</v>
      </c>
      <c r="D74" s="400">
        <f t="shared" si="137"/>
        <v>19</v>
      </c>
      <c r="E74" s="401">
        <v>0</v>
      </c>
      <c r="F74" s="398">
        <v>17</v>
      </c>
      <c r="G74" s="398">
        <v>0</v>
      </c>
      <c r="H74" s="400">
        <f t="shared" si="138"/>
        <v>17</v>
      </c>
      <c r="I74" s="401">
        <v>1</v>
      </c>
      <c r="J74" s="398">
        <v>23</v>
      </c>
      <c r="K74" s="398">
        <v>0</v>
      </c>
      <c r="L74" s="400">
        <f t="shared" si="139"/>
        <v>23</v>
      </c>
      <c r="M74" s="401">
        <v>1</v>
      </c>
      <c r="N74" s="398">
        <v>12</v>
      </c>
      <c r="O74" s="398">
        <v>0</v>
      </c>
      <c r="P74" s="400">
        <f t="shared" si="140"/>
        <v>12</v>
      </c>
      <c r="Q74" s="401">
        <v>0</v>
      </c>
      <c r="R74" s="398">
        <v>27</v>
      </c>
      <c r="S74" s="398">
        <v>0</v>
      </c>
      <c r="T74" s="400">
        <f t="shared" si="141"/>
        <v>27</v>
      </c>
      <c r="U74" s="401">
        <v>0</v>
      </c>
      <c r="V74" s="398">
        <v>27</v>
      </c>
      <c r="W74" s="398">
        <v>0</v>
      </c>
      <c r="X74" s="400">
        <f t="shared" si="142"/>
        <v>27</v>
      </c>
      <c r="Y74" s="401">
        <v>0</v>
      </c>
      <c r="Z74" s="398">
        <v>16</v>
      </c>
      <c r="AA74" s="398">
        <v>0</v>
      </c>
      <c r="AB74" s="400">
        <f t="shared" si="143"/>
        <v>16</v>
      </c>
      <c r="AC74" s="401">
        <v>0</v>
      </c>
      <c r="AD74" s="398">
        <v>31</v>
      </c>
      <c r="AE74" s="398">
        <v>0</v>
      </c>
      <c r="AF74" s="400">
        <f t="shared" si="144"/>
        <v>31</v>
      </c>
      <c r="AG74" s="401">
        <v>0</v>
      </c>
      <c r="AH74" s="398"/>
      <c r="AI74" s="398"/>
      <c r="AJ74" s="400">
        <f t="shared" si="145"/>
        <v>0</v>
      </c>
      <c r="AK74" s="401"/>
      <c r="AL74" s="398"/>
      <c r="AM74" s="398"/>
      <c r="AN74" s="400">
        <f t="shared" si="146"/>
        <v>0</v>
      </c>
      <c r="AO74" s="401"/>
      <c r="AP74" s="398"/>
      <c r="AQ74" s="398"/>
      <c r="AR74" s="400">
        <f t="shared" si="147"/>
        <v>0</v>
      </c>
      <c r="AS74" s="401"/>
      <c r="AT74" s="398"/>
      <c r="AU74" s="398"/>
      <c r="AV74" s="400">
        <f t="shared" si="148"/>
        <v>0</v>
      </c>
      <c r="AW74" s="401"/>
      <c r="AX74" s="432">
        <f t="shared" si="149"/>
        <v>172</v>
      </c>
      <c r="AY74" s="432">
        <f t="shared" si="150"/>
        <v>0</v>
      </c>
      <c r="AZ74" s="432">
        <f t="shared" si="151"/>
        <v>172</v>
      </c>
      <c r="BA74" s="432">
        <f t="shared" si="152"/>
        <v>2</v>
      </c>
      <c r="BB74" s="395"/>
      <c r="BC74" s="395"/>
      <c r="BD74" s="395">
        <f t="shared" si="153"/>
        <v>31</v>
      </c>
      <c r="BE74" s="395">
        <f t="shared" si="154"/>
        <v>0</v>
      </c>
      <c r="BF74" s="395"/>
      <c r="BG74" s="395"/>
    </row>
    <row r="75" spans="1:73" ht="14.4" thickBot="1">
      <c r="A75" s="397" t="s">
        <v>399</v>
      </c>
      <c r="B75" s="398">
        <v>24</v>
      </c>
      <c r="C75" s="399">
        <v>1</v>
      </c>
      <c r="D75" s="400">
        <f t="shared" si="137"/>
        <v>25</v>
      </c>
      <c r="E75" s="401">
        <v>0</v>
      </c>
      <c r="F75" s="398">
        <v>23</v>
      </c>
      <c r="G75" s="398">
        <v>1</v>
      </c>
      <c r="H75" s="400">
        <f t="shared" si="138"/>
        <v>24</v>
      </c>
      <c r="I75" s="401">
        <v>0</v>
      </c>
      <c r="J75" s="398">
        <v>35</v>
      </c>
      <c r="K75" s="398">
        <v>0</v>
      </c>
      <c r="L75" s="400">
        <f t="shared" si="139"/>
        <v>35</v>
      </c>
      <c r="M75" s="401">
        <v>1</v>
      </c>
      <c r="N75" s="398">
        <v>20</v>
      </c>
      <c r="O75" s="398">
        <v>0</v>
      </c>
      <c r="P75" s="400">
        <f t="shared" si="140"/>
        <v>20</v>
      </c>
      <c r="Q75" s="401">
        <v>0</v>
      </c>
      <c r="R75" s="398">
        <v>55</v>
      </c>
      <c r="S75" s="398">
        <v>0</v>
      </c>
      <c r="T75" s="400">
        <f t="shared" si="141"/>
        <v>55</v>
      </c>
      <c r="U75" s="401">
        <v>1</v>
      </c>
      <c r="V75" s="398">
        <v>55</v>
      </c>
      <c r="W75" s="398">
        <v>1</v>
      </c>
      <c r="X75" s="400">
        <f t="shared" si="142"/>
        <v>56</v>
      </c>
      <c r="Y75" s="401">
        <v>0</v>
      </c>
      <c r="Z75" s="398">
        <v>25</v>
      </c>
      <c r="AA75" s="398">
        <v>1</v>
      </c>
      <c r="AB75" s="400">
        <f t="shared" si="143"/>
        <v>26</v>
      </c>
      <c r="AC75" s="401">
        <v>0</v>
      </c>
      <c r="AD75" s="398">
        <v>59</v>
      </c>
      <c r="AE75" s="398">
        <v>0</v>
      </c>
      <c r="AF75" s="400">
        <f t="shared" si="144"/>
        <v>59</v>
      </c>
      <c r="AG75" s="401">
        <v>1</v>
      </c>
      <c r="AH75" s="398"/>
      <c r="AI75" s="398"/>
      <c r="AJ75" s="400">
        <f t="shared" si="145"/>
        <v>0</v>
      </c>
      <c r="AK75" s="401"/>
      <c r="AL75" s="398"/>
      <c r="AM75" s="398"/>
      <c r="AN75" s="400">
        <f t="shared" si="146"/>
        <v>0</v>
      </c>
      <c r="AO75" s="401"/>
      <c r="AP75" s="398"/>
      <c r="AQ75" s="398"/>
      <c r="AR75" s="400">
        <f t="shared" si="147"/>
        <v>0</v>
      </c>
      <c r="AS75" s="401"/>
      <c r="AT75" s="398"/>
      <c r="AU75" s="398"/>
      <c r="AV75" s="400">
        <f t="shared" si="148"/>
        <v>0</v>
      </c>
      <c r="AW75" s="401"/>
      <c r="AX75" s="432">
        <f t="shared" si="149"/>
        <v>296</v>
      </c>
      <c r="AY75" s="432">
        <f t="shared" si="150"/>
        <v>4</v>
      </c>
      <c r="AZ75" s="432">
        <f t="shared" si="151"/>
        <v>300</v>
      </c>
      <c r="BA75" s="432">
        <f t="shared" si="152"/>
        <v>3</v>
      </c>
      <c r="BB75" s="395"/>
      <c r="BC75" s="395"/>
      <c r="BD75" s="395">
        <f t="shared" si="153"/>
        <v>59</v>
      </c>
      <c r="BE75" s="395">
        <f t="shared" si="154"/>
        <v>1</v>
      </c>
      <c r="BF75" s="395"/>
      <c r="BG75" s="395"/>
    </row>
    <row r="76" spans="1:73" ht="14.4" thickBot="1">
      <c r="A76" s="397" t="s">
        <v>883</v>
      </c>
      <c r="B76" s="398">
        <v>16</v>
      </c>
      <c r="C76" s="399">
        <v>0</v>
      </c>
      <c r="D76" s="400">
        <f t="shared" si="137"/>
        <v>16</v>
      </c>
      <c r="E76" s="401">
        <v>0</v>
      </c>
      <c r="F76" s="398">
        <v>26</v>
      </c>
      <c r="G76" s="398">
        <v>0</v>
      </c>
      <c r="H76" s="400">
        <f t="shared" si="138"/>
        <v>26</v>
      </c>
      <c r="I76" s="401">
        <v>0</v>
      </c>
      <c r="J76" s="398">
        <v>15</v>
      </c>
      <c r="K76" s="398">
        <v>3</v>
      </c>
      <c r="L76" s="400">
        <f t="shared" si="139"/>
        <v>18</v>
      </c>
      <c r="M76" s="401">
        <v>0</v>
      </c>
      <c r="N76" s="398">
        <v>12</v>
      </c>
      <c r="O76" s="398">
        <v>0</v>
      </c>
      <c r="P76" s="400">
        <f t="shared" si="140"/>
        <v>12</v>
      </c>
      <c r="Q76" s="401">
        <v>0</v>
      </c>
      <c r="R76" s="398">
        <v>54</v>
      </c>
      <c r="S76" s="398">
        <v>0</v>
      </c>
      <c r="T76" s="400">
        <f t="shared" si="141"/>
        <v>54</v>
      </c>
      <c r="U76" s="401">
        <v>0</v>
      </c>
      <c r="V76" s="398">
        <v>44</v>
      </c>
      <c r="W76" s="398">
        <v>0</v>
      </c>
      <c r="X76" s="400">
        <f t="shared" si="142"/>
        <v>44</v>
      </c>
      <c r="Y76" s="401">
        <v>0</v>
      </c>
      <c r="Z76" s="398">
        <v>41</v>
      </c>
      <c r="AA76" s="398">
        <v>1</v>
      </c>
      <c r="AB76" s="400">
        <f t="shared" si="143"/>
        <v>42</v>
      </c>
      <c r="AC76" s="401">
        <v>0</v>
      </c>
      <c r="AD76" s="398">
        <v>14</v>
      </c>
      <c r="AE76" s="398">
        <v>0</v>
      </c>
      <c r="AF76" s="400">
        <f t="shared" si="144"/>
        <v>14</v>
      </c>
      <c r="AG76" s="401">
        <v>0</v>
      </c>
      <c r="AH76" s="398"/>
      <c r="AI76" s="398"/>
      <c r="AJ76" s="400">
        <f t="shared" si="145"/>
        <v>0</v>
      </c>
      <c r="AK76" s="401"/>
      <c r="AL76" s="398"/>
      <c r="AM76" s="398"/>
      <c r="AN76" s="400">
        <f t="shared" si="146"/>
        <v>0</v>
      </c>
      <c r="AO76" s="401"/>
      <c r="AP76" s="398"/>
      <c r="AQ76" s="398"/>
      <c r="AR76" s="400">
        <f t="shared" si="147"/>
        <v>0</v>
      </c>
      <c r="AS76" s="401"/>
      <c r="AT76" s="398"/>
      <c r="AU76" s="398"/>
      <c r="AV76" s="400">
        <f t="shared" si="148"/>
        <v>0</v>
      </c>
      <c r="AW76" s="401"/>
      <c r="AX76" s="432">
        <f t="shared" si="149"/>
        <v>222</v>
      </c>
      <c r="AY76" s="432">
        <f t="shared" si="150"/>
        <v>4</v>
      </c>
      <c r="AZ76" s="432">
        <f t="shared" si="151"/>
        <v>226</v>
      </c>
      <c r="BA76" s="432">
        <f t="shared" si="152"/>
        <v>0</v>
      </c>
      <c r="BB76" s="395"/>
      <c r="BC76" s="395"/>
      <c r="BD76" s="395">
        <f t="shared" si="153"/>
        <v>14</v>
      </c>
      <c r="BE76" s="395">
        <f t="shared" si="154"/>
        <v>0</v>
      </c>
      <c r="BF76" s="395"/>
      <c r="BG76" s="395"/>
    </row>
    <row r="77" spans="1:73" ht="14.4" thickBot="1">
      <c r="A77" s="397" t="s">
        <v>884</v>
      </c>
      <c r="B77" s="398">
        <v>33</v>
      </c>
      <c r="C77" s="399">
        <v>0</v>
      </c>
      <c r="D77" s="400">
        <f t="shared" si="137"/>
        <v>33</v>
      </c>
      <c r="E77" s="401">
        <v>0</v>
      </c>
      <c r="F77" s="398">
        <v>56</v>
      </c>
      <c r="G77" s="398">
        <v>0</v>
      </c>
      <c r="H77" s="400">
        <f t="shared" si="138"/>
        <v>56</v>
      </c>
      <c r="I77" s="401">
        <v>0</v>
      </c>
      <c r="J77" s="398">
        <v>43</v>
      </c>
      <c r="K77" s="398">
        <v>1</v>
      </c>
      <c r="L77" s="400">
        <f t="shared" si="139"/>
        <v>44</v>
      </c>
      <c r="M77" s="401">
        <v>0</v>
      </c>
      <c r="N77" s="398">
        <v>37</v>
      </c>
      <c r="O77" s="398">
        <v>2</v>
      </c>
      <c r="P77" s="400">
        <f t="shared" si="140"/>
        <v>39</v>
      </c>
      <c r="Q77" s="401">
        <v>0</v>
      </c>
      <c r="R77" s="398">
        <v>94</v>
      </c>
      <c r="S77" s="398">
        <v>1</v>
      </c>
      <c r="T77" s="400">
        <f t="shared" si="141"/>
        <v>95</v>
      </c>
      <c r="U77" s="401">
        <v>0</v>
      </c>
      <c r="V77" s="398">
        <v>71</v>
      </c>
      <c r="W77" s="398">
        <v>0</v>
      </c>
      <c r="X77" s="400">
        <f t="shared" si="142"/>
        <v>71</v>
      </c>
      <c r="Y77" s="401">
        <v>0</v>
      </c>
      <c r="Z77" s="398">
        <v>47</v>
      </c>
      <c r="AA77" s="398">
        <v>0</v>
      </c>
      <c r="AB77" s="400">
        <f t="shared" si="143"/>
        <v>47</v>
      </c>
      <c r="AC77" s="401">
        <v>0</v>
      </c>
      <c r="AD77" s="398">
        <v>58</v>
      </c>
      <c r="AE77" s="398">
        <v>0</v>
      </c>
      <c r="AF77" s="400">
        <f t="shared" si="144"/>
        <v>58</v>
      </c>
      <c r="AG77" s="401">
        <v>0</v>
      </c>
      <c r="AH77" s="398"/>
      <c r="AI77" s="398"/>
      <c r="AJ77" s="400">
        <f t="shared" si="145"/>
        <v>0</v>
      </c>
      <c r="AK77" s="401"/>
      <c r="AL77" s="398"/>
      <c r="AM77" s="398"/>
      <c r="AN77" s="400">
        <f t="shared" si="146"/>
        <v>0</v>
      </c>
      <c r="AO77" s="401"/>
      <c r="AP77" s="398"/>
      <c r="AQ77" s="398"/>
      <c r="AR77" s="400">
        <f t="shared" si="147"/>
        <v>0</v>
      </c>
      <c r="AS77" s="401"/>
      <c r="AT77" s="398"/>
      <c r="AU77" s="398"/>
      <c r="AV77" s="400">
        <f t="shared" si="148"/>
        <v>0</v>
      </c>
      <c r="AW77" s="401"/>
      <c r="AX77" s="432">
        <f t="shared" si="149"/>
        <v>439</v>
      </c>
      <c r="AY77" s="432">
        <f t="shared" si="150"/>
        <v>4</v>
      </c>
      <c r="AZ77" s="432">
        <f t="shared" si="151"/>
        <v>443</v>
      </c>
      <c r="BA77" s="432">
        <f t="shared" si="152"/>
        <v>0</v>
      </c>
      <c r="BB77" s="395"/>
      <c r="BC77" s="395"/>
      <c r="BD77" s="395">
        <f t="shared" si="153"/>
        <v>58</v>
      </c>
      <c r="BE77" s="395">
        <f t="shared" si="154"/>
        <v>0</v>
      </c>
      <c r="BF77" s="395"/>
      <c r="BG77" s="395"/>
    </row>
    <row r="78" spans="1:73" ht="14.4" thickBot="1">
      <c r="A78" s="397" t="s">
        <v>885</v>
      </c>
      <c r="B78" s="398">
        <v>36</v>
      </c>
      <c r="C78" s="399">
        <v>1</v>
      </c>
      <c r="D78" s="400">
        <f t="shared" si="137"/>
        <v>37</v>
      </c>
      <c r="E78" s="401">
        <v>0</v>
      </c>
      <c r="F78" s="398">
        <v>33</v>
      </c>
      <c r="G78" s="398">
        <v>0</v>
      </c>
      <c r="H78" s="400">
        <f t="shared" si="138"/>
        <v>33</v>
      </c>
      <c r="I78" s="401">
        <v>0</v>
      </c>
      <c r="J78" s="398">
        <v>25</v>
      </c>
      <c r="K78" s="398">
        <v>0</v>
      </c>
      <c r="L78" s="400">
        <f t="shared" si="139"/>
        <v>25</v>
      </c>
      <c r="M78" s="401">
        <v>0</v>
      </c>
      <c r="N78" s="398">
        <v>18</v>
      </c>
      <c r="O78" s="398">
        <v>0</v>
      </c>
      <c r="P78" s="400">
        <f t="shared" si="140"/>
        <v>18</v>
      </c>
      <c r="Q78" s="401">
        <v>0</v>
      </c>
      <c r="R78" s="398">
        <v>37</v>
      </c>
      <c r="S78" s="398">
        <v>0</v>
      </c>
      <c r="T78" s="400">
        <f t="shared" si="141"/>
        <v>37</v>
      </c>
      <c r="U78" s="401">
        <v>0</v>
      </c>
      <c r="V78" s="398">
        <v>67</v>
      </c>
      <c r="W78" s="398">
        <v>0</v>
      </c>
      <c r="X78" s="400">
        <f t="shared" si="142"/>
        <v>67</v>
      </c>
      <c r="Y78" s="401">
        <v>0</v>
      </c>
      <c r="Z78" s="398">
        <v>89</v>
      </c>
      <c r="AA78" s="398">
        <v>3</v>
      </c>
      <c r="AB78" s="400">
        <f t="shared" si="143"/>
        <v>92</v>
      </c>
      <c r="AC78" s="401">
        <v>0</v>
      </c>
      <c r="AD78" s="398">
        <v>55</v>
      </c>
      <c r="AE78" s="398">
        <v>0</v>
      </c>
      <c r="AF78" s="400">
        <f t="shared" si="144"/>
        <v>55</v>
      </c>
      <c r="AG78" s="401">
        <v>0</v>
      </c>
      <c r="AH78" s="398"/>
      <c r="AI78" s="398"/>
      <c r="AJ78" s="400">
        <f t="shared" si="145"/>
        <v>0</v>
      </c>
      <c r="AK78" s="401"/>
      <c r="AL78" s="398"/>
      <c r="AM78" s="398"/>
      <c r="AN78" s="400">
        <f t="shared" si="146"/>
        <v>0</v>
      </c>
      <c r="AO78" s="401"/>
      <c r="AP78" s="398"/>
      <c r="AQ78" s="398"/>
      <c r="AR78" s="400">
        <f t="shared" si="147"/>
        <v>0</v>
      </c>
      <c r="AS78" s="401"/>
      <c r="AT78" s="398"/>
      <c r="AU78" s="398"/>
      <c r="AV78" s="400">
        <f t="shared" si="148"/>
        <v>0</v>
      </c>
      <c r="AW78" s="401"/>
      <c r="AX78" s="432">
        <f t="shared" si="149"/>
        <v>360</v>
      </c>
      <c r="AY78" s="432">
        <f t="shared" si="150"/>
        <v>4</v>
      </c>
      <c r="AZ78" s="432">
        <f t="shared" si="151"/>
        <v>364</v>
      </c>
      <c r="BA78" s="432">
        <f t="shared" si="152"/>
        <v>0</v>
      </c>
      <c r="BB78" s="395"/>
      <c r="BC78" s="395"/>
      <c r="BD78" s="395">
        <f t="shared" si="153"/>
        <v>55</v>
      </c>
      <c r="BE78" s="395">
        <f t="shared" si="154"/>
        <v>0</v>
      </c>
      <c r="BF78" s="395"/>
      <c r="BG78" s="395"/>
    </row>
    <row r="79" spans="1:73" ht="14.4" thickBot="1">
      <c r="A79" s="433" t="s">
        <v>16</v>
      </c>
      <c r="B79" s="417">
        <f t="shared" ref="B79:AG79" si="155">SUM(B69:B78)</f>
        <v>479</v>
      </c>
      <c r="C79" s="419">
        <f t="shared" si="155"/>
        <v>9</v>
      </c>
      <c r="D79" s="419">
        <f t="shared" si="155"/>
        <v>488</v>
      </c>
      <c r="E79" s="420">
        <f t="shared" si="155"/>
        <v>2</v>
      </c>
      <c r="F79" s="417">
        <f t="shared" si="155"/>
        <v>499</v>
      </c>
      <c r="G79" s="419">
        <f t="shared" si="155"/>
        <v>3</v>
      </c>
      <c r="H79" s="419">
        <f t="shared" si="155"/>
        <v>502</v>
      </c>
      <c r="I79" s="420">
        <f t="shared" si="155"/>
        <v>2</v>
      </c>
      <c r="J79" s="417">
        <f t="shared" si="155"/>
        <v>492</v>
      </c>
      <c r="K79" s="419">
        <f t="shared" si="155"/>
        <v>11</v>
      </c>
      <c r="L79" s="419">
        <f t="shared" si="155"/>
        <v>503</v>
      </c>
      <c r="M79" s="420">
        <f t="shared" si="155"/>
        <v>3</v>
      </c>
      <c r="N79" s="417">
        <f t="shared" si="155"/>
        <v>308</v>
      </c>
      <c r="O79" s="419">
        <f t="shared" si="155"/>
        <v>5</v>
      </c>
      <c r="P79" s="419">
        <f t="shared" si="155"/>
        <v>313</v>
      </c>
      <c r="Q79" s="420">
        <f t="shared" si="155"/>
        <v>0</v>
      </c>
      <c r="R79" s="417">
        <f t="shared" si="155"/>
        <v>881</v>
      </c>
      <c r="S79" s="419">
        <f t="shared" si="155"/>
        <v>6</v>
      </c>
      <c r="T79" s="419">
        <f t="shared" si="155"/>
        <v>887</v>
      </c>
      <c r="U79" s="420">
        <f t="shared" si="155"/>
        <v>1</v>
      </c>
      <c r="V79" s="417">
        <f t="shared" si="155"/>
        <v>855</v>
      </c>
      <c r="W79" s="419">
        <f t="shared" si="155"/>
        <v>5</v>
      </c>
      <c r="X79" s="419">
        <f t="shared" si="155"/>
        <v>860</v>
      </c>
      <c r="Y79" s="420">
        <f t="shared" si="155"/>
        <v>0</v>
      </c>
      <c r="Z79" s="417">
        <f t="shared" si="155"/>
        <v>1076</v>
      </c>
      <c r="AA79" s="419">
        <f t="shared" si="155"/>
        <v>14</v>
      </c>
      <c r="AB79" s="419">
        <f t="shared" si="155"/>
        <v>1090</v>
      </c>
      <c r="AC79" s="420">
        <f t="shared" si="155"/>
        <v>0</v>
      </c>
      <c r="AD79" s="417">
        <f t="shared" si="155"/>
        <v>1006</v>
      </c>
      <c r="AE79" s="419">
        <f t="shared" si="155"/>
        <v>5</v>
      </c>
      <c r="AF79" s="419">
        <f t="shared" si="155"/>
        <v>1011</v>
      </c>
      <c r="AG79" s="420">
        <f t="shared" si="155"/>
        <v>2</v>
      </c>
      <c r="AH79" s="417">
        <f t="shared" ref="AH79:BA79" si="156">SUM(AH69:AH78)</f>
        <v>0</v>
      </c>
      <c r="AI79" s="419">
        <f t="shared" si="156"/>
        <v>0</v>
      </c>
      <c r="AJ79" s="419">
        <f t="shared" si="156"/>
        <v>0</v>
      </c>
      <c r="AK79" s="420">
        <f t="shared" si="156"/>
        <v>0</v>
      </c>
      <c r="AL79" s="417">
        <f t="shared" si="156"/>
        <v>0</v>
      </c>
      <c r="AM79" s="419">
        <f t="shared" si="156"/>
        <v>0</v>
      </c>
      <c r="AN79" s="419">
        <f t="shared" si="156"/>
        <v>0</v>
      </c>
      <c r="AO79" s="420">
        <f t="shared" si="156"/>
        <v>0</v>
      </c>
      <c r="AP79" s="417">
        <f t="shared" si="156"/>
        <v>0</v>
      </c>
      <c r="AQ79" s="419">
        <f t="shared" si="156"/>
        <v>0</v>
      </c>
      <c r="AR79" s="419">
        <f t="shared" si="156"/>
        <v>0</v>
      </c>
      <c r="AS79" s="420">
        <f t="shared" si="156"/>
        <v>0</v>
      </c>
      <c r="AT79" s="417">
        <f t="shared" si="156"/>
        <v>0</v>
      </c>
      <c r="AU79" s="419">
        <f t="shared" si="156"/>
        <v>0</v>
      </c>
      <c r="AV79" s="419">
        <f t="shared" si="156"/>
        <v>0</v>
      </c>
      <c r="AW79" s="420">
        <f t="shared" si="156"/>
        <v>0</v>
      </c>
      <c r="AX79" s="434">
        <f t="shared" si="156"/>
        <v>5596</v>
      </c>
      <c r="AY79" s="434">
        <f t="shared" si="156"/>
        <v>58</v>
      </c>
      <c r="AZ79" s="434">
        <f t="shared" si="156"/>
        <v>5654</v>
      </c>
      <c r="BA79" s="434">
        <f t="shared" si="156"/>
        <v>10</v>
      </c>
      <c r="BC79" s="395"/>
      <c r="BD79" s="395">
        <f t="shared" si="153"/>
        <v>1011</v>
      </c>
      <c r="BE79" s="395">
        <f t="shared" si="154"/>
        <v>2</v>
      </c>
      <c r="BF79" s="395"/>
      <c r="BG79" s="395"/>
    </row>
    <row r="80" spans="1:73">
      <c r="L80" s="395">
        <f>L79+H79+D79</f>
        <v>1493</v>
      </c>
      <c r="M80" s="395">
        <f>M79+I79+E79</f>
        <v>7</v>
      </c>
      <c r="P80" s="395">
        <f>P79+T79+X79</f>
        <v>2060</v>
      </c>
      <c r="Q80" s="395">
        <f>Q79+U79+Y79</f>
        <v>1</v>
      </c>
      <c r="AJ80" s="395">
        <f>AJ79+AF79+AB79</f>
        <v>2101</v>
      </c>
      <c r="AK80" s="395">
        <f>AK79+AG79+AC79</f>
        <v>2</v>
      </c>
      <c r="AV80" s="117">
        <f>AV79+AR79+AN79</f>
        <v>0</v>
      </c>
      <c r="AW80" s="117">
        <f>AW79+AS79+AO79</f>
        <v>0</v>
      </c>
      <c r="BF80" s="395"/>
      <c r="BG80" s="395"/>
    </row>
    <row r="81" spans="1:73" ht="18.600000000000001" thickBot="1">
      <c r="A81" s="394">
        <f>A49</f>
        <v>2024</v>
      </c>
      <c r="BF81" s="395"/>
      <c r="BG81" s="395"/>
    </row>
    <row r="82" spans="1:73">
      <c r="A82" s="2815" t="str">
        <f>A67</f>
        <v>DD</v>
      </c>
      <c r="B82" s="2827" t="s">
        <v>71</v>
      </c>
      <c r="C82" s="2828"/>
      <c r="D82" s="2828"/>
      <c r="E82" s="3091"/>
      <c r="F82" s="2829" t="s">
        <v>72</v>
      </c>
      <c r="G82" s="2830"/>
      <c r="H82" s="2830"/>
      <c r="I82" s="3095"/>
      <c r="J82" s="2817" t="s">
        <v>73</v>
      </c>
      <c r="K82" s="2818"/>
      <c r="L82" s="2818"/>
      <c r="M82" s="3094"/>
      <c r="N82" s="2819" t="s">
        <v>74</v>
      </c>
      <c r="O82" s="2820"/>
      <c r="P82" s="2820"/>
      <c r="Q82" s="3090"/>
      <c r="R82" s="2821" t="s">
        <v>75</v>
      </c>
      <c r="S82" s="2822"/>
      <c r="T82" s="2822"/>
      <c r="U82" s="3093"/>
      <c r="V82" s="2823" t="s">
        <v>76</v>
      </c>
      <c r="W82" s="2824"/>
      <c r="X82" s="2824"/>
      <c r="Y82" s="3089"/>
      <c r="Z82" s="2827" t="s">
        <v>77</v>
      </c>
      <c r="AA82" s="2828"/>
      <c r="AB82" s="2828"/>
      <c r="AC82" s="3091"/>
      <c r="AD82" s="2829" t="s">
        <v>78</v>
      </c>
      <c r="AE82" s="2830"/>
      <c r="AF82" s="2830"/>
      <c r="AG82" s="3095"/>
      <c r="AH82" s="2817" t="s">
        <v>79</v>
      </c>
      <c r="AI82" s="2818"/>
      <c r="AJ82" s="2818"/>
      <c r="AK82" s="3094"/>
      <c r="AL82" s="2819" t="s">
        <v>80</v>
      </c>
      <c r="AM82" s="2820"/>
      <c r="AN82" s="2820"/>
      <c r="AO82" s="3090"/>
      <c r="AP82" s="2821" t="s">
        <v>81</v>
      </c>
      <c r="AQ82" s="2822"/>
      <c r="AR82" s="2822"/>
      <c r="AS82" s="3093"/>
      <c r="AT82" s="2823" t="s">
        <v>82</v>
      </c>
      <c r="AU82" s="2824"/>
      <c r="AV82" s="2824"/>
      <c r="AW82" s="3089"/>
      <c r="AX82" s="2825" t="s">
        <v>83</v>
      </c>
      <c r="AY82" s="2826"/>
      <c r="AZ82" s="2826"/>
      <c r="BA82" s="3088"/>
      <c r="BF82" s="395"/>
      <c r="BG82" s="395"/>
      <c r="BM82" s="430"/>
      <c r="BR82" s="3112"/>
      <c r="BS82" s="3112"/>
      <c r="BT82" s="3112"/>
      <c r="BU82" s="3112"/>
    </row>
    <row r="83" spans="1:73" ht="14.4" thickBot="1">
      <c r="A83" s="2816"/>
      <c r="B83" s="402" t="s">
        <v>17</v>
      </c>
      <c r="C83" s="403" t="s">
        <v>18</v>
      </c>
      <c r="D83" s="403" t="s">
        <v>56</v>
      </c>
      <c r="E83" s="404" t="s">
        <v>21</v>
      </c>
      <c r="F83" s="402" t="s">
        <v>17</v>
      </c>
      <c r="G83" s="403" t="s">
        <v>18</v>
      </c>
      <c r="H83" s="403" t="s">
        <v>56</v>
      </c>
      <c r="I83" s="404" t="s">
        <v>21</v>
      </c>
      <c r="J83" s="402" t="s">
        <v>17</v>
      </c>
      <c r="K83" s="403" t="s">
        <v>18</v>
      </c>
      <c r="L83" s="403" t="s">
        <v>56</v>
      </c>
      <c r="M83" s="404" t="s">
        <v>21</v>
      </c>
      <c r="N83" s="402" t="s">
        <v>17</v>
      </c>
      <c r="O83" s="403" t="s">
        <v>18</v>
      </c>
      <c r="P83" s="403" t="s">
        <v>56</v>
      </c>
      <c r="Q83" s="404" t="s">
        <v>21</v>
      </c>
      <c r="R83" s="402" t="s">
        <v>17</v>
      </c>
      <c r="S83" s="403" t="s">
        <v>18</v>
      </c>
      <c r="T83" s="403" t="s">
        <v>56</v>
      </c>
      <c r="U83" s="404" t="s">
        <v>21</v>
      </c>
      <c r="V83" s="402" t="s">
        <v>17</v>
      </c>
      <c r="W83" s="403" t="s">
        <v>18</v>
      </c>
      <c r="X83" s="403" t="s">
        <v>56</v>
      </c>
      <c r="Y83" s="404" t="s">
        <v>21</v>
      </c>
      <c r="Z83" s="402" t="s">
        <v>17</v>
      </c>
      <c r="AA83" s="403" t="s">
        <v>18</v>
      </c>
      <c r="AB83" s="403" t="s">
        <v>56</v>
      </c>
      <c r="AC83" s="404" t="s">
        <v>21</v>
      </c>
      <c r="AD83" s="628" t="s">
        <v>17</v>
      </c>
      <c r="AE83" s="403" t="s">
        <v>18</v>
      </c>
      <c r="AF83" s="403" t="s">
        <v>56</v>
      </c>
      <c r="AG83" s="404" t="s">
        <v>21</v>
      </c>
      <c r="AH83" s="402" t="s">
        <v>17</v>
      </c>
      <c r="AI83" s="403" t="s">
        <v>18</v>
      </c>
      <c r="AJ83" s="403" t="s">
        <v>56</v>
      </c>
      <c r="AK83" s="404" t="s">
        <v>21</v>
      </c>
      <c r="AL83" s="402" t="s">
        <v>17</v>
      </c>
      <c r="AM83" s="403" t="s">
        <v>18</v>
      </c>
      <c r="AN83" s="403" t="s">
        <v>56</v>
      </c>
      <c r="AO83" s="404" t="s">
        <v>21</v>
      </c>
      <c r="AP83" s="402" t="s">
        <v>17</v>
      </c>
      <c r="AQ83" s="403" t="s">
        <v>18</v>
      </c>
      <c r="AR83" s="403" t="s">
        <v>56</v>
      </c>
      <c r="AS83" s="404" t="s">
        <v>21</v>
      </c>
      <c r="AT83" s="402" t="s">
        <v>17</v>
      </c>
      <c r="AU83" s="403" t="s">
        <v>18</v>
      </c>
      <c r="AV83" s="403" t="s">
        <v>56</v>
      </c>
      <c r="AW83" s="404" t="s">
        <v>21</v>
      </c>
      <c r="AX83" s="1057" t="s">
        <v>17</v>
      </c>
      <c r="AY83" s="403" t="s">
        <v>18</v>
      </c>
      <c r="AZ83" s="403" t="s">
        <v>56</v>
      </c>
      <c r="BA83" s="431" t="s">
        <v>21</v>
      </c>
      <c r="BB83" s="435"/>
      <c r="BD83" s="117" t="s">
        <v>181</v>
      </c>
      <c r="BE83" s="117" t="s">
        <v>182</v>
      </c>
      <c r="BF83" s="395"/>
      <c r="BG83" s="395"/>
    </row>
    <row r="84" spans="1:73" ht="14.4" thickBot="1">
      <c r="A84" s="397" t="s">
        <v>6</v>
      </c>
      <c r="B84" s="398">
        <f>'Feuil-saisie'!G421</f>
        <v>92</v>
      </c>
      <c r="C84" s="399">
        <f>'Feuil-saisie'!H421</f>
        <v>2</v>
      </c>
      <c r="D84" s="400">
        <f>+B84+C84</f>
        <v>94</v>
      </c>
      <c r="E84" s="401">
        <f>'Feuil-saisie'!J421</f>
        <v>8</v>
      </c>
      <c r="F84" s="398">
        <f>'Feuil-saisie'!Q421</f>
        <v>96</v>
      </c>
      <c r="G84" s="398">
        <f>'Feuil-saisie'!R421</f>
        <v>2</v>
      </c>
      <c r="H84" s="400">
        <f t="shared" ref="H84:H93" si="157">+F84+G84</f>
        <v>98</v>
      </c>
      <c r="I84" s="401">
        <f>'Feuil-saisie'!T421</f>
        <v>0</v>
      </c>
      <c r="J84" s="398">
        <f>'Feuil-saisie'!AA421</f>
        <v>240</v>
      </c>
      <c r="K84" s="398">
        <f>'Feuil-saisie'!AB421</f>
        <v>0</v>
      </c>
      <c r="L84" s="400">
        <f t="shared" ref="L84:L93" si="158">+J84+K84</f>
        <v>240</v>
      </c>
      <c r="M84" s="401">
        <f>'Feuil-saisie'!AD421</f>
        <v>0</v>
      </c>
      <c r="N84" s="398">
        <f>'Feuil-saisie'!AK421</f>
        <v>226</v>
      </c>
      <c r="O84" s="398">
        <f>'Feuil-saisie'!AL421</f>
        <v>0</v>
      </c>
      <c r="P84" s="400">
        <f>+N84+O84</f>
        <v>226</v>
      </c>
      <c r="Q84" s="401">
        <f>'Feuil-saisie'!AN421</f>
        <v>0</v>
      </c>
      <c r="R84" s="398">
        <f>'Feuil-saisie'!AU421</f>
        <v>252</v>
      </c>
      <c r="S84" s="399">
        <f>'Feuil-saisie'!AV421</f>
        <v>0</v>
      </c>
      <c r="T84" s="400">
        <f>+R84+S84</f>
        <v>252</v>
      </c>
      <c r="U84" s="401">
        <f>'Feuil-saisie'!AX421</f>
        <v>0</v>
      </c>
      <c r="V84" s="398">
        <f>'Feuil-saisie'!BE421</f>
        <v>150</v>
      </c>
      <c r="W84" s="399">
        <f>'Feuil-saisie'!BF421</f>
        <v>0</v>
      </c>
      <c r="X84" s="400">
        <f>+V84+W84</f>
        <v>150</v>
      </c>
      <c r="Y84" s="401">
        <f>'Feuil-saisie'!BH421</f>
        <v>0</v>
      </c>
      <c r="Z84" s="398">
        <f>'Feuil-saisie'!BO421</f>
        <v>111</v>
      </c>
      <c r="AA84" s="399">
        <f>'Feuil-saisie'!BP421</f>
        <v>0</v>
      </c>
      <c r="AB84" s="400">
        <f>+Z84+AA84</f>
        <v>111</v>
      </c>
      <c r="AC84" s="401">
        <f>'Feuil-saisie'!BR421</f>
        <v>0</v>
      </c>
      <c r="AD84" s="398">
        <f>'Feuil-saisie'!BY421</f>
        <v>187</v>
      </c>
      <c r="AE84" s="399">
        <f>'Feuil-saisie'!BZ421</f>
        <v>0</v>
      </c>
      <c r="AF84" s="400">
        <f>+AD84+AE84</f>
        <v>187</v>
      </c>
      <c r="AG84" s="401">
        <f>'Feuil-saisie'!CB421</f>
        <v>0</v>
      </c>
      <c r="AH84" s="398">
        <f>'Feuil-saisie'!CI421</f>
        <v>0</v>
      </c>
      <c r="AI84" s="399">
        <f>'Feuil-saisie'!CJ421</f>
        <v>0</v>
      </c>
      <c r="AJ84" s="400">
        <f>+AH84+AI84</f>
        <v>0</v>
      </c>
      <c r="AK84" s="401">
        <f>'Feuil-saisie'!CL421</f>
        <v>0</v>
      </c>
      <c r="AL84" s="398">
        <f>'Feuil-saisie'!CS421</f>
        <v>0</v>
      </c>
      <c r="AM84" s="399">
        <f>'Feuil-saisie'!CT421</f>
        <v>0</v>
      </c>
      <c r="AN84" s="400">
        <f>+AL84+AM84</f>
        <v>0</v>
      </c>
      <c r="AO84" s="401">
        <f>'Feuil-saisie'!CV421</f>
        <v>0</v>
      </c>
      <c r="AP84" s="398">
        <f>'Feuil-saisie'!DC421</f>
        <v>0</v>
      </c>
      <c r="AQ84" s="399">
        <f>'Feuil-saisie'!DD421</f>
        <v>0</v>
      </c>
      <c r="AR84" s="400">
        <f>+AP84+AQ84</f>
        <v>0</v>
      </c>
      <c r="AS84" s="401">
        <f>'Feuil-saisie'!DF421</f>
        <v>0</v>
      </c>
      <c r="AT84" s="398">
        <f>'Feuil-saisie'!DM421</f>
        <v>0</v>
      </c>
      <c r="AU84" s="399">
        <f>'Feuil-saisie'!DN421</f>
        <v>0</v>
      </c>
      <c r="AV84" s="400">
        <f>+AT84+AU84</f>
        <v>0</v>
      </c>
      <c r="AW84" s="401">
        <f>'Feuil-saisie'!DP421</f>
        <v>0</v>
      </c>
      <c r="AX84" s="432">
        <f>B84+F84+J84+N84+R84+V84+Z84+AD84+AH84+AL84+AP84+AT84</f>
        <v>1354</v>
      </c>
      <c r="AY84" s="432">
        <f>C84+G84+K84+O84+S84+W84+AA84+AE84+AI84+AM84+AQ84+AU84</f>
        <v>4</v>
      </c>
      <c r="AZ84" s="432">
        <f>D84+H84+L84+P84+T84+X84+AB84+AF84+AJ84+AN84+AR84+AV84</f>
        <v>1358</v>
      </c>
      <c r="BA84" s="432">
        <f>E84+I84+M84+Q84+U84+Y84+AC84+AG84+AK84+AO84+AS84+AW84</f>
        <v>8</v>
      </c>
      <c r="BB84" s="435"/>
      <c r="BC84" s="395"/>
      <c r="BD84" s="395">
        <f>AF84</f>
        <v>187</v>
      </c>
      <c r="BE84" s="395">
        <f>AG84</f>
        <v>0</v>
      </c>
      <c r="BF84" s="395"/>
      <c r="BG84" s="395"/>
    </row>
    <row r="85" spans="1:73" ht="14.4" thickBot="1">
      <c r="A85" s="397" t="s">
        <v>7</v>
      </c>
      <c r="B85" s="398">
        <f>'Feuil-saisie'!G422</f>
        <v>91</v>
      </c>
      <c r="C85" s="399">
        <f>'Feuil-saisie'!H422</f>
        <v>1</v>
      </c>
      <c r="D85" s="400">
        <f t="shared" ref="D85:D93" si="159">+B85+C85</f>
        <v>92</v>
      </c>
      <c r="E85" s="401">
        <f>'Feuil-saisie'!J422</f>
        <v>0</v>
      </c>
      <c r="F85" s="398">
        <f>'Feuil-saisie'!Q422</f>
        <v>216</v>
      </c>
      <c r="G85" s="398">
        <f>'Feuil-saisie'!R422</f>
        <v>1</v>
      </c>
      <c r="H85" s="400">
        <f t="shared" si="157"/>
        <v>217</v>
      </c>
      <c r="I85" s="401">
        <f>'Feuil-saisie'!T422</f>
        <v>0</v>
      </c>
      <c r="J85" s="398">
        <f>'Feuil-saisie'!AA422</f>
        <v>92</v>
      </c>
      <c r="K85" s="398">
        <f>'Feuil-saisie'!AB422</f>
        <v>0</v>
      </c>
      <c r="L85" s="400">
        <f t="shared" si="158"/>
        <v>92</v>
      </c>
      <c r="M85" s="401">
        <f>'Feuil-saisie'!AD422</f>
        <v>0</v>
      </c>
      <c r="N85" s="398">
        <f>'Feuil-saisie'!AK422</f>
        <v>61</v>
      </c>
      <c r="O85" s="398">
        <f>'Feuil-saisie'!AL422</f>
        <v>1</v>
      </c>
      <c r="P85" s="400">
        <f>+N85+O85</f>
        <v>62</v>
      </c>
      <c r="Q85" s="401">
        <f>'Feuil-saisie'!AN422</f>
        <v>0</v>
      </c>
      <c r="R85" s="398">
        <f>'Feuil-saisie'!AU422</f>
        <v>57</v>
      </c>
      <c r="S85" s="399">
        <f>'Feuil-saisie'!AV422</f>
        <v>3</v>
      </c>
      <c r="T85" s="400">
        <f>+R85+S85</f>
        <v>60</v>
      </c>
      <c r="U85" s="401">
        <f>'Feuil-saisie'!AX422</f>
        <v>0</v>
      </c>
      <c r="V85" s="398">
        <f>'Feuil-saisie'!BE422</f>
        <v>75</v>
      </c>
      <c r="W85" s="399">
        <f>'Feuil-saisie'!BF422</f>
        <v>1</v>
      </c>
      <c r="X85" s="400">
        <f>+V85+W85</f>
        <v>76</v>
      </c>
      <c r="Y85" s="401">
        <f>'Feuil-saisie'!BH422</f>
        <v>0</v>
      </c>
      <c r="Z85" s="398">
        <f>'Feuil-saisie'!BO422</f>
        <v>91</v>
      </c>
      <c r="AA85" s="399">
        <f>'Feuil-saisie'!BP422</f>
        <v>1</v>
      </c>
      <c r="AB85" s="400">
        <f>+Z85+AA85</f>
        <v>92</v>
      </c>
      <c r="AC85" s="401">
        <f>'Feuil-saisie'!BR422</f>
        <v>0</v>
      </c>
      <c r="AD85" s="398">
        <f>'Feuil-saisie'!BY422</f>
        <v>35</v>
      </c>
      <c r="AE85" s="399">
        <f>'Feuil-saisie'!BZ422</f>
        <v>1</v>
      </c>
      <c r="AF85" s="400">
        <f>+AD85+AE85</f>
        <v>36</v>
      </c>
      <c r="AG85" s="401">
        <f>'Feuil-saisie'!CB422</f>
        <v>0</v>
      </c>
      <c r="AH85" s="398">
        <f>'Feuil-saisie'!CI422</f>
        <v>0</v>
      </c>
      <c r="AI85" s="399">
        <f>'Feuil-saisie'!CJ422</f>
        <v>0</v>
      </c>
      <c r="AJ85" s="400">
        <f>+AH85+AI85</f>
        <v>0</v>
      </c>
      <c r="AK85" s="401">
        <f>'Feuil-saisie'!CL422</f>
        <v>0</v>
      </c>
      <c r="AL85" s="398">
        <f>'Feuil-saisie'!CS422</f>
        <v>0</v>
      </c>
      <c r="AM85" s="399">
        <f>'Feuil-saisie'!CT422</f>
        <v>0</v>
      </c>
      <c r="AN85" s="400">
        <f>+AL85+AM85</f>
        <v>0</v>
      </c>
      <c r="AO85" s="401">
        <f>'Feuil-saisie'!CV422</f>
        <v>0</v>
      </c>
      <c r="AP85" s="398">
        <f>'Feuil-saisie'!DC422</f>
        <v>0</v>
      </c>
      <c r="AQ85" s="399">
        <f>'Feuil-saisie'!DD422</f>
        <v>0</v>
      </c>
      <c r="AR85" s="400">
        <f>+AP85+AQ85</f>
        <v>0</v>
      </c>
      <c r="AS85" s="401">
        <f>'Feuil-saisie'!DF422</f>
        <v>0</v>
      </c>
      <c r="AT85" s="398">
        <f>'Feuil-saisie'!DM422</f>
        <v>0</v>
      </c>
      <c r="AU85" s="399">
        <f>'Feuil-saisie'!DN422</f>
        <v>0</v>
      </c>
      <c r="AV85" s="400">
        <f>+AT85+AU85</f>
        <v>0</v>
      </c>
      <c r="AW85" s="401">
        <f>'Feuil-saisie'!DP422</f>
        <v>0</v>
      </c>
      <c r="AX85" s="432">
        <f t="shared" ref="AX85:AX93" si="160">B85+F85+J85+N85+R85+V85+Z85+AD85+AH85+AL85+AP85+AT85</f>
        <v>718</v>
      </c>
      <c r="AY85" s="432">
        <f t="shared" ref="AY85:AY93" si="161">C85+G85+K85+O85+S85+W85+AA85+AE85+AI85+AM85+AQ85+AU85</f>
        <v>9</v>
      </c>
      <c r="AZ85" s="432">
        <f t="shared" ref="AZ85:AZ93" si="162">D85+H85+L85+P85+T85+X85+AB85+AF85+AJ85+AN85+AR85+AV85</f>
        <v>727</v>
      </c>
      <c r="BA85" s="432">
        <f>E85+I85+M85+Q85+U85+Y85+AC85+AG85+AK85+AO85+AS85+AW85</f>
        <v>0</v>
      </c>
      <c r="BB85" s="435"/>
      <c r="BC85" s="395"/>
      <c r="BD85" s="395">
        <f t="shared" ref="BD85:BD94" si="163">AF85</f>
        <v>36</v>
      </c>
      <c r="BE85" s="395">
        <f t="shared" ref="BE85:BE93" si="164">AG85</f>
        <v>0</v>
      </c>
      <c r="BF85" s="395"/>
      <c r="BG85" s="395"/>
    </row>
    <row r="86" spans="1:73" ht="14.4" thickBot="1">
      <c r="A86" s="397" t="s">
        <v>8</v>
      </c>
      <c r="B86" s="398">
        <f>'Feuil-saisie'!G423</f>
        <v>43</v>
      </c>
      <c r="C86" s="399">
        <f>'Feuil-saisie'!H423</f>
        <v>0</v>
      </c>
      <c r="D86" s="400">
        <f>+B86+C86</f>
        <v>43</v>
      </c>
      <c r="E86" s="401">
        <f>'Feuil-saisie'!J423</f>
        <v>0</v>
      </c>
      <c r="F86" s="398">
        <f>'Feuil-saisie'!Q423</f>
        <v>34</v>
      </c>
      <c r="G86" s="398">
        <f>'Feuil-saisie'!R423</f>
        <v>1</v>
      </c>
      <c r="H86" s="400">
        <f t="shared" si="157"/>
        <v>35</v>
      </c>
      <c r="I86" s="401">
        <f>'Feuil-saisie'!T423</f>
        <v>0</v>
      </c>
      <c r="J86" s="398">
        <f>'Feuil-saisie'!AA423</f>
        <v>42</v>
      </c>
      <c r="K86" s="398">
        <f>'Feuil-saisie'!AB423</f>
        <v>0</v>
      </c>
      <c r="L86" s="400">
        <f t="shared" si="158"/>
        <v>42</v>
      </c>
      <c r="M86" s="401">
        <f>'Feuil-saisie'!AD423</f>
        <v>0</v>
      </c>
      <c r="N86" s="398">
        <f>'Feuil-saisie'!AK423</f>
        <v>237</v>
      </c>
      <c r="O86" s="398">
        <f>'Feuil-saisie'!AL423</f>
        <v>1</v>
      </c>
      <c r="P86" s="400">
        <f>+N86+O86</f>
        <v>238</v>
      </c>
      <c r="Q86" s="401">
        <f>'Feuil-saisie'!AN423</f>
        <v>0</v>
      </c>
      <c r="R86" s="398">
        <f>'Feuil-saisie'!AU423</f>
        <v>172</v>
      </c>
      <c r="S86" s="399">
        <f>'Feuil-saisie'!AV423</f>
        <v>0</v>
      </c>
      <c r="T86" s="400">
        <f>+R86+S86</f>
        <v>172</v>
      </c>
      <c r="U86" s="401">
        <f>'Feuil-saisie'!AX423</f>
        <v>0</v>
      </c>
      <c r="V86" s="398">
        <f>'Feuil-saisie'!BE423</f>
        <v>54</v>
      </c>
      <c r="W86" s="399">
        <f>'Feuil-saisie'!BF423</f>
        <v>1</v>
      </c>
      <c r="X86" s="400">
        <f>+V86+W86</f>
        <v>55</v>
      </c>
      <c r="Y86" s="401">
        <f>'Feuil-saisie'!BH423</f>
        <v>0</v>
      </c>
      <c r="Z86" s="398">
        <f>'Feuil-saisie'!BO423</f>
        <v>44</v>
      </c>
      <c r="AA86" s="399">
        <f>'Feuil-saisie'!BP423</f>
        <v>3</v>
      </c>
      <c r="AB86" s="400">
        <f>+Z86+AA86</f>
        <v>47</v>
      </c>
      <c r="AC86" s="401">
        <f>'Feuil-saisie'!BR423</f>
        <v>0</v>
      </c>
      <c r="AD86" s="398">
        <f>'Feuil-saisie'!BY423</f>
        <v>29</v>
      </c>
      <c r="AE86" s="399">
        <f>'Feuil-saisie'!BZ423</f>
        <v>0</v>
      </c>
      <c r="AF86" s="400">
        <f>+AD86+AE86</f>
        <v>29</v>
      </c>
      <c r="AG86" s="401">
        <f>'Feuil-saisie'!CB423</f>
        <v>0</v>
      </c>
      <c r="AH86" s="398">
        <f>'Feuil-saisie'!CI423</f>
        <v>0</v>
      </c>
      <c r="AI86" s="399">
        <f>'Feuil-saisie'!CJ423</f>
        <v>0</v>
      </c>
      <c r="AJ86" s="400">
        <f>+AH86+AI86</f>
        <v>0</v>
      </c>
      <c r="AK86" s="401">
        <f>'Feuil-saisie'!CL423</f>
        <v>0</v>
      </c>
      <c r="AL86" s="398">
        <f>'Feuil-saisie'!CS423</f>
        <v>0</v>
      </c>
      <c r="AM86" s="399">
        <f>'Feuil-saisie'!CT423</f>
        <v>0</v>
      </c>
      <c r="AN86" s="400">
        <f>+AL86+AM86</f>
        <v>0</v>
      </c>
      <c r="AO86" s="401">
        <f>'Feuil-saisie'!CV423</f>
        <v>0</v>
      </c>
      <c r="AP86" s="398">
        <f>'Feuil-saisie'!DC423</f>
        <v>0</v>
      </c>
      <c r="AQ86" s="399">
        <f>'Feuil-saisie'!DD423</f>
        <v>0</v>
      </c>
      <c r="AR86" s="400">
        <f>+AP86+AQ86</f>
        <v>0</v>
      </c>
      <c r="AS86" s="401">
        <f>'Feuil-saisie'!DF423</f>
        <v>0</v>
      </c>
      <c r="AT86" s="398">
        <f>'Feuil-saisie'!DM423</f>
        <v>0</v>
      </c>
      <c r="AU86" s="399">
        <f>'Feuil-saisie'!DN423</f>
        <v>0</v>
      </c>
      <c r="AV86" s="400">
        <f>+AT86+AU86</f>
        <v>0</v>
      </c>
      <c r="AW86" s="401">
        <f>'Feuil-saisie'!DP423</f>
        <v>0</v>
      </c>
      <c r="AX86" s="432">
        <f t="shared" si="160"/>
        <v>655</v>
      </c>
      <c r="AY86" s="432">
        <f t="shared" si="161"/>
        <v>6</v>
      </c>
      <c r="AZ86" s="432">
        <f t="shared" si="162"/>
        <v>661</v>
      </c>
      <c r="BA86" s="432">
        <f>E86+I86+M86+Q86+U86+Y86+AC86+AG86+AK86+AO86+AS86+AW86</f>
        <v>0</v>
      </c>
      <c r="BB86" s="435"/>
      <c r="BC86" s="395"/>
      <c r="BD86" s="395">
        <f t="shared" si="163"/>
        <v>29</v>
      </c>
      <c r="BE86" s="395">
        <f t="shared" si="164"/>
        <v>0</v>
      </c>
      <c r="BF86" s="395"/>
      <c r="BG86" s="395"/>
    </row>
    <row r="87" spans="1:73" ht="14.4" thickBot="1">
      <c r="A87" s="397" t="s">
        <v>4</v>
      </c>
      <c r="B87" s="398">
        <f>'Feuil-saisie'!G424</f>
        <v>279</v>
      </c>
      <c r="C87" s="399">
        <f>'Feuil-saisie'!H424</f>
        <v>3</v>
      </c>
      <c r="D87" s="400">
        <f>+B87+C87</f>
        <v>282</v>
      </c>
      <c r="E87" s="401">
        <f>'Feuil-saisie'!J424</f>
        <v>0</v>
      </c>
      <c r="F87" s="398">
        <f>'Feuil-saisie'!Q424</f>
        <v>146</v>
      </c>
      <c r="G87" s="398">
        <f>'Feuil-saisie'!R424</f>
        <v>7</v>
      </c>
      <c r="H87" s="400">
        <f t="shared" si="157"/>
        <v>153</v>
      </c>
      <c r="I87" s="401">
        <f>'Feuil-saisie'!T424</f>
        <v>0</v>
      </c>
      <c r="J87" s="398">
        <f>'Feuil-saisie'!AA424</f>
        <v>393</v>
      </c>
      <c r="K87" s="398">
        <f>'Feuil-saisie'!AB424</f>
        <v>5</v>
      </c>
      <c r="L87" s="400">
        <f t="shared" si="158"/>
        <v>398</v>
      </c>
      <c r="M87" s="401">
        <f>'Feuil-saisie'!AD424</f>
        <v>0</v>
      </c>
      <c r="N87" s="398">
        <f>'Feuil-saisie'!AK424</f>
        <v>283</v>
      </c>
      <c r="O87" s="398">
        <f>'Feuil-saisie'!AL424</f>
        <v>5</v>
      </c>
      <c r="P87" s="400">
        <f t="shared" ref="P87:P93" si="165">+N87+O87</f>
        <v>288</v>
      </c>
      <c r="Q87" s="401">
        <f>'Feuil-saisie'!AN424</f>
        <v>0</v>
      </c>
      <c r="R87" s="398">
        <f>'Feuil-saisie'!AU424</f>
        <v>230</v>
      </c>
      <c r="S87" s="399">
        <f>'Feuil-saisie'!AV424</f>
        <v>1</v>
      </c>
      <c r="T87" s="400">
        <f t="shared" ref="T87:T93" si="166">+R87+S87</f>
        <v>231</v>
      </c>
      <c r="U87" s="401">
        <f>'Feuil-saisie'!AX424</f>
        <v>0</v>
      </c>
      <c r="V87" s="398">
        <f>'Feuil-saisie'!BE424</f>
        <v>251</v>
      </c>
      <c r="W87" s="399">
        <f>'Feuil-saisie'!BF424</f>
        <v>1</v>
      </c>
      <c r="X87" s="400">
        <f t="shared" ref="X87:X93" si="167">+V87+W87</f>
        <v>252</v>
      </c>
      <c r="Y87" s="401">
        <f>'Feuil-saisie'!BH424</f>
        <v>0</v>
      </c>
      <c r="Z87" s="398">
        <f>'Feuil-saisie'!BO424</f>
        <v>182</v>
      </c>
      <c r="AA87" s="399">
        <f>'Feuil-saisie'!BP424</f>
        <v>2</v>
      </c>
      <c r="AB87" s="400">
        <f t="shared" ref="AB87:AB93" si="168">+Z87+AA87</f>
        <v>184</v>
      </c>
      <c r="AC87" s="401">
        <f>'Feuil-saisie'!BR424</f>
        <v>0</v>
      </c>
      <c r="AD87" s="398">
        <f>'Feuil-saisie'!BY424</f>
        <v>98</v>
      </c>
      <c r="AE87" s="399">
        <f>'Feuil-saisie'!BZ424</f>
        <v>3</v>
      </c>
      <c r="AF87" s="400">
        <f t="shared" ref="AF87:AF93" si="169">+AD87+AE87</f>
        <v>101</v>
      </c>
      <c r="AG87" s="401">
        <f>'Feuil-saisie'!CB424</f>
        <v>0</v>
      </c>
      <c r="AH87" s="398">
        <f>'Feuil-saisie'!CI424</f>
        <v>0</v>
      </c>
      <c r="AI87" s="399">
        <f>'Feuil-saisie'!CJ424</f>
        <v>0</v>
      </c>
      <c r="AJ87" s="400">
        <f t="shared" ref="AJ87:AJ93" si="170">+AH87+AI87</f>
        <v>0</v>
      </c>
      <c r="AK87" s="401">
        <f>'Feuil-saisie'!CL424</f>
        <v>0</v>
      </c>
      <c r="AL87" s="398">
        <f>'Feuil-saisie'!CS424</f>
        <v>0</v>
      </c>
      <c r="AM87" s="399">
        <f>'Feuil-saisie'!CT424</f>
        <v>0</v>
      </c>
      <c r="AN87" s="400">
        <f t="shared" ref="AN87:AN93" si="171">+AL87+AM87</f>
        <v>0</v>
      </c>
      <c r="AO87" s="401">
        <f>'Feuil-saisie'!CV424</f>
        <v>0</v>
      </c>
      <c r="AP87" s="398">
        <f>'Feuil-saisie'!DC424</f>
        <v>0</v>
      </c>
      <c r="AQ87" s="399">
        <f>'Feuil-saisie'!DD424</f>
        <v>0</v>
      </c>
      <c r="AR87" s="400">
        <f t="shared" ref="AR87:AR93" si="172">+AP87+AQ87</f>
        <v>0</v>
      </c>
      <c r="AS87" s="401">
        <f>'Feuil-saisie'!DF424</f>
        <v>0</v>
      </c>
      <c r="AT87" s="398">
        <f>'Feuil-saisie'!DM424</f>
        <v>0</v>
      </c>
      <c r="AU87" s="399">
        <f>'Feuil-saisie'!DN424</f>
        <v>0</v>
      </c>
      <c r="AV87" s="400">
        <f t="shared" ref="AV87:AV93" si="173">+AT87+AU87</f>
        <v>0</v>
      </c>
      <c r="AW87" s="401">
        <f>'Feuil-saisie'!DP424</f>
        <v>0</v>
      </c>
      <c r="AX87" s="432">
        <f t="shared" si="160"/>
        <v>1862</v>
      </c>
      <c r="AY87" s="432">
        <f t="shared" si="161"/>
        <v>27</v>
      </c>
      <c r="AZ87" s="432">
        <f t="shared" si="162"/>
        <v>1889</v>
      </c>
      <c r="BA87" s="432">
        <f>E87+I87+M87+Q87+U87+Y87+AC87+AG87+AK87+AO87+AS87+AW87</f>
        <v>0</v>
      </c>
      <c r="BB87" s="435"/>
      <c r="BC87" s="395"/>
      <c r="BD87" s="395">
        <f t="shared" si="163"/>
        <v>101</v>
      </c>
      <c r="BE87" s="395">
        <f t="shared" si="164"/>
        <v>0</v>
      </c>
      <c r="BF87" s="395"/>
      <c r="BG87" s="395"/>
    </row>
    <row r="88" spans="1:73" ht="14.4" thickBot="1">
      <c r="A88" s="397" t="s">
        <v>3</v>
      </c>
      <c r="B88" s="398">
        <f>'Feuil-saisie'!G425</f>
        <v>27</v>
      </c>
      <c r="C88" s="399">
        <f>'Feuil-saisie'!H425</f>
        <v>0</v>
      </c>
      <c r="D88" s="400">
        <f t="shared" si="159"/>
        <v>27</v>
      </c>
      <c r="E88" s="401">
        <f>'Feuil-saisie'!J425</f>
        <v>0</v>
      </c>
      <c r="F88" s="398">
        <f>'Feuil-saisie'!Q425</f>
        <v>6</v>
      </c>
      <c r="G88" s="398">
        <f>'Feuil-saisie'!R425</f>
        <v>0</v>
      </c>
      <c r="H88" s="400">
        <f t="shared" si="157"/>
        <v>6</v>
      </c>
      <c r="I88" s="401">
        <f>'Feuil-saisie'!T425</f>
        <v>0</v>
      </c>
      <c r="J88" s="398">
        <f>'Feuil-saisie'!AA425</f>
        <v>29</v>
      </c>
      <c r="K88" s="398">
        <f>'Feuil-saisie'!AB425</f>
        <v>1</v>
      </c>
      <c r="L88" s="400">
        <f t="shared" si="158"/>
        <v>30</v>
      </c>
      <c r="M88" s="401">
        <f>'Feuil-saisie'!AD425</f>
        <v>0</v>
      </c>
      <c r="N88" s="398">
        <f>'Feuil-saisie'!AK425</f>
        <v>10</v>
      </c>
      <c r="O88" s="398">
        <f>'Feuil-saisie'!AL425</f>
        <v>1</v>
      </c>
      <c r="P88" s="400">
        <f t="shared" si="165"/>
        <v>11</v>
      </c>
      <c r="Q88" s="401">
        <f>'Feuil-saisie'!AN425</f>
        <v>0</v>
      </c>
      <c r="R88" s="398">
        <f>'Feuil-saisie'!AU425</f>
        <v>45</v>
      </c>
      <c r="S88" s="399">
        <f>'Feuil-saisie'!AV425</f>
        <v>0</v>
      </c>
      <c r="T88" s="400">
        <f t="shared" si="166"/>
        <v>45</v>
      </c>
      <c r="U88" s="401">
        <f>'Feuil-saisie'!AX425</f>
        <v>0</v>
      </c>
      <c r="V88" s="398">
        <f>'Feuil-saisie'!BE425</f>
        <v>15</v>
      </c>
      <c r="W88" s="399">
        <f>'Feuil-saisie'!BF425</f>
        <v>0</v>
      </c>
      <c r="X88" s="400">
        <f t="shared" si="167"/>
        <v>15</v>
      </c>
      <c r="Y88" s="401">
        <f>'Feuil-saisie'!BH425</f>
        <v>0</v>
      </c>
      <c r="Z88" s="398">
        <f>'Feuil-saisie'!BO425</f>
        <v>10</v>
      </c>
      <c r="AA88" s="399">
        <f>'Feuil-saisie'!BP425</f>
        <v>0</v>
      </c>
      <c r="AB88" s="400">
        <f t="shared" si="168"/>
        <v>10</v>
      </c>
      <c r="AC88" s="401">
        <f>'Feuil-saisie'!BR425</f>
        <v>0</v>
      </c>
      <c r="AD88" s="398">
        <f>'Feuil-saisie'!BY425</f>
        <v>12</v>
      </c>
      <c r="AE88" s="399">
        <f>'Feuil-saisie'!BZ425</f>
        <v>0</v>
      </c>
      <c r="AF88" s="400">
        <f t="shared" si="169"/>
        <v>12</v>
      </c>
      <c r="AG88" s="401">
        <f>'Feuil-saisie'!CB425</f>
        <v>0</v>
      </c>
      <c r="AH88" s="398">
        <f>'Feuil-saisie'!CI425</f>
        <v>0</v>
      </c>
      <c r="AI88" s="399">
        <f>'Feuil-saisie'!CJ425</f>
        <v>0</v>
      </c>
      <c r="AJ88" s="400">
        <f t="shared" si="170"/>
        <v>0</v>
      </c>
      <c r="AK88" s="401">
        <f>'Feuil-saisie'!CL425</f>
        <v>0</v>
      </c>
      <c r="AL88" s="398">
        <f>'Feuil-saisie'!CS425</f>
        <v>0</v>
      </c>
      <c r="AM88" s="399">
        <f>'Feuil-saisie'!CT425</f>
        <v>0</v>
      </c>
      <c r="AN88" s="400">
        <f t="shared" si="171"/>
        <v>0</v>
      </c>
      <c r="AO88" s="401">
        <f>'Feuil-saisie'!CV425</f>
        <v>0</v>
      </c>
      <c r="AP88" s="398">
        <f>'Feuil-saisie'!DC425</f>
        <v>0</v>
      </c>
      <c r="AQ88" s="399">
        <f>'Feuil-saisie'!DD425</f>
        <v>0</v>
      </c>
      <c r="AR88" s="400">
        <f t="shared" si="172"/>
        <v>0</v>
      </c>
      <c r="AS88" s="401">
        <f>'Feuil-saisie'!DF425</f>
        <v>0</v>
      </c>
      <c r="AT88" s="398">
        <f>'Feuil-saisie'!DM425</f>
        <v>0</v>
      </c>
      <c r="AU88" s="399">
        <f>'Feuil-saisie'!DN425</f>
        <v>0</v>
      </c>
      <c r="AV88" s="400">
        <f t="shared" si="173"/>
        <v>0</v>
      </c>
      <c r="AW88" s="401">
        <f>'Feuil-saisie'!DP425</f>
        <v>0</v>
      </c>
      <c r="AX88" s="432">
        <f t="shared" si="160"/>
        <v>154</v>
      </c>
      <c r="AY88" s="432">
        <f t="shared" si="161"/>
        <v>2</v>
      </c>
      <c r="AZ88" s="432">
        <f t="shared" si="162"/>
        <v>156</v>
      </c>
      <c r="BA88" s="432">
        <f t="shared" ref="BA88:BA93" si="174">E88+I88+M88+Q88+U88+Y88+AC88+AG88+AK88+AO88+AS88+AW88</f>
        <v>0</v>
      </c>
      <c r="BB88" s="435"/>
      <c r="BC88" s="395"/>
      <c r="BD88" s="395">
        <f t="shared" si="163"/>
        <v>12</v>
      </c>
      <c r="BE88" s="395">
        <f t="shared" si="164"/>
        <v>0</v>
      </c>
      <c r="BF88" s="395"/>
      <c r="BG88" s="395"/>
    </row>
    <row r="89" spans="1:73" ht="14.4" thickBot="1">
      <c r="A89" s="397" t="s">
        <v>397</v>
      </c>
      <c r="B89" s="398">
        <f>'Feuil-saisie'!G426</f>
        <v>19</v>
      </c>
      <c r="C89" s="399">
        <f>'Feuil-saisie'!H426</f>
        <v>0</v>
      </c>
      <c r="D89" s="400">
        <f t="shared" si="159"/>
        <v>19</v>
      </c>
      <c r="E89" s="401">
        <f>'Feuil-saisie'!J426</f>
        <v>0</v>
      </c>
      <c r="F89" s="398">
        <f>'Feuil-saisie'!Q426</f>
        <v>12</v>
      </c>
      <c r="G89" s="398">
        <f>'Feuil-saisie'!R426</f>
        <v>0</v>
      </c>
      <c r="H89" s="400">
        <f t="shared" si="157"/>
        <v>12</v>
      </c>
      <c r="I89" s="401">
        <f>'Feuil-saisie'!T426</f>
        <v>0</v>
      </c>
      <c r="J89" s="398">
        <f>'Feuil-saisie'!AA426</f>
        <v>10</v>
      </c>
      <c r="K89" s="398">
        <f>'Feuil-saisie'!AB426</f>
        <v>1</v>
      </c>
      <c r="L89" s="400">
        <f t="shared" si="158"/>
        <v>11</v>
      </c>
      <c r="M89" s="401">
        <f>'Feuil-saisie'!AD426</f>
        <v>0</v>
      </c>
      <c r="N89" s="398">
        <f>'Feuil-saisie'!AK426</f>
        <v>12</v>
      </c>
      <c r="O89" s="398">
        <f>'Feuil-saisie'!AL426</f>
        <v>0</v>
      </c>
      <c r="P89" s="400">
        <f t="shared" si="165"/>
        <v>12</v>
      </c>
      <c r="Q89" s="401">
        <f>'Feuil-saisie'!AN426</f>
        <v>0</v>
      </c>
      <c r="R89" s="398">
        <f>'Feuil-saisie'!AU426</f>
        <v>43</v>
      </c>
      <c r="S89" s="399">
        <f>'Feuil-saisie'!AV426</f>
        <v>1</v>
      </c>
      <c r="T89" s="400">
        <f t="shared" si="166"/>
        <v>44</v>
      </c>
      <c r="U89" s="401">
        <f>'Feuil-saisie'!AX426</f>
        <v>0</v>
      </c>
      <c r="V89" s="398">
        <f>'Feuil-saisie'!BE426</f>
        <v>32</v>
      </c>
      <c r="W89" s="399">
        <f>'Feuil-saisie'!BF426</f>
        <v>0</v>
      </c>
      <c r="X89" s="400">
        <f t="shared" si="167"/>
        <v>32</v>
      </c>
      <c r="Y89" s="401">
        <f>'Feuil-saisie'!BH426</f>
        <v>0</v>
      </c>
      <c r="Z89" s="398">
        <f>'Feuil-saisie'!BO426</f>
        <v>33</v>
      </c>
      <c r="AA89" s="399">
        <f>'Feuil-saisie'!BP426</f>
        <v>0</v>
      </c>
      <c r="AB89" s="400">
        <f t="shared" si="168"/>
        <v>33</v>
      </c>
      <c r="AC89" s="401">
        <f>'Feuil-saisie'!BR426</f>
        <v>0</v>
      </c>
      <c r="AD89" s="398">
        <f>'Feuil-saisie'!BY426</f>
        <v>47</v>
      </c>
      <c r="AE89" s="399">
        <f>'Feuil-saisie'!BZ426</f>
        <v>0</v>
      </c>
      <c r="AF89" s="400">
        <f t="shared" si="169"/>
        <v>47</v>
      </c>
      <c r="AG89" s="401">
        <f>'Feuil-saisie'!CB426</f>
        <v>0</v>
      </c>
      <c r="AH89" s="398">
        <f>'Feuil-saisie'!CI426</f>
        <v>0</v>
      </c>
      <c r="AI89" s="399">
        <f>'Feuil-saisie'!CJ426</f>
        <v>0</v>
      </c>
      <c r="AJ89" s="400">
        <f t="shared" si="170"/>
        <v>0</v>
      </c>
      <c r="AK89" s="401">
        <f>'Feuil-saisie'!CL426</f>
        <v>0</v>
      </c>
      <c r="AL89" s="398">
        <f>'Feuil-saisie'!CS426</f>
        <v>0</v>
      </c>
      <c r="AM89" s="399">
        <f>'Feuil-saisie'!CT426</f>
        <v>0</v>
      </c>
      <c r="AN89" s="400">
        <f t="shared" si="171"/>
        <v>0</v>
      </c>
      <c r="AO89" s="401">
        <f>'Feuil-saisie'!CV426</f>
        <v>0</v>
      </c>
      <c r="AP89" s="398">
        <f>'Feuil-saisie'!DC426</f>
        <v>0</v>
      </c>
      <c r="AQ89" s="399">
        <f>'Feuil-saisie'!DD426</f>
        <v>0</v>
      </c>
      <c r="AR89" s="400">
        <f t="shared" si="172"/>
        <v>0</v>
      </c>
      <c r="AS89" s="401">
        <f>'Feuil-saisie'!DF426</f>
        <v>0</v>
      </c>
      <c r="AT89" s="398">
        <f>'Feuil-saisie'!DM426</f>
        <v>0</v>
      </c>
      <c r="AU89" s="399">
        <f>'Feuil-saisie'!DN426</f>
        <v>0</v>
      </c>
      <c r="AV89" s="400">
        <f t="shared" si="173"/>
        <v>0</v>
      </c>
      <c r="AW89" s="401">
        <f>'Feuil-saisie'!DP426</f>
        <v>0</v>
      </c>
      <c r="AX89" s="432">
        <f t="shared" si="160"/>
        <v>208</v>
      </c>
      <c r="AY89" s="432">
        <f t="shared" si="161"/>
        <v>2</v>
      </c>
      <c r="AZ89" s="432">
        <f t="shared" si="162"/>
        <v>210</v>
      </c>
      <c r="BA89" s="432">
        <f t="shared" si="174"/>
        <v>0</v>
      </c>
      <c r="BB89" s="435"/>
      <c r="BC89" s="395"/>
      <c r="BD89" s="395">
        <f t="shared" si="163"/>
        <v>47</v>
      </c>
      <c r="BE89" s="395">
        <f t="shared" si="164"/>
        <v>0</v>
      </c>
      <c r="BF89" s="395"/>
      <c r="BG89" s="395"/>
    </row>
    <row r="90" spans="1:73" ht="14.4" thickBot="1">
      <c r="A90" s="397" t="s">
        <v>399</v>
      </c>
      <c r="B90" s="398">
        <f>'Feuil-saisie'!G427</f>
        <v>27</v>
      </c>
      <c r="C90" s="399">
        <f>'Feuil-saisie'!H427</f>
        <v>0</v>
      </c>
      <c r="D90" s="400">
        <f t="shared" si="159"/>
        <v>27</v>
      </c>
      <c r="E90" s="401">
        <f>'Feuil-saisie'!J427</f>
        <v>0</v>
      </c>
      <c r="F90" s="398">
        <f>'Feuil-saisie'!Q427</f>
        <v>22</v>
      </c>
      <c r="G90" s="398">
        <f>'Feuil-saisie'!R427</f>
        <v>0</v>
      </c>
      <c r="H90" s="400">
        <f t="shared" si="157"/>
        <v>22</v>
      </c>
      <c r="I90" s="401">
        <f>'Feuil-saisie'!T427</f>
        <v>0</v>
      </c>
      <c r="J90" s="398">
        <f>'Feuil-saisie'!AA427</f>
        <v>51</v>
      </c>
      <c r="K90" s="398">
        <f>'Feuil-saisie'!AB427</f>
        <v>0</v>
      </c>
      <c r="L90" s="400">
        <f t="shared" si="158"/>
        <v>51</v>
      </c>
      <c r="M90" s="401">
        <f>'Feuil-saisie'!AD427</f>
        <v>0</v>
      </c>
      <c r="N90" s="398">
        <f>'Feuil-saisie'!AK427</f>
        <v>40</v>
      </c>
      <c r="O90" s="398">
        <f>'Feuil-saisie'!AL427</f>
        <v>0</v>
      </c>
      <c r="P90" s="400">
        <f t="shared" si="165"/>
        <v>40</v>
      </c>
      <c r="Q90" s="401">
        <f>'Feuil-saisie'!AN427</f>
        <v>0</v>
      </c>
      <c r="R90" s="398">
        <f>'Feuil-saisie'!AU427</f>
        <v>79</v>
      </c>
      <c r="S90" s="399">
        <f>'Feuil-saisie'!AV427</f>
        <v>1</v>
      </c>
      <c r="T90" s="400">
        <f t="shared" si="166"/>
        <v>80</v>
      </c>
      <c r="U90" s="401">
        <f>'Feuil-saisie'!AX427</f>
        <v>0</v>
      </c>
      <c r="V90" s="398">
        <f>'Feuil-saisie'!BE427</f>
        <v>69</v>
      </c>
      <c r="W90" s="399">
        <f>'Feuil-saisie'!BF427</f>
        <v>0</v>
      </c>
      <c r="X90" s="400">
        <f t="shared" si="167"/>
        <v>69</v>
      </c>
      <c r="Y90" s="401">
        <f>'Feuil-saisie'!BH427</f>
        <v>0</v>
      </c>
      <c r="Z90" s="398">
        <f>'Feuil-saisie'!BO427</f>
        <v>34</v>
      </c>
      <c r="AA90" s="399">
        <f>'Feuil-saisie'!BP427</f>
        <v>0</v>
      </c>
      <c r="AB90" s="400">
        <f t="shared" si="168"/>
        <v>34</v>
      </c>
      <c r="AC90" s="401">
        <f>'Feuil-saisie'!BR427</f>
        <v>0</v>
      </c>
      <c r="AD90" s="398">
        <f>'Feuil-saisie'!BY427</f>
        <v>28</v>
      </c>
      <c r="AE90" s="399">
        <f>'Feuil-saisie'!BZ427</f>
        <v>0</v>
      </c>
      <c r="AF90" s="400">
        <f t="shared" si="169"/>
        <v>28</v>
      </c>
      <c r="AG90" s="401">
        <f>'Feuil-saisie'!CB427</f>
        <v>0</v>
      </c>
      <c r="AH90" s="398">
        <f>'Feuil-saisie'!CI427</f>
        <v>0</v>
      </c>
      <c r="AI90" s="399">
        <f>'Feuil-saisie'!CJ427</f>
        <v>0</v>
      </c>
      <c r="AJ90" s="400">
        <f t="shared" si="170"/>
        <v>0</v>
      </c>
      <c r="AK90" s="401">
        <f>'Feuil-saisie'!CL427</f>
        <v>0</v>
      </c>
      <c r="AL90" s="398">
        <f>'Feuil-saisie'!CS427</f>
        <v>0</v>
      </c>
      <c r="AM90" s="399">
        <f>'Feuil-saisie'!CT427</f>
        <v>0</v>
      </c>
      <c r="AN90" s="400">
        <f t="shared" si="171"/>
        <v>0</v>
      </c>
      <c r="AO90" s="401">
        <f>'Feuil-saisie'!CV427</f>
        <v>0</v>
      </c>
      <c r="AP90" s="398">
        <f>'Feuil-saisie'!DC427</f>
        <v>0</v>
      </c>
      <c r="AQ90" s="399">
        <f>'Feuil-saisie'!DD427</f>
        <v>0</v>
      </c>
      <c r="AR90" s="400">
        <f t="shared" si="172"/>
        <v>0</v>
      </c>
      <c r="AS90" s="401">
        <f>'Feuil-saisie'!DF427</f>
        <v>0</v>
      </c>
      <c r="AT90" s="398">
        <f>'Feuil-saisie'!DM427</f>
        <v>0</v>
      </c>
      <c r="AU90" s="399">
        <f>'Feuil-saisie'!DN427</f>
        <v>0</v>
      </c>
      <c r="AV90" s="400">
        <f t="shared" si="173"/>
        <v>0</v>
      </c>
      <c r="AW90" s="401">
        <f>'Feuil-saisie'!DP427</f>
        <v>0</v>
      </c>
      <c r="AX90" s="432">
        <f t="shared" si="160"/>
        <v>350</v>
      </c>
      <c r="AY90" s="432">
        <f t="shared" si="161"/>
        <v>1</v>
      </c>
      <c r="AZ90" s="432">
        <f t="shared" si="162"/>
        <v>351</v>
      </c>
      <c r="BA90" s="432">
        <f t="shared" si="174"/>
        <v>0</v>
      </c>
      <c r="BB90" s="435"/>
      <c r="BC90" s="395"/>
      <c r="BD90" s="395">
        <f t="shared" si="163"/>
        <v>28</v>
      </c>
      <c r="BE90" s="395">
        <f t="shared" si="164"/>
        <v>0</v>
      </c>
      <c r="BF90" s="395"/>
      <c r="BG90" s="395"/>
    </row>
    <row r="91" spans="1:73" ht="14.4" thickBot="1">
      <c r="A91" s="397" t="s">
        <v>883</v>
      </c>
      <c r="B91" s="398">
        <f>'Feuil-saisie'!G428</f>
        <v>20</v>
      </c>
      <c r="C91" s="399">
        <f>'Feuil-saisie'!H428</f>
        <v>0</v>
      </c>
      <c r="D91" s="400">
        <f t="shared" si="159"/>
        <v>20</v>
      </c>
      <c r="E91" s="401">
        <f>'Feuil-saisie'!J428</f>
        <v>0</v>
      </c>
      <c r="F91" s="398">
        <f>'Feuil-saisie'!Q428</f>
        <v>46</v>
      </c>
      <c r="G91" s="398">
        <f>'Feuil-saisie'!R428</f>
        <v>0</v>
      </c>
      <c r="H91" s="400">
        <f t="shared" si="157"/>
        <v>46</v>
      </c>
      <c r="I91" s="401">
        <f>'Feuil-saisie'!T428</f>
        <v>0</v>
      </c>
      <c r="J91" s="398">
        <f>'Feuil-saisie'!AA428</f>
        <v>20</v>
      </c>
      <c r="K91" s="398">
        <f>'Feuil-saisie'!AB428</f>
        <v>0</v>
      </c>
      <c r="L91" s="400">
        <f t="shared" si="158"/>
        <v>20</v>
      </c>
      <c r="M91" s="401">
        <f>'Feuil-saisie'!AD428</f>
        <v>0</v>
      </c>
      <c r="N91" s="398">
        <f>'Feuil-saisie'!AK428</f>
        <v>10</v>
      </c>
      <c r="O91" s="398">
        <f>'Feuil-saisie'!AL428</f>
        <v>0</v>
      </c>
      <c r="P91" s="400">
        <f t="shared" si="165"/>
        <v>10</v>
      </c>
      <c r="Q91" s="401">
        <f>'Feuil-saisie'!AN428</f>
        <v>0</v>
      </c>
      <c r="R91" s="398">
        <f>'Feuil-saisie'!AU428</f>
        <v>16</v>
      </c>
      <c r="S91" s="399">
        <f>'Feuil-saisie'!AV428</f>
        <v>1</v>
      </c>
      <c r="T91" s="400">
        <f t="shared" si="166"/>
        <v>17</v>
      </c>
      <c r="U91" s="401">
        <f>'Feuil-saisie'!AX428</f>
        <v>0</v>
      </c>
      <c r="V91" s="398">
        <f>'Feuil-saisie'!BE428</f>
        <v>10</v>
      </c>
      <c r="W91" s="399">
        <f>'Feuil-saisie'!BF428</f>
        <v>1</v>
      </c>
      <c r="X91" s="400">
        <f t="shared" si="167"/>
        <v>11</v>
      </c>
      <c r="Y91" s="401">
        <f>'Feuil-saisie'!BH428</f>
        <v>0</v>
      </c>
      <c r="Z91" s="398">
        <f>'Feuil-saisie'!BO428</f>
        <v>9</v>
      </c>
      <c r="AA91" s="399">
        <f>'Feuil-saisie'!BP428</f>
        <v>0</v>
      </c>
      <c r="AB91" s="400">
        <f t="shared" si="168"/>
        <v>9</v>
      </c>
      <c r="AC91" s="401">
        <f>'Feuil-saisie'!BR428</f>
        <v>0</v>
      </c>
      <c r="AD91" s="398">
        <f>'Feuil-saisie'!BY428</f>
        <v>5</v>
      </c>
      <c r="AE91" s="399">
        <f>'Feuil-saisie'!BZ428</f>
        <v>0</v>
      </c>
      <c r="AF91" s="400">
        <f t="shared" si="169"/>
        <v>5</v>
      </c>
      <c r="AG91" s="401">
        <f>'Feuil-saisie'!CB428</f>
        <v>0</v>
      </c>
      <c r="AH91" s="398">
        <f>'Feuil-saisie'!CI428</f>
        <v>0</v>
      </c>
      <c r="AI91" s="399">
        <f>'Feuil-saisie'!CJ428</f>
        <v>0</v>
      </c>
      <c r="AJ91" s="400">
        <f t="shared" si="170"/>
        <v>0</v>
      </c>
      <c r="AK91" s="401">
        <f>'Feuil-saisie'!CL428</f>
        <v>0</v>
      </c>
      <c r="AL91" s="398">
        <f>'Feuil-saisie'!CS428</f>
        <v>0</v>
      </c>
      <c r="AM91" s="399">
        <f>'Feuil-saisie'!CT428</f>
        <v>0</v>
      </c>
      <c r="AN91" s="400">
        <f t="shared" si="171"/>
        <v>0</v>
      </c>
      <c r="AO91" s="401">
        <f>'Feuil-saisie'!CV428</f>
        <v>0</v>
      </c>
      <c r="AP91" s="398">
        <f>'Feuil-saisie'!DC428</f>
        <v>0</v>
      </c>
      <c r="AQ91" s="399">
        <f>'Feuil-saisie'!DD428</f>
        <v>0</v>
      </c>
      <c r="AR91" s="400">
        <f t="shared" si="172"/>
        <v>0</v>
      </c>
      <c r="AS91" s="401">
        <f>'Feuil-saisie'!DF428</f>
        <v>0</v>
      </c>
      <c r="AT91" s="398">
        <f>'Feuil-saisie'!DM428</f>
        <v>0</v>
      </c>
      <c r="AU91" s="399">
        <f>'Feuil-saisie'!DN428</f>
        <v>0</v>
      </c>
      <c r="AV91" s="400">
        <f t="shared" si="173"/>
        <v>0</v>
      </c>
      <c r="AW91" s="401">
        <f>'Feuil-saisie'!DP428</f>
        <v>0</v>
      </c>
      <c r="AX91" s="432">
        <f t="shared" si="160"/>
        <v>136</v>
      </c>
      <c r="AY91" s="432">
        <f t="shared" si="161"/>
        <v>2</v>
      </c>
      <c r="AZ91" s="432">
        <f t="shared" si="162"/>
        <v>138</v>
      </c>
      <c r="BA91" s="432">
        <f t="shared" si="174"/>
        <v>0</v>
      </c>
      <c r="BB91" s="435"/>
      <c r="BC91" s="395"/>
      <c r="BD91" s="395">
        <f t="shared" si="163"/>
        <v>5</v>
      </c>
      <c r="BE91" s="395">
        <f t="shared" si="164"/>
        <v>0</v>
      </c>
      <c r="BF91" s="395"/>
      <c r="BG91" s="395"/>
    </row>
    <row r="92" spans="1:73" ht="14.4" thickBot="1">
      <c r="A92" s="397" t="s">
        <v>884</v>
      </c>
      <c r="B92" s="398">
        <f>'Feuil-saisie'!G429</f>
        <v>50</v>
      </c>
      <c r="C92" s="399">
        <f>'Feuil-saisie'!H429</f>
        <v>0</v>
      </c>
      <c r="D92" s="400">
        <f t="shared" si="159"/>
        <v>50</v>
      </c>
      <c r="E92" s="401">
        <f>'Feuil-saisie'!J429</f>
        <v>0</v>
      </c>
      <c r="F92" s="398">
        <f>'Feuil-saisie'!Q429</f>
        <v>99</v>
      </c>
      <c r="G92" s="398">
        <f>'Feuil-saisie'!R429</f>
        <v>1</v>
      </c>
      <c r="H92" s="400">
        <f t="shared" si="157"/>
        <v>100</v>
      </c>
      <c r="I92" s="401">
        <f>'Feuil-saisie'!T429</f>
        <v>0</v>
      </c>
      <c r="J92" s="398">
        <f>'Feuil-saisie'!AA429</f>
        <v>66</v>
      </c>
      <c r="K92" s="398">
        <f>'Feuil-saisie'!AB429</f>
        <v>3</v>
      </c>
      <c r="L92" s="400">
        <f t="shared" si="158"/>
        <v>69</v>
      </c>
      <c r="M92" s="401">
        <f>'Feuil-saisie'!AD429</f>
        <v>0</v>
      </c>
      <c r="N92" s="398">
        <f>'Feuil-saisie'!AK429</f>
        <v>57</v>
      </c>
      <c r="O92" s="398">
        <f>'Feuil-saisie'!AL429</f>
        <v>0</v>
      </c>
      <c r="P92" s="400">
        <f t="shared" si="165"/>
        <v>57</v>
      </c>
      <c r="Q92" s="401">
        <f>'Feuil-saisie'!AN429</f>
        <v>0</v>
      </c>
      <c r="R92" s="398">
        <f>'Feuil-saisie'!AU429</f>
        <v>65</v>
      </c>
      <c r="S92" s="399">
        <f>'Feuil-saisie'!AV429</f>
        <v>0</v>
      </c>
      <c r="T92" s="400">
        <f t="shared" si="166"/>
        <v>65</v>
      </c>
      <c r="U92" s="401">
        <f>'Feuil-saisie'!AX429</f>
        <v>0</v>
      </c>
      <c r="V92" s="398">
        <f>'Feuil-saisie'!BE429</f>
        <v>86</v>
      </c>
      <c r="W92" s="399">
        <f>'Feuil-saisie'!BF429</f>
        <v>0</v>
      </c>
      <c r="X92" s="400">
        <f t="shared" si="167"/>
        <v>86</v>
      </c>
      <c r="Y92" s="401">
        <f>'Feuil-saisie'!BH429</f>
        <v>0</v>
      </c>
      <c r="Z92" s="398">
        <f>'Feuil-saisie'!BO429</f>
        <v>93</v>
      </c>
      <c r="AA92" s="399">
        <f>'Feuil-saisie'!BP429</f>
        <v>0</v>
      </c>
      <c r="AB92" s="400">
        <f t="shared" si="168"/>
        <v>93</v>
      </c>
      <c r="AC92" s="401">
        <f>'Feuil-saisie'!BR429</f>
        <v>0</v>
      </c>
      <c r="AD92" s="398">
        <f>'Feuil-saisie'!BY429</f>
        <v>72</v>
      </c>
      <c r="AE92" s="399">
        <f>'Feuil-saisie'!BZ429</f>
        <v>0</v>
      </c>
      <c r="AF92" s="400">
        <f t="shared" si="169"/>
        <v>72</v>
      </c>
      <c r="AG92" s="401">
        <f>'Feuil-saisie'!CB429</f>
        <v>0</v>
      </c>
      <c r="AH92" s="398">
        <f>'Feuil-saisie'!CI429</f>
        <v>0</v>
      </c>
      <c r="AI92" s="399">
        <f>'Feuil-saisie'!CJ429</f>
        <v>0</v>
      </c>
      <c r="AJ92" s="400">
        <f t="shared" si="170"/>
        <v>0</v>
      </c>
      <c r="AK92" s="401">
        <f>'Feuil-saisie'!CL429</f>
        <v>0</v>
      </c>
      <c r="AL92" s="398">
        <f>'Feuil-saisie'!CS429</f>
        <v>0</v>
      </c>
      <c r="AM92" s="399">
        <f>'Feuil-saisie'!CT429</f>
        <v>0</v>
      </c>
      <c r="AN92" s="400">
        <f t="shared" si="171"/>
        <v>0</v>
      </c>
      <c r="AO92" s="401">
        <f>'Feuil-saisie'!CV429</f>
        <v>0</v>
      </c>
      <c r="AP92" s="398">
        <f>'Feuil-saisie'!DC429</f>
        <v>0</v>
      </c>
      <c r="AQ92" s="399">
        <f>'Feuil-saisie'!DD429</f>
        <v>0</v>
      </c>
      <c r="AR92" s="400">
        <f t="shared" si="172"/>
        <v>0</v>
      </c>
      <c r="AS92" s="401">
        <f>'Feuil-saisie'!DF429</f>
        <v>0</v>
      </c>
      <c r="AT92" s="398">
        <f>'Feuil-saisie'!DM429</f>
        <v>0</v>
      </c>
      <c r="AU92" s="399">
        <f>'Feuil-saisie'!DN429</f>
        <v>0</v>
      </c>
      <c r="AV92" s="400">
        <f t="shared" si="173"/>
        <v>0</v>
      </c>
      <c r="AW92" s="401">
        <f>'Feuil-saisie'!DP429</f>
        <v>0</v>
      </c>
      <c r="AX92" s="432">
        <f t="shared" si="160"/>
        <v>588</v>
      </c>
      <c r="AY92" s="432">
        <f t="shared" si="161"/>
        <v>4</v>
      </c>
      <c r="AZ92" s="432">
        <f t="shared" si="162"/>
        <v>592</v>
      </c>
      <c r="BA92" s="432">
        <f t="shared" si="174"/>
        <v>0</v>
      </c>
      <c r="BB92" s="435"/>
      <c r="BC92" s="395"/>
      <c r="BD92" s="395">
        <f t="shared" si="163"/>
        <v>72</v>
      </c>
      <c r="BE92" s="395">
        <f t="shared" si="164"/>
        <v>0</v>
      </c>
      <c r="BF92" s="395"/>
      <c r="BG92" s="395"/>
    </row>
    <row r="93" spans="1:73" ht="14.4" thickBot="1">
      <c r="A93" s="397" t="s">
        <v>885</v>
      </c>
      <c r="B93" s="398">
        <f>'Feuil-saisie'!G430</f>
        <v>85</v>
      </c>
      <c r="C93" s="399">
        <f>'Feuil-saisie'!H430</f>
        <v>0</v>
      </c>
      <c r="D93" s="400">
        <f t="shared" si="159"/>
        <v>85</v>
      </c>
      <c r="E93" s="401">
        <f>'Feuil-saisie'!J430</f>
        <v>0</v>
      </c>
      <c r="F93" s="398">
        <f>'Feuil-saisie'!Q430</f>
        <v>211</v>
      </c>
      <c r="G93" s="398">
        <f>'Feuil-saisie'!R430</f>
        <v>0</v>
      </c>
      <c r="H93" s="400">
        <f t="shared" si="157"/>
        <v>211</v>
      </c>
      <c r="I93" s="401">
        <f>'Feuil-saisie'!T430</f>
        <v>0</v>
      </c>
      <c r="J93" s="398">
        <f>'Feuil-saisie'!AA430</f>
        <v>53</v>
      </c>
      <c r="K93" s="398">
        <f>'Feuil-saisie'!AB430</f>
        <v>0</v>
      </c>
      <c r="L93" s="400">
        <f t="shared" si="158"/>
        <v>53</v>
      </c>
      <c r="M93" s="401">
        <f>'Feuil-saisie'!AD430</f>
        <v>0</v>
      </c>
      <c r="N93" s="398">
        <f>'Feuil-saisie'!AK430</f>
        <v>32</v>
      </c>
      <c r="O93" s="398">
        <f>'Feuil-saisie'!AL430</f>
        <v>1</v>
      </c>
      <c r="P93" s="400">
        <f t="shared" si="165"/>
        <v>33</v>
      </c>
      <c r="Q93" s="401">
        <f>'Feuil-saisie'!AN430</f>
        <v>0</v>
      </c>
      <c r="R93" s="398">
        <f>'Feuil-saisie'!AU430</f>
        <v>63</v>
      </c>
      <c r="S93" s="399">
        <f>'Feuil-saisie'!AV430</f>
        <v>0</v>
      </c>
      <c r="T93" s="400">
        <f t="shared" si="166"/>
        <v>63</v>
      </c>
      <c r="U93" s="401">
        <f>'Feuil-saisie'!AX430</f>
        <v>0</v>
      </c>
      <c r="V93" s="398">
        <f>'Feuil-saisie'!BE430</f>
        <v>57</v>
      </c>
      <c r="W93" s="399">
        <f>'Feuil-saisie'!BF430</f>
        <v>0</v>
      </c>
      <c r="X93" s="400">
        <f t="shared" si="167"/>
        <v>57</v>
      </c>
      <c r="Y93" s="401">
        <f>'Feuil-saisie'!BH430</f>
        <v>0</v>
      </c>
      <c r="Z93" s="398">
        <f>'Feuil-saisie'!BO430</f>
        <v>12</v>
      </c>
      <c r="AA93" s="399">
        <f>'Feuil-saisie'!BP430</f>
        <v>0</v>
      </c>
      <c r="AB93" s="400">
        <f t="shared" si="168"/>
        <v>12</v>
      </c>
      <c r="AC93" s="401">
        <f>'Feuil-saisie'!BR430</f>
        <v>0</v>
      </c>
      <c r="AD93" s="398">
        <f>'Feuil-saisie'!BY430</f>
        <v>7</v>
      </c>
      <c r="AE93" s="399">
        <f>'Feuil-saisie'!BZ430</f>
        <v>0</v>
      </c>
      <c r="AF93" s="400">
        <f t="shared" si="169"/>
        <v>7</v>
      </c>
      <c r="AG93" s="401">
        <f>'Feuil-saisie'!CB430</f>
        <v>0</v>
      </c>
      <c r="AH93" s="398">
        <f>'Feuil-saisie'!CI430</f>
        <v>0</v>
      </c>
      <c r="AI93" s="399">
        <f>'Feuil-saisie'!CJ430</f>
        <v>0</v>
      </c>
      <c r="AJ93" s="400">
        <f t="shared" si="170"/>
        <v>0</v>
      </c>
      <c r="AK93" s="401">
        <f>'Feuil-saisie'!CL430</f>
        <v>0</v>
      </c>
      <c r="AL93" s="398">
        <f>'Feuil-saisie'!CS430</f>
        <v>0</v>
      </c>
      <c r="AM93" s="399">
        <f>'Feuil-saisie'!CT430</f>
        <v>0</v>
      </c>
      <c r="AN93" s="400">
        <f t="shared" si="171"/>
        <v>0</v>
      </c>
      <c r="AO93" s="401">
        <f>'Feuil-saisie'!CV430</f>
        <v>0</v>
      </c>
      <c r="AP93" s="398">
        <f>'Feuil-saisie'!DC430</f>
        <v>0</v>
      </c>
      <c r="AQ93" s="399">
        <f>'Feuil-saisie'!DD430</f>
        <v>0</v>
      </c>
      <c r="AR93" s="400">
        <f t="shared" si="172"/>
        <v>0</v>
      </c>
      <c r="AS93" s="401">
        <f>'Feuil-saisie'!DF430</f>
        <v>0</v>
      </c>
      <c r="AT93" s="398">
        <f>'Feuil-saisie'!DM430</f>
        <v>0</v>
      </c>
      <c r="AU93" s="399">
        <f>'Feuil-saisie'!DN430</f>
        <v>0</v>
      </c>
      <c r="AV93" s="400">
        <f t="shared" si="173"/>
        <v>0</v>
      </c>
      <c r="AW93" s="401">
        <f>'Feuil-saisie'!DP430</f>
        <v>0</v>
      </c>
      <c r="AX93" s="432">
        <f t="shared" si="160"/>
        <v>520</v>
      </c>
      <c r="AY93" s="432">
        <f t="shared" si="161"/>
        <v>1</v>
      </c>
      <c r="AZ93" s="432">
        <f t="shared" si="162"/>
        <v>521</v>
      </c>
      <c r="BA93" s="432">
        <f t="shared" si="174"/>
        <v>0</v>
      </c>
      <c r="BB93" s="435"/>
      <c r="BC93" s="395"/>
      <c r="BD93" s="395">
        <f t="shared" si="163"/>
        <v>7</v>
      </c>
      <c r="BE93" s="395">
        <f t="shared" si="164"/>
        <v>0</v>
      </c>
      <c r="BF93" s="395"/>
      <c r="BG93" s="395"/>
    </row>
    <row r="94" spans="1:73" ht="14.4" thickBot="1">
      <c r="A94" s="433" t="s">
        <v>16</v>
      </c>
      <c r="B94" s="417">
        <f t="shared" ref="B94:AG94" si="175">SUM(B84:B93)</f>
        <v>733</v>
      </c>
      <c r="C94" s="419">
        <f t="shared" si="175"/>
        <v>6</v>
      </c>
      <c r="D94" s="419">
        <f t="shared" si="175"/>
        <v>739</v>
      </c>
      <c r="E94" s="420">
        <f t="shared" si="175"/>
        <v>8</v>
      </c>
      <c r="F94" s="417">
        <f t="shared" si="175"/>
        <v>888</v>
      </c>
      <c r="G94" s="419">
        <f t="shared" si="175"/>
        <v>12</v>
      </c>
      <c r="H94" s="419">
        <f t="shared" si="175"/>
        <v>900</v>
      </c>
      <c r="I94" s="420">
        <f t="shared" si="175"/>
        <v>0</v>
      </c>
      <c r="J94" s="417">
        <f t="shared" si="175"/>
        <v>996</v>
      </c>
      <c r="K94" s="419">
        <f t="shared" si="175"/>
        <v>10</v>
      </c>
      <c r="L94" s="419">
        <f t="shared" si="175"/>
        <v>1006</v>
      </c>
      <c r="M94" s="420">
        <f t="shared" si="175"/>
        <v>0</v>
      </c>
      <c r="N94" s="417">
        <f t="shared" si="175"/>
        <v>968</v>
      </c>
      <c r="O94" s="419">
        <f t="shared" si="175"/>
        <v>9</v>
      </c>
      <c r="P94" s="419">
        <f t="shared" si="175"/>
        <v>977</v>
      </c>
      <c r="Q94" s="420">
        <f t="shared" si="175"/>
        <v>0</v>
      </c>
      <c r="R94" s="417">
        <f t="shared" si="175"/>
        <v>1022</v>
      </c>
      <c r="S94" s="419">
        <f t="shared" si="175"/>
        <v>7</v>
      </c>
      <c r="T94" s="419">
        <f t="shared" si="175"/>
        <v>1029</v>
      </c>
      <c r="U94" s="420">
        <f t="shared" si="175"/>
        <v>0</v>
      </c>
      <c r="V94" s="417">
        <f t="shared" si="175"/>
        <v>799</v>
      </c>
      <c r="W94" s="419">
        <f t="shared" si="175"/>
        <v>4</v>
      </c>
      <c r="X94" s="419">
        <f t="shared" si="175"/>
        <v>803</v>
      </c>
      <c r="Y94" s="420">
        <f t="shared" si="175"/>
        <v>0</v>
      </c>
      <c r="Z94" s="417">
        <f t="shared" si="175"/>
        <v>619</v>
      </c>
      <c r="AA94" s="419">
        <f t="shared" si="175"/>
        <v>6</v>
      </c>
      <c r="AB94" s="419">
        <f t="shared" si="175"/>
        <v>625</v>
      </c>
      <c r="AC94" s="420">
        <f t="shared" si="175"/>
        <v>0</v>
      </c>
      <c r="AD94" s="417">
        <f t="shared" si="175"/>
        <v>520</v>
      </c>
      <c r="AE94" s="419">
        <f t="shared" si="175"/>
        <v>4</v>
      </c>
      <c r="AF94" s="419">
        <f t="shared" si="175"/>
        <v>524</v>
      </c>
      <c r="AG94" s="420">
        <f t="shared" si="175"/>
        <v>0</v>
      </c>
      <c r="AH94" s="417">
        <f t="shared" ref="AH94:BA94" si="176">SUM(AH84:AH93)</f>
        <v>0</v>
      </c>
      <c r="AI94" s="419">
        <f t="shared" si="176"/>
        <v>0</v>
      </c>
      <c r="AJ94" s="419">
        <f t="shared" si="176"/>
        <v>0</v>
      </c>
      <c r="AK94" s="420">
        <f t="shared" si="176"/>
        <v>0</v>
      </c>
      <c r="AL94" s="417">
        <f t="shared" si="176"/>
        <v>0</v>
      </c>
      <c r="AM94" s="419">
        <f t="shared" si="176"/>
        <v>0</v>
      </c>
      <c r="AN94" s="419">
        <f t="shared" si="176"/>
        <v>0</v>
      </c>
      <c r="AO94" s="420">
        <f t="shared" si="176"/>
        <v>0</v>
      </c>
      <c r="AP94" s="417">
        <f t="shared" si="176"/>
        <v>0</v>
      </c>
      <c r="AQ94" s="419">
        <f t="shared" si="176"/>
        <v>0</v>
      </c>
      <c r="AR94" s="419">
        <f t="shared" si="176"/>
        <v>0</v>
      </c>
      <c r="AS94" s="420">
        <f t="shared" si="176"/>
        <v>0</v>
      </c>
      <c r="AT94" s="417">
        <f t="shared" si="176"/>
        <v>0</v>
      </c>
      <c r="AU94" s="419">
        <f t="shared" si="176"/>
        <v>0</v>
      </c>
      <c r="AV94" s="419">
        <f t="shared" si="176"/>
        <v>0</v>
      </c>
      <c r="AW94" s="420">
        <f t="shared" si="176"/>
        <v>0</v>
      </c>
      <c r="AX94" s="434">
        <f t="shared" si="176"/>
        <v>6545</v>
      </c>
      <c r="AY94" s="434">
        <f t="shared" si="176"/>
        <v>58</v>
      </c>
      <c r="AZ94" s="434">
        <f t="shared" si="176"/>
        <v>6603</v>
      </c>
      <c r="BA94" s="434">
        <f t="shared" si="176"/>
        <v>8</v>
      </c>
      <c r="BB94" s="435"/>
      <c r="BC94" s="395"/>
      <c r="BD94" s="395">
        <f t="shared" si="163"/>
        <v>524</v>
      </c>
      <c r="BE94" s="395">
        <f>AG94</f>
        <v>0</v>
      </c>
      <c r="BF94" s="395"/>
      <c r="BG94" s="395"/>
    </row>
    <row r="95" spans="1:73">
      <c r="L95" s="395">
        <f>L94+H94+D94</f>
        <v>2645</v>
      </c>
      <c r="M95" s="395">
        <f>M94+I94+E94</f>
        <v>8</v>
      </c>
      <c r="P95" s="395">
        <f>P94+T94+X94</f>
        <v>2809</v>
      </c>
      <c r="Q95" s="395">
        <f>Q94+U94+Y94</f>
        <v>0</v>
      </c>
      <c r="X95" s="395">
        <f>X94+T94+P94</f>
        <v>2809</v>
      </c>
      <c r="Y95" s="395">
        <f>Y94+U94+Q94</f>
        <v>0</v>
      </c>
      <c r="AJ95" s="117">
        <f>AJ94+AF94+AB94</f>
        <v>1149</v>
      </c>
      <c r="AK95" s="117">
        <f>AK94+AG94+AC94</f>
        <v>0</v>
      </c>
      <c r="AV95" s="117">
        <f>AV94+AR94+AN94</f>
        <v>0</v>
      </c>
      <c r="AW95" s="117">
        <f>AW94+AS94+AO94</f>
        <v>0</v>
      </c>
      <c r="AZ95" s="117">
        <f>AZ94*3</f>
        <v>19809</v>
      </c>
      <c r="BF95" s="395"/>
      <c r="BG95" s="395"/>
    </row>
    <row r="96" spans="1:73">
      <c r="BF96" s="395"/>
      <c r="BG96" s="395"/>
    </row>
    <row r="97" spans="1:73" ht="18">
      <c r="A97" s="393" t="s">
        <v>862</v>
      </c>
      <c r="I97" s="429"/>
      <c r="BF97" s="395"/>
      <c r="BG97" s="395"/>
    </row>
    <row r="98" spans="1:73" ht="18.600000000000001" thickBot="1">
      <c r="A98" s="394">
        <f>A66</f>
        <v>2023</v>
      </c>
      <c r="BF98" s="395"/>
      <c r="BG98" s="395"/>
    </row>
    <row r="99" spans="1:73">
      <c r="A99" s="2815" t="str">
        <f>A67</f>
        <v>DD</v>
      </c>
      <c r="B99" s="2827" t="s">
        <v>71</v>
      </c>
      <c r="C99" s="2828"/>
      <c r="D99" s="2828"/>
      <c r="E99" s="3091"/>
      <c r="F99" s="2829" t="s">
        <v>72</v>
      </c>
      <c r="G99" s="2830"/>
      <c r="H99" s="2830"/>
      <c r="I99" s="3095"/>
      <c r="J99" s="2817" t="s">
        <v>73</v>
      </c>
      <c r="K99" s="2818"/>
      <c r="L99" s="2818"/>
      <c r="M99" s="3094"/>
      <c r="N99" s="2819" t="s">
        <v>74</v>
      </c>
      <c r="O99" s="2820"/>
      <c r="P99" s="2820"/>
      <c r="Q99" s="3090"/>
      <c r="R99" s="2821" t="s">
        <v>75</v>
      </c>
      <c r="S99" s="2822"/>
      <c r="T99" s="2822"/>
      <c r="U99" s="3093"/>
      <c r="V99" s="2823" t="s">
        <v>76</v>
      </c>
      <c r="W99" s="2824"/>
      <c r="X99" s="2824"/>
      <c r="Y99" s="3089"/>
      <c r="Z99" s="2827" t="s">
        <v>77</v>
      </c>
      <c r="AA99" s="2828"/>
      <c r="AB99" s="2828"/>
      <c r="AC99" s="3091"/>
      <c r="AD99" s="2829" t="s">
        <v>78</v>
      </c>
      <c r="AE99" s="2830"/>
      <c r="AF99" s="2830"/>
      <c r="AG99" s="3095"/>
      <c r="AH99" s="2817" t="s">
        <v>79</v>
      </c>
      <c r="AI99" s="2818"/>
      <c r="AJ99" s="2818"/>
      <c r="AK99" s="3094"/>
      <c r="AL99" s="2819" t="s">
        <v>80</v>
      </c>
      <c r="AM99" s="2820"/>
      <c r="AN99" s="2820"/>
      <c r="AO99" s="3090"/>
      <c r="AP99" s="2821" t="s">
        <v>81</v>
      </c>
      <c r="AQ99" s="2822"/>
      <c r="AR99" s="2822"/>
      <c r="AS99" s="3093"/>
      <c r="AT99" s="2823" t="s">
        <v>82</v>
      </c>
      <c r="AU99" s="2824"/>
      <c r="AV99" s="2824"/>
      <c r="AW99" s="3089"/>
      <c r="AX99" s="2825" t="s">
        <v>83</v>
      </c>
      <c r="AY99" s="2826"/>
      <c r="AZ99" s="2826"/>
      <c r="BA99" s="3088"/>
      <c r="BF99" s="395"/>
      <c r="BG99" s="395"/>
      <c r="BM99" s="430"/>
      <c r="BR99" s="3112"/>
      <c r="BS99" s="3112"/>
      <c r="BT99" s="3112"/>
      <c r="BU99" s="3112"/>
    </row>
    <row r="100" spans="1:73" ht="14.4" thickBot="1">
      <c r="A100" s="2816"/>
      <c r="B100" s="402" t="s">
        <v>17</v>
      </c>
      <c r="C100" s="403" t="s">
        <v>18</v>
      </c>
      <c r="D100" s="403" t="s">
        <v>56</v>
      </c>
      <c r="E100" s="404" t="s">
        <v>21</v>
      </c>
      <c r="F100" s="402" t="s">
        <v>17</v>
      </c>
      <c r="G100" s="403" t="s">
        <v>18</v>
      </c>
      <c r="H100" s="403" t="s">
        <v>56</v>
      </c>
      <c r="I100" s="404" t="s">
        <v>21</v>
      </c>
      <c r="J100" s="402" t="s">
        <v>17</v>
      </c>
      <c r="K100" s="403" t="s">
        <v>18</v>
      </c>
      <c r="L100" s="403" t="s">
        <v>56</v>
      </c>
      <c r="M100" s="404" t="s">
        <v>21</v>
      </c>
      <c r="N100" s="402" t="s">
        <v>17</v>
      </c>
      <c r="O100" s="403" t="s">
        <v>18</v>
      </c>
      <c r="P100" s="403" t="s">
        <v>56</v>
      </c>
      <c r="Q100" s="404" t="s">
        <v>21</v>
      </c>
      <c r="R100" s="402" t="s">
        <v>17</v>
      </c>
      <c r="S100" s="403" t="s">
        <v>18</v>
      </c>
      <c r="T100" s="403" t="s">
        <v>56</v>
      </c>
      <c r="U100" s="404" t="s">
        <v>21</v>
      </c>
      <c r="V100" s="402" t="s">
        <v>17</v>
      </c>
      <c r="W100" s="403" t="s">
        <v>18</v>
      </c>
      <c r="X100" s="403" t="s">
        <v>56</v>
      </c>
      <c r="Y100" s="404" t="s">
        <v>21</v>
      </c>
      <c r="Z100" s="402" t="s">
        <v>17</v>
      </c>
      <c r="AA100" s="403" t="s">
        <v>18</v>
      </c>
      <c r="AB100" s="403" t="s">
        <v>56</v>
      </c>
      <c r="AC100" s="404" t="s">
        <v>21</v>
      </c>
      <c r="AD100" s="628" t="s">
        <v>17</v>
      </c>
      <c r="AE100" s="403" t="s">
        <v>18</v>
      </c>
      <c r="AF100" s="403" t="s">
        <v>56</v>
      </c>
      <c r="AG100" s="404" t="s">
        <v>21</v>
      </c>
      <c r="AH100" s="402" t="s">
        <v>17</v>
      </c>
      <c r="AI100" s="403" t="s">
        <v>18</v>
      </c>
      <c r="AJ100" s="403" t="s">
        <v>56</v>
      </c>
      <c r="AK100" s="404" t="s">
        <v>21</v>
      </c>
      <c r="AL100" s="402" t="s">
        <v>17</v>
      </c>
      <c r="AM100" s="403" t="s">
        <v>18</v>
      </c>
      <c r="AN100" s="403" t="s">
        <v>56</v>
      </c>
      <c r="AO100" s="404" t="s">
        <v>21</v>
      </c>
      <c r="AP100" s="402" t="s">
        <v>17</v>
      </c>
      <c r="AQ100" s="403" t="s">
        <v>18</v>
      </c>
      <c r="AR100" s="403" t="s">
        <v>56</v>
      </c>
      <c r="AS100" s="404" t="s">
        <v>21</v>
      </c>
      <c r="AT100" s="402" t="s">
        <v>17</v>
      </c>
      <c r="AU100" s="403" t="s">
        <v>18</v>
      </c>
      <c r="AV100" s="403" t="s">
        <v>56</v>
      </c>
      <c r="AW100" s="404" t="s">
        <v>21</v>
      </c>
      <c r="AX100" s="1057" t="s">
        <v>17</v>
      </c>
      <c r="AY100" s="403" t="s">
        <v>18</v>
      </c>
      <c r="AZ100" s="403" t="s">
        <v>56</v>
      </c>
      <c r="BA100" s="431" t="s">
        <v>21</v>
      </c>
      <c r="BD100" s="117" t="s">
        <v>181</v>
      </c>
      <c r="BE100" s="117" t="s">
        <v>182</v>
      </c>
      <c r="BF100" s="395"/>
      <c r="BG100" s="395"/>
    </row>
    <row r="101" spans="1:73" ht="14.4" thickBot="1">
      <c r="A101" s="397" t="s">
        <v>6</v>
      </c>
      <c r="B101" s="398">
        <f t="shared" ref="B101:C110" si="177">B69+B37</f>
        <v>2120</v>
      </c>
      <c r="C101" s="399">
        <f t="shared" si="177"/>
        <v>2</v>
      </c>
      <c r="D101" s="400">
        <f>+B101+C101</f>
        <v>2122</v>
      </c>
      <c r="E101" s="401">
        <f t="shared" ref="E101:G110" si="178">E69+E37</f>
        <v>2</v>
      </c>
      <c r="F101" s="398">
        <f t="shared" si="178"/>
        <v>2229</v>
      </c>
      <c r="G101" s="399">
        <f t="shared" si="178"/>
        <v>9</v>
      </c>
      <c r="H101" s="400">
        <f>+F101+G101</f>
        <v>2238</v>
      </c>
      <c r="I101" s="401">
        <f t="shared" ref="I101:K110" si="179">I69+I37</f>
        <v>3</v>
      </c>
      <c r="J101" s="398">
        <f t="shared" si="179"/>
        <v>1198</v>
      </c>
      <c r="K101" s="399">
        <f t="shared" si="179"/>
        <v>5</v>
      </c>
      <c r="L101" s="400">
        <f>+J101+K101</f>
        <v>1203</v>
      </c>
      <c r="M101" s="401">
        <f t="shared" ref="M101:O110" si="180">M69+M37</f>
        <v>0</v>
      </c>
      <c r="N101" s="398">
        <f t="shared" si="180"/>
        <v>1668</v>
      </c>
      <c r="O101" s="399">
        <f t="shared" si="180"/>
        <v>4</v>
      </c>
      <c r="P101" s="400">
        <f>+N101+O101</f>
        <v>1672</v>
      </c>
      <c r="Q101" s="401">
        <f t="shared" ref="Q101:S110" si="181">Q69+Q37</f>
        <v>0</v>
      </c>
      <c r="R101" s="398">
        <f t="shared" si="181"/>
        <v>784</v>
      </c>
      <c r="S101" s="399">
        <f t="shared" si="181"/>
        <v>9</v>
      </c>
      <c r="T101" s="400">
        <f>+R101+S101</f>
        <v>793</v>
      </c>
      <c r="U101" s="401">
        <f t="shared" ref="U101:W110" si="182">U69+U37</f>
        <v>1</v>
      </c>
      <c r="V101" s="398">
        <f t="shared" si="182"/>
        <v>1332</v>
      </c>
      <c r="W101" s="399">
        <f t="shared" si="182"/>
        <v>2</v>
      </c>
      <c r="X101" s="400">
        <f>+V101+W101</f>
        <v>1334</v>
      </c>
      <c r="Y101" s="401">
        <f t="shared" ref="Y101:AA110" si="183">Y69+Y37</f>
        <v>1</v>
      </c>
      <c r="Z101" s="398">
        <f t="shared" si="183"/>
        <v>945</v>
      </c>
      <c r="AA101" s="399">
        <f t="shared" si="183"/>
        <v>1</v>
      </c>
      <c r="AB101" s="400">
        <f>+Z101+AA101</f>
        <v>946</v>
      </c>
      <c r="AC101" s="401">
        <f t="shared" ref="AC101:AE110" si="184">AC69+AC37</f>
        <v>0</v>
      </c>
      <c r="AD101" s="398">
        <f t="shared" si="184"/>
        <v>841</v>
      </c>
      <c r="AE101" s="399">
        <f t="shared" si="184"/>
        <v>0</v>
      </c>
      <c r="AF101" s="400">
        <f>+AD101+AE101</f>
        <v>841</v>
      </c>
      <c r="AG101" s="401">
        <f t="shared" ref="AG101:AI110" si="185">AG69+AG37</f>
        <v>0</v>
      </c>
      <c r="AH101" s="398">
        <f t="shared" si="185"/>
        <v>0</v>
      </c>
      <c r="AI101" s="399">
        <f t="shared" si="185"/>
        <v>0</v>
      </c>
      <c r="AJ101" s="400">
        <f>+AH101+AI101</f>
        <v>0</v>
      </c>
      <c r="AK101" s="401">
        <f t="shared" ref="AK101:AM110" si="186">AK69+AK37</f>
        <v>0</v>
      </c>
      <c r="AL101" s="398">
        <f t="shared" si="186"/>
        <v>0</v>
      </c>
      <c r="AM101" s="399">
        <f t="shared" si="186"/>
        <v>0</v>
      </c>
      <c r="AN101" s="400">
        <f>+AL101+AM101</f>
        <v>0</v>
      </c>
      <c r="AO101" s="401">
        <f t="shared" ref="AO101:AQ110" si="187">AO69+AO37</f>
        <v>0</v>
      </c>
      <c r="AP101" s="398">
        <f t="shared" si="187"/>
        <v>0</v>
      </c>
      <c r="AQ101" s="399">
        <f t="shared" si="187"/>
        <v>0</v>
      </c>
      <c r="AR101" s="400">
        <f>+AP101+AQ101</f>
        <v>0</v>
      </c>
      <c r="AS101" s="401">
        <f t="shared" ref="AS101:AU110" si="188">AS69+AS37</f>
        <v>0</v>
      </c>
      <c r="AT101" s="398">
        <f t="shared" si="188"/>
        <v>0</v>
      </c>
      <c r="AU101" s="399">
        <f t="shared" si="188"/>
        <v>0</v>
      </c>
      <c r="AV101" s="400">
        <f>+AT101+AU101</f>
        <v>0</v>
      </c>
      <c r="AW101" s="401">
        <f t="shared" ref="AW101:AW110" si="189">AW69+AW37</f>
        <v>0</v>
      </c>
      <c r="AX101" s="432">
        <f>B101+F101+J101+N101+R101+V101+Z101+AD101+AH101+AL101+AP101+AT101</f>
        <v>11117</v>
      </c>
      <c r="AY101" s="432">
        <f>C101+G101+K101+O101+S101+W101+AA101+AE101+AI101+AM101+AQ101+AU101</f>
        <v>32</v>
      </c>
      <c r="AZ101" s="432">
        <f>AX101+AY101</f>
        <v>11149</v>
      </c>
      <c r="BA101" s="432">
        <f>E101+I101+M101+Q101+U101+Y101+AC101+AG101+AK101+AO101+AS101+AW101</f>
        <v>7</v>
      </c>
      <c r="BC101" s="395"/>
      <c r="BD101" s="395">
        <f>AF101</f>
        <v>841</v>
      </c>
      <c r="BE101" s="395">
        <f>AG101</f>
        <v>0</v>
      </c>
      <c r="BF101" s="395"/>
      <c r="BG101" s="395"/>
    </row>
    <row r="102" spans="1:73" ht="14.4" thickBot="1">
      <c r="A102" s="397" t="s">
        <v>7</v>
      </c>
      <c r="B102" s="398">
        <f t="shared" si="177"/>
        <v>865</v>
      </c>
      <c r="C102" s="399">
        <f t="shared" si="177"/>
        <v>5</v>
      </c>
      <c r="D102" s="400">
        <f t="shared" ref="D102:D110" si="190">+B102+C102</f>
        <v>870</v>
      </c>
      <c r="E102" s="401">
        <f t="shared" si="178"/>
        <v>0</v>
      </c>
      <c r="F102" s="398">
        <f t="shared" si="178"/>
        <v>1268</v>
      </c>
      <c r="G102" s="399">
        <f t="shared" si="178"/>
        <v>26</v>
      </c>
      <c r="H102" s="400">
        <f t="shared" ref="H102:H110" si="191">+F102+G102</f>
        <v>1294</v>
      </c>
      <c r="I102" s="401">
        <f t="shared" si="179"/>
        <v>0</v>
      </c>
      <c r="J102" s="398">
        <f t="shared" si="179"/>
        <v>1702</v>
      </c>
      <c r="K102" s="399">
        <f t="shared" si="179"/>
        <v>58</v>
      </c>
      <c r="L102" s="400">
        <f t="shared" ref="L102:L110" si="192">+J102+K102</f>
        <v>1760</v>
      </c>
      <c r="M102" s="401">
        <f t="shared" si="180"/>
        <v>0</v>
      </c>
      <c r="N102" s="398">
        <f t="shared" si="180"/>
        <v>600</v>
      </c>
      <c r="O102" s="399">
        <f t="shared" si="180"/>
        <v>13</v>
      </c>
      <c r="P102" s="400">
        <f t="shared" ref="P102:P110" si="193">+N102+O102</f>
        <v>613</v>
      </c>
      <c r="Q102" s="401">
        <f t="shared" si="181"/>
        <v>3</v>
      </c>
      <c r="R102" s="398">
        <f t="shared" si="181"/>
        <v>549</v>
      </c>
      <c r="S102" s="399">
        <f t="shared" si="181"/>
        <v>4</v>
      </c>
      <c r="T102" s="400">
        <f t="shared" ref="T102:T110" si="194">+R102+S102</f>
        <v>553</v>
      </c>
      <c r="U102" s="401">
        <f t="shared" si="182"/>
        <v>5</v>
      </c>
      <c r="V102" s="398">
        <f t="shared" si="182"/>
        <v>529</v>
      </c>
      <c r="W102" s="399">
        <f t="shared" si="182"/>
        <v>9</v>
      </c>
      <c r="X102" s="400">
        <f t="shared" ref="X102:X110" si="195">+V102+W102</f>
        <v>538</v>
      </c>
      <c r="Y102" s="401">
        <f t="shared" si="183"/>
        <v>0</v>
      </c>
      <c r="Z102" s="398">
        <f t="shared" si="183"/>
        <v>513</v>
      </c>
      <c r="AA102" s="399">
        <f t="shared" si="183"/>
        <v>7</v>
      </c>
      <c r="AB102" s="400">
        <f t="shared" ref="AB102:AB110" si="196">+Z102+AA102</f>
        <v>520</v>
      </c>
      <c r="AC102" s="401">
        <f t="shared" si="184"/>
        <v>1</v>
      </c>
      <c r="AD102" s="398">
        <f t="shared" si="184"/>
        <v>604</v>
      </c>
      <c r="AE102" s="399">
        <f t="shared" si="184"/>
        <v>4</v>
      </c>
      <c r="AF102" s="400">
        <f t="shared" ref="AF102:AF110" si="197">+AD102+AE102</f>
        <v>608</v>
      </c>
      <c r="AG102" s="401">
        <f t="shared" si="185"/>
        <v>0</v>
      </c>
      <c r="AH102" s="398">
        <f t="shared" si="185"/>
        <v>0</v>
      </c>
      <c r="AI102" s="399">
        <f t="shared" si="185"/>
        <v>0</v>
      </c>
      <c r="AJ102" s="400">
        <f t="shared" ref="AJ102:AJ110" si="198">+AH102+AI102</f>
        <v>0</v>
      </c>
      <c r="AK102" s="401">
        <f t="shared" si="186"/>
        <v>0</v>
      </c>
      <c r="AL102" s="398">
        <f t="shared" si="186"/>
        <v>0</v>
      </c>
      <c r="AM102" s="399">
        <f t="shared" si="186"/>
        <v>0</v>
      </c>
      <c r="AN102" s="400">
        <f t="shared" ref="AN102:AN110" si="199">+AL102+AM102</f>
        <v>0</v>
      </c>
      <c r="AO102" s="401">
        <f t="shared" si="187"/>
        <v>0</v>
      </c>
      <c r="AP102" s="398">
        <f t="shared" si="187"/>
        <v>0</v>
      </c>
      <c r="AQ102" s="399">
        <f t="shared" si="187"/>
        <v>0</v>
      </c>
      <c r="AR102" s="400">
        <f t="shared" ref="AR102:AR110" si="200">+AP102+AQ102</f>
        <v>0</v>
      </c>
      <c r="AS102" s="401">
        <f t="shared" si="188"/>
        <v>0</v>
      </c>
      <c r="AT102" s="398">
        <f t="shared" si="188"/>
        <v>0</v>
      </c>
      <c r="AU102" s="399">
        <f t="shared" si="188"/>
        <v>0</v>
      </c>
      <c r="AV102" s="400">
        <f t="shared" ref="AV102:AV110" si="201">+AT102+AU102</f>
        <v>0</v>
      </c>
      <c r="AW102" s="401">
        <f t="shared" si="189"/>
        <v>0</v>
      </c>
      <c r="AX102" s="432">
        <f t="shared" ref="AX102:AX110" si="202">B102+F102+J102+N102+R102+V102+Z102+AD102+AH102+AL102+AP102+AT102</f>
        <v>6630</v>
      </c>
      <c r="AY102" s="432">
        <f t="shared" ref="AY102:AY110" si="203">C102+G102+K102+O102+S102+W102+AA102+AE102+AI102+AM102+AQ102+AU102</f>
        <v>126</v>
      </c>
      <c r="AZ102" s="432">
        <f t="shared" ref="AZ102:AZ110" si="204">AX102+AY102</f>
        <v>6756</v>
      </c>
      <c r="BA102" s="432">
        <f t="shared" ref="BA102:BA110" si="205">E102+I102+M102+Q102+U102+Y102+AC102+AG102+AK102+AO102+AS102+AW102</f>
        <v>9</v>
      </c>
      <c r="BC102" s="395"/>
      <c r="BD102" s="395">
        <f t="shared" ref="BD102:BD111" si="206">AF102</f>
        <v>608</v>
      </c>
      <c r="BE102" s="395">
        <f t="shared" ref="BE102:BE110" si="207">AG102</f>
        <v>0</v>
      </c>
      <c r="BF102" s="395"/>
      <c r="BG102" s="395"/>
    </row>
    <row r="103" spans="1:73" ht="14.4" thickBot="1">
      <c r="A103" s="397" t="s">
        <v>8</v>
      </c>
      <c r="B103" s="398">
        <f t="shared" si="177"/>
        <v>2443</v>
      </c>
      <c r="C103" s="399">
        <f t="shared" si="177"/>
        <v>16</v>
      </c>
      <c r="D103" s="400">
        <f t="shared" si="190"/>
        <v>2459</v>
      </c>
      <c r="E103" s="401">
        <f t="shared" si="178"/>
        <v>0</v>
      </c>
      <c r="F103" s="398">
        <f t="shared" si="178"/>
        <v>2614</v>
      </c>
      <c r="G103" s="399">
        <f t="shared" si="178"/>
        <v>22</v>
      </c>
      <c r="H103" s="400">
        <f t="shared" si="191"/>
        <v>2636</v>
      </c>
      <c r="I103" s="401">
        <f t="shared" si="179"/>
        <v>0</v>
      </c>
      <c r="J103" s="398">
        <f t="shared" si="179"/>
        <v>1165</v>
      </c>
      <c r="K103" s="399">
        <f t="shared" si="179"/>
        <v>17</v>
      </c>
      <c r="L103" s="400">
        <f t="shared" si="192"/>
        <v>1182</v>
      </c>
      <c r="M103" s="401">
        <f t="shared" si="180"/>
        <v>1</v>
      </c>
      <c r="N103" s="398">
        <f t="shared" si="180"/>
        <v>1242</v>
      </c>
      <c r="O103" s="399">
        <f t="shared" si="180"/>
        <v>9</v>
      </c>
      <c r="P103" s="400">
        <f t="shared" si="193"/>
        <v>1251</v>
      </c>
      <c r="Q103" s="401">
        <f t="shared" si="181"/>
        <v>0</v>
      </c>
      <c r="R103" s="398">
        <f t="shared" si="181"/>
        <v>1046</v>
      </c>
      <c r="S103" s="399">
        <f t="shared" si="181"/>
        <v>9</v>
      </c>
      <c r="T103" s="400">
        <f t="shared" si="194"/>
        <v>1055</v>
      </c>
      <c r="U103" s="401">
        <f t="shared" si="182"/>
        <v>0</v>
      </c>
      <c r="V103" s="398">
        <f t="shared" si="182"/>
        <v>633</v>
      </c>
      <c r="W103" s="399">
        <f t="shared" si="182"/>
        <v>8</v>
      </c>
      <c r="X103" s="400">
        <f t="shared" si="195"/>
        <v>641</v>
      </c>
      <c r="Y103" s="401">
        <f t="shared" si="183"/>
        <v>0</v>
      </c>
      <c r="Z103" s="398">
        <f t="shared" si="183"/>
        <v>882</v>
      </c>
      <c r="AA103" s="399">
        <f t="shared" si="183"/>
        <v>6</v>
      </c>
      <c r="AB103" s="400">
        <f t="shared" si="196"/>
        <v>888</v>
      </c>
      <c r="AC103" s="401">
        <f t="shared" si="184"/>
        <v>0</v>
      </c>
      <c r="AD103" s="398">
        <f t="shared" si="184"/>
        <v>1216</v>
      </c>
      <c r="AE103" s="399">
        <f t="shared" si="184"/>
        <v>2</v>
      </c>
      <c r="AF103" s="400">
        <f t="shared" si="197"/>
        <v>1218</v>
      </c>
      <c r="AG103" s="401">
        <f t="shared" si="185"/>
        <v>1</v>
      </c>
      <c r="AH103" s="398">
        <f t="shared" si="185"/>
        <v>0</v>
      </c>
      <c r="AI103" s="399">
        <f t="shared" si="185"/>
        <v>0</v>
      </c>
      <c r="AJ103" s="400">
        <f t="shared" si="198"/>
        <v>0</v>
      </c>
      <c r="AK103" s="401">
        <f t="shared" si="186"/>
        <v>0</v>
      </c>
      <c r="AL103" s="398">
        <f t="shared" si="186"/>
        <v>0</v>
      </c>
      <c r="AM103" s="399">
        <f t="shared" si="186"/>
        <v>0</v>
      </c>
      <c r="AN103" s="400">
        <f t="shared" si="199"/>
        <v>0</v>
      </c>
      <c r="AO103" s="401">
        <f t="shared" si="187"/>
        <v>0</v>
      </c>
      <c r="AP103" s="398">
        <f t="shared" si="187"/>
        <v>0</v>
      </c>
      <c r="AQ103" s="399">
        <f t="shared" si="187"/>
        <v>0</v>
      </c>
      <c r="AR103" s="400">
        <f t="shared" si="200"/>
        <v>0</v>
      </c>
      <c r="AS103" s="401">
        <f t="shared" si="188"/>
        <v>0</v>
      </c>
      <c r="AT103" s="398">
        <f t="shared" si="188"/>
        <v>0</v>
      </c>
      <c r="AU103" s="399">
        <f t="shared" si="188"/>
        <v>0</v>
      </c>
      <c r="AV103" s="400">
        <f t="shared" si="201"/>
        <v>0</v>
      </c>
      <c r="AW103" s="401">
        <f t="shared" si="189"/>
        <v>0</v>
      </c>
      <c r="AX103" s="432">
        <f t="shared" si="202"/>
        <v>11241</v>
      </c>
      <c r="AY103" s="432">
        <f t="shared" si="203"/>
        <v>89</v>
      </c>
      <c r="AZ103" s="432">
        <f t="shared" si="204"/>
        <v>11330</v>
      </c>
      <c r="BA103" s="432">
        <f t="shared" si="205"/>
        <v>2</v>
      </c>
      <c r="BC103" s="395"/>
      <c r="BD103" s="395">
        <f t="shared" si="206"/>
        <v>1218</v>
      </c>
      <c r="BE103" s="395">
        <f t="shared" si="207"/>
        <v>1</v>
      </c>
      <c r="BF103" s="395"/>
      <c r="BG103" s="395"/>
    </row>
    <row r="104" spans="1:73" ht="14.4" thickBot="1">
      <c r="A104" s="397" t="s">
        <v>4</v>
      </c>
      <c r="B104" s="398">
        <f t="shared" si="177"/>
        <v>1245</v>
      </c>
      <c r="C104" s="399">
        <f t="shared" si="177"/>
        <v>17</v>
      </c>
      <c r="D104" s="400">
        <f t="shared" si="190"/>
        <v>1262</v>
      </c>
      <c r="E104" s="401">
        <f t="shared" si="178"/>
        <v>1</v>
      </c>
      <c r="F104" s="398">
        <f t="shared" si="178"/>
        <v>1624</v>
      </c>
      <c r="G104" s="399">
        <f t="shared" si="178"/>
        <v>24</v>
      </c>
      <c r="H104" s="400">
        <f t="shared" si="191"/>
        <v>1648</v>
      </c>
      <c r="I104" s="401">
        <f t="shared" si="179"/>
        <v>0</v>
      </c>
      <c r="J104" s="398">
        <f t="shared" si="179"/>
        <v>1504</v>
      </c>
      <c r="K104" s="399">
        <f t="shared" si="179"/>
        <v>14</v>
      </c>
      <c r="L104" s="400">
        <f t="shared" si="192"/>
        <v>1518</v>
      </c>
      <c r="M104" s="401">
        <f t="shared" si="180"/>
        <v>0</v>
      </c>
      <c r="N104" s="398">
        <f t="shared" si="180"/>
        <v>921</v>
      </c>
      <c r="O104" s="399">
        <f t="shared" si="180"/>
        <v>9</v>
      </c>
      <c r="P104" s="400">
        <f t="shared" si="193"/>
        <v>930</v>
      </c>
      <c r="Q104" s="401">
        <f t="shared" si="181"/>
        <v>0</v>
      </c>
      <c r="R104" s="398">
        <f t="shared" si="181"/>
        <v>1067</v>
      </c>
      <c r="S104" s="399">
        <f t="shared" si="181"/>
        <v>5</v>
      </c>
      <c r="T104" s="400">
        <f t="shared" si="194"/>
        <v>1072</v>
      </c>
      <c r="U104" s="401">
        <f t="shared" si="182"/>
        <v>0</v>
      </c>
      <c r="V104" s="398">
        <f t="shared" si="182"/>
        <v>1014</v>
      </c>
      <c r="W104" s="399">
        <f t="shared" si="182"/>
        <v>1</v>
      </c>
      <c r="X104" s="400">
        <f t="shared" si="195"/>
        <v>1015</v>
      </c>
      <c r="Y104" s="401">
        <f t="shared" si="183"/>
        <v>0</v>
      </c>
      <c r="Z104" s="398">
        <f t="shared" si="183"/>
        <v>1100</v>
      </c>
      <c r="AA104" s="399">
        <f t="shared" si="183"/>
        <v>7</v>
      </c>
      <c r="AB104" s="400">
        <f t="shared" si="196"/>
        <v>1107</v>
      </c>
      <c r="AC104" s="401">
        <f t="shared" si="184"/>
        <v>0</v>
      </c>
      <c r="AD104" s="398">
        <f t="shared" si="184"/>
        <v>1103</v>
      </c>
      <c r="AE104" s="399">
        <f t="shared" si="184"/>
        <v>2</v>
      </c>
      <c r="AF104" s="400">
        <f t="shared" si="197"/>
        <v>1105</v>
      </c>
      <c r="AG104" s="401">
        <f t="shared" si="185"/>
        <v>0</v>
      </c>
      <c r="AH104" s="398">
        <f t="shared" si="185"/>
        <v>0</v>
      </c>
      <c r="AI104" s="399">
        <f t="shared" si="185"/>
        <v>0</v>
      </c>
      <c r="AJ104" s="400">
        <f t="shared" si="198"/>
        <v>0</v>
      </c>
      <c r="AK104" s="401">
        <f t="shared" si="186"/>
        <v>0</v>
      </c>
      <c r="AL104" s="398">
        <f t="shared" si="186"/>
        <v>0</v>
      </c>
      <c r="AM104" s="399">
        <f t="shared" si="186"/>
        <v>0</v>
      </c>
      <c r="AN104" s="400">
        <f t="shared" si="199"/>
        <v>0</v>
      </c>
      <c r="AO104" s="401">
        <f t="shared" si="187"/>
        <v>0</v>
      </c>
      <c r="AP104" s="398">
        <f t="shared" si="187"/>
        <v>0</v>
      </c>
      <c r="AQ104" s="399">
        <f t="shared" si="187"/>
        <v>0</v>
      </c>
      <c r="AR104" s="400">
        <f t="shared" si="200"/>
        <v>0</v>
      </c>
      <c r="AS104" s="401">
        <f t="shared" si="188"/>
        <v>0</v>
      </c>
      <c r="AT104" s="398">
        <f t="shared" si="188"/>
        <v>0</v>
      </c>
      <c r="AU104" s="399">
        <f t="shared" si="188"/>
        <v>0</v>
      </c>
      <c r="AV104" s="400">
        <f t="shared" si="201"/>
        <v>0</v>
      </c>
      <c r="AW104" s="401">
        <f t="shared" si="189"/>
        <v>0</v>
      </c>
      <c r="AX104" s="432">
        <f t="shared" si="202"/>
        <v>9578</v>
      </c>
      <c r="AY104" s="432">
        <f t="shared" si="203"/>
        <v>79</v>
      </c>
      <c r="AZ104" s="432">
        <f t="shared" si="204"/>
        <v>9657</v>
      </c>
      <c r="BA104" s="432">
        <f t="shared" si="205"/>
        <v>1</v>
      </c>
      <c r="BC104" s="395"/>
      <c r="BD104" s="395">
        <f t="shared" si="206"/>
        <v>1105</v>
      </c>
      <c r="BE104" s="395">
        <f t="shared" si="207"/>
        <v>0</v>
      </c>
      <c r="BF104" s="395"/>
      <c r="BG104" s="395"/>
    </row>
    <row r="105" spans="1:73" ht="14.4" thickBot="1">
      <c r="A105" s="397" t="s">
        <v>3</v>
      </c>
      <c r="B105" s="398">
        <f t="shared" si="177"/>
        <v>799</v>
      </c>
      <c r="C105" s="399">
        <f t="shared" si="177"/>
        <v>7</v>
      </c>
      <c r="D105" s="400">
        <f t="shared" si="190"/>
        <v>806</v>
      </c>
      <c r="E105" s="401">
        <f t="shared" si="178"/>
        <v>0</v>
      </c>
      <c r="F105" s="398">
        <f t="shared" si="178"/>
        <v>738</v>
      </c>
      <c r="G105" s="399">
        <f t="shared" si="178"/>
        <v>12</v>
      </c>
      <c r="H105" s="400">
        <f t="shared" si="191"/>
        <v>750</v>
      </c>
      <c r="I105" s="401">
        <f t="shared" si="179"/>
        <v>1</v>
      </c>
      <c r="J105" s="398">
        <f t="shared" si="179"/>
        <v>697</v>
      </c>
      <c r="K105" s="399">
        <f t="shared" si="179"/>
        <v>10</v>
      </c>
      <c r="L105" s="400">
        <f t="shared" si="192"/>
        <v>707</v>
      </c>
      <c r="M105" s="401">
        <f t="shared" si="180"/>
        <v>0</v>
      </c>
      <c r="N105" s="398">
        <f t="shared" si="180"/>
        <v>220</v>
      </c>
      <c r="O105" s="399">
        <f t="shared" si="180"/>
        <v>5</v>
      </c>
      <c r="P105" s="400">
        <f t="shared" si="193"/>
        <v>225</v>
      </c>
      <c r="Q105" s="401">
        <f t="shared" si="181"/>
        <v>1</v>
      </c>
      <c r="R105" s="398">
        <f t="shared" si="181"/>
        <v>483</v>
      </c>
      <c r="S105" s="399">
        <f t="shared" si="181"/>
        <v>3</v>
      </c>
      <c r="T105" s="400">
        <f t="shared" si="194"/>
        <v>486</v>
      </c>
      <c r="U105" s="401">
        <f t="shared" si="182"/>
        <v>0</v>
      </c>
      <c r="V105" s="398">
        <f t="shared" si="182"/>
        <v>356</v>
      </c>
      <c r="W105" s="399">
        <f t="shared" si="182"/>
        <v>2</v>
      </c>
      <c r="X105" s="400">
        <f t="shared" si="195"/>
        <v>358</v>
      </c>
      <c r="Y105" s="401">
        <f t="shared" si="183"/>
        <v>0</v>
      </c>
      <c r="Z105" s="398">
        <f t="shared" si="183"/>
        <v>418</v>
      </c>
      <c r="AA105" s="399">
        <f t="shared" si="183"/>
        <v>2</v>
      </c>
      <c r="AB105" s="400">
        <f t="shared" si="196"/>
        <v>420</v>
      </c>
      <c r="AC105" s="401">
        <f t="shared" si="184"/>
        <v>0</v>
      </c>
      <c r="AD105" s="398">
        <f t="shared" si="184"/>
        <v>422</v>
      </c>
      <c r="AE105" s="399">
        <f t="shared" si="184"/>
        <v>3</v>
      </c>
      <c r="AF105" s="400">
        <f t="shared" si="197"/>
        <v>425</v>
      </c>
      <c r="AG105" s="401">
        <f t="shared" si="185"/>
        <v>0</v>
      </c>
      <c r="AH105" s="398">
        <f t="shared" si="185"/>
        <v>0</v>
      </c>
      <c r="AI105" s="399">
        <f t="shared" si="185"/>
        <v>0</v>
      </c>
      <c r="AJ105" s="400">
        <f t="shared" si="198"/>
        <v>0</v>
      </c>
      <c r="AK105" s="401">
        <f t="shared" si="186"/>
        <v>0</v>
      </c>
      <c r="AL105" s="398">
        <f t="shared" si="186"/>
        <v>0</v>
      </c>
      <c r="AM105" s="399">
        <f t="shared" si="186"/>
        <v>0</v>
      </c>
      <c r="AN105" s="400">
        <f t="shared" si="199"/>
        <v>0</v>
      </c>
      <c r="AO105" s="401">
        <f t="shared" si="187"/>
        <v>0</v>
      </c>
      <c r="AP105" s="398">
        <f t="shared" si="187"/>
        <v>0</v>
      </c>
      <c r="AQ105" s="399">
        <f t="shared" si="187"/>
        <v>0</v>
      </c>
      <c r="AR105" s="400">
        <f t="shared" si="200"/>
        <v>0</v>
      </c>
      <c r="AS105" s="401">
        <f t="shared" si="188"/>
        <v>0</v>
      </c>
      <c r="AT105" s="398">
        <f t="shared" si="188"/>
        <v>0</v>
      </c>
      <c r="AU105" s="399">
        <f t="shared" si="188"/>
        <v>0</v>
      </c>
      <c r="AV105" s="400">
        <f t="shared" si="201"/>
        <v>0</v>
      </c>
      <c r="AW105" s="401">
        <f t="shared" si="189"/>
        <v>0</v>
      </c>
      <c r="AX105" s="432">
        <f t="shared" si="202"/>
        <v>4133</v>
      </c>
      <c r="AY105" s="432">
        <f t="shared" si="203"/>
        <v>44</v>
      </c>
      <c r="AZ105" s="432">
        <f t="shared" si="204"/>
        <v>4177</v>
      </c>
      <c r="BA105" s="432">
        <f t="shared" si="205"/>
        <v>2</v>
      </c>
      <c r="BC105" s="395"/>
      <c r="BD105" s="395">
        <f t="shared" si="206"/>
        <v>425</v>
      </c>
      <c r="BE105" s="395">
        <f t="shared" si="207"/>
        <v>0</v>
      </c>
      <c r="BF105" s="395"/>
      <c r="BG105" s="395"/>
    </row>
    <row r="106" spans="1:73" ht="14.4" thickBot="1">
      <c r="A106" s="397" t="s">
        <v>397</v>
      </c>
      <c r="B106" s="398">
        <f t="shared" si="177"/>
        <v>948</v>
      </c>
      <c r="C106" s="399">
        <f t="shared" si="177"/>
        <v>4</v>
      </c>
      <c r="D106" s="400">
        <f t="shared" si="190"/>
        <v>952</v>
      </c>
      <c r="E106" s="401">
        <f t="shared" si="178"/>
        <v>0</v>
      </c>
      <c r="F106" s="398">
        <f t="shared" si="178"/>
        <v>1369</v>
      </c>
      <c r="G106" s="399">
        <f t="shared" si="178"/>
        <v>2</v>
      </c>
      <c r="H106" s="400">
        <f t="shared" si="191"/>
        <v>1371</v>
      </c>
      <c r="I106" s="401">
        <f t="shared" si="179"/>
        <v>0</v>
      </c>
      <c r="J106" s="398">
        <f t="shared" si="179"/>
        <v>930</v>
      </c>
      <c r="K106" s="399">
        <f t="shared" si="179"/>
        <v>3</v>
      </c>
      <c r="L106" s="400">
        <f t="shared" si="192"/>
        <v>933</v>
      </c>
      <c r="M106" s="401">
        <f t="shared" si="180"/>
        <v>0</v>
      </c>
      <c r="N106" s="398">
        <f t="shared" si="180"/>
        <v>1234</v>
      </c>
      <c r="O106" s="399">
        <f t="shared" si="180"/>
        <v>15</v>
      </c>
      <c r="P106" s="400">
        <f t="shared" si="193"/>
        <v>1249</v>
      </c>
      <c r="Q106" s="401">
        <f t="shared" si="181"/>
        <v>0</v>
      </c>
      <c r="R106" s="398">
        <f t="shared" si="181"/>
        <v>833</v>
      </c>
      <c r="S106" s="399">
        <f t="shared" si="181"/>
        <v>3</v>
      </c>
      <c r="T106" s="400">
        <f t="shared" si="194"/>
        <v>836</v>
      </c>
      <c r="U106" s="401">
        <f t="shared" si="182"/>
        <v>0</v>
      </c>
      <c r="V106" s="398">
        <f t="shared" si="182"/>
        <v>1068</v>
      </c>
      <c r="W106" s="399">
        <f t="shared" si="182"/>
        <v>2</v>
      </c>
      <c r="X106" s="400">
        <f t="shared" si="195"/>
        <v>1070</v>
      </c>
      <c r="Y106" s="401">
        <f t="shared" si="183"/>
        <v>2</v>
      </c>
      <c r="Z106" s="398">
        <f t="shared" si="183"/>
        <v>812</v>
      </c>
      <c r="AA106" s="399">
        <f t="shared" si="183"/>
        <v>9</v>
      </c>
      <c r="AB106" s="400">
        <f t="shared" si="196"/>
        <v>821</v>
      </c>
      <c r="AC106" s="401">
        <f t="shared" si="184"/>
        <v>0</v>
      </c>
      <c r="AD106" s="398">
        <f t="shared" si="184"/>
        <v>403</v>
      </c>
      <c r="AE106" s="399">
        <f t="shared" si="184"/>
        <v>13</v>
      </c>
      <c r="AF106" s="400">
        <f t="shared" si="197"/>
        <v>416</v>
      </c>
      <c r="AG106" s="401">
        <f t="shared" si="185"/>
        <v>0</v>
      </c>
      <c r="AH106" s="398">
        <f t="shared" si="185"/>
        <v>0</v>
      </c>
      <c r="AI106" s="399">
        <f t="shared" si="185"/>
        <v>0</v>
      </c>
      <c r="AJ106" s="400">
        <f t="shared" si="198"/>
        <v>0</v>
      </c>
      <c r="AK106" s="401">
        <f t="shared" si="186"/>
        <v>0</v>
      </c>
      <c r="AL106" s="398">
        <f t="shared" si="186"/>
        <v>0</v>
      </c>
      <c r="AM106" s="399">
        <f t="shared" si="186"/>
        <v>0</v>
      </c>
      <c r="AN106" s="400">
        <f t="shared" si="199"/>
        <v>0</v>
      </c>
      <c r="AO106" s="401">
        <f t="shared" si="187"/>
        <v>0</v>
      </c>
      <c r="AP106" s="398">
        <f t="shared" si="187"/>
        <v>0</v>
      </c>
      <c r="AQ106" s="399">
        <f t="shared" si="187"/>
        <v>0</v>
      </c>
      <c r="AR106" s="400">
        <f t="shared" si="200"/>
        <v>0</v>
      </c>
      <c r="AS106" s="401">
        <f t="shared" si="188"/>
        <v>0</v>
      </c>
      <c r="AT106" s="398">
        <f t="shared" si="188"/>
        <v>0</v>
      </c>
      <c r="AU106" s="399">
        <f t="shared" si="188"/>
        <v>0</v>
      </c>
      <c r="AV106" s="400">
        <f t="shared" si="201"/>
        <v>0</v>
      </c>
      <c r="AW106" s="401">
        <f t="shared" si="189"/>
        <v>0</v>
      </c>
      <c r="AX106" s="432">
        <f t="shared" si="202"/>
        <v>7597</v>
      </c>
      <c r="AY106" s="432">
        <f t="shared" si="203"/>
        <v>51</v>
      </c>
      <c r="AZ106" s="432">
        <f t="shared" si="204"/>
        <v>7648</v>
      </c>
      <c r="BA106" s="432">
        <f t="shared" si="205"/>
        <v>2</v>
      </c>
      <c r="BC106" s="395"/>
      <c r="BD106" s="395">
        <f t="shared" si="206"/>
        <v>416</v>
      </c>
      <c r="BE106" s="395">
        <f t="shared" si="207"/>
        <v>0</v>
      </c>
      <c r="BF106" s="395"/>
      <c r="BG106" s="395"/>
    </row>
    <row r="107" spans="1:73" ht="14.4" thickBot="1">
      <c r="A107" s="397" t="s">
        <v>399</v>
      </c>
      <c r="B107" s="398">
        <f t="shared" si="177"/>
        <v>1151</v>
      </c>
      <c r="C107" s="399">
        <f t="shared" si="177"/>
        <v>13</v>
      </c>
      <c r="D107" s="400">
        <f t="shared" si="190"/>
        <v>1164</v>
      </c>
      <c r="E107" s="401">
        <f t="shared" si="178"/>
        <v>1</v>
      </c>
      <c r="F107" s="398">
        <f t="shared" si="178"/>
        <v>2341</v>
      </c>
      <c r="G107" s="399">
        <f t="shared" si="178"/>
        <v>20</v>
      </c>
      <c r="H107" s="400">
        <f t="shared" si="191"/>
        <v>2361</v>
      </c>
      <c r="I107" s="401">
        <f t="shared" si="179"/>
        <v>0</v>
      </c>
      <c r="J107" s="398">
        <f t="shared" si="179"/>
        <v>1611</v>
      </c>
      <c r="K107" s="399">
        <f t="shared" si="179"/>
        <v>21</v>
      </c>
      <c r="L107" s="400">
        <f t="shared" si="192"/>
        <v>1632</v>
      </c>
      <c r="M107" s="401">
        <f t="shared" si="180"/>
        <v>1</v>
      </c>
      <c r="N107" s="398">
        <f t="shared" si="180"/>
        <v>1499</v>
      </c>
      <c r="O107" s="399">
        <f t="shared" si="180"/>
        <v>2</v>
      </c>
      <c r="P107" s="400">
        <f t="shared" si="193"/>
        <v>1501</v>
      </c>
      <c r="Q107" s="401">
        <f t="shared" si="181"/>
        <v>0</v>
      </c>
      <c r="R107" s="398">
        <f t="shared" si="181"/>
        <v>971</v>
      </c>
      <c r="S107" s="399">
        <f t="shared" si="181"/>
        <v>4</v>
      </c>
      <c r="T107" s="400">
        <f t="shared" si="194"/>
        <v>975</v>
      </c>
      <c r="U107" s="401">
        <f t="shared" si="182"/>
        <v>1</v>
      </c>
      <c r="V107" s="398">
        <f t="shared" si="182"/>
        <v>854</v>
      </c>
      <c r="W107" s="399">
        <f t="shared" si="182"/>
        <v>6</v>
      </c>
      <c r="X107" s="400">
        <f t="shared" si="195"/>
        <v>860</v>
      </c>
      <c r="Y107" s="401">
        <f t="shared" si="183"/>
        <v>2</v>
      </c>
      <c r="Z107" s="398">
        <f t="shared" si="183"/>
        <v>746</v>
      </c>
      <c r="AA107" s="399">
        <f t="shared" si="183"/>
        <v>1</v>
      </c>
      <c r="AB107" s="400">
        <f t="shared" si="196"/>
        <v>747</v>
      </c>
      <c r="AC107" s="401">
        <f t="shared" si="184"/>
        <v>0</v>
      </c>
      <c r="AD107" s="398">
        <f t="shared" si="184"/>
        <v>749</v>
      </c>
      <c r="AE107" s="399">
        <f t="shared" si="184"/>
        <v>1</v>
      </c>
      <c r="AF107" s="400">
        <f t="shared" si="197"/>
        <v>750</v>
      </c>
      <c r="AG107" s="401">
        <f t="shared" si="185"/>
        <v>1</v>
      </c>
      <c r="AH107" s="398">
        <f t="shared" si="185"/>
        <v>0</v>
      </c>
      <c r="AI107" s="399">
        <f t="shared" si="185"/>
        <v>0</v>
      </c>
      <c r="AJ107" s="400">
        <f t="shared" si="198"/>
        <v>0</v>
      </c>
      <c r="AK107" s="401">
        <f t="shared" si="186"/>
        <v>0</v>
      </c>
      <c r="AL107" s="398">
        <f t="shared" si="186"/>
        <v>0</v>
      </c>
      <c r="AM107" s="399">
        <f t="shared" si="186"/>
        <v>0</v>
      </c>
      <c r="AN107" s="400">
        <f t="shared" si="199"/>
        <v>0</v>
      </c>
      <c r="AO107" s="401">
        <f t="shared" si="187"/>
        <v>0</v>
      </c>
      <c r="AP107" s="398">
        <f t="shared" si="187"/>
        <v>0</v>
      </c>
      <c r="AQ107" s="399">
        <f t="shared" si="187"/>
        <v>0</v>
      </c>
      <c r="AR107" s="400">
        <f t="shared" si="200"/>
        <v>0</v>
      </c>
      <c r="AS107" s="401">
        <f t="shared" si="188"/>
        <v>0</v>
      </c>
      <c r="AT107" s="398">
        <f t="shared" si="188"/>
        <v>0</v>
      </c>
      <c r="AU107" s="399">
        <f t="shared" si="188"/>
        <v>0</v>
      </c>
      <c r="AV107" s="400">
        <f t="shared" si="201"/>
        <v>0</v>
      </c>
      <c r="AW107" s="401">
        <f t="shared" si="189"/>
        <v>0</v>
      </c>
      <c r="AX107" s="432">
        <f t="shared" si="202"/>
        <v>9922</v>
      </c>
      <c r="AY107" s="432">
        <f t="shared" si="203"/>
        <v>68</v>
      </c>
      <c r="AZ107" s="432">
        <f t="shared" si="204"/>
        <v>9990</v>
      </c>
      <c r="BA107" s="432">
        <f t="shared" si="205"/>
        <v>6</v>
      </c>
      <c r="BC107" s="395"/>
      <c r="BD107" s="395">
        <f t="shared" si="206"/>
        <v>750</v>
      </c>
      <c r="BE107" s="395">
        <f t="shared" si="207"/>
        <v>1</v>
      </c>
      <c r="BF107" s="395"/>
      <c r="BG107" s="395"/>
    </row>
    <row r="108" spans="1:73" ht="14.4" thickBot="1">
      <c r="A108" s="397" t="s">
        <v>883</v>
      </c>
      <c r="B108" s="398">
        <f t="shared" si="177"/>
        <v>1385</v>
      </c>
      <c r="C108" s="399">
        <f t="shared" si="177"/>
        <v>8</v>
      </c>
      <c r="D108" s="400">
        <f t="shared" si="190"/>
        <v>1393</v>
      </c>
      <c r="E108" s="401">
        <f t="shared" si="178"/>
        <v>2</v>
      </c>
      <c r="F108" s="398">
        <f t="shared" si="178"/>
        <v>1282</v>
      </c>
      <c r="G108" s="399">
        <f t="shared" si="178"/>
        <v>0</v>
      </c>
      <c r="H108" s="400">
        <f t="shared" si="191"/>
        <v>1282</v>
      </c>
      <c r="I108" s="401">
        <f t="shared" si="179"/>
        <v>3</v>
      </c>
      <c r="J108" s="398">
        <f t="shared" si="179"/>
        <v>1209</v>
      </c>
      <c r="K108" s="399">
        <f t="shared" si="179"/>
        <v>13</v>
      </c>
      <c r="L108" s="400">
        <f t="shared" si="192"/>
        <v>1222</v>
      </c>
      <c r="M108" s="401">
        <f t="shared" si="180"/>
        <v>0</v>
      </c>
      <c r="N108" s="398">
        <f t="shared" si="180"/>
        <v>632</v>
      </c>
      <c r="O108" s="399">
        <f t="shared" si="180"/>
        <v>2</v>
      </c>
      <c r="P108" s="400">
        <f t="shared" si="193"/>
        <v>634</v>
      </c>
      <c r="Q108" s="401">
        <f t="shared" si="181"/>
        <v>2</v>
      </c>
      <c r="R108" s="398">
        <f t="shared" si="181"/>
        <v>455</v>
      </c>
      <c r="S108" s="399">
        <f t="shared" si="181"/>
        <v>4</v>
      </c>
      <c r="T108" s="400">
        <f t="shared" si="194"/>
        <v>459</v>
      </c>
      <c r="U108" s="401">
        <f t="shared" si="182"/>
        <v>0</v>
      </c>
      <c r="V108" s="398">
        <f t="shared" si="182"/>
        <v>581</v>
      </c>
      <c r="W108" s="399">
        <f t="shared" si="182"/>
        <v>1</v>
      </c>
      <c r="X108" s="400">
        <f t="shared" si="195"/>
        <v>582</v>
      </c>
      <c r="Y108" s="401">
        <f t="shared" si="183"/>
        <v>0</v>
      </c>
      <c r="Z108" s="398">
        <f t="shared" si="183"/>
        <v>397</v>
      </c>
      <c r="AA108" s="399">
        <f t="shared" si="183"/>
        <v>0</v>
      </c>
      <c r="AB108" s="400">
        <f t="shared" si="196"/>
        <v>397</v>
      </c>
      <c r="AC108" s="401">
        <f t="shared" si="184"/>
        <v>0</v>
      </c>
      <c r="AD108" s="398">
        <f t="shared" si="184"/>
        <v>330</v>
      </c>
      <c r="AE108" s="399">
        <f t="shared" si="184"/>
        <v>2</v>
      </c>
      <c r="AF108" s="400">
        <f t="shared" si="197"/>
        <v>332</v>
      </c>
      <c r="AG108" s="401">
        <f t="shared" si="185"/>
        <v>0</v>
      </c>
      <c r="AH108" s="398">
        <f t="shared" si="185"/>
        <v>0</v>
      </c>
      <c r="AI108" s="399">
        <f t="shared" si="185"/>
        <v>0</v>
      </c>
      <c r="AJ108" s="400">
        <f t="shared" si="198"/>
        <v>0</v>
      </c>
      <c r="AK108" s="401">
        <f t="shared" si="186"/>
        <v>0</v>
      </c>
      <c r="AL108" s="398">
        <f t="shared" si="186"/>
        <v>0</v>
      </c>
      <c r="AM108" s="399">
        <f t="shared" si="186"/>
        <v>0</v>
      </c>
      <c r="AN108" s="400">
        <f t="shared" si="199"/>
        <v>0</v>
      </c>
      <c r="AO108" s="401">
        <f t="shared" si="187"/>
        <v>0</v>
      </c>
      <c r="AP108" s="398">
        <f t="shared" si="187"/>
        <v>0</v>
      </c>
      <c r="AQ108" s="399">
        <f t="shared" si="187"/>
        <v>0</v>
      </c>
      <c r="AR108" s="400">
        <f t="shared" si="200"/>
        <v>0</v>
      </c>
      <c r="AS108" s="401">
        <f t="shared" si="188"/>
        <v>0</v>
      </c>
      <c r="AT108" s="398">
        <f t="shared" si="188"/>
        <v>0</v>
      </c>
      <c r="AU108" s="399">
        <f t="shared" si="188"/>
        <v>0</v>
      </c>
      <c r="AV108" s="400">
        <f t="shared" si="201"/>
        <v>0</v>
      </c>
      <c r="AW108" s="401">
        <f t="shared" si="189"/>
        <v>0</v>
      </c>
      <c r="AX108" s="432">
        <f t="shared" si="202"/>
        <v>6271</v>
      </c>
      <c r="AY108" s="432">
        <f t="shared" si="203"/>
        <v>30</v>
      </c>
      <c r="AZ108" s="432">
        <f t="shared" si="204"/>
        <v>6301</v>
      </c>
      <c r="BA108" s="432">
        <f t="shared" si="205"/>
        <v>7</v>
      </c>
      <c r="BC108" s="395"/>
      <c r="BD108" s="395">
        <f t="shared" si="206"/>
        <v>332</v>
      </c>
      <c r="BE108" s="395">
        <f t="shared" si="207"/>
        <v>0</v>
      </c>
      <c r="BF108" s="395"/>
      <c r="BG108" s="395"/>
    </row>
    <row r="109" spans="1:73" ht="14.4" thickBot="1">
      <c r="A109" s="397" t="s">
        <v>884</v>
      </c>
      <c r="B109" s="398">
        <f t="shared" si="177"/>
        <v>3096</v>
      </c>
      <c r="C109" s="399">
        <f t="shared" si="177"/>
        <v>18</v>
      </c>
      <c r="D109" s="400">
        <f t="shared" si="190"/>
        <v>3114</v>
      </c>
      <c r="E109" s="401">
        <f t="shared" si="178"/>
        <v>0</v>
      </c>
      <c r="F109" s="398">
        <f t="shared" si="178"/>
        <v>2359</v>
      </c>
      <c r="G109" s="399">
        <f t="shared" si="178"/>
        <v>18</v>
      </c>
      <c r="H109" s="400">
        <f t="shared" si="191"/>
        <v>2377</v>
      </c>
      <c r="I109" s="401">
        <f t="shared" si="179"/>
        <v>0</v>
      </c>
      <c r="J109" s="398">
        <f t="shared" si="179"/>
        <v>1902</v>
      </c>
      <c r="K109" s="399">
        <f t="shared" si="179"/>
        <v>17</v>
      </c>
      <c r="L109" s="400">
        <f t="shared" si="192"/>
        <v>1919</v>
      </c>
      <c r="M109" s="401">
        <f t="shared" si="180"/>
        <v>1</v>
      </c>
      <c r="N109" s="398">
        <f t="shared" si="180"/>
        <v>1357</v>
      </c>
      <c r="O109" s="399">
        <f t="shared" si="180"/>
        <v>10</v>
      </c>
      <c r="P109" s="400">
        <f t="shared" si="193"/>
        <v>1367</v>
      </c>
      <c r="Q109" s="401">
        <f t="shared" si="181"/>
        <v>0</v>
      </c>
      <c r="R109" s="398">
        <f t="shared" si="181"/>
        <v>910</v>
      </c>
      <c r="S109" s="399">
        <f t="shared" si="181"/>
        <v>5</v>
      </c>
      <c r="T109" s="400">
        <f t="shared" si="194"/>
        <v>915</v>
      </c>
      <c r="U109" s="401">
        <f t="shared" si="182"/>
        <v>0</v>
      </c>
      <c r="V109" s="398">
        <f t="shared" si="182"/>
        <v>1083</v>
      </c>
      <c r="W109" s="399">
        <f t="shared" si="182"/>
        <v>6</v>
      </c>
      <c r="X109" s="400">
        <f t="shared" si="195"/>
        <v>1089</v>
      </c>
      <c r="Y109" s="401">
        <f t="shared" si="183"/>
        <v>1</v>
      </c>
      <c r="Z109" s="398">
        <f t="shared" si="183"/>
        <v>563</v>
      </c>
      <c r="AA109" s="399">
        <f t="shared" si="183"/>
        <v>5</v>
      </c>
      <c r="AB109" s="400">
        <f t="shared" si="196"/>
        <v>568</v>
      </c>
      <c r="AC109" s="401">
        <f t="shared" si="184"/>
        <v>0</v>
      </c>
      <c r="AD109" s="398">
        <f t="shared" si="184"/>
        <v>414</v>
      </c>
      <c r="AE109" s="399">
        <f t="shared" si="184"/>
        <v>7</v>
      </c>
      <c r="AF109" s="400">
        <f t="shared" si="197"/>
        <v>421</v>
      </c>
      <c r="AG109" s="401">
        <f t="shared" si="185"/>
        <v>1</v>
      </c>
      <c r="AH109" s="398">
        <f t="shared" si="185"/>
        <v>0</v>
      </c>
      <c r="AI109" s="399">
        <f t="shared" si="185"/>
        <v>0</v>
      </c>
      <c r="AJ109" s="400">
        <f t="shared" si="198"/>
        <v>0</v>
      </c>
      <c r="AK109" s="401">
        <f t="shared" si="186"/>
        <v>0</v>
      </c>
      <c r="AL109" s="398">
        <f t="shared" si="186"/>
        <v>0</v>
      </c>
      <c r="AM109" s="399">
        <f t="shared" si="186"/>
        <v>0</v>
      </c>
      <c r="AN109" s="400">
        <f t="shared" si="199"/>
        <v>0</v>
      </c>
      <c r="AO109" s="401">
        <f t="shared" si="187"/>
        <v>0</v>
      </c>
      <c r="AP109" s="398">
        <f t="shared" si="187"/>
        <v>0</v>
      </c>
      <c r="AQ109" s="399">
        <f t="shared" si="187"/>
        <v>0</v>
      </c>
      <c r="AR109" s="400">
        <f t="shared" si="200"/>
        <v>0</v>
      </c>
      <c r="AS109" s="401">
        <f t="shared" si="188"/>
        <v>0</v>
      </c>
      <c r="AT109" s="398">
        <f t="shared" si="188"/>
        <v>0</v>
      </c>
      <c r="AU109" s="399">
        <f t="shared" si="188"/>
        <v>0</v>
      </c>
      <c r="AV109" s="400">
        <f t="shared" si="201"/>
        <v>0</v>
      </c>
      <c r="AW109" s="401">
        <f t="shared" si="189"/>
        <v>0</v>
      </c>
      <c r="AX109" s="432">
        <f t="shared" si="202"/>
        <v>11684</v>
      </c>
      <c r="AY109" s="432">
        <f t="shared" si="203"/>
        <v>86</v>
      </c>
      <c r="AZ109" s="432">
        <f t="shared" si="204"/>
        <v>11770</v>
      </c>
      <c r="BA109" s="432">
        <f t="shared" si="205"/>
        <v>3</v>
      </c>
      <c r="BC109" s="395"/>
      <c r="BD109" s="395">
        <f t="shared" si="206"/>
        <v>421</v>
      </c>
      <c r="BE109" s="395">
        <f t="shared" si="207"/>
        <v>1</v>
      </c>
      <c r="BF109" s="395"/>
      <c r="BG109" s="395"/>
    </row>
    <row r="110" spans="1:73" ht="14.4" thickBot="1">
      <c r="A110" s="397" t="s">
        <v>885</v>
      </c>
      <c r="B110" s="398">
        <f t="shared" si="177"/>
        <v>495</v>
      </c>
      <c r="C110" s="399">
        <f t="shared" si="177"/>
        <v>9</v>
      </c>
      <c r="D110" s="400">
        <f t="shared" si="190"/>
        <v>504</v>
      </c>
      <c r="E110" s="401">
        <f t="shared" si="178"/>
        <v>0</v>
      </c>
      <c r="F110" s="398">
        <f t="shared" si="178"/>
        <v>1056</v>
      </c>
      <c r="G110" s="399">
        <f t="shared" si="178"/>
        <v>4</v>
      </c>
      <c r="H110" s="400">
        <f t="shared" si="191"/>
        <v>1060</v>
      </c>
      <c r="I110" s="401">
        <f t="shared" si="179"/>
        <v>0</v>
      </c>
      <c r="J110" s="398">
        <f t="shared" si="179"/>
        <v>1207</v>
      </c>
      <c r="K110" s="399">
        <f t="shared" si="179"/>
        <v>9</v>
      </c>
      <c r="L110" s="400">
        <f t="shared" si="192"/>
        <v>1216</v>
      </c>
      <c r="M110" s="401">
        <f t="shared" si="180"/>
        <v>0</v>
      </c>
      <c r="N110" s="398">
        <f t="shared" si="180"/>
        <v>876</v>
      </c>
      <c r="O110" s="399">
        <f t="shared" si="180"/>
        <v>6</v>
      </c>
      <c r="P110" s="400">
        <f t="shared" si="193"/>
        <v>882</v>
      </c>
      <c r="Q110" s="401">
        <f t="shared" si="181"/>
        <v>0</v>
      </c>
      <c r="R110" s="398">
        <f t="shared" si="181"/>
        <v>910</v>
      </c>
      <c r="S110" s="399">
        <f t="shared" si="181"/>
        <v>4</v>
      </c>
      <c r="T110" s="400">
        <f t="shared" si="194"/>
        <v>914</v>
      </c>
      <c r="U110" s="401">
        <f t="shared" si="182"/>
        <v>0</v>
      </c>
      <c r="V110" s="398">
        <f t="shared" si="182"/>
        <v>613</v>
      </c>
      <c r="W110" s="399">
        <f t="shared" si="182"/>
        <v>3</v>
      </c>
      <c r="X110" s="400">
        <f t="shared" si="195"/>
        <v>616</v>
      </c>
      <c r="Y110" s="401">
        <f t="shared" si="183"/>
        <v>0</v>
      </c>
      <c r="Z110" s="398">
        <f t="shared" si="183"/>
        <v>335</v>
      </c>
      <c r="AA110" s="399">
        <f t="shared" si="183"/>
        <v>6</v>
      </c>
      <c r="AB110" s="400">
        <f t="shared" si="196"/>
        <v>341</v>
      </c>
      <c r="AC110" s="401">
        <f t="shared" si="184"/>
        <v>0</v>
      </c>
      <c r="AD110" s="398">
        <f t="shared" si="184"/>
        <v>357</v>
      </c>
      <c r="AE110" s="399">
        <f t="shared" si="184"/>
        <v>1</v>
      </c>
      <c r="AF110" s="400">
        <f t="shared" si="197"/>
        <v>358</v>
      </c>
      <c r="AG110" s="401">
        <f t="shared" si="185"/>
        <v>0</v>
      </c>
      <c r="AH110" s="398">
        <f t="shared" si="185"/>
        <v>0</v>
      </c>
      <c r="AI110" s="399">
        <f t="shared" si="185"/>
        <v>0</v>
      </c>
      <c r="AJ110" s="400">
        <f t="shared" si="198"/>
        <v>0</v>
      </c>
      <c r="AK110" s="401">
        <f t="shared" si="186"/>
        <v>0</v>
      </c>
      <c r="AL110" s="398">
        <f t="shared" si="186"/>
        <v>0</v>
      </c>
      <c r="AM110" s="399">
        <f t="shared" si="186"/>
        <v>0</v>
      </c>
      <c r="AN110" s="400">
        <f t="shared" si="199"/>
        <v>0</v>
      </c>
      <c r="AO110" s="401">
        <f t="shared" si="187"/>
        <v>0</v>
      </c>
      <c r="AP110" s="398">
        <f t="shared" si="187"/>
        <v>0</v>
      </c>
      <c r="AQ110" s="399">
        <f t="shared" si="187"/>
        <v>0</v>
      </c>
      <c r="AR110" s="400">
        <f t="shared" si="200"/>
        <v>0</v>
      </c>
      <c r="AS110" s="401">
        <f t="shared" si="188"/>
        <v>0</v>
      </c>
      <c r="AT110" s="398">
        <f t="shared" si="188"/>
        <v>0</v>
      </c>
      <c r="AU110" s="399">
        <f t="shared" si="188"/>
        <v>0</v>
      </c>
      <c r="AV110" s="400">
        <f t="shared" si="201"/>
        <v>0</v>
      </c>
      <c r="AW110" s="401">
        <f t="shared" si="189"/>
        <v>0</v>
      </c>
      <c r="AX110" s="432">
        <f t="shared" si="202"/>
        <v>5849</v>
      </c>
      <c r="AY110" s="432">
        <f t="shared" si="203"/>
        <v>42</v>
      </c>
      <c r="AZ110" s="432">
        <f t="shared" si="204"/>
        <v>5891</v>
      </c>
      <c r="BA110" s="432">
        <f t="shared" si="205"/>
        <v>0</v>
      </c>
      <c r="BC110" s="395"/>
      <c r="BD110" s="395">
        <f t="shared" si="206"/>
        <v>358</v>
      </c>
      <c r="BE110" s="395">
        <f t="shared" si="207"/>
        <v>0</v>
      </c>
      <c r="BF110" s="395"/>
      <c r="BG110" s="395"/>
    </row>
    <row r="111" spans="1:73" ht="14.4" thickBot="1">
      <c r="A111" s="433" t="s">
        <v>16</v>
      </c>
      <c r="B111" s="417">
        <f t="shared" ref="B111:AG111" si="208">SUM(B101:B110)</f>
        <v>14547</v>
      </c>
      <c r="C111" s="419">
        <f t="shared" si="208"/>
        <v>99</v>
      </c>
      <c r="D111" s="419">
        <f t="shared" si="208"/>
        <v>14646</v>
      </c>
      <c r="E111" s="420">
        <f t="shared" si="208"/>
        <v>6</v>
      </c>
      <c r="F111" s="417">
        <f t="shared" si="208"/>
        <v>16880</v>
      </c>
      <c r="G111" s="419">
        <f t="shared" si="208"/>
        <v>137</v>
      </c>
      <c r="H111" s="419">
        <f t="shared" si="208"/>
        <v>17017</v>
      </c>
      <c r="I111" s="420">
        <f t="shared" si="208"/>
        <v>7</v>
      </c>
      <c r="J111" s="417">
        <f t="shared" si="208"/>
        <v>13125</v>
      </c>
      <c r="K111" s="419">
        <f t="shared" si="208"/>
        <v>167</v>
      </c>
      <c r="L111" s="419">
        <f t="shared" si="208"/>
        <v>13292</v>
      </c>
      <c r="M111" s="420">
        <f t="shared" si="208"/>
        <v>3</v>
      </c>
      <c r="N111" s="417">
        <f t="shared" si="208"/>
        <v>10249</v>
      </c>
      <c r="O111" s="419">
        <f t="shared" si="208"/>
        <v>75</v>
      </c>
      <c r="P111" s="419">
        <f t="shared" si="208"/>
        <v>10324</v>
      </c>
      <c r="Q111" s="420">
        <f t="shared" si="208"/>
        <v>6</v>
      </c>
      <c r="R111" s="417">
        <f t="shared" si="208"/>
        <v>8008</v>
      </c>
      <c r="S111" s="419">
        <f t="shared" si="208"/>
        <v>50</v>
      </c>
      <c r="T111" s="419">
        <f t="shared" si="208"/>
        <v>8058</v>
      </c>
      <c r="U111" s="420">
        <f t="shared" si="208"/>
        <v>7</v>
      </c>
      <c r="V111" s="417">
        <f t="shared" si="208"/>
        <v>8063</v>
      </c>
      <c r="W111" s="419">
        <f t="shared" si="208"/>
        <v>40</v>
      </c>
      <c r="X111" s="419">
        <f t="shared" si="208"/>
        <v>8103</v>
      </c>
      <c r="Y111" s="420">
        <f t="shared" si="208"/>
        <v>6</v>
      </c>
      <c r="Z111" s="417">
        <f t="shared" si="208"/>
        <v>6711</v>
      </c>
      <c r="AA111" s="419">
        <f t="shared" si="208"/>
        <v>44</v>
      </c>
      <c r="AB111" s="419">
        <f t="shared" si="208"/>
        <v>6755</v>
      </c>
      <c r="AC111" s="420">
        <f t="shared" si="208"/>
        <v>1</v>
      </c>
      <c r="AD111" s="417">
        <f t="shared" si="208"/>
        <v>6439</v>
      </c>
      <c r="AE111" s="419">
        <f t="shared" si="208"/>
        <v>35</v>
      </c>
      <c r="AF111" s="419">
        <f t="shared" si="208"/>
        <v>6474</v>
      </c>
      <c r="AG111" s="420">
        <f t="shared" si="208"/>
        <v>3</v>
      </c>
      <c r="AH111" s="417">
        <f t="shared" ref="AH111:BA111" si="209">SUM(AH101:AH110)</f>
        <v>0</v>
      </c>
      <c r="AI111" s="419">
        <f t="shared" si="209"/>
        <v>0</v>
      </c>
      <c r="AJ111" s="419">
        <f t="shared" si="209"/>
        <v>0</v>
      </c>
      <c r="AK111" s="420">
        <f t="shared" si="209"/>
        <v>0</v>
      </c>
      <c r="AL111" s="417">
        <f t="shared" si="209"/>
        <v>0</v>
      </c>
      <c r="AM111" s="419">
        <f t="shared" si="209"/>
        <v>0</v>
      </c>
      <c r="AN111" s="419">
        <f t="shared" si="209"/>
        <v>0</v>
      </c>
      <c r="AO111" s="420">
        <f t="shared" si="209"/>
        <v>0</v>
      </c>
      <c r="AP111" s="417">
        <f t="shared" si="209"/>
        <v>0</v>
      </c>
      <c r="AQ111" s="419">
        <f t="shared" si="209"/>
        <v>0</v>
      </c>
      <c r="AR111" s="419">
        <f t="shared" si="209"/>
        <v>0</v>
      </c>
      <c r="AS111" s="420">
        <f t="shared" si="209"/>
        <v>0</v>
      </c>
      <c r="AT111" s="417">
        <f t="shared" si="209"/>
        <v>0</v>
      </c>
      <c r="AU111" s="419">
        <f t="shared" si="209"/>
        <v>0</v>
      </c>
      <c r="AV111" s="419">
        <f t="shared" si="209"/>
        <v>0</v>
      </c>
      <c r="AW111" s="420">
        <f t="shared" si="209"/>
        <v>0</v>
      </c>
      <c r="AX111" s="434">
        <f t="shared" si="209"/>
        <v>84022</v>
      </c>
      <c r="AY111" s="434">
        <f t="shared" si="209"/>
        <v>647</v>
      </c>
      <c r="AZ111" s="434">
        <f t="shared" si="209"/>
        <v>84669</v>
      </c>
      <c r="BA111" s="434">
        <f t="shared" si="209"/>
        <v>39</v>
      </c>
      <c r="BC111" s="395"/>
      <c r="BD111" s="395">
        <f t="shared" si="206"/>
        <v>6474</v>
      </c>
      <c r="BE111" s="395">
        <f>AG111</f>
        <v>3</v>
      </c>
      <c r="BF111" s="395"/>
      <c r="BG111" s="395"/>
    </row>
    <row r="112" spans="1:73">
      <c r="L112" s="395">
        <f>L111+H111+D111</f>
        <v>44955</v>
      </c>
      <c r="M112" s="395">
        <f>M111+I111+E111</f>
        <v>16</v>
      </c>
      <c r="P112" s="395">
        <f>P111+T111+X111</f>
        <v>26485</v>
      </c>
      <c r="Q112" s="395">
        <f>Q111+U111+Y111</f>
        <v>19</v>
      </c>
      <c r="AJ112" s="395">
        <f>AJ111+AF111+AB111</f>
        <v>13229</v>
      </c>
      <c r="AK112" s="395">
        <f>AK111+AG111+AC111</f>
        <v>4</v>
      </c>
      <c r="AV112" s="117">
        <f>AV111+AR111+AN111</f>
        <v>0</v>
      </c>
      <c r="AW112" s="117">
        <f>AW111+AS111+AO111</f>
        <v>0</v>
      </c>
    </row>
    <row r="113" spans="1:73" ht="18.600000000000001" thickBot="1">
      <c r="A113" s="394">
        <f>A81</f>
        <v>2024</v>
      </c>
    </row>
    <row r="114" spans="1:73">
      <c r="A114" s="2815" t="str">
        <f>A99</f>
        <v>DD</v>
      </c>
      <c r="B114" s="2827" t="s">
        <v>71</v>
      </c>
      <c r="C114" s="2828"/>
      <c r="D114" s="2828"/>
      <c r="E114" s="3091"/>
      <c r="F114" s="2829" t="s">
        <v>72</v>
      </c>
      <c r="G114" s="2830"/>
      <c r="H114" s="2830"/>
      <c r="I114" s="3095"/>
      <c r="J114" s="2817" t="s">
        <v>73</v>
      </c>
      <c r="K114" s="2818"/>
      <c r="L114" s="2818"/>
      <c r="M114" s="3094"/>
      <c r="N114" s="2819" t="s">
        <v>74</v>
      </c>
      <c r="O114" s="2820"/>
      <c r="P114" s="2820"/>
      <c r="Q114" s="3090"/>
      <c r="R114" s="2821" t="s">
        <v>75</v>
      </c>
      <c r="S114" s="2822"/>
      <c r="T114" s="2822"/>
      <c r="U114" s="3093"/>
      <c r="V114" s="2823" t="s">
        <v>76</v>
      </c>
      <c r="W114" s="2824"/>
      <c r="X114" s="2824"/>
      <c r="Y114" s="3089"/>
      <c r="Z114" s="2827" t="s">
        <v>77</v>
      </c>
      <c r="AA114" s="2828"/>
      <c r="AB114" s="2828"/>
      <c r="AC114" s="3091"/>
      <c r="AD114" s="2829" t="s">
        <v>78</v>
      </c>
      <c r="AE114" s="2830"/>
      <c r="AF114" s="2830"/>
      <c r="AG114" s="3095"/>
      <c r="AH114" s="2817" t="s">
        <v>79</v>
      </c>
      <c r="AI114" s="2818"/>
      <c r="AJ114" s="2818"/>
      <c r="AK114" s="3094"/>
      <c r="AL114" s="2819" t="s">
        <v>80</v>
      </c>
      <c r="AM114" s="2820"/>
      <c r="AN114" s="2820"/>
      <c r="AO114" s="3090"/>
      <c r="AP114" s="2821" t="s">
        <v>81</v>
      </c>
      <c r="AQ114" s="2822"/>
      <c r="AR114" s="2822"/>
      <c r="AS114" s="3093"/>
      <c r="AT114" s="2823" t="s">
        <v>82</v>
      </c>
      <c r="AU114" s="2824"/>
      <c r="AV114" s="2824"/>
      <c r="AW114" s="3089"/>
      <c r="AX114" s="2825" t="s">
        <v>83</v>
      </c>
      <c r="AY114" s="2826"/>
      <c r="AZ114" s="2826"/>
      <c r="BA114" s="3088"/>
      <c r="BM114" s="430"/>
      <c r="BR114" s="3112"/>
      <c r="BS114" s="3112"/>
      <c r="BT114" s="3112"/>
      <c r="BU114" s="3112"/>
    </row>
    <row r="115" spans="1:73" ht="14.4" thickBot="1">
      <c r="A115" s="2816"/>
      <c r="B115" s="402" t="s">
        <v>17</v>
      </c>
      <c r="C115" s="403" t="s">
        <v>18</v>
      </c>
      <c r="D115" s="403" t="s">
        <v>56</v>
      </c>
      <c r="E115" s="404" t="s">
        <v>21</v>
      </c>
      <c r="F115" s="402" t="s">
        <v>17</v>
      </c>
      <c r="G115" s="403" t="s">
        <v>18</v>
      </c>
      <c r="H115" s="403" t="s">
        <v>56</v>
      </c>
      <c r="I115" s="404" t="s">
        <v>21</v>
      </c>
      <c r="J115" s="402" t="s">
        <v>17</v>
      </c>
      <c r="K115" s="403" t="s">
        <v>18</v>
      </c>
      <c r="L115" s="403" t="s">
        <v>56</v>
      </c>
      <c r="M115" s="404" t="s">
        <v>21</v>
      </c>
      <c r="N115" s="402" t="s">
        <v>17</v>
      </c>
      <c r="O115" s="403" t="s">
        <v>18</v>
      </c>
      <c r="P115" s="403" t="s">
        <v>56</v>
      </c>
      <c r="Q115" s="404" t="s">
        <v>21</v>
      </c>
      <c r="R115" s="402" t="s">
        <v>17</v>
      </c>
      <c r="S115" s="403" t="s">
        <v>18</v>
      </c>
      <c r="T115" s="403" t="s">
        <v>56</v>
      </c>
      <c r="U115" s="404" t="s">
        <v>21</v>
      </c>
      <c r="V115" s="402" t="s">
        <v>17</v>
      </c>
      <c r="W115" s="403" t="s">
        <v>18</v>
      </c>
      <c r="X115" s="403" t="s">
        <v>56</v>
      </c>
      <c r="Y115" s="404" t="s">
        <v>21</v>
      </c>
      <c r="Z115" s="402" t="s">
        <v>17</v>
      </c>
      <c r="AA115" s="403" t="s">
        <v>18</v>
      </c>
      <c r="AB115" s="403" t="s">
        <v>56</v>
      </c>
      <c r="AC115" s="404" t="s">
        <v>21</v>
      </c>
      <c r="AD115" s="628" t="s">
        <v>17</v>
      </c>
      <c r="AE115" s="403" t="s">
        <v>18</v>
      </c>
      <c r="AF115" s="403" t="s">
        <v>56</v>
      </c>
      <c r="AG115" s="404" t="s">
        <v>21</v>
      </c>
      <c r="AH115" s="402" t="s">
        <v>17</v>
      </c>
      <c r="AI115" s="403" t="s">
        <v>18</v>
      </c>
      <c r="AJ115" s="403" t="s">
        <v>56</v>
      </c>
      <c r="AK115" s="404" t="s">
        <v>21</v>
      </c>
      <c r="AL115" s="402" t="s">
        <v>17</v>
      </c>
      <c r="AM115" s="403" t="s">
        <v>18</v>
      </c>
      <c r="AN115" s="403" t="s">
        <v>56</v>
      </c>
      <c r="AO115" s="404" t="s">
        <v>21</v>
      </c>
      <c r="AP115" s="402" t="s">
        <v>17</v>
      </c>
      <c r="AQ115" s="403" t="s">
        <v>18</v>
      </c>
      <c r="AR115" s="403" t="s">
        <v>56</v>
      </c>
      <c r="AS115" s="404" t="s">
        <v>21</v>
      </c>
      <c r="AT115" s="402" t="s">
        <v>17</v>
      </c>
      <c r="AU115" s="403" t="s">
        <v>18</v>
      </c>
      <c r="AV115" s="403" t="s">
        <v>56</v>
      </c>
      <c r="AW115" s="404" t="s">
        <v>21</v>
      </c>
      <c r="AX115" s="1057" t="s">
        <v>17</v>
      </c>
      <c r="AY115" s="403" t="s">
        <v>18</v>
      </c>
      <c r="AZ115" s="403" t="s">
        <v>56</v>
      </c>
      <c r="BA115" s="431" t="s">
        <v>21</v>
      </c>
      <c r="BB115" s="435"/>
      <c r="BD115" s="117" t="s">
        <v>181</v>
      </c>
      <c r="BE115" s="117" t="s">
        <v>182</v>
      </c>
    </row>
    <row r="116" spans="1:73" ht="14.4" thickBot="1">
      <c r="A116" s="397" t="s">
        <v>6</v>
      </c>
      <c r="B116" s="398">
        <f t="shared" ref="B116:C125" si="210">B84+B52</f>
        <v>2600</v>
      </c>
      <c r="C116" s="399">
        <f t="shared" si="210"/>
        <v>8</v>
      </c>
      <c r="D116" s="400">
        <f t="shared" ref="D116:D125" si="211">+B116+C116</f>
        <v>2608</v>
      </c>
      <c r="E116" s="401">
        <f t="shared" ref="E116:G125" si="212">E84+E52</f>
        <v>0</v>
      </c>
      <c r="F116" s="398">
        <f t="shared" si="212"/>
        <v>2108</v>
      </c>
      <c r="G116" s="398">
        <f t="shared" si="212"/>
        <v>11</v>
      </c>
      <c r="H116" s="400">
        <f t="shared" ref="H116:H125" si="213">+F116+G116</f>
        <v>2119</v>
      </c>
      <c r="I116" s="401">
        <f>I84+I52</f>
        <v>0</v>
      </c>
      <c r="J116" s="398">
        <f t="shared" ref="I116:K125" si="214">J84+J52</f>
        <v>1802</v>
      </c>
      <c r="K116" s="399">
        <f t="shared" si="214"/>
        <v>7</v>
      </c>
      <c r="L116" s="400">
        <f t="shared" ref="L116:L125" si="215">+J116+K116</f>
        <v>1809</v>
      </c>
      <c r="M116" s="401">
        <f t="shared" ref="M116:O125" si="216">M84+M52</f>
        <v>1</v>
      </c>
      <c r="N116" s="398">
        <f t="shared" si="216"/>
        <v>1479</v>
      </c>
      <c r="O116" s="398">
        <f t="shared" si="216"/>
        <v>3</v>
      </c>
      <c r="P116" s="400">
        <f t="shared" ref="P116:P125" si="217">+N116+O116</f>
        <v>1482</v>
      </c>
      <c r="Q116" s="401">
        <f t="shared" ref="Q116:S125" si="218">Q84+Q52</f>
        <v>1</v>
      </c>
      <c r="R116" s="398">
        <f t="shared" si="218"/>
        <v>1649</v>
      </c>
      <c r="S116" s="399">
        <f t="shared" si="218"/>
        <v>1</v>
      </c>
      <c r="T116" s="400">
        <f t="shared" ref="T116:T125" si="219">+R116+S116</f>
        <v>1650</v>
      </c>
      <c r="U116" s="401">
        <f t="shared" ref="U116:W125" si="220">U84+U52</f>
        <v>0</v>
      </c>
      <c r="V116" s="398">
        <f t="shared" si="220"/>
        <v>1313</v>
      </c>
      <c r="W116" s="399">
        <f t="shared" si="220"/>
        <v>3</v>
      </c>
      <c r="X116" s="400">
        <f t="shared" ref="X116:X125" si="221">+V116+W116</f>
        <v>1316</v>
      </c>
      <c r="Y116" s="401">
        <f t="shared" ref="Y116:AA125" si="222">Y84+Y52</f>
        <v>0</v>
      </c>
      <c r="Z116" s="398">
        <f t="shared" si="222"/>
        <v>1124</v>
      </c>
      <c r="AA116" s="399">
        <f t="shared" si="222"/>
        <v>0</v>
      </c>
      <c r="AB116" s="400">
        <f t="shared" ref="AB116:AB125" si="223">+Z116+AA116</f>
        <v>1124</v>
      </c>
      <c r="AC116" s="401">
        <f t="shared" ref="AC116:AE125" si="224">AC84+AC52</f>
        <v>2</v>
      </c>
      <c r="AD116" s="398">
        <f t="shared" si="224"/>
        <v>1293</v>
      </c>
      <c r="AE116" s="399">
        <f t="shared" si="224"/>
        <v>2</v>
      </c>
      <c r="AF116" s="400">
        <f t="shared" ref="AF116:AF125" si="225">+AD116+AE116</f>
        <v>1295</v>
      </c>
      <c r="AG116" s="401">
        <f t="shared" ref="AG116:AI125" si="226">AG84+AG52</f>
        <v>0</v>
      </c>
      <c r="AH116" s="398">
        <f t="shared" si="226"/>
        <v>0</v>
      </c>
      <c r="AI116" s="399">
        <f t="shared" si="226"/>
        <v>0</v>
      </c>
      <c r="AJ116" s="400">
        <f t="shared" ref="AJ116:AJ125" si="227">+AH116+AI116</f>
        <v>0</v>
      </c>
      <c r="AK116" s="401">
        <f t="shared" ref="AK116:AM125" si="228">AK84+AK52</f>
        <v>0</v>
      </c>
      <c r="AL116" s="398">
        <f t="shared" si="228"/>
        <v>0</v>
      </c>
      <c r="AM116" s="399">
        <f t="shared" si="228"/>
        <v>0</v>
      </c>
      <c r="AN116" s="400">
        <f t="shared" ref="AN116:AN125" si="229">+AL116+AM116</f>
        <v>0</v>
      </c>
      <c r="AO116" s="401">
        <f t="shared" ref="AO116:AQ125" si="230">AO84+AO52</f>
        <v>0</v>
      </c>
      <c r="AP116" s="398">
        <f t="shared" si="230"/>
        <v>0</v>
      </c>
      <c r="AQ116" s="399">
        <f t="shared" si="230"/>
        <v>0</v>
      </c>
      <c r="AR116" s="400">
        <f t="shared" ref="AR116:AR125" si="231">+AP116+AQ116</f>
        <v>0</v>
      </c>
      <c r="AS116" s="401">
        <f t="shared" ref="AS116:AU125" si="232">AS84+AS52</f>
        <v>0</v>
      </c>
      <c r="AT116" s="398">
        <f t="shared" si="232"/>
        <v>0</v>
      </c>
      <c r="AU116" s="399">
        <f t="shared" si="232"/>
        <v>0</v>
      </c>
      <c r="AV116" s="400">
        <f t="shared" ref="AV116:AV125" si="233">+AT116+AU116</f>
        <v>0</v>
      </c>
      <c r="AW116" s="401">
        <f t="shared" ref="AW116:AW125" si="234">AW84+AW52</f>
        <v>0</v>
      </c>
      <c r="AX116" s="432">
        <f>B116+F116+J116+N116+R116+V116+Z116+AD116+AH116+AL116+AP116+AT116</f>
        <v>13368</v>
      </c>
      <c r="AY116" s="432">
        <f>C116+G116+K116+O116+S116+W116+AA116+AE116+AI116+AM116+AQ116+AU116</f>
        <v>35</v>
      </c>
      <c r="AZ116" s="432">
        <f>D116+H116+L116+P116+T116+X116+AB116+AF116+AJ116+AN116+AR116+AV116</f>
        <v>13403</v>
      </c>
      <c r="BA116" s="432">
        <f>E116+I116+M116+Q116+U116+Y116+AC116+AG116+AK116+AO116+AS116+AW116</f>
        <v>4</v>
      </c>
      <c r="BB116" s="435"/>
      <c r="BC116" s="395"/>
      <c r="BD116" s="395">
        <f>AF116</f>
        <v>1295</v>
      </c>
      <c r="BE116" s="395">
        <f>AG116</f>
        <v>0</v>
      </c>
    </row>
    <row r="117" spans="1:73" ht="14.4" thickBot="1">
      <c r="A117" s="397" t="s">
        <v>7</v>
      </c>
      <c r="B117" s="398">
        <f t="shared" si="210"/>
        <v>1218</v>
      </c>
      <c r="C117" s="399">
        <f t="shared" si="210"/>
        <v>27</v>
      </c>
      <c r="D117" s="400">
        <f t="shared" si="211"/>
        <v>1245</v>
      </c>
      <c r="E117" s="401">
        <f t="shared" si="212"/>
        <v>0</v>
      </c>
      <c r="F117" s="398">
        <f t="shared" si="212"/>
        <v>1107</v>
      </c>
      <c r="G117" s="398">
        <f t="shared" si="212"/>
        <v>13</v>
      </c>
      <c r="H117" s="400">
        <f t="shared" si="213"/>
        <v>1120</v>
      </c>
      <c r="I117" s="401">
        <f t="shared" si="214"/>
        <v>0</v>
      </c>
      <c r="J117" s="398">
        <f t="shared" si="214"/>
        <v>929</v>
      </c>
      <c r="K117" s="399">
        <f t="shared" si="214"/>
        <v>8</v>
      </c>
      <c r="L117" s="400">
        <f t="shared" si="215"/>
        <v>937</v>
      </c>
      <c r="M117" s="401">
        <f t="shared" si="216"/>
        <v>3</v>
      </c>
      <c r="N117" s="398">
        <f t="shared" si="216"/>
        <v>628</v>
      </c>
      <c r="O117" s="398">
        <f t="shared" si="216"/>
        <v>10</v>
      </c>
      <c r="P117" s="400">
        <f t="shared" si="217"/>
        <v>638</v>
      </c>
      <c r="Q117" s="401">
        <f t="shared" si="218"/>
        <v>0</v>
      </c>
      <c r="R117" s="398">
        <f t="shared" si="218"/>
        <v>502</v>
      </c>
      <c r="S117" s="399">
        <f t="shared" si="218"/>
        <v>16</v>
      </c>
      <c r="T117" s="400">
        <f t="shared" si="219"/>
        <v>518</v>
      </c>
      <c r="U117" s="401">
        <f t="shared" si="220"/>
        <v>2</v>
      </c>
      <c r="V117" s="398">
        <f t="shared" si="220"/>
        <v>481</v>
      </c>
      <c r="W117" s="399">
        <f t="shared" si="220"/>
        <v>14</v>
      </c>
      <c r="X117" s="400">
        <f t="shared" si="221"/>
        <v>495</v>
      </c>
      <c r="Y117" s="401">
        <f t="shared" si="222"/>
        <v>0</v>
      </c>
      <c r="Z117" s="398">
        <f t="shared" si="222"/>
        <v>359</v>
      </c>
      <c r="AA117" s="399">
        <f t="shared" si="222"/>
        <v>5</v>
      </c>
      <c r="AB117" s="400">
        <f t="shared" si="223"/>
        <v>364</v>
      </c>
      <c r="AC117" s="401">
        <f t="shared" si="224"/>
        <v>0</v>
      </c>
      <c r="AD117" s="398">
        <f t="shared" si="224"/>
        <v>448</v>
      </c>
      <c r="AE117" s="399">
        <f t="shared" si="224"/>
        <v>5</v>
      </c>
      <c r="AF117" s="400">
        <f t="shared" si="225"/>
        <v>453</v>
      </c>
      <c r="AG117" s="401">
        <f t="shared" si="226"/>
        <v>0</v>
      </c>
      <c r="AH117" s="398">
        <f t="shared" si="226"/>
        <v>0</v>
      </c>
      <c r="AI117" s="399">
        <f t="shared" si="226"/>
        <v>0</v>
      </c>
      <c r="AJ117" s="400">
        <f t="shared" si="227"/>
        <v>0</v>
      </c>
      <c r="AK117" s="401">
        <f t="shared" si="228"/>
        <v>0</v>
      </c>
      <c r="AL117" s="398">
        <f t="shared" si="228"/>
        <v>0</v>
      </c>
      <c r="AM117" s="399">
        <f t="shared" si="228"/>
        <v>0</v>
      </c>
      <c r="AN117" s="400">
        <f t="shared" si="229"/>
        <v>0</v>
      </c>
      <c r="AO117" s="401">
        <f t="shared" si="230"/>
        <v>0</v>
      </c>
      <c r="AP117" s="398">
        <f t="shared" si="230"/>
        <v>0</v>
      </c>
      <c r="AQ117" s="399">
        <f t="shared" si="230"/>
        <v>0</v>
      </c>
      <c r="AR117" s="400">
        <f t="shared" si="231"/>
        <v>0</v>
      </c>
      <c r="AS117" s="401">
        <f t="shared" si="232"/>
        <v>0</v>
      </c>
      <c r="AT117" s="398">
        <f t="shared" si="232"/>
        <v>0</v>
      </c>
      <c r="AU117" s="399">
        <f t="shared" si="232"/>
        <v>0</v>
      </c>
      <c r="AV117" s="400">
        <f t="shared" si="233"/>
        <v>0</v>
      </c>
      <c r="AW117" s="401">
        <f t="shared" si="234"/>
        <v>0</v>
      </c>
      <c r="AX117" s="432">
        <f t="shared" ref="AX117:AX125" si="235">B117+F117+J117+N117+R117+V117+Z117+AD117+AH117+AL117+AP117+AT117</f>
        <v>5672</v>
      </c>
      <c r="AY117" s="432">
        <f t="shared" ref="AY117:AY125" si="236">C117+G117+K117+O117+S117+W117+AA117+AE117+AI117+AM117+AQ117+AU117</f>
        <v>98</v>
      </c>
      <c r="AZ117" s="432">
        <f t="shared" ref="AZ117:AZ125" si="237">D117+H117+L117+P117+T117+X117+AB117+AF117+AJ117+AN117+AR117+AV117</f>
        <v>5770</v>
      </c>
      <c r="BA117" s="432">
        <f>E117+I117+M117+Q117+U117+Y117+AC117+AG117+AK117+AO117+AS117+AW117</f>
        <v>5</v>
      </c>
      <c r="BB117" s="435"/>
      <c r="BC117" s="395"/>
      <c r="BD117" s="395">
        <f t="shared" ref="BD117:BD126" si="238">AF117</f>
        <v>453</v>
      </c>
      <c r="BE117" s="395">
        <f t="shared" ref="BE117:BE125" si="239">AG117</f>
        <v>0</v>
      </c>
    </row>
    <row r="118" spans="1:73" ht="14.4" thickBot="1">
      <c r="A118" s="397" t="s">
        <v>8</v>
      </c>
      <c r="B118" s="398">
        <f t="shared" si="210"/>
        <v>1314</v>
      </c>
      <c r="C118" s="399">
        <f t="shared" si="210"/>
        <v>17</v>
      </c>
      <c r="D118" s="400">
        <f t="shared" si="211"/>
        <v>1331</v>
      </c>
      <c r="E118" s="401">
        <f t="shared" si="212"/>
        <v>5</v>
      </c>
      <c r="F118" s="398">
        <f t="shared" ref="F118:G120" si="240">F86+F54</f>
        <v>1557</v>
      </c>
      <c r="G118" s="398">
        <f t="shared" si="240"/>
        <v>30</v>
      </c>
      <c r="H118" s="400">
        <f>+F118+G118</f>
        <v>1587</v>
      </c>
      <c r="I118" s="401">
        <f t="shared" ref="I118:K120" si="241">I86+I54</f>
        <v>3</v>
      </c>
      <c r="J118" s="398">
        <f t="shared" si="241"/>
        <v>1496</v>
      </c>
      <c r="K118" s="399">
        <f t="shared" si="241"/>
        <v>15</v>
      </c>
      <c r="L118" s="400">
        <f>+J118+K118</f>
        <v>1511</v>
      </c>
      <c r="M118" s="401">
        <f>M86+M54</f>
        <v>1</v>
      </c>
      <c r="N118" s="398">
        <f t="shared" si="216"/>
        <v>918</v>
      </c>
      <c r="O118" s="398">
        <f t="shared" si="216"/>
        <v>4</v>
      </c>
      <c r="P118" s="400">
        <f t="shared" si="217"/>
        <v>922</v>
      </c>
      <c r="Q118" s="401">
        <f t="shared" si="218"/>
        <v>0</v>
      </c>
      <c r="R118" s="398">
        <f t="shared" si="218"/>
        <v>840</v>
      </c>
      <c r="S118" s="399">
        <f t="shared" si="218"/>
        <v>7</v>
      </c>
      <c r="T118" s="400">
        <f t="shared" si="219"/>
        <v>847</v>
      </c>
      <c r="U118" s="401">
        <f t="shared" si="220"/>
        <v>0</v>
      </c>
      <c r="V118" s="398">
        <f t="shared" si="220"/>
        <v>650</v>
      </c>
      <c r="W118" s="399">
        <f t="shared" si="220"/>
        <v>8</v>
      </c>
      <c r="X118" s="400">
        <f t="shared" si="221"/>
        <v>658</v>
      </c>
      <c r="Y118" s="401">
        <f t="shared" si="222"/>
        <v>0</v>
      </c>
      <c r="Z118" s="398">
        <f t="shared" si="222"/>
        <v>513</v>
      </c>
      <c r="AA118" s="399">
        <f t="shared" si="222"/>
        <v>5</v>
      </c>
      <c r="AB118" s="400">
        <f t="shared" si="223"/>
        <v>518</v>
      </c>
      <c r="AC118" s="401">
        <f t="shared" si="224"/>
        <v>0</v>
      </c>
      <c r="AD118" s="398">
        <f t="shared" si="224"/>
        <v>973</v>
      </c>
      <c r="AE118" s="399">
        <f t="shared" si="224"/>
        <v>8</v>
      </c>
      <c r="AF118" s="400">
        <f t="shared" si="225"/>
        <v>981</v>
      </c>
      <c r="AG118" s="401">
        <f t="shared" si="226"/>
        <v>0</v>
      </c>
      <c r="AH118" s="398">
        <f t="shared" si="226"/>
        <v>0</v>
      </c>
      <c r="AI118" s="399">
        <f t="shared" si="226"/>
        <v>0</v>
      </c>
      <c r="AJ118" s="400">
        <f t="shared" si="227"/>
        <v>0</v>
      </c>
      <c r="AK118" s="401">
        <f t="shared" si="228"/>
        <v>0</v>
      </c>
      <c r="AL118" s="398">
        <f t="shared" si="228"/>
        <v>0</v>
      </c>
      <c r="AM118" s="399">
        <f t="shared" si="228"/>
        <v>0</v>
      </c>
      <c r="AN118" s="400">
        <f t="shared" si="229"/>
        <v>0</v>
      </c>
      <c r="AO118" s="401">
        <f t="shared" si="230"/>
        <v>0</v>
      </c>
      <c r="AP118" s="398">
        <f t="shared" si="230"/>
        <v>0</v>
      </c>
      <c r="AQ118" s="399">
        <f t="shared" si="230"/>
        <v>0</v>
      </c>
      <c r="AR118" s="400">
        <f t="shared" si="231"/>
        <v>0</v>
      </c>
      <c r="AS118" s="401">
        <f t="shared" si="232"/>
        <v>0</v>
      </c>
      <c r="AT118" s="398">
        <f t="shared" si="232"/>
        <v>0</v>
      </c>
      <c r="AU118" s="399">
        <f t="shared" si="232"/>
        <v>0</v>
      </c>
      <c r="AV118" s="400">
        <f t="shared" si="233"/>
        <v>0</v>
      </c>
      <c r="AW118" s="401">
        <f t="shared" si="234"/>
        <v>0</v>
      </c>
      <c r="AX118" s="432">
        <f t="shared" si="235"/>
        <v>8261</v>
      </c>
      <c r="AY118" s="432">
        <f t="shared" si="236"/>
        <v>94</v>
      </c>
      <c r="AZ118" s="432">
        <f t="shared" si="237"/>
        <v>8355</v>
      </c>
      <c r="BA118" s="432">
        <f>E118+I118+M118+Q118+U118+Y118+AC118+AG118+AK118+AO118+AS118+AW118</f>
        <v>9</v>
      </c>
      <c r="BB118" s="435"/>
      <c r="BC118" s="395"/>
      <c r="BD118" s="395">
        <f t="shared" si="238"/>
        <v>981</v>
      </c>
      <c r="BE118" s="395">
        <f t="shared" si="239"/>
        <v>0</v>
      </c>
    </row>
    <row r="119" spans="1:73" ht="14.4" thickBot="1">
      <c r="A119" s="397" t="s">
        <v>4</v>
      </c>
      <c r="B119" s="398">
        <f t="shared" si="210"/>
        <v>2388</v>
      </c>
      <c r="C119" s="399">
        <f t="shared" si="210"/>
        <v>37</v>
      </c>
      <c r="D119" s="400">
        <f t="shared" si="211"/>
        <v>2425</v>
      </c>
      <c r="E119" s="401">
        <f t="shared" si="212"/>
        <v>0</v>
      </c>
      <c r="F119" s="398">
        <f t="shared" si="240"/>
        <v>2010</v>
      </c>
      <c r="G119" s="398">
        <f t="shared" si="240"/>
        <v>12</v>
      </c>
      <c r="H119" s="400">
        <f>+F119+G119</f>
        <v>2022</v>
      </c>
      <c r="I119" s="401">
        <f t="shared" si="241"/>
        <v>0</v>
      </c>
      <c r="J119" s="398">
        <f t="shared" si="241"/>
        <v>1320</v>
      </c>
      <c r="K119" s="399">
        <f t="shared" si="241"/>
        <v>14</v>
      </c>
      <c r="L119" s="400">
        <f>+J119+K119</f>
        <v>1334</v>
      </c>
      <c r="M119" s="401">
        <f>M87+M55</f>
        <v>1</v>
      </c>
      <c r="N119" s="398">
        <f t="shared" si="216"/>
        <v>1333</v>
      </c>
      <c r="O119" s="398">
        <f t="shared" si="216"/>
        <v>22</v>
      </c>
      <c r="P119" s="400">
        <f t="shared" si="217"/>
        <v>1355</v>
      </c>
      <c r="Q119" s="401">
        <f t="shared" si="218"/>
        <v>1</v>
      </c>
      <c r="R119" s="398">
        <f t="shared" si="218"/>
        <v>1372</v>
      </c>
      <c r="S119" s="399">
        <f t="shared" si="218"/>
        <v>10</v>
      </c>
      <c r="T119" s="400">
        <f t="shared" si="219"/>
        <v>1382</v>
      </c>
      <c r="U119" s="401">
        <f t="shared" si="220"/>
        <v>1</v>
      </c>
      <c r="V119" s="398">
        <f t="shared" si="220"/>
        <v>1427</v>
      </c>
      <c r="W119" s="399">
        <f t="shared" si="220"/>
        <v>5</v>
      </c>
      <c r="X119" s="400">
        <f t="shared" si="221"/>
        <v>1432</v>
      </c>
      <c r="Y119" s="401">
        <f t="shared" si="222"/>
        <v>1</v>
      </c>
      <c r="Z119" s="398">
        <f t="shared" si="222"/>
        <v>1305</v>
      </c>
      <c r="AA119" s="399">
        <f t="shared" si="222"/>
        <v>4</v>
      </c>
      <c r="AB119" s="400">
        <f t="shared" si="223"/>
        <v>1309</v>
      </c>
      <c r="AC119" s="401">
        <f t="shared" si="224"/>
        <v>3</v>
      </c>
      <c r="AD119" s="398">
        <f t="shared" si="224"/>
        <v>1038</v>
      </c>
      <c r="AE119" s="399">
        <f t="shared" si="224"/>
        <v>4</v>
      </c>
      <c r="AF119" s="400">
        <f t="shared" si="225"/>
        <v>1042</v>
      </c>
      <c r="AG119" s="401">
        <f t="shared" si="226"/>
        <v>0</v>
      </c>
      <c r="AH119" s="398">
        <f t="shared" si="226"/>
        <v>0</v>
      </c>
      <c r="AI119" s="399">
        <f t="shared" si="226"/>
        <v>0</v>
      </c>
      <c r="AJ119" s="400">
        <f t="shared" si="227"/>
        <v>0</v>
      </c>
      <c r="AK119" s="401">
        <f t="shared" si="228"/>
        <v>0</v>
      </c>
      <c r="AL119" s="398">
        <f t="shared" si="228"/>
        <v>0</v>
      </c>
      <c r="AM119" s="399">
        <f t="shared" si="228"/>
        <v>0</v>
      </c>
      <c r="AN119" s="400">
        <f t="shared" si="229"/>
        <v>0</v>
      </c>
      <c r="AO119" s="401">
        <f t="shared" si="230"/>
        <v>0</v>
      </c>
      <c r="AP119" s="398">
        <f t="shared" si="230"/>
        <v>0</v>
      </c>
      <c r="AQ119" s="399">
        <f t="shared" si="230"/>
        <v>0</v>
      </c>
      <c r="AR119" s="400">
        <f t="shared" si="231"/>
        <v>0</v>
      </c>
      <c r="AS119" s="401">
        <f t="shared" si="232"/>
        <v>0</v>
      </c>
      <c r="AT119" s="398">
        <f t="shared" si="232"/>
        <v>0</v>
      </c>
      <c r="AU119" s="399">
        <f t="shared" si="232"/>
        <v>0</v>
      </c>
      <c r="AV119" s="400">
        <f t="shared" si="233"/>
        <v>0</v>
      </c>
      <c r="AW119" s="401">
        <f t="shared" si="234"/>
        <v>0</v>
      </c>
      <c r="AX119" s="432">
        <f t="shared" si="235"/>
        <v>12193</v>
      </c>
      <c r="AY119" s="432">
        <f t="shared" si="236"/>
        <v>108</v>
      </c>
      <c r="AZ119" s="432">
        <f t="shared" si="237"/>
        <v>12301</v>
      </c>
      <c r="BA119" s="432">
        <f>E119+I119+M119+Q119+U119+Y119+AC119+AG119+AK119+AO119+AS119+AW119</f>
        <v>7</v>
      </c>
      <c r="BB119" s="435"/>
      <c r="BC119" s="395"/>
      <c r="BD119" s="395">
        <f t="shared" si="238"/>
        <v>1042</v>
      </c>
      <c r="BE119" s="395">
        <f t="shared" si="239"/>
        <v>0</v>
      </c>
    </row>
    <row r="120" spans="1:73" ht="14.4" thickBot="1">
      <c r="A120" s="397" t="s">
        <v>3</v>
      </c>
      <c r="B120" s="398">
        <f t="shared" si="210"/>
        <v>623</v>
      </c>
      <c r="C120" s="399">
        <f t="shared" si="210"/>
        <v>10</v>
      </c>
      <c r="D120" s="400">
        <f t="shared" si="211"/>
        <v>633</v>
      </c>
      <c r="E120" s="401">
        <f t="shared" si="212"/>
        <v>0</v>
      </c>
      <c r="F120" s="398">
        <f t="shared" si="240"/>
        <v>659</v>
      </c>
      <c r="G120" s="398">
        <f t="shared" si="240"/>
        <v>8</v>
      </c>
      <c r="H120" s="400">
        <f>+F120+G120</f>
        <v>667</v>
      </c>
      <c r="I120" s="401">
        <f t="shared" si="241"/>
        <v>0</v>
      </c>
      <c r="J120" s="398">
        <f t="shared" si="241"/>
        <v>374</v>
      </c>
      <c r="K120" s="399">
        <f t="shared" si="241"/>
        <v>23</v>
      </c>
      <c r="L120" s="400">
        <f>+J120+K120</f>
        <v>397</v>
      </c>
      <c r="M120" s="401">
        <f>M88+M56</f>
        <v>0</v>
      </c>
      <c r="N120" s="398">
        <f t="shared" si="216"/>
        <v>287</v>
      </c>
      <c r="O120" s="398">
        <f t="shared" si="216"/>
        <v>3</v>
      </c>
      <c r="P120" s="400">
        <f t="shared" si="217"/>
        <v>290</v>
      </c>
      <c r="Q120" s="401">
        <f t="shared" si="218"/>
        <v>0</v>
      </c>
      <c r="R120" s="398">
        <f t="shared" si="218"/>
        <v>380</v>
      </c>
      <c r="S120" s="399">
        <f t="shared" si="218"/>
        <v>9</v>
      </c>
      <c r="T120" s="400">
        <f t="shared" si="219"/>
        <v>389</v>
      </c>
      <c r="U120" s="401">
        <f t="shared" si="220"/>
        <v>2</v>
      </c>
      <c r="V120" s="398">
        <f t="shared" si="220"/>
        <v>383</v>
      </c>
      <c r="W120" s="399">
        <f t="shared" si="220"/>
        <v>2</v>
      </c>
      <c r="X120" s="400">
        <f t="shared" si="221"/>
        <v>385</v>
      </c>
      <c r="Y120" s="401">
        <f t="shared" si="222"/>
        <v>0</v>
      </c>
      <c r="Z120" s="398">
        <f t="shared" si="222"/>
        <v>395</v>
      </c>
      <c r="AA120" s="399">
        <f t="shared" si="222"/>
        <v>6</v>
      </c>
      <c r="AB120" s="400">
        <f t="shared" si="223"/>
        <v>401</v>
      </c>
      <c r="AC120" s="401">
        <f t="shared" si="224"/>
        <v>0</v>
      </c>
      <c r="AD120" s="398">
        <f t="shared" si="224"/>
        <v>474</v>
      </c>
      <c r="AE120" s="399">
        <f t="shared" si="224"/>
        <v>0</v>
      </c>
      <c r="AF120" s="400">
        <f t="shared" si="225"/>
        <v>474</v>
      </c>
      <c r="AG120" s="401">
        <f t="shared" si="226"/>
        <v>0</v>
      </c>
      <c r="AH120" s="398">
        <f t="shared" si="226"/>
        <v>0</v>
      </c>
      <c r="AI120" s="399">
        <f t="shared" si="226"/>
        <v>0</v>
      </c>
      <c r="AJ120" s="400">
        <f t="shared" si="227"/>
        <v>0</v>
      </c>
      <c r="AK120" s="401">
        <f t="shared" si="228"/>
        <v>0</v>
      </c>
      <c r="AL120" s="398">
        <f t="shared" si="228"/>
        <v>0</v>
      </c>
      <c r="AM120" s="399">
        <f t="shared" si="228"/>
        <v>0</v>
      </c>
      <c r="AN120" s="400">
        <f t="shared" si="229"/>
        <v>0</v>
      </c>
      <c r="AO120" s="401">
        <f t="shared" si="230"/>
        <v>0</v>
      </c>
      <c r="AP120" s="398">
        <f t="shared" si="230"/>
        <v>0</v>
      </c>
      <c r="AQ120" s="399">
        <f t="shared" si="230"/>
        <v>0</v>
      </c>
      <c r="AR120" s="400">
        <f t="shared" si="231"/>
        <v>0</v>
      </c>
      <c r="AS120" s="401">
        <f t="shared" si="232"/>
        <v>0</v>
      </c>
      <c r="AT120" s="398">
        <f t="shared" si="232"/>
        <v>0</v>
      </c>
      <c r="AU120" s="399">
        <f t="shared" si="232"/>
        <v>0</v>
      </c>
      <c r="AV120" s="400">
        <f t="shared" si="233"/>
        <v>0</v>
      </c>
      <c r="AW120" s="401">
        <f t="shared" si="234"/>
        <v>0</v>
      </c>
      <c r="AX120" s="432">
        <f t="shared" si="235"/>
        <v>3575</v>
      </c>
      <c r="AY120" s="432">
        <f t="shared" si="236"/>
        <v>61</v>
      </c>
      <c r="AZ120" s="432">
        <f t="shared" si="237"/>
        <v>3636</v>
      </c>
      <c r="BA120" s="432">
        <f t="shared" ref="BA120:BA125" si="242">E120+I120+M120+Q120+U120+Y120+AC120+AG120+AK120+AO120+AS120+AW120</f>
        <v>2</v>
      </c>
      <c r="BB120" s="435"/>
      <c r="BC120" s="395"/>
      <c r="BD120" s="395">
        <f t="shared" si="238"/>
        <v>474</v>
      </c>
      <c r="BE120" s="395">
        <f t="shared" si="239"/>
        <v>0</v>
      </c>
    </row>
    <row r="121" spans="1:73" ht="14.4" thickBot="1">
      <c r="A121" s="397" t="s">
        <v>397</v>
      </c>
      <c r="B121" s="398">
        <f t="shared" si="210"/>
        <v>893</v>
      </c>
      <c r="C121" s="399">
        <f t="shared" si="210"/>
        <v>7</v>
      </c>
      <c r="D121" s="400">
        <f t="shared" si="211"/>
        <v>900</v>
      </c>
      <c r="E121" s="401">
        <f t="shared" si="212"/>
        <v>0</v>
      </c>
      <c r="F121" s="398">
        <f t="shared" si="212"/>
        <v>601</v>
      </c>
      <c r="G121" s="398">
        <f t="shared" si="212"/>
        <v>5</v>
      </c>
      <c r="H121" s="400">
        <f t="shared" si="213"/>
        <v>606</v>
      </c>
      <c r="I121" s="401">
        <f t="shared" si="214"/>
        <v>0</v>
      </c>
      <c r="J121" s="398">
        <f t="shared" si="214"/>
        <v>1298</v>
      </c>
      <c r="K121" s="399">
        <f t="shared" si="214"/>
        <v>3</v>
      </c>
      <c r="L121" s="400">
        <f t="shared" si="215"/>
        <v>1301</v>
      </c>
      <c r="M121" s="401">
        <f t="shared" si="216"/>
        <v>1</v>
      </c>
      <c r="N121" s="398">
        <f t="shared" si="216"/>
        <v>768</v>
      </c>
      <c r="O121" s="398">
        <f t="shared" si="216"/>
        <v>1</v>
      </c>
      <c r="P121" s="400">
        <f t="shared" si="217"/>
        <v>769</v>
      </c>
      <c r="Q121" s="401">
        <f t="shared" si="218"/>
        <v>0</v>
      </c>
      <c r="R121" s="398">
        <f t="shared" si="218"/>
        <v>722</v>
      </c>
      <c r="S121" s="399">
        <f t="shared" si="218"/>
        <v>7</v>
      </c>
      <c r="T121" s="400">
        <f t="shared" si="219"/>
        <v>729</v>
      </c>
      <c r="U121" s="401">
        <f t="shared" si="220"/>
        <v>2</v>
      </c>
      <c r="V121" s="398">
        <f t="shared" si="220"/>
        <v>466</v>
      </c>
      <c r="W121" s="399">
        <f t="shared" si="220"/>
        <v>2</v>
      </c>
      <c r="X121" s="400">
        <f t="shared" si="221"/>
        <v>468</v>
      </c>
      <c r="Y121" s="401">
        <f t="shared" si="222"/>
        <v>0</v>
      </c>
      <c r="Z121" s="398">
        <f t="shared" si="222"/>
        <v>655</v>
      </c>
      <c r="AA121" s="399">
        <f t="shared" si="222"/>
        <v>2</v>
      </c>
      <c r="AB121" s="400">
        <f t="shared" si="223"/>
        <v>657</v>
      </c>
      <c r="AC121" s="401">
        <f t="shared" si="224"/>
        <v>1</v>
      </c>
      <c r="AD121" s="398">
        <f t="shared" si="224"/>
        <v>576</v>
      </c>
      <c r="AE121" s="399">
        <f t="shared" si="224"/>
        <v>1</v>
      </c>
      <c r="AF121" s="400">
        <f t="shared" si="225"/>
        <v>577</v>
      </c>
      <c r="AG121" s="401">
        <f t="shared" si="226"/>
        <v>0</v>
      </c>
      <c r="AH121" s="398">
        <f t="shared" si="226"/>
        <v>0</v>
      </c>
      <c r="AI121" s="399">
        <f t="shared" si="226"/>
        <v>0</v>
      </c>
      <c r="AJ121" s="400">
        <f t="shared" si="227"/>
        <v>0</v>
      </c>
      <c r="AK121" s="401">
        <f t="shared" si="228"/>
        <v>0</v>
      </c>
      <c r="AL121" s="398">
        <f t="shared" si="228"/>
        <v>0</v>
      </c>
      <c r="AM121" s="399">
        <f t="shared" si="228"/>
        <v>0</v>
      </c>
      <c r="AN121" s="400">
        <f t="shared" si="229"/>
        <v>0</v>
      </c>
      <c r="AO121" s="401">
        <f t="shared" si="230"/>
        <v>0</v>
      </c>
      <c r="AP121" s="398">
        <f t="shared" si="230"/>
        <v>0</v>
      </c>
      <c r="AQ121" s="399">
        <f t="shared" si="230"/>
        <v>0</v>
      </c>
      <c r="AR121" s="400">
        <f t="shared" si="231"/>
        <v>0</v>
      </c>
      <c r="AS121" s="401">
        <f t="shared" si="232"/>
        <v>0</v>
      </c>
      <c r="AT121" s="398">
        <f t="shared" si="232"/>
        <v>0</v>
      </c>
      <c r="AU121" s="399">
        <f t="shared" si="232"/>
        <v>0</v>
      </c>
      <c r="AV121" s="400">
        <f t="shared" si="233"/>
        <v>0</v>
      </c>
      <c r="AW121" s="401">
        <f t="shared" si="234"/>
        <v>0</v>
      </c>
      <c r="AX121" s="432">
        <f t="shared" si="235"/>
        <v>5979</v>
      </c>
      <c r="AY121" s="432">
        <f t="shared" si="236"/>
        <v>28</v>
      </c>
      <c r="AZ121" s="432">
        <f t="shared" si="237"/>
        <v>6007</v>
      </c>
      <c r="BA121" s="432">
        <f t="shared" si="242"/>
        <v>4</v>
      </c>
      <c r="BB121" s="435"/>
      <c r="BC121" s="395"/>
      <c r="BD121" s="395">
        <f t="shared" si="238"/>
        <v>577</v>
      </c>
      <c r="BE121" s="395">
        <f t="shared" si="239"/>
        <v>0</v>
      </c>
    </row>
    <row r="122" spans="1:73" ht="14.4" thickBot="1">
      <c r="A122" s="397" t="s">
        <v>399</v>
      </c>
      <c r="B122" s="398">
        <f t="shared" si="210"/>
        <v>1649</v>
      </c>
      <c r="C122" s="399">
        <f t="shared" si="210"/>
        <v>13</v>
      </c>
      <c r="D122" s="400">
        <f t="shared" si="211"/>
        <v>1662</v>
      </c>
      <c r="E122" s="401">
        <f t="shared" si="212"/>
        <v>0</v>
      </c>
      <c r="F122" s="398">
        <f t="shared" si="212"/>
        <v>1538</v>
      </c>
      <c r="G122" s="398">
        <f t="shared" si="212"/>
        <v>9</v>
      </c>
      <c r="H122" s="400">
        <f t="shared" si="213"/>
        <v>1547</v>
      </c>
      <c r="I122" s="401">
        <f t="shared" si="214"/>
        <v>0</v>
      </c>
      <c r="J122" s="398">
        <f t="shared" si="214"/>
        <v>1382</v>
      </c>
      <c r="K122" s="399">
        <f t="shared" si="214"/>
        <v>6</v>
      </c>
      <c r="L122" s="400">
        <f t="shared" si="215"/>
        <v>1388</v>
      </c>
      <c r="M122" s="401">
        <f t="shared" si="216"/>
        <v>1</v>
      </c>
      <c r="N122" s="398">
        <f t="shared" si="216"/>
        <v>1245</v>
      </c>
      <c r="O122" s="398">
        <f t="shared" si="216"/>
        <v>5</v>
      </c>
      <c r="P122" s="400">
        <f t="shared" si="217"/>
        <v>1250</v>
      </c>
      <c r="Q122" s="401">
        <f t="shared" si="218"/>
        <v>1</v>
      </c>
      <c r="R122" s="398">
        <f t="shared" si="218"/>
        <v>1167</v>
      </c>
      <c r="S122" s="399">
        <f t="shared" si="218"/>
        <v>9</v>
      </c>
      <c r="T122" s="400">
        <f t="shared" si="219"/>
        <v>1176</v>
      </c>
      <c r="U122" s="401">
        <f t="shared" si="220"/>
        <v>2</v>
      </c>
      <c r="V122" s="398">
        <f t="shared" si="220"/>
        <v>1421</v>
      </c>
      <c r="W122" s="399">
        <f t="shared" si="220"/>
        <v>1</v>
      </c>
      <c r="X122" s="400">
        <f t="shared" si="221"/>
        <v>1422</v>
      </c>
      <c r="Y122" s="401">
        <f t="shared" si="222"/>
        <v>1</v>
      </c>
      <c r="Z122" s="398">
        <f t="shared" si="222"/>
        <v>1290</v>
      </c>
      <c r="AA122" s="399">
        <f t="shared" si="222"/>
        <v>1</v>
      </c>
      <c r="AB122" s="400">
        <f t="shared" si="223"/>
        <v>1291</v>
      </c>
      <c r="AC122" s="401">
        <f t="shared" si="224"/>
        <v>2</v>
      </c>
      <c r="AD122" s="398">
        <f t="shared" si="224"/>
        <v>942</v>
      </c>
      <c r="AE122" s="399">
        <f t="shared" si="224"/>
        <v>1</v>
      </c>
      <c r="AF122" s="400">
        <f t="shared" si="225"/>
        <v>943</v>
      </c>
      <c r="AG122" s="401">
        <f t="shared" si="226"/>
        <v>2</v>
      </c>
      <c r="AH122" s="398">
        <f t="shared" si="226"/>
        <v>0</v>
      </c>
      <c r="AI122" s="399">
        <f t="shared" si="226"/>
        <v>0</v>
      </c>
      <c r="AJ122" s="400">
        <f t="shared" si="227"/>
        <v>0</v>
      </c>
      <c r="AK122" s="401">
        <f t="shared" si="228"/>
        <v>0</v>
      </c>
      <c r="AL122" s="398">
        <f t="shared" si="228"/>
        <v>0</v>
      </c>
      <c r="AM122" s="399">
        <f t="shared" si="228"/>
        <v>0</v>
      </c>
      <c r="AN122" s="400">
        <f t="shared" si="229"/>
        <v>0</v>
      </c>
      <c r="AO122" s="401">
        <f t="shared" si="230"/>
        <v>0</v>
      </c>
      <c r="AP122" s="398">
        <f t="shared" si="230"/>
        <v>0</v>
      </c>
      <c r="AQ122" s="399">
        <f t="shared" si="230"/>
        <v>0</v>
      </c>
      <c r="AR122" s="400">
        <f t="shared" si="231"/>
        <v>0</v>
      </c>
      <c r="AS122" s="401">
        <f t="shared" si="232"/>
        <v>0</v>
      </c>
      <c r="AT122" s="398">
        <f t="shared" si="232"/>
        <v>0</v>
      </c>
      <c r="AU122" s="399">
        <f t="shared" si="232"/>
        <v>0</v>
      </c>
      <c r="AV122" s="400">
        <f t="shared" si="233"/>
        <v>0</v>
      </c>
      <c r="AW122" s="401">
        <f t="shared" si="234"/>
        <v>0</v>
      </c>
      <c r="AX122" s="432">
        <f t="shared" si="235"/>
        <v>10634</v>
      </c>
      <c r="AY122" s="432">
        <f t="shared" si="236"/>
        <v>45</v>
      </c>
      <c r="AZ122" s="432">
        <f t="shared" si="237"/>
        <v>10679</v>
      </c>
      <c r="BA122" s="432">
        <f t="shared" si="242"/>
        <v>9</v>
      </c>
      <c r="BB122" s="435"/>
      <c r="BC122" s="395"/>
      <c r="BD122" s="395">
        <f t="shared" si="238"/>
        <v>943</v>
      </c>
      <c r="BE122" s="395">
        <f t="shared" si="239"/>
        <v>2</v>
      </c>
    </row>
    <row r="123" spans="1:73" ht="14.4" thickBot="1">
      <c r="A123" s="397" t="s">
        <v>883</v>
      </c>
      <c r="B123" s="398">
        <f t="shared" si="210"/>
        <v>582</v>
      </c>
      <c r="C123" s="399">
        <f t="shared" si="210"/>
        <v>6</v>
      </c>
      <c r="D123" s="400">
        <f t="shared" si="211"/>
        <v>588</v>
      </c>
      <c r="E123" s="401">
        <f t="shared" si="212"/>
        <v>0</v>
      </c>
      <c r="F123" s="398">
        <f t="shared" si="212"/>
        <v>697</v>
      </c>
      <c r="G123" s="398">
        <f t="shared" si="212"/>
        <v>4</v>
      </c>
      <c r="H123" s="400">
        <f t="shared" si="213"/>
        <v>701</v>
      </c>
      <c r="I123" s="401">
        <f t="shared" si="214"/>
        <v>0</v>
      </c>
      <c r="J123" s="398">
        <f t="shared" si="214"/>
        <v>938</v>
      </c>
      <c r="K123" s="399">
        <f t="shared" si="214"/>
        <v>4</v>
      </c>
      <c r="L123" s="400">
        <f t="shared" si="215"/>
        <v>942</v>
      </c>
      <c r="M123" s="401">
        <f t="shared" si="216"/>
        <v>1</v>
      </c>
      <c r="N123" s="398">
        <f t="shared" si="216"/>
        <v>337</v>
      </c>
      <c r="O123" s="398">
        <f t="shared" si="216"/>
        <v>5</v>
      </c>
      <c r="P123" s="400">
        <f t="shared" si="217"/>
        <v>342</v>
      </c>
      <c r="Q123" s="401">
        <f t="shared" si="218"/>
        <v>1</v>
      </c>
      <c r="R123" s="398">
        <f t="shared" si="218"/>
        <v>631</v>
      </c>
      <c r="S123" s="399">
        <f t="shared" si="218"/>
        <v>3</v>
      </c>
      <c r="T123" s="400">
        <f t="shared" si="219"/>
        <v>634</v>
      </c>
      <c r="U123" s="401">
        <f t="shared" si="220"/>
        <v>1</v>
      </c>
      <c r="V123" s="398">
        <f t="shared" si="220"/>
        <v>659</v>
      </c>
      <c r="W123" s="399">
        <f t="shared" si="220"/>
        <v>0</v>
      </c>
      <c r="X123" s="400">
        <f t="shared" si="221"/>
        <v>659</v>
      </c>
      <c r="Y123" s="401">
        <f t="shared" si="222"/>
        <v>1</v>
      </c>
      <c r="Z123" s="398">
        <f t="shared" si="222"/>
        <v>459</v>
      </c>
      <c r="AA123" s="399">
        <f t="shared" si="222"/>
        <v>5</v>
      </c>
      <c r="AB123" s="400">
        <f t="shared" si="223"/>
        <v>464</v>
      </c>
      <c r="AC123" s="401">
        <f t="shared" si="224"/>
        <v>0</v>
      </c>
      <c r="AD123" s="398">
        <f t="shared" si="224"/>
        <v>361</v>
      </c>
      <c r="AE123" s="399">
        <f t="shared" si="224"/>
        <v>0</v>
      </c>
      <c r="AF123" s="400">
        <f t="shared" si="225"/>
        <v>361</v>
      </c>
      <c r="AG123" s="401">
        <f t="shared" si="226"/>
        <v>0</v>
      </c>
      <c r="AH123" s="398">
        <f t="shared" si="226"/>
        <v>0</v>
      </c>
      <c r="AI123" s="399">
        <f t="shared" si="226"/>
        <v>0</v>
      </c>
      <c r="AJ123" s="400">
        <f t="shared" si="227"/>
        <v>0</v>
      </c>
      <c r="AK123" s="401">
        <f t="shared" si="228"/>
        <v>0</v>
      </c>
      <c r="AL123" s="398">
        <f t="shared" si="228"/>
        <v>0</v>
      </c>
      <c r="AM123" s="399">
        <f t="shared" si="228"/>
        <v>0</v>
      </c>
      <c r="AN123" s="400">
        <f t="shared" si="229"/>
        <v>0</v>
      </c>
      <c r="AO123" s="401">
        <f t="shared" si="230"/>
        <v>0</v>
      </c>
      <c r="AP123" s="398">
        <f t="shared" si="230"/>
        <v>0</v>
      </c>
      <c r="AQ123" s="399">
        <f t="shared" si="230"/>
        <v>0</v>
      </c>
      <c r="AR123" s="400">
        <f t="shared" si="231"/>
        <v>0</v>
      </c>
      <c r="AS123" s="401">
        <f t="shared" si="232"/>
        <v>0</v>
      </c>
      <c r="AT123" s="398">
        <f t="shared" si="232"/>
        <v>0</v>
      </c>
      <c r="AU123" s="399">
        <f t="shared" si="232"/>
        <v>0</v>
      </c>
      <c r="AV123" s="400">
        <f t="shared" si="233"/>
        <v>0</v>
      </c>
      <c r="AW123" s="401">
        <f t="shared" si="234"/>
        <v>0</v>
      </c>
      <c r="AX123" s="432">
        <f t="shared" si="235"/>
        <v>4664</v>
      </c>
      <c r="AY123" s="432">
        <f t="shared" si="236"/>
        <v>27</v>
      </c>
      <c r="AZ123" s="432">
        <f t="shared" si="237"/>
        <v>4691</v>
      </c>
      <c r="BA123" s="432">
        <f t="shared" si="242"/>
        <v>4</v>
      </c>
      <c r="BB123" s="435"/>
      <c r="BC123" s="395"/>
      <c r="BD123" s="395">
        <f t="shared" si="238"/>
        <v>361</v>
      </c>
      <c r="BE123" s="395">
        <f t="shared" si="239"/>
        <v>0</v>
      </c>
    </row>
    <row r="124" spans="1:73" ht="14.4" thickBot="1">
      <c r="A124" s="397" t="s">
        <v>884</v>
      </c>
      <c r="B124" s="398">
        <f t="shared" si="210"/>
        <v>1497</v>
      </c>
      <c r="C124" s="399">
        <f t="shared" si="210"/>
        <v>25</v>
      </c>
      <c r="D124" s="400">
        <f t="shared" si="211"/>
        <v>1522</v>
      </c>
      <c r="E124" s="401">
        <f t="shared" si="212"/>
        <v>0</v>
      </c>
      <c r="F124" s="398">
        <f t="shared" si="212"/>
        <v>1637</v>
      </c>
      <c r="G124" s="398">
        <f t="shared" si="212"/>
        <v>19</v>
      </c>
      <c r="H124" s="400">
        <f t="shared" si="213"/>
        <v>1656</v>
      </c>
      <c r="I124" s="401">
        <f t="shared" si="214"/>
        <v>0</v>
      </c>
      <c r="J124" s="398">
        <f t="shared" si="214"/>
        <v>1509</v>
      </c>
      <c r="K124" s="399">
        <f t="shared" si="214"/>
        <v>13</v>
      </c>
      <c r="L124" s="400">
        <f t="shared" si="215"/>
        <v>1522</v>
      </c>
      <c r="M124" s="401">
        <f t="shared" si="216"/>
        <v>1</v>
      </c>
      <c r="N124" s="398">
        <f t="shared" si="216"/>
        <v>822</v>
      </c>
      <c r="O124" s="398">
        <f t="shared" si="216"/>
        <v>27</v>
      </c>
      <c r="P124" s="400">
        <f t="shared" si="217"/>
        <v>849</v>
      </c>
      <c r="Q124" s="401">
        <f t="shared" si="218"/>
        <v>1</v>
      </c>
      <c r="R124" s="398">
        <f t="shared" si="218"/>
        <v>927</v>
      </c>
      <c r="S124" s="399">
        <f t="shared" si="218"/>
        <v>9</v>
      </c>
      <c r="T124" s="400">
        <f t="shared" si="219"/>
        <v>936</v>
      </c>
      <c r="U124" s="401">
        <f t="shared" si="220"/>
        <v>0</v>
      </c>
      <c r="V124" s="398">
        <f t="shared" si="220"/>
        <v>549</v>
      </c>
      <c r="W124" s="399">
        <f t="shared" si="220"/>
        <v>1</v>
      </c>
      <c r="X124" s="400">
        <f t="shared" si="221"/>
        <v>550</v>
      </c>
      <c r="Y124" s="401">
        <f t="shared" si="222"/>
        <v>0</v>
      </c>
      <c r="Z124" s="398">
        <f t="shared" si="222"/>
        <v>671</v>
      </c>
      <c r="AA124" s="399">
        <f t="shared" si="222"/>
        <v>5</v>
      </c>
      <c r="AB124" s="400">
        <f t="shared" si="223"/>
        <v>676</v>
      </c>
      <c r="AC124" s="401">
        <f t="shared" si="224"/>
        <v>1</v>
      </c>
      <c r="AD124" s="398">
        <f t="shared" si="224"/>
        <v>1283</v>
      </c>
      <c r="AE124" s="399">
        <f t="shared" si="224"/>
        <v>4</v>
      </c>
      <c r="AF124" s="400">
        <f t="shared" si="225"/>
        <v>1287</v>
      </c>
      <c r="AG124" s="401">
        <f t="shared" si="226"/>
        <v>2</v>
      </c>
      <c r="AH124" s="398">
        <f t="shared" si="226"/>
        <v>0</v>
      </c>
      <c r="AI124" s="399">
        <f t="shared" si="226"/>
        <v>0</v>
      </c>
      <c r="AJ124" s="400">
        <f t="shared" si="227"/>
        <v>0</v>
      </c>
      <c r="AK124" s="401">
        <f t="shared" si="228"/>
        <v>0</v>
      </c>
      <c r="AL124" s="398">
        <f t="shared" si="228"/>
        <v>0</v>
      </c>
      <c r="AM124" s="399">
        <f t="shared" si="228"/>
        <v>0</v>
      </c>
      <c r="AN124" s="400">
        <f t="shared" si="229"/>
        <v>0</v>
      </c>
      <c r="AO124" s="401">
        <f t="shared" si="230"/>
        <v>0</v>
      </c>
      <c r="AP124" s="398">
        <f t="shared" si="230"/>
        <v>0</v>
      </c>
      <c r="AQ124" s="399">
        <f t="shared" si="230"/>
        <v>0</v>
      </c>
      <c r="AR124" s="400">
        <f t="shared" si="231"/>
        <v>0</v>
      </c>
      <c r="AS124" s="401">
        <f t="shared" si="232"/>
        <v>0</v>
      </c>
      <c r="AT124" s="398">
        <f t="shared" si="232"/>
        <v>0</v>
      </c>
      <c r="AU124" s="399">
        <f t="shared" si="232"/>
        <v>0</v>
      </c>
      <c r="AV124" s="400">
        <f t="shared" si="233"/>
        <v>0</v>
      </c>
      <c r="AW124" s="401">
        <f t="shared" si="234"/>
        <v>0</v>
      </c>
      <c r="AX124" s="432">
        <f t="shared" si="235"/>
        <v>8895</v>
      </c>
      <c r="AY124" s="432">
        <f t="shared" si="236"/>
        <v>103</v>
      </c>
      <c r="AZ124" s="432">
        <f t="shared" si="237"/>
        <v>8998</v>
      </c>
      <c r="BA124" s="432">
        <f t="shared" si="242"/>
        <v>5</v>
      </c>
      <c r="BB124" s="435"/>
      <c r="BC124" s="395"/>
      <c r="BD124" s="395">
        <f t="shared" si="238"/>
        <v>1287</v>
      </c>
      <c r="BE124" s="395">
        <f t="shared" si="239"/>
        <v>2</v>
      </c>
    </row>
    <row r="125" spans="1:73" ht="14.4" thickBot="1">
      <c r="A125" s="397" t="s">
        <v>885</v>
      </c>
      <c r="B125" s="398">
        <f t="shared" si="210"/>
        <v>483</v>
      </c>
      <c r="C125" s="399">
        <f t="shared" si="210"/>
        <v>10</v>
      </c>
      <c r="D125" s="400">
        <f t="shared" si="211"/>
        <v>493</v>
      </c>
      <c r="E125" s="401">
        <f t="shared" si="212"/>
        <v>0</v>
      </c>
      <c r="F125" s="398">
        <f t="shared" si="212"/>
        <v>758</v>
      </c>
      <c r="G125" s="398">
        <f t="shared" si="212"/>
        <v>4</v>
      </c>
      <c r="H125" s="400">
        <f t="shared" si="213"/>
        <v>762</v>
      </c>
      <c r="I125" s="401">
        <f t="shared" si="214"/>
        <v>0</v>
      </c>
      <c r="J125" s="398">
        <f>J93+J61</f>
        <v>870</v>
      </c>
      <c r="K125" s="399">
        <f t="shared" si="214"/>
        <v>3</v>
      </c>
      <c r="L125" s="400">
        <f t="shared" si="215"/>
        <v>873</v>
      </c>
      <c r="M125" s="401">
        <f t="shared" si="216"/>
        <v>0</v>
      </c>
      <c r="N125" s="398">
        <f t="shared" si="216"/>
        <v>911</v>
      </c>
      <c r="O125" s="398">
        <f t="shared" si="216"/>
        <v>4</v>
      </c>
      <c r="P125" s="400">
        <f t="shared" si="217"/>
        <v>915</v>
      </c>
      <c r="Q125" s="401">
        <f t="shared" si="218"/>
        <v>0</v>
      </c>
      <c r="R125" s="398">
        <f t="shared" si="218"/>
        <v>927</v>
      </c>
      <c r="S125" s="399">
        <f t="shared" si="218"/>
        <v>-1</v>
      </c>
      <c r="T125" s="400">
        <f t="shared" si="219"/>
        <v>926</v>
      </c>
      <c r="U125" s="401">
        <f t="shared" si="220"/>
        <v>1</v>
      </c>
      <c r="V125" s="398">
        <f t="shared" si="220"/>
        <v>299</v>
      </c>
      <c r="W125" s="399">
        <f t="shared" si="220"/>
        <v>6</v>
      </c>
      <c r="X125" s="400">
        <f t="shared" si="221"/>
        <v>305</v>
      </c>
      <c r="Y125" s="401">
        <f t="shared" si="222"/>
        <v>0</v>
      </c>
      <c r="Z125" s="398">
        <f t="shared" si="222"/>
        <v>225</v>
      </c>
      <c r="AA125" s="399">
        <f t="shared" si="222"/>
        <v>0</v>
      </c>
      <c r="AB125" s="400">
        <f t="shared" si="223"/>
        <v>225</v>
      </c>
      <c r="AC125" s="401">
        <f t="shared" si="224"/>
        <v>0</v>
      </c>
      <c r="AD125" s="398">
        <f t="shared" si="224"/>
        <v>181</v>
      </c>
      <c r="AE125" s="399">
        <f t="shared" si="224"/>
        <v>2</v>
      </c>
      <c r="AF125" s="400">
        <f t="shared" si="225"/>
        <v>183</v>
      </c>
      <c r="AG125" s="401">
        <f t="shared" si="226"/>
        <v>0</v>
      </c>
      <c r="AH125" s="398">
        <f t="shared" si="226"/>
        <v>0</v>
      </c>
      <c r="AI125" s="399">
        <f t="shared" si="226"/>
        <v>0</v>
      </c>
      <c r="AJ125" s="400">
        <f t="shared" si="227"/>
        <v>0</v>
      </c>
      <c r="AK125" s="401">
        <f t="shared" si="228"/>
        <v>0</v>
      </c>
      <c r="AL125" s="398">
        <f t="shared" si="228"/>
        <v>0</v>
      </c>
      <c r="AM125" s="399">
        <f t="shared" si="228"/>
        <v>0</v>
      </c>
      <c r="AN125" s="400">
        <f t="shared" si="229"/>
        <v>0</v>
      </c>
      <c r="AO125" s="401">
        <f t="shared" si="230"/>
        <v>0</v>
      </c>
      <c r="AP125" s="398">
        <f t="shared" si="230"/>
        <v>0</v>
      </c>
      <c r="AQ125" s="399">
        <f t="shared" si="230"/>
        <v>0</v>
      </c>
      <c r="AR125" s="400">
        <f t="shared" si="231"/>
        <v>0</v>
      </c>
      <c r="AS125" s="401">
        <f t="shared" si="232"/>
        <v>0</v>
      </c>
      <c r="AT125" s="398">
        <f t="shared" si="232"/>
        <v>0</v>
      </c>
      <c r="AU125" s="399">
        <f t="shared" si="232"/>
        <v>0</v>
      </c>
      <c r="AV125" s="400">
        <f t="shared" si="233"/>
        <v>0</v>
      </c>
      <c r="AW125" s="401">
        <f t="shared" si="234"/>
        <v>0</v>
      </c>
      <c r="AX125" s="432">
        <f t="shared" si="235"/>
        <v>4654</v>
      </c>
      <c r="AY125" s="432">
        <f t="shared" si="236"/>
        <v>28</v>
      </c>
      <c r="AZ125" s="432">
        <f t="shared" si="237"/>
        <v>4682</v>
      </c>
      <c r="BA125" s="432">
        <f t="shared" si="242"/>
        <v>1</v>
      </c>
      <c r="BB125" s="435"/>
      <c r="BC125" s="395"/>
      <c r="BD125" s="395">
        <f t="shared" si="238"/>
        <v>183</v>
      </c>
      <c r="BE125" s="395">
        <f t="shared" si="239"/>
        <v>0</v>
      </c>
    </row>
    <row r="126" spans="1:73" ht="14.4" thickBot="1">
      <c r="A126" s="433" t="s">
        <v>16</v>
      </c>
      <c r="B126" s="417">
        <f t="shared" ref="B126:AG126" si="243">SUM(B116:B125)</f>
        <v>13247</v>
      </c>
      <c r="C126" s="419">
        <f t="shared" si="243"/>
        <v>160</v>
      </c>
      <c r="D126" s="419">
        <f t="shared" si="243"/>
        <v>13407</v>
      </c>
      <c r="E126" s="420">
        <f t="shared" si="243"/>
        <v>5</v>
      </c>
      <c r="F126" s="417">
        <f t="shared" si="243"/>
        <v>12672</v>
      </c>
      <c r="G126" s="419">
        <f t="shared" si="243"/>
        <v>115</v>
      </c>
      <c r="H126" s="419">
        <f t="shared" si="243"/>
        <v>12787</v>
      </c>
      <c r="I126" s="420">
        <f t="shared" si="243"/>
        <v>3</v>
      </c>
      <c r="J126" s="417">
        <f t="shared" si="243"/>
        <v>11918</v>
      </c>
      <c r="K126" s="419">
        <f t="shared" si="243"/>
        <v>96</v>
      </c>
      <c r="L126" s="419">
        <f t="shared" si="243"/>
        <v>12014</v>
      </c>
      <c r="M126" s="420">
        <f t="shared" si="243"/>
        <v>10</v>
      </c>
      <c r="N126" s="417">
        <f t="shared" si="243"/>
        <v>8728</v>
      </c>
      <c r="O126" s="419">
        <f t="shared" si="243"/>
        <v>84</v>
      </c>
      <c r="P126" s="419">
        <f t="shared" si="243"/>
        <v>8812</v>
      </c>
      <c r="Q126" s="420">
        <f t="shared" si="243"/>
        <v>5</v>
      </c>
      <c r="R126" s="417">
        <f t="shared" si="243"/>
        <v>9117</v>
      </c>
      <c r="S126" s="419">
        <f t="shared" si="243"/>
        <v>70</v>
      </c>
      <c r="T126" s="419">
        <f t="shared" si="243"/>
        <v>9187</v>
      </c>
      <c r="U126" s="420">
        <f t="shared" si="243"/>
        <v>11</v>
      </c>
      <c r="V126" s="417">
        <f t="shared" si="243"/>
        <v>7648</v>
      </c>
      <c r="W126" s="419">
        <f t="shared" si="243"/>
        <v>42</v>
      </c>
      <c r="X126" s="419">
        <f t="shared" si="243"/>
        <v>7690</v>
      </c>
      <c r="Y126" s="420">
        <f t="shared" si="243"/>
        <v>3</v>
      </c>
      <c r="Z126" s="417">
        <f t="shared" si="243"/>
        <v>6996</v>
      </c>
      <c r="AA126" s="419">
        <f t="shared" si="243"/>
        <v>33</v>
      </c>
      <c r="AB126" s="419">
        <f t="shared" si="243"/>
        <v>7029</v>
      </c>
      <c r="AC126" s="420">
        <f t="shared" si="243"/>
        <v>9</v>
      </c>
      <c r="AD126" s="417">
        <f t="shared" si="243"/>
        <v>7569</v>
      </c>
      <c r="AE126" s="419">
        <f t="shared" si="243"/>
        <v>27</v>
      </c>
      <c r="AF126" s="419">
        <f t="shared" si="243"/>
        <v>7596</v>
      </c>
      <c r="AG126" s="420">
        <f t="shared" si="243"/>
        <v>4</v>
      </c>
      <c r="AH126" s="417">
        <f t="shared" ref="AH126:BA126" si="244">SUM(AH116:AH125)</f>
        <v>0</v>
      </c>
      <c r="AI126" s="419">
        <f t="shared" si="244"/>
        <v>0</v>
      </c>
      <c r="AJ126" s="419">
        <f t="shared" si="244"/>
        <v>0</v>
      </c>
      <c r="AK126" s="420">
        <f t="shared" si="244"/>
        <v>0</v>
      </c>
      <c r="AL126" s="417">
        <f t="shared" si="244"/>
        <v>0</v>
      </c>
      <c r="AM126" s="419">
        <f t="shared" si="244"/>
        <v>0</v>
      </c>
      <c r="AN126" s="419">
        <f t="shared" si="244"/>
        <v>0</v>
      </c>
      <c r="AO126" s="420">
        <f t="shared" si="244"/>
        <v>0</v>
      </c>
      <c r="AP126" s="417">
        <f t="shared" si="244"/>
        <v>0</v>
      </c>
      <c r="AQ126" s="419">
        <f t="shared" si="244"/>
        <v>0</v>
      </c>
      <c r="AR126" s="419">
        <f t="shared" si="244"/>
        <v>0</v>
      </c>
      <c r="AS126" s="420">
        <f t="shared" si="244"/>
        <v>0</v>
      </c>
      <c r="AT126" s="417">
        <f t="shared" si="244"/>
        <v>0</v>
      </c>
      <c r="AU126" s="419">
        <f t="shared" si="244"/>
        <v>0</v>
      </c>
      <c r="AV126" s="419">
        <f t="shared" si="244"/>
        <v>0</v>
      </c>
      <c r="AW126" s="420">
        <f t="shared" si="244"/>
        <v>0</v>
      </c>
      <c r="AX126" s="434">
        <f t="shared" si="244"/>
        <v>77895</v>
      </c>
      <c r="AY126" s="434">
        <f t="shared" si="244"/>
        <v>627</v>
      </c>
      <c r="AZ126" s="434">
        <f t="shared" si="244"/>
        <v>78522</v>
      </c>
      <c r="BA126" s="434">
        <f t="shared" si="244"/>
        <v>50</v>
      </c>
      <c r="BB126" s="435"/>
      <c r="BC126" s="395"/>
      <c r="BD126" s="395">
        <f t="shared" si="238"/>
        <v>7596</v>
      </c>
      <c r="BE126" s="395">
        <f>AG126</f>
        <v>4</v>
      </c>
    </row>
    <row r="127" spans="1:73">
      <c r="L127" s="395">
        <f>L126+H126+D126</f>
        <v>38208</v>
      </c>
      <c r="M127" s="395">
        <f>M126+I126+E126</f>
        <v>18</v>
      </c>
      <c r="P127" s="395">
        <f>P126+T126+X126</f>
        <v>25689</v>
      </c>
      <c r="Q127" s="395">
        <f>Q126+U126+Y126</f>
        <v>19</v>
      </c>
      <c r="X127" s="395">
        <f>X126+T126+P126</f>
        <v>25689</v>
      </c>
      <c r="Y127" s="395">
        <f>Y126+U126+Q126</f>
        <v>19</v>
      </c>
      <c r="AJ127" s="117">
        <f>AJ126+AF126+AB126</f>
        <v>14625</v>
      </c>
      <c r="AK127" s="117">
        <f>AK126+AG126+AC126</f>
        <v>13</v>
      </c>
      <c r="AV127" s="117">
        <f>AV126+AR126+AN126</f>
        <v>0</v>
      </c>
      <c r="AW127" s="117">
        <f>AW126+AS126+AO126</f>
        <v>0</v>
      </c>
    </row>
    <row r="129" spans="1:73" ht="18">
      <c r="A129" s="393" t="s">
        <v>863</v>
      </c>
      <c r="I129" s="429"/>
    </row>
    <row r="130" spans="1:73" ht="18.600000000000001" thickBot="1">
      <c r="A130" s="394">
        <f>A98</f>
        <v>2023</v>
      </c>
    </row>
    <row r="131" spans="1:73">
      <c r="A131" s="2815" t="str">
        <f>A99</f>
        <v>DD</v>
      </c>
      <c r="B131" s="2827" t="s">
        <v>71</v>
      </c>
      <c r="C131" s="2828"/>
      <c r="D131" s="2828"/>
      <c r="E131" s="3091"/>
      <c r="F131" s="2829" t="s">
        <v>72</v>
      </c>
      <c r="G131" s="2830"/>
      <c r="H131" s="2830"/>
      <c r="I131" s="3095"/>
      <c r="J131" s="2817" t="s">
        <v>73</v>
      </c>
      <c r="K131" s="2818"/>
      <c r="L131" s="2818"/>
      <c r="M131" s="3094"/>
      <c r="N131" s="2819" t="s">
        <v>74</v>
      </c>
      <c r="O131" s="2820"/>
      <c r="P131" s="2820"/>
      <c r="Q131" s="3090"/>
      <c r="R131" s="2821" t="s">
        <v>75</v>
      </c>
      <c r="S131" s="2822"/>
      <c r="T131" s="2822"/>
      <c r="U131" s="3093"/>
      <c r="V131" s="2823" t="s">
        <v>76</v>
      </c>
      <c r="W131" s="2824"/>
      <c r="X131" s="2824"/>
      <c r="Y131" s="3089"/>
      <c r="Z131" s="2827" t="s">
        <v>77</v>
      </c>
      <c r="AA131" s="2828"/>
      <c r="AB131" s="2828"/>
      <c r="AC131" s="3091"/>
      <c r="AD131" s="2829" t="s">
        <v>78</v>
      </c>
      <c r="AE131" s="2830"/>
      <c r="AF131" s="2830"/>
      <c r="AG131" s="3095"/>
      <c r="AH131" s="2817" t="s">
        <v>79</v>
      </c>
      <c r="AI131" s="2818"/>
      <c r="AJ131" s="2818"/>
      <c r="AK131" s="3094"/>
      <c r="AL131" s="2819" t="s">
        <v>80</v>
      </c>
      <c r="AM131" s="2820"/>
      <c r="AN131" s="2820"/>
      <c r="AO131" s="3090"/>
      <c r="AP131" s="2821" t="s">
        <v>81</v>
      </c>
      <c r="AQ131" s="2822"/>
      <c r="AR131" s="2822"/>
      <c r="AS131" s="3093"/>
      <c r="AT131" s="2823" t="s">
        <v>82</v>
      </c>
      <c r="AU131" s="2824"/>
      <c r="AV131" s="2824"/>
      <c r="AW131" s="3089"/>
      <c r="AX131" s="2825" t="s">
        <v>83</v>
      </c>
      <c r="AY131" s="2826"/>
      <c r="AZ131" s="2826"/>
      <c r="BA131" s="3088"/>
      <c r="BM131" s="430"/>
      <c r="BR131" s="3112"/>
      <c r="BS131" s="3112"/>
      <c r="BT131" s="3112"/>
      <c r="BU131" s="3112"/>
    </row>
    <row r="132" spans="1:73" ht="14.4" thickBot="1">
      <c r="A132" s="2816"/>
      <c r="B132" s="402" t="s">
        <v>17</v>
      </c>
      <c r="C132" s="403" t="s">
        <v>18</v>
      </c>
      <c r="D132" s="403" t="s">
        <v>56</v>
      </c>
      <c r="E132" s="404" t="s">
        <v>21</v>
      </c>
      <c r="F132" s="402" t="s">
        <v>17</v>
      </c>
      <c r="G132" s="403" t="s">
        <v>18</v>
      </c>
      <c r="H132" s="403" t="s">
        <v>56</v>
      </c>
      <c r="I132" s="404" t="s">
        <v>21</v>
      </c>
      <c r="J132" s="402" t="s">
        <v>17</v>
      </c>
      <c r="K132" s="403" t="s">
        <v>18</v>
      </c>
      <c r="L132" s="403" t="s">
        <v>56</v>
      </c>
      <c r="M132" s="404" t="s">
        <v>21</v>
      </c>
      <c r="N132" s="402" t="s">
        <v>17</v>
      </c>
      <c r="O132" s="403" t="s">
        <v>18</v>
      </c>
      <c r="P132" s="403" t="s">
        <v>56</v>
      </c>
      <c r="Q132" s="404" t="s">
        <v>21</v>
      </c>
      <c r="R132" s="402" t="s">
        <v>17</v>
      </c>
      <c r="S132" s="403" t="s">
        <v>18</v>
      </c>
      <c r="T132" s="403" t="s">
        <v>56</v>
      </c>
      <c r="U132" s="404" t="s">
        <v>21</v>
      </c>
      <c r="V132" s="402" t="s">
        <v>17</v>
      </c>
      <c r="W132" s="403" t="s">
        <v>18</v>
      </c>
      <c r="X132" s="403" t="s">
        <v>56</v>
      </c>
      <c r="Y132" s="404" t="s">
        <v>21</v>
      </c>
      <c r="Z132" s="402" t="s">
        <v>17</v>
      </c>
      <c r="AA132" s="403" t="s">
        <v>18</v>
      </c>
      <c r="AB132" s="403" t="s">
        <v>56</v>
      </c>
      <c r="AC132" s="404" t="s">
        <v>21</v>
      </c>
      <c r="AD132" s="628" t="s">
        <v>17</v>
      </c>
      <c r="AE132" s="403" t="s">
        <v>18</v>
      </c>
      <c r="AF132" s="403" t="s">
        <v>56</v>
      </c>
      <c r="AG132" s="404" t="s">
        <v>21</v>
      </c>
      <c r="AH132" s="402" t="s">
        <v>17</v>
      </c>
      <c r="AI132" s="403" t="s">
        <v>18</v>
      </c>
      <c r="AJ132" s="403" t="s">
        <v>56</v>
      </c>
      <c r="AK132" s="404" t="s">
        <v>21</v>
      </c>
      <c r="AL132" s="402" t="s">
        <v>17</v>
      </c>
      <c r="AM132" s="403" t="s">
        <v>18</v>
      </c>
      <c r="AN132" s="403" t="s">
        <v>56</v>
      </c>
      <c r="AO132" s="404" t="s">
        <v>21</v>
      </c>
      <c r="AP132" s="402" t="s">
        <v>17</v>
      </c>
      <c r="AQ132" s="403" t="s">
        <v>18</v>
      </c>
      <c r="AR132" s="403" t="s">
        <v>56</v>
      </c>
      <c r="AS132" s="404" t="s">
        <v>21</v>
      </c>
      <c r="AT132" s="402" t="s">
        <v>17</v>
      </c>
      <c r="AU132" s="403" t="s">
        <v>18</v>
      </c>
      <c r="AV132" s="403" t="s">
        <v>56</v>
      </c>
      <c r="AW132" s="404" t="s">
        <v>21</v>
      </c>
      <c r="AX132" s="1057" t="s">
        <v>17</v>
      </c>
      <c r="AY132" s="403" t="s">
        <v>18</v>
      </c>
      <c r="AZ132" s="403" t="s">
        <v>56</v>
      </c>
      <c r="BA132" s="431" t="s">
        <v>21</v>
      </c>
      <c r="BD132" s="117" t="s">
        <v>181</v>
      </c>
      <c r="BE132" s="117" t="s">
        <v>182</v>
      </c>
    </row>
    <row r="133" spans="1:73" ht="14.4" thickBot="1">
      <c r="A133" s="397" t="s">
        <v>6</v>
      </c>
      <c r="B133" s="398">
        <v>0</v>
      </c>
      <c r="C133" s="399">
        <v>0</v>
      </c>
      <c r="D133" s="400">
        <f>+B133+C133</f>
        <v>0</v>
      </c>
      <c r="E133" s="401">
        <v>0</v>
      </c>
      <c r="F133" s="398">
        <v>0</v>
      </c>
      <c r="G133" s="398">
        <v>0</v>
      </c>
      <c r="H133" s="400">
        <f t="shared" ref="H133:H139" si="245">+F133+G133</f>
        <v>0</v>
      </c>
      <c r="I133" s="401">
        <v>0</v>
      </c>
      <c r="J133" s="398">
        <v>0</v>
      </c>
      <c r="K133" s="398">
        <v>0</v>
      </c>
      <c r="L133" s="400">
        <f t="shared" ref="L133:L142" si="246">+J133+K133</f>
        <v>0</v>
      </c>
      <c r="M133" s="401">
        <v>0</v>
      </c>
      <c r="N133" s="398">
        <v>0</v>
      </c>
      <c r="O133" s="398">
        <v>0</v>
      </c>
      <c r="P133" s="400">
        <f t="shared" ref="P133:P142" si="247">+N133+O133</f>
        <v>0</v>
      </c>
      <c r="Q133" s="401">
        <v>0</v>
      </c>
      <c r="R133" s="398">
        <v>0</v>
      </c>
      <c r="S133" s="398">
        <v>0</v>
      </c>
      <c r="T133" s="400">
        <f t="shared" ref="T133:T142" si="248">+R133+S133</f>
        <v>0</v>
      </c>
      <c r="U133" s="401">
        <v>0</v>
      </c>
      <c r="V133" s="398">
        <v>0</v>
      </c>
      <c r="W133" s="398">
        <v>0</v>
      </c>
      <c r="X133" s="400">
        <f t="shared" ref="X133:X142" si="249">+V133+W133</f>
        <v>0</v>
      </c>
      <c r="Y133" s="401">
        <v>0</v>
      </c>
      <c r="Z133" s="398">
        <v>0</v>
      </c>
      <c r="AA133" s="398">
        <v>0</v>
      </c>
      <c r="AB133" s="400">
        <f t="shared" ref="AB133:AB142" si="250">+Z133+AA133</f>
        <v>0</v>
      </c>
      <c r="AC133" s="401">
        <v>0</v>
      </c>
      <c r="AD133" s="398">
        <v>0</v>
      </c>
      <c r="AE133" s="399">
        <v>0</v>
      </c>
      <c r="AF133" s="400">
        <f t="shared" ref="AF133:AF142" si="251">+AD133+AE133</f>
        <v>0</v>
      </c>
      <c r="AG133" s="401">
        <v>0</v>
      </c>
      <c r="AH133" s="398"/>
      <c r="AI133" s="398"/>
      <c r="AJ133" s="400">
        <f t="shared" ref="AJ133:AJ142" si="252">+AH133+AI133</f>
        <v>0</v>
      </c>
      <c r="AK133" s="401"/>
      <c r="AL133" s="398"/>
      <c r="AM133" s="398"/>
      <c r="AN133" s="400">
        <f t="shared" ref="AN133:AN142" si="253">+AL133+AM133</f>
        <v>0</v>
      </c>
      <c r="AO133" s="401"/>
      <c r="AP133" s="398"/>
      <c r="AQ133" s="398"/>
      <c r="AR133" s="400">
        <f t="shared" ref="AR133:AR142" si="254">+AP133+AQ133</f>
        <v>0</v>
      </c>
      <c r="AS133" s="401"/>
      <c r="AT133" s="398"/>
      <c r="AU133" s="398"/>
      <c r="AV133" s="400">
        <f>+AT133+AU133</f>
        <v>0</v>
      </c>
      <c r="AW133" s="401"/>
      <c r="AX133" s="432">
        <f>B133+F133+J133+N133+R133+V133+Z133+AD133+AH133+AL133+AP133+AT133</f>
        <v>0</v>
      </c>
      <c r="AY133" s="432">
        <f>C133+G133+K133+O133+S133+W133+AA133+AE133+AI133+AM133+AQ133+AU133</f>
        <v>0</v>
      </c>
      <c r="AZ133" s="432">
        <f>D133+H133+L133+P133+T133+X133+AB133+AF133+AJ133+AN133+AR133+AV133</f>
        <v>0</v>
      </c>
      <c r="BA133" s="432">
        <f>E133+I133+M133+Q133+U133+Y133+AC133+AG133+AK133+AO133+AS133+AW133</f>
        <v>0</v>
      </c>
      <c r="BC133" s="395"/>
      <c r="BD133" s="395">
        <f>AF133</f>
        <v>0</v>
      </c>
      <c r="BE133" s="395">
        <f>AG133</f>
        <v>0</v>
      </c>
    </row>
    <row r="134" spans="1:73" ht="14.4" thickBot="1">
      <c r="A134" s="397" t="s">
        <v>7</v>
      </c>
      <c r="B134" s="398">
        <v>14</v>
      </c>
      <c r="C134" s="399">
        <v>0</v>
      </c>
      <c r="D134" s="400">
        <f t="shared" ref="D134:D142" si="255">+B134+C134</f>
        <v>14</v>
      </c>
      <c r="E134" s="401">
        <v>0</v>
      </c>
      <c r="F134" s="398">
        <v>4</v>
      </c>
      <c r="G134" s="398">
        <v>0</v>
      </c>
      <c r="H134" s="400">
        <f t="shared" si="245"/>
        <v>4</v>
      </c>
      <c r="I134" s="401">
        <v>0</v>
      </c>
      <c r="J134" s="398">
        <v>3</v>
      </c>
      <c r="K134" s="398">
        <v>0</v>
      </c>
      <c r="L134" s="400">
        <f t="shared" si="246"/>
        <v>3</v>
      </c>
      <c r="M134" s="401">
        <v>0</v>
      </c>
      <c r="N134" s="398">
        <v>5</v>
      </c>
      <c r="O134" s="398">
        <v>0</v>
      </c>
      <c r="P134" s="400">
        <f t="shared" si="247"/>
        <v>5</v>
      </c>
      <c r="Q134" s="401">
        <v>0</v>
      </c>
      <c r="R134" s="398">
        <v>2</v>
      </c>
      <c r="S134" s="398">
        <v>0</v>
      </c>
      <c r="T134" s="400">
        <f t="shared" si="248"/>
        <v>2</v>
      </c>
      <c r="U134" s="401">
        <v>0</v>
      </c>
      <c r="V134" s="398">
        <v>5</v>
      </c>
      <c r="W134" s="398">
        <v>0</v>
      </c>
      <c r="X134" s="400">
        <f t="shared" si="249"/>
        <v>5</v>
      </c>
      <c r="Y134" s="401">
        <v>0</v>
      </c>
      <c r="Z134" s="398">
        <v>13</v>
      </c>
      <c r="AA134" s="398">
        <v>0</v>
      </c>
      <c r="AB134" s="400">
        <f t="shared" si="250"/>
        <v>13</v>
      </c>
      <c r="AC134" s="401">
        <v>0</v>
      </c>
      <c r="AD134" s="398">
        <v>14</v>
      </c>
      <c r="AE134" s="399">
        <v>0</v>
      </c>
      <c r="AF134" s="400">
        <f t="shared" si="251"/>
        <v>14</v>
      </c>
      <c r="AG134" s="401">
        <v>0</v>
      </c>
      <c r="AH134" s="398"/>
      <c r="AI134" s="398"/>
      <c r="AJ134" s="400">
        <f t="shared" si="252"/>
        <v>0</v>
      </c>
      <c r="AK134" s="401"/>
      <c r="AL134" s="398"/>
      <c r="AM134" s="398"/>
      <c r="AN134" s="400">
        <f t="shared" si="253"/>
        <v>0</v>
      </c>
      <c r="AO134" s="401"/>
      <c r="AP134" s="398"/>
      <c r="AQ134" s="398"/>
      <c r="AR134" s="400">
        <f t="shared" si="254"/>
        <v>0</v>
      </c>
      <c r="AS134" s="401"/>
      <c r="AT134" s="398"/>
      <c r="AU134" s="398"/>
      <c r="AV134" s="400">
        <f t="shared" ref="AV134:AV142" si="256">+AT134+AU134</f>
        <v>0</v>
      </c>
      <c r="AW134" s="401"/>
      <c r="AX134" s="432">
        <f t="shared" ref="AX134:AX142" si="257">B134+F134+J134+N134+R134+V134+Z134+AD134+AH134+AL134+AP134+AT134</f>
        <v>60</v>
      </c>
      <c r="AY134" s="432">
        <f t="shared" ref="AY134:AY142" si="258">C134+G134+K134+O134+S134+W134+AA134+AE134+AI134+AM134+AQ134+AU134</f>
        <v>0</v>
      </c>
      <c r="AZ134" s="432">
        <f t="shared" ref="AZ134:AZ142" si="259">D134+H134+L134+P134+T134+X134+AB134+AF134+AJ134+AN134+AR134+AV134</f>
        <v>60</v>
      </c>
      <c r="BA134" s="432">
        <f t="shared" ref="BA134:BA142" si="260">E134+I134+M134+Q134+U134+Y134+AC134+AG134+AK134+AO134+AS134+AW134</f>
        <v>0</v>
      </c>
      <c r="BC134" s="395"/>
      <c r="BD134" s="395">
        <f t="shared" ref="BD134:BD143" si="261">AF134</f>
        <v>14</v>
      </c>
      <c r="BE134" s="395">
        <f t="shared" ref="BE134:BE142" si="262">AG134</f>
        <v>0</v>
      </c>
    </row>
    <row r="135" spans="1:73" ht="14.4" thickBot="1">
      <c r="A135" s="397" t="s">
        <v>8</v>
      </c>
      <c r="B135" s="398">
        <v>0</v>
      </c>
      <c r="C135" s="399">
        <v>0</v>
      </c>
      <c r="D135" s="400">
        <f t="shared" si="255"/>
        <v>0</v>
      </c>
      <c r="E135" s="401">
        <v>0</v>
      </c>
      <c r="F135" s="398">
        <v>0</v>
      </c>
      <c r="G135" s="398">
        <v>0</v>
      </c>
      <c r="H135" s="400">
        <f t="shared" si="245"/>
        <v>0</v>
      </c>
      <c r="I135" s="401">
        <v>0</v>
      </c>
      <c r="J135" s="398">
        <v>0</v>
      </c>
      <c r="K135" s="398">
        <v>0</v>
      </c>
      <c r="L135" s="400">
        <f t="shared" si="246"/>
        <v>0</v>
      </c>
      <c r="M135" s="401">
        <v>0</v>
      </c>
      <c r="N135" s="398">
        <v>0</v>
      </c>
      <c r="O135" s="398">
        <v>0</v>
      </c>
      <c r="P135" s="400">
        <f t="shared" si="247"/>
        <v>0</v>
      </c>
      <c r="Q135" s="401">
        <v>0</v>
      </c>
      <c r="R135" s="398">
        <v>0</v>
      </c>
      <c r="S135" s="398">
        <v>0</v>
      </c>
      <c r="T135" s="400">
        <f t="shared" si="248"/>
        <v>0</v>
      </c>
      <c r="U135" s="401">
        <v>0</v>
      </c>
      <c r="V135" s="398">
        <v>0</v>
      </c>
      <c r="W135" s="398">
        <v>0</v>
      </c>
      <c r="X135" s="400">
        <f t="shared" si="249"/>
        <v>0</v>
      </c>
      <c r="Y135" s="401">
        <v>0</v>
      </c>
      <c r="Z135" s="398">
        <v>0</v>
      </c>
      <c r="AA135" s="398">
        <v>0</v>
      </c>
      <c r="AB135" s="400">
        <f t="shared" si="250"/>
        <v>0</v>
      </c>
      <c r="AC135" s="401">
        <v>0</v>
      </c>
      <c r="AD135" s="398">
        <v>0</v>
      </c>
      <c r="AE135" s="399">
        <v>0</v>
      </c>
      <c r="AF135" s="400">
        <f t="shared" si="251"/>
        <v>0</v>
      </c>
      <c r="AG135" s="401">
        <v>0</v>
      </c>
      <c r="AH135" s="398"/>
      <c r="AI135" s="398"/>
      <c r="AJ135" s="400">
        <f t="shared" si="252"/>
        <v>0</v>
      </c>
      <c r="AK135" s="401"/>
      <c r="AL135" s="398"/>
      <c r="AM135" s="398"/>
      <c r="AN135" s="400">
        <f t="shared" si="253"/>
        <v>0</v>
      </c>
      <c r="AO135" s="401"/>
      <c r="AP135" s="398"/>
      <c r="AQ135" s="398"/>
      <c r="AR135" s="400">
        <f t="shared" si="254"/>
        <v>0</v>
      </c>
      <c r="AS135" s="401"/>
      <c r="AT135" s="398"/>
      <c r="AU135" s="398"/>
      <c r="AV135" s="400">
        <f t="shared" si="256"/>
        <v>0</v>
      </c>
      <c r="AW135" s="401"/>
      <c r="AX135" s="432">
        <f t="shared" si="257"/>
        <v>0</v>
      </c>
      <c r="AY135" s="432">
        <f t="shared" si="258"/>
        <v>0</v>
      </c>
      <c r="AZ135" s="432">
        <f t="shared" si="259"/>
        <v>0</v>
      </c>
      <c r="BA135" s="432">
        <f t="shared" si="260"/>
        <v>0</v>
      </c>
      <c r="BC135" s="395"/>
      <c r="BD135" s="395">
        <f t="shared" si="261"/>
        <v>0</v>
      </c>
      <c r="BE135" s="395">
        <f t="shared" si="262"/>
        <v>0</v>
      </c>
    </row>
    <row r="136" spans="1:73" ht="14.4" thickBot="1">
      <c r="A136" s="397" t="s">
        <v>4</v>
      </c>
      <c r="B136" s="398">
        <v>0</v>
      </c>
      <c r="C136" s="399">
        <v>0</v>
      </c>
      <c r="D136" s="400">
        <f t="shared" si="255"/>
        <v>0</v>
      </c>
      <c r="E136" s="401">
        <v>0</v>
      </c>
      <c r="F136" s="398">
        <v>0</v>
      </c>
      <c r="G136" s="398">
        <v>0</v>
      </c>
      <c r="H136" s="400">
        <f t="shared" si="245"/>
        <v>0</v>
      </c>
      <c r="I136" s="401">
        <v>0</v>
      </c>
      <c r="J136" s="398">
        <v>0</v>
      </c>
      <c r="K136" s="398">
        <v>0</v>
      </c>
      <c r="L136" s="400">
        <f t="shared" si="246"/>
        <v>0</v>
      </c>
      <c r="M136" s="401">
        <v>0</v>
      </c>
      <c r="N136" s="398">
        <v>0</v>
      </c>
      <c r="O136" s="398">
        <v>0</v>
      </c>
      <c r="P136" s="400">
        <f t="shared" si="247"/>
        <v>0</v>
      </c>
      <c r="Q136" s="401">
        <v>0</v>
      </c>
      <c r="R136" s="398">
        <v>0</v>
      </c>
      <c r="S136" s="398">
        <v>0</v>
      </c>
      <c r="T136" s="400">
        <f t="shared" si="248"/>
        <v>0</v>
      </c>
      <c r="U136" s="401">
        <v>0</v>
      </c>
      <c r="V136" s="398">
        <v>0</v>
      </c>
      <c r="W136" s="398">
        <v>0</v>
      </c>
      <c r="X136" s="400">
        <f t="shared" si="249"/>
        <v>0</v>
      </c>
      <c r="Y136" s="401">
        <v>0</v>
      </c>
      <c r="Z136" s="398">
        <v>0</v>
      </c>
      <c r="AA136" s="398">
        <v>0</v>
      </c>
      <c r="AB136" s="400">
        <f t="shared" si="250"/>
        <v>0</v>
      </c>
      <c r="AC136" s="401">
        <v>0</v>
      </c>
      <c r="AD136" s="398">
        <v>0</v>
      </c>
      <c r="AE136" s="399">
        <v>0</v>
      </c>
      <c r="AF136" s="400">
        <f t="shared" si="251"/>
        <v>0</v>
      </c>
      <c r="AG136" s="401">
        <v>0</v>
      </c>
      <c r="AH136" s="398"/>
      <c r="AI136" s="398"/>
      <c r="AJ136" s="400">
        <f t="shared" si="252"/>
        <v>0</v>
      </c>
      <c r="AK136" s="401"/>
      <c r="AL136" s="398"/>
      <c r="AM136" s="398"/>
      <c r="AN136" s="400">
        <f t="shared" si="253"/>
        <v>0</v>
      </c>
      <c r="AO136" s="401"/>
      <c r="AP136" s="398"/>
      <c r="AQ136" s="398"/>
      <c r="AR136" s="400">
        <f t="shared" si="254"/>
        <v>0</v>
      </c>
      <c r="AS136" s="401"/>
      <c r="AT136" s="398"/>
      <c r="AU136" s="398"/>
      <c r="AV136" s="400">
        <f t="shared" si="256"/>
        <v>0</v>
      </c>
      <c r="AW136" s="401"/>
      <c r="AX136" s="432">
        <f t="shared" si="257"/>
        <v>0</v>
      </c>
      <c r="AY136" s="432">
        <f t="shared" si="258"/>
        <v>0</v>
      </c>
      <c r="AZ136" s="432">
        <f t="shared" si="259"/>
        <v>0</v>
      </c>
      <c r="BA136" s="432">
        <f t="shared" si="260"/>
        <v>0</v>
      </c>
      <c r="BC136" s="395"/>
      <c r="BD136" s="395">
        <f t="shared" si="261"/>
        <v>0</v>
      </c>
      <c r="BE136" s="395">
        <f t="shared" si="262"/>
        <v>0</v>
      </c>
    </row>
    <row r="137" spans="1:73" ht="14.4" thickBot="1">
      <c r="A137" s="397" t="s">
        <v>3</v>
      </c>
      <c r="B137" s="398">
        <v>2</v>
      </c>
      <c r="C137" s="399">
        <v>0</v>
      </c>
      <c r="D137" s="400">
        <f t="shared" si="255"/>
        <v>2</v>
      </c>
      <c r="E137" s="401">
        <v>0</v>
      </c>
      <c r="F137" s="398">
        <v>4</v>
      </c>
      <c r="G137" s="398">
        <v>0</v>
      </c>
      <c r="H137" s="400">
        <f t="shared" si="245"/>
        <v>4</v>
      </c>
      <c r="I137" s="401">
        <v>0</v>
      </c>
      <c r="J137" s="398">
        <v>8</v>
      </c>
      <c r="K137" s="398">
        <v>0</v>
      </c>
      <c r="L137" s="400">
        <f t="shared" si="246"/>
        <v>8</v>
      </c>
      <c r="M137" s="401">
        <v>0</v>
      </c>
      <c r="N137" s="398">
        <v>2</v>
      </c>
      <c r="O137" s="398">
        <v>0</v>
      </c>
      <c r="P137" s="400">
        <f t="shared" si="247"/>
        <v>2</v>
      </c>
      <c r="Q137" s="401">
        <v>0</v>
      </c>
      <c r="R137" s="398">
        <v>1</v>
      </c>
      <c r="S137" s="398">
        <v>0</v>
      </c>
      <c r="T137" s="400">
        <f t="shared" si="248"/>
        <v>1</v>
      </c>
      <c r="U137" s="401">
        <v>0</v>
      </c>
      <c r="V137" s="398">
        <v>6</v>
      </c>
      <c r="W137" s="398">
        <v>0</v>
      </c>
      <c r="X137" s="400">
        <f t="shared" si="249"/>
        <v>6</v>
      </c>
      <c r="Y137" s="401">
        <v>0</v>
      </c>
      <c r="Z137" s="398">
        <v>0</v>
      </c>
      <c r="AA137" s="398">
        <v>0</v>
      </c>
      <c r="AB137" s="400">
        <f t="shared" si="250"/>
        <v>0</v>
      </c>
      <c r="AC137" s="401">
        <v>0</v>
      </c>
      <c r="AD137" s="398">
        <v>5</v>
      </c>
      <c r="AE137" s="399">
        <v>0</v>
      </c>
      <c r="AF137" s="400">
        <f t="shared" si="251"/>
        <v>5</v>
      </c>
      <c r="AG137" s="401">
        <v>0</v>
      </c>
      <c r="AH137" s="398"/>
      <c r="AI137" s="398"/>
      <c r="AJ137" s="400">
        <f t="shared" si="252"/>
        <v>0</v>
      </c>
      <c r="AK137" s="401"/>
      <c r="AL137" s="398"/>
      <c r="AM137" s="398"/>
      <c r="AN137" s="400">
        <f t="shared" si="253"/>
        <v>0</v>
      </c>
      <c r="AO137" s="401"/>
      <c r="AP137" s="398"/>
      <c r="AQ137" s="398"/>
      <c r="AR137" s="400">
        <f t="shared" si="254"/>
        <v>0</v>
      </c>
      <c r="AS137" s="401"/>
      <c r="AT137" s="398"/>
      <c r="AU137" s="398"/>
      <c r="AV137" s="400">
        <f t="shared" si="256"/>
        <v>0</v>
      </c>
      <c r="AW137" s="401"/>
      <c r="AX137" s="432">
        <f t="shared" si="257"/>
        <v>28</v>
      </c>
      <c r="AY137" s="432">
        <f t="shared" si="258"/>
        <v>0</v>
      </c>
      <c r="AZ137" s="432">
        <f t="shared" si="259"/>
        <v>28</v>
      </c>
      <c r="BA137" s="432">
        <f t="shared" si="260"/>
        <v>0</v>
      </c>
      <c r="BC137" s="395"/>
      <c r="BD137" s="395">
        <f t="shared" si="261"/>
        <v>5</v>
      </c>
      <c r="BE137" s="395">
        <f t="shared" si="262"/>
        <v>0</v>
      </c>
    </row>
    <row r="138" spans="1:73" ht="14.4" thickBot="1">
      <c r="A138" s="397" t="s">
        <v>397</v>
      </c>
      <c r="B138" s="398">
        <v>0</v>
      </c>
      <c r="C138" s="399">
        <v>0</v>
      </c>
      <c r="D138" s="400">
        <f t="shared" si="255"/>
        <v>0</v>
      </c>
      <c r="E138" s="401">
        <v>0</v>
      </c>
      <c r="F138" s="398">
        <v>0</v>
      </c>
      <c r="G138" s="398">
        <v>0</v>
      </c>
      <c r="H138" s="400">
        <f t="shared" si="245"/>
        <v>0</v>
      </c>
      <c r="I138" s="401">
        <v>0</v>
      </c>
      <c r="J138" s="398">
        <v>0</v>
      </c>
      <c r="K138" s="398">
        <v>0</v>
      </c>
      <c r="L138" s="400">
        <f t="shared" si="246"/>
        <v>0</v>
      </c>
      <c r="M138" s="401">
        <v>0</v>
      </c>
      <c r="N138" s="398">
        <v>0</v>
      </c>
      <c r="O138" s="398">
        <v>0</v>
      </c>
      <c r="P138" s="400">
        <f t="shared" si="247"/>
        <v>0</v>
      </c>
      <c r="Q138" s="401">
        <v>0</v>
      </c>
      <c r="R138" s="398">
        <v>0</v>
      </c>
      <c r="S138" s="398">
        <v>0</v>
      </c>
      <c r="T138" s="400">
        <f t="shared" si="248"/>
        <v>0</v>
      </c>
      <c r="U138" s="401">
        <v>0</v>
      </c>
      <c r="V138" s="398">
        <v>0</v>
      </c>
      <c r="W138" s="398">
        <v>0</v>
      </c>
      <c r="X138" s="400">
        <f t="shared" si="249"/>
        <v>0</v>
      </c>
      <c r="Y138" s="401">
        <v>0</v>
      </c>
      <c r="Z138" s="398">
        <v>0</v>
      </c>
      <c r="AA138" s="398">
        <v>0</v>
      </c>
      <c r="AB138" s="400">
        <f t="shared" si="250"/>
        <v>0</v>
      </c>
      <c r="AC138" s="401">
        <v>0</v>
      </c>
      <c r="AD138" s="398">
        <v>0</v>
      </c>
      <c r="AE138" s="399">
        <v>0</v>
      </c>
      <c r="AF138" s="400">
        <f t="shared" si="251"/>
        <v>0</v>
      </c>
      <c r="AG138" s="401">
        <v>0</v>
      </c>
      <c r="AH138" s="398"/>
      <c r="AI138" s="398"/>
      <c r="AJ138" s="400">
        <f t="shared" si="252"/>
        <v>0</v>
      </c>
      <c r="AK138" s="401"/>
      <c r="AL138" s="398"/>
      <c r="AM138" s="398"/>
      <c r="AN138" s="400">
        <f t="shared" si="253"/>
        <v>0</v>
      </c>
      <c r="AO138" s="401"/>
      <c r="AP138" s="398"/>
      <c r="AQ138" s="398"/>
      <c r="AR138" s="400">
        <f t="shared" si="254"/>
        <v>0</v>
      </c>
      <c r="AS138" s="401"/>
      <c r="AT138" s="398"/>
      <c r="AU138" s="398"/>
      <c r="AV138" s="400">
        <f t="shared" si="256"/>
        <v>0</v>
      </c>
      <c r="AW138" s="401"/>
      <c r="AX138" s="432">
        <f t="shared" si="257"/>
        <v>0</v>
      </c>
      <c r="AY138" s="432">
        <f t="shared" si="258"/>
        <v>0</v>
      </c>
      <c r="AZ138" s="432">
        <f t="shared" si="259"/>
        <v>0</v>
      </c>
      <c r="BA138" s="432">
        <f t="shared" si="260"/>
        <v>0</v>
      </c>
      <c r="BC138" s="395"/>
      <c r="BD138" s="395">
        <f t="shared" si="261"/>
        <v>0</v>
      </c>
      <c r="BE138" s="395">
        <f t="shared" si="262"/>
        <v>0</v>
      </c>
    </row>
    <row r="139" spans="1:73" ht="14.4" thickBot="1">
      <c r="A139" s="397" t="s">
        <v>399</v>
      </c>
      <c r="B139" s="398">
        <v>0</v>
      </c>
      <c r="C139" s="399">
        <v>0</v>
      </c>
      <c r="D139" s="400">
        <f t="shared" si="255"/>
        <v>0</v>
      </c>
      <c r="E139" s="401">
        <v>0</v>
      </c>
      <c r="F139" s="398">
        <v>0</v>
      </c>
      <c r="G139" s="398">
        <v>0</v>
      </c>
      <c r="H139" s="400">
        <f t="shared" si="245"/>
        <v>0</v>
      </c>
      <c r="I139" s="401">
        <v>0</v>
      </c>
      <c r="J139" s="398">
        <v>0</v>
      </c>
      <c r="K139" s="398">
        <v>0</v>
      </c>
      <c r="L139" s="400">
        <f t="shared" si="246"/>
        <v>0</v>
      </c>
      <c r="M139" s="401">
        <v>0</v>
      </c>
      <c r="N139" s="398">
        <v>0</v>
      </c>
      <c r="O139" s="398">
        <v>0</v>
      </c>
      <c r="P139" s="400">
        <f t="shared" si="247"/>
        <v>0</v>
      </c>
      <c r="Q139" s="401">
        <v>0</v>
      </c>
      <c r="R139" s="398">
        <v>0</v>
      </c>
      <c r="S139" s="398">
        <v>0</v>
      </c>
      <c r="T139" s="400">
        <f t="shared" si="248"/>
        <v>0</v>
      </c>
      <c r="U139" s="401">
        <v>0</v>
      </c>
      <c r="V139" s="398">
        <v>0</v>
      </c>
      <c r="W139" s="398">
        <v>0</v>
      </c>
      <c r="X139" s="400">
        <f t="shared" si="249"/>
        <v>0</v>
      </c>
      <c r="Y139" s="401">
        <v>0</v>
      </c>
      <c r="Z139" s="398">
        <v>0</v>
      </c>
      <c r="AA139" s="398">
        <v>0</v>
      </c>
      <c r="AB139" s="400">
        <f t="shared" si="250"/>
        <v>0</v>
      </c>
      <c r="AC139" s="401">
        <v>0</v>
      </c>
      <c r="AD139" s="398">
        <v>0</v>
      </c>
      <c r="AE139" s="399">
        <v>0</v>
      </c>
      <c r="AF139" s="400">
        <f t="shared" si="251"/>
        <v>0</v>
      </c>
      <c r="AG139" s="401">
        <v>0</v>
      </c>
      <c r="AH139" s="398"/>
      <c r="AI139" s="398"/>
      <c r="AJ139" s="400">
        <f t="shared" si="252"/>
        <v>0</v>
      </c>
      <c r="AK139" s="401"/>
      <c r="AL139" s="398"/>
      <c r="AM139" s="398"/>
      <c r="AN139" s="400">
        <f t="shared" si="253"/>
        <v>0</v>
      </c>
      <c r="AO139" s="401"/>
      <c r="AP139" s="398"/>
      <c r="AQ139" s="398"/>
      <c r="AR139" s="400">
        <f t="shared" si="254"/>
        <v>0</v>
      </c>
      <c r="AS139" s="401"/>
      <c r="AT139" s="398"/>
      <c r="AU139" s="398"/>
      <c r="AV139" s="400">
        <f t="shared" si="256"/>
        <v>0</v>
      </c>
      <c r="AW139" s="401"/>
      <c r="AX139" s="432">
        <f t="shared" si="257"/>
        <v>0</v>
      </c>
      <c r="AY139" s="432">
        <f t="shared" si="258"/>
        <v>0</v>
      </c>
      <c r="AZ139" s="432">
        <f t="shared" si="259"/>
        <v>0</v>
      </c>
      <c r="BA139" s="432">
        <f t="shared" si="260"/>
        <v>0</v>
      </c>
      <c r="BC139" s="395"/>
      <c r="BD139" s="395">
        <f t="shared" si="261"/>
        <v>0</v>
      </c>
      <c r="BE139" s="395">
        <f t="shared" si="262"/>
        <v>0</v>
      </c>
    </row>
    <row r="140" spans="1:73" ht="14.4" thickBot="1">
      <c r="A140" s="397" t="s">
        <v>883</v>
      </c>
      <c r="B140" s="398">
        <v>0</v>
      </c>
      <c r="C140" s="399">
        <v>0</v>
      </c>
      <c r="D140" s="400">
        <f t="shared" si="255"/>
        <v>0</v>
      </c>
      <c r="E140" s="401">
        <v>0</v>
      </c>
      <c r="F140" s="398">
        <v>0</v>
      </c>
      <c r="G140" s="398">
        <v>0</v>
      </c>
      <c r="H140" s="400">
        <f>+F140+G140</f>
        <v>0</v>
      </c>
      <c r="I140" s="401">
        <v>0</v>
      </c>
      <c r="J140" s="398">
        <v>0</v>
      </c>
      <c r="K140" s="398">
        <v>0</v>
      </c>
      <c r="L140" s="400">
        <f t="shared" si="246"/>
        <v>0</v>
      </c>
      <c r="M140" s="401">
        <v>0</v>
      </c>
      <c r="N140" s="398">
        <v>0</v>
      </c>
      <c r="O140" s="398">
        <v>0</v>
      </c>
      <c r="P140" s="400">
        <f t="shared" si="247"/>
        <v>0</v>
      </c>
      <c r="Q140" s="401">
        <v>0</v>
      </c>
      <c r="R140" s="398">
        <v>0</v>
      </c>
      <c r="S140" s="398">
        <v>0</v>
      </c>
      <c r="T140" s="400">
        <f t="shared" si="248"/>
        <v>0</v>
      </c>
      <c r="U140" s="401">
        <v>0</v>
      </c>
      <c r="V140" s="398">
        <v>0</v>
      </c>
      <c r="W140" s="398">
        <v>0</v>
      </c>
      <c r="X140" s="400">
        <f t="shared" si="249"/>
        <v>0</v>
      </c>
      <c r="Y140" s="401">
        <v>0</v>
      </c>
      <c r="Z140" s="398">
        <v>0</v>
      </c>
      <c r="AA140" s="398">
        <v>0</v>
      </c>
      <c r="AB140" s="400">
        <f t="shared" si="250"/>
        <v>0</v>
      </c>
      <c r="AC140" s="401">
        <v>0</v>
      </c>
      <c r="AD140" s="398">
        <v>1</v>
      </c>
      <c r="AE140" s="399">
        <v>0</v>
      </c>
      <c r="AF140" s="400">
        <f t="shared" si="251"/>
        <v>1</v>
      </c>
      <c r="AG140" s="401">
        <v>0</v>
      </c>
      <c r="AH140" s="398"/>
      <c r="AI140" s="398"/>
      <c r="AJ140" s="400">
        <f t="shared" si="252"/>
        <v>0</v>
      </c>
      <c r="AK140" s="401"/>
      <c r="AL140" s="398"/>
      <c r="AM140" s="398"/>
      <c r="AN140" s="400">
        <f t="shared" si="253"/>
        <v>0</v>
      </c>
      <c r="AO140" s="401"/>
      <c r="AP140" s="398"/>
      <c r="AQ140" s="398"/>
      <c r="AR140" s="400">
        <f t="shared" si="254"/>
        <v>0</v>
      </c>
      <c r="AS140" s="401"/>
      <c r="AT140" s="398"/>
      <c r="AU140" s="398"/>
      <c r="AV140" s="400">
        <f t="shared" si="256"/>
        <v>0</v>
      </c>
      <c r="AW140" s="401"/>
      <c r="AX140" s="432">
        <f t="shared" si="257"/>
        <v>1</v>
      </c>
      <c r="AY140" s="432">
        <f t="shared" si="258"/>
        <v>0</v>
      </c>
      <c r="AZ140" s="432">
        <f t="shared" si="259"/>
        <v>1</v>
      </c>
      <c r="BA140" s="432">
        <f t="shared" si="260"/>
        <v>0</v>
      </c>
      <c r="BC140" s="395"/>
      <c r="BD140" s="395">
        <f t="shared" si="261"/>
        <v>1</v>
      </c>
      <c r="BE140" s="395">
        <f t="shared" si="262"/>
        <v>0</v>
      </c>
    </row>
    <row r="141" spans="1:73" ht="14.4" thickBot="1">
      <c r="A141" s="397" t="s">
        <v>884</v>
      </c>
      <c r="B141" s="398">
        <v>0</v>
      </c>
      <c r="C141" s="399">
        <v>0</v>
      </c>
      <c r="D141" s="400">
        <f t="shared" si="255"/>
        <v>0</v>
      </c>
      <c r="E141" s="401">
        <v>0</v>
      </c>
      <c r="F141" s="398">
        <v>1</v>
      </c>
      <c r="G141" s="398">
        <v>0</v>
      </c>
      <c r="H141" s="400">
        <f>+F141+G141</f>
        <v>1</v>
      </c>
      <c r="I141" s="401">
        <v>0</v>
      </c>
      <c r="J141" s="398">
        <v>1</v>
      </c>
      <c r="K141" s="398">
        <v>0</v>
      </c>
      <c r="L141" s="400">
        <f t="shared" si="246"/>
        <v>1</v>
      </c>
      <c r="M141" s="401">
        <v>0</v>
      </c>
      <c r="N141" s="398">
        <v>0</v>
      </c>
      <c r="O141" s="398">
        <v>0</v>
      </c>
      <c r="P141" s="400">
        <f t="shared" si="247"/>
        <v>0</v>
      </c>
      <c r="Q141" s="401">
        <v>0</v>
      </c>
      <c r="R141" s="398">
        <v>2</v>
      </c>
      <c r="S141" s="398">
        <v>0</v>
      </c>
      <c r="T141" s="400">
        <f t="shared" si="248"/>
        <v>2</v>
      </c>
      <c r="U141" s="401">
        <v>0</v>
      </c>
      <c r="V141" s="398">
        <v>0</v>
      </c>
      <c r="W141" s="398">
        <v>0</v>
      </c>
      <c r="X141" s="400">
        <f t="shared" si="249"/>
        <v>0</v>
      </c>
      <c r="Y141" s="401">
        <v>0</v>
      </c>
      <c r="Z141" s="398">
        <v>0</v>
      </c>
      <c r="AA141" s="398">
        <v>1</v>
      </c>
      <c r="AB141" s="400">
        <f t="shared" si="250"/>
        <v>1</v>
      </c>
      <c r="AC141" s="401">
        <v>0</v>
      </c>
      <c r="AD141" s="398">
        <v>1</v>
      </c>
      <c r="AE141" s="399">
        <v>0</v>
      </c>
      <c r="AF141" s="400">
        <f t="shared" si="251"/>
        <v>1</v>
      </c>
      <c r="AG141" s="401">
        <v>0</v>
      </c>
      <c r="AH141" s="398"/>
      <c r="AI141" s="398"/>
      <c r="AJ141" s="400">
        <f t="shared" si="252"/>
        <v>0</v>
      </c>
      <c r="AK141" s="401"/>
      <c r="AL141" s="398"/>
      <c r="AM141" s="398"/>
      <c r="AN141" s="400">
        <f t="shared" si="253"/>
        <v>0</v>
      </c>
      <c r="AO141" s="401"/>
      <c r="AP141" s="398"/>
      <c r="AQ141" s="398"/>
      <c r="AR141" s="400">
        <f t="shared" si="254"/>
        <v>0</v>
      </c>
      <c r="AS141" s="401"/>
      <c r="AT141" s="398"/>
      <c r="AU141" s="398"/>
      <c r="AV141" s="400">
        <f t="shared" si="256"/>
        <v>0</v>
      </c>
      <c r="AW141" s="401"/>
      <c r="AX141" s="432">
        <f t="shared" si="257"/>
        <v>5</v>
      </c>
      <c r="AY141" s="432">
        <f t="shared" si="258"/>
        <v>1</v>
      </c>
      <c r="AZ141" s="432">
        <f t="shared" si="259"/>
        <v>6</v>
      </c>
      <c r="BA141" s="432">
        <f t="shared" si="260"/>
        <v>0</v>
      </c>
      <c r="BC141" s="395"/>
      <c r="BD141" s="395">
        <f t="shared" si="261"/>
        <v>1</v>
      </c>
      <c r="BE141" s="395">
        <f t="shared" si="262"/>
        <v>0</v>
      </c>
    </row>
    <row r="142" spans="1:73" ht="14.4" thickBot="1">
      <c r="A142" s="397" t="s">
        <v>885</v>
      </c>
      <c r="B142" s="398">
        <v>4</v>
      </c>
      <c r="C142" s="399">
        <v>0</v>
      </c>
      <c r="D142" s="400">
        <f t="shared" si="255"/>
        <v>4</v>
      </c>
      <c r="E142" s="401">
        <v>0</v>
      </c>
      <c r="F142" s="398">
        <v>8</v>
      </c>
      <c r="G142" s="398">
        <v>0</v>
      </c>
      <c r="H142" s="400">
        <f>+F142+G142</f>
        <v>8</v>
      </c>
      <c r="I142" s="401">
        <v>0</v>
      </c>
      <c r="J142" s="398">
        <v>11</v>
      </c>
      <c r="K142" s="398">
        <v>0</v>
      </c>
      <c r="L142" s="400">
        <f t="shared" si="246"/>
        <v>11</v>
      </c>
      <c r="M142" s="401">
        <v>0</v>
      </c>
      <c r="N142" s="398">
        <v>4</v>
      </c>
      <c r="O142" s="398">
        <v>0</v>
      </c>
      <c r="P142" s="400">
        <f t="shared" si="247"/>
        <v>4</v>
      </c>
      <c r="Q142" s="401">
        <v>0</v>
      </c>
      <c r="R142" s="398">
        <v>9</v>
      </c>
      <c r="S142" s="398">
        <v>0</v>
      </c>
      <c r="T142" s="400">
        <f t="shared" si="248"/>
        <v>9</v>
      </c>
      <c r="U142" s="401">
        <v>0</v>
      </c>
      <c r="V142" s="398">
        <v>7</v>
      </c>
      <c r="W142" s="398">
        <v>0</v>
      </c>
      <c r="X142" s="400">
        <f t="shared" si="249"/>
        <v>7</v>
      </c>
      <c r="Y142" s="401">
        <v>0</v>
      </c>
      <c r="Z142" s="398">
        <v>9</v>
      </c>
      <c r="AA142" s="398">
        <v>0</v>
      </c>
      <c r="AB142" s="400">
        <f t="shared" si="250"/>
        <v>9</v>
      </c>
      <c r="AC142" s="401">
        <v>0</v>
      </c>
      <c r="AD142" s="398">
        <v>11</v>
      </c>
      <c r="AE142" s="399">
        <v>0</v>
      </c>
      <c r="AF142" s="400">
        <f t="shared" si="251"/>
        <v>11</v>
      </c>
      <c r="AG142" s="401">
        <v>0</v>
      </c>
      <c r="AH142" s="398"/>
      <c r="AI142" s="398"/>
      <c r="AJ142" s="400">
        <f t="shared" si="252"/>
        <v>0</v>
      </c>
      <c r="AK142" s="401"/>
      <c r="AL142" s="398"/>
      <c r="AM142" s="398"/>
      <c r="AN142" s="400">
        <f t="shared" si="253"/>
        <v>0</v>
      </c>
      <c r="AO142" s="401"/>
      <c r="AP142" s="398"/>
      <c r="AQ142" s="398"/>
      <c r="AR142" s="400">
        <f t="shared" si="254"/>
        <v>0</v>
      </c>
      <c r="AS142" s="401"/>
      <c r="AT142" s="398"/>
      <c r="AU142" s="398"/>
      <c r="AV142" s="400">
        <f t="shared" si="256"/>
        <v>0</v>
      </c>
      <c r="AW142" s="401"/>
      <c r="AX142" s="432">
        <f t="shared" si="257"/>
        <v>63</v>
      </c>
      <c r="AY142" s="432">
        <f t="shared" si="258"/>
        <v>0</v>
      </c>
      <c r="AZ142" s="432">
        <f t="shared" si="259"/>
        <v>63</v>
      </c>
      <c r="BA142" s="432">
        <f t="shared" si="260"/>
        <v>0</v>
      </c>
      <c r="BC142" s="395"/>
      <c r="BD142" s="395">
        <f t="shared" si="261"/>
        <v>11</v>
      </c>
      <c r="BE142" s="395">
        <f t="shared" si="262"/>
        <v>0</v>
      </c>
    </row>
    <row r="143" spans="1:73" ht="14.4" thickBot="1">
      <c r="A143" s="433" t="s">
        <v>16</v>
      </c>
      <c r="B143" s="417">
        <f t="shared" ref="B143:AG143" si="263">SUM(B133:B142)</f>
        <v>20</v>
      </c>
      <c r="C143" s="419">
        <f t="shared" si="263"/>
        <v>0</v>
      </c>
      <c r="D143" s="419">
        <f t="shared" si="263"/>
        <v>20</v>
      </c>
      <c r="E143" s="420">
        <f t="shared" si="263"/>
        <v>0</v>
      </c>
      <c r="F143" s="417">
        <f t="shared" si="263"/>
        <v>17</v>
      </c>
      <c r="G143" s="419">
        <f t="shared" si="263"/>
        <v>0</v>
      </c>
      <c r="H143" s="419">
        <f t="shared" si="263"/>
        <v>17</v>
      </c>
      <c r="I143" s="420">
        <f t="shared" si="263"/>
        <v>0</v>
      </c>
      <c r="J143" s="417">
        <f t="shared" si="263"/>
        <v>23</v>
      </c>
      <c r="K143" s="419">
        <f t="shared" si="263"/>
        <v>0</v>
      </c>
      <c r="L143" s="419">
        <f t="shared" si="263"/>
        <v>23</v>
      </c>
      <c r="M143" s="420">
        <f t="shared" si="263"/>
        <v>0</v>
      </c>
      <c r="N143" s="417">
        <f t="shared" si="263"/>
        <v>11</v>
      </c>
      <c r="O143" s="419">
        <f t="shared" si="263"/>
        <v>0</v>
      </c>
      <c r="P143" s="419">
        <f t="shared" si="263"/>
        <v>11</v>
      </c>
      <c r="Q143" s="420">
        <f t="shared" si="263"/>
        <v>0</v>
      </c>
      <c r="R143" s="417">
        <f t="shared" si="263"/>
        <v>14</v>
      </c>
      <c r="S143" s="419">
        <f t="shared" si="263"/>
        <v>0</v>
      </c>
      <c r="T143" s="419">
        <f t="shared" si="263"/>
        <v>14</v>
      </c>
      <c r="U143" s="420">
        <f t="shared" si="263"/>
        <v>0</v>
      </c>
      <c r="V143" s="417">
        <f t="shared" si="263"/>
        <v>18</v>
      </c>
      <c r="W143" s="419">
        <f t="shared" si="263"/>
        <v>0</v>
      </c>
      <c r="X143" s="419">
        <f t="shared" si="263"/>
        <v>18</v>
      </c>
      <c r="Y143" s="420">
        <f t="shared" si="263"/>
        <v>0</v>
      </c>
      <c r="Z143" s="417">
        <f t="shared" si="263"/>
        <v>22</v>
      </c>
      <c r="AA143" s="419">
        <f t="shared" si="263"/>
        <v>1</v>
      </c>
      <c r="AB143" s="419">
        <f t="shared" si="263"/>
        <v>23</v>
      </c>
      <c r="AC143" s="420">
        <f t="shared" si="263"/>
        <v>0</v>
      </c>
      <c r="AD143" s="417">
        <f t="shared" si="263"/>
        <v>32</v>
      </c>
      <c r="AE143" s="419">
        <f t="shared" si="263"/>
        <v>0</v>
      </c>
      <c r="AF143" s="419">
        <f t="shared" si="263"/>
        <v>32</v>
      </c>
      <c r="AG143" s="420">
        <f t="shared" si="263"/>
        <v>0</v>
      </c>
      <c r="AH143" s="417">
        <f t="shared" ref="AH143:BA143" si="264">SUM(AH133:AH142)</f>
        <v>0</v>
      </c>
      <c r="AI143" s="419">
        <f t="shared" si="264"/>
        <v>0</v>
      </c>
      <c r="AJ143" s="419">
        <f t="shared" si="264"/>
        <v>0</v>
      </c>
      <c r="AK143" s="420">
        <f t="shared" si="264"/>
        <v>0</v>
      </c>
      <c r="AL143" s="417">
        <f t="shared" si="264"/>
        <v>0</v>
      </c>
      <c r="AM143" s="419">
        <f t="shared" si="264"/>
        <v>0</v>
      </c>
      <c r="AN143" s="419">
        <f t="shared" si="264"/>
        <v>0</v>
      </c>
      <c r="AO143" s="420">
        <f t="shared" si="264"/>
        <v>0</v>
      </c>
      <c r="AP143" s="417">
        <f t="shared" si="264"/>
        <v>0</v>
      </c>
      <c r="AQ143" s="419">
        <f t="shared" si="264"/>
        <v>0</v>
      </c>
      <c r="AR143" s="419">
        <f t="shared" si="264"/>
        <v>0</v>
      </c>
      <c r="AS143" s="420">
        <f t="shared" si="264"/>
        <v>0</v>
      </c>
      <c r="AT143" s="417">
        <f t="shared" si="264"/>
        <v>0</v>
      </c>
      <c r="AU143" s="419">
        <f t="shared" si="264"/>
        <v>0</v>
      </c>
      <c r="AV143" s="419">
        <f t="shared" si="264"/>
        <v>0</v>
      </c>
      <c r="AW143" s="420">
        <f t="shared" si="264"/>
        <v>0</v>
      </c>
      <c r="AX143" s="434">
        <f t="shared" si="264"/>
        <v>157</v>
      </c>
      <c r="AY143" s="434">
        <f t="shared" si="264"/>
        <v>1</v>
      </c>
      <c r="AZ143" s="434">
        <f t="shared" si="264"/>
        <v>158</v>
      </c>
      <c r="BA143" s="434">
        <f t="shared" si="264"/>
        <v>0</v>
      </c>
      <c r="BC143" s="395"/>
      <c r="BD143" s="395">
        <f t="shared" si="261"/>
        <v>32</v>
      </c>
      <c r="BE143" s="395">
        <f>AG143</f>
        <v>0</v>
      </c>
    </row>
    <row r="144" spans="1:73">
      <c r="L144" s="395">
        <f>L143+H143+D143</f>
        <v>60</v>
      </c>
      <c r="M144" s="395">
        <f>M143+I143+E143</f>
        <v>0</v>
      </c>
      <c r="P144" s="395">
        <f>P143+T143+X143</f>
        <v>43</v>
      </c>
      <c r="Q144" s="395">
        <f>Q143+U143+Y143</f>
        <v>0</v>
      </c>
      <c r="AJ144" s="395">
        <f>AJ143+AF143+AB143</f>
        <v>55</v>
      </c>
      <c r="AK144" s="395">
        <f>AK143+AG143+AC143</f>
        <v>0</v>
      </c>
      <c r="AV144" s="117">
        <f>AV143+AR143+AN143</f>
        <v>0</v>
      </c>
      <c r="AW144" s="117">
        <f>AW143+AS143+AO143</f>
        <v>0</v>
      </c>
    </row>
    <row r="145" spans="1:73" ht="18.600000000000001" thickBot="1">
      <c r="A145" s="394">
        <f>A113</f>
        <v>2024</v>
      </c>
    </row>
    <row r="146" spans="1:73">
      <c r="A146" s="2815" t="str">
        <f>A131</f>
        <v>DD</v>
      </c>
      <c r="B146" s="2827" t="s">
        <v>71</v>
      </c>
      <c r="C146" s="2828"/>
      <c r="D146" s="2828"/>
      <c r="E146" s="3091"/>
      <c r="F146" s="2829" t="s">
        <v>72</v>
      </c>
      <c r="G146" s="2830"/>
      <c r="H146" s="2830"/>
      <c r="I146" s="3095"/>
      <c r="J146" s="2817" t="s">
        <v>73</v>
      </c>
      <c r="K146" s="2818"/>
      <c r="L146" s="2818"/>
      <c r="M146" s="3094"/>
      <c r="N146" s="2819" t="s">
        <v>74</v>
      </c>
      <c r="O146" s="2820"/>
      <c r="P146" s="2820"/>
      <c r="Q146" s="3090"/>
      <c r="R146" s="2821" t="s">
        <v>75</v>
      </c>
      <c r="S146" s="2822"/>
      <c r="T146" s="2822"/>
      <c r="U146" s="3093"/>
      <c r="V146" s="2823" t="s">
        <v>76</v>
      </c>
      <c r="W146" s="2824"/>
      <c r="X146" s="2824"/>
      <c r="Y146" s="3089"/>
      <c r="Z146" s="2827" t="s">
        <v>77</v>
      </c>
      <c r="AA146" s="2828"/>
      <c r="AB146" s="2828"/>
      <c r="AC146" s="3091"/>
      <c r="AD146" s="2829" t="s">
        <v>78</v>
      </c>
      <c r="AE146" s="2830"/>
      <c r="AF146" s="2830"/>
      <c r="AG146" s="3095"/>
      <c r="AH146" s="2817" t="s">
        <v>79</v>
      </c>
      <c r="AI146" s="2818"/>
      <c r="AJ146" s="2818"/>
      <c r="AK146" s="3094"/>
      <c r="AL146" s="2819" t="s">
        <v>80</v>
      </c>
      <c r="AM146" s="2820"/>
      <c r="AN146" s="2820"/>
      <c r="AO146" s="3090"/>
      <c r="AP146" s="2821" t="s">
        <v>81</v>
      </c>
      <c r="AQ146" s="2822"/>
      <c r="AR146" s="2822"/>
      <c r="AS146" s="3093"/>
      <c r="AT146" s="2823" t="s">
        <v>82</v>
      </c>
      <c r="AU146" s="2824"/>
      <c r="AV146" s="2824"/>
      <c r="AW146" s="3089"/>
      <c r="AX146" s="2825" t="s">
        <v>83</v>
      </c>
      <c r="AY146" s="2826"/>
      <c r="AZ146" s="2826"/>
      <c r="BA146" s="3088"/>
      <c r="BM146" s="430"/>
      <c r="BR146" s="3112"/>
      <c r="BS146" s="3112"/>
      <c r="BT146" s="3112"/>
      <c r="BU146" s="3112"/>
    </row>
    <row r="147" spans="1:73" ht="14.4" thickBot="1">
      <c r="A147" s="2816"/>
      <c r="B147" s="402" t="s">
        <v>17</v>
      </c>
      <c r="C147" s="403" t="s">
        <v>18</v>
      </c>
      <c r="D147" s="403" t="s">
        <v>56</v>
      </c>
      <c r="E147" s="404" t="s">
        <v>21</v>
      </c>
      <c r="F147" s="402" t="s">
        <v>17</v>
      </c>
      <c r="G147" s="403" t="s">
        <v>18</v>
      </c>
      <c r="H147" s="403" t="s">
        <v>56</v>
      </c>
      <c r="I147" s="404" t="s">
        <v>21</v>
      </c>
      <c r="J147" s="402" t="s">
        <v>17</v>
      </c>
      <c r="K147" s="403" t="s">
        <v>18</v>
      </c>
      <c r="L147" s="403" t="s">
        <v>56</v>
      </c>
      <c r="M147" s="404" t="s">
        <v>21</v>
      </c>
      <c r="N147" s="402" t="s">
        <v>17</v>
      </c>
      <c r="O147" s="403" t="s">
        <v>18</v>
      </c>
      <c r="P147" s="403" t="s">
        <v>56</v>
      </c>
      <c r="Q147" s="404" t="s">
        <v>21</v>
      </c>
      <c r="R147" s="402" t="s">
        <v>17</v>
      </c>
      <c r="S147" s="403" t="s">
        <v>18</v>
      </c>
      <c r="T147" s="403" t="s">
        <v>56</v>
      </c>
      <c r="U147" s="404" t="s">
        <v>21</v>
      </c>
      <c r="V147" s="402" t="s">
        <v>17</v>
      </c>
      <c r="W147" s="403" t="s">
        <v>18</v>
      </c>
      <c r="X147" s="403" t="s">
        <v>56</v>
      </c>
      <c r="Y147" s="404" t="s">
        <v>21</v>
      </c>
      <c r="Z147" s="402" t="s">
        <v>17</v>
      </c>
      <c r="AA147" s="403" t="s">
        <v>18</v>
      </c>
      <c r="AB147" s="403" t="s">
        <v>56</v>
      </c>
      <c r="AC147" s="404" t="s">
        <v>21</v>
      </c>
      <c r="AD147" s="628" t="s">
        <v>17</v>
      </c>
      <c r="AE147" s="403" t="s">
        <v>18</v>
      </c>
      <c r="AF147" s="403" t="s">
        <v>56</v>
      </c>
      <c r="AG147" s="404" t="s">
        <v>21</v>
      </c>
      <c r="AH147" s="402" t="s">
        <v>17</v>
      </c>
      <c r="AI147" s="403" t="s">
        <v>18</v>
      </c>
      <c r="AJ147" s="403" t="s">
        <v>56</v>
      </c>
      <c r="AK147" s="404" t="s">
        <v>21</v>
      </c>
      <c r="AL147" s="402" t="s">
        <v>17</v>
      </c>
      <c r="AM147" s="403" t="s">
        <v>18</v>
      </c>
      <c r="AN147" s="403" t="s">
        <v>56</v>
      </c>
      <c r="AO147" s="404" t="s">
        <v>21</v>
      </c>
      <c r="AP147" s="402" t="s">
        <v>17</v>
      </c>
      <c r="AQ147" s="403" t="s">
        <v>18</v>
      </c>
      <c r="AR147" s="403" t="s">
        <v>56</v>
      </c>
      <c r="AS147" s="404" t="s">
        <v>21</v>
      </c>
      <c r="AT147" s="402" t="s">
        <v>17</v>
      </c>
      <c r="AU147" s="403" t="s">
        <v>18</v>
      </c>
      <c r="AV147" s="403" t="s">
        <v>56</v>
      </c>
      <c r="AW147" s="404" t="s">
        <v>21</v>
      </c>
      <c r="AX147" s="1057" t="s">
        <v>17</v>
      </c>
      <c r="AY147" s="403" t="s">
        <v>18</v>
      </c>
      <c r="AZ147" s="403" t="s">
        <v>56</v>
      </c>
      <c r="BA147" s="431" t="s">
        <v>21</v>
      </c>
      <c r="BB147" s="435"/>
      <c r="BD147" s="117" t="s">
        <v>181</v>
      </c>
      <c r="BE147" s="117" t="s">
        <v>182</v>
      </c>
    </row>
    <row r="148" spans="1:73" ht="14.4" thickBot="1">
      <c r="A148" s="397" t="s">
        <v>6</v>
      </c>
      <c r="B148" s="398">
        <f>+'Feuil-saisie'!G436</f>
        <v>0</v>
      </c>
      <c r="C148" s="399">
        <f>+'Feuil-saisie'!H436</f>
        <v>0</v>
      </c>
      <c r="D148" s="400">
        <f>+B148+C148</f>
        <v>0</v>
      </c>
      <c r="E148" s="401">
        <f>+'Feuil-saisie'!J436</f>
        <v>0</v>
      </c>
      <c r="F148" s="398">
        <f>+'Feuil-saisie'!Q436</f>
        <v>0</v>
      </c>
      <c r="G148" s="398">
        <f>+'Feuil-saisie'!R436</f>
        <v>0</v>
      </c>
      <c r="H148" s="400">
        <f>+F148+G148</f>
        <v>0</v>
      </c>
      <c r="I148" s="401">
        <f>+'Feuil-saisie'!T436</f>
        <v>0</v>
      </c>
      <c r="J148" s="398">
        <f>+'Feuil-saisie'!AA436</f>
        <v>0</v>
      </c>
      <c r="K148" s="398">
        <f>+'Feuil-saisie'!AB436</f>
        <v>0</v>
      </c>
      <c r="L148" s="400">
        <f>+J148+K148</f>
        <v>0</v>
      </c>
      <c r="M148" s="401">
        <f>+'Feuil-saisie'!AD436</f>
        <v>0</v>
      </c>
      <c r="N148" s="398">
        <f>+'Feuil-saisie'!AK436</f>
        <v>0</v>
      </c>
      <c r="O148" s="398">
        <f>+'Feuil-saisie'!AL436</f>
        <v>0</v>
      </c>
      <c r="P148" s="400">
        <f>+N148+O148</f>
        <v>0</v>
      </c>
      <c r="Q148" s="401">
        <f>+'Feuil-saisie'!AN436</f>
        <v>0</v>
      </c>
      <c r="R148" s="398">
        <f>+'Feuil-saisie'!AU436</f>
        <v>0</v>
      </c>
      <c r="S148" s="399">
        <f>+'Feuil-saisie'!AV436</f>
        <v>0</v>
      </c>
      <c r="T148" s="400">
        <f>+R148+S148</f>
        <v>0</v>
      </c>
      <c r="U148" s="401">
        <f>+'Feuil-saisie'!AX436</f>
        <v>0</v>
      </c>
      <c r="V148" s="398">
        <f>+'Feuil-saisie'!BE436</f>
        <v>0</v>
      </c>
      <c r="W148" s="399">
        <f>+'Feuil-saisie'!BF436</f>
        <v>0</v>
      </c>
      <c r="X148" s="400">
        <f>+V148+W148</f>
        <v>0</v>
      </c>
      <c r="Y148" s="401">
        <f>+'Feuil-saisie'!BH436</f>
        <v>0</v>
      </c>
      <c r="Z148" s="398">
        <f>+'Feuil-saisie'!BO436</f>
        <v>0</v>
      </c>
      <c r="AA148" s="399">
        <f>+'Feuil-saisie'!BP436</f>
        <v>0</v>
      </c>
      <c r="AB148" s="400">
        <f>+Z148+AA148</f>
        <v>0</v>
      </c>
      <c r="AC148" s="401">
        <f>+'Feuil-saisie'!BR436</f>
        <v>0</v>
      </c>
      <c r="AD148" s="398">
        <f>+'Feuil-saisie'!BY436</f>
        <v>0</v>
      </c>
      <c r="AE148" s="399">
        <f>+'Feuil-saisie'!BZ436</f>
        <v>0</v>
      </c>
      <c r="AF148" s="400">
        <f>+AD148+AE148</f>
        <v>0</v>
      </c>
      <c r="AG148" s="401">
        <f>+'Feuil-saisie'!CB436</f>
        <v>0</v>
      </c>
      <c r="AH148" s="398">
        <f>+'Feuil-saisie'!CI436</f>
        <v>0</v>
      </c>
      <c r="AI148" s="399">
        <f>+'Feuil-saisie'!CJ436</f>
        <v>0</v>
      </c>
      <c r="AJ148" s="400">
        <f>+AH148+AI148</f>
        <v>0</v>
      </c>
      <c r="AK148" s="401">
        <f>+'Feuil-saisie'!CL436</f>
        <v>0</v>
      </c>
      <c r="AL148" s="398">
        <f>+'Feuil-saisie'!CS436</f>
        <v>0</v>
      </c>
      <c r="AM148" s="399">
        <f>+'Feuil-saisie'!CT436</f>
        <v>0</v>
      </c>
      <c r="AN148" s="400">
        <f>+AL148+AM148</f>
        <v>0</v>
      </c>
      <c r="AO148" s="401">
        <f>+'Feuil-saisie'!CV436</f>
        <v>0</v>
      </c>
      <c r="AP148" s="398">
        <f>+'Feuil-saisie'!DC436</f>
        <v>0</v>
      </c>
      <c r="AQ148" s="399">
        <f>+'Feuil-saisie'!DD436</f>
        <v>0</v>
      </c>
      <c r="AR148" s="400">
        <f>+AP148+AQ148</f>
        <v>0</v>
      </c>
      <c r="AS148" s="401">
        <f>+'Feuil-saisie'!DF436</f>
        <v>0</v>
      </c>
      <c r="AT148" s="398">
        <f>+'Feuil-saisie'!DM436</f>
        <v>0</v>
      </c>
      <c r="AU148" s="399">
        <f>+'Feuil-saisie'!DN436</f>
        <v>0</v>
      </c>
      <c r="AV148" s="400">
        <f>+AT148+AU148</f>
        <v>0</v>
      </c>
      <c r="AW148" s="401">
        <f>+'Feuil-saisie'!DP436</f>
        <v>0</v>
      </c>
      <c r="AX148" s="432">
        <f>B148+F148+J148+N148+R148+V148+Z148+AD148+AH148+AL148+AP148+AT148</f>
        <v>0</v>
      </c>
      <c r="AY148" s="432">
        <f>C148+G148+K148+O148+S148+W148+AA148+AE148+AI148+AM148+AQ148+AU148</f>
        <v>0</v>
      </c>
      <c r="AZ148" s="432">
        <f>D148+H148+L148+P148+T148+X148+AB148+AF148+AJ148+AN148+AR148+AV148</f>
        <v>0</v>
      </c>
      <c r="BA148" s="432">
        <f>E148+I148+M148+Q148+U148+Y148+AC148+AG148+AK148+AO148+AS148+AW148</f>
        <v>0</v>
      </c>
      <c r="BB148" s="435"/>
      <c r="BC148" s="395"/>
      <c r="BD148" s="395">
        <f>AF148</f>
        <v>0</v>
      </c>
      <c r="BE148" s="395">
        <f>AG148</f>
        <v>0</v>
      </c>
    </row>
    <row r="149" spans="1:73" ht="14.4" thickBot="1">
      <c r="A149" s="397" t="s">
        <v>7</v>
      </c>
      <c r="B149" s="398">
        <f>+'Feuil-saisie'!G437</f>
        <v>35</v>
      </c>
      <c r="C149" s="399">
        <f>+'Feuil-saisie'!H437</f>
        <v>0</v>
      </c>
      <c r="D149" s="400">
        <f t="shared" ref="D149:D157" si="265">+B149+C149</f>
        <v>35</v>
      </c>
      <c r="E149" s="401">
        <f>+'Feuil-saisie'!J437</f>
        <v>0</v>
      </c>
      <c r="F149" s="398">
        <f>+'Feuil-saisie'!Q437</f>
        <v>16</v>
      </c>
      <c r="G149" s="398">
        <f>+'Feuil-saisie'!R437</f>
        <v>0</v>
      </c>
      <c r="H149" s="400">
        <f>+F149+G149</f>
        <v>16</v>
      </c>
      <c r="I149" s="401">
        <f>+'Feuil-saisie'!T437</f>
        <v>0</v>
      </c>
      <c r="J149" s="398">
        <f>+'Feuil-saisie'!AA437</f>
        <v>17</v>
      </c>
      <c r="K149" s="398">
        <f>+'Feuil-saisie'!AB437</f>
        <v>0</v>
      </c>
      <c r="L149" s="400">
        <f>+J149+K149</f>
        <v>17</v>
      </c>
      <c r="M149" s="401">
        <f>+'Feuil-saisie'!AD437</f>
        <v>0</v>
      </c>
      <c r="N149" s="398">
        <f>+'Feuil-saisie'!AK437</f>
        <v>11</v>
      </c>
      <c r="O149" s="398">
        <f>+'Feuil-saisie'!AL437</f>
        <v>0</v>
      </c>
      <c r="P149" s="400">
        <f>+N149+O149</f>
        <v>11</v>
      </c>
      <c r="Q149" s="401">
        <f>+'Feuil-saisie'!AN437</f>
        <v>0</v>
      </c>
      <c r="R149" s="398">
        <f>+'Feuil-saisie'!AU437</f>
        <v>13</v>
      </c>
      <c r="S149" s="399">
        <f>+'Feuil-saisie'!AV437</f>
        <v>0</v>
      </c>
      <c r="T149" s="400">
        <f>+R149+S149</f>
        <v>13</v>
      </c>
      <c r="U149" s="401">
        <f>+'Feuil-saisie'!AX437</f>
        <v>0</v>
      </c>
      <c r="V149" s="398">
        <f>+'Feuil-saisie'!BE437</f>
        <v>19</v>
      </c>
      <c r="W149" s="399">
        <f>+'Feuil-saisie'!BF437</f>
        <v>0</v>
      </c>
      <c r="X149" s="400">
        <f>+V149+W149</f>
        <v>19</v>
      </c>
      <c r="Y149" s="401">
        <f>+'Feuil-saisie'!BH437</f>
        <v>0</v>
      </c>
      <c r="Z149" s="398">
        <f>+'Feuil-saisie'!BO437</f>
        <v>15</v>
      </c>
      <c r="AA149" s="399">
        <f>+'Feuil-saisie'!BP437</f>
        <v>0</v>
      </c>
      <c r="AB149" s="400">
        <f>+Z149+AA149</f>
        <v>15</v>
      </c>
      <c r="AC149" s="401">
        <f>+'Feuil-saisie'!BR437</f>
        <v>0</v>
      </c>
      <c r="AD149" s="398">
        <f>+'Feuil-saisie'!BY437</f>
        <v>10</v>
      </c>
      <c r="AE149" s="399">
        <f>+'Feuil-saisie'!BZ437</f>
        <v>0</v>
      </c>
      <c r="AF149" s="400">
        <f>+AD149+AE149</f>
        <v>10</v>
      </c>
      <c r="AG149" s="401">
        <f>+'Feuil-saisie'!CB437</f>
        <v>0</v>
      </c>
      <c r="AH149" s="398">
        <f>+'Feuil-saisie'!CI437</f>
        <v>0</v>
      </c>
      <c r="AI149" s="399">
        <f>+'Feuil-saisie'!CJ437</f>
        <v>0</v>
      </c>
      <c r="AJ149" s="400">
        <f>+AH149+AI149</f>
        <v>0</v>
      </c>
      <c r="AK149" s="401">
        <f>+'Feuil-saisie'!CL437</f>
        <v>0</v>
      </c>
      <c r="AL149" s="398">
        <f>+'Feuil-saisie'!CS437</f>
        <v>0</v>
      </c>
      <c r="AM149" s="399">
        <f>+'Feuil-saisie'!CT437</f>
        <v>0</v>
      </c>
      <c r="AN149" s="400">
        <f>+AL149+AM149</f>
        <v>0</v>
      </c>
      <c r="AO149" s="401">
        <f>+'Feuil-saisie'!CV437</f>
        <v>0</v>
      </c>
      <c r="AP149" s="398">
        <f>+'Feuil-saisie'!DC437</f>
        <v>0</v>
      </c>
      <c r="AQ149" s="399">
        <f>+'Feuil-saisie'!DD437</f>
        <v>0</v>
      </c>
      <c r="AR149" s="400">
        <f>+AP149+AQ149</f>
        <v>0</v>
      </c>
      <c r="AS149" s="401">
        <f>+'Feuil-saisie'!DF437</f>
        <v>0</v>
      </c>
      <c r="AT149" s="398">
        <f>+'Feuil-saisie'!DM437</f>
        <v>0</v>
      </c>
      <c r="AU149" s="399">
        <f>+'Feuil-saisie'!DN437</f>
        <v>0</v>
      </c>
      <c r="AV149" s="400">
        <f>+AT149+AU149</f>
        <v>0</v>
      </c>
      <c r="AW149" s="401">
        <f>+'Feuil-saisie'!DP437</f>
        <v>0</v>
      </c>
      <c r="AX149" s="432">
        <f t="shared" ref="AX149:AX157" si="266">B149+F149+J149+N149+R149+V149+Z149+AD149+AH149+AL149+AP149+AT149</f>
        <v>136</v>
      </c>
      <c r="AY149" s="432">
        <f t="shared" ref="AY149:AY157" si="267">C149+G149+K149+O149+S149+W149+AA149+AE149+AI149+AM149+AQ149+AU149</f>
        <v>0</v>
      </c>
      <c r="AZ149" s="432">
        <f t="shared" ref="AZ149:AZ157" si="268">D149+H149+L149+P149+T149+X149+AB149+AF149+AJ149+AN149+AR149+AV149</f>
        <v>136</v>
      </c>
      <c r="BA149" s="432">
        <f>E149+I149+M149+Q149+U149+Y149+AC149+AG149+AK149+AO149+AS149+AW149</f>
        <v>0</v>
      </c>
      <c r="BB149" s="435"/>
      <c r="BC149" s="395"/>
      <c r="BD149" s="395">
        <f t="shared" ref="BD149:BD158" si="269">AF149</f>
        <v>10</v>
      </c>
      <c r="BE149" s="395">
        <f t="shared" ref="BE149:BE157" si="270">AG149</f>
        <v>0</v>
      </c>
    </row>
    <row r="150" spans="1:73" ht="14.4" thickBot="1">
      <c r="A150" s="397" t="s">
        <v>8</v>
      </c>
      <c r="B150" s="398">
        <f>+'Feuil-saisie'!G438</f>
        <v>0</v>
      </c>
      <c r="C150" s="399">
        <f>+'Feuil-saisie'!H438</f>
        <v>0</v>
      </c>
      <c r="D150" s="400">
        <f t="shared" si="265"/>
        <v>0</v>
      </c>
      <c r="E150" s="401">
        <f>+'Feuil-saisie'!J438</f>
        <v>0</v>
      </c>
      <c r="F150" s="398">
        <f>+'Feuil-saisie'!Q438</f>
        <v>0</v>
      </c>
      <c r="G150" s="398">
        <f>+'Feuil-saisie'!R438</f>
        <v>0</v>
      </c>
      <c r="H150" s="400">
        <f>+F150+G150</f>
        <v>0</v>
      </c>
      <c r="I150" s="401">
        <f>+'Feuil-saisie'!T438</f>
        <v>0</v>
      </c>
      <c r="J150" s="398">
        <f>+'Feuil-saisie'!AA438</f>
        <v>0</v>
      </c>
      <c r="K150" s="398">
        <f>+'Feuil-saisie'!AB438</f>
        <v>0</v>
      </c>
      <c r="L150" s="400">
        <f>+J150+K150</f>
        <v>0</v>
      </c>
      <c r="M150" s="401">
        <f>+'Feuil-saisie'!AD438</f>
        <v>0</v>
      </c>
      <c r="N150" s="398">
        <f>+'Feuil-saisie'!AK438</f>
        <v>0</v>
      </c>
      <c r="O150" s="398">
        <f>+'Feuil-saisie'!AL438</f>
        <v>0</v>
      </c>
      <c r="P150" s="400">
        <f>+N150+O150</f>
        <v>0</v>
      </c>
      <c r="Q150" s="401">
        <f>+'Feuil-saisie'!AN438</f>
        <v>0</v>
      </c>
      <c r="R150" s="398">
        <f>+'Feuil-saisie'!AU438</f>
        <v>0</v>
      </c>
      <c r="S150" s="399">
        <f>+'Feuil-saisie'!AV438</f>
        <v>0</v>
      </c>
      <c r="T150" s="400">
        <f>+R150+S150</f>
        <v>0</v>
      </c>
      <c r="U150" s="401">
        <f>+'Feuil-saisie'!AX438</f>
        <v>0</v>
      </c>
      <c r="V150" s="398">
        <f>+'Feuil-saisie'!BE438</f>
        <v>0</v>
      </c>
      <c r="W150" s="399">
        <f>+'Feuil-saisie'!BF438</f>
        <v>0</v>
      </c>
      <c r="X150" s="400">
        <f>+V150+W150</f>
        <v>0</v>
      </c>
      <c r="Y150" s="401">
        <f>+'Feuil-saisie'!BH438</f>
        <v>0</v>
      </c>
      <c r="Z150" s="398">
        <f>+'Feuil-saisie'!BO438</f>
        <v>0</v>
      </c>
      <c r="AA150" s="399">
        <f>+'Feuil-saisie'!BP438</f>
        <v>0</v>
      </c>
      <c r="AB150" s="400">
        <f>+Z150+AA150</f>
        <v>0</v>
      </c>
      <c r="AC150" s="401">
        <f>+'Feuil-saisie'!BR438</f>
        <v>0</v>
      </c>
      <c r="AD150" s="398">
        <f>+'Feuil-saisie'!BY438</f>
        <v>0</v>
      </c>
      <c r="AE150" s="399">
        <f>+'Feuil-saisie'!BZ438</f>
        <v>0</v>
      </c>
      <c r="AF150" s="400">
        <f>+AD150+AE150</f>
        <v>0</v>
      </c>
      <c r="AG150" s="401">
        <f>+'Feuil-saisie'!CB438</f>
        <v>0</v>
      </c>
      <c r="AH150" s="398">
        <f>+'Feuil-saisie'!CI438</f>
        <v>0</v>
      </c>
      <c r="AI150" s="399">
        <f>+'Feuil-saisie'!CJ438</f>
        <v>0</v>
      </c>
      <c r="AJ150" s="400">
        <f>+AH150+AI150</f>
        <v>0</v>
      </c>
      <c r="AK150" s="401">
        <f>+'Feuil-saisie'!CL438</f>
        <v>0</v>
      </c>
      <c r="AL150" s="398">
        <f>+'Feuil-saisie'!CS438</f>
        <v>0</v>
      </c>
      <c r="AM150" s="399">
        <f>+'Feuil-saisie'!CT438</f>
        <v>0</v>
      </c>
      <c r="AN150" s="400">
        <f>+AL150+AM150</f>
        <v>0</v>
      </c>
      <c r="AO150" s="401">
        <f>+'Feuil-saisie'!CV438</f>
        <v>0</v>
      </c>
      <c r="AP150" s="398">
        <f>+'Feuil-saisie'!DC438</f>
        <v>0</v>
      </c>
      <c r="AQ150" s="399">
        <f>+'Feuil-saisie'!DD438</f>
        <v>0</v>
      </c>
      <c r="AR150" s="400">
        <f>+AP150+AQ150</f>
        <v>0</v>
      </c>
      <c r="AS150" s="401">
        <f>+'Feuil-saisie'!DF438</f>
        <v>0</v>
      </c>
      <c r="AT150" s="398">
        <f>+'Feuil-saisie'!DM438</f>
        <v>0</v>
      </c>
      <c r="AU150" s="399">
        <f>+'Feuil-saisie'!DN438</f>
        <v>0</v>
      </c>
      <c r="AV150" s="400">
        <f>+AT150+AU150</f>
        <v>0</v>
      </c>
      <c r="AW150" s="401">
        <f>+'Feuil-saisie'!DP438</f>
        <v>0</v>
      </c>
      <c r="AX150" s="432">
        <f t="shared" si="266"/>
        <v>0</v>
      </c>
      <c r="AY150" s="432">
        <f t="shared" si="267"/>
        <v>0</v>
      </c>
      <c r="AZ150" s="432">
        <f t="shared" si="268"/>
        <v>0</v>
      </c>
      <c r="BA150" s="432">
        <f>E150+I150+M150+Q150+U150+Y150+AC150+AG150+AK150+AO150+AS150+AW150</f>
        <v>0</v>
      </c>
      <c r="BB150" s="435"/>
      <c r="BC150" s="395"/>
      <c r="BD150" s="395">
        <f t="shared" si="269"/>
        <v>0</v>
      </c>
      <c r="BE150" s="395">
        <f t="shared" si="270"/>
        <v>0</v>
      </c>
    </row>
    <row r="151" spans="1:73" ht="14.4" thickBot="1">
      <c r="A151" s="397" t="s">
        <v>4</v>
      </c>
      <c r="B151" s="398">
        <f>+'Feuil-saisie'!G439</f>
        <v>0</v>
      </c>
      <c r="C151" s="399">
        <f>+'Feuil-saisie'!H439</f>
        <v>0</v>
      </c>
      <c r="D151" s="400">
        <f t="shared" si="265"/>
        <v>0</v>
      </c>
      <c r="E151" s="401">
        <f>+'Feuil-saisie'!J439</f>
        <v>0</v>
      </c>
      <c r="F151" s="398">
        <f>+'Feuil-saisie'!Q439</f>
        <v>0</v>
      </c>
      <c r="G151" s="398">
        <f>+'Feuil-saisie'!R439</f>
        <v>0</v>
      </c>
      <c r="H151" s="400">
        <f t="shared" ref="H151:H157" si="271">+F151+G151</f>
        <v>0</v>
      </c>
      <c r="I151" s="401">
        <f>+'Feuil-saisie'!T439</f>
        <v>0</v>
      </c>
      <c r="J151" s="398">
        <f>+'Feuil-saisie'!AA439</f>
        <v>0</v>
      </c>
      <c r="K151" s="398">
        <f>+'Feuil-saisie'!AB439</f>
        <v>0</v>
      </c>
      <c r="L151" s="400">
        <f t="shared" ref="L151:L157" si="272">+J151+K151</f>
        <v>0</v>
      </c>
      <c r="M151" s="401">
        <f>+'Feuil-saisie'!AD439</f>
        <v>0</v>
      </c>
      <c r="N151" s="398">
        <f>+'Feuil-saisie'!AK439</f>
        <v>0</v>
      </c>
      <c r="O151" s="398">
        <f>+'Feuil-saisie'!AL439</f>
        <v>0</v>
      </c>
      <c r="P151" s="400">
        <f t="shared" ref="P151:P157" si="273">+N151+O151</f>
        <v>0</v>
      </c>
      <c r="Q151" s="401">
        <f>+'Feuil-saisie'!AN439</f>
        <v>0</v>
      </c>
      <c r="R151" s="398">
        <f>+'Feuil-saisie'!AU439</f>
        <v>0</v>
      </c>
      <c r="S151" s="399">
        <f>+'Feuil-saisie'!AV439</f>
        <v>0</v>
      </c>
      <c r="T151" s="400">
        <f t="shared" ref="T151:T157" si="274">+R151+S151</f>
        <v>0</v>
      </c>
      <c r="U151" s="401">
        <f>+'Feuil-saisie'!AX439</f>
        <v>0</v>
      </c>
      <c r="V151" s="398">
        <f>+'Feuil-saisie'!BE439</f>
        <v>0</v>
      </c>
      <c r="W151" s="399">
        <f>+'Feuil-saisie'!BF439</f>
        <v>0</v>
      </c>
      <c r="X151" s="400">
        <f t="shared" ref="X151:X157" si="275">+V151+W151</f>
        <v>0</v>
      </c>
      <c r="Y151" s="401">
        <f>+'Feuil-saisie'!BH439</f>
        <v>0</v>
      </c>
      <c r="Z151" s="398">
        <f>+'Feuil-saisie'!BO439</f>
        <v>0</v>
      </c>
      <c r="AA151" s="399">
        <f>+'Feuil-saisie'!BP439</f>
        <v>0</v>
      </c>
      <c r="AB151" s="400">
        <f t="shared" ref="AB151:AB157" si="276">+Z151+AA151</f>
        <v>0</v>
      </c>
      <c r="AC151" s="401">
        <f>+'Feuil-saisie'!BR439</f>
        <v>0</v>
      </c>
      <c r="AD151" s="398">
        <f>+'Feuil-saisie'!BY439</f>
        <v>0</v>
      </c>
      <c r="AE151" s="399">
        <f>+'Feuil-saisie'!BZ439</f>
        <v>0</v>
      </c>
      <c r="AF151" s="400">
        <f t="shared" ref="AF151:AF157" si="277">+AD151+AE151</f>
        <v>0</v>
      </c>
      <c r="AG151" s="401">
        <f>+'Feuil-saisie'!CB439</f>
        <v>0</v>
      </c>
      <c r="AH151" s="398">
        <f>+'Feuil-saisie'!CI439</f>
        <v>0</v>
      </c>
      <c r="AI151" s="399">
        <f>+'Feuil-saisie'!CJ439</f>
        <v>0</v>
      </c>
      <c r="AJ151" s="400">
        <f t="shared" ref="AJ151:AJ157" si="278">+AH151+AI151</f>
        <v>0</v>
      </c>
      <c r="AK151" s="401">
        <f>+'Feuil-saisie'!CL439</f>
        <v>0</v>
      </c>
      <c r="AL151" s="398">
        <f>+'Feuil-saisie'!CS439</f>
        <v>0</v>
      </c>
      <c r="AM151" s="399">
        <f>+'Feuil-saisie'!CT439</f>
        <v>0</v>
      </c>
      <c r="AN151" s="400">
        <f t="shared" ref="AN151:AN157" si="279">+AL151+AM151</f>
        <v>0</v>
      </c>
      <c r="AO151" s="401">
        <f>+'Feuil-saisie'!CV439</f>
        <v>0</v>
      </c>
      <c r="AP151" s="398">
        <f>+'Feuil-saisie'!DC439</f>
        <v>0</v>
      </c>
      <c r="AQ151" s="399">
        <f>+'Feuil-saisie'!DD439</f>
        <v>0</v>
      </c>
      <c r="AR151" s="400">
        <f t="shared" ref="AR151:AR157" si="280">+AP151+AQ151</f>
        <v>0</v>
      </c>
      <c r="AS151" s="401">
        <f>+'Feuil-saisie'!DF439</f>
        <v>0</v>
      </c>
      <c r="AT151" s="398">
        <f>+'Feuil-saisie'!DM439</f>
        <v>0</v>
      </c>
      <c r="AU151" s="399">
        <f>+'Feuil-saisie'!DN439</f>
        <v>0</v>
      </c>
      <c r="AV151" s="400">
        <f t="shared" ref="AV151:AV157" si="281">+AT151+AU151</f>
        <v>0</v>
      </c>
      <c r="AW151" s="401">
        <f>+'Feuil-saisie'!DP439</f>
        <v>0</v>
      </c>
      <c r="AX151" s="432">
        <f t="shared" si="266"/>
        <v>0</v>
      </c>
      <c r="AY151" s="432">
        <f t="shared" si="267"/>
        <v>0</v>
      </c>
      <c r="AZ151" s="432">
        <f t="shared" si="268"/>
        <v>0</v>
      </c>
      <c r="BA151" s="432">
        <f>E151+I151+M151+Q151+U151+Y151+AC151+AG151+AK151+AO151+AS151+AW151</f>
        <v>0</v>
      </c>
      <c r="BB151" s="435"/>
      <c r="BC151" s="395"/>
      <c r="BD151" s="395">
        <f t="shared" si="269"/>
        <v>0</v>
      </c>
      <c r="BE151" s="395">
        <f t="shared" si="270"/>
        <v>0</v>
      </c>
    </row>
    <row r="152" spans="1:73" ht="14.4" thickBot="1">
      <c r="A152" s="397" t="s">
        <v>3</v>
      </c>
      <c r="B152" s="398">
        <f>+'Feuil-saisie'!G440</f>
        <v>15</v>
      </c>
      <c r="C152" s="399">
        <f>+'Feuil-saisie'!H440</f>
        <v>0</v>
      </c>
      <c r="D152" s="400">
        <f t="shared" si="265"/>
        <v>15</v>
      </c>
      <c r="E152" s="401">
        <f>+'Feuil-saisie'!J440</f>
        <v>0</v>
      </c>
      <c r="F152" s="398">
        <f>+'Feuil-saisie'!Q440</f>
        <v>4</v>
      </c>
      <c r="G152" s="398">
        <f>+'Feuil-saisie'!R440</f>
        <v>0</v>
      </c>
      <c r="H152" s="400">
        <f t="shared" si="271"/>
        <v>4</v>
      </c>
      <c r="I152" s="401">
        <f>+'Feuil-saisie'!T440</f>
        <v>0</v>
      </c>
      <c r="J152" s="398">
        <f>+'Feuil-saisie'!AA440</f>
        <v>19</v>
      </c>
      <c r="K152" s="398">
        <f>+'Feuil-saisie'!AB440</f>
        <v>0</v>
      </c>
      <c r="L152" s="400">
        <f t="shared" si="272"/>
        <v>19</v>
      </c>
      <c r="M152" s="401">
        <f>+'Feuil-saisie'!AD440</f>
        <v>0</v>
      </c>
      <c r="N152" s="398">
        <f>+'Feuil-saisie'!AK440</f>
        <v>4</v>
      </c>
      <c r="O152" s="398">
        <f>+'Feuil-saisie'!AL440</f>
        <v>0</v>
      </c>
      <c r="P152" s="400">
        <f t="shared" si="273"/>
        <v>4</v>
      </c>
      <c r="Q152" s="401">
        <f>+'Feuil-saisie'!AN440</f>
        <v>0</v>
      </c>
      <c r="R152" s="398">
        <f>+'Feuil-saisie'!AU440</f>
        <v>9</v>
      </c>
      <c r="S152" s="399">
        <f>+'Feuil-saisie'!AV440</f>
        <v>0</v>
      </c>
      <c r="T152" s="400">
        <f t="shared" si="274"/>
        <v>9</v>
      </c>
      <c r="U152" s="401">
        <f>+'Feuil-saisie'!AX440</f>
        <v>0</v>
      </c>
      <c r="V152" s="398">
        <f>+'Feuil-saisie'!BE440</f>
        <v>5</v>
      </c>
      <c r="W152" s="399">
        <f>+'Feuil-saisie'!BF440</f>
        <v>0</v>
      </c>
      <c r="X152" s="400">
        <f t="shared" si="275"/>
        <v>5</v>
      </c>
      <c r="Y152" s="401">
        <f>+'Feuil-saisie'!BH440</f>
        <v>0</v>
      </c>
      <c r="Z152" s="398">
        <f>+'Feuil-saisie'!BO440</f>
        <v>7</v>
      </c>
      <c r="AA152" s="399">
        <f>+'Feuil-saisie'!BP440</f>
        <v>0</v>
      </c>
      <c r="AB152" s="400">
        <f t="shared" si="276"/>
        <v>7</v>
      </c>
      <c r="AC152" s="401">
        <f>+'Feuil-saisie'!BR440</f>
        <v>0</v>
      </c>
      <c r="AD152" s="398">
        <f>+'Feuil-saisie'!BY440</f>
        <v>8</v>
      </c>
      <c r="AE152" s="399">
        <f>+'Feuil-saisie'!BZ440</f>
        <v>0</v>
      </c>
      <c r="AF152" s="400">
        <f t="shared" si="277"/>
        <v>8</v>
      </c>
      <c r="AG152" s="401">
        <f>+'Feuil-saisie'!CB440</f>
        <v>0</v>
      </c>
      <c r="AH152" s="398">
        <f>+'Feuil-saisie'!CI440</f>
        <v>0</v>
      </c>
      <c r="AI152" s="399">
        <f>+'Feuil-saisie'!CJ440</f>
        <v>0</v>
      </c>
      <c r="AJ152" s="400">
        <f t="shared" si="278"/>
        <v>0</v>
      </c>
      <c r="AK152" s="401">
        <f>+'Feuil-saisie'!CL440</f>
        <v>0</v>
      </c>
      <c r="AL152" s="398">
        <f>+'Feuil-saisie'!CS440</f>
        <v>0</v>
      </c>
      <c r="AM152" s="399">
        <f>+'Feuil-saisie'!CT440</f>
        <v>0</v>
      </c>
      <c r="AN152" s="400">
        <f t="shared" si="279"/>
        <v>0</v>
      </c>
      <c r="AO152" s="401">
        <f>+'Feuil-saisie'!CV440</f>
        <v>0</v>
      </c>
      <c r="AP152" s="398">
        <f>+'Feuil-saisie'!DC440</f>
        <v>0</v>
      </c>
      <c r="AQ152" s="399">
        <f>+'Feuil-saisie'!DD440</f>
        <v>0</v>
      </c>
      <c r="AR152" s="400">
        <f t="shared" si="280"/>
        <v>0</v>
      </c>
      <c r="AS152" s="401">
        <f>+'Feuil-saisie'!DF440</f>
        <v>0</v>
      </c>
      <c r="AT152" s="398">
        <f>+'Feuil-saisie'!DM440</f>
        <v>0</v>
      </c>
      <c r="AU152" s="399">
        <f>+'Feuil-saisie'!DN440</f>
        <v>0</v>
      </c>
      <c r="AV152" s="400">
        <f t="shared" si="281"/>
        <v>0</v>
      </c>
      <c r="AW152" s="401">
        <f>+'Feuil-saisie'!DP440</f>
        <v>0</v>
      </c>
      <c r="AX152" s="432">
        <f t="shared" si="266"/>
        <v>71</v>
      </c>
      <c r="AY152" s="432">
        <f t="shared" si="267"/>
        <v>0</v>
      </c>
      <c r="AZ152" s="432">
        <f t="shared" si="268"/>
        <v>71</v>
      </c>
      <c r="BA152" s="432">
        <f t="shared" ref="BA152:BA157" si="282">E152+I152+M152+Q152+U152+Y152+AC152+AG152+AK152+AO152+AS152+AW152</f>
        <v>0</v>
      </c>
      <c r="BB152" s="435"/>
      <c r="BC152" s="395"/>
      <c r="BD152" s="395">
        <f t="shared" si="269"/>
        <v>8</v>
      </c>
      <c r="BE152" s="395">
        <f t="shared" si="270"/>
        <v>0</v>
      </c>
    </row>
    <row r="153" spans="1:73" ht="14.4" thickBot="1">
      <c r="A153" s="397" t="s">
        <v>397</v>
      </c>
      <c r="B153" s="398">
        <f>+'Feuil-saisie'!G441</f>
        <v>0</v>
      </c>
      <c r="C153" s="399">
        <f>+'Feuil-saisie'!H441</f>
        <v>0</v>
      </c>
      <c r="D153" s="400">
        <f t="shared" si="265"/>
        <v>0</v>
      </c>
      <c r="E153" s="401">
        <f>+'Feuil-saisie'!J441</f>
        <v>0</v>
      </c>
      <c r="F153" s="398">
        <f>+'Feuil-saisie'!Q441</f>
        <v>0</v>
      </c>
      <c r="G153" s="398">
        <f>+'Feuil-saisie'!R441</f>
        <v>0</v>
      </c>
      <c r="H153" s="400">
        <f t="shared" si="271"/>
        <v>0</v>
      </c>
      <c r="I153" s="401">
        <f>+'Feuil-saisie'!T441</f>
        <v>0</v>
      </c>
      <c r="J153" s="398">
        <f>+'Feuil-saisie'!AA441</f>
        <v>0</v>
      </c>
      <c r="K153" s="398">
        <f>+'Feuil-saisie'!AB441</f>
        <v>0</v>
      </c>
      <c r="L153" s="400">
        <f t="shared" si="272"/>
        <v>0</v>
      </c>
      <c r="M153" s="401">
        <f>+'Feuil-saisie'!AD441</f>
        <v>0</v>
      </c>
      <c r="N153" s="398">
        <f>+'Feuil-saisie'!AK441</f>
        <v>0</v>
      </c>
      <c r="O153" s="398">
        <f>+'Feuil-saisie'!AL441</f>
        <v>0</v>
      </c>
      <c r="P153" s="400">
        <f t="shared" si="273"/>
        <v>0</v>
      </c>
      <c r="Q153" s="401">
        <f>+'Feuil-saisie'!AN441</f>
        <v>0</v>
      </c>
      <c r="R153" s="398">
        <f>+'Feuil-saisie'!AU441</f>
        <v>0</v>
      </c>
      <c r="S153" s="399">
        <f>+'Feuil-saisie'!AV441</f>
        <v>0</v>
      </c>
      <c r="T153" s="400">
        <f t="shared" si="274"/>
        <v>0</v>
      </c>
      <c r="U153" s="401">
        <f>+'Feuil-saisie'!AX441</f>
        <v>0</v>
      </c>
      <c r="V153" s="398">
        <f>+'Feuil-saisie'!BE441</f>
        <v>0</v>
      </c>
      <c r="W153" s="399">
        <f>+'Feuil-saisie'!BF441</f>
        <v>0</v>
      </c>
      <c r="X153" s="400">
        <f t="shared" si="275"/>
        <v>0</v>
      </c>
      <c r="Y153" s="401">
        <f>+'Feuil-saisie'!BH441</f>
        <v>0</v>
      </c>
      <c r="Z153" s="398">
        <f>+'Feuil-saisie'!BO441</f>
        <v>0</v>
      </c>
      <c r="AA153" s="399">
        <f>+'Feuil-saisie'!BP441</f>
        <v>0</v>
      </c>
      <c r="AB153" s="400">
        <f t="shared" si="276"/>
        <v>0</v>
      </c>
      <c r="AC153" s="401">
        <f>+'Feuil-saisie'!BR441</f>
        <v>0</v>
      </c>
      <c r="AD153" s="398">
        <f>+'Feuil-saisie'!BY441</f>
        <v>0</v>
      </c>
      <c r="AE153" s="399">
        <f>+'Feuil-saisie'!BZ441</f>
        <v>0</v>
      </c>
      <c r="AF153" s="400">
        <f t="shared" si="277"/>
        <v>0</v>
      </c>
      <c r="AG153" s="401">
        <f>+'Feuil-saisie'!CB441</f>
        <v>0</v>
      </c>
      <c r="AH153" s="398">
        <f>+'Feuil-saisie'!CI441</f>
        <v>0</v>
      </c>
      <c r="AI153" s="399">
        <f>+'Feuil-saisie'!CJ441</f>
        <v>0</v>
      </c>
      <c r="AJ153" s="400">
        <f t="shared" si="278"/>
        <v>0</v>
      </c>
      <c r="AK153" s="401">
        <f>+'Feuil-saisie'!CL441</f>
        <v>0</v>
      </c>
      <c r="AL153" s="398">
        <f>+'Feuil-saisie'!CS441</f>
        <v>0</v>
      </c>
      <c r="AM153" s="399">
        <f>+'Feuil-saisie'!CT441</f>
        <v>0</v>
      </c>
      <c r="AN153" s="400">
        <f t="shared" si="279"/>
        <v>0</v>
      </c>
      <c r="AO153" s="401">
        <f>+'Feuil-saisie'!CV441</f>
        <v>0</v>
      </c>
      <c r="AP153" s="398">
        <f>+'Feuil-saisie'!DC441</f>
        <v>0</v>
      </c>
      <c r="AQ153" s="399">
        <f>+'Feuil-saisie'!DD441</f>
        <v>0</v>
      </c>
      <c r="AR153" s="400">
        <f t="shared" si="280"/>
        <v>0</v>
      </c>
      <c r="AS153" s="401">
        <f>+'Feuil-saisie'!DF441</f>
        <v>0</v>
      </c>
      <c r="AT153" s="398">
        <f>+'Feuil-saisie'!DM441</f>
        <v>0</v>
      </c>
      <c r="AU153" s="399">
        <f>+'Feuil-saisie'!DN441</f>
        <v>0</v>
      </c>
      <c r="AV153" s="400">
        <f t="shared" si="281"/>
        <v>0</v>
      </c>
      <c r="AW153" s="401">
        <f>+'Feuil-saisie'!DP441</f>
        <v>0</v>
      </c>
      <c r="AX153" s="432">
        <f t="shared" si="266"/>
        <v>0</v>
      </c>
      <c r="AY153" s="432">
        <f t="shared" si="267"/>
        <v>0</v>
      </c>
      <c r="AZ153" s="432">
        <f t="shared" si="268"/>
        <v>0</v>
      </c>
      <c r="BA153" s="432">
        <f t="shared" si="282"/>
        <v>0</v>
      </c>
      <c r="BB153" s="435"/>
      <c r="BC153" s="395"/>
      <c r="BD153" s="395">
        <f t="shared" si="269"/>
        <v>0</v>
      </c>
      <c r="BE153" s="395">
        <f t="shared" si="270"/>
        <v>0</v>
      </c>
    </row>
    <row r="154" spans="1:73" ht="14.4" thickBot="1">
      <c r="A154" s="397" t="s">
        <v>399</v>
      </c>
      <c r="B154" s="398">
        <f>+'Feuil-saisie'!G442</f>
        <v>0</v>
      </c>
      <c r="C154" s="399">
        <f>+'Feuil-saisie'!H442</f>
        <v>0</v>
      </c>
      <c r="D154" s="400">
        <f t="shared" si="265"/>
        <v>0</v>
      </c>
      <c r="E154" s="401">
        <f>+'Feuil-saisie'!J442</f>
        <v>0</v>
      </c>
      <c r="F154" s="398">
        <f>+'Feuil-saisie'!Q442</f>
        <v>0</v>
      </c>
      <c r="G154" s="398">
        <f>+'Feuil-saisie'!R442</f>
        <v>0</v>
      </c>
      <c r="H154" s="400">
        <f t="shared" si="271"/>
        <v>0</v>
      </c>
      <c r="I154" s="401">
        <f>+'Feuil-saisie'!T442</f>
        <v>0</v>
      </c>
      <c r="J154" s="398">
        <f>+'Feuil-saisie'!AA442</f>
        <v>0</v>
      </c>
      <c r="K154" s="398">
        <f>+'Feuil-saisie'!AB442</f>
        <v>0</v>
      </c>
      <c r="L154" s="400">
        <f t="shared" si="272"/>
        <v>0</v>
      </c>
      <c r="M154" s="401">
        <f>+'Feuil-saisie'!AD442</f>
        <v>0</v>
      </c>
      <c r="N154" s="398">
        <f>+'Feuil-saisie'!AK442</f>
        <v>0</v>
      </c>
      <c r="O154" s="398">
        <f>+'Feuil-saisie'!AL442</f>
        <v>0</v>
      </c>
      <c r="P154" s="400">
        <f t="shared" si="273"/>
        <v>0</v>
      </c>
      <c r="Q154" s="401">
        <f>+'Feuil-saisie'!AN442</f>
        <v>0</v>
      </c>
      <c r="R154" s="398">
        <f>+'Feuil-saisie'!AU442</f>
        <v>0</v>
      </c>
      <c r="S154" s="399">
        <f>+'Feuil-saisie'!AV442</f>
        <v>0</v>
      </c>
      <c r="T154" s="400">
        <f t="shared" si="274"/>
        <v>0</v>
      </c>
      <c r="U154" s="401">
        <f>+'Feuil-saisie'!AX442</f>
        <v>0</v>
      </c>
      <c r="V154" s="398">
        <f>+'Feuil-saisie'!BE442</f>
        <v>0</v>
      </c>
      <c r="W154" s="399">
        <f>+'Feuil-saisie'!BF442</f>
        <v>0</v>
      </c>
      <c r="X154" s="400">
        <f t="shared" si="275"/>
        <v>0</v>
      </c>
      <c r="Y154" s="401">
        <f>+'Feuil-saisie'!BH442</f>
        <v>0</v>
      </c>
      <c r="Z154" s="398">
        <f>+'Feuil-saisie'!BO442</f>
        <v>0</v>
      </c>
      <c r="AA154" s="399">
        <f>+'Feuil-saisie'!BP442</f>
        <v>0</v>
      </c>
      <c r="AB154" s="400">
        <f t="shared" si="276"/>
        <v>0</v>
      </c>
      <c r="AC154" s="401">
        <f>+'Feuil-saisie'!BR442</f>
        <v>0</v>
      </c>
      <c r="AD154" s="398">
        <f>+'Feuil-saisie'!BY442</f>
        <v>0</v>
      </c>
      <c r="AE154" s="399">
        <f>+'Feuil-saisie'!BZ442</f>
        <v>0</v>
      </c>
      <c r="AF154" s="400">
        <f t="shared" si="277"/>
        <v>0</v>
      </c>
      <c r="AG154" s="401">
        <f>+'Feuil-saisie'!CB442</f>
        <v>0</v>
      </c>
      <c r="AH154" s="398">
        <f>+'Feuil-saisie'!CI442</f>
        <v>0</v>
      </c>
      <c r="AI154" s="399">
        <f>+'Feuil-saisie'!CJ442</f>
        <v>0</v>
      </c>
      <c r="AJ154" s="400">
        <f t="shared" si="278"/>
        <v>0</v>
      </c>
      <c r="AK154" s="401">
        <f>+'Feuil-saisie'!CL442</f>
        <v>0</v>
      </c>
      <c r="AL154" s="398">
        <f>+'Feuil-saisie'!CS442</f>
        <v>0</v>
      </c>
      <c r="AM154" s="399">
        <f>+'Feuil-saisie'!CT442</f>
        <v>0</v>
      </c>
      <c r="AN154" s="400">
        <f t="shared" si="279"/>
        <v>0</v>
      </c>
      <c r="AO154" s="401">
        <f>+'Feuil-saisie'!CV442</f>
        <v>0</v>
      </c>
      <c r="AP154" s="398">
        <f>+'Feuil-saisie'!DC442</f>
        <v>0</v>
      </c>
      <c r="AQ154" s="399">
        <f>+'Feuil-saisie'!DD442</f>
        <v>0</v>
      </c>
      <c r="AR154" s="400">
        <f t="shared" si="280"/>
        <v>0</v>
      </c>
      <c r="AS154" s="401">
        <f>+'Feuil-saisie'!DF442</f>
        <v>0</v>
      </c>
      <c r="AT154" s="398">
        <f>+'Feuil-saisie'!DM442</f>
        <v>0</v>
      </c>
      <c r="AU154" s="399">
        <f>+'Feuil-saisie'!DN442</f>
        <v>0</v>
      </c>
      <c r="AV154" s="400">
        <f t="shared" si="281"/>
        <v>0</v>
      </c>
      <c r="AW154" s="401">
        <f>+'Feuil-saisie'!DP442</f>
        <v>0</v>
      </c>
      <c r="AX154" s="432">
        <f t="shared" si="266"/>
        <v>0</v>
      </c>
      <c r="AY154" s="432">
        <f t="shared" si="267"/>
        <v>0</v>
      </c>
      <c r="AZ154" s="432">
        <f t="shared" si="268"/>
        <v>0</v>
      </c>
      <c r="BA154" s="432">
        <f t="shared" si="282"/>
        <v>0</v>
      </c>
      <c r="BB154" s="435"/>
      <c r="BC154" s="395"/>
      <c r="BD154" s="395">
        <f t="shared" si="269"/>
        <v>0</v>
      </c>
      <c r="BE154" s="395">
        <f t="shared" si="270"/>
        <v>0</v>
      </c>
    </row>
    <row r="155" spans="1:73" ht="14.4" thickBot="1">
      <c r="A155" s="397" t="s">
        <v>883</v>
      </c>
      <c r="B155" s="398">
        <f>+'Feuil-saisie'!G443</f>
        <v>1</v>
      </c>
      <c r="C155" s="399">
        <f>+'Feuil-saisie'!H443</f>
        <v>0</v>
      </c>
      <c r="D155" s="400">
        <f t="shared" si="265"/>
        <v>1</v>
      </c>
      <c r="E155" s="401">
        <f>+'Feuil-saisie'!J443</f>
        <v>0</v>
      </c>
      <c r="F155" s="398">
        <f>+'Feuil-saisie'!Q443</f>
        <v>2</v>
      </c>
      <c r="G155" s="398">
        <f>+'Feuil-saisie'!R443</f>
        <v>0</v>
      </c>
      <c r="H155" s="400">
        <f t="shared" si="271"/>
        <v>2</v>
      </c>
      <c r="I155" s="401">
        <f>+'Feuil-saisie'!T443</f>
        <v>0</v>
      </c>
      <c r="J155" s="398">
        <f>+'Feuil-saisie'!AA443</f>
        <v>1</v>
      </c>
      <c r="K155" s="398">
        <f>+'Feuil-saisie'!AB443</f>
        <v>0</v>
      </c>
      <c r="L155" s="400">
        <f t="shared" si="272"/>
        <v>1</v>
      </c>
      <c r="M155" s="401">
        <f>+'Feuil-saisie'!AD443</f>
        <v>0</v>
      </c>
      <c r="N155" s="398">
        <f>+'Feuil-saisie'!AK443</f>
        <v>2</v>
      </c>
      <c r="O155" s="398">
        <f>+'Feuil-saisie'!AL443</f>
        <v>0</v>
      </c>
      <c r="P155" s="400">
        <f t="shared" si="273"/>
        <v>2</v>
      </c>
      <c r="Q155" s="401">
        <f>+'Feuil-saisie'!AN443</f>
        <v>0</v>
      </c>
      <c r="R155" s="398">
        <f>+'Feuil-saisie'!AU443</f>
        <v>1</v>
      </c>
      <c r="S155" s="399">
        <f>+'Feuil-saisie'!AV443</f>
        <v>0</v>
      </c>
      <c r="T155" s="400">
        <f t="shared" si="274"/>
        <v>1</v>
      </c>
      <c r="U155" s="401">
        <f>+'Feuil-saisie'!AX443</f>
        <v>0</v>
      </c>
      <c r="V155" s="398">
        <f>+'Feuil-saisie'!BE443</f>
        <v>0</v>
      </c>
      <c r="W155" s="399">
        <f>+'Feuil-saisie'!BF443</f>
        <v>0</v>
      </c>
      <c r="X155" s="400">
        <f t="shared" si="275"/>
        <v>0</v>
      </c>
      <c r="Y155" s="401">
        <f>+'Feuil-saisie'!BH443</f>
        <v>0</v>
      </c>
      <c r="Z155" s="398">
        <f>+'Feuil-saisie'!BO443</f>
        <v>0</v>
      </c>
      <c r="AA155" s="399">
        <f>+'Feuil-saisie'!BP443</f>
        <v>0</v>
      </c>
      <c r="AB155" s="400">
        <f t="shared" si="276"/>
        <v>0</v>
      </c>
      <c r="AC155" s="401">
        <f>+'Feuil-saisie'!BR443</f>
        <v>0</v>
      </c>
      <c r="AD155" s="398">
        <f>+'Feuil-saisie'!BY443</f>
        <v>0</v>
      </c>
      <c r="AE155" s="399">
        <f>+'Feuil-saisie'!BZ443</f>
        <v>0</v>
      </c>
      <c r="AF155" s="400">
        <f t="shared" si="277"/>
        <v>0</v>
      </c>
      <c r="AG155" s="401">
        <f>+'Feuil-saisie'!CB443</f>
        <v>0</v>
      </c>
      <c r="AH155" s="398">
        <f>+'Feuil-saisie'!CI443</f>
        <v>0</v>
      </c>
      <c r="AI155" s="399">
        <f>+'Feuil-saisie'!CJ443</f>
        <v>0</v>
      </c>
      <c r="AJ155" s="400">
        <f t="shared" si="278"/>
        <v>0</v>
      </c>
      <c r="AK155" s="401">
        <f>+'Feuil-saisie'!CL443</f>
        <v>0</v>
      </c>
      <c r="AL155" s="398">
        <f>+'Feuil-saisie'!CS443</f>
        <v>0</v>
      </c>
      <c r="AM155" s="399">
        <f>+'Feuil-saisie'!CT443</f>
        <v>0</v>
      </c>
      <c r="AN155" s="400">
        <f t="shared" si="279"/>
        <v>0</v>
      </c>
      <c r="AO155" s="401">
        <f>+'Feuil-saisie'!CV443</f>
        <v>0</v>
      </c>
      <c r="AP155" s="398">
        <f>+'Feuil-saisie'!DC443</f>
        <v>0</v>
      </c>
      <c r="AQ155" s="399">
        <f>+'Feuil-saisie'!DD443</f>
        <v>0</v>
      </c>
      <c r="AR155" s="400">
        <f t="shared" si="280"/>
        <v>0</v>
      </c>
      <c r="AS155" s="401">
        <f>+'Feuil-saisie'!DF443</f>
        <v>0</v>
      </c>
      <c r="AT155" s="398">
        <f>+'Feuil-saisie'!DM443</f>
        <v>0</v>
      </c>
      <c r="AU155" s="399">
        <f>+'Feuil-saisie'!DN443</f>
        <v>0</v>
      </c>
      <c r="AV155" s="400">
        <f t="shared" si="281"/>
        <v>0</v>
      </c>
      <c r="AW155" s="401">
        <f>+'Feuil-saisie'!DP443</f>
        <v>0</v>
      </c>
      <c r="AX155" s="432">
        <f t="shared" si="266"/>
        <v>7</v>
      </c>
      <c r="AY155" s="432">
        <f t="shared" si="267"/>
        <v>0</v>
      </c>
      <c r="AZ155" s="432">
        <f t="shared" si="268"/>
        <v>7</v>
      </c>
      <c r="BA155" s="432">
        <f t="shared" si="282"/>
        <v>0</v>
      </c>
      <c r="BB155" s="435"/>
      <c r="BC155" s="395"/>
      <c r="BD155" s="395">
        <f t="shared" si="269"/>
        <v>0</v>
      </c>
      <c r="BE155" s="395">
        <f t="shared" si="270"/>
        <v>0</v>
      </c>
    </row>
    <row r="156" spans="1:73" ht="14.4" thickBot="1">
      <c r="A156" s="397" t="s">
        <v>884</v>
      </c>
      <c r="B156" s="398">
        <f>+'Feuil-saisie'!G444</f>
        <v>1</v>
      </c>
      <c r="C156" s="399">
        <f>+'Feuil-saisie'!H444</f>
        <v>0</v>
      </c>
      <c r="D156" s="400">
        <f t="shared" si="265"/>
        <v>1</v>
      </c>
      <c r="E156" s="401">
        <f>+'Feuil-saisie'!J444</f>
        <v>0</v>
      </c>
      <c r="F156" s="398">
        <f>+'Feuil-saisie'!Q444</f>
        <v>0</v>
      </c>
      <c r="G156" s="398">
        <f>+'Feuil-saisie'!R444</f>
        <v>0</v>
      </c>
      <c r="H156" s="400">
        <f t="shared" si="271"/>
        <v>0</v>
      </c>
      <c r="I156" s="401">
        <f>+'Feuil-saisie'!T444</f>
        <v>0</v>
      </c>
      <c r="J156" s="398">
        <f>+'Feuil-saisie'!AA444</f>
        <v>3</v>
      </c>
      <c r="K156" s="398">
        <f>+'Feuil-saisie'!AB444</f>
        <v>0</v>
      </c>
      <c r="L156" s="400">
        <f t="shared" si="272"/>
        <v>3</v>
      </c>
      <c r="M156" s="401">
        <f>+'Feuil-saisie'!AD444</f>
        <v>0</v>
      </c>
      <c r="N156" s="398">
        <f>+'Feuil-saisie'!AK444</f>
        <v>0</v>
      </c>
      <c r="O156" s="398">
        <f>+'Feuil-saisie'!AL444</f>
        <v>0</v>
      </c>
      <c r="P156" s="400">
        <f t="shared" si="273"/>
        <v>0</v>
      </c>
      <c r="Q156" s="401">
        <f>+'Feuil-saisie'!AN444</f>
        <v>0</v>
      </c>
      <c r="R156" s="398">
        <f>+'Feuil-saisie'!AU444</f>
        <v>0</v>
      </c>
      <c r="S156" s="399">
        <f>+'Feuil-saisie'!AV444</f>
        <v>0</v>
      </c>
      <c r="T156" s="400">
        <f t="shared" si="274"/>
        <v>0</v>
      </c>
      <c r="U156" s="401">
        <f>+'Feuil-saisie'!AX444</f>
        <v>0</v>
      </c>
      <c r="V156" s="398">
        <f>+'Feuil-saisie'!BE444</f>
        <v>6</v>
      </c>
      <c r="W156" s="399">
        <f>+'Feuil-saisie'!BF444</f>
        <v>0</v>
      </c>
      <c r="X156" s="400">
        <f t="shared" si="275"/>
        <v>6</v>
      </c>
      <c r="Y156" s="401">
        <f>+'Feuil-saisie'!BH444</f>
        <v>0</v>
      </c>
      <c r="Z156" s="398">
        <f>+'Feuil-saisie'!BO444</f>
        <v>53</v>
      </c>
      <c r="AA156" s="399">
        <f>+'Feuil-saisie'!BP444</f>
        <v>2</v>
      </c>
      <c r="AB156" s="400">
        <f t="shared" si="276"/>
        <v>55</v>
      </c>
      <c r="AC156" s="401">
        <f>+'Feuil-saisie'!BR444</f>
        <v>0</v>
      </c>
      <c r="AD156" s="398">
        <f>+'Feuil-saisie'!BY444</f>
        <v>1</v>
      </c>
      <c r="AE156" s="399">
        <f>+'Feuil-saisie'!BZ444</f>
        <v>0</v>
      </c>
      <c r="AF156" s="400">
        <f t="shared" si="277"/>
        <v>1</v>
      </c>
      <c r="AG156" s="401">
        <f>+'Feuil-saisie'!CB444</f>
        <v>0</v>
      </c>
      <c r="AH156" s="398">
        <f>+'Feuil-saisie'!CI444</f>
        <v>0</v>
      </c>
      <c r="AI156" s="399">
        <f>+'Feuil-saisie'!CJ444</f>
        <v>0</v>
      </c>
      <c r="AJ156" s="400">
        <f t="shared" si="278"/>
        <v>0</v>
      </c>
      <c r="AK156" s="401">
        <f>+'Feuil-saisie'!CL444</f>
        <v>0</v>
      </c>
      <c r="AL156" s="398">
        <f>+'Feuil-saisie'!CS444</f>
        <v>0</v>
      </c>
      <c r="AM156" s="399">
        <f>+'Feuil-saisie'!CT444</f>
        <v>0</v>
      </c>
      <c r="AN156" s="400">
        <f t="shared" si="279"/>
        <v>0</v>
      </c>
      <c r="AO156" s="401">
        <f>+'Feuil-saisie'!CV444</f>
        <v>0</v>
      </c>
      <c r="AP156" s="398">
        <f>+'Feuil-saisie'!DC444</f>
        <v>0</v>
      </c>
      <c r="AQ156" s="399">
        <f>+'Feuil-saisie'!DD444</f>
        <v>0</v>
      </c>
      <c r="AR156" s="400">
        <f t="shared" si="280"/>
        <v>0</v>
      </c>
      <c r="AS156" s="401">
        <f>+'Feuil-saisie'!DF444</f>
        <v>0</v>
      </c>
      <c r="AT156" s="398">
        <f>+'Feuil-saisie'!DM444</f>
        <v>0</v>
      </c>
      <c r="AU156" s="399">
        <f>+'Feuil-saisie'!DN444</f>
        <v>0</v>
      </c>
      <c r="AV156" s="400">
        <f t="shared" si="281"/>
        <v>0</v>
      </c>
      <c r="AW156" s="401">
        <f>+'Feuil-saisie'!DP444</f>
        <v>0</v>
      </c>
      <c r="AX156" s="432">
        <f t="shared" si="266"/>
        <v>64</v>
      </c>
      <c r="AY156" s="432">
        <f t="shared" si="267"/>
        <v>2</v>
      </c>
      <c r="AZ156" s="432">
        <f t="shared" si="268"/>
        <v>66</v>
      </c>
      <c r="BA156" s="432">
        <f t="shared" si="282"/>
        <v>0</v>
      </c>
      <c r="BB156" s="435"/>
      <c r="BC156" s="395"/>
      <c r="BD156" s="395">
        <f t="shared" si="269"/>
        <v>1</v>
      </c>
      <c r="BE156" s="395">
        <f t="shared" si="270"/>
        <v>0</v>
      </c>
    </row>
    <row r="157" spans="1:73" ht="14.4" thickBot="1">
      <c r="A157" s="397" t="s">
        <v>885</v>
      </c>
      <c r="B157" s="398">
        <f>+'Feuil-saisie'!G445</f>
        <v>11</v>
      </c>
      <c r="C157" s="399">
        <f>+'Feuil-saisie'!H445</f>
        <v>0</v>
      </c>
      <c r="D157" s="400">
        <f t="shared" si="265"/>
        <v>11</v>
      </c>
      <c r="E157" s="401">
        <f>+'Feuil-saisie'!J445</f>
        <v>0</v>
      </c>
      <c r="F157" s="398">
        <f>+'Feuil-saisie'!Q445</f>
        <v>24</v>
      </c>
      <c r="G157" s="398">
        <f>+'Feuil-saisie'!R445</f>
        <v>0</v>
      </c>
      <c r="H157" s="400">
        <f t="shared" si="271"/>
        <v>24</v>
      </c>
      <c r="I157" s="401">
        <f>+'Feuil-saisie'!T445</f>
        <v>0</v>
      </c>
      <c r="J157" s="398">
        <f>+'Feuil-saisie'!AA445</f>
        <v>19</v>
      </c>
      <c r="K157" s="398">
        <f>+'Feuil-saisie'!AB445</f>
        <v>0</v>
      </c>
      <c r="L157" s="400">
        <f t="shared" si="272"/>
        <v>19</v>
      </c>
      <c r="M157" s="401">
        <f>+'Feuil-saisie'!AD445</f>
        <v>0</v>
      </c>
      <c r="N157" s="398">
        <f>+'Feuil-saisie'!AK445</f>
        <v>18</v>
      </c>
      <c r="O157" s="398">
        <f>+'Feuil-saisie'!AL445</f>
        <v>0</v>
      </c>
      <c r="P157" s="400">
        <f t="shared" si="273"/>
        <v>18</v>
      </c>
      <c r="Q157" s="401">
        <f>+'Feuil-saisie'!AN445</f>
        <v>0</v>
      </c>
      <c r="R157" s="398">
        <f>+'Feuil-saisie'!AU445</f>
        <v>32</v>
      </c>
      <c r="S157" s="399">
        <f>+'Feuil-saisie'!AV445</f>
        <v>0</v>
      </c>
      <c r="T157" s="400">
        <f t="shared" si="274"/>
        <v>32</v>
      </c>
      <c r="U157" s="401">
        <f>+'Feuil-saisie'!AX445</f>
        <v>0</v>
      </c>
      <c r="V157" s="398">
        <f>+'Feuil-saisie'!BE445</f>
        <v>31</v>
      </c>
      <c r="W157" s="399">
        <f>+'Feuil-saisie'!BF445</f>
        <v>0</v>
      </c>
      <c r="X157" s="400">
        <f t="shared" si="275"/>
        <v>31</v>
      </c>
      <c r="Y157" s="401">
        <f>+'Feuil-saisie'!BH445</f>
        <v>0</v>
      </c>
      <c r="Z157" s="398">
        <f>+'Feuil-saisie'!BO445</f>
        <v>16</v>
      </c>
      <c r="AA157" s="399">
        <f>+'Feuil-saisie'!BP445</f>
        <v>0</v>
      </c>
      <c r="AB157" s="400">
        <f t="shared" si="276"/>
        <v>16</v>
      </c>
      <c r="AC157" s="401">
        <f>+'Feuil-saisie'!BR445</f>
        <v>0</v>
      </c>
      <c r="AD157" s="398">
        <f>+'Feuil-saisie'!BY445</f>
        <v>15</v>
      </c>
      <c r="AE157" s="399">
        <f>+'Feuil-saisie'!BZ445</f>
        <v>0</v>
      </c>
      <c r="AF157" s="400">
        <f t="shared" si="277"/>
        <v>15</v>
      </c>
      <c r="AG157" s="401">
        <f>+'Feuil-saisie'!CB445</f>
        <v>0</v>
      </c>
      <c r="AH157" s="398">
        <f>+'Feuil-saisie'!CI445</f>
        <v>0</v>
      </c>
      <c r="AI157" s="399">
        <f>+'Feuil-saisie'!CJ445</f>
        <v>0</v>
      </c>
      <c r="AJ157" s="400">
        <f t="shared" si="278"/>
        <v>0</v>
      </c>
      <c r="AK157" s="401">
        <f>+'Feuil-saisie'!CL445</f>
        <v>0</v>
      </c>
      <c r="AL157" s="398">
        <f>+'Feuil-saisie'!CS445</f>
        <v>0</v>
      </c>
      <c r="AM157" s="399">
        <f>+'Feuil-saisie'!CT445</f>
        <v>0</v>
      </c>
      <c r="AN157" s="400">
        <f t="shared" si="279"/>
        <v>0</v>
      </c>
      <c r="AO157" s="401">
        <f>+'Feuil-saisie'!CV445</f>
        <v>0</v>
      </c>
      <c r="AP157" s="398">
        <f>+'Feuil-saisie'!DC445</f>
        <v>0</v>
      </c>
      <c r="AQ157" s="399">
        <f>+'Feuil-saisie'!DD445</f>
        <v>0</v>
      </c>
      <c r="AR157" s="400">
        <f t="shared" si="280"/>
        <v>0</v>
      </c>
      <c r="AS157" s="401">
        <f>+'Feuil-saisie'!DF445</f>
        <v>0</v>
      </c>
      <c r="AT157" s="398">
        <f>+'Feuil-saisie'!DM445</f>
        <v>0</v>
      </c>
      <c r="AU157" s="399">
        <f>+'Feuil-saisie'!DN445</f>
        <v>0</v>
      </c>
      <c r="AV157" s="400">
        <f t="shared" si="281"/>
        <v>0</v>
      </c>
      <c r="AW157" s="401">
        <f>+'Feuil-saisie'!DP445</f>
        <v>0</v>
      </c>
      <c r="AX157" s="432">
        <f t="shared" si="266"/>
        <v>166</v>
      </c>
      <c r="AY157" s="432">
        <f t="shared" si="267"/>
        <v>0</v>
      </c>
      <c r="AZ157" s="432">
        <f t="shared" si="268"/>
        <v>166</v>
      </c>
      <c r="BA157" s="432">
        <f t="shared" si="282"/>
        <v>0</v>
      </c>
      <c r="BB157" s="435"/>
      <c r="BC157" s="395"/>
      <c r="BD157" s="395">
        <f t="shared" si="269"/>
        <v>15</v>
      </c>
      <c r="BE157" s="395">
        <f t="shared" si="270"/>
        <v>0</v>
      </c>
    </row>
    <row r="158" spans="1:73" ht="14.4" thickBot="1">
      <c r="A158" s="433" t="s">
        <v>16</v>
      </c>
      <c r="B158" s="417">
        <f t="shared" ref="B158:AG158" si="283">SUM(B148:B157)</f>
        <v>63</v>
      </c>
      <c r="C158" s="419">
        <f t="shared" si="283"/>
        <v>0</v>
      </c>
      <c r="D158" s="419">
        <f t="shared" si="283"/>
        <v>63</v>
      </c>
      <c r="E158" s="420">
        <f t="shared" si="283"/>
        <v>0</v>
      </c>
      <c r="F158" s="417">
        <f t="shared" si="283"/>
        <v>46</v>
      </c>
      <c r="G158" s="419">
        <f t="shared" si="283"/>
        <v>0</v>
      </c>
      <c r="H158" s="419">
        <f t="shared" si="283"/>
        <v>46</v>
      </c>
      <c r="I158" s="420">
        <f t="shared" si="283"/>
        <v>0</v>
      </c>
      <c r="J158" s="417">
        <f t="shared" si="283"/>
        <v>59</v>
      </c>
      <c r="K158" s="419">
        <f t="shared" si="283"/>
        <v>0</v>
      </c>
      <c r="L158" s="419">
        <f t="shared" si="283"/>
        <v>59</v>
      </c>
      <c r="M158" s="420">
        <f t="shared" si="283"/>
        <v>0</v>
      </c>
      <c r="N158" s="417">
        <f t="shared" si="283"/>
        <v>35</v>
      </c>
      <c r="O158" s="419">
        <f t="shared" si="283"/>
        <v>0</v>
      </c>
      <c r="P158" s="419">
        <f t="shared" si="283"/>
        <v>35</v>
      </c>
      <c r="Q158" s="420">
        <f t="shared" si="283"/>
        <v>0</v>
      </c>
      <c r="R158" s="417">
        <f t="shared" si="283"/>
        <v>55</v>
      </c>
      <c r="S158" s="419">
        <f t="shared" si="283"/>
        <v>0</v>
      </c>
      <c r="T158" s="419">
        <f t="shared" si="283"/>
        <v>55</v>
      </c>
      <c r="U158" s="420">
        <f t="shared" si="283"/>
        <v>0</v>
      </c>
      <c r="V158" s="417">
        <f t="shared" si="283"/>
        <v>61</v>
      </c>
      <c r="W158" s="419">
        <f t="shared" si="283"/>
        <v>0</v>
      </c>
      <c r="X158" s="419">
        <f t="shared" si="283"/>
        <v>61</v>
      </c>
      <c r="Y158" s="420">
        <f t="shared" si="283"/>
        <v>0</v>
      </c>
      <c r="Z158" s="417">
        <f t="shared" si="283"/>
        <v>91</v>
      </c>
      <c r="AA158" s="419">
        <f t="shared" si="283"/>
        <v>2</v>
      </c>
      <c r="AB158" s="419">
        <f t="shared" si="283"/>
        <v>93</v>
      </c>
      <c r="AC158" s="420">
        <f t="shared" si="283"/>
        <v>0</v>
      </c>
      <c r="AD158" s="417">
        <f t="shared" si="283"/>
        <v>34</v>
      </c>
      <c r="AE158" s="419">
        <f t="shared" si="283"/>
        <v>0</v>
      </c>
      <c r="AF158" s="419">
        <f t="shared" si="283"/>
        <v>34</v>
      </c>
      <c r="AG158" s="420">
        <f t="shared" si="283"/>
        <v>0</v>
      </c>
      <c r="AH158" s="417">
        <f t="shared" ref="AH158:BA158" si="284">SUM(AH148:AH157)</f>
        <v>0</v>
      </c>
      <c r="AI158" s="419">
        <f t="shared" si="284"/>
        <v>0</v>
      </c>
      <c r="AJ158" s="419">
        <f t="shared" si="284"/>
        <v>0</v>
      </c>
      <c r="AK158" s="420">
        <f t="shared" si="284"/>
        <v>0</v>
      </c>
      <c r="AL158" s="417">
        <f t="shared" si="284"/>
        <v>0</v>
      </c>
      <c r="AM158" s="419">
        <f t="shared" si="284"/>
        <v>0</v>
      </c>
      <c r="AN158" s="419">
        <f t="shared" si="284"/>
        <v>0</v>
      </c>
      <c r="AO158" s="420">
        <f t="shared" si="284"/>
        <v>0</v>
      </c>
      <c r="AP158" s="417">
        <f t="shared" si="284"/>
        <v>0</v>
      </c>
      <c r="AQ158" s="419">
        <f t="shared" si="284"/>
        <v>0</v>
      </c>
      <c r="AR158" s="419">
        <f t="shared" si="284"/>
        <v>0</v>
      </c>
      <c r="AS158" s="420">
        <f t="shared" si="284"/>
        <v>0</v>
      </c>
      <c r="AT158" s="417">
        <f t="shared" si="284"/>
        <v>0</v>
      </c>
      <c r="AU158" s="419">
        <f t="shared" si="284"/>
        <v>0</v>
      </c>
      <c r="AV158" s="419">
        <f t="shared" si="284"/>
        <v>0</v>
      </c>
      <c r="AW158" s="420">
        <f t="shared" si="284"/>
        <v>0</v>
      </c>
      <c r="AX158" s="434">
        <f t="shared" si="284"/>
        <v>444</v>
      </c>
      <c r="AY158" s="434">
        <f t="shared" si="284"/>
        <v>2</v>
      </c>
      <c r="AZ158" s="434">
        <f t="shared" si="284"/>
        <v>446</v>
      </c>
      <c r="BA158" s="434">
        <f t="shared" si="284"/>
        <v>0</v>
      </c>
      <c r="BB158" s="435"/>
      <c r="BC158" s="395"/>
      <c r="BD158" s="395">
        <f t="shared" si="269"/>
        <v>34</v>
      </c>
      <c r="BE158" s="395">
        <f>AG158</f>
        <v>0</v>
      </c>
    </row>
    <row r="159" spans="1:73">
      <c r="L159" s="395">
        <f>L158+H158+D158</f>
        <v>168</v>
      </c>
      <c r="M159" s="395">
        <f>M158+I158+E158</f>
        <v>0</v>
      </c>
      <c r="P159" s="395">
        <f>P158+T158+X158</f>
        <v>151</v>
      </c>
      <c r="Q159" s="395">
        <f>Q158+U158+Y158</f>
        <v>0</v>
      </c>
      <c r="X159" s="395">
        <f>X158+T158+P158</f>
        <v>151</v>
      </c>
      <c r="Y159" s="395">
        <f>Y158+U158+Q158</f>
        <v>0</v>
      </c>
      <c r="AJ159" s="117">
        <f>AJ158+AF158+AB158</f>
        <v>127</v>
      </c>
      <c r="AK159" s="117">
        <f>AK158+AG158+AC158</f>
        <v>0</v>
      </c>
      <c r="AV159" s="117">
        <f>AV158+AR158+AN158</f>
        <v>0</v>
      </c>
      <c r="AW159" s="117">
        <f>AW158+AS158+AO158</f>
        <v>0</v>
      </c>
    </row>
    <row r="160" spans="1:73" ht="18">
      <c r="A160" s="393" t="s">
        <v>867</v>
      </c>
      <c r="I160" s="429"/>
    </row>
    <row r="161" spans="1:73" ht="18.600000000000001" thickBot="1">
      <c r="A161" s="394">
        <f>A130</f>
        <v>2023</v>
      </c>
    </row>
    <row r="162" spans="1:73">
      <c r="A162" s="2815">
        <f>A130</f>
        <v>2023</v>
      </c>
      <c r="B162" s="2827" t="s">
        <v>71</v>
      </c>
      <c r="C162" s="2828"/>
      <c r="D162" s="2828"/>
      <c r="E162" s="3091"/>
      <c r="F162" s="2829" t="s">
        <v>72</v>
      </c>
      <c r="G162" s="2830"/>
      <c r="H162" s="2830"/>
      <c r="I162" s="3095"/>
      <c r="J162" s="2817" t="s">
        <v>73</v>
      </c>
      <c r="K162" s="2818"/>
      <c r="L162" s="2818"/>
      <c r="M162" s="3094"/>
      <c r="N162" s="2819" t="s">
        <v>74</v>
      </c>
      <c r="O162" s="2820"/>
      <c r="P162" s="2820"/>
      <c r="Q162" s="3090"/>
      <c r="R162" s="2821" t="s">
        <v>75</v>
      </c>
      <c r="S162" s="2822"/>
      <c r="T162" s="2822"/>
      <c r="U162" s="3093"/>
      <c r="V162" s="2823" t="s">
        <v>76</v>
      </c>
      <c r="W162" s="2824"/>
      <c r="X162" s="2824"/>
      <c r="Y162" s="3089"/>
      <c r="Z162" s="2827" t="s">
        <v>77</v>
      </c>
      <c r="AA162" s="2828"/>
      <c r="AB162" s="2828"/>
      <c r="AC162" s="3091"/>
      <c r="AD162" s="2829" t="s">
        <v>78</v>
      </c>
      <c r="AE162" s="2830"/>
      <c r="AF162" s="2830"/>
      <c r="AG162" s="3095"/>
      <c r="AH162" s="2817" t="s">
        <v>79</v>
      </c>
      <c r="AI162" s="2818"/>
      <c r="AJ162" s="2818"/>
      <c r="AK162" s="3094"/>
      <c r="AL162" s="2819" t="s">
        <v>80</v>
      </c>
      <c r="AM162" s="2820"/>
      <c r="AN162" s="2820"/>
      <c r="AO162" s="3090"/>
      <c r="AP162" s="2821" t="s">
        <v>81</v>
      </c>
      <c r="AQ162" s="2822"/>
      <c r="AR162" s="2822"/>
      <c r="AS162" s="3093"/>
      <c r="AT162" s="2823" t="s">
        <v>82</v>
      </c>
      <c r="AU162" s="2824"/>
      <c r="AV162" s="2824"/>
      <c r="AW162" s="3089"/>
      <c r="AX162" s="2825" t="s">
        <v>83</v>
      </c>
      <c r="AY162" s="2826"/>
      <c r="AZ162" s="2826"/>
      <c r="BA162" s="3088"/>
      <c r="BM162" s="430"/>
      <c r="BR162" s="3112"/>
      <c r="BS162" s="3112"/>
      <c r="BT162" s="3112"/>
      <c r="BU162" s="3112"/>
    </row>
    <row r="163" spans="1:73" ht="14.4" thickBot="1">
      <c r="A163" s="2816"/>
      <c r="B163" s="402" t="s">
        <v>17</v>
      </c>
      <c r="C163" s="403" t="s">
        <v>18</v>
      </c>
      <c r="D163" s="403" t="s">
        <v>56</v>
      </c>
      <c r="E163" s="404" t="s">
        <v>21</v>
      </c>
      <c r="F163" s="402" t="s">
        <v>17</v>
      </c>
      <c r="G163" s="403" t="s">
        <v>18</v>
      </c>
      <c r="H163" s="403" t="s">
        <v>56</v>
      </c>
      <c r="I163" s="404" t="s">
        <v>21</v>
      </c>
      <c r="J163" s="402" t="s">
        <v>17</v>
      </c>
      <c r="K163" s="403" t="s">
        <v>18</v>
      </c>
      <c r="L163" s="403" t="s">
        <v>56</v>
      </c>
      <c r="M163" s="404" t="s">
        <v>21</v>
      </c>
      <c r="N163" s="402" t="s">
        <v>17</v>
      </c>
      <c r="O163" s="403" t="s">
        <v>18</v>
      </c>
      <c r="P163" s="403" t="s">
        <v>56</v>
      </c>
      <c r="Q163" s="404" t="s">
        <v>21</v>
      </c>
      <c r="R163" s="402" t="s">
        <v>17</v>
      </c>
      <c r="S163" s="403" t="s">
        <v>18</v>
      </c>
      <c r="T163" s="403" t="s">
        <v>56</v>
      </c>
      <c r="U163" s="404" t="s">
        <v>21</v>
      </c>
      <c r="V163" s="402" t="s">
        <v>17</v>
      </c>
      <c r="W163" s="403" t="s">
        <v>18</v>
      </c>
      <c r="X163" s="403" t="s">
        <v>56</v>
      </c>
      <c r="Y163" s="404" t="s">
        <v>21</v>
      </c>
      <c r="Z163" s="402" t="s">
        <v>17</v>
      </c>
      <c r="AA163" s="403" t="s">
        <v>18</v>
      </c>
      <c r="AB163" s="403" t="s">
        <v>56</v>
      </c>
      <c r="AC163" s="404" t="s">
        <v>21</v>
      </c>
      <c r="AD163" s="628" t="s">
        <v>17</v>
      </c>
      <c r="AE163" s="403" t="s">
        <v>18</v>
      </c>
      <c r="AF163" s="403" t="s">
        <v>56</v>
      </c>
      <c r="AG163" s="404" t="s">
        <v>21</v>
      </c>
      <c r="AH163" s="402" t="s">
        <v>17</v>
      </c>
      <c r="AI163" s="403" t="s">
        <v>18</v>
      </c>
      <c r="AJ163" s="403" t="s">
        <v>56</v>
      </c>
      <c r="AK163" s="404" t="s">
        <v>21</v>
      </c>
      <c r="AL163" s="402" t="s">
        <v>17</v>
      </c>
      <c r="AM163" s="403" t="s">
        <v>18</v>
      </c>
      <c r="AN163" s="403" t="s">
        <v>56</v>
      </c>
      <c r="AO163" s="404" t="s">
        <v>21</v>
      </c>
      <c r="AP163" s="402" t="s">
        <v>17</v>
      </c>
      <c r="AQ163" s="403" t="s">
        <v>18</v>
      </c>
      <c r="AR163" s="403" t="s">
        <v>56</v>
      </c>
      <c r="AS163" s="404" t="s">
        <v>21</v>
      </c>
      <c r="AT163" s="402" t="s">
        <v>17</v>
      </c>
      <c r="AU163" s="403" t="s">
        <v>18</v>
      </c>
      <c r="AV163" s="403" t="s">
        <v>56</v>
      </c>
      <c r="AW163" s="404" t="s">
        <v>21</v>
      </c>
      <c r="AX163" s="1057" t="s">
        <v>17</v>
      </c>
      <c r="AY163" s="403" t="s">
        <v>18</v>
      </c>
      <c r="AZ163" s="403" t="s">
        <v>56</v>
      </c>
      <c r="BA163" s="431" t="s">
        <v>21</v>
      </c>
      <c r="BD163" s="117" t="s">
        <v>181</v>
      </c>
      <c r="BE163" s="117" t="s">
        <v>182</v>
      </c>
    </row>
    <row r="164" spans="1:73" ht="14.4" thickBot="1">
      <c r="A164" s="397" t="s">
        <v>6</v>
      </c>
      <c r="B164" s="398">
        <f t="shared" ref="B164:C173" si="285">B101-B133</f>
        <v>2120</v>
      </c>
      <c r="C164" s="399">
        <f t="shared" si="285"/>
        <v>2</v>
      </c>
      <c r="D164" s="400">
        <f>+B164+C164</f>
        <v>2122</v>
      </c>
      <c r="E164" s="401">
        <f t="shared" ref="E164:G173" si="286">E101-E133</f>
        <v>2</v>
      </c>
      <c r="F164" s="398">
        <f t="shared" si="286"/>
        <v>2229</v>
      </c>
      <c r="G164" s="398">
        <f t="shared" si="286"/>
        <v>9</v>
      </c>
      <c r="H164" s="400">
        <f t="shared" ref="H164:H173" si="287">+F164+G164</f>
        <v>2238</v>
      </c>
      <c r="I164" s="401">
        <f t="shared" ref="I164:K173" si="288">I101-I133</f>
        <v>3</v>
      </c>
      <c r="J164" s="398">
        <f t="shared" si="288"/>
        <v>1198</v>
      </c>
      <c r="K164" s="398">
        <f t="shared" si="288"/>
        <v>5</v>
      </c>
      <c r="L164" s="400">
        <f t="shared" ref="L164:L173" si="289">+J164+K164</f>
        <v>1203</v>
      </c>
      <c r="M164" s="401">
        <f t="shared" ref="M164:O173" si="290">M101-M133</f>
        <v>0</v>
      </c>
      <c r="N164" s="398">
        <f t="shared" si="290"/>
        <v>1668</v>
      </c>
      <c r="O164" s="398">
        <f t="shared" si="290"/>
        <v>4</v>
      </c>
      <c r="P164" s="400">
        <f t="shared" ref="P164:P173" si="291">+N164+O164</f>
        <v>1672</v>
      </c>
      <c r="Q164" s="401">
        <f t="shared" ref="Q164:S173" si="292">Q101-Q133</f>
        <v>0</v>
      </c>
      <c r="R164" s="398">
        <f t="shared" si="292"/>
        <v>784</v>
      </c>
      <c r="S164" s="399">
        <f t="shared" si="292"/>
        <v>9</v>
      </c>
      <c r="T164" s="400">
        <f t="shared" ref="T164:T173" si="293">+R164+S164</f>
        <v>793</v>
      </c>
      <c r="U164" s="401">
        <f t="shared" ref="U164:W173" si="294">U101-U133</f>
        <v>1</v>
      </c>
      <c r="V164" s="398">
        <f t="shared" si="294"/>
        <v>1332</v>
      </c>
      <c r="W164" s="399">
        <f t="shared" si="294"/>
        <v>2</v>
      </c>
      <c r="X164" s="400">
        <f t="shared" ref="X164:X173" si="295">+V164+W164</f>
        <v>1334</v>
      </c>
      <c r="Y164" s="401">
        <f t="shared" ref="Y164:AA173" si="296">Y101-Y133</f>
        <v>1</v>
      </c>
      <c r="Z164" s="398">
        <f t="shared" si="296"/>
        <v>945</v>
      </c>
      <c r="AA164" s="399">
        <f t="shared" si="296"/>
        <v>1</v>
      </c>
      <c r="AB164" s="400">
        <f t="shared" ref="AB164:AB173" si="297">+Z164+AA164</f>
        <v>946</v>
      </c>
      <c r="AC164" s="401">
        <f t="shared" ref="AC164:AE173" si="298">AC101-AC133</f>
        <v>0</v>
      </c>
      <c r="AD164" s="398">
        <f t="shared" si="298"/>
        <v>841</v>
      </c>
      <c r="AE164" s="399">
        <f t="shared" si="298"/>
        <v>0</v>
      </c>
      <c r="AF164" s="400">
        <f t="shared" ref="AF164:AF173" si="299">+AD164+AE164</f>
        <v>841</v>
      </c>
      <c r="AG164" s="401">
        <f t="shared" ref="AG164:AI173" si="300">AG101-AG133</f>
        <v>0</v>
      </c>
      <c r="AH164" s="398">
        <f t="shared" si="300"/>
        <v>0</v>
      </c>
      <c r="AI164" s="399">
        <f t="shared" si="300"/>
        <v>0</v>
      </c>
      <c r="AJ164" s="400">
        <f t="shared" ref="AJ164:AJ173" si="301">+AH164+AI164</f>
        <v>0</v>
      </c>
      <c r="AK164" s="401">
        <f t="shared" ref="AK164:AM173" si="302">AK101-AK133</f>
        <v>0</v>
      </c>
      <c r="AL164" s="398">
        <f t="shared" si="302"/>
        <v>0</v>
      </c>
      <c r="AM164" s="399">
        <f t="shared" si="302"/>
        <v>0</v>
      </c>
      <c r="AN164" s="400">
        <f t="shared" ref="AN164:AN173" si="303">+AL164+AM164</f>
        <v>0</v>
      </c>
      <c r="AO164" s="401">
        <f t="shared" ref="AO164:AQ173" si="304">AO101-AO133</f>
        <v>0</v>
      </c>
      <c r="AP164" s="398">
        <f t="shared" si="304"/>
        <v>0</v>
      </c>
      <c r="AQ164" s="399">
        <f t="shared" si="304"/>
        <v>0</v>
      </c>
      <c r="AR164" s="400">
        <f t="shared" ref="AR164:AR173" si="305">+AP164+AQ164</f>
        <v>0</v>
      </c>
      <c r="AS164" s="401">
        <f t="shared" ref="AS164:AU173" si="306">AS101-AS133</f>
        <v>0</v>
      </c>
      <c r="AT164" s="398">
        <f t="shared" si="306"/>
        <v>0</v>
      </c>
      <c r="AU164" s="399">
        <f t="shared" si="306"/>
        <v>0</v>
      </c>
      <c r="AV164" s="400">
        <f t="shared" ref="AV164:AV173" si="307">+AT164+AU164</f>
        <v>0</v>
      </c>
      <c r="AW164" s="401">
        <f t="shared" ref="AW164:AW173" si="308">AW101-AW133</f>
        <v>0</v>
      </c>
      <c r="AX164" s="432">
        <f>B164+F164+J164+N164+R164+V164+Z164+AD164+AH164+AL164+AP164+AT164</f>
        <v>11117</v>
      </c>
      <c r="AY164" s="432">
        <f>C164+G164+K164+O164+S164+W164+AA164+AE164+AI164+AM164+AQ164+AU164</f>
        <v>32</v>
      </c>
      <c r="AZ164" s="432">
        <f>AX164+AY164</f>
        <v>11149</v>
      </c>
      <c r="BA164" s="432">
        <f>E164+I164+M164+Q164+U164+Y164+AC164+AG164+AK164+AO164+AS164+AW164</f>
        <v>7</v>
      </c>
      <c r="BC164" s="395"/>
      <c r="BD164" s="395">
        <f>AF164</f>
        <v>841</v>
      </c>
      <c r="BE164" s="395">
        <f>AG164</f>
        <v>0</v>
      </c>
    </row>
    <row r="165" spans="1:73" ht="14.4" thickBot="1">
      <c r="A165" s="397" t="s">
        <v>7</v>
      </c>
      <c r="B165" s="398">
        <f t="shared" si="285"/>
        <v>851</v>
      </c>
      <c r="C165" s="399">
        <f t="shared" si="285"/>
        <v>5</v>
      </c>
      <c r="D165" s="400">
        <f t="shared" ref="D165:D173" si="309">+B165+C165</f>
        <v>856</v>
      </c>
      <c r="E165" s="401">
        <f t="shared" si="286"/>
        <v>0</v>
      </c>
      <c r="F165" s="398">
        <f t="shared" si="286"/>
        <v>1264</v>
      </c>
      <c r="G165" s="398">
        <f t="shared" si="286"/>
        <v>26</v>
      </c>
      <c r="H165" s="400">
        <f t="shared" si="287"/>
        <v>1290</v>
      </c>
      <c r="I165" s="401">
        <f t="shared" si="288"/>
        <v>0</v>
      </c>
      <c r="J165" s="398">
        <f t="shared" si="288"/>
        <v>1699</v>
      </c>
      <c r="K165" s="398">
        <f t="shared" si="288"/>
        <v>58</v>
      </c>
      <c r="L165" s="400">
        <f t="shared" si="289"/>
        <v>1757</v>
      </c>
      <c r="M165" s="401">
        <f t="shared" si="290"/>
        <v>0</v>
      </c>
      <c r="N165" s="398">
        <f t="shared" si="290"/>
        <v>595</v>
      </c>
      <c r="O165" s="398">
        <f t="shared" si="290"/>
        <v>13</v>
      </c>
      <c r="P165" s="400">
        <f t="shared" si="291"/>
        <v>608</v>
      </c>
      <c r="Q165" s="401">
        <f t="shared" si="292"/>
        <v>3</v>
      </c>
      <c r="R165" s="398">
        <f t="shared" si="292"/>
        <v>547</v>
      </c>
      <c r="S165" s="399">
        <f t="shared" si="292"/>
        <v>4</v>
      </c>
      <c r="T165" s="400">
        <f t="shared" si="293"/>
        <v>551</v>
      </c>
      <c r="U165" s="401">
        <f t="shared" si="294"/>
        <v>5</v>
      </c>
      <c r="V165" s="398">
        <f t="shared" si="294"/>
        <v>524</v>
      </c>
      <c r="W165" s="399">
        <f t="shared" si="294"/>
        <v>9</v>
      </c>
      <c r="X165" s="400">
        <f t="shared" si="295"/>
        <v>533</v>
      </c>
      <c r="Y165" s="401">
        <f t="shared" si="296"/>
        <v>0</v>
      </c>
      <c r="Z165" s="398">
        <f t="shared" si="296"/>
        <v>500</v>
      </c>
      <c r="AA165" s="399">
        <f t="shared" si="296"/>
        <v>7</v>
      </c>
      <c r="AB165" s="400">
        <f t="shared" si="297"/>
        <v>507</v>
      </c>
      <c r="AC165" s="401">
        <f t="shared" si="298"/>
        <v>1</v>
      </c>
      <c r="AD165" s="398">
        <f t="shared" si="298"/>
        <v>590</v>
      </c>
      <c r="AE165" s="399">
        <f t="shared" si="298"/>
        <v>4</v>
      </c>
      <c r="AF165" s="400">
        <f t="shared" si="299"/>
        <v>594</v>
      </c>
      <c r="AG165" s="401">
        <f t="shared" si="300"/>
        <v>0</v>
      </c>
      <c r="AH165" s="398">
        <f t="shared" si="300"/>
        <v>0</v>
      </c>
      <c r="AI165" s="399">
        <f t="shared" si="300"/>
        <v>0</v>
      </c>
      <c r="AJ165" s="400">
        <f t="shared" si="301"/>
        <v>0</v>
      </c>
      <c r="AK165" s="401">
        <f t="shared" si="302"/>
        <v>0</v>
      </c>
      <c r="AL165" s="398">
        <f t="shared" si="302"/>
        <v>0</v>
      </c>
      <c r="AM165" s="399">
        <f t="shared" si="302"/>
        <v>0</v>
      </c>
      <c r="AN165" s="400">
        <f t="shared" si="303"/>
        <v>0</v>
      </c>
      <c r="AO165" s="401">
        <f t="shared" si="304"/>
        <v>0</v>
      </c>
      <c r="AP165" s="398">
        <f t="shared" si="304"/>
        <v>0</v>
      </c>
      <c r="AQ165" s="399">
        <f t="shared" si="304"/>
        <v>0</v>
      </c>
      <c r="AR165" s="400">
        <f t="shared" si="305"/>
        <v>0</v>
      </c>
      <c r="AS165" s="401">
        <f t="shared" si="306"/>
        <v>0</v>
      </c>
      <c r="AT165" s="398">
        <f t="shared" si="306"/>
        <v>0</v>
      </c>
      <c r="AU165" s="399">
        <f t="shared" si="306"/>
        <v>0</v>
      </c>
      <c r="AV165" s="400">
        <f t="shared" si="307"/>
        <v>0</v>
      </c>
      <c r="AW165" s="401">
        <f t="shared" si="308"/>
        <v>0</v>
      </c>
      <c r="AX165" s="432">
        <f t="shared" ref="AX165:AX173" si="310">B165+F165+J165+N165+R165+V165+Z165+AD165+AH165+AL165+AP165+AT165</f>
        <v>6570</v>
      </c>
      <c r="AY165" s="432">
        <f t="shared" ref="AY165:AY173" si="311">C165+G165+K165+O165+S165+W165+AA165+AE165+AI165+AM165+AQ165+AU165</f>
        <v>126</v>
      </c>
      <c r="AZ165" s="432">
        <f t="shared" ref="AZ165:AZ173" si="312">AX165+AY165</f>
        <v>6696</v>
      </c>
      <c r="BA165" s="432">
        <f t="shared" ref="BA165:BA173" si="313">E165+I165+M165+Q165+U165+Y165+AC165+AG165+AK165+AO165+AS165+AW165</f>
        <v>9</v>
      </c>
      <c r="BC165" s="395"/>
      <c r="BD165" s="395">
        <f t="shared" ref="BD165:BD174" si="314">AF165</f>
        <v>594</v>
      </c>
      <c r="BE165" s="395">
        <f t="shared" ref="BE165:BE173" si="315">AG165</f>
        <v>0</v>
      </c>
    </row>
    <row r="166" spans="1:73" ht="14.4" thickBot="1">
      <c r="A166" s="397" t="s">
        <v>8</v>
      </c>
      <c r="B166" s="398">
        <f t="shared" si="285"/>
        <v>2443</v>
      </c>
      <c r="C166" s="399">
        <f t="shared" si="285"/>
        <v>16</v>
      </c>
      <c r="D166" s="400">
        <f t="shared" si="309"/>
        <v>2459</v>
      </c>
      <c r="E166" s="401">
        <f t="shared" si="286"/>
        <v>0</v>
      </c>
      <c r="F166" s="398">
        <f t="shared" si="286"/>
        <v>2614</v>
      </c>
      <c r="G166" s="398">
        <f t="shared" si="286"/>
        <v>22</v>
      </c>
      <c r="H166" s="400">
        <f t="shared" si="287"/>
        <v>2636</v>
      </c>
      <c r="I166" s="401">
        <f t="shared" si="288"/>
        <v>0</v>
      </c>
      <c r="J166" s="398">
        <f t="shared" si="288"/>
        <v>1165</v>
      </c>
      <c r="K166" s="398">
        <f t="shared" si="288"/>
        <v>17</v>
      </c>
      <c r="L166" s="400">
        <f t="shared" si="289"/>
        <v>1182</v>
      </c>
      <c r="M166" s="401">
        <f t="shared" si="290"/>
        <v>1</v>
      </c>
      <c r="N166" s="398">
        <f t="shared" si="290"/>
        <v>1242</v>
      </c>
      <c r="O166" s="398">
        <f t="shared" si="290"/>
        <v>9</v>
      </c>
      <c r="P166" s="400">
        <f t="shared" si="291"/>
        <v>1251</v>
      </c>
      <c r="Q166" s="401">
        <f t="shared" si="292"/>
        <v>0</v>
      </c>
      <c r="R166" s="398">
        <f t="shared" si="292"/>
        <v>1046</v>
      </c>
      <c r="S166" s="399">
        <f t="shared" si="292"/>
        <v>9</v>
      </c>
      <c r="T166" s="400">
        <f t="shared" si="293"/>
        <v>1055</v>
      </c>
      <c r="U166" s="401">
        <f t="shared" si="294"/>
        <v>0</v>
      </c>
      <c r="V166" s="398">
        <f t="shared" si="294"/>
        <v>633</v>
      </c>
      <c r="W166" s="399">
        <f t="shared" si="294"/>
        <v>8</v>
      </c>
      <c r="X166" s="400">
        <f t="shared" si="295"/>
        <v>641</v>
      </c>
      <c r="Y166" s="401">
        <f t="shared" si="296"/>
        <v>0</v>
      </c>
      <c r="Z166" s="398">
        <f t="shared" si="296"/>
        <v>882</v>
      </c>
      <c r="AA166" s="399">
        <f t="shared" si="296"/>
        <v>6</v>
      </c>
      <c r="AB166" s="400">
        <f t="shared" si="297"/>
        <v>888</v>
      </c>
      <c r="AC166" s="401">
        <f t="shared" si="298"/>
        <v>0</v>
      </c>
      <c r="AD166" s="398">
        <f t="shared" si="298"/>
        <v>1216</v>
      </c>
      <c r="AE166" s="399">
        <f t="shared" si="298"/>
        <v>2</v>
      </c>
      <c r="AF166" s="400">
        <f t="shared" si="299"/>
        <v>1218</v>
      </c>
      <c r="AG166" s="401">
        <f t="shared" si="300"/>
        <v>1</v>
      </c>
      <c r="AH166" s="398">
        <f t="shared" si="300"/>
        <v>0</v>
      </c>
      <c r="AI166" s="399">
        <f t="shared" si="300"/>
        <v>0</v>
      </c>
      <c r="AJ166" s="400">
        <f t="shared" si="301"/>
        <v>0</v>
      </c>
      <c r="AK166" s="401">
        <f t="shared" si="302"/>
        <v>0</v>
      </c>
      <c r="AL166" s="398">
        <f t="shared" si="302"/>
        <v>0</v>
      </c>
      <c r="AM166" s="399">
        <f t="shared" si="302"/>
        <v>0</v>
      </c>
      <c r="AN166" s="400">
        <f t="shared" si="303"/>
        <v>0</v>
      </c>
      <c r="AO166" s="401">
        <f t="shared" si="304"/>
        <v>0</v>
      </c>
      <c r="AP166" s="398">
        <f t="shared" si="304"/>
        <v>0</v>
      </c>
      <c r="AQ166" s="399">
        <f t="shared" si="304"/>
        <v>0</v>
      </c>
      <c r="AR166" s="400">
        <f t="shared" si="305"/>
        <v>0</v>
      </c>
      <c r="AS166" s="401">
        <f t="shared" si="306"/>
        <v>0</v>
      </c>
      <c r="AT166" s="398">
        <f t="shared" si="306"/>
        <v>0</v>
      </c>
      <c r="AU166" s="399">
        <f t="shared" si="306"/>
        <v>0</v>
      </c>
      <c r="AV166" s="400">
        <f t="shared" si="307"/>
        <v>0</v>
      </c>
      <c r="AW166" s="401">
        <f t="shared" si="308"/>
        <v>0</v>
      </c>
      <c r="AX166" s="432">
        <f t="shared" si="310"/>
        <v>11241</v>
      </c>
      <c r="AY166" s="432">
        <f t="shared" si="311"/>
        <v>89</v>
      </c>
      <c r="AZ166" s="432">
        <f t="shared" si="312"/>
        <v>11330</v>
      </c>
      <c r="BA166" s="432">
        <f t="shared" si="313"/>
        <v>2</v>
      </c>
      <c r="BC166" s="395"/>
      <c r="BD166" s="395">
        <f t="shared" si="314"/>
        <v>1218</v>
      </c>
      <c r="BE166" s="395">
        <f t="shared" si="315"/>
        <v>1</v>
      </c>
    </row>
    <row r="167" spans="1:73" ht="14.4" thickBot="1">
      <c r="A167" s="397" t="s">
        <v>4</v>
      </c>
      <c r="B167" s="398">
        <f t="shared" si="285"/>
        <v>1245</v>
      </c>
      <c r="C167" s="399">
        <f t="shared" si="285"/>
        <v>17</v>
      </c>
      <c r="D167" s="400">
        <f t="shared" si="309"/>
        <v>1262</v>
      </c>
      <c r="E167" s="401">
        <f t="shared" si="286"/>
        <v>1</v>
      </c>
      <c r="F167" s="398">
        <f t="shared" si="286"/>
        <v>1624</v>
      </c>
      <c r="G167" s="398">
        <f t="shared" si="286"/>
        <v>24</v>
      </c>
      <c r="H167" s="400">
        <f t="shared" si="287"/>
        <v>1648</v>
      </c>
      <c r="I167" s="401">
        <f t="shared" si="288"/>
        <v>0</v>
      </c>
      <c r="J167" s="398">
        <f t="shared" si="288"/>
        <v>1504</v>
      </c>
      <c r="K167" s="398">
        <f t="shared" si="288"/>
        <v>14</v>
      </c>
      <c r="L167" s="400">
        <f t="shared" si="289"/>
        <v>1518</v>
      </c>
      <c r="M167" s="401">
        <f t="shared" si="290"/>
        <v>0</v>
      </c>
      <c r="N167" s="398">
        <f t="shared" si="290"/>
        <v>921</v>
      </c>
      <c r="O167" s="398">
        <f t="shared" si="290"/>
        <v>9</v>
      </c>
      <c r="P167" s="400">
        <f t="shared" si="291"/>
        <v>930</v>
      </c>
      <c r="Q167" s="401">
        <f t="shared" si="292"/>
        <v>0</v>
      </c>
      <c r="R167" s="398">
        <f t="shared" si="292"/>
        <v>1067</v>
      </c>
      <c r="S167" s="399">
        <f t="shared" si="292"/>
        <v>5</v>
      </c>
      <c r="T167" s="400">
        <f t="shared" si="293"/>
        <v>1072</v>
      </c>
      <c r="U167" s="401">
        <f t="shared" si="294"/>
        <v>0</v>
      </c>
      <c r="V167" s="398">
        <f t="shared" si="294"/>
        <v>1014</v>
      </c>
      <c r="W167" s="399">
        <f t="shared" si="294"/>
        <v>1</v>
      </c>
      <c r="X167" s="400">
        <f t="shared" si="295"/>
        <v>1015</v>
      </c>
      <c r="Y167" s="401">
        <f t="shared" si="296"/>
        <v>0</v>
      </c>
      <c r="Z167" s="398">
        <f t="shared" si="296"/>
        <v>1100</v>
      </c>
      <c r="AA167" s="399">
        <f t="shared" si="296"/>
        <v>7</v>
      </c>
      <c r="AB167" s="400">
        <f t="shared" si="297"/>
        <v>1107</v>
      </c>
      <c r="AC167" s="401">
        <f t="shared" si="298"/>
        <v>0</v>
      </c>
      <c r="AD167" s="398">
        <f t="shared" si="298"/>
        <v>1103</v>
      </c>
      <c r="AE167" s="399">
        <f t="shared" si="298"/>
        <v>2</v>
      </c>
      <c r="AF167" s="400">
        <f t="shared" si="299"/>
        <v>1105</v>
      </c>
      <c r="AG167" s="401">
        <f t="shared" si="300"/>
        <v>0</v>
      </c>
      <c r="AH167" s="398">
        <f t="shared" si="300"/>
        <v>0</v>
      </c>
      <c r="AI167" s="399">
        <f t="shared" si="300"/>
        <v>0</v>
      </c>
      <c r="AJ167" s="400">
        <f t="shared" si="301"/>
        <v>0</v>
      </c>
      <c r="AK167" s="401">
        <f t="shared" si="302"/>
        <v>0</v>
      </c>
      <c r="AL167" s="398">
        <f t="shared" si="302"/>
        <v>0</v>
      </c>
      <c r="AM167" s="399">
        <f t="shared" si="302"/>
        <v>0</v>
      </c>
      <c r="AN167" s="400">
        <f t="shared" si="303"/>
        <v>0</v>
      </c>
      <c r="AO167" s="401">
        <f t="shared" si="304"/>
        <v>0</v>
      </c>
      <c r="AP167" s="398">
        <f t="shared" si="304"/>
        <v>0</v>
      </c>
      <c r="AQ167" s="399">
        <f t="shared" si="304"/>
        <v>0</v>
      </c>
      <c r="AR167" s="400">
        <f t="shared" si="305"/>
        <v>0</v>
      </c>
      <c r="AS167" s="401">
        <f t="shared" si="306"/>
        <v>0</v>
      </c>
      <c r="AT167" s="398">
        <f t="shared" si="306"/>
        <v>0</v>
      </c>
      <c r="AU167" s="399">
        <f t="shared" si="306"/>
        <v>0</v>
      </c>
      <c r="AV167" s="400">
        <f t="shared" si="307"/>
        <v>0</v>
      </c>
      <c r="AW167" s="401">
        <f t="shared" si="308"/>
        <v>0</v>
      </c>
      <c r="AX167" s="432">
        <f t="shared" si="310"/>
        <v>9578</v>
      </c>
      <c r="AY167" s="432">
        <f t="shared" si="311"/>
        <v>79</v>
      </c>
      <c r="AZ167" s="432">
        <f t="shared" si="312"/>
        <v>9657</v>
      </c>
      <c r="BA167" s="432">
        <f t="shared" si="313"/>
        <v>1</v>
      </c>
      <c r="BC167" s="395"/>
      <c r="BD167" s="395">
        <f t="shared" si="314"/>
        <v>1105</v>
      </c>
      <c r="BE167" s="395">
        <f t="shared" si="315"/>
        <v>0</v>
      </c>
    </row>
    <row r="168" spans="1:73" ht="14.4" thickBot="1">
      <c r="A168" s="397" t="s">
        <v>3</v>
      </c>
      <c r="B168" s="398">
        <f t="shared" si="285"/>
        <v>797</v>
      </c>
      <c r="C168" s="399">
        <f t="shared" si="285"/>
        <v>7</v>
      </c>
      <c r="D168" s="400">
        <f t="shared" si="309"/>
        <v>804</v>
      </c>
      <c r="E168" s="401">
        <f t="shared" si="286"/>
        <v>0</v>
      </c>
      <c r="F168" s="398">
        <f t="shared" si="286"/>
        <v>734</v>
      </c>
      <c r="G168" s="398">
        <f t="shared" si="286"/>
        <v>12</v>
      </c>
      <c r="H168" s="400">
        <f t="shared" si="287"/>
        <v>746</v>
      </c>
      <c r="I168" s="401">
        <f t="shared" si="288"/>
        <v>1</v>
      </c>
      <c r="J168" s="398">
        <f t="shared" si="288"/>
        <v>689</v>
      </c>
      <c r="K168" s="398">
        <f t="shared" si="288"/>
        <v>10</v>
      </c>
      <c r="L168" s="400">
        <f t="shared" si="289"/>
        <v>699</v>
      </c>
      <c r="M168" s="401">
        <f t="shared" si="290"/>
        <v>0</v>
      </c>
      <c r="N168" s="398">
        <f t="shared" si="290"/>
        <v>218</v>
      </c>
      <c r="O168" s="398">
        <f t="shared" si="290"/>
        <v>5</v>
      </c>
      <c r="P168" s="400">
        <f t="shared" si="291"/>
        <v>223</v>
      </c>
      <c r="Q168" s="401">
        <f t="shared" si="292"/>
        <v>1</v>
      </c>
      <c r="R168" s="398">
        <f t="shared" si="292"/>
        <v>482</v>
      </c>
      <c r="S168" s="399">
        <f t="shared" si="292"/>
        <v>3</v>
      </c>
      <c r="T168" s="400">
        <f t="shared" si="293"/>
        <v>485</v>
      </c>
      <c r="U168" s="401">
        <f t="shared" si="294"/>
        <v>0</v>
      </c>
      <c r="V168" s="398">
        <f t="shared" si="294"/>
        <v>350</v>
      </c>
      <c r="W168" s="399">
        <f t="shared" si="294"/>
        <v>2</v>
      </c>
      <c r="X168" s="400">
        <f t="shared" si="295"/>
        <v>352</v>
      </c>
      <c r="Y168" s="401">
        <f t="shared" si="296"/>
        <v>0</v>
      </c>
      <c r="Z168" s="398">
        <f t="shared" si="296"/>
        <v>418</v>
      </c>
      <c r="AA168" s="399">
        <f t="shared" si="296"/>
        <v>2</v>
      </c>
      <c r="AB168" s="400">
        <f t="shared" si="297"/>
        <v>420</v>
      </c>
      <c r="AC168" s="401">
        <f t="shared" si="298"/>
        <v>0</v>
      </c>
      <c r="AD168" s="398">
        <f t="shared" si="298"/>
        <v>417</v>
      </c>
      <c r="AE168" s="399">
        <f t="shared" si="298"/>
        <v>3</v>
      </c>
      <c r="AF168" s="400">
        <f t="shared" si="299"/>
        <v>420</v>
      </c>
      <c r="AG168" s="401">
        <f t="shared" si="300"/>
        <v>0</v>
      </c>
      <c r="AH168" s="398">
        <f t="shared" si="300"/>
        <v>0</v>
      </c>
      <c r="AI168" s="399">
        <f t="shared" si="300"/>
        <v>0</v>
      </c>
      <c r="AJ168" s="400">
        <f t="shared" si="301"/>
        <v>0</v>
      </c>
      <c r="AK168" s="401">
        <f t="shared" si="302"/>
        <v>0</v>
      </c>
      <c r="AL168" s="398">
        <f t="shared" si="302"/>
        <v>0</v>
      </c>
      <c r="AM168" s="399">
        <f t="shared" si="302"/>
        <v>0</v>
      </c>
      <c r="AN168" s="400">
        <f t="shared" si="303"/>
        <v>0</v>
      </c>
      <c r="AO168" s="401">
        <f t="shared" si="304"/>
        <v>0</v>
      </c>
      <c r="AP168" s="398">
        <f t="shared" si="304"/>
        <v>0</v>
      </c>
      <c r="AQ168" s="399">
        <f t="shared" si="304"/>
        <v>0</v>
      </c>
      <c r="AR168" s="400">
        <f t="shared" si="305"/>
        <v>0</v>
      </c>
      <c r="AS168" s="401">
        <f t="shared" si="306"/>
        <v>0</v>
      </c>
      <c r="AT168" s="398">
        <f t="shared" si="306"/>
        <v>0</v>
      </c>
      <c r="AU168" s="399">
        <f t="shared" si="306"/>
        <v>0</v>
      </c>
      <c r="AV168" s="400">
        <f t="shared" si="307"/>
        <v>0</v>
      </c>
      <c r="AW168" s="401">
        <f t="shared" si="308"/>
        <v>0</v>
      </c>
      <c r="AX168" s="432">
        <f t="shared" si="310"/>
        <v>4105</v>
      </c>
      <c r="AY168" s="432">
        <f t="shared" si="311"/>
        <v>44</v>
      </c>
      <c r="AZ168" s="432">
        <f t="shared" si="312"/>
        <v>4149</v>
      </c>
      <c r="BA168" s="432">
        <f t="shared" si="313"/>
        <v>2</v>
      </c>
      <c r="BC168" s="395"/>
      <c r="BD168" s="395">
        <f t="shared" si="314"/>
        <v>420</v>
      </c>
      <c r="BE168" s="395">
        <f t="shared" si="315"/>
        <v>0</v>
      </c>
    </row>
    <row r="169" spans="1:73" ht="14.4" thickBot="1">
      <c r="A169" s="397" t="s">
        <v>397</v>
      </c>
      <c r="B169" s="398">
        <f t="shared" si="285"/>
        <v>948</v>
      </c>
      <c r="C169" s="399">
        <f t="shared" si="285"/>
        <v>4</v>
      </c>
      <c r="D169" s="400">
        <f t="shared" si="309"/>
        <v>952</v>
      </c>
      <c r="E169" s="401">
        <f t="shared" si="286"/>
        <v>0</v>
      </c>
      <c r="F169" s="398">
        <f t="shared" si="286"/>
        <v>1369</v>
      </c>
      <c r="G169" s="398">
        <f t="shared" si="286"/>
        <v>2</v>
      </c>
      <c r="H169" s="400">
        <f t="shared" si="287"/>
        <v>1371</v>
      </c>
      <c r="I169" s="401">
        <f t="shared" si="288"/>
        <v>0</v>
      </c>
      <c r="J169" s="398">
        <f t="shared" si="288"/>
        <v>930</v>
      </c>
      <c r="K169" s="398">
        <f t="shared" si="288"/>
        <v>3</v>
      </c>
      <c r="L169" s="400">
        <f t="shared" si="289"/>
        <v>933</v>
      </c>
      <c r="M169" s="401">
        <f t="shared" si="290"/>
        <v>0</v>
      </c>
      <c r="N169" s="398">
        <f t="shared" si="290"/>
        <v>1234</v>
      </c>
      <c r="O169" s="398">
        <f t="shared" si="290"/>
        <v>15</v>
      </c>
      <c r="P169" s="400">
        <f t="shared" si="291"/>
        <v>1249</v>
      </c>
      <c r="Q169" s="401">
        <f t="shared" si="292"/>
        <v>0</v>
      </c>
      <c r="R169" s="398">
        <f t="shared" si="292"/>
        <v>833</v>
      </c>
      <c r="S169" s="399">
        <f t="shared" si="292"/>
        <v>3</v>
      </c>
      <c r="T169" s="400">
        <f t="shared" si="293"/>
        <v>836</v>
      </c>
      <c r="U169" s="401">
        <f t="shared" si="294"/>
        <v>0</v>
      </c>
      <c r="V169" s="398">
        <f t="shared" si="294"/>
        <v>1068</v>
      </c>
      <c r="W169" s="399">
        <f t="shared" si="294"/>
        <v>2</v>
      </c>
      <c r="X169" s="400">
        <f t="shared" si="295"/>
        <v>1070</v>
      </c>
      <c r="Y169" s="401">
        <f t="shared" si="296"/>
        <v>2</v>
      </c>
      <c r="Z169" s="398">
        <f t="shared" si="296"/>
        <v>812</v>
      </c>
      <c r="AA169" s="399">
        <f t="shared" si="296"/>
        <v>9</v>
      </c>
      <c r="AB169" s="400">
        <f t="shared" si="297"/>
        <v>821</v>
      </c>
      <c r="AC169" s="401">
        <f t="shared" si="298"/>
        <v>0</v>
      </c>
      <c r="AD169" s="398">
        <f t="shared" si="298"/>
        <v>403</v>
      </c>
      <c r="AE169" s="399">
        <f t="shared" si="298"/>
        <v>13</v>
      </c>
      <c r="AF169" s="400">
        <f t="shared" si="299"/>
        <v>416</v>
      </c>
      <c r="AG169" s="401">
        <f t="shared" si="300"/>
        <v>0</v>
      </c>
      <c r="AH169" s="398">
        <f t="shared" si="300"/>
        <v>0</v>
      </c>
      <c r="AI169" s="399">
        <f t="shared" si="300"/>
        <v>0</v>
      </c>
      <c r="AJ169" s="400">
        <f t="shared" si="301"/>
        <v>0</v>
      </c>
      <c r="AK169" s="401">
        <f t="shared" si="302"/>
        <v>0</v>
      </c>
      <c r="AL169" s="398">
        <f t="shared" si="302"/>
        <v>0</v>
      </c>
      <c r="AM169" s="399">
        <f t="shared" si="302"/>
        <v>0</v>
      </c>
      <c r="AN169" s="400">
        <f t="shared" si="303"/>
        <v>0</v>
      </c>
      <c r="AO169" s="401">
        <f t="shared" si="304"/>
        <v>0</v>
      </c>
      <c r="AP169" s="398">
        <f t="shared" si="304"/>
        <v>0</v>
      </c>
      <c r="AQ169" s="399">
        <f t="shared" si="304"/>
        <v>0</v>
      </c>
      <c r="AR169" s="400">
        <f t="shared" si="305"/>
        <v>0</v>
      </c>
      <c r="AS169" s="401">
        <f t="shared" si="306"/>
        <v>0</v>
      </c>
      <c r="AT169" s="398">
        <f t="shared" si="306"/>
        <v>0</v>
      </c>
      <c r="AU169" s="399">
        <f t="shared" si="306"/>
        <v>0</v>
      </c>
      <c r="AV169" s="400">
        <f t="shared" si="307"/>
        <v>0</v>
      </c>
      <c r="AW169" s="401">
        <f t="shared" si="308"/>
        <v>0</v>
      </c>
      <c r="AX169" s="432">
        <f t="shared" si="310"/>
        <v>7597</v>
      </c>
      <c r="AY169" s="432">
        <f t="shared" si="311"/>
        <v>51</v>
      </c>
      <c r="AZ169" s="432">
        <f t="shared" si="312"/>
        <v>7648</v>
      </c>
      <c r="BA169" s="432">
        <f t="shared" si="313"/>
        <v>2</v>
      </c>
      <c r="BC169" s="395"/>
      <c r="BD169" s="395">
        <f t="shared" si="314"/>
        <v>416</v>
      </c>
      <c r="BE169" s="395">
        <f t="shared" si="315"/>
        <v>0</v>
      </c>
    </row>
    <row r="170" spans="1:73" ht="14.4" thickBot="1">
      <c r="A170" s="397" t="s">
        <v>399</v>
      </c>
      <c r="B170" s="398">
        <f t="shared" si="285"/>
        <v>1151</v>
      </c>
      <c r="C170" s="399">
        <f t="shared" si="285"/>
        <v>13</v>
      </c>
      <c r="D170" s="400">
        <f t="shared" si="309"/>
        <v>1164</v>
      </c>
      <c r="E170" s="401">
        <f t="shared" si="286"/>
        <v>1</v>
      </c>
      <c r="F170" s="398">
        <f t="shared" si="286"/>
        <v>2341</v>
      </c>
      <c r="G170" s="398">
        <f t="shared" si="286"/>
        <v>20</v>
      </c>
      <c r="H170" s="400">
        <f t="shared" si="287"/>
        <v>2361</v>
      </c>
      <c r="I170" s="401">
        <f t="shared" si="288"/>
        <v>0</v>
      </c>
      <c r="J170" s="398">
        <f t="shared" si="288"/>
        <v>1611</v>
      </c>
      <c r="K170" s="398">
        <f t="shared" si="288"/>
        <v>21</v>
      </c>
      <c r="L170" s="400">
        <f t="shared" si="289"/>
        <v>1632</v>
      </c>
      <c r="M170" s="401">
        <f t="shared" si="290"/>
        <v>1</v>
      </c>
      <c r="N170" s="398">
        <f t="shared" si="290"/>
        <v>1499</v>
      </c>
      <c r="O170" s="398">
        <f t="shared" si="290"/>
        <v>2</v>
      </c>
      <c r="P170" s="400">
        <f t="shared" si="291"/>
        <v>1501</v>
      </c>
      <c r="Q170" s="401">
        <f t="shared" si="292"/>
        <v>0</v>
      </c>
      <c r="R170" s="398">
        <f t="shared" si="292"/>
        <v>971</v>
      </c>
      <c r="S170" s="399">
        <f t="shared" si="292"/>
        <v>4</v>
      </c>
      <c r="T170" s="400">
        <f t="shared" si="293"/>
        <v>975</v>
      </c>
      <c r="U170" s="401">
        <f t="shared" si="294"/>
        <v>1</v>
      </c>
      <c r="V170" s="398">
        <f t="shared" si="294"/>
        <v>854</v>
      </c>
      <c r="W170" s="399">
        <f t="shared" si="294"/>
        <v>6</v>
      </c>
      <c r="X170" s="400">
        <f t="shared" si="295"/>
        <v>860</v>
      </c>
      <c r="Y170" s="401">
        <f t="shared" si="296"/>
        <v>2</v>
      </c>
      <c r="Z170" s="398">
        <f t="shared" si="296"/>
        <v>746</v>
      </c>
      <c r="AA170" s="399">
        <f t="shared" si="296"/>
        <v>1</v>
      </c>
      <c r="AB170" s="400">
        <f t="shared" si="297"/>
        <v>747</v>
      </c>
      <c r="AC170" s="401">
        <f t="shared" si="298"/>
        <v>0</v>
      </c>
      <c r="AD170" s="398">
        <f t="shared" si="298"/>
        <v>749</v>
      </c>
      <c r="AE170" s="399">
        <f t="shared" si="298"/>
        <v>1</v>
      </c>
      <c r="AF170" s="400">
        <f t="shared" si="299"/>
        <v>750</v>
      </c>
      <c r="AG170" s="401">
        <f t="shared" si="300"/>
        <v>1</v>
      </c>
      <c r="AH170" s="398">
        <f t="shared" si="300"/>
        <v>0</v>
      </c>
      <c r="AI170" s="399">
        <f t="shared" si="300"/>
        <v>0</v>
      </c>
      <c r="AJ170" s="400">
        <f t="shared" si="301"/>
        <v>0</v>
      </c>
      <c r="AK170" s="401">
        <f t="shared" si="302"/>
        <v>0</v>
      </c>
      <c r="AL170" s="398">
        <f t="shared" si="302"/>
        <v>0</v>
      </c>
      <c r="AM170" s="399">
        <f t="shared" si="302"/>
        <v>0</v>
      </c>
      <c r="AN170" s="400">
        <f t="shared" si="303"/>
        <v>0</v>
      </c>
      <c r="AO170" s="401">
        <f t="shared" si="304"/>
        <v>0</v>
      </c>
      <c r="AP170" s="398">
        <f t="shared" si="304"/>
        <v>0</v>
      </c>
      <c r="AQ170" s="399">
        <f t="shared" si="304"/>
        <v>0</v>
      </c>
      <c r="AR170" s="400">
        <f t="shared" si="305"/>
        <v>0</v>
      </c>
      <c r="AS170" s="401">
        <f t="shared" si="306"/>
        <v>0</v>
      </c>
      <c r="AT170" s="398">
        <f t="shared" si="306"/>
        <v>0</v>
      </c>
      <c r="AU170" s="399">
        <f t="shared" si="306"/>
        <v>0</v>
      </c>
      <c r="AV170" s="400">
        <f t="shared" si="307"/>
        <v>0</v>
      </c>
      <c r="AW170" s="401">
        <f t="shared" si="308"/>
        <v>0</v>
      </c>
      <c r="AX170" s="432">
        <f t="shared" si="310"/>
        <v>9922</v>
      </c>
      <c r="AY170" s="432">
        <f t="shared" si="311"/>
        <v>68</v>
      </c>
      <c r="AZ170" s="432">
        <f t="shared" si="312"/>
        <v>9990</v>
      </c>
      <c r="BA170" s="432">
        <f t="shared" si="313"/>
        <v>6</v>
      </c>
      <c r="BC170" s="395"/>
      <c r="BD170" s="395">
        <f t="shared" si="314"/>
        <v>750</v>
      </c>
      <c r="BE170" s="395">
        <f t="shared" si="315"/>
        <v>1</v>
      </c>
    </row>
    <row r="171" spans="1:73" ht="14.4" thickBot="1">
      <c r="A171" s="397" t="s">
        <v>883</v>
      </c>
      <c r="B171" s="398">
        <f t="shared" si="285"/>
        <v>1385</v>
      </c>
      <c r="C171" s="399">
        <f t="shared" si="285"/>
        <v>8</v>
      </c>
      <c r="D171" s="400">
        <f t="shared" si="309"/>
        <v>1393</v>
      </c>
      <c r="E171" s="401">
        <f t="shared" si="286"/>
        <v>2</v>
      </c>
      <c r="F171" s="398">
        <f t="shared" si="286"/>
        <v>1282</v>
      </c>
      <c r="G171" s="398">
        <f t="shared" si="286"/>
        <v>0</v>
      </c>
      <c r="H171" s="400">
        <f t="shared" si="287"/>
        <v>1282</v>
      </c>
      <c r="I171" s="401">
        <f t="shared" si="288"/>
        <v>3</v>
      </c>
      <c r="J171" s="398">
        <f t="shared" si="288"/>
        <v>1209</v>
      </c>
      <c r="K171" s="398">
        <f t="shared" si="288"/>
        <v>13</v>
      </c>
      <c r="L171" s="400">
        <f t="shared" si="289"/>
        <v>1222</v>
      </c>
      <c r="M171" s="401">
        <f t="shared" si="290"/>
        <v>0</v>
      </c>
      <c r="N171" s="398">
        <f t="shared" si="290"/>
        <v>632</v>
      </c>
      <c r="O171" s="398">
        <f t="shared" si="290"/>
        <v>2</v>
      </c>
      <c r="P171" s="400">
        <f t="shared" si="291"/>
        <v>634</v>
      </c>
      <c r="Q171" s="401">
        <f t="shared" si="292"/>
        <v>2</v>
      </c>
      <c r="R171" s="398">
        <f t="shared" si="292"/>
        <v>455</v>
      </c>
      <c r="S171" s="399">
        <f t="shared" si="292"/>
        <v>4</v>
      </c>
      <c r="T171" s="400">
        <f t="shared" si="293"/>
        <v>459</v>
      </c>
      <c r="U171" s="401">
        <f t="shared" si="294"/>
        <v>0</v>
      </c>
      <c r="V171" s="398">
        <f t="shared" si="294"/>
        <v>581</v>
      </c>
      <c r="W171" s="399">
        <f t="shared" si="294"/>
        <v>1</v>
      </c>
      <c r="X171" s="400">
        <f t="shared" si="295"/>
        <v>582</v>
      </c>
      <c r="Y171" s="401">
        <f t="shared" si="296"/>
        <v>0</v>
      </c>
      <c r="Z171" s="398">
        <f t="shared" si="296"/>
        <v>397</v>
      </c>
      <c r="AA171" s="399">
        <f t="shared" si="296"/>
        <v>0</v>
      </c>
      <c r="AB171" s="400">
        <f t="shared" si="297"/>
        <v>397</v>
      </c>
      <c r="AC171" s="401">
        <f t="shared" si="298"/>
        <v>0</v>
      </c>
      <c r="AD171" s="398">
        <f t="shared" si="298"/>
        <v>329</v>
      </c>
      <c r="AE171" s="399">
        <f t="shared" si="298"/>
        <v>2</v>
      </c>
      <c r="AF171" s="400">
        <f t="shared" si="299"/>
        <v>331</v>
      </c>
      <c r="AG171" s="401">
        <f t="shared" si="300"/>
        <v>0</v>
      </c>
      <c r="AH171" s="398">
        <f t="shared" si="300"/>
        <v>0</v>
      </c>
      <c r="AI171" s="399">
        <f t="shared" si="300"/>
        <v>0</v>
      </c>
      <c r="AJ171" s="400">
        <f t="shared" si="301"/>
        <v>0</v>
      </c>
      <c r="AK171" s="401">
        <f t="shared" si="302"/>
        <v>0</v>
      </c>
      <c r="AL171" s="398">
        <f t="shared" si="302"/>
        <v>0</v>
      </c>
      <c r="AM171" s="399">
        <f t="shared" si="302"/>
        <v>0</v>
      </c>
      <c r="AN171" s="400">
        <f t="shared" si="303"/>
        <v>0</v>
      </c>
      <c r="AO171" s="401">
        <f t="shared" si="304"/>
        <v>0</v>
      </c>
      <c r="AP171" s="398">
        <f t="shared" si="304"/>
        <v>0</v>
      </c>
      <c r="AQ171" s="399">
        <f t="shared" si="304"/>
        <v>0</v>
      </c>
      <c r="AR171" s="400">
        <f t="shared" si="305"/>
        <v>0</v>
      </c>
      <c r="AS171" s="401">
        <f t="shared" si="306"/>
        <v>0</v>
      </c>
      <c r="AT171" s="398">
        <f t="shared" si="306"/>
        <v>0</v>
      </c>
      <c r="AU171" s="399">
        <f t="shared" si="306"/>
        <v>0</v>
      </c>
      <c r="AV171" s="400">
        <f t="shared" si="307"/>
        <v>0</v>
      </c>
      <c r="AW171" s="401">
        <f t="shared" si="308"/>
        <v>0</v>
      </c>
      <c r="AX171" s="432">
        <f t="shared" si="310"/>
        <v>6270</v>
      </c>
      <c r="AY171" s="432">
        <f t="shared" si="311"/>
        <v>30</v>
      </c>
      <c r="AZ171" s="432">
        <f t="shared" si="312"/>
        <v>6300</v>
      </c>
      <c r="BA171" s="432">
        <f t="shared" si="313"/>
        <v>7</v>
      </c>
      <c r="BC171" s="395"/>
      <c r="BD171" s="395">
        <f t="shared" si="314"/>
        <v>331</v>
      </c>
      <c r="BE171" s="395">
        <f t="shared" si="315"/>
        <v>0</v>
      </c>
    </row>
    <row r="172" spans="1:73" ht="14.4" thickBot="1">
      <c r="A172" s="397" t="s">
        <v>884</v>
      </c>
      <c r="B172" s="398">
        <f t="shared" si="285"/>
        <v>3096</v>
      </c>
      <c r="C172" s="399">
        <f t="shared" si="285"/>
        <v>18</v>
      </c>
      <c r="D172" s="400">
        <f t="shared" si="309"/>
        <v>3114</v>
      </c>
      <c r="E172" s="401">
        <f t="shared" si="286"/>
        <v>0</v>
      </c>
      <c r="F172" s="398">
        <f t="shared" si="286"/>
        <v>2358</v>
      </c>
      <c r="G172" s="398">
        <f t="shared" si="286"/>
        <v>18</v>
      </c>
      <c r="H172" s="400">
        <f t="shared" si="287"/>
        <v>2376</v>
      </c>
      <c r="I172" s="401">
        <f t="shared" si="288"/>
        <v>0</v>
      </c>
      <c r="J172" s="398">
        <f t="shared" si="288"/>
        <v>1901</v>
      </c>
      <c r="K172" s="398">
        <f t="shared" si="288"/>
        <v>17</v>
      </c>
      <c r="L172" s="400">
        <f t="shared" si="289"/>
        <v>1918</v>
      </c>
      <c r="M172" s="401">
        <f t="shared" si="290"/>
        <v>1</v>
      </c>
      <c r="N172" s="398">
        <f t="shared" si="290"/>
        <v>1357</v>
      </c>
      <c r="O172" s="398">
        <f t="shared" si="290"/>
        <v>10</v>
      </c>
      <c r="P172" s="400">
        <f t="shared" si="291"/>
        <v>1367</v>
      </c>
      <c r="Q172" s="401">
        <f t="shared" si="292"/>
        <v>0</v>
      </c>
      <c r="R172" s="398">
        <f t="shared" si="292"/>
        <v>908</v>
      </c>
      <c r="S172" s="399">
        <f t="shared" si="292"/>
        <v>5</v>
      </c>
      <c r="T172" s="400">
        <f t="shared" si="293"/>
        <v>913</v>
      </c>
      <c r="U172" s="401">
        <f t="shared" si="294"/>
        <v>0</v>
      </c>
      <c r="V172" s="398">
        <f t="shared" si="294"/>
        <v>1083</v>
      </c>
      <c r="W172" s="399">
        <f t="shared" si="294"/>
        <v>6</v>
      </c>
      <c r="X172" s="400">
        <f t="shared" si="295"/>
        <v>1089</v>
      </c>
      <c r="Y172" s="401">
        <f t="shared" si="296"/>
        <v>1</v>
      </c>
      <c r="Z172" s="398">
        <f t="shared" si="296"/>
        <v>563</v>
      </c>
      <c r="AA172" s="399">
        <f t="shared" si="296"/>
        <v>4</v>
      </c>
      <c r="AB172" s="400">
        <f t="shared" si="297"/>
        <v>567</v>
      </c>
      <c r="AC172" s="401">
        <f t="shared" si="298"/>
        <v>0</v>
      </c>
      <c r="AD172" s="398">
        <f t="shared" si="298"/>
        <v>413</v>
      </c>
      <c r="AE172" s="399">
        <f t="shared" si="298"/>
        <v>7</v>
      </c>
      <c r="AF172" s="400">
        <f t="shared" si="299"/>
        <v>420</v>
      </c>
      <c r="AG172" s="401">
        <f t="shared" si="300"/>
        <v>1</v>
      </c>
      <c r="AH172" s="398">
        <f t="shared" si="300"/>
        <v>0</v>
      </c>
      <c r="AI172" s="399">
        <f t="shared" si="300"/>
        <v>0</v>
      </c>
      <c r="AJ172" s="400">
        <f t="shared" si="301"/>
        <v>0</v>
      </c>
      <c r="AK172" s="401">
        <f t="shared" si="302"/>
        <v>0</v>
      </c>
      <c r="AL172" s="398">
        <f t="shared" si="302"/>
        <v>0</v>
      </c>
      <c r="AM172" s="399">
        <f t="shared" si="302"/>
        <v>0</v>
      </c>
      <c r="AN172" s="400">
        <f t="shared" si="303"/>
        <v>0</v>
      </c>
      <c r="AO172" s="401">
        <f t="shared" si="304"/>
        <v>0</v>
      </c>
      <c r="AP172" s="398">
        <f t="shared" si="304"/>
        <v>0</v>
      </c>
      <c r="AQ172" s="399">
        <f t="shared" si="304"/>
        <v>0</v>
      </c>
      <c r="AR172" s="400">
        <f t="shared" si="305"/>
        <v>0</v>
      </c>
      <c r="AS172" s="401">
        <f t="shared" si="306"/>
        <v>0</v>
      </c>
      <c r="AT172" s="398">
        <f t="shared" si="306"/>
        <v>0</v>
      </c>
      <c r="AU172" s="399">
        <f t="shared" si="306"/>
        <v>0</v>
      </c>
      <c r="AV172" s="400">
        <f t="shared" si="307"/>
        <v>0</v>
      </c>
      <c r="AW172" s="401">
        <f t="shared" si="308"/>
        <v>0</v>
      </c>
      <c r="AX172" s="432">
        <f t="shared" si="310"/>
        <v>11679</v>
      </c>
      <c r="AY172" s="432">
        <f t="shared" si="311"/>
        <v>85</v>
      </c>
      <c r="AZ172" s="432">
        <f t="shared" si="312"/>
        <v>11764</v>
      </c>
      <c r="BA172" s="432">
        <f t="shared" si="313"/>
        <v>3</v>
      </c>
      <c r="BC172" s="395"/>
      <c r="BD172" s="395">
        <f t="shared" si="314"/>
        <v>420</v>
      </c>
      <c r="BE172" s="395">
        <f t="shared" si="315"/>
        <v>1</v>
      </c>
    </row>
    <row r="173" spans="1:73" ht="14.4" thickBot="1">
      <c r="A173" s="397" t="s">
        <v>885</v>
      </c>
      <c r="B173" s="398">
        <f t="shared" si="285"/>
        <v>491</v>
      </c>
      <c r="C173" s="399">
        <f t="shared" si="285"/>
        <v>9</v>
      </c>
      <c r="D173" s="400">
        <f t="shared" si="309"/>
        <v>500</v>
      </c>
      <c r="E173" s="401">
        <f t="shared" si="286"/>
        <v>0</v>
      </c>
      <c r="F173" s="398">
        <f t="shared" si="286"/>
        <v>1048</v>
      </c>
      <c r="G173" s="398">
        <f t="shared" si="286"/>
        <v>4</v>
      </c>
      <c r="H173" s="400">
        <f t="shared" si="287"/>
        <v>1052</v>
      </c>
      <c r="I173" s="401">
        <f t="shared" si="288"/>
        <v>0</v>
      </c>
      <c r="J173" s="398">
        <f t="shared" si="288"/>
        <v>1196</v>
      </c>
      <c r="K173" s="398">
        <f t="shared" si="288"/>
        <v>9</v>
      </c>
      <c r="L173" s="400">
        <f t="shared" si="289"/>
        <v>1205</v>
      </c>
      <c r="M173" s="401">
        <f t="shared" si="290"/>
        <v>0</v>
      </c>
      <c r="N173" s="398">
        <f t="shared" si="290"/>
        <v>872</v>
      </c>
      <c r="O173" s="398">
        <f t="shared" si="290"/>
        <v>6</v>
      </c>
      <c r="P173" s="400">
        <f t="shared" si="291"/>
        <v>878</v>
      </c>
      <c r="Q173" s="401">
        <f t="shared" si="292"/>
        <v>0</v>
      </c>
      <c r="R173" s="398">
        <f t="shared" si="292"/>
        <v>901</v>
      </c>
      <c r="S173" s="399">
        <f t="shared" si="292"/>
        <v>4</v>
      </c>
      <c r="T173" s="400">
        <f t="shared" si="293"/>
        <v>905</v>
      </c>
      <c r="U173" s="401">
        <f t="shared" si="294"/>
        <v>0</v>
      </c>
      <c r="V173" s="398">
        <f t="shared" si="294"/>
        <v>606</v>
      </c>
      <c r="W173" s="399">
        <f t="shared" si="294"/>
        <v>3</v>
      </c>
      <c r="X173" s="400">
        <f t="shared" si="295"/>
        <v>609</v>
      </c>
      <c r="Y173" s="401">
        <f t="shared" si="296"/>
        <v>0</v>
      </c>
      <c r="Z173" s="398">
        <f t="shared" si="296"/>
        <v>326</v>
      </c>
      <c r="AA173" s="399">
        <f t="shared" si="296"/>
        <v>6</v>
      </c>
      <c r="AB173" s="400">
        <f t="shared" si="297"/>
        <v>332</v>
      </c>
      <c r="AC173" s="401">
        <f t="shared" si="298"/>
        <v>0</v>
      </c>
      <c r="AD173" s="398">
        <f t="shared" si="298"/>
        <v>346</v>
      </c>
      <c r="AE173" s="399">
        <f t="shared" si="298"/>
        <v>1</v>
      </c>
      <c r="AF173" s="400">
        <f t="shared" si="299"/>
        <v>347</v>
      </c>
      <c r="AG173" s="401">
        <f t="shared" si="300"/>
        <v>0</v>
      </c>
      <c r="AH173" s="398">
        <f t="shared" si="300"/>
        <v>0</v>
      </c>
      <c r="AI173" s="399">
        <f t="shared" si="300"/>
        <v>0</v>
      </c>
      <c r="AJ173" s="400">
        <f t="shared" si="301"/>
        <v>0</v>
      </c>
      <c r="AK173" s="401">
        <f t="shared" si="302"/>
        <v>0</v>
      </c>
      <c r="AL173" s="398">
        <f t="shared" si="302"/>
        <v>0</v>
      </c>
      <c r="AM173" s="399">
        <f t="shared" si="302"/>
        <v>0</v>
      </c>
      <c r="AN173" s="400">
        <f t="shared" si="303"/>
        <v>0</v>
      </c>
      <c r="AO173" s="401">
        <f t="shared" si="304"/>
        <v>0</v>
      </c>
      <c r="AP173" s="398">
        <f t="shared" si="304"/>
        <v>0</v>
      </c>
      <c r="AQ173" s="399">
        <f t="shared" si="304"/>
        <v>0</v>
      </c>
      <c r="AR173" s="400">
        <f t="shared" si="305"/>
        <v>0</v>
      </c>
      <c r="AS173" s="401">
        <f t="shared" si="306"/>
        <v>0</v>
      </c>
      <c r="AT173" s="398">
        <f t="shared" si="306"/>
        <v>0</v>
      </c>
      <c r="AU173" s="399">
        <f t="shared" si="306"/>
        <v>0</v>
      </c>
      <c r="AV173" s="400">
        <f t="shared" si="307"/>
        <v>0</v>
      </c>
      <c r="AW173" s="401">
        <f t="shared" si="308"/>
        <v>0</v>
      </c>
      <c r="AX173" s="432">
        <f t="shared" si="310"/>
        <v>5786</v>
      </c>
      <c r="AY173" s="432">
        <f t="shared" si="311"/>
        <v>42</v>
      </c>
      <c r="AZ173" s="432">
        <f t="shared" si="312"/>
        <v>5828</v>
      </c>
      <c r="BA173" s="432">
        <f t="shared" si="313"/>
        <v>0</v>
      </c>
      <c r="BC173" s="395"/>
      <c r="BD173" s="395">
        <f t="shared" si="314"/>
        <v>347</v>
      </c>
      <c r="BE173" s="395">
        <f t="shared" si="315"/>
        <v>0</v>
      </c>
    </row>
    <row r="174" spans="1:73" ht="14.4" thickBot="1">
      <c r="A174" s="433" t="s">
        <v>16</v>
      </c>
      <c r="B174" s="417">
        <f t="shared" ref="B174:AG174" si="316">SUM(B164:B173)</f>
        <v>14527</v>
      </c>
      <c r="C174" s="419">
        <f t="shared" si="316"/>
        <v>99</v>
      </c>
      <c r="D174" s="419">
        <f t="shared" si="316"/>
        <v>14626</v>
      </c>
      <c r="E174" s="420">
        <f t="shared" si="316"/>
        <v>6</v>
      </c>
      <c r="F174" s="417">
        <f t="shared" si="316"/>
        <v>16863</v>
      </c>
      <c r="G174" s="419">
        <f t="shared" si="316"/>
        <v>137</v>
      </c>
      <c r="H174" s="419">
        <f t="shared" si="316"/>
        <v>17000</v>
      </c>
      <c r="I174" s="420">
        <f t="shared" si="316"/>
        <v>7</v>
      </c>
      <c r="J174" s="417">
        <f t="shared" si="316"/>
        <v>13102</v>
      </c>
      <c r="K174" s="419">
        <f t="shared" si="316"/>
        <v>167</v>
      </c>
      <c r="L174" s="419">
        <f t="shared" si="316"/>
        <v>13269</v>
      </c>
      <c r="M174" s="420">
        <f t="shared" si="316"/>
        <v>3</v>
      </c>
      <c r="N174" s="417">
        <f t="shared" si="316"/>
        <v>10238</v>
      </c>
      <c r="O174" s="419">
        <f t="shared" si="316"/>
        <v>75</v>
      </c>
      <c r="P174" s="419">
        <f t="shared" si="316"/>
        <v>10313</v>
      </c>
      <c r="Q174" s="420">
        <f t="shared" si="316"/>
        <v>6</v>
      </c>
      <c r="R174" s="417">
        <f t="shared" si="316"/>
        <v>7994</v>
      </c>
      <c r="S174" s="419">
        <f t="shared" si="316"/>
        <v>50</v>
      </c>
      <c r="T174" s="419">
        <f t="shared" si="316"/>
        <v>8044</v>
      </c>
      <c r="U174" s="420">
        <f t="shared" si="316"/>
        <v>7</v>
      </c>
      <c r="V174" s="417">
        <f t="shared" si="316"/>
        <v>8045</v>
      </c>
      <c r="W174" s="419">
        <f t="shared" si="316"/>
        <v>40</v>
      </c>
      <c r="X174" s="419">
        <f t="shared" si="316"/>
        <v>8085</v>
      </c>
      <c r="Y174" s="420">
        <f t="shared" si="316"/>
        <v>6</v>
      </c>
      <c r="Z174" s="417">
        <f t="shared" si="316"/>
        <v>6689</v>
      </c>
      <c r="AA174" s="419">
        <f t="shared" si="316"/>
        <v>43</v>
      </c>
      <c r="AB174" s="419">
        <f t="shared" si="316"/>
        <v>6732</v>
      </c>
      <c r="AC174" s="420">
        <f t="shared" si="316"/>
        <v>1</v>
      </c>
      <c r="AD174" s="417">
        <f t="shared" si="316"/>
        <v>6407</v>
      </c>
      <c r="AE174" s="419">
        <f t="shared" si="316"/>
        <v>35</v>
      </c>
      <c r="AF174" s="419">
        <f t="shared" si="316"/>
        <v>6442</v>
      </c>
      <c r="AG174" s="420">
        <f t="shared" si="316"/>
        <v>3</v>
      </c>
      <c r="AH174" s="417">
        <f t="shared" ref="AH174:BA174" si="317">SUM(AH164:AH173)</f>
        <v>0</v>
      </c>
      <c r="AI174" s="419">
        <f t="shared" si="317"/>
        <v>0</v>
      </c>
      <c r="AJ174" s="419">
        <f t="shared" si="317"/>
        <v>0</v>
      </c>
      <c r="AK174" s="420">
        <f t="shared" si="317"/>
        <v>0</v>
      </c>
      <c r="AL174" s="417">
        <f t="shared" si="317"/>
        <v>0</v>
      </c>
      <c r="AM174" s="419">
        <f t="shared" si="317"/>
        <v>0</v>
      </c>
      <c r="AN174" s="419">
        <f t="shared" si="317"/>
        <v>0</v>
      </c>
      <c r="AO174" s="420">
        <f t="shared" si="317"/>
        <v>0</v>
      </c>
      <c r="AP174" s="417">
        <f t="shared" si="317"/>
        <v>0</v>
      </c>
      <c r="AQ174" s="419">
        <f t="shared" si="317"/>
        <v>0</v>
      </c>
      <c r="AR174" s="419">
        <f t="shared" si="317"/>
        <v>0</v>
      </c>
      <c r="AS174" s="420">
        <f t="shared" si="317"/>
        <v>0</v>
      </c>
      <c r="AT174" s="417">
        <f t="shared" si="317"/>
        <v>0</v>
      </c>
      <c r="AU174" s="419">
        <f t="shared" si="317"/>
        <v>0</v>
      </c>
      <c r="AV174" s="419">
        <f t="shared" si="317"/>
        <v>0</v>
      </c>
      <c r="AW174" s="420">
        <f t="shared" si="317"/>
        <v>0</v>
      </c>
      <c r="AX174" s="434">
        <f t="shared" si="317"/>
        <v>83865</v>
      </c>
      <c r="AY174" s="434">
        <f t="shared" si="317"/>
        <v>646</v>
      </c>
      <c r="AZ174" s="434">
        <f t="shared" si="317"/>
        <v>84511</v>
      </c>
      <c r="BA174" s="434">
        <f t="shared" si="317"/>
        <v>39</v>
      </c>
      <c r="BC174" s="395"/>
      <c r="BD174" s="395">
        <f t="shared" si="314"/>
        <v>6442</v>
      </c>
      <c r="BE174" s="395">
        <f>AG174</f>
        <v>3</v>
      </c>
    </row>
    <row r="175" spans="1:73">
      <c r="L175" s="395">
        <f>L174+H174+D174</f>
        <v>44895</v>
      </c>
      <c r="M175" s="395">
        <f>M174+I174+E174</f>
        <v>16</v>
      </c>
      <c r="P175" s="395">
        <f>P174+T174+X174</f>
        <v>26442</v>
      </c>
      <c r="Q175" s="395">
        <f>Q174+U174+Y174</f>
        <v>19</v>
      </c>
      <c r="AJ175" s="395">
        <f>AJ174+AF174+AB174</f>
        <v>13174</v>
      </c>
      <c r="AK175" s="395">
        <f>AK174+AG174+AC174</f>
        <v>4</v>
      </c>
      <c r="AV175" s="117">
        <f>AV174+AR174+AN174</f>
        <v>0</v>
      </c>
      <c r="AW175" s="117">
        <f>AW174+AS174+AO174</f>
        <v>0</v>
      </c>
    </row>
    <row r="176" spans="1:73" ht="18.600000000000001" thickBot="1">
      <c r="A176" s="394">
        <f>A145</f>
        <v>2024</v>
      </c>
    </row>
    <row r="177" spans="1:73">
      <c r="A177" s="2815">
        <f>A162</f>
        <v>2023</v>
      </c>
      <c r="B177" s="2827" t="s">
        <v>71</v>
      </c>
      <c r="C177" s="2828"/>
      <c r="D177" s="2828"/>
      <c r="E177" s="3091"/>
      <c r="F177" s="2829" t="s">
        <v>72</v>
      </c>
      <c r="G177" s="2830"/>
      <c r="H177" s="2830"/>
      <c r="I177" s="3095"/>
      <c r="J177" s="2817" t="s">
        <v>73</v>
      </c>
      <c r="K177" s="2818"/>
      <c r="L177" s="2818"/>
      <c r="M177" s="3094"/>
      <c r="N177" s="2819" t="s">
        <v>74</v>
      </c>
      <c r="O177" s="2820"/>
      <c r="P177" s="2820"/>
      <c r="Q177" s="3090"/>
      <c r="R177" s="2821" t="s">
        <v>75</v>
      </c>
      <c r="S177" s="2822"/>
      <c r="T177" s="2822"/>
      <c r="U177" s="3093"/>
      <c r="V177" s="2823" t="s">
        <v>76</v>
      </c>
      <c r="W177" s="2824"/>
      <c r="X177" s="2824"/>
      <c r="Y177" s="3089"/>
      <c r="Z177" s="2827" t="s">
        <v>77</v>
      </c>
      <c r="AA177" s="2828"/>
      <c r="AB177" s="2828"/>
      <c r="AC177" s="3091"/>
      <c r="AD177" s="2829" t="s">
        <v>78</v>
      </c>
      <c r="AE177" s="2830"/>
      <c r="AF177" s="2830"/>
      <c r="AG177" s="3095"/>
      <c r="AH177" s="2817" t="s">
        <v>79</v>
      </c>
      <c r="AI177" s="2818"/>
      <c r="AJ177" s="2818"/>
      <c r="AK177" s="3094"/>
      <c r="AL177" s="2819" t="s">
        <v>80</v>
      </c>
      <c r="AM177" s="2820"/>
      <c r="AN177" s="2820"/>
      <c r="AO177" s="3090"/>
      <c r="AP177" s="2821" t="s">
        <v>81</v>
      </c>
      <c r="AQ177" s="2822"/>
      <c r="AR177" s="2822"/>
      <c r="AS177" s="3093"/>
      <c r="AT177" s="2823" t="s">
        <v>82</v>
      </c>
      <c r="AU177" s="2824"/>
      <c r="AV177" s="2824"/>
      <c r="AW177" s="3089"/>
      <c r="AX177" s="2825" t="s">
        <v>83</v>
      </c>
      <c r="AY177" s="2826"/>
      <c r="AZ177" s="2826"/>
      <c r="BA177" s="3088"/>
      <c r="BM177" s="430"/>
      <c r="BR177" s="3112"/>
      <c r="BS177" s="3112"/>
      <c r="BT177" s="3112"/>
      <c r="BU177" s="3112"/>
    </row>
    <row r="178" spans="1:73" ht="14.4" thickBot="1">
      <c r="A178" s="2816"/>
      <c r="B178" s="402" t="s">
        <v>17</v>
      </c>
      <c r="C178" s="403" t="s">
        <v>18</v>
      </c>
      <c r="D178" s="403" t="s">
        <v>56</v>
      </c>
      <c r="E178" s="404" t="s">
        <v>21</v>
      </c>
      <c r="F178" s="402" t="s">
        <v>17</v>
      </c>
      <c r="G178" s="403" t="s">
        <v>18</v>
      </c>
      <c r="H178" s="403" t="s">
        <v>56</v>
      </c>
      <c r="I178" s="404" t="s">
        <v>21</v>
      </c>
      <c r="J178" s="402" t="s">
        <v>17</v>
      </c>
      <c r="K178" s="403" t="s">
        <v>18</v>
      </c>
      <c r="L178" s="403" t="s">
        <v>56</v>
      </c>
      <c r="M178" s="404" t="s">
        <v>21</v>
      </c>
      <c r="N178" s="402" t="s">
        <v>17</v>
      </c>
      <c r="O178" s="403" t="s">
        <v>18</v>
      </c>
      <c r="P178" s="403" t="s">
        <v>56</v>
      </c>
      <c r="Q178" s="404" t="s">
        <v>21</v>
      </c>
      <c r="R178" s="402" t="s">
        <v>17</v>
      </c>
      <c r="S178" s="403" t="s">
        <v>18</v>
      </c>
      <c r="T178" s="403" t="s">
        <v>56</v>
      </c>
      <c r="U178" s="404" t="s">
        <v>21</v>
      </c>
      <c r="V178" s="402" t="s">
        <v>17</v>
      </c>
      <c r="W178" s="403" t="s">
        <v>18</v>
      </c>
      <c r="X178" s="403" t="s">
        <v>56</v>
      </c>
      <c r="Y178" s="404" t="s">
        <v>21</v>
      </c>
      <c r="Z178" s="402" t="s">
        <v>17</v>
      </c>
      <c r="AA178" s="403" t="s">
        <v>18</v>
      </c>
      <c r="AB178" s="403" t="s">
        <v>56</v>
      </c>
      <c r="AC178" s="404" t="s">
        <v>21</v>
      </c>
      <c r="AD178" s="628" t="s">
        <v>17</v>
      </c>
      <c r="AE178" s="403" t="s">
        <v>18</v>
      </c>
      <c r="AF178" s="403" t="s">
        <v>56</v>
      </c>
      <c r="AG178" s="404" t="s">
        <v>21</v>
      </c>
      <c r="AH178" s="402" t="s">
        <v>17</v>
      </c>
      <c r="AI178" s="403" t="s">
        <v>18</v>
      </c>
      <c r="AJ178" s="403" t="s">
        <v>56</v>
      </c>
      <c r="AK178" s="404" t="s">
        <v>21</v>
      </c>
      <c r="AL178" s="402" t="s">
        <v>17</v>
      </c>
      <c r="AM178" s="403" t="s">
        <v>18</v>
      </c>
      <c r="AN178" s="403" t="s">
        <v>56</v>
      </c>
      <c r="AO178" s="404" t="s">
        <v>21</v>
      </c>
      <c r="AP178" s="402" t="s">
        <v>17</v>
      </c>
      <c r="AQ178" s="403" t="s">
        <v>18</v>
      </c>
      <c r="AR178" s="403" t="s">
        <v>56</v>
      </c>
      <c r="AS178" s="404" t="s">
        <v>21</v>
      </c>
      <c r="AT178" s="402" t="s">
        <v>17</v>
      </c>
      <c r="AU178" s="403" t="s">
        <v>18</v>
      </c>
      <c r="AV178" s="403" t="s">
        <v>56</v>
      </c>
      <c r="AW178" s="404" t="s">
        <v>21</v>
      </c>
      <c r="AX178" s="1057" t="s">
        <v>17</v>
      </c>
      <c r="AY178" s="403" t="s">
        <v>18</v>
      </c>
      <c r="AZ178" s="403" t="s">
        <v>56</v>
      </c>
      <c r="BA178" s="431" t="s">
        <v>21</v>
      </c>
      <c r="BB178" s="435"/>
      <c r="BD178" s="117" t="s">
        <v>181</v>
      </c>
      <c r="BE178" s="117" t="s">
        <v>182</v>
      </c>
    </row>
    <row r="179" spans="1:73" ht="14.4" thickBot="1">
      <c r="A179" s="397" t="s">
        <v>6</v>
      </c>
      <c r="B179" s="398">
        <f t="shared" ref="B179:C188" si="318">B116-B148</f>
        <v>2600</v>
      </c>
      <c r="C179" s="399">
        <f t="shared" si="318"/>
        <v>8</v>
      </c>
      <c r="D179" s="400">
        <f t="shared" ref="D179:D188" si="319">+B179+C179</f>
        <v>2608</v>
      </c>
      <c r="E179" s="401">
        <f t="shared" ref="E179:G188" si="320">E116-E148</f>
        <v>0</v>
      </c>
      <c r="F179" s="398">
        <f t="shared" si="320"/>
        <v>2108</v>
      </c>
      <c r="G179" s="398">
        <f t="shared" si="320"/>
        <v>11</v>
      </c>
      <c r="H179" s="400">
        <f t="shared" ref="H179:H188" si="321">+F179+G179</f>
        <v>2119</v>
      </c>
      <c r="I179" s="401">
        <f t="shared" ref="I179:K188" si="322">I116-I148</f>
        <v>0</v>
      </c>
      <c r="J179" s="398">
        <f t="shared" si="322"/>
        <v>1802</v>
      </c>
      <c r="K179" s="399">
        <f t="shared" si="322"/>
        <v>7</v>
      </c>
      <c r="L179" s="400">
        <f t="shared" ref="L179:L188" si="323">+J179+K179</f>
        <v>1809</v>
      </c>
      <c r="M179" s="401">
        <f t="shared" ref="M179:O188" si="324">M116-M148</f>
        <v>1</v>
      </c>
      <c r="N179" s="398">
        <f t="shared" si="324"/>
        <v>1479</v>
      </c>
      <c r="O179" s="398">
        <f t="shared" si="324"/>
        <v>3</v>
      </c>
      <c r="P179" s="400">
        <f t="shared" ref="P179:P188" si="325">+N179+O179</f>
        <v>1482</v>
      </c>
      <c r="Q179" s="401">
        <f t="shared" ref="Q179:S188" si="326">Q116-Q148</f>
        <v>1</v>
      </c>
      <c r="R179" s="398">
        <f t="shared" si="326"/>
        <v>1649</v>
      </c>
      <c r="S179" s="399">
        <f t="shared" si="326"/>
        <v>1</v>
      </c>
      <c r="T179" s="400">
        <f t="shared" ref="T179:T188" si="327">+R179+S179</f>
        <v>1650</v>
      </c>
      <c r="U179" s="401">
        <f t="shared" ref="U179:W188" si="328">U116-U148</f>
        <v>0</v>
      </c>
      <c r="V179" s="398">
        <f t="shared" si="328"/>
        <v>1313</v>
      </c>
      <c r="W179" s="399">
        <f t="shared" si="328"/>
        <v>3</v>
      </c>
      <c r="X179" s="400">
        <f t="shared" ref="X179:X188" si="329">+V179+W179</f>
        <v>1316</v>
      </c>
      <c r="Y179" s="401">
        <f t="shared" ref="Y179:AA188" si="330">Y116-Y148</f>
        <v>0</v>
      </c>
      <c r="Z179" s="398">
        <f t="shared" si="330"/>
        <v>1124</v>
      </c>
      <c r="AA179" s="399">
        <f t="shared" si="330"/>
        <v>0</v>
      </c>
      <c r="AB179" s="400">
        <f t="shared" ref="AB179:AB188" si="331">+Z179+AA179</f>
        <v>1124</v>
      </c>
      <c r="AC179" s="401">
        <f t="shared" ref="AC179:AE188" si="332">AC116-AC148</f>
        <v>2</v>
      </c>
      <c r="AD179" s="398">
        <f t="shared" si="332"/>
        <v>1293</v>
      </c>
      <c r="AE179" s="399">
        <f t="shared" si="332"/>
        <v>2</v>
      </c>
      <c r="AF179" s="400">
        <f t="shared" ref="AF179:AF188" si="333">+AD179+AE179</f>
        <v>1295</v>
      </c>
      <c r="AG179" s="401">
        <f t="shared" ref="AG179:AI188" si="334">AG116-AG148</f>
        <v>0</v>
      </c>
      <c r="AH179" s="398">
        <f t="shared" si="334"/>
        <v>0</v>
      </c>
      <c r="AI179" s="399">
        <f t="shared" si="334"/>
        <v>0</v>
      </c>
      <c r="AJ179" s="400">
        <f t="shared" ref="AJ179:AJ188" si="335">+AH179+AI179</f>
        <v>0</v>
      </c>
      <c r="AK179" s="401">
        <f t="shared" ref="AK179:AM188" si="336">AK116-AK148</f>
        <v>0</v>
      </c>
      <c r="AL179" s="398">
        <f t="shared" si="336"/>
        <v>0</v>
      </c>
      <c r="AM179" s="399">
        <f t="shared" si="336"/>
        <v>0</v>
      </c>
      <c r="AN179" s="400">
        <f t="shared" ref="AN179:AN188" si="337">+AL179+AM179</f>
        <v>0</v>
      </c>
      <c r="AO179" s="401">
        <f t="shared" ref="AO179:AQ188" si="338">AO116-AO148</f>
        <v>0</v>
      </c>
      <c r="AP179" s="398">
        <f t="shared" si="338"/>
        <v>0</v>
      </c>
      <c r="AQ179" s="399">
        <f t="shared" si="338"/>
        <v>0</v>
      </c>
      <c r="AR179" s="400">
        <f t="shared" ref="AR179:AR188" si="339">+AP179+AQ179</f>
        <v>0</v>
      </c>
      <c r="AS179" s="401">
        <f t="shared" ref="AS179:AU188" si="340">AS116-AS148</f>
        <v>0</v>
      </c>
      <c r="AT179" s="398">
        <f t="shared" si="340"/>
        <v>0</v>
      </c>
      <c r="AU179" s="399">
        <f t="shared" si="340"/>
        <v>0</v>
      </c>
      <c r="AV179" s="400">
        <f t="shared" ref="AV179:AV188" si="341">+AT179+AU179</f>
        <v>0</v>
      </c>
      <c r="AW179" s="401">
        <f t="shared" ref="AW179:AW188" si="342">AW116-AW148</f>
        <v>0</v>
      </c>
      <c r="AX179" s="432">
        <f>B179+F179+J179+N179+R179+V179+Z179+AD179+AH179+AL179+AP179+AT179</f>
        <v>13368</v>
      </c>
      <c r="AY179" s="432">
        <f>C179+G179+K179+O179+S179+W179+AA179+AE179+AI179+AM179+AQ179+AU179</f>
        <v>35</v>
      </c>
      <c r="AZ179" s="432">
        <f>D179+H179+L179+P179+T179+X179+AB179+AF179+AJ179+AN179+AR179+AV179</f>
        <v>13403</v>
      </c>
      <c r="BA179" s="432">
        <f>E179+I179+M179+Q179+U179+Y179+AC179+AG179+AK179+AO179+AS179+AW179</f>
        <v>4</v>
      </c>
      <c r="BB179" s="435"/>
      <c r="BC179" s="395"/>
      <c r="BD179" s="395">
        <f>AF179</f>
        <v>1295</v>
      </c>
      <c r="BE179" s="395">
        <f>AG179</f>
        <v>0</v>
      </c>
    </row>
    <row r="180" spans="1:73" ht="14.4" thickBot="1">
      <c r="A180" s="397" t="s">
        <v>7</v>
      </c>
      <c r="B180" s="398">
        <f t="shared" si="318"/>
        <v>1183</v>
      </c>
      <c r="C180" s="399">
        <f t="shared" si="318"/>
        <v>27</v>
      </c>
      <c r="D180" s="400">
        <f t="shared" si="319"/>
        <v>1210</v>
      </c>
      <c r="E180" s="401">
        <f t="shared" si="320"/>
        <v>0</v>
      </c>
      <c r="F180" s="398">
        <f t="shared" si="320"/>
        <v>1091</v>
      </c>
      <c r="G180" s="398">
        <f t="shared" si="320"/>
        <v>13</v>
      </c>
      <c r="H180" s="400">
        <f t="shared" si="321"/>
        <v>1104</v>
      </c>
      <c r="I180" s="401">
        <f t="shared" si="322"/>
        <v>0</v>
      </c>
      <c r="J180" s="398">
        <f t="shared" si="322"/>
        <v>912</v>
      </c>
      <c r="K180" s="399">
        <f t="shared" si="322"/>
        <v>8</v>
      </c>
      <c r="L180" s="400">
        <f t="shared" si="323"/>
        <v>920</v>
      </c>
      <c r="M180" s="401">
        <f t="shared" si="324"/>
        <v>3</v>
      </c>
      <c r="N180" s="398">
        <f t="shared" si="324"/>
        <v>617</v>
      </c>
      <c r="O180" s="398">
        <f t="shared" si="324"/>
        <v>10</v>
      </c>
      <c r="P180" s="400">
        <f t="shared" si="325"/>
        <v>627</v>
      </c>
      <c r="Q180" s="401">
        <f t="shared" si="326"/>
        <v>0</v>
      </c>
      <c r="R180" s="398">
        <f t="shared" si="326"/>
        <v>489</v>
      </c>
      <c r="S180" s="399">
        <f t="shared" si="326"/>
        <v>16</v>
      </c>
      <c r="T180" s="400">
        <f t="shared" si="327"/>
        <v>505</v>
      </c>
      <c r="U180" s="401">
        <f t="shared" si="328"/>
        <v>2</v>
      </c>
      <c r="V180" s="398">
        <f t="shared" si="328"/>
        <v>462</v>
      </c>
      <c r="W180" s="399">
        <f t="shared" si="328"/>
        <v>14</v>
      </c>
      <c r="X180" s="400">
        <f t="shared" si="329"/>
        <v>476</v>
      </c>
      <c r="Y180" s="401">
        <f t="shared" si="330"/>
        <v>0</v>
      </c>
      <c r="Z180" s="398">
        <f t="shared" si="330"/>
        <v>344</v>
      </c>
      <c r="AA180" s="399">
        <f t="shared" si="330"/>
        <v>5</v>
      </c>
      <c r="AB180" s="400">
        <f t="shared" si="331"/>
        <v>349</v>
      </c>
      <c r="AC180" s="401">
        <f t="shared" si="332"/>
        <v>0</v>
      </c>
      <c r="AD180" s="398">
        <f t="shared" si="332"/>
        <v>438</v>
      </c>
      <c r="AE180" s="399">
        <f t="shared" si="332"/>
        <v>5</v>
      </c>
      <c r="AF180" s="400">
        <f t="shared" si="333"/>
        <v>443</v>
      </c>
      <c r="AG180" s="401">
        <f t="shared" si="334"/>
        <v>0</v>
      </c>
      <c r="AH180" s="398">
        <f t="shared" si="334"/>
        <v>0</v>
      </c>
      <c r="AI180" s="399">
        <f t="shared" si="334"/>
        <v>0</v>
      </c>
      <c r="AJ180" s="400">
        <f t="shared" si="335"/>
        <v>0</v>
      </c>
      <c r="AK180" s="401">
        <f t="shared" si="336"/>
        <v>0</v>
      </c>
      <c r="AL180" s="398">
        <f t="shared" si="336"/>
        <v>0</v>
      </c>
      <c r="AM180" s="399">
        <f t="shared" si="336"/>
        <v>0</v>
      </c>
      <c r="AN180" s="400">
        <f t="shared" si="337"/>
        <v>0</v>
      </c>
      <c r="AO180" s="401">
        <f t="shared" si="338"/>
        <v>0</v>
      </c>
      <c r="AP180" s="398">
        <f t="shared" si="338"/>
        <v>0</v>
      </c>
      <c r="AQ180" s="399">
        <f t="shared" si="338"/>
        <v>0</v>
      </c>
      <c r="AR180" s="400">
        <f t="shared" si="339"/>
        <v>0</v>
      </c>
      <c r="AS180" s="401">
        <f t="shared" si="340"/>
        <v>0</v>
      </c>
      <c r="AT180" s="398">
        <f t="shared" si="340"/>
        <v>0</v>
      </c>
      <c r="AU180" s="399">
        <f t="shared" si="340"/>
        <v>0</v>
      </c>
      <c r="AV180" s="400">
        <f t="shared" si="341"/>
        <v>0</v>
      </c>
      <c r="AW180" s="401">
        <f t="shared" si="342"/>
        <v>0</v>
      </c>
      <c r="AX180" s="432">
        <f t="shared" ref="AX180:AX188" si="343">B180+F180+J180+N180+R180+V180+Z180+AD180+AH180+AL180+AP180+AT180</f>
        <v>5536</v>
      </c>
      <c r="AY180" s="432">
        <f t="shared" ref="AY180:AY188" si="344">C180+G180+K180+O180+S180+W180+AA180+AE180+AI180+AM180+AQ180+AU180</f>
        <v>98</v>
      </c>
      <c r="AZ180" s="432">
        <f t="shared" ref="AZ180:AZ188" si="345">D180+H180+L180+P180+T180+X180+AB180+AF180+AJ180+AN180+AR180+AV180</f>
        <v>5634</v>
      </c>
      <c r="BA180" s="432">
        <f>E180+I180+M180+Q180+U180+Y180+AC180+AG180+AK180+AO180+AS180+AW180</f>
        <v>5</v>
      </c>
      <c r="BB180" s="435"/>
      <c r="BC180" s="395"/>
      <c r="BD180" s="395">
        <f t="shared" ref="BD180:BD189" si="346">AF180</f>
        <v>443</v>
      </c>
      <c r="BE180" s="395">
        <f t="shared" ref="BE180:BE188" si="347">AG180</f>
        <v>0</v>
      </c>
    </row>
    <row r="181" spans="1:73" ht="14.4" thickBot="1">
      <c r="A181" s="397" t="s">
        <v>8</v>
      </c>
      <c r="B181" s="398">
        <f t="shared" si="318"/>
        <v>1314</v>
      </c>
      <c r="C181" s="399">
        <f t="shared" si="318"/>
        <v>17</v>
      </c>
      <c r="D181" s="400">
        <f t="shared" si="319"/>
        <v>1331</v>
      </c>
      <c r="E181" s="401">
        <f t="shared" si="320"/>
        <v>5</v>
      </c>
      <c r="F181" s="398">
        <f t="shared" si="320"/>
        <v>1557</v>
      </c>
      <c r="G181" s="398">
        <f t="shared" si="320"/>
        <v>30</v>
      </c>
      <c r="H181" s="400">
        <f t="shared" si="321"/>
        <v>1587</v>
      </c>
      <c r="I181" s="401">
        <f t="shared" si="322"/>
        <v>3</v>
      </c>
      <c r="J181" s="398">
        <f t="shared" si="322"/>
        <v>1496</v>
      </c>
      <c r="K181" s="399">
        <f t="shared" si="322"/>
        <v>15</v>
      </c>
      <c r="L181" s="400">
        <f t="shared" si="323"/>
        <v>1511</v>
      </c>
      <c r="M181" s="401">
        <f t="shared" si="324"/>
        <v>1</v>
      </c>
      <c r="N181" s="398">
        <f t="shared" si="324"/>
        <v>918</v>
      </c>
      <c r="O181" s="398">
        <f t="shared" si="324"/>
        <v>4</v>
      </c>
      <c r="P181" s="400">
        <f t="shared" si="325"/>
        <v>922</v>
      </c>
      <c r="Q181" s="401">
        <f t="shared" si="326"/>
        <v>0</v>
      </c>
      <c r="R181" s="398">
        <f t="shared" si="326"/>
        <v>840</v>
      </c>
      <c r="S181" s="399">
        <f t="shared" si="326"/>
        <v>7</v>
      </c>
      <c r="T181" s="400">
        <f t="shared" si="327"/>
        <v>847</v>
      </c>
      <c r="U181" s="401">
        <f t="shared" si="328"/>
        <v>0</v>
      </c>
      <c r="V181" s="398">
        <f t="shared" si="328"/>
        <v>650</v>
      </c>
      <c r="W181" s="399">
        <f t="shared" si="328"/>
        <v>8</v>
      </c>
      <c r="X181" s="400">
        <f t="shared" si="329"/>
        <v>658</v>
      </c>
      <c r="Y181" s="401">
        <f t="shared" si="330"/>
        <v>0</v>
      </c>
      <c r="Z181" s="398">
        <f t="shared" si="330"/>
        <v>513</v>
      </c>
      <c r="AA181" s="399">
        <f t="shared" si="330"/>
        <v>5</v>
      </c>
      <c r="AB181" s="400">
        <f t="shared" si="331"/>
        <v>518</v>
      </c>
      <c r="AC181" s="401">
        <f t="shared" si="332"/>
        <v>0</v>
      </c>
      <c r="AD181" s="398">
        <f t="shared" si="332"/>
        <v>973</v>
      </c>
      <c r="AE181" s="399">
        <f t="shared" si="332"/>
        <v>8</v>
      </c>
      <c r="AF181" s="400">
        <f t="shared" si="333"/>
        <v>981</v>
      </c>
      <c r="AG181" s="401">
        <f t="shared" si="334"/>
        <v>0</v>
      </c>
      <c r="AH181" s="398">
        <f t="shared" si="334"/>
        <v>0</v>
      </c>
      <c r="AI181" s="399">
        <f t="shared" si="334"/>
        <v>0</v>
      </c>
      <c r="AJ181" s="400">
        <f t="shared" si="335"/>
        <v>0</v>
      </c>
      <c r="AK181" s="401">
        <f t="shared" si="336"/>
        <v>0</v>
      </c>
      <c r="AL181" s="398">
        <f t="shared" si="336"/>
        <v>0</v>
      </c>
      <c r="AM181" s="399">
        <f t="shared" si="336"/>
        <v>0</v>
      </c>
      <c r="AN181" s="400">
        <f t="shared" si="337"/>
        <v>0</v>
      </c>
      <c r="AO181" s="401">
        <f t="shared" si="338"/>
        <v>0</v>
      </c>
      <c r="AP181" s="398">
        <f t="shared" si="338"/>
        <v>0</v>
      </c>
      <c r="AQ181" s="399">
        <f t="shared" si="338"/>
        <v>0</v>
      </c>
      <c r="AR181" s="400">
        <f t="shared" si="339"/>
        <v>0</v>
      </c>
      <c r="AS181" s="401">
        <f t="shared" si="340"/>
        <v>0</v>
      </c>
      <c r="AT181" s="398">
        <f t="shared" si="340"/>
        <v>0</v>
      </c>
      <c r="AU181" s="399">
        <f t="shared" si="340"/>
        <v>0</v>
      </c>
      <c r="AV181" s="400">
        <f t="shared" si="341"/>
        <v>0</v>
      </c>
      <c r="AW181" s="401">
        <f t="shared" si="342"/>
        <v>0</v>
      </c>
      <c r="AX181" s="432">
        <f t="shared" si="343"/>
        <v>8261</v>
      </c>
      <c r="AY181" s="432">
        <f t="shared" si="344"/>
        <v>94</v>
      </c>
      <c r="AZ181" s="432">
        <f t="shared" si="345"/>
        <v>8355</v>
      </c>
      <c r="BA181" s="432">
        <f>E181+I181+M181+Q181+U181+Y181+AC181+AG181+AK181+AO181+AS181+AW181</f>
        <v>9</v>
      </c>
      <c r="BB181" s="435"/>
      <c r="BC181" s="395"/>
      <c r="BD181" s="395">
        <f t="shared" si="346"/>
        <v>981</v>
      </c>
      <c r="BE181" s="395">
        <f t="shared" si="347"/>
        <v>0</v>
      </c>
    </row>
    <row r="182" spans="1:73" ht="14.4" thickBot="1">
      <c r="A182" s="397" t="s">
        <v>4</v>
      </c>
      <c r="B182" s="398">
        <f t="shared" si="318"/>
        <v>2388</v>
      </c>
      <c r="C182" s="399">
        <f t="shared" si="318"/>
        <v>37</v>
      </c>
      <c r="D182" s="400">
        <f t="shared" si="319"/>
        <v>2425</v>
      </c>
      <c r="E182" s="401">
        <f t="shared" si="320"/>
        <v>0</v>
      </c>
      <c r="F182" s="398">
        <f t="shared" si="320"/>
        <v>2010</v>
      </c>
      <c r="G182" s="398">
        <f t="shared" si="320"/>
        <v>12</v>
      </c>
      <c r="H182" s="400">
        <f t="shared" si="321"/>
        <v>2022</v>
      </c>
      <c r="I182" s="401">
        <f t="shared" si="322"/>
        <v>0</v>
      </c>
      <c r="J182" s="398">
        <f t="shared" si="322"/>
        <v>1320</v>
      </c>
      <c r="K182" s="399">
        <f t="shared" si="322"/>
        <v>14</v>
      </c>
      <c r="L182" s="400">
        <f t="shared" si="323"/>
        <v>1334</v>
      </c>
      <c r="M182" s="401">
        <f t="shared" si="324"/>
        <v>1</v>
      </c>
      <c r="N182" s="398">
        <f t="shared" si="324"/>
        <v>1333</v>
      </c>
      <c r="O182" s="398">
        <f t="shared" si="324"/>
        <v>22</v>
      </c>
      <c r="P182" s="400">
        <f t="shared" si="325"/>
        <v>1355</v>
      </c>
      <c r="Q182" s="401">
        <f t="shared" si="326"/>
        <v>1</v>
      </c>
      <c r="R182" s="398">
        <f t="shared" si="326"/>
        <v>1372</v>
      </c>
      <c r="S182" s="399">
        <f t="shared" si="326"/>
        <v>10</v>
      </c>
      <c r="T182" s="400">
        <f t="shared" si="327"/>
        <v>1382</v>
      </c>
      <c r="U182" s="401">
        <f t="shared" si="328"/>
        <v>1</v>
      </c>
      <c r="V182" s="398">
        <f t="shared" si="328"/>
        <v>1427</v>
      </c>
      <c r="W182" s="399">
        <f t="shared" si="328"/>
        <v>5</v>
      </c>
      <c r="X182" s="400">
        <f t="shared" si="329"/>
        <v>1432</v>
      </c>
      <c r="Y182" s="401">
        <f t="shared" si="330"/>
        <v>1</v>
      </c>
      <c r="Z182" s="398">
        <f t="shared" si="330"/>
        <v>1305</v>
      </c>
      <c r="AA182" s="399">
        <f t="shared" si="330"/>
        <v>4</v>
      </c>
      <c r="AB182" s="400">
        <f t="shared" si="331"/>
        <v>1309</v>
      </c>
      <c r="AC182" s="401">
        <f t="shared" si="332"/>
        <v>3</v>
      </c>
      <c r="AD182" s="398">
        <f t="shared" si="332"/>
        <v>1038</v>
      </c>
      <c r="AE182" s="399">
        <f t="shared" si="332"/>
        <v>4</v>
      </c>
      <c r="AF182" s="400">
        <f t="shared" si="333"/>
        <v>1042</v>
      </c>
      <c r="AG182" s="401">
        <f t="shared" si="334"/>
        <v>0</v>
      </c>
      <c r="AH182" s="398">
        <f t="shared" si="334"/>
        <v>0</v>
      </c>
      <c r="AI182" s="399">
        <f t="shared" si="334"/>
        <v>0</v>
      </c>
      <c r="AJ182" s="400">
        <f t="shared" si="335"/>
        <v>0</v>
      </c>
      <c r="AK182" s="401">
        <f t="shared" si="336"/>
        <v>0</v>
      </c>
      <c r="AL182" s="398">
        <f t="shared" si="336"/>
        <v>0</v>
      </c>
      <c r="AM182" s="399">
        <f t="shared" si="336"/>
        <v>0</v>
      </c>
      <c r="AN182" s="400">
        <f t="shared" si="337"/>
        <v>0</v>
      </c>
      <c r="AO182" s="401">
        <f t="shared" si="338"/>
        <v>0</v>
      </c>
      <c r="AP182" s="398">
        <f t="shared" si="338"/>
        <v>0</v>
      </c>
      <c r="AQ182" s="399">
        <f t="shared" si="338"/>
        <v>0</v>
      </c>
      <c r="AR182" s="400">
        <f t="shared" si="339"/>
        <v>0</v>
      </c>
      <c r="AS182" s="401">
        <f t="shared" si="340"/>
        <v>0</v>
      </c>
      <c r="AT182" s="398">
        <f t="shared" si="340"/>
        <v>0</v>
      </c>
      <c r="AU182" s="399">
        <f t="shared" si="340"/>
        <v>0</v>
      </c>
      <c r="AV182" s="400">
        <f t="shared" si="341"/>
        <v>0</v>
      </c>
      <c r="AW182" s="401">
        <f t="shared" si="342"/>
        <v>0</v>
      </c>
      <c r="AX182" s="432">
        <f t="shared" si="343"/>
        <v>12193</v>
      </c>
      <c r="AY182" s="432">
        <f t="shared" si="344"/>
        <v>108</v>
      </c>
      <c r="AZ182" s="432">
        <f t="shared" si="345"/>
        <v>12301</v>
      </c>
      <c r="BA182" s="432">
        <f>E182+I182+M182+Q182+U182+Y182+AC182+AG182+AK182+AO182+AS182+AW182</f>
        <v>7</v>
      </c>
      <c r="BB182" s="435"/>
      <c r="BC182" s="395"/>
      <c r="BD182" s="395">
        <f t="shared" si="346"/>
        <v>1042</v>
      </c>
      <c r="BE182" s="395">
        <f t="shared" si="347"/>
        <v>0</v>
      </c>
    </row>
    <row r="183" spans="1:73" ht="14.4" thickBot="1">
      <c r="A183" s="397" t="s">
        <v>3</v>
      </c>
      <c r="B183" s="398">
        <f t="shared" si="318"/>
        <v>608</v>
      </c>
      <c r="C183" s="399">
        <f t="shared" si="318"/>
        <v>10</v>
      </c>
      <c r="D183" s="400">
        <f t="shared" si="319"/>
        <v>618</v>
      </c>
      <c r="E183" s="401">
        <f t="shared" si="320"/>
        <v>0</v>
      </c>
      <c r="F183" s="398">
        <f t="shared" si="320"/>
        <v>655</v>
      </c>
      <c r="G183" s="398">
        <f t="shared" si="320"/>
        <v>8</v>
      </c>
      <c r="H183" s="400">
        <f t="shared" si="321"/>
        <v>663</v>
      </c>
      <c r="I183" s="401">
        <f t="shared" si="322"/>
        <v>0</v>
      </c>
      <c r="J183" s="398">
        <f t="shared" si="322"/>
        <v>355</v>
      </c>
      <c r="K183" s="399">
        <f t="shared" si="322"/>
        <v>23</v>
      </c>
      <c r="L183" s="400">
        <f t="shared" si="323"/>
        <v>378</v>
      </c>
      <c r="M183" s="401">
        <f t="shared" si="324"/>
        <v>0</v>
      </c>
      <c r="N183" s="398">
        <f t="shared" si="324"/>
        <v>283</v>
      </c>
      <c r="O183" s="398">
        <f t="shared" si="324"/>
        <v>3</v>
      </c>
      <c r="P183" s="400">
        <f t="shared" si="325"/>
        <v>286</v>
      </c>
      <c r="Q183" s="401">
        <f t="shared" si="326"/>
        <v>0</v>
      </c>
      <c r="R183" s="398">
        <f t="shared" si="326"/>
        <v>371</v>
      </c>
      <c r="S183" s="399">
        <f t="shared" si="326"/>
        <v>9</v>
      </c>
      <c r="T183" s="400">
        <f t="shared" si="327"/>
        <v>380</v>
      </c>
      <c r="U183" s="401">
        <f t="shared" si="328"/>
        <v>2</v>
      </c>
      <c r="V183" s="398">
        <f t="shared" si="328"/>
        <v>378</v>
      </c>
      <c r="W183" s="399">
        <f t="shared" si="328"/>
        <v>2</v>
      </c>
      <c r="X183" s="400">
        <f t="shared" si="329"/>
        <v>380</v>
      </c>
      <c r="Y183" s="401">
        <f t="shared" si="330"/>
        <v>0</v>
      </c>
      <c r="Z183" s="398">
        <f t="shared" si="330"/>
        <v>388</v>
      </c>
      <c r="AA183" s="399">
        <f t="shared" si="330"/>
        <v>6</v>
      </c>
      <c r="AB183" s="400">
        <f t="shared" si="331"/>
        <v>394</v>
      </c>
      <c r="AC183" s="401">
        <f t="shared" si="332"/>
        <v>0</v>
      </c>
      <c r="AD183" s="398">
        <f t="shared" si="332"/>
        <v>466</v>
      </c>
      <c r="AE183" s="399">
        <f t="shared" si="332"/>
        <v>0</v>
      </c>
      <c r="AF183" s="400">
        <f t="shared" si="333"/>
        <v>466</v>
      </c>
      <c r="AG183" s="401">
        <f t="shared" si="334"/>
        <v>0</v>
      </c>
      <c r="AH183" s="398">
        <f t="shared" si="334"/>
        <v>0</v>
      </c>
      <c r="AI183" s="399">
        <f t="shared" si="334"/>
        <v>0</v>
      </c>
      <c r="AJ183" s="400">
        <f t="shared" si="335"/>
        <v>0</v>
      </c>
      <c r="AK183" s="401">
        <f t="shared" si="336"/>
        <v>0</v>
      </c>
      <c r="AL183" s="398">
        <f t="shared" si="336"/>
        <v>0</v>
      </c>
      <c r="AM183" s="399">
        <f t="shared" si="336"/>
        <v>0</v>
      </c>
      <c r="AN183" s="400">
        <f t="shared" si="337"/>
        <v>0</v>
      </c>
      <c r="AO183" s="401">
        <f t="shared" si="338"/>
        <v>0</v>
      </c>
      <c r="AP183" s="398">
        <f t="shared" si="338"/>
        <v>0</v>
      </c>
      <c r="AQ183" s="399">
        <f t="shared" si="338"/>
        <v>0</v>
      </c>
      <c r="AR183" s="400">
        <f t="shared" si="339"/>
        <v>0</v>
      </c>
      <c r="AS183" s="401">
        <f t="shared" si="340"/>
        <v>0</v>
      </c>
      <c r="AT183" s="398">
        <f t="shared" si="340"/>
        <v>0</v>
      </c>
      <c r="AU183" s="399">
        <f t="shared" si="340"/>
        <v>0</v>
      </c>
      <c r="AV183" s="400">
        <f t="shared" si="341"/>
        <v>0</v>
      </c>
      <c r="AW183" s="401">
        <f t="shared" si="342"/>
        <v>0</v>
      </c>
      <c r="AX183" s="432">
        <f t="shared" si="343"/>
        <v>3504</v>
      </c>
      <c r="AY183" s="432">
        <f t="shared" si="344"/>
        <v>61</v>
      </c>
      <c r="AZ183" s="432">
        <f t="shared" si="345"/>
        <v>3565</v>
      </c>
      <c r="BA183" s="432">
        <f t="shared" ref="BA183:BA188" si="348">E183+I183+M183+Q183+U183+Y183+AC183+AG183+AK183+AO183+AS183+AW183</f>
        <v>2</v>
      </c>
      <c r="BB183" s="435"/>
      <c r="BC183" s="395"/>
      <c r="BD183" s="395">
        <f t="shared" si="346"/>
        <v>466</v>
      </c>
      <c r="BE183" s="395">
        <f t="shared" si="347"/>
        <v>0</v>
      </c>
    </row>
    <row r="184" spans="1:73" ht="14.4" thickBot="1">
      <c r="A184" s="397" t="s">
        <v>397</v>
      </c>
      <c r="B184" s="398">
        <f t="shared" si="318"/>
        <v>893</v>
      </c>
      <c r="C184" s="399">
        <f t="shared" si="318"/>
        <v>7</v>
      </c>
      <c r="D184" s="400">
        <f t="shared" si="319"/>
        <v>900</v>
      </c>
      <c r="E184" s="401">
        <f t="shared" si="320"/>
        <v>0</v>
      </c>
      <c r="F184" s="398">
        <f t="shared" si="320"/>
        <v>601</v>
      </c>
      <c r="G184" s="398">
        <f t="shared" si="320"/>
        <v>5</v>
      </c>
      <c r="H184" s="400">
        <f t="shared" si="321"/>
        <v>606</v>
      </c>
      <c r="I184" s="401">
        <f t="shared" si="322"/>
        <v>0</v>
      </c>
      <c r="J184" s="398">
        <f t="shared" si="322"/>
        <v>1298</v>
      </c>
      <c r="K184" s="399">
        <f t="shared" si="322"/>
        <v>3</v>
      </c>
      <c r="L184" s="400">
        <f t="shared" si="323"/>
        <v>1301</v>
      </c>
      <c r="M184" s="401">
        <f t="shared" si="324"/>
        <v>1</v>
      </c>
      <c r="N184" s="398">
        <f t="shared" si="324"/>
        <v>768</v>
      </c>
      <c r="O184" s="398">
        <f t="shared" si="324"/>
        <v>1</v>
      </c>
      <c r="P184" s="400">
        <f t="shared" si="325"/>
        <v>769</v>
      </c>
      <c r="Q184" s="401">
        <f t="shared" si="326"/>
        <v>0</v>
      </c>
      <c r="R184" s="398">
        <f t="shared" si="326"/>
        <v>722</v>
      </c>
      <c r="S184" s="399">
        <f t="shared" si="326"/>
        <v>7</v>
      </c>
      <c r="T184" s="400">
        <f t="shared" si="327"/>
        <v>729</v>
      </c>
      <c r="U184" s="401">
        <f t="shared" si="328"/>
        <v>2</v>
      </c>
      <c r="V184" s="398">
        <f t="shared" si="328"/>
        <v>466</v>
      </c>
      <c r="W184" s="399">
        <f t="shared" si="328"/>
        <v>2</v>
      </c>
      <c r="X184" s="400">
        <f t="shared" si="329"/>
        <v>468</v>
      </c>
      <c r="Y184" s="401">
        <f t="shared" si="330"/>
        <v>0</v>
      </c>
      <c r="Z184" s="398">
        <f t="shared" si="330"/>
        <v>655</v>
      </c>
      <c r="AA184" s="399">
        <f t="shared" si="330"/>
        <v>2</v>
      </c>
      <c r="AB184" s="400">
        <f t="shared" si="331"/>
        <v>657</v>
      </c>
      <c r="AC184" s="401">
        <f t="shared" si="332"/>
        <v>1</v>
      </c>
      <c r="AD184" s="398">
        <f t="shared" si="332"/>
        <v>576</v>
      </c>
      <c r="AE184" s="399">
        <f t="shared" si="332"/>
        <v>1</v>
      </c>
      <c r="AF184" s="400">
        <f t="shared" si="333"/>
        <v>577</v>
      </c>
      <c r="AG184" s="401">
        <f t="shared" si="334"/>
        <v>0</v>
      </c>
      <c r="AH184" s="398">
        <f t="shared" si="334"/>
        <v>0</v>
      </c>
      <c r="AI184" s="399">
        <f t="shared" si="334"/>
        <v>0</v>
      </c>
      <c r="AJ184" s="400">
        <f t="shared" si="335"/>
        <v>0</v>
      </c>
      <c r="AK184" s="401">
        <f t="shared" si="336"/>
        <v>0</v>
      </c>
      <c r="AL184" s="398">
        <f t="shared" si="336"/>
        <v>0</v>
      </c>
      <c r="AM184" s="399">
        <f t="shared" si="336"/>
        <v>0</v>
      </c>
      <c r="AN184" s="400">
        <f t="shared" si="337"/>
        <v>0</v>
      </c>
      <c r="AO184" s="401">
        <f t="shared" si="338"/>
        <v>0</v>
      </c>
      <c r="AP184" s="398">
        <f t="shared" si="338"/>
        <v>0</v>
      </c>
      <c r="AQ184" s="399">
        <f t="shared" si="338"/>
        <v>0</v>
      </c>
      <c r="AR184" s="400">
        <f t="shared" si="339"/>
        <v>0</v>
      </c>
      <c r="AS184" s="401">
        <f t="shared" si="340"/>
        <v>0</v>
      </c>
      <c r="AT184" s="398">
        <f t="shared" si="340"/>
        <v>0</v>
      </c>
      <c r="AU184" s="399">
        <f t="shared" si="340"/>
        <v>0</v>
      </c>
      <c r="AV184" s="400">
        <f t="shared" si="341"/>
        <v>0</v>
      </c>
      <c r="AW184" s="401">
        <f t="shared" si="342"/>
        <v>0</v>
      </c>
      <c r="AX184" s="432">
        <f t="shared" si="343"/>
        <v>5979</v>
      </c>
      <c r="AY184" s="432">
        <f t="shared" si="344"/>
        <v>28</v>
      </c>
      <c r="AZ184" s="432">
        <f t="shared" si="345"/>
        <v>6007</v>
      </c>
      <c r="BA184" s="432">
        <f t="shared" si="348"/>
        <v>4</v>
      </c>
      <c r="BB184" s="435"/>
      <c r="BC184" s="395"/>
      <c r="BD184" s="395">
        <f t="shared" si="346"/>
        <v>577</v>
      </c>
      <c r="BE184" s="395">
        <f t="shared" si="347"/>
        <v>0</v>
      </c>
    </row>
    <row r="185" spans="1:73" ht="14.4" thickBot="1">
      <c r="A185" s="397" t="s">
        <v>399</v>
      </c>
      <c r="B185" s="398">
        <f t="shared" si="318"/>
        <v>1649</v>
      </c>
      <c r="C185" s="399">
        <f t="shared" si="318"/>
        <v>13</v>
      </c>
      <c r="D185" s="400">
        <f t="shared" si="319"/>
        <v>1662</v>
      </c>
      <c r="E185" s="401">
        <f t="shared" si="320"/>
        <v>0</v>
      </c>
      <c r="F185" s="398">
        <f t="shared" si="320"/>
        <v>1538</v>
      </c>
      <c r="G185" s="398">
        <f t="shared" si="320"/>
        <v>9</v>
      </c>
      <c r="H185" s="400">
        <f t="shared" si="321"/>
        <v>1547</v>
      </c>
      <c r="I185" s="401">
        <f t="shared" si="322"/>
        <v>0</v>
      </c>
      <c r="J185" s="398">
        <f t="shared" si="322"/>
        <v>1382</v>
      </c>
      <c r="K185" s="399">
        <f t="shared" si="322"/>
        <v>6</v>
      </c>
      <c r="L185" s="400">
        <f t="shared" si="323"/>
        <v>1388</v>
      </c>
      <c r="M185" s="401">
        <f t="shared" si="324"/>
        <v>1</v>
      </c>
      <c r="N185" s="398">
        <f t="shared" si="324"/>
        <v>1245</v>
      </c>
      <c r="O185" s="398">
        <f t="shared" si="324"/>
        <v>5</v>
      </c>
      <c r="P185" s="400">
        <f t="shared" si="325"/>
        <v>1250</v>
      </c>
      <c r="Q185" s="401">
        <f t="shared" si="326"/>
        <v>1</v>
      </c>
      <c r="R185" s="398">
        <f t="shared" si="326"/>
        <v>1167</v>
      </c>
      <c r="S185" s="399">
        <f t="shared" si="326"/>
        <v>9</v>
      </c>
      <c r="T185" s="400">
        <f t="shared" si="327"/>
        <v>1176</v>
      </c>
      <c r="U185" s="401">
        <f t="shared" si="328"/>
        <v>2</v>
      </c>
      <c r="V185" s="398">
        <f t="shared" si="328"/>
        <v>1421</v>
      </c>
      <c r="W185" s="399">
        <f t="shared" si="328"/>
        <v>1</v>
      </c>
      <c r="X185" s="400">
        <f t="shared" si="329"/>
        <v>1422</v>
      </c>
      <c r="Y185" s="401">
        <f t="shared" si="330"/>
        <v>1</v>
      </c>
      <c r="Z185" s="398">
        <f t="shared" si="330"/>
        <v>1290</v>
      </c>
      <c r="AA185" s="399">
        <f t="shared" si="330"/>
        <v>1</v>
      </c>
      <c r="AB185" s="400">
        <f t="shared" si="331"/>
        <v>1291</v>
      </c>
      <c r="AC185" s="401">
        <f t="shared" si="332"/>
        <v>2</v>
      </c>
      <c r="AD185" s="398">
        <f t="shared" si="332"/>
        <v>942</v>
      </c>
      <c r="AE185" s="399">
        <f t="shared" si="332"/>
        <v>1</v>
      </c>
      <c r="AF185" s="400">
        <f t="shared" si="333"/>
        <v>943</v>
      </c>
      <c r="AG185" s="401">
        <f t="shared" si="334"/>
        <v>2</v>
      </c>
      <c r="AH185" s="398">
        <f t="shared" si="334"/>
        <v>0</v>
      </c>
      <c r="AI185" s="399">
        <f t="shared" si="334"/>
        <v>0</v>
      </c>
      <c r="AJ185" s="400">
        <f t="shared" si="335"/>
        <v>0</v>
      </c>
      <c r="AK185" s="401">
        <f t="shared" si="336"/>
        <v>0</v>
      </c>
      <c r="AL185" s="398">
        <f t="shared" si="336"/>
        <v>0</v>
      </c>
      <c r="AM185" s="399">
        <f t="shared" si="336"/>
        <v>0</v>
      </c>
      <c r="AN185" s="400">
        <f t="shared" si="337"/>
        <v>0</v>
      </c>
      <c r="AO185" s="401">
        <f t="shared" si="338"/>
        <v>0</v>
      </c>
      <c r="AP185" s="398">
        <f t="shared" si="338"/>
        <v>0</v>
      </c>
      <c r="AQ185" s="399">
        <f t="shared" si="338"/>
        <v>0</v>
      </c>
      <c r="AR185" s="400">
        <f t="shared" si="339"/>
        <v>0</v>
      </c>
      <c r="AS185" s="401">
        <f t="shared" si="340"/>
        <v>0</v>
      </c>
      <c r="AT185" s="398">
        <f t="shared" si="340"/>
        <v>0</v>
      </c>
      <c r="AU185" s="399">
        <f t="shared" si="340"/>
        <v>0</v>
      </c>
      <c r="AV185" s="400">
        <f t="shared" si="341"/>
        <v>0</v>
      </c>
      <c r="AW185" s="401">
        <f t="shared" si="342"/>
        <v>0</v>
      </c>
      <c r="AX185" s="432">
        <f t="shared" si="343"/>
        <v>10634</v>
      </c>
      <c r="AY185" s="432">
        <f t="shared" si="344"/>
        <v>45</v>
      </c>
      <c r="AZ185" s="432">
        <f t="shared" si="345"/>
        <v>10679</v>
      </c>
      <c r="BA185" s="432">
        <f t="shared" si="348"/>
        <v>9</v>
      </c>
      <c r="BB185" s="435"/>
      <c r="BC185" s="395"/>
      <c r="BD185" s="395">
        <f t="shared" si="346"/>
        <v>943</v>
      </c>
      <c r="BE185" s="395">
        <f t="shared" si="347"/>
        <v>2</v>
      </c>
    </row>
    <row r="186" spans="1:73" ht="14.4" thickBot="1">
      <c r="A186" s="397" t="s">
        <v>883</v>
      </c>
      <c r="B186" s="398">
        <f t="shared" si="318"/>
        <v>581</v>
      </c>
      <c r="C186" s="399">
        <f t="shared" si="318"/>
        <v>6</v>
      </c>
      <c r="D186" s="400">
        <f t="shared" si="319"/>
        <v>587</v>
      </c>
      <c r="E186" s="401">
        <f t="shared" si="320"/>
        <v>0</v>
      </c>
      <c r="F186" s="398">
        <f t="shared" si="320"/>
        <v>695</v>
      </c>
      <c r="G186" s="398">
        <f t="shared" si="320"/>
        <v>4</v>
      </c>
      <c r="H186" s="400">
        <f t="shared" si="321"/>
        <v>699</v>
      </c>
      <c r="I186" s="401">
        <f t="shared" si="322"/>
        <v>0</v>
      </c>
      <c r="J186" s="398">
        <f t="shared" si="322"/>
        <v>937</v>
      </c>
      <c r="K186" s="399">
        <f t="shared" si="322"/>
        <v>4</v>
      </c>
      <c r="L186" s="400">
        <f t="shared" si="323"/>
        <v>941</v>
      </c>
      <c r="M186" s="401">
        <f t="shared" si="324"/>
        <v>1</v>
      </c>
      <c r="N186" s="398">
        <f t="shared" si="324"/>
        <v>335</v>
      </c>
      <c r="O186" s="398">
        <f t="shared" si="324"/>
        <v>5</v>
      </c>
      <c r="P186" s="400">
        <f t="shared" si="325"/>
        <v>340</v>
      </c>
      <c r="Q186" s="401">
        <f t="shared" si="326"/>
        <v>1</v>
      </c>
      <c r="R186" s="398">
        <f t="shared" si="326"/>
        <v>630</v>
      </c>
      <c r="S186" s="399">
        <f t="shared" si="326"/>
        <v>3</v>
      </c>
      <c r="T186" s="400">
        <f t="shared" si="327"/>
        <v>633</v>
      </c>
      <c r="U186" s="401">
        <f t="shared" si="328"/>
        <v>1</v>
      </c>
      <c r="V186" s="398">
        <f t="shared" si="328"/>
        <v>659</v>
      </c>
      <c r="W186" s="399">
        <f t="shared" si="328"/>
        <v>0</v>
      </c>
      <c r="X186" s="400">
        <f t="shared" si="329"/>
        <v>659</v>
      </c>
      <c r="Y186" s="401">
        <f t="shared" si="330"/>
        <v>1</v>
      </c>
      <c r="Z186" s="398">
        <f t="shared" si="330"/>
        <v>459</v>
      </c>
      <c r="AA186" s="399">
        <f t="shared" si="330"/>
        <v>5</v>
      </c>
      <c r="AB186" s="400">
        <f t="shared" si="331"/>
        <v>464</v>
      </c>
      <c r="AC186" s="401">
        <f t="shared" si="332"/>
        <v>0</v>
      </c>
      <c r="AD186" s="398">
        <f t="shared" si="332"/>
        <v>361</v>
      </c>
      <c r="AE186" s="399">
        <f t="shared" si="332"/>
        <v>0</v>
      </c>
      <c r="AF186" s="400">
        <f t="shared" si="333"/>
        <v>361</v>
      </c>
      <c r="AG186" s="401">
        <f t="shared" si="334"/>
        <v>0</v>
      </c>
      <c r="AH186" s="398">
        <f t="shared" si="334"/>
        <v>0</v>
      </c>
      <c r="AI186" s="399">
        <f t="shared" si="334"/>
        <v>0</v>
      </c>
      <c r="AJ186" s="400">
        <f t="shared" si="335"/>
        <v>0</v>
      </c>
      <c r="AK186" s="401">
        <f t="shared" si="336"/>
        <v>0</v>
      </c>
      <c r="AL186" s="398">
        <f t="shared" si="336"/>
        <v>0</v>
      </c>
      <c r="AM186" s="399">
        <f t="shared" si="336"/>
        <v>0</v>
      </c>
      <c r="AN186" s="400">
        <f t="shared" si="337"/>
        <v>0</v>
      </c>
      <c r="AO186" s="401">
        <f t="shared" si="338"/>
        <v>0</v>
      </c>
      <c r="AP186" s="398">
        <f t="shared" si="338"/>
        <v>0</v>
      </c>
      <c r="AQ186" s="399">
        <f t="shared" si="338"/>
        <v>0</v>
      </c>
      <c r="AR186" s="400">
        <f t="shared" si="339"/>
        <v>0</v>
      </c>
      <c r="AS186" s="401">
        <f t="shared" si="340"/>
        <v>0</v>
      </c>
      <c r="AT186" s="398">
        <f t="shared" si="340"/>
        <v>0</v>
      </c>
      <c r="AU186" s="399">
        <f t="shared" si="340"/>
        <v>0</v>
      </c>
      <c r="AV186" s="400">
        <f t="shared" si="341"/>
        <v>0</v>
      </c>
      <c r="AW186" s="401">
        <f t="shared" si="342"/>
        <v>0</v>
      </c>
      <c r="AX186" s="432">
        <f t="shared" si="343"/>
        <v>4657</v>
      </c>
      <c r="AY186" s="432">
        <f t="shared" si="344"/>
        <v>27</v>
      </c>
      <c r="AZ186" s="432">
        <f t="shared" si="345"/>
        <v>4684</v>
      </c>
      <c r="BA186" s="432">
        <f t="shared" si="348"/>
        <v>4</v>
      </c>
      <c r="BB186" s="435"/>
      <c r="BC186" s="395"/>
      <c r="BD186" s="395">
        <f t="shared" si="346"/>
        <v>361</v>
      </c>
      <c r="BE186" s="395">
        <f t="shared" si="347"/>
        <v>0</v>
      </c>
    </row>
    <row r="187" spans="1:73" ht="14.4" thickBot="1">
      <c r="A187" s="397" t="s">
        <v>884</v>
      </c>
      <c r="B187" s="398">
        <f t="shared" si="318"/>
        <v>1496</v>
      </c>
      <c r="C187" s="399">
        <f t="shared" si="318"/>
        <v>25</v>
      </c>
      <c r="D187" s="400">
        <f t="shared" si="319"/>
        <v>1521</v>
      </c>
      <c r="E187" s="401">
        <f t="shared" si="320"/>
        <v>0</v>
      </c>
      <c r="F187" s="398">
        <f t="shared" si="320"/>
        <v>1637</v>
      </c>
      <c r="G187" s="398">
        <f t="shared" si="320"/>
        <v>19</v>
      </c>
      <c r="H187" s="400">
        <f t="shared" si="321"/>
        <v>1656</v>
      </c>
      <c r="I187" s="401">
        <f t="shared" si="322"/>
        <v>0</v>
      </c>
      <c r="J187" s="398">
        <f t="shared" si="322"/>
        <v>1506</v>
      </c>
      <c r="K187" s="399">
        <f t="shared" si="322"/>
        <v>13</v>
      </c>
      <c r="L187" s="400">
        <f t="shared" si="323"/>
        <v>1519</v>
      </c>
      <c r="M187" s="401">
        <f t="shared" si="324"/>
        <v>1</v>
      </c>
      <c r="N187" s="398">
        <f t="shared" si="324"/>
        <v>822</v>
      </c>
      <c r="O187" s="398">
        <f t="shared" si="324"/>
        <v>27</v>
      </c>
      <c r="P187" s="400">
        <f t="shared" si="325"/>
        <v>849</v>
      </c>
      <c r="Q187" s="401">
        <f t="shared" si="326"/>
        <v>1</v>
      </c>
      <c r="R187" s="398">
        <f t="shared" si="326"/>
        <v>927</v>
      </c>
      <c r="S187" s="399">
        <f t="shared" si="326"/>
        <v>9</v>
      </c>
      <c r="T187" s="400">
        <f t="shared" si="327"/>
        <v>936</v>
      </c>
      <c r="U187" s="401">
        <f t="shared" si="328"/>
        <v>0</v>
      </c>
      <c r="V187" s="398">
        <f t="shared" si="328"/>
        <v>543</v>
      </c>
      <c r="W187" s="399">
        <f t="shared" si="328"/>
        <v>1</v>
      </c>
      <c r="X187" s="400">
        <f t="shared" si="329"/>
        <v>544</v>
      </c>
      <c r="Y187" s="401">
        <f t="shared" si="330"/>
        <v>0</v>
      </c>
      <c r="Z187" s="398">
        <f t="shared" si="330"/>
        <v>618</v>
      </c>
      <c r="AA187" s="399">
        <f t="shared" si="330"/>
        <v>3</v>
      </c>
      <c r="AB187" s="400">
        <f t="shared" si="331"/>
        <v>621</v>
      </c>
      <c r="AC187" s="401">
        <f t="shared" si="332"/>
        <v>1</v>
      </c>
      <c r="AD187" s="398">
        <f t="shared" si="332"/>
        <v>1282</v>
      </c>
      <c r="AE187" s="399">
        <f t="shared" si="332"/>
        <v>4</v>
      </c>
      <c r="AF187" s="400">
        <f t="shared" si="333"/>
        <v>1286</v>
      </c>
      <c r="AG187" s="401">
        <f t="shared" si="334"/>
        <v>2</v>
      </c>
      <c r="AH187" s="398">
        <f t="shared" si="334"/>
        <v>0</v>
      </c>
      <c r="AI187" s="399">
        <f t="shared" si="334"/>
        <v>0</v>
      </c>
      <c r="AJ187" s="400">
        <f t="shared" si="335"/>
        <v>0</v>
      </c>
      <c r="AK187" s="401">
        <f t="shared" si="336"/>
        <v>0</v>
      </c>
      <c r="AL187" s="398">
        <f t="shared" si="336"/>
        <v>0</v>
      </c>
      <c r="AM187" s="399">
        <f t="shared" si="336"/>
        <v>0</v>
      </c>
      <c r="AN187" s="400">
        <f t="shared" si="337"/>
        <v>0</v>
      </c>
      <c r="AO187" s="401">
        <f t="shared" si="338"/>
        <v>0</v>
      </c>
      <c r="AP187" s="398">
        <f t="shared" si="338"/>
        <v>0</v>
      </c>
      <c r="AQ187" s="399">
        <f t="shared" si="338"/>
        <v>0</v>
      </c>
      <c r="AR187" s="400">
        <f t="shared" si="339"/>
        <v>0</v>
      </c>
      <c r="AS187" s="401">
        <f t="shared" si="340"/>
        <v>0</v>
      </c>
      <c r="AT187" s="398">
        <f t="shared" si="340"/>
        <v>0</v>
      </c>
      <c r="AU187" s="399">
        <f t="shared" si="340"/>
        <v>0</v>
      </c>
      <c r="AV187" s="400">
        <f t="shared" si="341"/>
        <v>0</v>
      </c>
      <c r="AW187" s="401">
        <f t="shared" si="342"/>
        <v>0</v>
      </c>
      <c r="AX187" s="432">
        <f t="shared" si="343"/>
        <v>8831</v>
      </c>
      <c r="AY187" s="432">
        <f t="shared" si="344"/>
        <v>101</v>
      </c>
      <c r="AZ187" s="432">
        <f t="shared" si="345"/>
        <v>8932</v>
      </c>
      <c r="BA187" s="432">
        <f t="shared" si="348"/>
        <v>5</v>
      </c>
      <c r="BB187" s="435"/>
      <c r="BC187" s="395"/>
      <c r="BD187" s="395">
        <f t="shared" si="346"/>
        <v>1286</v>
      </c>
      <c r="BE187" s="395">
        <f t="shared" si="347"/>
        <v>2</v>
      </c>
    </row>
    <row r="188" spans="1:73" ht="14.4" thickBot="1">
      <c r="A188" s="397" t="s">
        <v>885</v>
      </c>
      <c r="B188" s="398">
        <f t="shared" si="318"/>
        <v>472</v>
      </c>
      <c r="C188" s="399">
        <f t="shared" si="318"/>
        <v>10</v>
      </c>
      <c r="D188" s="400">
        <f t="shared" si="319"/>
        <v>482</v>
      </c>
      <c r="E188" s="401">
        <f t="shared" si="320"/>
        <v>0</v>
      </c>
      <c r="F188" s="398">
        <f t="shared" si="320"/>
        <v>734</v>
      </c>
      <c r="G188" s="398">
        <f t="shared" si="320"/>
        <v>4</v>
      </c>
      <c r="H188" s="400">
        <f t="shared" si="321"/>
        <v>738</v>
      </c>
      <c r="I188" s="401">
        <f t="shared" si="322"/>
        <v>0</v>
      </c>
      <c r="J188" s="398">
        <f t="shared" si="322"/>
        <v>851</v>
      </c>
      <c r="K188" s="399">
        <f t="shared" si="322"/>
        <v>3</v>
      </c>
      <c r="L188" s="400">
        <f t="shared" si="323"/>
        <v>854</v>
      </c>
      <c r="M188" s="401">
        <f t="shared" si="324"/>
        <v>0</v>
      </c>
      <c r="N188" s="398">
        <f t="shared" si="324"/>
        <v>893</v>
      </c>
      <c r="O188" s="398">
        <f t="shared" si="324"/>
        <v>4</v>
      </c>
      <c r="P188" s="400">
        <f t="shared" si="325"/>
        <v>897</v>
      </c>
      <c r="Q188" s="401">
        <f t="shared" si="326"/>
        <v>0</v>
      </c>
      <c r="R188" s="398">
        <f t="shared" si="326"/>
        <v>895</v>
      </c>
      <c r="S188" s="399">
        <f t="shared" si="326"/>
        <v>-1</v>
      </c>
      <c r="T188" s="400">
        <f t="shared" si="327"/>
        <v>894</v>
      </c>
      <c r="U188" s="401">
        <f t="shared" si="328"/>
        <v>1</v>
      </c>
      <c r="V188" s="398">
        <f t="shared" si="328"/>
        <v>268</v>
      </c>
      <c r="W188" s="399">
        <f t="shared" si="328"/>
        <v>6</v>
      </c>
      <c r="X188" s="400">
        <f t="shared" si="329"/>
        <v>274</v>
      </c>
      <c r="Y188" s="401">
        <f t="shared" si="330"/>
        <v>0</v>
      </c>
      <c r="Z188" s="398">
        <f t="shared" si="330"/>
        <v>209</v>
      </c>
      <c r="AA188" s="399">
        <f t="shared" si="330"/>
        <v>0</v>
      </c>
      <c r="AB188" s="400">
        <f t="shared" si="331"/>
        <v>209</v>
      </c>
      <c r="AC188" s="401">
        <f t="shared" si="332"/>
        <v>0</v>
      </c>
      <c r="AD188" s="398">
        <f t="shared" si="332"/>
        <v>166</v>
      </c>
      <c r="AE188" s="399">
        <f t="shared" si="332"/>
        <v>2</v>
      </c>
      <c r="AF188" s="400">
        <f t="shared" si="333"/>
        <v>168</v>
      </c>
      <c r="AG188" s="401">
        <f t="shared" si="334"/>
        <v>0</v>
      </c>
      <c r="AH188" s="398">
        <f t="shared" si="334"/>
        <v>0</v>
      </c>
      <c r="AI188" s="399">
        <f t="shared" si="334"/>
        <v>0</v>
      </c>
      <c r="AJ188" s="400">
        <f t="shared" si="335"/>
        <v>0</v>
      </c>
      <c r="AK188" s="401">
        <f t="shared" si="336"/>
        <v>0</v>
      </c>
      <c r="AL188" s="398">
        <f t="shared" si="336"/>
        <v>0</v>
      </c>
      <c r="AM188" s="399">
        <f t="shared" si="336"/>
        <v>0</v>
      </c>
      <c r="AN188" s="400">
        <f t="shared" si="337"/>
        <v>0</v>
      </c>
      <c r="AO188" s="401">
        <f t="shared" si="338"/>
        <v>0</v>
      </c>
      <c r="AP188" s="398">
        <f t="shared" si="338"/>
        <v>0</v>
      </c>
      <c r="AQ188" s="399">
        <f t="shared" si="338"/>
        <v>0</v>
      </c>
      <c r="AR188" s="400">
        <f t="shared" si="339"/>
        <v>0</v>
      </c>
      <c r="AS188" s="401">
        <f t="shared" si="340"/>
        <v>0</v>
      </c>
      <c r="AT188" s="398">
        <f t="shared" si="340"/>
        <v>0</v>
      </c>
      <c r="AU188" s="399">
        <f t="shared" si="340"/>
        <v>0</v>
      </c>
      <c r="AV188" s="400">
        <f t="shared" si="341"/>
        <v>0</v>
      </c>
      <c r="AW188" s="401">
        <f t="shared" si="342"/>
        <v>0</v>
      </c>
      <c r="AX188" s="432">
        <f t="shared" si="343"/>
        <v>4488</v>
      </c>
      <c r="AY188" s="432">
        <f t="shared" si="344"/>
        <v>28</v>
      </c>
      <c r="AZ188" s="432">
        <f t="shared" si="345"/>
        <v>4516</v>
      </c>
      <c r="BA188" s="432">
        <f t="shared" si="348"/>
        <v>1</v>
      </c>
      <c r="BB188" s="435"/>
      <c r="BC188" s="395"/>
      <c r="BD188" s="395">
        <f t="shared" si="346"/>
        <v>168</v>
      </c>
      <c r="BE188" s="395">
        <f t="shared" si="347"/>
        <v>0</v>
      </c>
    </row>
    <row r="189" spans="1:73" ht="14.4" thickBot="1">
      <c r="A189" s="433" t="s">
        <v>16</v>
      </c>
      <c r="B189" s="417">
        <f t="shared" ref="B189:AG189" si="349">SUM(B179:B188)</f>
        <v>13184</v>
      </c>
      <c r="C189" s="419">
        <f t="shared" si="349"/>
        <v>160</v>
      </c>
      <c r="D189" s="419">
        <f t="shared" si="349"/>
        <v>13344</v>
      </c>
      <c r="E189" s="420">
        <f t="shared" si="349"/>
        <v>5</v>
      </c>
      <c r="F189" s="417">
        <f t="shared" si="349"/>
        <v>12626</v>
      </c>
      <c r="G189" s="419">
        <f t="shared" si="349"/>
        <v>115</v>
      </c>
      <c r="H189" s="419">
        <f t="shared" si="349"/>
        <v>12741</v>
      </c>
      <c r="I189" s="420">
        <f t="shared" si="349"/>
        <v>3</v>
      </c>
      <c r="J189" s="417">
        <f t="shared" si="349"/>
        <v>11859</v>
      </c>
      <c r="K189" s="419">
        <f t="shared" si="349"/>
        <v>96</v>
      </c>
      <c r="L189" s="419">
        <f t="shared" si="349"/>
        <v>11955</v>
      </c>
      <c r="M189" s="420">
        <f t="shared" si="349"/>
        <v>10</v>
      </c>
      <c r="N189" s="417">
        <f t="shared" si="349"/>
        <v>8693</v>
      </c>
      <c r="O189" s="419">
        <f t="shared" si="349"/>
        <v>84</v>
      </c>
      <c r="P189" s="419">
        <f t="shared" si="349"/>
        <v>8777</v>
      </c>
      <c r="Q189" s="420">
        <f t="shared" si="349"/>
        <v>5</v>
      </c>
      <c r="R189" s="417">
        <f t="shared" si="349"/>
        <v>9062</v>
      </c>
      <c r="S189" s="419">
        <f t="shared" si="349"/>
        <v>70</v>
      </c>
      <c r="T189" s="419">
        <f t="shared" si="349"/>
        <v>9132</v>
      </c>
      <c r="U189" s="420">
        <f t="shared" si="349"/>
        <v>11</v>
      </c>
      <c r="V189" s="417">
        <f t="shared" si="349"/>
        <v>7587</v>
      </c>
      <c r="W189" s="419">
        <f t="shared" si="349"/>
        <v>42</v>
      </c>
      <c r="X189" s="419">
        <f t="shared" si="349"/>
        <v>7629</v>
      </c>
      <c r="Y189" s="420">
        <f t="shared" si="349"/>
        <v>3</v>
      </c>
      <c r="Z189" s="417">
        <f t="shared" si="349"/>
        <v>6905</v>
      </c>
      <c r="AA189" s="419">
        <f t="shared" si="349"/>
        <v>31</v>
      </c>
      <c r="AB189" s="419">
        <f t="shared" si="349"/>
        <v>6936</v>
      </c>
      <c r="AC189" s="420">
        <f t="shared" si="349"/>
        <v>9</v>
      </c>
      <c r="AD189" s="417">
        <f t="shared" si="349"/>
        <v>7535</v>
      </c>
      <c r="AE189" s="419">
        <f t="shared" si="349"/>
        <v>27</v>
      </c>
      <c r="AF189" s="419">
        <f t="shared" si="349"/>
        <v>7562</v>
      </c>
      <c r="AG189" s="420">
        <f t="shared" si="349"/>
        <v>4</v>
      </c>
      <c r="AH189" s="417">
        <f t="shared" ref="AH189:BA189" si="350">SUM(AH179:AH188)</f>
        <v>0</v>
      </c>
      <c r="AI189" s="419">
        <f t="shared" si="350"/>
        <v>0</v>
      </c>
      <c r="AJ189" s="419">
        <f t="shared" si="350"/>
        <v>0</v>
      </c>
      <c r="AK189" s="420">
        <f t="shared" si="350"/>
        <v>0</v>
      </c>
      <c r="AL189" s="417">
        <f t="shared" si="350"/>
        <v>0</v>
      </c>
      <c r="AM189" s="419">
        <f t="shared" si="350"/>
        <v>0</v>
      </c>
      <c r="AN189" s="419">
        <f t="shared" si="350"/>
        <v>0</v>
      </c>
      <c r="AO189" s="420">
        <f t="shared" si="350"/>
        <v>0</v>
      </c>
      <c r="AP189" s="417">
        <f t="shared" si="350"/>
        <v>0</v>
      </c>
      <c r="AQ189" s="419">
        <f t="shared" si="350"/>
        <v>0</v>
      </c>
      <c r="AR189" s="419">
        <f t="shared" si="350"/>
        <v>0</v>
      </c>
      <c r="AS189" s="420">
        <f t="shared" si="350"/>
        <v>0</v>
      </c>
      <c r="AT189" s="417">
        <f t="shared" si="350"/>
        <v>0</v>
      </c>
      <c r="AU189" s="419">
        <f t="shared" si="350"/>
        <v>0</v>
      </c>
      <c r="AV189" s="419">
        <f t="shared" si="350"/>
        <v>0</v>
      </c>
      <c r="AW189" s="420">
        <f t="shared" si="350"/>
        <v>0</v>
      </c>
      <c r="AX189" s="434">
        <f t="shared" si="350"/>
        <v>77451</v>
      </c>
      <c r="AY189" s="434">
        <f t="shared" si="350"/>
        <v>625</v>
      </c>
      <c r="AZ189" s="434">
        <f t="shared" si="350"/>
        <v>78076</v>
      </c>
      <c r="BA189" s="434">
        <f t="shared" si="350"/>
        <v>50</v>
      </c>
      <c r="BB189" s="435"/>
      <c r="BC189" s="395"/>
      <c r="BD189" s="395">
        <f t="shared" si="346"/>
        <v>7562</v>
      </c>
      <c r="BE189" s="395">
        <f>AG189</f>
        <v>4</v>
      </c>
    </row>
    <row r="190" spans="1:73">
      <c r="L190" s="395">
        <f>L189+H189+D189</f>
        <v>38040</v>
      </c>
      <c r="M190" s="395">
        <f>M189+I189+E189</f>
        <v>18</v>
      </c>
      <c r="P190" s="395">
        <f>P189+T189+X189</f>
        <v>25538</v>
      </c>
      <c r="Q190" s="395">
        <f>Q189+U189+Y189</f>
        <v>19</v>
      </c>
      <c r="X190" s="395">
        <f>X189+T189+P189</f>
        <v>25538</v>
      </c>
      <c r="Y190" s="395">
        <f>Y189+U189+Q189</f>
        <v>19</v>
      </c>
      <c r="AJ190" s="117">
        <f>AJ189+AF189+AB189</f>
        <v>14498</v>
      </c>
      <c r="AK190" s="117">
        <f>AK189+AG189+AC189</f>
        <v>13</v>
      </c>
      <c r="AV190" s="117">
        <f>AV189+AR189+AN189</f>
        <v>0</v>
      </c>
      <c r="AW190" s="117">
        <f>AW189+AS189+AO189</f>
        <v>0</v>
      </c>
    </row>
    <row r="192" spans="1:73" ht="18">
      <c r="A192" s="393" t="s">
        <v>94</v>
      </c>
    </row>
    <row r="193" spans="1:73" ht="18.600000000000001" thickBot="1">
      <c r="A193" s="394">
        <f>A34</f>
        <v>2023</v>
      </c>
      <c r="AT193" s="117">
        <v>23.342376000000002</v>
      </c>
      <c r="AU193" s="117">
        <v>2.0153289999999999</v>
      </c>
      <c r="AV193" s="117">
        <v>25.357705000000003</v>
      </c>
      <c r="AW193" s="117">
        <v>1.30687</v>
      </c>
    </row>
    <row r="194" spans="1:73">
      <c r="A194" s="3113" t="str">
        <f>A35</f>
        <v>DD</v>
      </c>
      <c r="B194" s="3115" t="s">
        <v>71</v>
      </c>
      <c r="C194" s="3116"/>
      <c r="D194" s="3116"/>
      <c r="E194" s="3117"/>
      <c r="F194" s="3097" t="s">
        <v>72</v>
      </c>
      <c r="G194" s="3098"/>
      <c r="H194" s="3098"/>
      <c r="I194" s="3099"/>
      <c r="J194" s="3100" t="s">
        <v>73</v>
      </c>
      <c r="K194" s="3101"/>
      <c r="L194" s="3101"/>
      <c r="M194" s="3102"/>
      <c r="N194" s="3103" t="s">
        <v>74</v>
      </c>
      <c r="O194" s="3104"/>
      <c r="P194" s="3104"/>
      <c r="Q194" s="3105"/>
      <c r="R194" s="3106" t="s">
        <v>75</v>
      </c>
      <c r="S194" s="3107"/>
      <c r="T194" s="3107"/>
      <c r="U194" s="3108"/>
      <c r="V194" s="3109" t="s">
        <v>76</v>
      </c>
      <c r="W194" s="3110"/>
      <c r="X194" s="3110"/>
      <c r="Y194" s="3111"/>
      <c r="Z194" s="3115" t="s">
        <v>77</v>
      </c>
      <c r="AA194" s="3116"/>
      <c r="AB194" s="3116"/>
      <c r="AC194" s="3117"/>
      <c r="AD194" s="3097" t="s">
        <v>78</v>
      </c>
      <c r="AE194" s="3098"/>
      <c r="AF194" s="3098"/>
      <c r="AG194" s="3099"/>
      <c r="AH194" s="3100" t="s">
        <v>79</v>
      </c>
      <c r="AI194" s="3101"/>
      <c r="AJ194" s="3101"/>
      <c r="AK194" s="3102"/>
      <c r="AL194" s="3103" t="s">
        <v>80</v>
      </c>
      <c r="AM194" s="3104"/>
      <c r="AN194" s="3104"/>
      <c r="AO194" s="3105"/>
      <c r="AP194" s="3106" t="s">
        <v>81</v>
      </c>
      <c r="AQ194" s="3107"/>
      <c r="AR194" s="3107"/>
      <c r="AS194" s="3108"/>
      <c r="AT194" s="3109" t="s">
        <v>82</v>
      </c>
      <c r="AU194" s="3110"/>
      <c r="AV194" s="3110"/>
      <c r="AW194" s="3111"/>
      <c r="AX194" s="3097" t="s">
        <v>83</v>
      </c>
      <c r="AY194" s="3098"/>
      <c r="AZ194" s="3098"/>
      <c r="BA194" s="3098"/>
      <c r="BB194" s="3099"/>
      <c r="BC194" s="430"/>
      <c r="BD194" s="430"/>
      <c r="BE194" s="430"/>
      <c r="BF194" s="430"/>
      <c r="BG194" s="430"/>
      <c r="BH194" s="430"/>
      <c r="BI194" s="430"/>
      <c r="BR194" s="430"/>
      <c r="BS194" s="430"/>
      <c r="BT194" s="430"/>
      <c r="BU194" s="430"/>
    </row>
    <row r="195" spans="1:73" ht="14.4" thickBot="1">
      <c r="A195" s="3114"/>
      <c r="B195" s="402" t="s">
        <v>17</v>
      </c>
      <c r="C195" s="403" t="s">
        <v>18</v>
      </c>
      <c r="D195" s="403" t="s">
        <v>56</v>
      </c>
      <c r="E195" s="404" t="s">
        <v>21</v>
      </c>
      <c r="F195" s="402" t="s">
        <v>17</v>
      </c>
      <c r="G195" s="403" t="s">
        <v>18</v>
      </c>
      <c r="H195" s="403" t="s">
        <v>56</v>
      </c>
      <c r="I195" s="404" t="s">
        <v>21</v>
      </c>
      <c r="J195" s="402" t="s">
        <v>17</v>
      </c>
      <c r="K195" s="403" t="s">
        <v>18</v>
      </c>
      <c r="L195" s="403" t="s">
        <v>56</v>
      </c>
      <c r="M195" s="404" t="s">
        <v>21</v>
      </c>
      <c r="N195" s="402" t="s">
        <v>17</v>
      </c>
      <c r="O195" s="403" t="s">
        <v>18</v>
      </c>
      <c r="P195" s="403" t="s">
        <v>56</v>
      </c>
      <c r="Q195" s="404" t="s">
        <v>21</v>
      </c>
      <c r="R195" s="402" t="s">
        <v>17</v>
      </c>
      <c r="S195" s="403" t="s">
        <v>18</v>
      </c>
      <c r="T195" s="403" t="s">
        <v>56</v>
      </c>
      <c r="U195" s="404" t="s">
        <v>21</v>
      </c>
      <c r="V195" s="402" t="s">
        <v>17</v>
      </c>
      <c r="W195" s="403" t="s">
        <v>18</v>
      </c>
      <c r="X195" s="403" t="s">
        <v>56</v>
      </c>
      <c r="Y195" s="404" t="s">
        <v>21</v>
      </c>
      <c r="Z195" s="402" t="s">
        <v>17</v>
      </c>
      <c r="AA195" s="403" t="s">
        <v>18</v>
      </c>
      <c r="AB195" s="403" t="s">
        <v>56</v>
      </c>
      <c r="AC195" s="404" t="s">
        <v>21</v>
      </c>
      <c r="AD195" s="1062" t="s">
        <v>17</v>
      </c>
      <c r="AE195" s="403" t="s">
        <v>18</v>
      </c>
      <c r="AF195" s="403" t="s">
        <v>56</v>
      </c>
      <c r="AG195" s="404" t="s">
        <v>21</v>
      </c>
      <c r="AH195" s="402" t="s">
        <v>17</v>
      </c>
      <c r="AI195" s="403" t="s">
        <v>18</v>
      </c>
      <c r="AJ195" s="403" t="s">
        <v>56</v>
      </c>
      <c r="AK195" s="404" t="s">
        <v>21</v>
      </c>
      <c r="AL195" s="402" t="s">
        <v>17</v>
      </c>
      <c r="AM195" s="403" t="s">
        <v>18</v>
      </c>
      <c r="AN195" s="403" t="s">
        <v>56</v>
      </c>
      <c r="AO195" s="404" t="s">
        <v>21</v>
      </c>
      <c r="AP195" s="402" t="s">
        <v>17</v>
      </c>
      <c r="AQ195" s="403" t="s">
        <v>18</v>
      </c>
      <c r="AR195" s="403" t="s">
        <v>56</v>
      </c>
      <c r="AS195" s="404" t="s">
        <v>21</v>
      </c>
      <c r="AT195" s="402" t="s">
        <v>17</v>
      </c>
      <c r="AU195" s="403" t="s">
        <v>18</v>
      </c>
      <c r="AV195" s="403" t="s">
        <v>56</v>
      </c>
      <c r="AW195" s="436" t="s">
        <v>21</v>
      </c>
      <c r="AX195" s="1059" t="s">
        <v>17</v>
      </c>
      <c r="AY195" s="437" t="s">
        <v>18</v>
      </c>
      <c r="AZ195" s="437" t="s">
        <v>56</v>
      </c>
      <c r="BA195" s="437" t="s">
        <v>21</v>
      </c>
      <c r="BB195" s="437" t="s">
        <v>160</v>
      </c>
      <c r="BD195" s="117" t="s">
        <v>181</v>
      </c>
      <c r="BE195" s="117" t="s">
        <v>182</v>
      </c>
      <c r="BF195" s="117" t="s">
        <v>312</v>
      </c>
      <c r="BG195" s="117" t="s">
        <v>313</v>
      </c>
    </row>
    <row r="196" spans="1:73">
      <c r="A196" s="397" t="s">
        <v>6</v>
      </c>
      <c r="B196" s="438">
        <v>362.13644132000013</v>
      </c>
      <c r="C196" s="439">
        <v>7.5146466700000012</v>
      </c>
      <c r="D196" s="440">
        <f>B196+C196</f>
        <v>369.65108799000012</v>
      </c>
      <c r="E196" s="441">
        <v>78.045496999999997</v>
      </c>
      <c r="F196" s="438">
        <v>494.09424205999989</v>
      </c>
      <c r="G196" s="439">
        <v>12.147232630000001</v>
      </c>
      <c r="H196" s="440">
        <f>F196+G196</f>
        <v>506.2414746899999</v>
      </c>
      <c r="I196" s="441">
        <v>74.061854229999994</v>
      </c>
      <c r="J196" s="438">
        <v>454.51277446000023</v>
      </c>
      <c r="K196" s="439">
        <v>26.714771330000005</v>
      </c>
      <c r="L196" s="440">
        <f t="shared" ref="L196:L205" si="351">J196+K196</f>
        <v>481.22754579000025</v>
      </c>
      <c r="M196" s="441">
        <v>54.13853082</v>
      </c>
      <c r="N196" s="438">
        <v>414.62692524999994</v>
      </c>
      <c r="O196" s="439">
        <v>8.118319259999998</v>
      </c>
      <c r="P196" s="440">
        <f t="shared" ref="P196:P205" si="352">N196+O196</f>
        <v>422.74524450999996</v>
      </c>
      <c r="Q196" s="441">
        <v>49.299724529999999</v>
      </c>
      <c r="R196" s="438">
        <v>250.77402546000002</v>
      </c>
      <c r="S196" s="439">
        <v>4.3558339100000003</v>
      </c>
      <c r="T196" s="440">
        <f t="shared" ref="T196:T205" si="353">R196+S196</f>
        <v>255.12985937000002</v>
      </c>
      <c r="U196" s="441">
        <v>62.372917639999997</v>
      </c>
      <c r="V196" s="438">
        <v>153.89544567999999</v>
      </c>
      <c r="W196" s="439">
        <v>5.62738725</v>
      </c>
      <c r="X196" s="440">
        <f t="shared" ref="X196:X205" si="354">V196+W196</f>
        <v>159.52283292999999</v>
      </c>
      <c r="Y196" s="441">
        <v>56.654700350000006</v>
      </c>
      <c r="Z196" s="438">
        <v>137.60861159000004</v>
      </c>
      <c r="AA196" s="439">
        <v>1.2725391099999996</v>
      </c>
      <c r="AB196" s="440">
        <f t="shared" ref="AB196:AB205" si="355">Z196+AA196</f>
        <v>138.88115070000003</v>
      </c>
      <c r="AC196" s="441">
        <v>76.213797589999999</v>
      </c>
      <c r="AD196" s="438">
        <v>183.23836900000001</v>
      </c>
      <c r="AE196" s="439">
        <v>11.121567000000001</v>
      </c>
      <c r="AF196" s="440">
        <f t="shared" ref="AF196:AF205" si="356">AD196+AE196</f>
        <v>194.359936</v>
      </c>
      <c r="AG196" s="441">
        <v>74.972859920000005</v>
      </c>
      <c r="AH196" s="438"/>
      <c r="AI196" s="439"/>
      <c r="AJ196" s="440">
        <f t="shared" ref="AJ196:AJ205" si="357">AH196+AI196</f>
        <v>0</v>
      </c>
      <c r="AK196" s="441"/>
      <c r="AL196" s="438"/>
      <c r="AM196" s="439"/>
      <c r="AN196" s="440">
        <f t="shared" ref="AN196:AN205" si="358">AL196+AM196</f>
        <v>0</v>
      </c>
      <c r="AO196" s="441"/>
      <c r="AP196" s="438"/>
      <c r="AQ196" s="439"/>
      <c r="AR196" s="440">
        <f t="shared" ref="AR196:AR205" si="359">AP196+AQ196</f>
        <v>0</v>
      </c>
      <c r="AS196" s="441"/>
      <c r="AT196" s="438"/>
      <c r="AU196" s="439"/>
      <c r="AV196" s="440">
        <f t="shared" ref="AV196:AV205" si="360">AT196+AU196</f>
        <v>0</v>
      </c>
      <c r="AW196" s="441"/>
      <c r="AX196" s="1060">
        <f>+B196+F196+J196+N196+R196+V196+Z196+AD196+AH196+AL196+AP196+AT196</f>
        <v>2450.8868348200008</v>
      </c>
      <c r="AY196" s="442">
        <f t="shared" ref="AY196:BA205" si="361">+C196+G196+K196+O196+S196+W196+AA196+AE196+AI196+AM196+AQ196+AU196</f>
        <v>76.872297160000002</v>
      </c>
      <c r="AZ196" s="442">
        <f>+D196+H196+L196+P196+T196+X196+AB196+AF196+AJ196+AN196+AR196+AV196</f>
        <v>2527.7591319800003</v>
      </c>
      <c r="BA196" s="443">
        <f t="shared" si="361"/>
        <v>525.75988208000001</v>
      </c>
      <c r="BB196" s="444">
        <f>+AZ196+BA196</f>
        <v>3053.5190140600002</v>
      </c>
      <c r="BD196" s="445">
        <f>AF196</f>
        <v>194.359936</v>
      </c>
      <c r="BE196" s="445">
        <f>AG196</f>
        <v>74.972859920000005</v>
      </c>
      <c r="BF196" s="446">
        <f>AD196</f>
        <v>183.23836900000001</v>
      </c>
      <c r="BG196" s="446">
        <f>AE196</f>
        <v>11.121567000000001</v>
      </c>
    </row>
    <row r="197" spans="1:73">
      <c r="A197" s="397" t="s">
        <v>7</v>
      </c>
      <c r="B197" s="438">
        <v>456.98970887999985</v>
      </c>
      <c r="C197" s="439">
        <v>9.5405249199999993</v>
      </c>
      <c r="D197" s="440">
        <f t="shared" ref="D197:D205" si="362">B197+C197</f>
        <v>466.53023379999985</v>
      </c>
      <c r="E197" s="441">
        <v>24.07601601</v>
      </c>
      <c r="F197" s="438">
        <v>512.70543101999999</v>
      </c>
      <c r="G197" s="439">
        <v>12.928915440000001</v>
      </c>
      <c r="H197" s="440">
        <f t="shared" ref="H197:H205" si="363">F197+G197</f>
        <v>525.63434645999996</v>
      </c>
      <c r="I197" s="441">
        <v>23.243199059999998</v>
      </c>
      <c r="J197" s="438">
        <v>355.0648842299999</v>
      </c>
      <c r="K197" s="439">
        <v>54.506641799999997</v>
      </c>
      <c r="L197" s="440">
        <f t="shared" si="351"/>
        <v>409.57152602999992</v>
      </c>
      <c r="M197" s="441">
        <v>22.66924611</v>
      </c>
      <c r="N197" s="438">
        <v>468.47408418999999</v>
      </c>
      <c r="O197" s="439">
        <v>12.968622699999999</v>
      </c>
      <c r="P197" s="440">
        <f t="shared" si="352"/>
        <v>481.44270689000001</v>
      </c>
      <c r="Q197" s="441">
        <v>14.209644320000001</v>
      </c>
      <c r="R197" s="438">
        <v>262.58383822999991</v>
      </c>
      <c r="S197" s="439">
        <v>6.5552545799999997</v>
      </c>
      <c r="T197" s="440">
        <f t="shared" si="353"/>
        <v>269.13909280999991</v>
      </c>
      <c r="U197" s="441">
        <v>8.9531254699999998</v>
      </c>
      <c r="V197" s="438">
        <v>102.2494918</v>
      </c>
      <c r="W197" s="439">
        <v>13.66929554</v>
      </c>
      <c r="X197" s="440">
        <f t="shared" si="354"/>
        <v>115.91878733999999</v>
      </c>
      <c r="Y197" s="441">
        <v>9.2990042699999993</v>
      </c>
      <c r="Z197" s="438">
        <v>115.28682334</v>
      </c>
      <c r="AA197" s="439">
        <v>2.0921636299999999</v>
      </c>
      <c r="AB197" s="440">
        <f t="shared" si="355"/>
        <v>117.37898697</v>
      </c>
      <c r="AC197" s="441">
        <v>6.9598568600000004</v>
      </c>
      <c r="AD197" s="438">
        <v>75.535152330000102</v>
      </c>
      <c r="AE197" s="439">
        <v>8.1376311999999995</v>
      </c>
      <c r="AF197" s="440">
        <f t="shared" si="356"/>
        <v>83.672783530000103</v>
      </c>
      <c r="AG197" s="441">
        <v>5.6272923600000002</v>
      </c>
      <c r="AH197" s="438"/>
      <c r="AI197" s="439"/>
      <c r="AJ197" s="440">
        <f t="shared" si="357"/>
        <v>0</v>
      </c>
      <c r="AK197" s="441"/>
      <c r="AL197" s="438"/>
      <c r="AM197" s="439"/>
      <c r="AN197" s="440">
        <f t="shared" si="358"/>
        <v>0</v>
      </c>
      <c r="AO197" s="441"/>
      <c r="AP197" s="438"/>
      <c r="AQ197" s="439"/>
      <c r="AR197" s="440">
        <f t="shared" si="359"/>
        <v>0</v>
      </c>
      <c r="AS197" s="441"/>
      <c r="AT197" s="438"/>
      <c r="AU197" s="439"/>
      <c r="AV197" s="440">
        <f t="shared" si="360"/>
        <v>0</v>
      </c>
      <c r="AW197" s="441"/>
      <c r="AX197" s="1061">
        <f t="shared" ref="AX197:AX205" si="364">+B197+F197+J197+N197+R197+V197+Z197+AD197+AH197+AL197+AP197+AT197</f>
        <v>2348.88941402</v>
      </c>
      <c r="AY197" s="447">
        <f t="shared" si="361"/>
        <v>120.39904981000001</v>
      </c>
      <c r="AZ197" s="447">
        <f t="shared" si="361"/>
        <v>2469.2884638299997</v>
      </c>
      <c r="BA197" s="448">
        <f t="shared" si="361"/>
        <v>115.03738446</v>
      </c>
      <c r="BB197" s="449">
        <f t="shared" ref="BB197:BB205" si="365">+AZ197+BA197</f>
        <v>2584.3258482899996</v>
      </c>
      <c r="BD197" s="445">
        <f t="shared" ref="BD197:BD206" si="366">AF197</f>
        <v>83.672783530000103</v>
      </c>
      <c r="BE197" s="445">
        <f t="shared" ref="BE197:BE206" si="367">AG197</f>
        <v>5.6272923600000002</v>
      </c>
      <c r="BF197" s="446">
        <f t="shared" ref="BF197:BF205" si="368">AD197</f>
        <v>75.535152330000102</v>
      </c>
      <c r="BG197" s="446">
        <f t="shared" ref="BG197:BG205" si="369">AE197</f>
        <v>8.1376311999999995</v>
      </c>
    </row>
    <row r="198" spans="1:73">
      <c r="A198" s="397" t="s">
        <v>8</v>
      </c>
      <c r="B198" s="438">
        <v>464.35246648999987</v>
      </c>
      <c r="C198" s="439">
        <v>24.594791000000001</v>
      </c>
      <c r="D198" s="440">
        <f t="shared" si="362"/>
        <v>488.94725748999986</v>
      </c>
      <c r="E198" s="441">
        <v>17.076796040000001</v>
      </c>
      <c r="F198" s="438">
        <v>441.2023939799999</v>
      </c>
      <c r="G198" s="439">
        <v>19.495030329999999</v>
      </c>
      <c r="H198" s="440">
        <f t="shared" si="363"/>
        <v>460.69742430999992</v>
      </c>
      <c r="I198" s="441">
        <v>24.717938770000004</v>
      </c>
      <c r="J198" s="438">
        <v>352.38483948999999</v>
      </c>
      <c r="K198" s="439">
        <v>35.589412160000002</v>
      </c>
      <c r="L198" s="440">
        <f t="shared" si="351"/>
        <v>387.97425164999999</v>
      </c>
      <c r="M198" s="441">
        <v>16.695082410000001</v>
      </c>
      <c r="N198" s="438">
        <v>420.03029985000001</v>
      </c>
      <c r="O198" s="439">
        <v>20.66982033</v>
      </c>
      <c r="P198" s="440">
        <f t="shared" si="352"/>
        <v>440.70012018</v>
      </c>
      <c r="Q198" s="441">
        <v>9.1761702599999992</v>
      </c>
      <c r="R198" s="438">
        <v>223.07</v>
      </c>
      <c r="S198" s="439">
        <v>10.88</v>
      </c>
      <c r="T198" s="440">
        <f t="shared" si="353"/>
        <v>233.95</v>
      </c>
      <c r="U198" s="441">
        <v>4.1900000000000004</v>
      </c>
      <c r="V198" s="438">
        <v>118.47023659000001</v>
      </c>
      <c r="W198" s="439">
        <v>9.4586324600000022</v>
      </c>
      <c r="X198" s="440">
        <f t="shared" si="354"/>
        <v>127.92886905000002</v>
      </c>
      <c r="Y198" s="441">
        <v>5.28</v>
      </c>
      <c r="Z198" s="438">
        <v>119.82583074999984</v>
      </c>
      <c r="AA198" s="439">
        <v>3.82640819</v>
      </c>
      <c r="AB198" s="440">
        <f t="shared" si="355"/>
        <v>123.65223893999983</v>
      </c>
      <c r="AC198" s="441">
        <v>1.6260818800000005</v>
      </c>
      <c r="AD198" s="438">
        <v>67.676375869999987</v>
      </c>
      <c r="AE198" s="439">
        <v>1.7606510000000002</v>
      </c>
      <c r="AF198" s="440">
        <f t="shared" si="356"/>
        <v>69.437026869999983</v>
      </c>
      <c r="AG198" s="441">
        <v>1.0900000000000001</v>
      </c>
      <c r="AH198" s="438"/>
      <c r="AI198" s="439"/>
      <c r="AJ198" s="440">
        <f t="shared" si="357"/>
        <v>0</v>
      </c>
      <c r="AK198" s="441"/>
      <c r="AL198" s="438"/>
      <c r="AM198" s="439"/>
      <c r="AN198" s="440">
        <f t="shared" si="358"/>
        <v>0</v>
      </c>
      <c r="AO198" s="441"/>
      <c r="AP198" s="438"/>
      <c r="AQ198" s="439"/>
      <c r="AR198" s="440">
        <f t="shared" si="359"/>
        <v>0</v>
      </c>
      <c r="AS198" s="441"/>
      <c r="AT198" s="438"/>
      <c r="AU198" s="439"/>
      <c r="AV198" s="440">
        <f t="shared" si="360"/>
        <v>0</v>
      </c>
      <c r="AW198" s="441"/>
      <c r="AX198" s="1061">
        <f t="shared" si="364"/>
        <v>2207.0124430199999</v>
      </c>
      <c r="AY198" s="447">
        <f t="shared" si="361"/>
        <v>126.27474546999998</v>
      </c>
      <c r="AZ198" s="447">
        <f t="shared" si="361"/>
        <v>2333.2871884899996</v>
      </c>
      <c r="BA198" s="448">
        <f t="shared" si="361"/>
        <v>79.852069360000016</v>
      </c>
      <c r="BB198" s="449">
        <f t="shared" si="365"/>
        <v>2413.1392578499995</v>
      </c>
      <c r="BD198" s="445">
        <f t="shared" si="366"/>
        <v>69.437026869999983</v>
      </c>
      <c r="BE198" s="445">
        <f t="shared" si="367"/>
        <v>1.0900000000000001</v>
      </c>
      <c r="BF198" s="446">
        <f t="shared" si="368"/>
        <v>67.676375869999987</v>
      </c>
      <c r="BG198" s="446">
        <f t="shared" si="369"/>
        <v>1.7606510000000002</v>
      </c>
    </row>
    <row r="199" spans="1:73">
      <c r="A199" s="397" t="s">
        <v>4</v>
      </c>
      <c r="B199" s="438">
        <v>631.28335340000024</v>
      </c>
      <c r="C199" s="439">
        <v>19.097292099999997</v>
      </c>
      <c r="D199" s="440">
        <f t="shared" si="362"/>
        <v>650.38064550000024</v>
      </c>
      <c r="E199" s="441">
        <v>33.344468279999994</v>
      </c>
      <c r="F199" s="438">
        <v>807.54961159999982</v>
      </c>
      <c r="G199" s="439">
        <v>27.175296899999999</v>
      </c>
      <c r="H199" s="440">
        <f t="shared" si="363"/>
        <v>834.72490849999986</v>
      </c>
      <c r="I199" s="441">
        <v>36.101698630000001</v>
      </c>
      <c r="J199" s="438">
        <v>717.95074979999981</v>
      </c>
      <c r="K199" s="439">
        <v>37.652344499999998</v>
      </c>
      <c r="L199" s="440">
        <f t="shared" si="351"/>
        <v>755.60309429999984</v>
      </c>
      <c r="M199" s="441">
        <v>26.639200699999996</v>
      </c>
      <c r="N199" s="438">
        <v>731.49859839999999</v>
      </c>
      <c r="O199" s="439">
        <v>26.244076199999999</v>
      </c>
      <c r="P199" s="440">
        <f t="shared" si="352"/>
        <v>757.74267459999999</v>
      </c>
      <c r="Q199" s="441">
        <v>17.961011070000001</v>
      </c>
      <c r="R199" s="438">
        <v>400.40513800000008</v>
      </c>
      <c r="S199" s="439">
        <v>14.335494200000001</v>
      </c>
      <c r="T199" s="440">
        <f t="shared" si="353"/>
        <v>414.74063220000011</v>
      </c>
      <c r="U199" s="441">
        <v>14.08891496</v>
      </c>
      <c r="V199" s="438">
        <v>219.45306210000001</v>
      </c>
      <c r="W199" s="439">
        <v>10.8699946</v>
      </c>
      <c r="X199" s="440">
        <f t="shared" si="354"/>
        <v>230.32305670000002</v>
      </c>
      <c r="Y199" s="441">
        <v>10.631011329999998</v>
      </c>
      <c r="Z199" s="438">
        <v>189.64283550000002</v>
      </c>
      <c r="AA199" s="439">
        <v>6.7469901999999999</v>
      </c>
      <c r="AB199" s="440">
        <f t="shared" si="355"/>
        <v>196.38982570000002</v>
      </c>
      <c r="AC199" s="441">
        <v>8.8796888299999992</v>
      </c>
      <c r="AD199" s="438">
        <v>114.1155729</v>
      </c>
      <c r="AE199" s="439">
        <v>2.2938269</v>
      </c>
      <c r="AF199" s="440">
        <f t="shared" si="356"/>
        <v>116.4093998</v>
      </c>
      <c r="AG199" s="441">
        <v>10.499326749999998</v>
      </c>
      <c r="AH199" s="438"/>
      <c r="AI199" s="439"/>
      <c r="AJ199" s="440">
        <f t="shared" si="357"/>
        <v>0</v>
      </c>
      <c r="AK199" s="441"/>
      <c r="AL199" s="438"/>
      <c r="AM199" s="439"/>
      <c r="AN199" s="440">
        <f t="shared" si="358"/>
        <v>0</v>
      </c>
      <c r="AO199" s="441"/>
      <c r="AP199" s="438"/>
      <c r="AQ199" s="439"/>
      <c r="AR199" s="440">
        <f t="shared" si="359"/>
        <v>0</v>
      </c>
      <c r="AS199" s="441"/>
      <c r="AT199" s="438"/>
      <c r="AU199" s="439"/>
      <c r="AV199" s="440">
        <f t="shared" si="360"/>
        <v>0</v>
      </c>
      <c r="AW199" s="441"/>
      <c r="AX199" s="1061">
        <f t="shared" si="364"/>
        <v>3811.8989216999998</v>
      </c>
      <c r="AY199" s="447">
        <f t="shared" si="361"/>
        <v>144.41531559999999</v>
      </c>
      <c r="AZ199" s="447">
        <f t="shared" si="361"/>
        <v>3956.3142373000005</v>
      </c>
      <c r="BA199" s="448">
        <f t="shared" si="361"/>
        <v>158.14532054999998</v>
      </c>
      <c r="BB199" s="449">
        <f>+AZ199+BA199</f>
        <v>4114.4595578500002</v>
      </c>
      <c r="BD199" s="445">
        <f t="shared" si="366"/>
        <v>116.4093998</v>
      </c>
      <c r="BE199" s="445">
        <f t="shared" si="367"/>
        <v>10.499326749999998</v>
      </c>
      <c r="BF199" s="446">
        <f t="shared" si="368"/>
        <v>114.1155729</v>
      </c>
      <c r="BG199" s="446">
        <f t="shared" si="369"/>
        <v>2.2938269</v>
      </c>
    </row>
    <row r="200" spans="1:73">
      <c r="A200" s="397" t="s">
        <v>3</v>
      </c>
      <c r="B200" s="438">
        <v>729.76709248000009</v>
      </c>
      <c r="C200" s="439">
        <v>18.888261239999999</v>
      </c>
      <c r="D200" s="440">
        <f t="shared" si="362"/>
        <v>748.65535372000011</v>
      </c>
      <c r="E200" s="441">
        <v>37.2386275</v>
      </c>
      <c r="F200" s="438">
        <v>845.34602939999979</v>
      </c>
      <c r="G200" s="439">
        <v>26.31470144</v>
      </c>
      <c r="H200" s="440">
        <f t="shared" si="363"/>
        <v>871.66073083999981</v>
      </c>
      <c r="I200" s="441">
        <v>38.252036259999997</v>
      </c>
      <c r="J200" s="438">
        <v>610.93014199999948</v>
      </c>
      <c r="K200" s="439">
        <v>90.941164379999989</v>
      </c>
      <c r="L200" s="440">
        <f t="shared" si="351"/>
        <v>701.87130637999951</v>
      </c>
      <c r="M200" s="441">
        <v>28.387902570000001</v>
      </c>
      <c r="N200" s="438">
        <v>657.10505515999989</v>
      </c>
      <c r="O200" s="439">
        <v>12.81146921</v>
      </c>
      <c r="P200" s="440">
        <f t="shared" si="352"/>
        <v>669.91652436999993</v>
      </c>
      <c r="Q200" s="441">
        <v>13.989630400000001</v>
      </c>
      <c r="R200" s="438">
        <v>396.37511845999995</v>
      </c>
      <c r="S200" s="439">
        <v>10.19824652</v>
      </c>
      <c r="T200" s="440">
        <f t="shared" si="353"/>
        <v>406.57336497999995</v>
      </c>
      <c r="U200" s="441">
        <v>15.102915650000003</v>
      </c>
      <c r="V200" s="438">
        <v>193.67753120000006</v>
      </c>
      <c r="W200" s="439">
        <v>33.431394260000005</v>
      </c>
      <c r="X200" s="440">
        <f t="shared" si="354"/>
        <v>227.10892546000008</v>
      </c>
      <c r="Y200" s="441">
        <v>9.4767452899999984</v>
      </c>
      <c r="Z200" s="438">
        <v>193.80325099999988</v>
      </c>
      <c r="AA200" s="439">
        <v>0.9224602799999998</v>
      </c>
      <c r="AB200" s="440">
        <f t="shared" si="355"/>
        <v>194.72571127999987</v>
      </c>
      <c r="AC200" s="441">
        <v>8.3869362999999986</v>
      </c>
      <c r="AD200" s="438">
        <v>125.46999752000002</v>
      </c>
      <c r="AE200" s="439">
        <v>2.2625136600000002</v>
      </c>
      <c r="AF200" s="440">
        <f t="shared" si="356"/>
        <v>127.73251118000002</v>
      </c>
      <c r="AG200" s="441">
        <v>8.2396663600000011</v>
      </c>
      <c r="AH200" s="438"/>
      <c r="AI200" s="439"/>
      <c r="AJ200" s="440">
        <f t="shared" si="357"/>
        <v>0</v>
      </c>
      <c r="AK200" s="441"/>
      <c r="AL200" s="438"/>
      <c r="AM200" s="439"/>
      <c r="AN200" s="440">
        <f t="shared" si="358"/>
        <v>0</v>
      </c>
      <c r="AO200" s="441"/>
      <c r="AP200" s="438"/>
      <c r="AQ200" s="439"/>
      <c r="AR200" s="440">
        <f t="shared" si="359"/>
        <v>0</v>
      </c>
      <c r="AS200" s="441"/>
      <c r="AT200" s="438"/>
      <c r="AU200" s="439"/>
      <c r="AV200" s="440">
        <f t="shared" si="360"/>
        <v>0</v>
      </c>
      <c r="AW200" s="441"/>
      <c r="AX200" s="1061">
        <f t="shared" si="364"/>
        <v>3752.4742172199994</v>
      </c>
      <c r="AY200" s="447">
        <f t="shared" si="361"/>
        <v>195.77021098999998</v>
      </c>
      <c r="AZ200" s="447">
        <f t="shared" si="361"/>
        <v>3948.2444282099996</v>
      </c>
      <c r="BA200" s="448">
        <f t="shared" si="361"/>
        <v>159.07446032999999</v>
      </c>
      <c r="BB200" s="449">
        <f t="shared" si="365"/>
        <v>4107.3188885399995</v>
      </c>
      <c r="BD200" s="445">
        <f t="shared" si="366"/>
        <v>127.73251118000002</v>
      </c>
      <c r="BE200" s="445">
        <f t="shared" si="367"/>
        <v>8.2396663600000011</v>
      </c>
      <c r="BF200" s="446">
        <f t="shared" si="368"/>
        <v>125.46999752000002</v>
      </c>
      <c r="BG200" s="446">
        <f t="shared" si="369"/>
        <v>2.2625136600000002</v>
      </c>
    </row>
    <row r="201" spans="1:73">
      <c r="A201" s="397" t="s">
        <v>397</v>
      </c>
      <c r="B201" s="438">
        <v>135.72759920000001</v>
      </c>
      <c r="C201" s="439">
        <v>7.0668477000000003</v>
      </c>
      <c r="D201" s="440">
        <f t="shared" si="362"/>
        <v>142.79444690000003</v>
      </c>
      <c r="E201" s="441">
        <v>26.162618999999999</v>
      </c>
      <c r="F201" s="438">
        <v>201.98553470000016</v>
      </c>
      <c r="G201" s="439">
        <v>7.7324325999999983</v>
      </c>
      <c r="H201" s="440">
        <f t="shared" si="363"/>
        <v>209.71796730000017</v>
      </c>
      <c r="I201" s="441">
        <v>20.688403839999999</v>
      </c>
      <c r="J201" s="438">
        <v>202.66200419999998</v>
      </c>
      <c r="K201" s="439">
        <v>6.0440990999999986</v>
      </c>
      <c r="L201" s="440">
        <f t="shared" si="351"/>
        <v>208.7061033</v>
      </c>
      <c r="M201" s="441">
        <v>13.06988623</v>
      </c>
      <c r="N201" s="438">
        <v>183.05704049999997</v>
      </c>
      <c r="O201" s="439">
        <v>8.9721023000000013</v>
      </c>
      <c r="P201" s="440">
        <f t="shared" si="352"/>
        <v>192.02914279999996</v>
      </c>
      <c r="Q201" s="441">
        <v>12.59123673</v>
      </c>
      <c r="R201" s="438">
        <v>111.16341509999999</v>
      </c>
      <c r="S201" s="439">
        <v>3.2958562999999996</v>
      </c>
      <c r="T201" s="440">
        <f t="shared" si="353"/>
        <v>114.45927139999999</v>
      </c>
      <c r="U201" s="441">
        <v>9.8283776899999999</v>
      </c>
      <c r="V201" s="438">
        <v>82.564401017880655</v>
      </c>
      <c r="W201" s="439">
        <v>2.4479312821193493</v>
      </c>
      <c r="X201" s="440">
        <f t="shared" si="354"/>
        <v>85.012332300000011</v>
      </c>
      <c r="Y201" s="441">
        <v>10.86483151</v>
      </c>
      <c r="Z201" s="438">
        <v>67.098615100000544</v>
      </c>
      <c r="AA201" s="439">
        <v>1.7042706000000001</v>
      </c>
      <c r="AB201" s="440">
        <f t="shared" si="355"/>
        <v>68.802885700000544</v>
      </c>
      <c r="AC201" s="441">
        <v>12.412242939999999</v>
      </c>
      <c r="AD201" s="438">
        <v>42.962432800000101</v>
      </c>
      <c r="AE201" s="439">
        <v>1.9312436000000002</v>
      </c>
      <c r="AF201" s="440">
        <f t="shared" si="356"/>
        <v>44.893676400000103</v>
      </c>
      <c r="AG201" s="441">
        <v>6.99715197</v>
      </c>
      <c r="AH201" s="438"/>
      <c r="AI201" s="439"/>
      <c r="AJ201" s="440">
        <f t="shared" si="357"/>
        <v>0</v>
      </c>
      <c r="AK201" s="441"/>
      <c r="AL201" s="438"/>
      <c r="AM201" s="439"/>
      <c r="AN201" s="440">
        <f t="shared" si="358"/>
        <v>0</v>
      </c>
      <c r="AO201" s="441"/>
      <c r="AP201" s="438"/>
      <c r="AQ201" s="439"/>
      <c r="AR201" s="440">
        <f t="shared" si="359"/>
        <v>0</v>
      </c>
      <c r="AS201" s="441"/>
      <c r="AT201" s="438"/>
      <c r="AU201" s="439"/>
      <c r="AV201" s="440">
        <f t="shared" si="360"/>
        <v>0</v>
      </c>
      <c r="AW201" s="441"/>
      <c r="AX201" s="1061">
        <f t="shared" si="364"/>
        <v>1027.2210426178813</v>
      </c>
      <c r="AY201" s="447">
        <f t="shared" si="361"/>
        <v>39.194783482119348</v>
      </c>
      <c r="AZ201" s="447">
        <f t="shared" si="361"/>
        <v>1066.4158261000007</v>
      </c>
      <c r="BA201" s="448">
        <f t="shared" si="361"/>
        <v>112.61474991</v>
      </c>
      <c r="BB201" s="449">
        <f t="shared" si="365"/>
        <v>1179.0305760100007</v>
      </c>
      <c r="BD201" s="445">
        <f t="shared" si="366"/>
        <v>44.893676400000103</v>
      </c>
      <c r="BE201" s="445">
        <f t="shared" si="367"/>
        <v>6.99715197</v>
      </c>
      <c r="BF201" s="446">
        <f t="shared" si="368"/>
        <v>42.962432800000101</v>
      </c>
      <c r="BG201" s="446">
        <f t="shared" si="369"/>
        <v>1.9312436000000002</v>
      </c>
    </row>
    <row r="202" spans="1:73">
      <c r="A202" s="397" t="s">
        <v>399</v>
      </c>
      <c r="B202" s="438">
        <v>276.56609194999999</v>
      </c>
      <c r="C202" s="439">
        <v>1.07407666</v>
      </c>
      <c r="D202" s="440">
        <f t="shared" si="362"/>
        <v>277.64016860999999</v>
      </c>
      <c r="E202" s="441">
        <v>79.824373280000003</v>
      </c>
      <c r="F202" s="438">
        <v>340.38722618999992</v>
      </c>
      <c r="G202" s="439">
        <v>1.9533969999999998</v>
      </c>
      <c r="H202" s="440">
        <f t="shared" si="363"/>
        <v>342.34062318999992</v>
      </c>
      <c r="I202" s="441">
        <v>66.029298109999999</v>
      </c>
      <c r="J202" s="438">
        <v>230.62031130000003</v>
      </c>
      <c r="K202" s="439">
        <v>25.470917139999997</v>
      </c>
      <c r="L202" s="440">
        <f t="shared" si="351"/>
        <v>256.09122844000001</v>
      </c>
      <c r="M202" s="441">
        <v>68.690488490000007</v>
      </c>
      <c r="N202" s="438">
        <v>280.45225162999975</v>
      </c>
      <c r="O202" s="439">
        <v>1.1691972900000001</v>
      </c>
      <c r="P202" s="440">
        <f t="shared" si="352"/>
        <v>281.62144891999975</v>
      </c>
      <c r="Q202" s="441">
        <v>62.573350779999998</v>
      </c>
      <c r="R202" s="438">
        <v>165.01984446999995</v>
      </c>
      <c r="S202" s="439">
        <v>1.2195426599999999</v>
      </c>
      <c r="T202" s="440">
        <f t="shared" si="353"/>
        <v>166.23938712999995</v>
      </c>
      <c r="U202" s="441">
        <v>68.804126999999994</v>
      </c>
      <c r="V202" s="438">
        <v>82.770693139999992</v>
      </c>
      <c r="W202" s="439">
        <v>8.7872771199999988</v>
      </c>
      <c r="X202" s="440">
        <f t="shared" si="354"/>
        <v>91.557970259999991</v>
      </c>
      <c r="Y202" s="441">
        <v>66.829844559999998</v>
      </c>
      <c r="Z202" s="438">
        <v>89.099008999999967</v>
      </c>
      <c r="AA202" s="439">
        <v>1.3665356799999999</v>
      </c>
      <c r="AB202" s="440">
        <f t="shared" si="355"/>
        <v>90.465544679999965</v>
      </c>
      <c r="AC202" s="441">
        <v>58.899746520000001</v>
      </c>
      <c r="AD202" s="438">
        <v>65.872637000000026</v>
      </c>
      <c r="AE202" s="439">
        <v>0.51592159999999998</v>
      </c>
      <c r="AF202" s="440">
        <f t="shared" si="356"/>
        <v>66.388558600000025</v>
      </c>
      <c r="AG202" s="441">
        <v>58.240503340000004</v>
      </c>
      <c r="AH202" s="438"/>
      <c r="AI202" s="439"/>
      <c r="AJ202" s="440">
        <f t="shared" si="357"/>
        <v>0</v>
      </c>
      <c r="AK202" s="441"/>
      <c r="AL202" s="438"/>
      <c r="AM202" s="439"/>
      <c r="AN202" s="440">
        <f t="shared" si="358"/>
        <v>0</v>
      </c>
      <c r="AO202" s="441"/>
      <c r="AP202" s="438"/>
      <c r="AQ202" s="439"/>
      <c r="AR202" s="440">
        <f t="shared" si="359"/>
        <v>0</v>
      </c>
      <c r="AS202" s="441"/>
      <c r="AT202" s="438"/>
      <c r="AU202" s="439"/>
      <c r="AV202" s="440">
        <f t="shared" si="360"/>
        <v>0</v>
      </c>
      <c r="AW202" s="441"/>
      <c r="AX202" s="1061">
        <f t="shared" si="364"/>
        <v>1530.7880646799997</v>
      </c>
      <c r="AY202" s="447">
        <f t="shared" si="361"/>
        <v>41.556865149999993</v>
      </c>
      <c r="AZ202" s="447">
        <f t="shared" si="361"/>
        <v>1572.3449298299997</v>
      </c>
      <c r="BA202" s="448">
        <f t="shared" si="361"/>
        <v>529.89173208</v>
      </c>
      <c r="BB202" s="449">
        <f t="shared" si="365"/>
        <v>2102.2366619099998</v>
      </c>
      <c r="BD202" s="445">
        <f t="shared" si="366"/>
        <v>66.388558600000025</v>
      </c>
      <c r="BE202" s="445">
        <f t="shared" si="367"/>
        <v>58.240503340000004</v>
      </c>
      <c r="BF202" s="446">
        <f t="shared" si="368"/>
        <v>65.872637000000026</v>
      </c>
      <c r="BG202" s="446">
        <f t="shared" si="369"/>
        <v>0.51592159999999998</v>
      </c>
    </row>
    <row r="203" spans="1:73">
      <c r="A203" s="397" t="s">
        <v>883</v>
      </c>
      <c r="B203" s="438">
        <v>262.97470836000002</v>
      </c>
      <c r="C203" s="439">
        <v>9.4295501899999987</v>
      </c>
      <c r="D203" s="440">
        <f t="shared" si="362"/>
        <v>272.40425855000001</v>
      </c>
      <c r="E203" s="441">
        <v>13.960447109999999</v>
      </c>
      <c r="F203" s="438">
        <v>314.15808617000096</v>
      </c>
      <c r="G203" s="439">
        <v>14.458230949999999</v>
      </c>
      <c r="H203" s="440">
        <f t="shared" si="363"/>
        <v>328.61631712000093</v>
      </c>
      <c r="I203" s="441">
        <v>14.19258857</v>
      </c>
      <c r="J203" s="438">
        <v>205.18329900000001</v>
      </c>
      <c r="K203" s="439">
        <v>13.615887000000001</v>
      </c>
      <c r="L203" s="440">
        <f t="shared" si="351"/>
        <v>218.79918600000002</v>
      </c>
      <c r="M203" s="441">
        <v>11.565607179999999</v>
      </c>
      <c r="N203" s="438">
        <v>244.758219</v>
      </c>
      <c r="O203" s="439">
        <v>8.2985296399999999</v>
      </c>
      <c r="P203" s="440">
        <f t="shared" si="352"/>
        <v>253.05674864</v>
      </c>
      <c r="Q203" s="441">
        <v>8.5719615200000003</v>
      </c>
      <c r="R203" s="438">
        <v>132.051829</v>
      </c>
      <c r="S203" s="439">
        <v>5.3847680000000002</v>
      </c>
      <c r="T203" s="440">
        <f t="shared" si="353"/>
        <v>137.43659700000001</v>
      </c>
      <c r="U203" s="441">
        <v>4.1461770400000004</v>
      </c>
      <c r="V203" s="438">
        <v>64.733875999999995</v>
      </c>
      <c r="W203" s="439">
        <v>3.4445963500000003</v>
      </c>
      <c r="X203" s="440">
        <f t="shared" si="354"/>
        <v>68.178472349999993</v>
      </c>
      <c r="Y203" s="441">
        <v>3.8849818300000001</v>
      </c>
      <c r="Z203" s="438">
        <v>63.276774000000003</v>
      </c>
      <c r="AA203" s="439">
        <v>1.8417428200000001</v>
      </c>
      <c r="AB203" s="440">
        <f t="shared" si="355"/>
        <v>65.118516819999996</v>
      </c>
      <c r="AC203" s="441">
        <v>3.0310238900000002</v>
      </c>
      <c r="AD203" s="438">
        <v>51.272410649999941</v>
      </c>
      <c r="AE203" s="439">
        <v>1.1725372999999997</v>
      </c>
      <c r="AF203" s="440">
        <f t="shared" si="356"/>
        <v>52.444947949999943</v>
      </c>
      <c r="AG203" s="441">
        <v>3.3050338999999997</v>
      </c>
      <c r="AH203" s="438"/>
      <c r="AI203" s="439"/>
      <c r="AJ203" s="440">
        <f t="shared" si="357"/>
        <v>0</v>
      </c>
      <c r="AK203" s="441"/>
      <c r="AL203" s="438"/>
      <c r="AM203" s="439"/>
      <c r="AN203" s="440">
        <f t="shared" si="358"/>
        <v>0</v>
      </c>
      <c r="AO203" s="441"/>
      <c r="AP203" s="438"/>
      <c r="AQ203" s="439"/>
      <c r="AR203" s="440">
        <f t="shared" si="359"/>
        <v>0</v>
      </c>
      <c r="AS203" s="441"/>
      <c r="AT203" s="438"/>
      <c r="AU203" s="439"/>
      <c r="AV203" s="440">
        <f t="shared" si="360"/>
        <v>0</v>
      </c>
      <c r="AW203" s="441"/>
      <c r="AX203" s="1061">
        <f t="shared" si="364"/>
        <v>1338.4092021800009</v>
      </c>
      <c r="AY203" s="447">
        <f t="shared" si="361"/>
        <v>57.645842250000001</v>
      </c>
      <c r="AZ203" s="447">
        <f t="shared" si="361"/>
        <v>1396.0550444300006</v>
      </c>
      <c r="BA203" s="448">
        <f t="shared" si="361"/>
        <v>62.657821039999995</v>
      </c>
      <c r="BB203" s="449">
        <f t="shared" si="365"/>
        <v>1458.7128654700007</v>
      </c>
      <c r="BD203" s="445">
        <f t="shared" si="366"/>
        <v>52.444947949999943</v>
      </c>
      <c r="BE203" s="445">
        <f t="shared" si="367"/>
        <v>3.3050338999999997</v>
      </c>
      <c r="BF203" s="446">
        <f t="shared" si="368"/>
        <v>51.272410649999941</v>
      </c>
      <c r="BG203" s="446">
        <f t="shared" si="369"/>
        <v>1.1725372999999997</v>
      </c>
    </row>
    <row r="204" spans="1:73">
      <c r="A204" s="397" t="s">
        <v>884</v>
      </c>
      <c r="B204" s="438">
        <v>248.3274184</v>
      </c>
      <c r="C204" s="439">
        <v>8.8757133999999986</v>
      </c>
      <c r="D204" s="440">
        <f t="shared" si="362"/>
        <v>257.20313179999999</v>
      </c>
      <c r="E204" s="441">
        <v>18.640541420000002</v>
      </c>
      <c r="F204" s="438">
        <v>300.043678</v>
      </c>
      <c r="G204" s="439">
        <v>15.6586227</v>
      </c>
      <c r="H204" s="440">
        <f t="shared" si="363"/>
        <v>315.70230070000002</v>
      </c>
      <c r="I204" s="441">
        <v>17.281689579999998</v>
      </c>
      <c r="J204" s="438">
        <v>200.48729589999996</v>
      </c>
      <c r="K204" s="439">
        <v>9.3716841000000013</v>
      </c>
      <c r="L204" s="440">
        <f t="shared" si="351"/>
        <v>209.85897999999997</v>
      </c>
      <c r="M204" s="441">
        <v>14.232518650000001</v>
      </c>
      <c r="N204" s="438">
        <v>280.99396910000002</v>
      </c>
      <c r="O204" s="439">
        <v>12.431733400000001</v>
      </c>
      <c r="P204" s="440">
        <f t="shared" si="352"/>
        <v>293.4257025</v>
      </c>
      <c r="Q204" s="441">
        <v>8.6627698599999992</v>
      </c>
      <c r="R204" s="438">
        <v>142.1744765</v>
      </c>
      <c r="S204" s="439">
        <v>8.083737499999998</v>
      </c>
      <c r="T204" s="440">
        <f t="shared" si="353"/>
        <v>150.25821400000001</v>
      </c>
      <c r="U204" s="441">
        <v>10.57729537</v>
      </c>
      <c r="V204" s="438">
        <v>60.785119399999992</v>
      </c>
      <c r="W204" s="439">
        <v>2.3764321000000002</v>
      </c>
      <c r="X204" s="440">
        <f t="shared" si="354"/>
        <v>63.161551499999995</v>
      </c>
      <c r="Y204" s="441">
        <v>10.37600042</v>
      </c>
      <c r="Z204" s="438">
        <v>86.791892100000013</v>
      </c>
      <c r="AA204" s="439">
        <v>1.8632245000000001</v>
      </c>
      <c r="AB204" s="440">
        <f t="shared" si="355"/>
        <v>88.655116600000014</v>
      </c>
      <c r="AC204" s="441">
        <v>16.556926400000002</v>
      </c>
      <c r="AD204" s="438">
        <v>65.779488599999993</v>
      </c>
      <c r="AE204" s="439">
        <v>1.7691636000000002</v>
      </c>
      <c r="AF204" s="440">
        <f t="shared" si="356"/>
        <v>67.548652199999992</v>
      </c>
      <c r="AG204" s="441">
        <v>10.18097972</v>
      </c>
      <c r="AH204" s="438"/>
      <c r="AI204" s="439"/>
      <c r="AJ204" s="440">
        <f t="shared" si="357"/>
        <v>0</v>
      </c>
      <c r="AK204" s="441"/>
      <c r="AL204" s="438"/>
      <c r="AM204" s="439"/>
      <c r="AN204" s="440">
        <f t="shared" si="358"/>
        <v>0</v>
      </c>
      <c r="AO204" s="441"/>
      <c r="AP204" s="438"/>
      <c r="AQ204" s="439"/>
      <c r="AR204" s="440">
        <f t="shared" si="359"/>
        <v>0</v>
      </c>
      <c r="AS204" s="441"/>
      <c r="AT204" s="438"/>
      <c r="AU204" s="439"/>
      <c r="AV204" s="440">
        <f t="shared" si="360"/>
        <v>0</v>
      </c>
      <c r="AW204" s="441"/>
      <c r="AX204" s="1061">
        <f t="shared" si="364"/>
        <v>1385.3833379999999</v>
      </c>
      <c r="AY204" s="447">
        <f t="shared" si="361"/>
        <v>60.4303113</v>
      </c>
      <c r="AZ204" s="447">
        <f t="shared" si="361"/>
        <v>1445.8136492999997</v>
      </c>
      <c r="BA204" s="448">
        <f t="shared" si="361"/>
        <v>106.50872141999999</v>
      </c>
      <c r="BB204" s="449">
        <f t="shared" si="365"/>
        <v>1552.3223707199998</v>
      </c>
      <c r="BD204" s="445">
        <f t="shared" si="366"/>
        <v>67.548652199999992</v>
      </c>
      <c r="BE204" s="445">
        <f t="shared" si="367"/>
        <v>10.18097972</v>
      </c>
      <c r="BF204" s="446">
        <f t="shared" si="368"/>
        <v>65.779488599999993</v>
      </c>
      <c r="BG204" s="446">
        <f t="shared" si="369"/>
        <v>1.7691636000000002</v>
      </c>
    </row>
    <row r="205" spans="1:73" ht="14.4" thickBot="1">
      <c r="A205" s="397" t="s">
        <v>885</v>
      </c>
      <c r="B205" s="438">
        <v>163.10777602400015</v>
      </c>
      <c r="C205" s="439">
        <v>11.042044274</v>
      </c>
      <c r="D205" s="440">
        <f t="shared" si="362"/>
        <v>174.14982029800015</v>
      </c>
      <c r="E205" s="441">
        <v>5.5276587300000006</v>
      </c>
      <c r="F205" s="438">
        <v>198.08041549000006</v>
      </c>
      <c r="G205" s="439">
        <v>19.660186760000002</v>
      </c>
      <c r="H205" s="440">
        <f t="shared" si="363"/>
        <v>217.74060225000005</v>
      </c>
      <c r="I205" s="441">
        <v>5.4291222499999998</v>
      </c>
      <c r="J205" s="438">
        <v>139.6364984140001</v>
      </c>
      <c r="K205" s="439">
        <v>16.880502650000004</v>
      </c>
      <c r="L205" s="440">
        <f t="shared" si="351"/>
        <v>156.51700106400011</v>
      </c>
      <c r="M205" s="441">
        <v>4.2018891199999997</v>
      </c>
      <c r="N205" s="438">
        <v>181.62708213399995</v>
      </c>
      <c r="O205" s="439">
        <v>10.439601223999999</v>
      </c>
      <c r="P205" s="440">
        <f t="shared" si="352"/>
        <v>192.06668335799995</v>
      </c>
      <c r="Q205" s="441">
        <v>2.3500423200000005</v>
      </c>
      <c r="R205" s="438">
        <v>105.68566707000002</v>
      </c>
      <c r="S205" s="439">
        <v>10.461798578</v>
      </c>
      <c r="T205" s="440">
        <f t="shared" si="353"/>
        <v>116.14746564800002</v>
      </c>
      <c r="U205" s="441">
        <v>1.1791466399999999</v>
      </c>
      <c r="V205" s="438">
        <v>46.525709034000037</v>
      </c>
      <c r="W205" s="439">
        <v>3.4634646699999996</v>
      </c>
      <c r="X205" s="440">
        <f t="shared" si="354"/>
        <v>49.989173704000038</v>
      </c>
      <c r="Y205" s="441">
        <v>8.2607170000000035E-2</v>
      </c>
      <c r="Z205" s="438">
        <v>48.925193720000031</v>
      </c>
      <c r="AA205" s="439">
        <v>3.3227142660000006</v>
      </c>
      <c r="AB205" s="440">
        <f t="shared" si="355"/>
        <v>52.24790798600003</v>
      </c>
      <c r="AC205" s="441">
        <v>0.42132444000000002</v>
      </c>
      <c r="AD205" s="438">
        <v>29.132175145999977</v>
      </c>
      <c r="AE205" s="439">
        <v>1.3359850979999999</v>
      </c>
      <c r="AF205" s="440">
        <f t="shared" si="356"/>
        <v>30.468160243999975</v>
      </c>
      <c r="AG205" s="441">
        <v>0.37016800999999999</v>
      </c>
      <c r="AH205" s="438"/>
      <c r="AI205" s="439"/>
      <c r="AJ205" s="440">
        <f t="shared" si="357"/>
        <v>0</v>
      </c>
      <c r="AK205" s="441"/>
      <c r="AL205" s="438"/>
      <c r="AM205" s="439"/>
      <c r="AN205" s="440">
        <f t="shared" si="358"/>
        <v>0</v>
      </c>
      <c r="AO205" s="441"/>
      <c r="AP205" s="438"/>
      <c r="AQ205" s="439"/>
      <c r="AR205" s="440">
        <f t="shared" si="359"/>
        <v>0</v>
      </c>
      <c r="AS205" s="441"/>
      <c r="AT205" s="438"/>
      <c r="AU205" s="439"/>
      <c r="AV205" s="440">
        <f t="shared" si="360"/>
        <v>0</v>
      </c>
      <c r="AW205" s="441"/>
      <c r="AX205" s="1061">
        <f t="shared" si="364"/>
        <v>912.72051703200032</v>
      </c>
      <c r="AY205" s="447">
        <f t="shared" si="361"/>
        <v>76.606297519999998</v>
      </c>
      <c r="AZ205" s="447">
        <f t="shared" si="361"/>
        <v>989.3268145520002</v>
      </c>
      <c r="BA205" s="448">
        <f t="shared" si="361"/>
        <v>19.56195868</v>
      </c>
      <c r="BB205" s="449">
        <f t="shared" si="365"/>
        <v>1008.8887732320002</v>
      </c>
      <c r="BD205" s="445">
        <f t="shared" si="366"/>
        <v>30.468160243999975</v>
      </c>
      <c r="BE205" s="445">
        <f t="shared" si="367"/>
        <v>0.37016800999999999</v>
      </c>
      <c r="BF205" s="446">
        <f t="shared" si="368"/>
        <v>29.132175145999977</v>
      </c>
      <c r="BG205" s="446">
        <f t="shared" si="369"/>
        <v>1.3359850979999999</v>
      </c>
    </row>
    <row r="206" spans="1:73" ht="14.4" thickBot="1">
      <c r="A206" s="433" t="s">
        <v>16</v>
      </c>
      <c r="B206" s="455">
        <f t="shared" ref="B206:AG206" si="370">SUM(B196:B205)</f>
        <v>3731.2326565040003</v>
      </c>
      <c r="C206" s="456">
        <f t="shared" si="370"/>
        <v>117.123748154</v>
      </c>
      <c r="D206" s="465">
        <f t="shared" si="370"/>
        <v>3848.3564046580004</v>
      </c>
      <c r="E206" s="466">
        <f t="shared" si="370"/>
        <v>333.89704437</v>
      </c>
      <c r="F206" s="455">
        <f t="shared" si="370"/>
        <v>4455.5526486100007</v>
      </c>
      <c r="G206" s="456">
        <f t="shared" si="370"/>
        <v>157.52404675000002</v>
      </c>
      <c r="H206" s="465">
        <f t="shared" si="370"/>
        <v>4613.0766953600005</v>
      </c>
      <c r="I206" s="466">
        <f t="shared" si="370"/>
        <v>319.99782929999992</v>
      </c>
      <c r="J206" s="455">
        <f t="shared" si="370"/>
        <v>3469.4327987939992</v>
      </c>
      <c r="K206" s="456">
        <f t="shared" si="370"/>
        <v>316.78742415999994</v>
      </c>
      <c r="L206" s="465">
        <f t="shared" si="370"/>
        <v>3786.2202229539998</v>
      </c>
      <c r="M206" s="466">
        <f t="shared" si="370"/>
        <v>260.29035227999998</v>
      </c>
      <c r="N206" s="455">
        <f t="shared" si="370"/>
        <v>3862.6235252139991</v>
      </c>
      <c r="O206" s="456">
        <f t="shared" si="370"/>
        <v>122.12347155399999</v>
      </c>
      <c r="P206" s="456">
        <f t="shared" si="370"/>
        <v>3984.7469967679999</v>
      </c>
      <c r="Q206" s="457">
        <f t="shared" si="370"/>
        <v>199.38554179000002</v>
      </c>
      <c r="R206" s="455">
        <f t="shared" si="370"/>
        <v>2189.30335229</v>
      </c>
      <c r="S206" s="456">
        <f t="shared" si="370"/>
        <v>74.770532247999995</v>
      </c>
      <c r="T206" s="456">
        <f t="shared" si="370"/>
        <v>2264.0738845379997</v>
      </c>
      <c r="U206" s="457">
        <f t="shared" si="370"/>
        <v>199.24299745999997</v>
      </c>
      <c r="V206" s="455">
        <f t="shared" si="370"/>
        <v>1125.125565961881</v>
      </c>
      <c r="W206" s="456">
        <f t="shared" si="370"/>
        <v>93.576405632119346</v>
      </c>
      <c r="X206" s="456">
        <f t="shared" si="370"/>
        <v>1218.7019715940003</v>
      </c>
      <c r="Y206" s="457">
        <f t="shared" si="370"/>
        <v>183.37972672999999</v>
      </c>
      <c r="Z206" s="458">
        <f t="shared" si="370"/>
        <v>1111.3588361000002</v>
      </c>
      <c r="AA206" s="477">
        <f t="shared" si="370"/>
        <v>24.959049276000002</v>
      </c>
      <c r="AB206" s="477">
        <f t="shared" si="370"/>
        <v>1136.3178853760003</v>
      </c>
      <c r="AC206" s="499">
        <f t="shared" si="370"/>
        <v>193.38762565000002</v>
      </c>
      <c r="AD206" s="458">
        <f t="shared" si="370"/>
        <v>821.05461181600037</v>
      </c>
      <c r="AE206" s="456">
        <f t="shared" si="370"/>
        <v>32.301040957999994</v>
      </c>
      <c r="AF206" s="456">
        <f t="shared" si="370"/>
        <v>853.35565277400008</v>
      </c>
      <c r="AG206" s="457">
        <f t="shared" si="370"/>
        <v>179.52298233000002</v>
      </c>
      <c r="AH206" s="455">
        <f t="shared" ref="AH206:BB206" si="371">SUM(AH196:AH205)</f>
        <v>0</v>
      </c>
      <c r="AI206" s="456">
        <f t="shared" si="371"/>
        <v>0</v>
      </c>
      <c r="AJ206" s="456">
        <f t="shared" si="371"/>
        <v>0</v>
      </c>
      <c r="AK206" s="457">
        <f t="shared" si="371"/>
        <v>0</v>
      </c>
      <c r="AL206" s="455">
        <f t="shared" si="371"/>
        <v>0</v>
      </c>
      <c r="AM206" s="456">
        <f t="shared" si="371"/>
        <v>0</v>
      </c>
      <c r="AN206" s="456">
        <f t="shared" si="371"/>
        <v>0</v>
      </c>
      <c r="AO206" s="457">
        <f t="shared" si="371"/>
        <v>0</v>
      </c>
      <c r="AP206" s="455">
        <f t="shared" si="371"/>
        <v>0</v>
      </c>
      <c r="AQ206" s="456">
        <f t="shared" si="371"/>
        <v>0</v>
      </c>
      <c r="AR206" s="456">
        <f t="shared" si="371"/>
        <v>0</v>
      </c>
      <c r="AS206" s="457">
        <f t="shared" si="371"/>
        <v>0</v>
      </c>
      <c r="AT206" s="455">
        <f t="shared" si="371"/>
        <v>0</v>
      </c>
      <c r="AU206" s="456">
        <f t="shared" si="371"/>
        <v>0</v>
      </c>
      <c r="AV206" s="456">
        <f t="shared" si="371"/>
        <v>0</v>
      </c>
      <c r="AW206" s="457">
        <f t="shared" si="371"/>
        <v>0</v>
      </c>
      <c r="AX206" s="468">
        <f t="shared" si="371"/>
        <v>20765.683995289881</v>
      </c>
      <c r="AY206" s="458">
        <f t="shared" si="371"/>
        <v>939.16571873211922</v>
      </c>
      <c r="AZ206" s="468">
        <f t="shared" si="371"/>
        <v>21704.849714022002</v>
      </c>
      <c r="BA206" s="468">
        <f t="shared" si="371"/>
        <v>1869.1040999100003</v>
      </c>
      <c r="BB206" s="468">
        <f t="shared" si="371"/>
        <v>23573.953813931999</v>
      </c>
      <c r="BD206" s="445">
        <f t="shared" si="366"/>
        <v>853.35565277400008</v>
      </c>
      <c r="BE206" s="445">
        <f t="shared" si="367"/>
        <v>179.52298233000002</v>
      </c>
      <c r="BF206" s="446">
        <f>AD206</f>
        <v>821.05461181600037</v>
      </c>
      <c r="BG206" s="446">
        <f>AE206</f>
        <v>32.301040957999994</v>
      </c>
    </row>
    <row r="207" spans="1:73">
      <c r="D207" s="446">
        <f>D206+H206+L206</f>
        <v>12247.653322972001</v>
      </c>
      <c r="E207" s="446">
        <f>E206+I206+M206</f>
        <v>914.1852259499999</v>
      </c>
      <c r="F207" s="446"/>
      <c r="G207" s="446"/>
      <c r="H207" s="446"/>
      <c r="I207" s="446"/>
      <c r="P207" s="395">
        <f>P206+T206+X206</f>
        <v>7467.5228528999996</v>
      </c>
      <c r="Q207" s="395">
        <f>Q206+U206+Y206</f>
        <v>582.00826598000003</v>
      </c>
      <c r="X207" s="117">
        <f>X206+T206+P206</f>
        <v>7467.5228528999996</v>
      </c>
      <c r="Y207" s="446">
        <f>Y206+U206+Q206</f>
        <v>582.00826598000003</v>
      </c>
      <c r="AB207" s="446">
        <f>AB206+AF206+AJ206</f>
        <v>1989.6735381500002</v>
      </c>
      <c r="AC207" s="446">
        <f>AC206+AG206+AK206</f>
        <v>372.91060798000001</v>
      </c>
      <c r="AJ207" s="1243">
        <f>AJ206+AF206+AB206</f>
        <v>1989.6735381500002</v>
      </c>
      <c r="AK207" s="1243">
        <f>AK206+AG206+AC206</f>
        <v>372.91060798000001</v>
      </c>
      <c r="AL207" s="117">
        <v>26.814834999999999</v>
      </c>
      <c r="AM207" s="117">
        <v>0.108698</v>
      </c>
      <c r="AN207" s="446">
        <f>AN206-[6]gaz!$AN$124</f>
        <v>-610.67853750000006</v>
      </c>
      <c r="AO207" s="446">
        <v>-0.79119499999999998</v>
      </c>
      <c r="AP207" s="117">
        <v>28.971447999999999</v>
      </c>
      <c r="AQ207" s="117">
        <v>0.140041</v>
      </c>
      <c r="AR207" s="117">
        <v>29.111488999999999</v>
      </c>
      <c r="AS207" s="117">
        <v>1.153025</v>
      </c>
      <c r="AV207" s="446"/>
      <c r="AW207" s="446"/>
      <c r="AY207" s="445"/>
    </row>
    <row r="208" spans="1:73" ht="18.600000000000001" thickBot="1">
      <c r="A208" s="394">
        <f>A49</f>
        <v>2024</v>
      </c>
      <c r="I208" s="446"/>
      <c r="AH208" s="459"/>
      <c r="AI208" s="459"/>
      <c r="AK208" s="459"/>
      <c r="AY208" s="445"/>
      <c r="AZ208" s="469"/>
      <c r="BA208" s="445"/>
    </row>
    <row r="209" spans="1:73">
      <c r="A209" s="2815" t="str">
        <f>A50</f>
        <v>DD</v>
      </c>
      <c r="B209" s="2827" t="s">
        <v>71</v>
      </c>
      <c r="C209" s="2828"/>
      <c r="D209" s="2828"/>
      <c r="E209" s="3091"/>
      <c r="F209" s="2829" t="s">
        <v>72</v>
      </c>
      <c r="G209" s="2830"/>
      <c r="H209" s="2830"/>
      <c r="I209" s="3095"/>
      <c r="J209" s="2817" t="s">
        <v>73</v>
      </c>
      <c r="K209" s="2818"/>
      <c r="L209" s="2818"/>
      <c r="M209" s="3094"/>
      <c r="N209" s="2819" t="s">
        <v>74</v>
      </c>
      <c r="O209" s="2820"/>
      <c r="P209" s="2820"/>
      <c r="Q209" s="3090"/>
      <c r="R209" s="2821" t="s">
        <v>75</v>
      </c>
      <c r="S209" s="2822"/>
      <c r="T209" s="2822"/>
      <c r="U209" s="3093"/>
      <c r="V209" s="2823" t="s">
        <v>76</v>
      </c>
      <c r="W209" s="2824"/>
      <c r="X209" s="2824"/>
      <c r="Y209" s="3089"/>
      <c r="Z209" s="2827" t="s">
        <v>77</v>
      </c>
      <c r="AA209" s="2828"/>
      <c r="AB209" s="2828"/>
      <c r="AC209" s="3091"/>
      <c r="AD209" s="2829" t="s">
        <v>78</v>
      </c>
      <c r="AE209" s="2830"/>
      <c r="AF209" s="2830"/>
      <c r="AG209" s="3095"/>
      <c r="AH209" s="2817" t="s">
        <v>79</v>
      </c>
      <c r="AI209" s="2818"/>
      <c r="AJ209" s="2818"/>
      <c r="AK209" s="3094"/>
      <c r="AL209" s="2819" t="s">
        <v>80</v>
      </c>
      <c r="AM209" s="2820"/>
      <c r="AN209" s="2820"/>
      <c r="AO209" s="3090"/>
      <c r="AP209" s="2821" t="s">
        <v>81</v>
      </c>
      <c r="AQ209" s="2822"/>
      <c r="AR209" s="2822"/>
      <c r="AS209" s="3093"/>
      <c r="AT209" s="2823" t="s">
        <v>82</v>
      </c>
      <c r="AU209" s="2824"/>
      <c r="AV209" s="2824"/>
      <c r="AW209" s="3089"/>
      <c r="AX209" s="3097" t="s">
        <v>83</v>
      </c>
      <c r="AY209" s="3098"/>
      <c r="AZ209" s="3098"/>
      <c r="BA209" s="3098"/>
      <c r="BB209" s="3099"/>
      <c r="BC209" s="430"/>
      <c r="BD209" s="430"/>
      <c r="BE209" s="430"/>
      <c r="BF209" s="430"/>
      <c r="BG209" s="430"/>
      <c r="BH209" s="430"/>
      <c r="BI209" s="430"/>
      <c r="BR209" s="3112"/>
      <c r="BS209" s="3112"/>
      <c r="BT209" s="3112"/>
      <c r="BU209" s="3112"/>
    </row>
    <row r="210" spans="1:73" ht="14.4" thickBot="1">
      <c r="A210" s="2816"/>
      <c r="B210" s="402" t="s">
        <v>17</v>
      </c>
      <c r="C210" s="403" t="s">
        <v>18</v>
      </c>
      <c r="D210" s="403" t="s">
        <v>56</v>
      </c>
      <c r="E210" s="404" t="s">
        <v>21</v>
      </c>
      <c r="F210" s="402" t="s">
        <v>17</v>
      </c>
      <c r="G210" s="403" t="s">
        <v>18</v>
      </c>
      <c r="H210" s="403" t="s">
        <v>56</v>
      </c>
      <c r="I210" s="404" t="s">
        <v>21</v>
      </c>
      <c r="J210" s="402" t="s">
        <v>17</v>
      </c>
      <c r="K210" s="403" t="s">
        <v>18</v>
      </c>
      <c r="L210" s="403" t="s">
        <v>56</v>
      </c>
      <c r="M210" s="404" t="s">
        <v>21</v>
      </c>
      <c r="N210" s="402" t="s">
        <v>17</v>
      </c>
      <c r="O210" s="403" t="s">
        <v>18</v>
      </c>
      <c r="P210" s="403" t="s">
        <v>56</v>
      </c>
      <c r="Q210" s="404" t="s">
        <v>21</v>
      </c>
      <c r="R210" s="402" t="s">
        <v>17</v>
      </c>
      <c r="S210" s="403" t="s">
        <v>18</v>
      </c>
      <c r="T210" s="403" t="s">
        <v>56</v>
      </c>
      <c r="U210" s="404" t="s">
        <v>21</v>
      </c>
      <c r="V210" s="402" t="s">
        <v>17</v>
      </c>
      <c r="W210" s="403" t="s">
        <v>18</v>
      </c>
      <c r="X210" s="403" t="s">
        <v>56</v>
      </c>
      <c r="Y210" s="404" t="s">
        <v>21</v>
      </c>
      <c r="Z210" s="402" t="s">
        <v>17</v>
      </c>
      <c r="AA210" s="403" t="s">
        <v>18</v>
      </c>
      <c r="AB210" s="403" t="s">
        <v>56</v>
      </c>
      <c r="AC210" s="404" t="s">
        <v>21</v>
      </c>
      <c r="AD210" s="1062" t="s">
        <v>17</v>
      </c>
      <c r="AE210" s="403" t="s">
        <v>18</v>
      </c>
      <c r="AF210" s="403" t="s">
        <v>56</v>
      </c>
      <c r="AG210" s="404" t="s">
        <v>21</v>
      </c>
      <c r="AH210" s="402" t="s">
        <v>17</v>
      </c>
      <c r="AI210" s="403" t="s">
        <v>18</v>
      </c>
      <c r="AJ210" s="403" t="s">
        <v>56</v>
      </c>
      <c r="AK210" s="404" t="s">
        <v>21</v>
      </c>
      <c r="AL210" s="402" t="s">
        <v>17</v>
      </c>
      <c r="AM210" s="403" t="s">
        <v>18</v>
      </c>
      <c r="AN210" s="403" t="s">
        <v>56</v>
      </c>
      <c r="AO210" s="404" t="s">
        <v>21</v>
      </c>
      <c r="AP210" s="402" t="s">
        <v>17</v>
      </c>
      <c r="AQ210" s="403" t="s">
        <v>18</v>
      </c>
      <c r="AR210" s="403" t="s">
        <v>56</v>
      </c>
      <c r="AS210" s="404" t="s">
        <v>21</v>
      </c>
      <c r="AT210" s="402" t="s">
        <v>17</v>
      </c>
      <c r="AU210" s="403" t="s">
        <v>18</v>
      </c>
      <c r="AV210" s="403" t="s">
        <v>56</v>
      </c>
      <c r="AW210" s="404" t="s">
        <v>21</v>
      </c>
      <c r="AX210" s="1062" t="s">
        <v>17</v>
      </c>
      <c r="AY210" s="403" t="s">
        <v>18</v>
      </c>
      <c r="AZ210" s="403" t="s">
        <v>56</v>
      </c>
      <c r="BA210" s="431" t="s">
        <v>21</v>
      </c>
      <c r="BB210" s="404" t="s">
        <v>160</v>
      </c>
      <c r="BD210" s="117" t="s">
        <v>181</v>
      </c>
      <c r="BE210" s="117" t="s">
        <v>182</v>
      </c>
      <c r="BF210" s="117" t="s">
        <v>312</v>
      </c>
      <c r="BG210" s="117" t="s">
        <v>313</v>
      </c>
    </row>
    <row r="211" spans="1:73">
      <c r="A211" s="397" t="s">
        <v>6</v>
      </c>
      <c r="B211" s="438">
        <f>'Feuil-saisie'!H5/1000000</f>
        <v>412.3737640500002</v>
      </c>
      <c r="C211" s="439">
        <f>'Feuil-saisie'!I5/1000000</f>
        <v>9.1786025900000023</v>
      </c>
      <c r="D211" s="440">
        <f>B211+C211</f>
        <v>421.55236664000023</v>
      </c>
      <c r="E211" s="441">
        <f>'Feuil-saisie'!J5/1000000</f>
        <v>74.691636989999978</v>
      </c>
      <c r="F211" s="438">
        <f>'Feuil-saisie'!T5/1000000</f>
        <v>522.91140464000011</v>
      </c>
      <c r="G211" s="439">
        <f>'Feuil-saisie'!U5/1000000</f>
        <v>12.143964329999998</v>
      </c>
      <c r="H211" s="440">
        <f>F211+G211</f>
        <v>535.05536897000013</v>
      </c>
      <c r="I211" s="441">
        <f>'Feuil-saisie'!V5/1000000</f>
        <v>73.158044869999998</v>
      </c>
      <c r="J211" s="438">
        <f>'Feuil-saisie'!AF5/1000000</f>
        <v>433.93461364000035</v>
      </c>
      <c r="K211" s="439">
        <f>'Feuil-saisie'!AG5/1000000</f>
        <v>22.981512720000001</v>
      </c>
      <c r="L211" s="440">
        <f>J211+K211</f>
        <v>456.91612636000036</v>
      </c>
      <c r="M211" s="441">
        <f>'Feuil-saisie'!AH5/1000000</f>
        <v>58.18584864000001</v>
      </c>
      <c r="N211" s="438">
        <f>'Feuil-saisie'!AR5/1000000</f>
        <v>385.21114809000022</v>
      </c>
      <c r="O211" s="439">
        <f>'Feuil-saisie'!AS5/1000000</f>
        <v>7.3258880499999997</v>
      </c>
      <c r="P211" s="440">
        <f>N211+O211</f>
        <v>392.53703614000023</v>
      </c>
      <c r="Q211" s="441">
        <f>'Feuil-saisie'!AT5/1000000</f>
        <v>58.389679569999991</v>
      </c>
      <c r="R211" s="438">
        <f>'Feuil-saisie'!BD5/1000000</f>
        <v>258.09189612</v>
      </c>
      <c r="S211" s="439">
        <f>'Feuil-saisie'!BE5/1000000</f>
        <v>5.4976887700000008</v>
      </c>
      <c r="T211" s="440">
        <f>R211+S211</f>
        <v>263.58958489000003</v>
      </c>
      <c r="U211" s="441">
        <f>'Feuil-saisie'!BF5/1000000</f>
        <v>61.378729</v>
      </c>
      <c r="V211" s="438">
        <f>'Feuil-saisie'!BP5/1000000</f>
        <v>160.76906485999993</v>
      </c>
      <c r="W211" s="439">
        <f>'Feuil-saisie'!BQ5/1000000</f>
        <v>6.8854343499999997</v>
      </c>
      <c r="X211" s="440">
        <f>V211+W211</f>
        <v>167.65449920999993</v>
      </c>
      <c r="Y211" s="441">
        <f>'Feuil-saisie'!BR5/1000000</f>
        <v>60.453422259999989</v>
      </c>
      <c r="Z211" s="450">
        <f>'Feuil-saisie'!CB5/1000000</f>
        <v>136.04675738</v>
      </c>
      <c r="AA211" s="451">
        <f>'Feuil-saisie'!CC5/1000000</f>
        <v>1.29624257</v>
      </c>
      <c r="AB211" s="453">
        <f>Z211+AA211</f>
        <v>137.34299995000001</v>
      </c>
      <c r="AC211" s="452">
        <f>'Feuil-saisie'!CD5/1000000</f>
        <v>90.58667201999998</v>
      </c>
      <c r="AD211" s="1236">
        <f>'Feuil-saisie'!CN5/1000000</f>
        <v>94.824811670000003</v>
      </c>
      <c r="AE211" s="1237">
        <f>'Feuil-saisie'!CO5/1000000</f>
        <v>1.2603662799999999</v>
      </c>
      <c r="AF211" s="1238">
        <f>AD211+AE211</f>
        <v>96.085177950000002</v>
      </c>
      <c r="AG211" s="1239">
        <f>'Feuil-saisie'!CP5/1000000</f>
        <v>88.108672380000002</v>
      </c>
      <c r="AH211" s="438">
        <f>'Feuil-saisie'!CZ5/1000000</f>
        <v>0</v>
      </c>
      <c r="AI211" s="439">
        <f>'Feuil-saisie'!DA5/1000000</f>
        <v>0</v>
      </c>
      <c r="AJ211" s="440">
        <f>AH211+AI211</f>
        <v>0</v>
      </c>
      <c r="AK211" s="441">
        <f>'Feuil-saisie'!DB5/1000000</f>
        <v>0</v>
      </c>
      <c r="AL211" s="438">
        <f>'Feuil-saisie'!DL5/1000000</f>
        <v>0</v>
      </c>
      <c r="AM211" s="439">
        <f>'Feuil-saisie'!DM5/1000000</f>
        <v>0</v>
      </c>
      <c r="AN211" s="440">
        <f>AL211+AM211</f>
        <v>0</v>
      </c>
      <c r="AO211" s="441">
        <f>'Feuil-saisie'!DN5/1000000</f>
        <v>0</v>
      </c>
      <c r="AP211" s="438">
        <f>'Feuil-saisie'!DX5/1000000</f>
        <v>0</v>
      </c>
      <c r="AQ211" s="439">
        <f>'Feuil-saisie'!DY5/1000000</f>
        <v>0</v>
      </c>
      <c r="AR211" s="440">
        <f>AP211+AQ211</f>
        <v>0</v>
      </c>
      <c r="AS211" s="441">
        <f>'Feuil-saisie'!DZ5/1000000</f>
        <v>0</v>
      </c>
      <c r="AT211" s="438">
        <f>'Feuil-saisie'!EJ5/1000000</f>
        <v>0</v>
      </c>
      <c r="AU211" s="439">
        <f>'Feuil-saisie'!EK5/1000000</f>
        <v>0</v>
      </c>
      <c r="AV211" s="440">
        <f>AT211+AU211</f>
        <v>0</v>
      </c>
      <c r="AW211" s="441">
        <f>'Feuil-saisie'!EL5/1000000</f>
        <v>0</v>
      </c>
      <c r="AX211" s="1060">
        <f>+B211+F211+J211+N211+R211+V211+Z211+AD211+AH211+AL211+AP211+AT211</f>
        <v>2404.1634604500014</v>
      </c>
      <c r="AY211" s="1098">
        <f t="shared" ref="AY211:BA220" si="372">+C211+G211+K211+O211+S211+W211+AA211+AE211+AI211+AM211+AQ211+AU211</f>
        <v>66.569699660000012</v>
      </c>
      <c r="AZ211" s="1098">
        <f t="shared" si="372"/>
        <v>2470.7331601100009</v>
      </c>
      <c r="BA211" s="1099">
        <f t="shared" si="372"/>
        <v>564.95270572999993</v>
      </c>
      <c r="BB211" s="1102">
        <f>+AZ211+BA211</f>
        <v>3035.6858658400006</v>
      </c>
      <c r="BD211" s="445">
        <f>AF211</f>
        <v>96.085177950000002</v>
      </c>
      <c r="BE211" s="445">
        <f>AG211</f>
        <v>88.108672380000002</v>
      </c>
      <c r="BF211" s="446">
        <f>AD211</f>
        <v>94.824811670000003</v>
      </c>
      <c r="BG211" s="446">
        <f>AE211</f>
        <v>1.2603662799999999</v>
      </c>
    </row>
    <row r="212" spans="1:73" s="446" customFormat="1">
      <c r="A212" s="460" t="s">
        <v>7</v>
      </c>
      <c r="B212" s="438">
        <f>'Feuil-saisie'!H6/1000000</f>
        <v>514.52127208000002</v>
      </c>
      <c r="C212" s="439">
        <f>'Feuil-saisie'!I6/1000000</f>
        <v>11.083224899999999</v>
      </c>
      <c r="D212" s="440">
        <f t="shared" ref="D212:D220" si="373">B212+C212</f>
        <v>525.60449698000002</v>
      </c>
      <c r="E212" s="441">
        <f>'Feuil-saisie'!J6/1000000</f>
        <v>27.507790539999998</v>
      </c>
      <c r="F212" s="438">
        <f>'Feuil-saisie'!T6/1000000</f>
        <v>545.16043151999986</v>
      </c>
      <c r="G212" s="439">
        <f>'Feuil-saisie'!U6/1000000</f>
        <v>14.458091400000001</v>
      </c>
      <c r="H212" s="440">
        <f>F212+G212</f>
        <v>559.6185229199998</v>
      </c>
      <c r="I212" s="441">
        <f>'Feuil-saisie'!V6/1000000</f>
        <v>25.96</v>
      </c>
      <c r="J212" s="438">
        <f>'Feuil-saisie'!AF6/1000000</f>
        <v>359.7093338200001</v>
      </c>
      <c r="K212" s="439">
        <f>'Feuil-saisie'!AG6/1000000</f>
        <v>56.041679400000007</v>
      </c>
      <c r="L212" s="440">
        <f t="shared" ref="L212:L220" si="374">J212+K212</f>
        <v>415.75101322000012</v>
      </c>
      <c r="M212" s="441">
        <f>'Feuil-saisie'!AH6/1000000</f>
        <v>23.458463999999999</v>
      </c>
      <c r="N212" s="438">
        <f>'Feuil-saisie'!AR6/1000000</f>
        <v>463.40200821000002</v>
      </c>
      <c r="O212" s="439">
        <f>'Feuil-saisie'!AS6/1000000</f>
        <v>11.568163180000001</v>
      </c>
      <c r="P212" s="440">
        <f t="shared" ref="P212:P220" si="375">N212+O212</f>
        <v>474.97017139000002</v>
      </c>
      <c r="Q212" s="441">
        <f>'Feuil-saisie'!AT6/1000000</f>
        <v>12.81426302</v>
      </c>
      <c r="R212" s="438">
        <f>'Feuil-saisie'!BD6/1000000</f>
        <v>261.55442908999999</v>
      </c>
      <c r="S212" s="439">
        <f>'Feuil-saisie'!BE6/1000000</f>
        <v>6.3035779099999996</v>
      </c>
      <c r="T212" s="440">
        <f t="shared" ref="T212:T220" si="376">R212+S212</f>
        <v>267.85800699999999</v>
      </c>
      <c r="U212" s="441">
        <f>'Feuil-saisie'!BF6/1000000</f>
        <v>10.311140999999999</v>
      </c>
      <c r="V212" s="438">
        <f>'Feuil-saisie'!BP6/1000000</f>
        <v>100.34751484</v>
      </c>
      <c r="W212" s="439">
        <f>'Feuil-saisie'!BQ6/1000000</f>
        <v>16.428825849999999</v>
      </c>
      <c r="X212" s="440">
        <f t="shared" ref="X212:X220" si="377">V212+W212</f>
        <v>116.77634069</v>
      </c>
      <c r="Y212" s="441">
        <f>'Feuil-saisie'!BR6/1000000</f>
        <v>8.3554207999999992</v>
      </c>
      <c r="Z212" s="450">
        <f>'Feuil-saisie'!CB6/1000000</f>
        <v>98.623576999999997</v>
      </c>
      <c r="AA212" s="451">
        <f>'Feuil-saisie'!CC6/1000000</f>
        <v>1.9394060000000002</v>
      </c>
      <c r="AB212" s="453">
        <f t="shared" ref="AB212:AB220" si="378">Z212+AA212</f>
        <v>100.562983</v>
      </c>
      <c r="AC212" s="452">
        <f>'Feuil-saisie'!CD6/1000000</f>
        <v>9.9247731899999998</v>
      </c>
      <c r="AD212" s="1236">
        <f>'Feuil-saisie'!CN6/1000000</f>
        <v>61.471590820000003</v>
      </c>
      <c r="AE212" s="1237">
        <f>'Feuil-saisie'!CO6/1000000</f>
        <v>1.14333237</v>
      </c>
      <c r="AF212" s="1238">
        <f t="shared" ref="AF212:AF220" si="379">AD212+AE212</f>
        <v>62.614923190000006</v>
      </c>
      <c r="AG212" s="1239">
        <f>'Feuil-saisie'!CP6/1000000</f>
        <v>7.8269351</v>
      </c>
      <c r="AH212" s="438">
        <f>'Feuil-saisie'!CZ6/1000000</f>
        <v>0</v>
      </c>
      <c r="AI212" s="439">
        <f>'Feuil-saisie'!DA6/1000000</f>
        <v>0</v>
      </c>
      <c r="AJ212" s="440">
        <f t="shared" ref="AJ212:AJ220" si="380">AH212+AI212</f>
        <v>0</v>
      </c>
      <c r="AK212" s="441">
        <f>'Feuil-saisie'!DB6/1000000</f>
        <v>0</v>
      </c>
      <c r="AL212" s="438">
        <f>'Feuil-saisie'!DL6/1000000</f>
        <v>0</v>
      </c>
      <c r="AM212" s="439">
        <f>'Feuil-saisie'!DM6/1000000</f>
        <v>0</v>
      </c>
      <c r="AN212" s="440">
        <f t="shared" ref="AN212:AN220" si="381">AL212+AM212</f>
        <v>0</v>
      </c>
      <c r="AO212" s="441">
        <f>'Feuil-saisie'!DN6/1000000</f>
        <v>0</v>
      </c>
      <c r="AP212" s="438">
        <f>'Feuil-saisie'!DX6/1000000</f>
        <v>0</v>
      </c>
      <c r="AQ212" s="439">
        <f>'Feuil-saisie'!DY6/1000000</f>
        <v>0</v>
      </c>
      <c r="AR212" s="440">
        <f t="shared" ref="AR212:AR220" si="382">AP212+AQ212</f>
        <v>0</v>
      </c>
      <c r="AS212" s="441">
        <f>'Feuil-saisie'!DZ6/1000000</f>
        <v>0</v>
      </c>
      <c r="AT212" s="438">
        <f>'Feuil-saisie'!EJ6/1000000</f>
        <v>0</v>
      </c>
      <c r="AU212" s="439">
        <f>'Feuil-saisie'!EK6/1000000</f>
        <v>0</v>
      </c>
      <c r="AV212" s="440">
        <f t="shared" ref="AV212:AV220" si="383">AT212+AU212</f>
        <v>0</v>
      </c>
      <c r="AW212" s="441">
        <f>'Feuil-saisie'!EL6/1000000</f>
        <v>0</v>
      </c>
      <c r="AX212" s="1061">
        <f>+B212+F212+J212+N212+R212+V212+Z212+AD212+AH212+AL212+AP212+AT212</f>
        <v>2404.7901573799995</v>
      </c>
      <c r="AY212" s="1047">
        <f t="shared" si="372"/>
        <v>118.96630101</v>
      </c>
      <c r="AZ212" s="1047">
        <f t="shared" si="372"/>
        <v>2523.7564583899994</v>
      </c>
      <c r="BA212" s="1089">
        <f t="shared" si="372"/>
        <v>126.15878764999999</v>
      </c>
      <c r="BB212" s="1103">
        <f t="shared" ref="BB212:BB220" si="384">+AZ212+BA212</f>
        <v>2649.9152460399991</v>
      </c>
      <c r="BD212" s="445">
        <f t="shared" ref="BD212:BD221" si="385">AF212</f>
        <v>62.614923190000006</v>
      </c>
      <c r="BE212" s="445">
        <f t="shared" ref="BE212:BE220" si="386">AG212</f>
        <v>7.8269351</v>
      </c>
      <c r="BF212" s="446">
        <f t="shared" ref="BF212:BF220" si="387">AD212</f>
        <v>61.471590820000003</v>
      </c>
      <c r="BG212" s="446">
        <f t="shared" ref="BG212:BG220" si="388">AE212</f>
        <v>1.14333237</v>
      </c>
    </row>
    <row r="213" spans="1:73">
      <c r="A213" s="397" t="s">
        <v>8</v>
      </c>
      <c r="B213" s="438">
        <f>'Feuil-saisie'!H7/1000000</f>
        <v>515.56500000000005</v>
      </c>
      <c r="C213" s="439">
        <f>'Feuil-saisie'!I7/1000000</f>
        <v>26.782</v>
      </c>
      <c r="D213" s="440">
        <f t="shared" si="373"/>
        <v>542.34700000000009</v>
      </c>
      <c r="E213" s="441">
        <f>'Feuil-saisie'!J7/1000000</f>
        <v>20.403058640000001</v>
      </c>
      <c r="F213" s="438">
        <f>'Feuil-saisie'!T7/1000000</f>
        <v>473.18556013999995</v>
      </c>
      <c r="G213" s="439">
        <f>'Feuil-saisie'!U7/1000000</f>
        <v>21.799500349999999</v>
      </c>
      <c r="H213" s="440">
        <f t="shared" ref="H213:H220" si="389">F213+G213</f>
        <v>494.98506048999997</v>
      </c>
      <c r="I213" s="441">
        <f>'Feuil-saisie'!V7/1000000</f>
        <v>18.779460839999999</v>
      </c>
      <c r="J213" s="438">
        <f>'Feuil-saisie'!AF7/1000000</f>
        <v>378.35458018999969</v>
      </c>
      <c r="K213" s="439">
        <f>'Feuil-saisie'!AG7/1000000</f>
        <v>36.77145582</v>
      </c>
      <c r="L213" s="440">
        <f t="shared" si="374"/>
        <v>415.12603600999967</v>
      </c>
      <c r="M213" s="441">
        <f>'Feuil-saisie'!AH7/1000000</f>
        <v>18.23</v>
      </c>
      <c r="N213" s="438">
        <f>'Feuil-saisie'!AR7/1000000</f>
        <v>450.71999795999989</v>
      </c>
      <c r="O213" s="439">
        <f>'Feuil-saisie'!AS7/1000000</f>
        <v>22.223969309999994</v>
      </c>
      <c r="P213" s="440">
        <f t="shared" si="375"/>
        <v>472.94396726999986</v>
      </c>
      <c r="Q213" s="441">
        <f>'Feuil-saisie'!AT7/1000000</f>
        <v>10.8</v>
      </c>
      <c r="R213" s="438">
        <f>'Feuil-saisie'!BD7/1000000</f>
        <v>245.29864329999978</v>
      </c>
      <c r="S213" s="439">
        <f>'Feuil-saisie'!BE7/1000000</f>
        <v>10.697498280000001</v>
      </c>
      <c r="T213" s="440">
        <f t="shared" si="376"/>
        <v>255.99614157999977</v>
      </c>
      <c r="U213" s="441">
        <f>'Feuil-saisie'!BF7/1000000</f>
        <v>6.5706716300000005</v>
      </c>
      <c r="V213" s="438">
        <f>'Feuil-saisie'!BP7/1000000</f>
        <v>129.41377254999998</v>
      </c>
      <c r="W213" s="439">
        <f>'Feuil-saisie'!BQ7/1000000</f>
        <v>10.295281920000001</v>
      </c>
      <c r="X213" s="440">
        <f t="shared" si="377"/>
        <v>139.70905446999998</v>
      </c>
      <c r="Y213" s="441">
        <f>'Feuil-saisie'!BR7/1000000</f>
        <v>3.0267663699999998</v>
      </c>
      <c r="Z213" s="450">
        <f>'Feuil-saisie'!CB7/1000000</f>
        <v>104.77479919999999</v>
      </c>
      <c r="AA213" s="451">
        <f>'Feuil-saisie'!CC7/1000000</f>
        <v>2.9440090499999991</v>
      </c>
      <c r="AB213" s="453">
        <f t="shared" si="378"/>
        <v>107.71880825</v>
      </c>
      <c r="AC213" s="452">
        <f>'Feuil-saisie'!CD7/1000000</f>
        <v>1.38</v>
      </c>
      <c r="AD213" s="1236">
        <f>'Feuil-saisie'!CN7/1000000</f>
        <v>61.102983379999962</v>
      </c>
      <c r="AE213" s="1237">
        <f>'Feuil-saisie'!CO7/1000000</f>
        <v>1.5316339200000002</v>
      </c>
      <c r="AF213" s="1238">
        <f t="shared" si="379"/>
        <v>62.63461729999996</v>
      </c>
      <c r="AG213" s="1239">
        <f>'Feuil-saisie'!CP7/1000000</f>
        <v>1.79</v>
      </c>
      <c r="AH213" s="438">
        <f>'Feuil-saisie'!CZ7/1000000</f>
        <v>0</v>
      </c>
      <c r="AI213" s="439">
        <f>'Feuil-saisie'!DA7/1000000</f>
        <v>0</v>
      </c>
      <c r="AJ213" s="440">
        <f t="shared" si="380"/>
        <v>0</v>
      </c>
      <c r="AK213" s="2037">
        <f>'Feuil-saisie'!DB7/1000000</f>
        <v>0</v>
      </c>
      <c r="AL213" s="438">
        <f>'Feuil-saisie'!DL7/1000000</f>
        <v>0</v>
      </c>
      <c r="AM213" s="439">
        <f>'Feuil-saisie'!DM7/1000000</f>
        <v>0</v>
      </c>
      <c r="AN213" s="440">
        <f t="shared" si="381"/>
        <v>0</v>
      </c>
      <c r="AO213" s="441">
        <f>'Feuil-saisie'!DN7/1000000</f>
        <v>0</v>
      </c>
      <c r="AP213" s="438">
        <f>'Feuil-saisie'!DX7/1000000</f>
        <v>0</v>
      </c>
      <c r="AQ213" s="439">
        <f>'Feuil-saisie'!DY7/1000000</f>
        <v>0</v>
      </c>
      <c r="AR213" s="440">
        <f t="shared" si="382"/>
        <v>0</v>
      </c>
      <c r="AS213" s="441">
        <f>'Feuil-saisie'!DZ7/1000000</f>
        <v>0</v>
      </c>
      <c r="AT213" s="438">
        <f>'Feuil-saisie'!EJ7/1000000</f>
        <v>0</v>
      </c>
      <c r="AU213" s="439">
        <f>'Feuil-saisie'!EK7/1000000</f>
        <v>0</v>
      </c>
      <c r="AV213" s="440">
        <f t="shared" si="383"/>
        <v>0</v>
      </c>
      <c r="AW213" s="441">
        <f>'Feuil-saisie'!EL7/1000000</f>
        <v>0</v>
      </c>
      <c r="AX213" s="1061">
        <f t="shared" ref="AX213:AX218" si="390">+B213+F213+J213+N213+R213+V213+Z213+AD213+AH213+AL213+AP213+AT213</f>
        <v>2358.4153367199992</v>
      </c>
      <c r="AY213" s="1047">
        <f t="shared" si="372"/>
        <v>133.04534864999999</v>
      </c>
      <c r="AZ213" s="1047">
        <f t="shared" si="372"/>
        <v>2491.4606853699993</v>
      </c>
      <c r="BA213" s="1089">
        <f t="shared" si="372"/>
        <v>80.97995748000001</v>
      </c>
      <c r="BB213" s="1103">
        <f t="shared" si="384"/>
        <v>2572.4406428499992</v>
      </c>
      <c r="BD213" s="445">
        <f t="shared" si="385"/>
        <v>62.63461729999996</v>
      </c>
      <c r="BE213" s="445">
        <f t="shared" si="386"/>
        <v>1.79</v>
      </c>
      <c r="BF213" s="446">
        <f t="shared" si="387"/>
        <v>61.102983379999962</v>
      </c>
      <c r="BG213" s="446">
        <f t="shared" si="388"/>
        <v>1.5316339200000002</v>
      </c>
    </row>
    <row r="214" spans="1:73">
      <c r="A214" s="397" t="s">
        <v>4</v>
      </c>
      <c r="B214" s="438">
        <f>'Feuil-saisie'!H8/1000000</f>
        <v>706.81862139999998</v>
      </c>
      <c r="C214" s="439">
        <f>'Feuil-saisie'!I8/1000000</f>
        <v>23.086853600000001</v>
      </c>
      <c r="D214" s="440">
        <f t="shared" si="373"/>
        <v>729.90547500000002</v>
      </c>
      <c r="E214" s="441">
        <f>'Feuil-saisie'!J8/1000000</f>
        <v>34.978052849999997</v>
      </c>
      <c r="F214" s="438">
        <f>'Feuil-saisie'!T8/1000000</f>
        <v>780.4038706</v>
      </c>
      <c r="G214" s="439">
        <f>'Feuil-saisie'!U8/1000000</f>
        <v>28.732467</v>
      </c>
      <c r="H214" s="440">
        <f t="shared" si="389"/>
        <v>809.13633760000005</v>
      </c>
      <c r="I214" s="441">
        <f>'Feuil-saisie'!V8/1000000</f>
        <v>35.851183149999997</v>
      </c>
      <c r="J214" s="438">
        <f>'Feuil-saisie'!AF8/1000000</f>
        <v>665.81212909999999</v>
      </c>
      <c r="K214" s="439">
        <f>'Feuil-saisie'!AG8/1000000</f>
        <v>33.533928199999998</v>
      </c>
      <c r="L214" s="440">
        <f t="shared" si="374"/>
        <v>699.34605729999998</v>
      </c>
      <c r="M214" s="441">
        <f>'Feuil-saisie'!AH8/1000000</f>
        <v>25.854756030000001</v>
      </c>
      <c r="N214" s="438">
        <f>'Feuil-saisie'!AR8/1000000</f>
        <v>676.78564889999996</v>
      </c>
      <c r="O214" s="439">
        <f>'Feuil-saisie'!AS8/1000000</f>
        <v>24.164106499999999</v>
      </c>
      <c r="P214" s="1393">
        <f t="shared" si="375"/>
        <v>700.94975539999996</v>
      </c>
      <c r="Q214" s="441">
        <f>'Feuil-saisie'!AT8/1000000</f>
        <v>20.95691244</v>
      </c>
      <c r="R214" s="438">
        <f>'Feuil-saisie'!BD8/1000000</f>
        <v>404.12580849999989</v>
      </c>
      <c r="S214" s="439">
        <f>'Feuil-saisie'!BE8/1000000</f>
        <v>15.341442399999998</v>
      </c>
      <c r="T214" s="440">
        <f t="shared" si="376"/>
        <v>419.4672508999999</v>
      </c>
      <c r="U214" s="441">
        <f>'Feuil-saisie'!BF8/1000000</f>
        <v>14.300080810000001</v>
      </c>
      <c r="V214" s="438">
        <f>'Feuil-saisie'!BP8/1000000</f>
        <v>204.92724480000004</v>
      </c>
      <c r="W214" s="439">
        <f>'Feuil-saisie'!BQ8/1000000</f>
        <v>9.6551472</v>
      </c>
      <c r="X214" s="440">
        <f t="shared" si="377"/>
        <v>214.58239200000003</v>
      </c>
      <c r="Y214" s="2037">
        <f>'Feuil-saisie'!BR8/1000000</f>
        <v>10.77934608</v>
      </c>
      <c r="Z214" s="450">
        <f>'Feuil-saisie'!CB8/1000000</f>
        <v>152.933347</v>
      </c>
      <c r="AA214" s="451">
        <f>'Feuil-saisie'!CC8/1000000</f>
        <v>7.4972520999999999</v>
      </c>
      <c r="AB214" s="453">
        <f t="shared" si="378"/>
        <v>160.43059909999999</v>
      </c>
      <c r="AC214" s="452">
        <f>'Feuil-saisie'!CD8/1000000</f>
        <v>21.677175170000002</v>
      </c>
      <c r="AD214" s="1236">
        <f>'Feuil-saisie'!CN8/1000000</f>
        <v>90.010799199999994</v>
      </c>
      <c r="AE214" s="1237">
        <f>'Feuil-saisie'!CO8/1000000</f>
        <v>1.7232923</v>
      </c>
      <c r="AF214" s="1238">
        <f t="shared" si="379"/>
        <v>91.734091499999991</v>
      </c>
      <c r="AG214" s="1239">
        <f>'Feuil-saisie'!CP8/1000000</f>
        <v>9.2275667999999982</v>
      </c>
      <c r="AH214" s="438">
        <f>'Feuil-saisie'!CZ8/1000000</f>
        <v>0</v>
      </c>
      <c r="AI214" s="439">
        <f>'Feuil-saisie'!DA8/1000000</f>
        <v>0</v>
      </c>
      <c r="AJ214" s="440">
        <f t="shared" si="380"/>
        <v>0</v>
      </c>
      <c r="AK214" s="441">
        <f>'Feuil-saisie'!DB8/1000000</f>
        <v>0</v>
      </c>
      <c r="AL214" s="438">
        <f>'Feuil-saisie'!DL8/1000000</f>
        <v>0</v>
      </c>
      <c r="AM214" s="439">
        <f>'Feuil-saisie'!DM8/1000000</f>
        <v>0</v>
      </c>
      <c r="AN214" s="440">
        <f t="shared" si="381"/>
        <v>0</v>
      </c>
      <c r="AO214" s="441">
        <f>'Feuil-saisie'!DN8/1000000</f>
        <v>0</v>
      </c>
      <c r="AP214" s="438">
        <f>'Feuil-saisie'!DX8/1000000</f>
        <v>0</v>
      </c>
      <c r="AQ214" s="439">
        <f>'Feuil-saisie'!DY8/1000000</f>
        <v>0</v>
      </c>
      <c r="AR214" s="440">
        <f t="shared" si="382"/>
        <v>0</v>
      </c>
      <c r="AS214" s="441">
        <f>'Feuil-saisie'!DZ8/1000000</f>
        <v>0</v>
      </c>
      <c r="AT214" s="438">
        <f>'Feuil-saisie'!EJ8/1000000</f>
        <v>0</v>
      </c>
      <c r="AU214" s="439">
        <f>'Feuil-saisie'!EK8/1000000</f>
        <v>0</v>
      </c>
      <c r="AV214" s="440">
        <f t="shared" si="383"/>
        <v>0</v>
      </c>
      <c r="AW214" s="441">
        <f>'Feuil-saisie'!EL8/1000000</f>
        <v>0</v>
      </c>
      <c r="AX214" s="1061">
        <f t="shared" si="390"/>
        <v>3681.8174694999998</v>
      </c>
      <c r="AY214" s="1047">
        <f t="shared" si="372"/>
        <v>143.73448929999998</v>
      </c>
      <c r="AZ214" s="1047">
        <f t="shared" si="372"/>
        <v>3825.5519587999993</v>
      </c>
      <c r="BA214" s="1089">
        <f t="shared" si="372"/>
        <v>173.62507333000002</v>
      </c>
      <c r="BB214" s="1103">
        <f t="shared" si="384"/>
        <v>3999.1770321299991</v>
      </c>
      <c r="BC214" s="445"/>
      <c r="BD214" s="445">
        <f t="shared" si="385"/>
        <v>91.734091499999991</v>
      </c>
      <c r="BE214" s="445">
        <f t="shared" si="386"/>
        <v>9.2275667999999982</v>
      </c>
      <c r="BF214" s="446">
        <f t="shared" si="387"/>
        <v>90.010799199999994</v>
      </c>
      <c r="BG214" s="446">
        <f t="shared" si="388"/>
        <v>1.7232923</v>
      </c>
    </row>
    <row r="215" spans="1:73">
      <c r="A215" s="397" t="s">
        <v>3</v>
      </c>
      <c r="B215" s="438">
        <f>'Feuil-saisie'!H9/1000000</f>
        <v>740.23622274000002</v>
      </c>
      <c r="C215" s="439">
        <f>'Feuil-saisie'!I9/1000000</f>
        <v>21.82049511</v>
      </c>
      <c r="D215" s="440">
        <f t="shared" si="373"/>
        <v>762.05671785000004</v>
      </c>
      <c r="E215" s="441">
        <f>'Feuil-saisie'!J9/1000000</f>
        <v>36.87217380000002</v>
      </c>
      <c r="F215" s="438">
        <f>'Feuil-saisie'!T9/1000000</f>
        <v>825.05953720000002</v>
      </c>
      <c r="G215" s="439">
        <f>'Feuil-saisie'!U9/1000000</f>
        <v>23.167247619999998</v>
      </c>
      <c r="H215" s="440">
        <f t="shared" si="389"/>
        <v>848.22678482000003</v>
      </c>
      <c r="I215" s="441">
        <f>'Feuil-saisie'!V9/1000000</f>
        <v>34.504829819999998</v>
      </c>
      <c r="J215" s="438">
        <f>'Feuil-saisie'!AF9/1000000</f>
        <v>577.26375643999984</v>
      </c>
      <c r="K215" s="439">
        <f>'Feuil-saisie'!AG9/1000000</f>
        <v>89.346383279999984</v>
      </c>
      <c r="L215" s="440">
        <f t="shared" si="374"/>
        <v>666.61013971999978</v>
      </c>
      <c r="M215" s="441">
        <f>'Feuil-saisie'!AH9/1000000</f>
        <v>26.629621450000002</v>
      </c>
      <c r="N215" s="438">
        <f>'Feuil-saisie'!AR9/1000000</f>
        <v>682.0246214199999</v>
      </c>
      <c r="O215" s="439">
        <f>'Feuil-saisie'!AS9/1000000</f>
        <v>12.202420499999999</v>
      </c>
      <c r="P215" s="440">
        <f t="shared" si="375"/>
        <v>694.22704191999992</v>
      </c>
      <c r="Q215" s="441">
        <f>'Feuil-saisie'!AT9/1000000</f>
        <v>20.721043730000002</v>
      </c>
      <c r="R215" s="438">
        <f>'Feuil-saisie'!BD9/1000000</f>
        <v>419.31148077999995</v>
      </c>
      <c r="S215" s="439">
        <f>'Feuil-saisie'!BE9/1000000</f>
        <v>11.938294719999998</v>
      </c>
      <c r="T215" s="440">
        <f t="shared" si="376"/>
        <v>431.24977549999994</v>
      </c>
      <c r="U215" s="441">
        <f>'Feuil-saisie'!BF9/1000000</f>
        <v>10.713199449999999</v>
      </c>
      <c r="V215" s="438">
        <f>'Feuil-saisie'!BP9/1000000</f>
        <v>200.33095460000001</v>
      </c>
      <c r="W215" s="439">
        <f>'Feuil-saisie'!BQ9/1000000</f>
        <v>35.002894740000002</v>
      </c>
      <c r="X215" s="440">
        <f t="shared" si="377"/>
        <v>235.33384934000003</v>
      </c>
      <c r="Y215" s="441">
        <f>'Feuil-saisie'!BR9/1000000</f>
        <v>7.6850795199999995</v>
      </c>
      <c r="Z215" s="450">
        <f>'Feuil-saisie'!CB9/1000000</f>
        <v>156.30669697999991</v>
      </c>
      <c r="AA215" s="451">
        <f>'Feuil-saisie'!CC9/1000000</f>
        <v>1.7120687299999997</v>
      </c>
      <c r="AB215" s="453">
        <f t="shared" si="378"/>
        <v>158.01876570999991</v>
      </c>
      <c r="AC215" s="2322">
        <f>'Feuil-saisie'!CD9/1000000</f>
        <v>7.2779187900000002</v>
      </c>
      <c r="AD215" s="1236">
        <f>'Feuil-saisie'!CN9/1000000</f>
        <v>109.60296886000003</v>
      </c>
      <c r="AE215" s="1237">
        <f>'Feuil-saisie'!CO9/1000000</f>
        <v>1.09545194</v>
      </c>
      <c r="AF215" s="1238">
        <f t="shared" si="379"/>
        <v>110.69842080000004</v>
      </c>
      <c r="AG215" s="2322">
        <f>'Feuil-saisie'!CP9/1000000</f>
        <v>8.3753515099999998</v>
      </c>
      <c r="AH215" s="438">
        <f>'Feuil-saisie'!CZ9/1000000</f>
        <v>0</v>
      </c>
      <c r="AI215" s="439">
        <f>'Feuil-saisie'!DA9/1000000</f>
        <v>0</v>
      </c>
      <c r="AJ215" s="440">
        <f t="shared" si="380"/>
        <v>0</v>
      </c>
      <c r="AK215" s="2322">
        <f>'Feuil-saisie'!DB9/1000000</f>
        <v>0</v>
      </c>
      <c r="AL215" s="1100">
        <f>'Feuil-saisie'!DL9/1000000</f>
        <v>0</v>
      </c>
      <c r="AM215" s="439">
        <f>'Feuil-saisie'!DM9/1000000</f>
        <v>0</v>
      </c>
      <c r="AN215" s="440">
        <f t="shared" si="381"/>
        <v>0</v>
      </c>
      <c r="AO215" s="441">
        <f>'Feuil-saisie'!DN9/1000000</f>
        <v>0</v>
      </c>
      <c r="AP215" s="438">
        <f>'Feuil-saisie'!DX9/1000000</f>
        <v>0</v>
      </c>
      <c r="AQ215" s="439">
        <f>'Feuil-saisie'!DY9/1000000</f>
        <v>0</v>
      </c>
      <c r="AR215" s="440">
        <f t="shared" si="382"/>
        <v>0</v>
      </c>
      <c r="AS215" s="441">
        <f>'Feuil-saisie'!DZ9/1000000</f>
        <v>0</v>
      </c>
      <c r="AT215" s="438">
        <f>'Feuil-saisie'!EJ9/1000000</f>
        <v>0</v>
      </c>
      <c r="AU215" s="439">
        <f>'Feuil-saisie'!EK9/1000000</f>
        <v>0</v>
      </c>
      <c r="AV215" s="440">
        <f t="shared" si="383"/>
        <v>0</v>
      </c>
      <c r="AW215" s="441">
        <f>'Feuil-saisie'!EL9/1000000</f>
        <v>0</v>
      </c>
      <c r="AX215" s="1061">
        <f t="shared" si="390"/>
        <v>3710.1362390199993</v>
      </c>
      <c r="AY215" s="1047">
        <f t="shared" si="372"/>
        <v>196.28525663999997</v>
      </c>
      <c r="AZ215" s="1047">
        <f t="shared" si="372"/>
        <v>3906.4214956599994</v>
      </c>
      <c r="BA215" s="1089">
        <f t="shared" si="372"/>
        <v>152.77921807000001</v>
      </c>
      <c r="BB215" s="1103">
        <f t="shared" si="384"/>
        <v>4059.2007137299993</v>
      </c>
      <c r="BD215" s="445">
        <f t="shared" si="385"/>
        <v>110.69842080000004</v>
      </c>
      <c r="BE215" s="445">
        <f t="shared" si="386"/>
        <v>8.3753515099999998</v>
      </c>
      <c r="BF215" s="446">
        <f t="shared" si="387"/>
        <v>109.60296886000003</v>
      </c>
      <c r="BG215" s="446">
        <f t="shared" si="388"/>
        <v>1.09545194</v>
      </c>
    </row>
    <row r="216" spans="1:73">
      <c r="A216" s="397" t="s">
        <v>397</v>
      </c>
      <c r="B216" s="438">
        <f>'Feuil-saisie'!H10/1000000</f>
        <v>163.05244099999976</v>
      </c>
      <c r="C216" s="439">
        <f>'Feuil-saisie'!I10/1000000</f>
        <v>6.5113480999999984</v>
      </c>
      <c r="D216" s="440">
        <f t="shared" si="373"/>
        <v>169.56378909999975</v>
      </c>
      <c r="E216" s="441">
        <f>'Feuil-saisie'!J10/1000000</f>
        <v>20.224878100000002</v>
      </c>
      <c r="F216" s="438">
        <f>'Feuil-saisie'!T10/1000000</f>
        <v>202.08067159999774</v>
      </c>
      <c r="G216" s="439">
        <f>'Feuil-saisie'!U10/1000000</f>
        <v>8.4604078999999963</v>
      </c>
      <c r="H216" s="440">
        <f t="shared" si="389"/>
        <v>210.54107949999775</v>
      </c>
      <c r="I216" s="441">
        <f>'Feuil-saisie'!V10/1000000</f>
        <v>18.361747980000001</v>
      </c>
      <c r="J216" s="438">
        <f>'Feuil-saisie'!AF10/1000000</f>
        <v>184.81791130000195</v>
      </c>
      <c r="K216" s="439">
        <f>'Feuil-saisie'!AG10/1000000</f>
        <v>7.2566282000000024</v>
      </c>
      <c r="L216" s="440">
        <f t="shared" si="374"/>
        <v>192.07453950000195</v>
      </c>
      <c r="M216" s="441">
        <f>'Feuil-saisie'!AH10/1000000</f>
        <v>13.639341779999997</v>
      </c>
      <c r="N216" s="438">
        <f>'Feuil-saisie'!AR10/1000000</f>
        <v>171.16568430000009</v>
      </c>
      <c r="O216" s="439">
        <f>'Feuil-saisie'!AS10/1000000</f>
        <v>8.0765788999999977</v>
      </c>
      <c r="P216" s="440">
        <f t="shared" si="375"/>
        <v>179.24226320000008</v>
      </c>
      <c r="Q216" s="441">
        <f>'Feuil-saisie'!AT10/1000000</f>
        <v>11.059653390000001</v>
      </c>
      <c r="R216" s="438">
        <f>'Feuil-saisie'!BD10/1000000</f>
        <v>114.18094970000179</v>
      </c>
      <c r="S216" s="439">
        <f>'Feuil-saisie'!BE10/1000000</f>
        <v>3.3764438999999995</v>
      </c>
      <c r="T216" s="440">
        <f t="shared" si="376"/>
        <v>117.55739360000179</v>
      </c>
      <c r="U216" s="441">
        <f>'Feuil-saisie'!BF10/1000000</f>
        <v>12.997259029999999</v>
      </c>
      <c r="V216" s="438">
        <f>'Feuil-saisie'!BP10/1000000</f>
        <v>78.950261000000921</v>
      </c>
      <c r="W216" s="439">
        <f>'Feuil-saisie'!BQ10/1000000</f>
        <v>3.0362066999999993</v>
      </c>
      <c r="X216" s="440">
        <f t="shared" si="377"/>
        <v>81.986467700000915</v>
      </c>
      <c r="Y216" s="441">
        <f>'Feuil-saisie'!BR10/1000000</f>
        <v>10.234557789999998</v>
      </c>
      <c r="Z216" s="450">
        <f>'Feuil-saisie'!CB10/1000000</f>
        <v>66.261969700000108</v>
      </c>
      <c r="AA216" s="451">
        <f>'Feuil-saisie'!CC10/1000000</f>
        <v>3.4945025999999997</v>
      </c>
      <c r="AB216" s="453">
        <f t="shared" si="378"/>
        <v>69.756472300000112</v>
      </c>
      <c r="AC216" s="452">
        <f>'Feuil-saisie'!CD10/1000000</f>
        <v>6.7576481900000003</v>
      </c>
      <c r="AD216" s="1236">
        <f>'Feuil-saisie'!CN10/1000000</f>
        <v>48.138341399999867</v>
      </c>
      <c r="AE216" s="1237">
        <f>'Feuil-saisie'!CO10/1000000</f>
        <v>1.2222284999999999</v>
      </c>
      <c r="AF216" s="2321">
        <f t="shared" si="379"/>
        <v>49.360569899999867</v>
      </c>
      <c r="AG216" s="1239">
        <f>'Feuil-saisie'!CP10/1000000</f>
        <v>10.058000960000001</v>
      </c>
      <c r="AH216" s="438">
        <f>'Feuil-saisie'!CZ10/1000000</f>
        <v>0</v>
      </c>
      <c r="AI216" s="439">
        <f>'Feuil-saisie'!DA10/1000000</f>
        <v>0</v>
      </c>
      <c r="AJ216" s="2323">
        <f t="shared" si="380"/>
        <v>0</v>
      </c>
      <c r="AK216" s="441">
        <f>'Feuil-saisie'!DB10/1000000</f>
        <v>0</v>
      </c>
      <c r="AL216" s="438">
        <f>'Feuil-saisie'!DL10/1000000</f>
        <v>0</v>
      </c>
      <c r="AM216" s="439">
        <f>'Feuil-saisie'!DM10/1000000</f>
        <v>0</v>
      </c>
      <c r="AN216" s="440">
        <f t="shared" si="381"/>
        <v>0</v>
      </c>
      <c r="AO216" s="441">
        <f>'Feuil-saisie'!DN10/1000000</f>
        <v>0</v>
      </c>
      <c r="AP216" s="438">
        <f>'Feuil-saisie'!DX10/1000000</f>
        <v>0</v>
      </c>
      <c r="AQ216" s="439">
        <f>'Feuil-saisie'!DY10/1000000</f>
        <v>0</v>
      </c>
      <c r="AR216" s="440">
        <f t="shared" si="382"/>
        <v>0</v>
      </c>
      <c r="AS216" s="441">
        <f>'Feuil-saisie'!DZ10/1000000</f>
        <v>0</v>
      </c>
      <c r="AT216" s="438">
        <f>'Feuil-saisie'!EJ10/1000000</f>
        <v>0</v>
      </c>
      <c r="AU216" s="439">
        <f>'Feuil-saisie'!EK10/1000000</f>
        <v>0</v>
      </c>
      <c r="AV216" s="440">
        <f t="shared" si="383"/>
        <v>0</v>
      </c>
      <c r="AW216" s="441">
        <f>'Feuil-saisie'!EL10/1000000</f>
        <v>0</v>
      </c>
      <c r="AX216" s="1061">
        <f t="shared" si="390"/>
        <v>1028.6482300000021</v>
      </c>
      <c r="AY216" s="1047">
        <f t="shared" si="372"/>
        <v>41.434344799999991</v>
      </c>
      <c r="AZ216" s="1047">
        <f t="shared" si="372"/>
        <v>1070.0825748000025</v>
      </c>
      <c r="BA216" s="1089">
        <f>+E216+I216+M216+Q216+U216+Y216+AC216+AG216+AK216+AO216+AS216+AW216</f>
        <v>103.33308722</v>
      </c>
      <c r="BB216" s="1103">
        <f t="shared" si="384"/>
        <v>1173.4156620200024</v>
      </c>
      <c r="BD216" s="445">
        <f t="shared" si="385"/>
        <v>49.360569899999867</v>
      </c>
      <c r="BE216" s="445">
        <f t="shared" si="386"/>
        <v>10.058000960000001</v>
      </c>
      <c r="BF216" s="446">
        <f t="shared" si="387"/>
        <v>48.138341399999867</v>
      </c>
      <c r="BG216" s="446">
        <f t="shared" si="388"/>
        <v>1.2222284999999999</v>
      </c>
    </row>
    <row r="217" spans="1:73">
      <c r="A217" s="397" t="s">
        <v>399</v>
      </c>
      <c r="B217" s="650">
        <f>'Feuil-saisie'!H11/1000000</f>
        <v>318.77229802999994</v>
      </c>
      <c r="C217" s="1092">
        <f>'Feuil-saisie'!I11/1000000</f>
        <v>0.97939380000000009</v>
      </c>
      <c r="D217" s="1126">
        <f t="shared" si="373"/>
        <v>319.75169182999997</v>
      </c>
      <c r="E217" s="1090">
        <f>'Feuil-saisie'!J11/1000000</f>
        <v>85.279651250000001</v>
      </c>
      <c r="F217" s="650">
        <f>'Feuil-saisie'!T11/1000000</f>
        <v>358.35942994999999</v>
      </c>
      <c r="G217" s="1092">
        <f>'Feuil-saisie'!U11/1000000</f>
        <v>2.2625170699999999</v>
      </c>
      <c r="H217" s="1126">
        <f t="shared" si="389"/>
        <v>360.62194701999999</v>
      </c>
      <c r="I217" s="441">
        <f>'Feuil-saisie'!V11/1000000</f>
        <v>87.108470799999992</v>
      </c>
      <c r="J217" s="650">
        <f>'Feuil-saisie'!AF11/1000000</f>
        <v>232.12623587999991</v>
      </c>
      <c r="K217" s="1092">
        <f>'Feuil-saisie'!AG11/1000000</f>
        <v>25.97135055</v>
      </c>
      <c r="L217" s="1126">
        <f t="shared" si="374"/>
        <v>258.09758642999992</v>
      </c>
      <c r="M217" s="1090">
        <f>'Feuil-saisie'!AH11/1000000</f>
        <v>61.242002849999999</v>
      </c>
      <c r="N217" s="438">
        <f>'Feuil-saisie'!AR11/1000000</f>
        <v>298.91966482999999</v>
      </c>
      <c r="O217" s="439">
        <f>'Feuil-saisie'!AS11/1000000</f>
        <v>0.98579390999999994</v>
      </c>
      <c r="P217" s="440">
        <f t="shared" si="375"/>
        <v>299.90545873999997</v>
      </c>
      <c r="Q217" s="441">
        <f>'Feuil-saisie'!AT11/1000000</f>
        <v>73.341044859999997</v>
      </c>
      <c r="R217" s="438">
        <f>'Feuil-saisie'!BD11/1000000</f>
        <v>184.73761055000017</v>
      </c>
      <c r="S217" s="439">
        <f>'Feuil-saisie'!BE11/1000000</f>
        <v>1.1399799900000003</v>
      </c>
      <c r="T217" s="440">
        <f t="shared" si="376"/>
        <v>185.87759054000017</v>
      </c>
      <c r="U217" s="2037">
        <f>'Feuil-saisie'!BF11/1000000</f>
        <v>74.787479340000004</v>
      </c>
      <c r="V217" s="438">
        <f>'Feuil-saisie'!BP11/1000000</f>
        <v>82.808968470000025</v>
      </c>
      <c r="W217" s="439">
        <f>'Feuil-saisie'!BQ11/1000000</f>
        <v>7.9264974299999995</v>
      </c>
      <c r="X217" s="440">
        <f t="shared" si="377"/>
        <v>90.735465900000023</v>
      </c>
      <c r="Y217" s="441">
        <f>'Feuil-saisie'!BR11/1000000</f>
        <v>60.599538709999997</v>
      </c>
      <c r="Z217" s="450">
        <f>'Feuil-saisie'!CB11/1000000</f>
        <v>100.68081020999999</v>
      </c>
      <c r="AA217" s="451">
        <f>'Feuil-saisie'!CC11/1000000</f>
        <v>0.35307470000000002</v>
      </c>
      <c r="AB217" s="453">
        <f t="shared" si="378"/>
        <v>101.03388490999998</v>
      </c>
      <c r="AC217" s="452">
        <f>'Feuil-saisie'!CD11/1000000</f>
        <v>66.396830730000005</v>
      </c>
      <c r="AD217" s="1236">
        <f>'Feuil-saisie'!CN11/1000000</f>
        <v>71.212302909999991</v>
      </c>
      <c r="AE217" s="1237">
        <f>'Feuil-saisie'!CO11/1000000</f>
        <v>4.5515799999999995E-2</v>
      </c>
      <c r="AF217" s="1238">
        <f t="shared" si="379"/>
        <v>71.257818709999995</v>
      </c>
      <c r="AG217" s="1239">
        <f>'Feuil-saisie'!CP11/1000000</f>
        <v>69.229719739999993</v>
      </c>
      <c r="AH217" s="438">
        <f>'Feuil-saisie'!CZ11/1000000</f>
        <v>0</v>
      </c>
      <c r="AI217" s="439">
        <f>'Feuil-saisie'!DA11/1000000</f>
        <v>0</v>
      </c>
      <c r="AJ217" s="440">
        <f t="shared" si="380"/>
        <v>0</v>
      </c>
      <c r="AK217" s="441">
        <f>'Feuil-saisie'!DB11/1000000</f>
        <v>0</v>
      </c>
      <c r="AL217" s="438">
        <f>'Feuil-saisie'!DL11/1000000</f>
        <v>0</v>
      </c>
      <c r="AM217" s="439">
        <f>'Feuil-saisie'!DM11/1000000</f>
        <v>0</v>
      </c>
      <c r="AN217" s="440">
        <f t="shared" si="381"/>
        <v>0</v>
      </c>
      <c r="AO217" s="441">
        <f>'Feuil-saisie'!DN11/1000000</f>
        <v>0</v>
      </c>
      <c r="AP217" s="438">
        <f>'Feuil-saisie'!DX11/1000000</f>
        <v>0</v>
      </c>
      <c r="AQ217" s="439">
        <f>'Feuil-saisie'!DY11/1000000</f>
        <v>0</v>
      </c>
      <c r="AR217" s="440">
        <f t="shared" si="382"/>
        <v>0</v>
      </c>
      <c r="AS217" s="441">
        <f>'Feuil-saisie'!DZ11/1000000</f>
        <v>0</v>
      </c>
      <c r="AT217" s="438">
        <f>'Feuil-saisie'!EJ11/1000000</f>
        <v>0</v>
      </c>
      <c r="AU217" s="439">
        <f>'Feuil-saisie'!EK11/1000000</f>
        <v>0</v>
      </c>
      <c r="AV217" s="1126">
        <f t="shared" si="383"/>
        <v>0</v>
      </c>
      <c r="AW217" s="441">
        <f>'Feuil-saisie'!EL11/1000000</f>
        <v>0</v>
      </c>
      <c r="AX217" s="1061">
        <f t="shared" si="390"/>
        <v>1647.6173208300002</v>
      </c>
      <c r="AY217" s="1047">
        <f t="shared" si="372"/>
        <v>39.664123249999996</v>
      </c>
      <c r="AZ217" s="1047">
        <f t="shared" si="372"/>
        <v>1687.28144408</v>
      </c>
      <c r="BA217" s="1089">
        <f t="shared" si="372"/>
        <v>577.98473827999999</v>
      </c>
      <c r="BB217" s="1103">
        <f t="shared" si="384"/>
        <v>2265.2661823600001</v>
      </c>
      <c r="BD217" s="445">
        <f t="shared" si="385"/>
        <v>71.257818709999995</v>
      </c>
      <c r="BE217" s="445">
        <f t="shared" si="386"/>
        <v>69.229719739999993</v>
      </c>
      <c r="BF217" s="446">
        <f t="shared" si="387"/>
        <v>71.212302909999991</v>
      </c>
      <c r="BG217" s="446">
        <f t="shared" si="388"/>
        <v>4.5515799999999995E-2</v>
      </c>
    </row>
    <row r="218" spans="1:73">
      <c r="A218" s="397" t="s">
        <v>883</v>
      </c>
      <c r="B218" s="438">
        <f>'Feuil-saisie'!H12/1000000</f>
        <v>312.12323877000119</v>
      </c>
      <c r="C218" s="439">
        <f>'Feuil-saisie'!I12/1000000</f>
        <v>12.330608470000003</v>
      </c>
      <c r="D218" s="440">
        <f t="shared" si="373"/>
        <v>324.45384724000121</v>
      </c>
      <c r="E218" s="441">
        <f>'Feuil-saisie'!J12/1000000</f>
        <v>15.50912069</v>
      </c>
      <c r="F218" s="438">
        <f>'Feuil-saisie'!T12/1000000</f>
        <v>342.13193424000076</v>
      </c>
      <c r="G218" s="439">
        <f>'Feuil-saisie'!U12/1000000</f>
        <v>17.242859679999999</v>
      </c>
      <c r="H218" s="440">
        <f t="shared" si="389"/>
        <v>359.37479392000074</v>
      </c>
      <c r="I218" s="441">
        <f>'Feuil-saisie'!V12/1000000</f>
        <v>13.279690990000001</v>
      </c>
      <c r="J218" s="438">
        <f>'Feuil-saisie'!AF12/1000000</f>
        <v>221.99495088999885</v>
      </c>
      <c r="K218" s="439">
        <f>'Feuil-saisie'!AG12/1000000</f>
        <v>14.151390910000005</v>
      </c>
      <c r="L218" s="440">
        <f t="shared" si="374"/>
        <v>236.14634179999885</v>
      </c>
      <c r="M218" s="441">
        <f>'Feuil-saisie'!AH12/1000000</f>
        <v>7.3413903899999999</v>
      </c>
      <c r="N218" s="438">
        <f>'Feuil-saisie'!AR12/1000000</f>
        <v>252.78963810999892</v>
      </c>
      <c r="O218" s="439">
        <f>'Feuil-saisie'!AS12/1000000</f>
        <v>9.4081878999999962</v>
      </c>
      <c r="P218" s="440">
        <f t="shared" si="375"/>
        <v>262.19782600999889</v>
      </c>
      <c r="Q218" s="441">
        <f>'Feuil-saisie'!AT12/1000000</f>
        <v>5.9511126199999982</v>
      </c>
      <c r="R218" s="438">
        <f>'Feuil-saisie'!BD12/1000000</f>
        <v>141.64351980000129</v>
      </c>
      <c r="S218" s="439">
        <f>'Feuil-saisie'!BE12/1000000</f>
        <v>6.5423643100000017</v>
      </c>
      <c r="T218" s="440">
        <f t="shared" si="376"/>
        <v>148.1858841100013</v>
      </c>
      <c r="U218" s="441">
        <f>'Feuil-saisie'!BF12/1000000</f>
        <v>5.2081410300000002</v>
      </c>
      <c r="V218" s="438">
        <f>'Feuil-saisie'!BP12/1000000</f>
        <v>66.607841029999335</v>
      </c>
      <c r="W218" s="439">
        <f>'Feuil-saisie'!BQ12/1000000</f>
        <v>3.2305489600000015</v>
      </c>
      <c r="X218" s="440">
        <f t="shared" si="377"/>
        <v>69.838389989999342</v>
      </c>
      <c r="Y218" s="441">
        <f>'Feuil-saisie'!BR12/1000000</f>
        <v>3.3739194800000001</v>
      </c>
      <c r="Z218" s="450">
        <f>'Feuil-saisie'!CB12/1000000</f>
        <v>73.517093989999736</v>
      </c>
      <c r="AA218" s="451">
        <f>'Feuil-saisie'!CC12/1000000</f>
        <v>1.7652484900000009</v>
      </c>
      <c r="AB218" s="453">
        <f t="shared" si="378"/>
        <v>75.282342479999741</v>
      </c>
      <c r="AC218" s="452">
        <f>'Feuil-saisie'!CD12/1000000</f>
        <v>2.0346840799999999</v>
      </c>
      <c r="AD218" s="1236">
        <f>'Feuil-saisie'!CN12/1000000</f>
        <v>52.39614304299964</v>
      </c>
      <c r="AE218" s="1237">
        <f>'Feuil-saisie'!CO12/1000000</f>
        <v>0.40883815900000037</v>
      </c>
      <c r="AF218" s="1238">
        <f t="shared" si="379"/>
        <v>52.804981201999638</v>
      </c>
      <c r="AG218" s="1239">
        <f>'Feuil-saisie'!CP12/1000000</f>
        <v>2.23609759</v>
      </c>
      <c r="AH218" s="438">
        <f>'Feuil-saisie'!CZ12/1000000</f>
        <v>0</v>
      </c>
      <c r="AI218" s="439">
        <f>'Feuil-saisie'!DA12/1000000</f>
        <v>0</v>
      </c>
      <c r="AJ218" s="440">
        <f t="shared" si="380"/>
        <v>0</v>
      </c>
      <c r="AK218" s="441">
        <f>'Feuil-saisie'!DB12/1000000</f>
        <v>0</v>
      </c>
      <c r="AL218" s="438">
        <f>'Feuil-saisie'!DL12/1000000</f>
        <v>0</v>
      </c>
      <c r="AM218" s="439">
        <f>'Feuil-saisie'!DM12/1000000</f>
        <v>0</v>
      </c>
      <c r="AN218" s="440">
        <f t="shared" si="381"/>
        <v>0</v>
      </c>
      <c r="AO218" s="441">
        <f>'Feuil-saisie'!DN12/1000000</f>
        <v>0</v>
      </c>
      <c r="AP218" s="438">
        <f>'Feuil-saisie'!DX12/1000000</f>
        <v>0</v>
      </c>
      <c r="AQ218" s="439">
        <f>'Feuil-saisie'!DY12/1000000</f>
        <v>0</v>
      </c>
      <c r="AR218" s="440">
        <f t="shared" si="382"/>
        <v>0</v>
      </c>
      <c r="AS218" s="441">
        <f>'Feuil-saisie'!DZ12/1000000</f>
        <v>0</v>
      </c>
      <c r="AT218" s="438">
        <f>'Feuil-saisie'!EJ12/1000000</f>
        <v>0</v>
      </c>
      <c r="AU218" s="439">
        <f>'Feuil-saisie'!EK12/1000000</f>
        <v>0</v>
      </c>
      <c r="AV218" s="440">
        <f t="shared" si="383"/>
        <v>0</v>
      </c>
      <c r="AW218" s="441">
        <f>'Feuil-saisie'!EL12/1000000</f>
        <v>0</v>
      </c>
      <c r="AX218" s="1061">
        <f t="shared" si="390"/>
        <v>1463.2043598729997</v>
      </c>
      <c r="AY218" s="1047">
        <f t="shared" si="372"/>
        <v>65.080046879000008</v>
      </c>
      <c r="AZ218" s="1047">
        <f t="shared" si="372"/>
        <v>1528.2844067519998</v>
      </c>
      <c r="BA218" s="1089">
        <f t="shared" si="372"/>
        <v>54.934156869999995</v>
      </c>
      <c r="BB218" s="1103">
        <f t="shared" si="384"/>
        <v>1583.2185636219997</v>
      </c>
      <c r="BD218" s="445">
        <f t="shared" si="385"/>
        <v>52.804981201999638</v>
      </c>
      <c r="BE218" s="445">
        <f t="shared" si="386"/>
        <v>2.23609759</v>
      </c>
      <c r="BF218" s="446">
        <f t="shared" si="387"/>
        <v>52.39614304299964</v>
      </c>
      <c r="BG218" s="446">
        <f t="shared" si="388"/>
        <v>0.40883815900000037</v>
      </c>
    </row>
    <row r="219" spans="1:73">
      <c r="A219" s="397" t="s">
        <v>884</v>
      </c>
      <c r="B219" s="438">
        <f>'Feuil-saisie'!H13/1000000</f>
        <v>305.44374659999994</v>
      </c>
      <c r="C219" s="439">
        <f>'Feuil-saisie'!I13/1000000</f>
        <v>12.665396099999997</v>
      </c>
      <c r="D219" s="440">
        <f t="shared" si="373"/>
        <v>318.10914269999995</v>
      </c>
      <c r="E219" s="441">
        <f>'Feuil-saisie'!J13/1000000</f>
        <v>16.39161842</v>
      </c>
      <c r="F219" s="438">
        <f>'Feuil-saisie'!T13/1000000</f>
        <v>338.78775759999996</v>
      </c>
      <c r="G219" s="439">
        <f>'Feuil-saisie'!U13/1000000</f>
        <v>17.387550700000002</v>
      </c>
      <c r="H219" s="440">
        <f t="shared" si="389"/>
        <v>356.17530829999998</v>
      </c>
      <c r="I219" s="441">
        <f>'Feuil-saisie'!V13/1000000</f>
        <v>17.274267980000001</v>
      </c>
      <c r="J219" s="438">
        <f>'Feuil-saisie'!AF13/1000000</f>
        <v>215.31132820000002</v>
      </c>
      <c r="K219" s="439">
        <f>'Feuil-saisie'!AG13/1000000</f>
        <v>12.432383300000001</v>
      </c>
      <c r="L219" s="440">
        <f t="shared" si="374"/>
        <v>227.74371150000002</v>
      </c>
      <c r="M219" s="441">
        <f>'Feuil-saisie'!AH13/1000000</f>
        <v>11.915872670000001</v>
      </c>
      <c r="N219" s="438">
        <f>'Feuil-saisie'!AR13/1000000</f>
        <v>286.33354439999999</v>
      </c>
      <c r="O219" s="439">
        <f>'Feuil-saisie'!AS13/1000000</f>
        <v>13.510965100000002</v>
      </c>
      <c r="P219" s="440">
        <f t="shared" si="375"/>
        <v>299.84450950000002</v>
      </c>
      <c r="Q219" s="441">
        <f>'Feuil-saisie'!AT13/1000000</f>
        <v>7.01877102</v>
      </c>
      <c r="R219" s="438">
        <f>'Feuil-saisie'!BD13/1000000</f>
        <v>165.44864709999999</v>
      </c>
      <c r="S219" s="439">
        <f>'Feuil-saisie'!BE13/1000000</f>
        <v>9.3248525000000004</v>
      </c>
      <c r="T219" s="440">
        <f t="shared" si="376"/>
        <v>174.77349959999998</v>
      </c>
      <c r="U219" s="441">
        <f>'Feuil-saisie'!BF13/1000000</f>
        <v>15.574697539999999</v>
      </c>
      <c r="V219" s="438">
        <f>'Feuil-saisie'!BP13/1000000</f>
        <v>70.447217300000005</v>
      </c>
      <c r="W219" s="439">
        <f>'Feuil-saisie'!BQ13/1000000</f>
        <v>2.6696943000000002</v>
      </c>
      <c r="X219" s="440">
        <f t="shared" si="377"/>
        <v>73.116911600000009</v>
      </c>
      <c r="Y219" s="441">
        <f>'Feuil-saisie'!BR13/1000000</f>
        <v>7.6702933700000004</v>
      </c>
      <c r="Z219" s="450">
        <f>'Feuil-saisie'!CB13/1000000</f>
        <v>96.341456200000025</v>
      </c>
      <c r="AA219" s="451">
        <f>'Feuil-saisie'!CC13/1000000</f>
        <v>4.3497321999999992</v>
      </c>
      <c r="AB219" s="453">
        <f t="shared" si="378"/>
        <v>100.69118840000003</v>
      </c>
      <c r="AC219" s="452">
        <f>'Feuil-saisie'!CD13/1000000</f>
        <v>21.728125579999997</v>
      </c>
      <c r="AD219" s="1236">
        <f>'Feuil-saisie'!CN13/1000000</f>
        <v>67.280575099999993</v>
      </c>
      <c r="AE219" s="1237">
        <f>'Feuil-saisie'!CO13/1000000</f>
        <v>2.0808149</v>
      </c>
      <c r="AF219" s="1238">
        <f t="shared" si="379"/>
        <v>69.36139</v>
      </c>
      <c r="AG219" s="1239">
        <f>'Feuil-saisie'!CP13/1000000</f>
        <v>12.63827478</v>
      </c>
      <c r="AH219" s="438">
        <f>'Feuil-saisie'!CZ13/1000000</f>
        <v>0</v>
      </c>
      <c r="AI219" s="438">
        <f>'Feuil-saisie'!DA13/1000000</f>
        <v>0</v>
      </c>
      <c r="AJ219" s="440">
        <f t="shared" si="380"/>
        <v>0</v>
      </c>
      <c r="AK219" s="438">
        <f>'Feuil-saisie'!DB13/1000000</f>
        <v>0</v>
      </c>
      <c r="AL219" s="438">
        <f>'Feuil-saisie'!DL13/1000000</f>
        <v>0</v>
      </c>
      <c r="AM219" s="439">
        <f>'Feuil-saisie'!DM13/1000000</f>
        <v>0</v>
      </c>
      <c r="AN219" s="440">
        <f t="shared" si="381"/>
        <v>0</v>
      </c>
      <c r="AO219" s="441">
        <f>'Feuil-saisie'!DN13/1000000</f>
        <v>0</v>
      </c>
      <c r="AP219" s="438">
        <f>'Feuil-saisie'!DX13/1000000</f>
        <v>0</v>
      </c>
      <c r="AQ219" s="439">
        <f>'Feuil-saisie'!DY13/1000000</f>
        <v>0</v>
      </c>
      <c r="AR219" s="440">
        <f t="shared" si="382"/>
        <v>0</v>
      </c>
      <c r="AS219" s="441">
        <f>'Feuil-saisie'!DZ13/1000000</f>
        <v>0</v>
      </c>
      <c r="AT219" s="438">
        <f>'Feuil-saisie'!EJ13/1000000</f>
        <v>0</v>
      </c>
      <c r="AU219" s="439">
        <f>'Feuil-saisie'!EK13/1000000</f>
        <v>0</v>
      </c>
      <c r="AV219" s="440">
        <f t="shared" si="383"/>
        <v>0</v>
      </c>
      <c r="AW219" s="441">
        <f>'Feuil-saisie'!EL13/1000000</f>
        <v>0</v>
      </c>
      <c r="AX219" s="1061">
        <f>+B219+F219+J219+N219+R219+V219+Z219+AD219+AH219+AL219+AP219+AT219</f>
        <v>1545.3942724999999</v>
      </c>
      <c r="AY219" s="1047">
        <f t="shared" si="372"/>
        <v>74.421389099999999</v>
      </c>
      <c r="AZ219" s="1047">
        <f t="shared" si="372"/>
        <v>1619.8156616000001</v>
      </c>
      <c r="BA219" s="1089">
        <f t="shared" si="372"/>
        <v>110.21192136000001</v>
      </c>
      <c r="BB219" s="1103">
        <f t="shared" si="384"/>
        <v>1730.02758296</v>
      </c>
      <c r="BD219" s="445">
        <f t="shared" si="385"/>
        <v>69.36139</v>
      </c>
      <c r="BE219" s="445">
        <f t="shared" si="386"/>
        <v>12.63827478</v>
      </c>
      <c r="BF219" s="446">
        <f t="shared" si="387"/>
        <v>67.280575099999993</v>
      </c>
      <c r="BG219" s="446">
        <f t="shared" si="388"/>
        <v>2.0808149</v>
      </c>
    </row>
    <row r="220" spans="1:73" ht="14.4" thickBot="1">
      <c r="A220" s="397" t="s">
        <v>885</v>
      </c>
      <c r="B220" s="438">
        <f>'Feuil-saisie'!H14/1000000</f>
        <v>180.69031508399976</v>
      </c>
      <c r="C220" s="439">
        <f>'Feuil-saisie'!I14/1000000</f>
        <v>12.784857689999988</v>
      </c>
      <c r="D220" s="440">
        <f t="shared" si="373"/>
        <v>193.47517277399976</v>
      </c>
      <c r="E220" s="441">
        <f>'Feuil-saisie'!J14/1000000</f>
        <v>4.8023106899999997</v>
      </c>
      <c r="F220" s="438">
        <f>'Feuil-saisie'!T14/1000000</f>
        <v>204.60851389400011</v>
      </c>
      <c r="G220" s="439">
        <f>'Feuil-saisie'!U14/1000000</f>
        <v>19.4739331</v>
      </c>
      <c r="H220" s="440">
        <f t="shared" si="389"/>
        <v>224.08244699400012</v>
      </c>
      <c r="I220" s="441">
        <f>'Feuil-saisie'!V14/1000000</f>
        <v>4.3395510399999999</v>
      </c>
      <c r="J220" s="438">
        <f>'Feuil-saisie'!AF14/1000000</f>
        <v>161.39605473999995</v>
      </c>
      <c r="K220" s="439">
        <f>'Feuil-saisie'!AG14/1000000</f>
        <v>18.032530366</v>
      </c>
      <c r="L220" s="440">
        <f t="shared" si="374"/>
        <v>179.42858510599996</v>
      </c>
      <c r="M220" s="441">
        <f>'Feuil-saisie'!AH14/1000000</f>
        <v>4.6016512200000008</v>
      </c>
      <c r="N220" s="438">
        <f>'Feuil-saisie'!AR14/1000000</f>
        <v>197.17148531200019</v>
      </c>
      <c r="O220" s="439">
        <f>'Feuil-saisie'!AS14/1000000</f>
        <v>12.525246306000001</v>
      </c>
      <c r="P220" s="440">
        <f t="shared" si="375"/>
        <v>209.6967316180002</v>
      </c>
      <c r="Q220" s="441">
        <f>'Feuil-saisie'!AT14/1000000</f>
        <v>2.0046245800000002</v>
      </c>
      <c r="R220" s="438">
        <f>'Feuil-saisie'!BD14/1000000</f>
        <v>121.72751796599998</v>
      </c>
      <c r="S220" s="439">
        <f>'Feuil-saisie'!BE14/1000000</f>
        <v>12.261103951999999</v>
      </c>
      <c r="T220" s="440">
        <f t="shared" si="376"/>
        <v>133.98862191799998</v>
      </c>
      <c r="U220" s="441">
        <f>'Feuil-saisie'!BF14/1000000</f>
        <v>1.1612573599999998</v>
      </c>
      <c r="V220" s="438">
        <f>'Feuil-saisie'!BP14/1000000</f>
        <v>50.077811292000057</v>
      </c>
      <c r="W220" s="439">
        <f>'Feuil-saisie'!BQ14/1000000</f>
        <v>3.4700983619999999</v>
      </c>
      <c r="X220" s="440">
        <f t="shared" si="377"/>
        <v>53.547909654000058</v>
      </c>
      <c r="Y220" s="441">
        <f>'Feuil-saisie'!BR14/1000000</f>
        <v>0.57484573999999999</v>
      </c>
      <c r="Z220" s="450">
        <f>'Feuil-saisie'!CB14/1000000</f>
        <v>48.931581458000018</v>
      </c>
      <c r="AA220" s="451">
        <f>'Feuil-saisie'!CC14/1000000</f>
        <v>2.3175251699999988</v>
      </c>
      <c r="AB220" s="453">
        <f t="shared" si="378"/>
        <v>51.249106628000014</v>
      </c>
      <c r="AC220" s="452">
        <f>'Feuil-saisie'!CD14/1000000</f>
        <v>0.56208203999999995</v>
      </c>
      <c r="AD220" s="1236">
        <f>'Feuil-saisie'!CN14/1000000</f>
        <v>25.679285671999995</v>
      </c>
      <c r="AE220" s="1237">
        <f>'Feuil-saisie'!CO14/1000000</f>
        <v>0.91148159799999995</v>
      </c>
      <c r="AF220" s="1238">
        <f t="shared" si="379"/>
        <v>26.590767269999994</v>
      </c>
      <c r="AG220" s="1239">
        <f>'Feuil-saisie'!CP14/1000000</f>
        <v>0.27369351000000003</v>
      </c>
      <c r="AH220" s="438">
        <f>'Feuil-saisie'!CZ14/1000000</f>
        <v>0</v>
      </c>
      <c r="AI220" s="438">
        <f>'Feuil-saisie'!DA14/1000000</f>
        <v>0</v>
      </c>
      <c r="AJ220" s="440">
        <f t="shared" si="380"/>
        <v>0</v>
      </c>
      <c r="AK220" s="438">
        <f>'Feuil-saisie'!DB14/1000000</f>
        <v>0</v>
      </c>
      <c r="AL220" s="438">
        <f>'Feuil-saisie'!DL14/1000000</f>
        <v>0</v>
      </c>
      <c r="AM220" s="439">
        <f>'Feuil-saisie'!DM14/1000000</f>
        <v>0</v>
      </c>
      <c r="AN220" s="440">
        <f t="shared" si="381"/>
        <v>0</v>
      </c>
      <c r="AO220" s="441">
        <f>'Feuil-saisie'!DN14/1000000</f>
        <v>0</v>
      </c>
      <c r="AP220" s="438">
        <f>'Feuil-saisie'!DX14/1000000</f>
        <v>0</v>
      </c>
      <c r="AQ220" s="439">
        <f>'Feuil-saisie'!DY14/1000000</f>
        <v>0</v>
      </c>
      <c r="AR220" s="440">
        <f t="shared" si="382"/>
        <v>0</v>
      </c>
      <c r="AS220" s="441">
        <f>'Feuil-saisie'!DZ14/1000000</f>
        <v>0</v>
      </c>
      <c r="AT220" s="438">
        <f>'Feuil-saisie'!EJ14/1000000</f>
        <v>0</v>
      </c>
      <c r="AU220" s="439">
        <f>'Feuil-saisie'!EK14/1000000</f>
        <v>0</v>
      </c>
      <c r="AV220" s="440">
        <f t="shared" si="383"/>
        <v>0</v>
      </c>
      <c r="AW220" s="441">
        <f>'Feuil-saisie'!EL14/1000000</f>
        <v>0</v>
      </c>
      <c r="AX220" s="1061">
        <f>+B220+F220+J220+N220+R220+V220+Z220+AD220+AH220+AL220+AP220+AT220</f>
        <v>990.28256541799999</v>
      </c>
      <c r="AY220" s="1047">
        <f t="shared" si="372"/>
        <v>81.776776543999986</v>
      </c>
      <c r="AZ220" s="1047">
        <f>+D220+H220+L220+P220+T220+X220+AB220+AF220+AJ220+AN220+AR220+AV220</f>
        <v>1072.059341962</v>
      </c>
      <c r="BA220" s="1089">
        <f t="shared" si="372"/>
        <v>18.32001618</v>
      </c>
      <c r="BB220" s="1103">
        <f t="shared" si="384"/>
        <v>1090.379358142</v>
      </c>
      <c r="BD220" s="445">
        <f t="shared" si="385"/>
        <v>26.590767269999994</v>
      </c>
      <c r="BE220" s="445">
        <f t="shared" si="386"/>
        <v>0.27369351000000003</v>
      </c>
      <c r="BF220" s="446">
        <f t="shared" si="387"/>
        <v>25.679285671999995</v>
      </c>
      <c r="BG220" s="446">
        <f t="shared" si="388"/>
        <v>0.91148159799999995</v>
      </c>
    </row>
    <row r="221" spans="1:73" ht="14.4" thickBot="1">
      <c r="A221" s="433" t="s">
        <v>16</v>
      </c>
      <c r="B221" s="455">
        <f t="shared" ref="B221:AG221" si="391">SUM(B211:B220)</f>
        <v>4169.5969197540007</v>
      </c>
      <c r="C221" s="456">
        <f t="shared" si="391"/>
        <v>137.22278035999997</v>
      </c>
      <c r="D221" s="465">
        <f t="shared" si="391"/>
        <v>4306.8197001140006</v>
      </c>
      <c r="E221" s="466">
        <f t="shared" si="391"/>
        <v>336.66029196999995</v>
      </c>
      <c r="F221" s="455">
        <f t="shared" si="391"/>
        <v>4592.6891113839984</v>
      </c>
      <c r="G221" s="456">
        <f t="shared" si="391"/>
        <v>165.12853914999999</v>
      </c>
      <c r="H221" s="465">
        <f t="shared" si="391"/>
        <v>4757.8176505339989</v>
      </c>
      <c r="I221" s="466">
        <f t="shared" si="391"/>
        <v>328.61724747</v>
      </c>
      <c r="J221" s="455">
        <f t="shared" si="391"/>
        <v>3430.7208942000007</v>
      </c>
      <c r="K221" s="456">
        <f t="shared" si="391"/>
        <v>316.51924274600003</v>
      </c>
      <c r="L221" s="465">
        <f t="shared" si="391"/>
        <v>3747.2401369460008</v>
      </c>
      <c r="M221" s="466">
        <f t="shared" si="391"/>
        <v>251.09894903</v>
      </c>
      <c r="N221" s="467">
        <f t="shared" si="391"/>
        <v>3864.5234415319992</v>
      </c>
      <c r="O221" s="465">
        <f t="shared" si="391"/>
        <v>121.991319656</v>
      </c>
      <c r="P221" s="465">
        <f t="shared" si="391"/>
        <v>3986.5147611879997</v>
      </c>
      <c r="Q221" s="466">
        <f t="shared" si="391"/>
        <v>223.05710522999999</v>
      </c>
      <c r="R221" s="455">
        <f t="shared" si="391"/>
        <v>2316.1205029060029</v>
      </c>
      <c r="S221" s="456">
        <f t="shared" si="391"/>
        <v>82.423246731999996</v>
      </c>
      <c r="T221" s="465">
        <f t="shared" si="391"/>
        <v>2398.5437496380027</v>
      </c>
      <c r="U221" s="466">
        <f t="shared" si="391"/>
        <v>213.00265619000001</v>
      </c>
      <c r="V221" s="455">
        <f t="shared" si="391"/>
        <v>1144.6806507420001</v>
      </c>
      <c r="W221" s="456">
        <f t="shared" si="391"/>
        <v>98.600629812000008</v>
      </c>
      <c r="X221" s="465">
        <f t="shared" si="391"/>
        <v>1243.2812805540004</v>
      </c>
      <c r="Y221" s="466">
        <f t="shared" si="391"/>
        <v>172.75319012</v>
      </c>
      <c r="Z221" s="458">
        <f t="shared" si="391"/>
        <v>1034.4180891179997</v>
      </c>
      <c r="AA221" s="477">
        <f t="shared" si="391"/>
        <v>27.66906161</v>
      </c>
      <c r="AB221" s="1096">
        <f t="shared" si="391"/>
        <v>1062.0871507279999</v>
      </c>
      <c r="AC221" s="1097">
        <f t="shared" si="391"/>
        <v>228.32590978999997</v>
      </c>
      <c r="AD221" s="458">
        <f t="shared" si="391"/>
        <v>681.71980205499938</v>
      </c>
      <c r="AE221" s="465">
        <f t="shared" si="391"/>
        <v>11.422955766999999</v>
      </c>
      <c r="AF221" s="465">
        <f t="shared" si="391"/>
        <v>693.14275782199957</v>
      </c>
      <c r="AG221" s="466">
        <f t="shared" si="391"/>
        <v>209.76431237</v>
      </c>
      <c r="AH221" s="467">
        <f t="shared" ref="AH221:BB221" si="392">SUM(AH211:AH220)</f>
        <v>0</v>
      </c>
      <c r="AI221" s="465">
        <f t="shared" si="392"/>
        <v>0</v>
      </c>
      <c r="AJ221" s="465">
        <f t="shared" si="392"/>
        <v>0</v>
      </c>
      <c r="AK221" s="466">
        <f t="shared" si="392"/>
        <v>0</v>
      </c>
      <c r="AL221" s="467">
        <f t="shared" si="392"/>
        <v>0</v>
      </c>
      <c r="AM221" s="465">
        <f t="shared" si="392"/>
        <v>0</v>
      </c>
      <c r="AN221" s="465">
        <f t="shared" si="392"/>
        <v>0</v>
      </c>
      <c r="AO221" s="466">
        <f t="shared" si="392"/>
        <v>0</v>
      </c>
      <c r="AP221" s="467">
        <f t="shared" si="392"/>
        <v>0</v>
      </c>
      <c r="AQ221" s="465">
        <f t="shared" si="392"/>
        <v>0</v>
      </c>
      <c r="AR221" s="465">
        <f t="shared" si="392"/>
        <v>0</v>
      </c>
      <c r="AS221" s="466">
        <f t="shared" si="392"/>
        <v>0</v>
      </c>
      <c r="AT221" s="467">
        <f t="shared" si="392"/>
        <v>0</v>
      </c>
      <c r="AU221" s="465">
        <f t="shared" si="392"/>
        <v>0</v>
      </c>
      <c r="AV221" s="465">
        <f t="shared" si="392"/>
        <v>0</v>
      </c>
      <c r="AW221" s="466">
        <f t="shared" si="392"/>
        <v>0</v>
      </c>
      <c r="AX221" s="468">
        <f t="shared" si="392"/>
        <v>21234.469411691007</v>
      </c>
      <c r="AY221" s="468">
        <f t="shared" si="392"/>
        <v>960.97777583299978</v>
      </c>
      <c r="AZ221" s="468">
        <f t="shared" si="392"/>
        <v>22195.447187523998</v>
      </c>
      <c r="BA221" s="468">
        <f t="shared" si="392"/>
        <v>1963.2796621699997</v>
      </c>
      <c r="BB221" s="468">
        <f t="shared" si="392"/>
        <v>24158.726849693994</v>
      </c>
      <c r="BD221" s="445">
        <f t="shared" si="385"/>
        <v>693.14275782199957</v>
      </c>
      <c r="BE221" s="445">
        <f>AG221</f>
        <v>209.76431237</v>
      </c>
      <c r="BF221" s="446">
        <f>AD221</f>
        <v>681.71980205499938</v>
      </c>
      <c r="BG221" s="446">
        <f>AE221</f>
        <v>11.422955766999999</v>
      </c>
    </row>
    <row r="222" spans="1:73" ht="14.4">
      <c r="D222" s="395"/>
      <c r="H222" s="469"/>
      <c r="I222" s="469"/>
      <c r="K222" s="446"/>
      <c r="L222" s="395"/>
      <c r="M222" s="395"/>
      <c r="P222" s="395"/>
      <c r="Q222" s="395"/>
      <c r="S222" s="445"/>
      <c r="V222" s="469"/>
      <c r="W222" s="446"/>
      <c r="X222" s="395">
        <f>X221+T221+P221</f>
        <v>7628.3397913800036</v>
      </c>
      <c r="Y222" s="395">
        <f>Y221+U221+Q221</f>
        <v>608.81295154000009</v>
      </c>
      <c r="Z222" s="459"/>
      <c r="AB222" s="446"/>
      <c r="AC222" s="446"/>
      <c r="AJ222" s="1243">
        <f>AJ221+AF221+AB221</f>
        <v>1755.2299085499994</v>
      </c>
      <c r="AK222" s="1243">
        <f>AK221+AG221+AC221</f>
        <v>438.09022215999994</v>
      </c>
      <c r="AN222" s="445"/>
      <c r="AO222" s="445"/>
      <c r="AQ222" s="459"/>
      <c r="AV222" s="446"/>
      <c r="AW222" s="446"/>
      <c r="AY222" s="445"/>
      <c r="AZ222" s="470"/>
      <c r="BA222" s="470"/>
      <c r="BB222" s="117">
        <f>AZ221/BB221</f>
        <v>0.91873414214313764</v>
      </c>
      <c r="BD222" s="395"/>
      <c r="BF222" s="446"/>
      <c r="BG222" s="446"/>
    </row>
    <row r="223" spans="1:73" ht="14.4">
      <c r="B223" s="459"/>
      <c r="C223" s="459"/>
      <c r="E223" s="446"/>
      <c r="F223" s="459"/>
      <c r="G223" s="459"/>
      <c r="I223" s="77"/>
      <c r="J223" s="459"/>
      <c r="K223" s="459"/>
      <c r="M223" s="395"/>
      <c r="N223" s="459"/>
      <c r="Q223" s="395"/>
      <c r="R223" s="471"/>
      <c r="V223" s="459"/>
      <c r="W223" s="459"/>
      <c r="Z223" s="459"/>
      <c r="AA223" s="459"/>
      <c r="AH223" s="459"/>
      <c r="AI223" s="459"/>
      <c r="AL223" s="459"/>
      <c r="AM223" s="472"/>
      <c r="AP223" s="459"/>
      <c r="AZ223" s="469"/>
      <c r="BA223" s="469"/>
    </row>
    <row r="224" spans="1:73" ht="18">
      <c r="A224" s="393" t="s">
        <v>95</v>
      </c>
      <c r="H224" s="1091" t="e">
        <f>#REF!+#REF!</f>
        <v>#REF!</v>
      </c>
      <c r="I224" s="469" t="e">
        <f>2.88681-#REF!</f>
        <v>#REF!</v>
      </c>
      <c r="W224" s="649"/>
    </row>
    <row r="225" spans="1:73" ht="18.600000000000001" thickBot="1">
      <c r="A225" s="394">
        <f>A193</f>
        <v>2023</v>
      </c>
      <c r="AT225" s="117">
        <v>74.061263999999994</v>
      </c>
    </row>
    <row r="226" spans="1:73">
      <c r="A226" s="2815" t="str">
        <f>A194</f>
        <v>DD</v>
      </c>
      <c r="B226" s="2827" t="s">
        <v>71</v>
      </c>
      <c r="C226" s="2828"/>
      <c r="D226" s="2828"/>
      <c r="E226" s="3091"/>
      <c r="F226" s="2829" t="s">
        <v>72</v>
      </c>
      <c r="G226" s="2830"/>
      <c r="H226" s="2830"/>
      <c r="I226" s="3095"/>
      <c r="J226" s="2817" t="s">
        <v>73</v>
      </c>
      <c r="K226" s="2818"/>
      <c r="L226" s="2818"/>
      <c r="M226" s="3094"/>
      <c r="N226" s="2819" t="s">
        <v>74</v>
      </c>
      <c r="O226" s="2820"/>
      <c r="P226" s="2820"/>
      <c r="Q226" s="3090"/>
      <c r="R226" s="2821" t="s">
        <v>75</v>
      </c>
      <c r="S226" s="2822"/>
      <c r="T226" s="2822"/>
      <c r="U226" s="3093"/>
      <c r="V226" s="2823" t="s">
        <v>76</v>
      </c>
      <c r="W226" s="2824"/>
      <c r="X226" s="2824"/>
      <c r="Y226" s="3089"/>
      <c r="Z226" s="2827" t="s">
        <v>77</v>
      </c>
      <c r="AA226" s="2828"/>
      <c r="AB226" s="2828"/>
      <c r="AC226" s="3091"/>
      <c r="AD226" s="2829" t="s">
        <v>78</v>
      </c>
      <c r="AE226" s="2830"/>
      <c r="AF226" s="2830"/>
      <c r="AG226" s="3095"/>
      <c r="AH226" s="2817" t="s">
        <v>79</v>
      </c>
      <c r="AI226" s="2818"/>
      <c r="AJ226" s="2818"/>
      <c r="AK226" s="3094"/>
      <c r="AL226" s="2819" t="s">
        <v>80</v>
      </c>
      <c r="AM226" s="2820"/>
      <c r="AN226" s="2820"/>
      <c r="AO226" s="3090"/>
      <c r="AP226" s="2821" t="s">
        <v>81</v>
      </c>
      <c r="AQ226" s="2822"/>
      <c r="AR226" s="2822"/>
      <c r="AS226" s="3093"/>
      <c r="AT226" s="2823" t="s">
        <v>82</v>
      </c>
      <c r="AU226" s="2824"/>
      <c r="AV226" s="2824"/>
      <c r="AW226" s="3089"/>
      <c r="AX226" s="2825" t="s">
        <v>83</v>
      </c>
      <c r="AY226" s="2826"/>
      <c r="AZ226" s="2826"/>
      <c r="BA226" s="3088"/>
      <c r="BB226" s="473"/>
      <c r="BC226" s="430"/>
      <c r="BD226" s="430"/>
      <c r="BE226" s="430"/>
      <c r="BF226" s="430"/>
      <c r="BG226" s="430"/>
      <c r="BH226" s="430"/>
      <c r="BI226" s="430"/>
      <c r="BJ226" s="430"/>
      <c r="BK226" s="430"/>
      <c r="BL226" s="430"/>
      <c r="BM226" s="430"/>
      <c r="BR226" s="3112"/>
      <c r="BS226" s="3112"/>
      <c r="BT226" s="3112"/>
      <c r="BU226" s="3112"/>
    </row>
    <row r="227" spans="1:73" ht="14.4" thickBot="1">
      <c r="A227" s="2816"/>
      <c r="B227" s="402" t="s">
        <v>24</v>
      </c>
      <c r="C227" s="403" t="s">
        <v>96</v>
      </c>
      <c r="D227" s="403" t="s">
        <v>97</v>
      </c>
      <c r="E227" s="404" t="s">
        <v>91</v>
      </c>
      <c r="F227" s="402" t="s">
        <v>24</v>
      </c>
      <c r="G227" s="403" t="s">
        <v>96</v>
      </c>
      <c r="H227" s="403" t="s">
        <v>97</v>
      </c>
      <c r="I227" s="404" t="s">
        <v>91</v>
      </c>
      <c r="J227" s="402" t="s">
        <v>24</v>
      </c>
      <c r="K227" s="403" t="s">
        <v>96</v>
      </c>
      <c r="L227" s="403" t="s">
        <v>97</v>
      </c>
      <c r="M227" s="404" t="s">
        <v>91</v>
      </c>
      <c r="N227" s="402" t="s">
        <v>24</v>
      </c>
      <c r="O227" s="403" t="s">
        <v>96</v>
      </c>
      <c r="P227" s="403" t="s">
        <v>97</v>
      </c>
      <c r="Q227" s="404" t="s">
        <v>91</v>
      </c>
      <c r="R227" s="402" t="s">
        <v>24</v>
      </c>
      <c r="S227" s="403" t="s">
        <v>96</v>
      </c>
      <c r="T227" s="403" t="s">
        <v>97</v>
      </c>
      <c r="U227" s="404" t="s">
        <v>91</v>
      </c>
      <c r="V227" s="402" t="s">
        <v>24</v>
      </c>
      <c r="W227" s="403" t="s">
        <v>96</v>
      </c>
      <c r="X227" s="403" t="s">
        <v>97</v>
      </c>
      <c r="Y227" s="404" t="s">
        <v>91</v>
      </c>
      <c r="Z227" s="402" t="s">
        <v>24</v>
      </c>
      <c r="AA227" s="403" t="s">
        <v>96</v>
      </c>
      <c r="AB227" s="403" t="s">
        <v>97</v>
      </c>
      <c r="AC227" s="404" t="s">
        <v>91</v>
      </c>
      <c r="AD227" s="1062" t="s">
        <v>24</v>
      </c>
      <c r="AE227" s="403" t="s">
        <v>96</v>
      </c>
      <c r="AF227" s="403" t="s">
        <v>97</v>
      </c>
      <c r="AG227" s="404" t="s">
        <v>91</v>
      </c>
      <c r="AH227" s="402" t="s">
        <v>24</v>
      </c>
      <c r="AI227" s="403" t="s">
        <v>96</v>
      </c>
      <c r="AJ227" s="403" t="s">
        <v>97</v>
      </c>
      <c r="AK227" s="404" t="s">
        <v>91</v>
      </c>
      <c r="AL227" s="402" t="s">
        <v>24</v>
      </c>
      <c r="AM227" s="403" t="s">
        <v>96</v>
      </c>
      <c r="AN227" s="403" t="s">
        <v>97</v>
      </c>
      <c r="AO227" s="404" t="s">
        <v>91</v>
      </c>
      <c r="AP227" s="402" t="s">
        <v>24</v>
      </c>
      <c r="AQ227" s="403" t="s">
        <v>96</v>
      </c>
      <c r="AR227" s="403" t="s">
        <v>97</v>
      </c>
      <c r="AS227" s="404" t="s">
        <v>91</v>
      </c>
      <c r="AT227" s="402" t="s">
        <v>24</v>
      </c>
      <c r="AU227" s="403" t="s">
        <v>96</v>
      </c>
      <c r="AV227" s="403" t="s">
        <v>97</v>
      </c>
      <c r="AW227" s="404" t="s">
        <v>91</v>
      </c>
      <c r="AX227" s="1057" t="s">
        <v>24</v>
      </c>
      <c r="AY227" s="403" t="s">
        <v>96</v>
      </c>
      <c r="AZ227" s="403" t="s">
        <v>97</v>
      </c>
      <c r="BA227" s="431" t="s">
        <v>91</v>
      </c>
      <c r="BD227" s="117" t="s">
        <v>178</v>
      </c>
      <c r="BE227" s="117" t="s">
        <v>180</v>
      </c>
    </row>
    <row r="228" spans="1:73">
      <c r="A228" s="397" t="s">
        <v>6</v>
      </c>
      <c r="B228" s="450">
        <v>758.10320276999994</v>
      </c>
      <c r="C228" s="451">
        <f t="shared" ref="C228:C237" si="393">+D196+E196</f>
        <v>447.69658499000013</v>
      </c>
      <c r="D228" s="451">
        <f>+B228-C228</f>
        <v>310.40661777999981</v>
      </c>
      <c r="E228" s="474">
        <f>+D228/B228*100</f>
        <v>40.945166389723553</v>
      </c>
      <c r="F228" s="450">
        <v>679.35569723000003</v>
      </c>
      <c r="G228" s="451">
        <f t="shared" ref="G228:G237" si="394">+H196+I196</f>
        <v>580.3033289199999</v>
      </c>
      <c r="H228" s="451">
        <f t="shared" ref="H228:H238" si="395">+F228-G228</f>
        <v>99.052368310000134</v>
      </c>
      <c r="I228" s="474">
        <f t="shared" ref="I228:I238" si="396">+H228/F228*100</f>
        <v>14.58033968271342</v>
      </c>
      <c r="J228" s="450">
        <v>451.76552299999997</v>
      </c>
      <c r="K228" s="451">
        <f t="shared" ref="K228:K237" si="397">+L196+M196</f>
        <v>535.36607661000028</v>
      </c>
      <c r="L228" s="451">
        <f t="shared" ref="L228:L237" si="398">+J228-K228</f>
        <v>-83.600553610000304</v>
      </c>
      <c r="M228" s="474">
        <f t="shared" ref="M228:M237" si="399">+L228/J228*100</f>
        <v>-18.505297406238835</v>
      </c>
      <c r="N228" s="450">
        <v>267.41178200000002</v>
      </c>
      <c r="O228" s="451">
        <f>+P196+Q196</f>
        <v>472.04496903999996</v>
      </c>
      <c r="P228" s="451">
        <f t="shared" ref="P228:P237" si="400">+N228-O228</f>
        <v>-204.63318703999994</v>
      </c>
      <c r="Q228" s="474">
        <f t="shared" ref="Q228:Q237" si="401">+P228/N228*100</f>
        <v>-76.523624168511745</v>
      </c>
      <c r="R228" s="450">
        <v>211.19065160999997</v>
      </c>
      <c r="S228" s="451">
        <f t="shared" ref="S228:S237" si="402">+T196+U196</f>
        <v>317.50277701000005</v>
      </c>
      <c r="T228" s="451">
        <f t="shared" ref="T228:T237" si="403">+R228-S228</f>
        <v>-106.31212540000007</v>
      </c>
      <c r="U228" s="474">
        <f t="shared" ref="U228:U237" si="404">+T228/R228*100</f>
        <v>-50.3394087709544</v>
      </c>
      <c r="V228" s="450">
        <v>170.97235536000002</v>
      </c>
      <c r="W228" s="451">
        <f t="shared" ref="W228:W237" si="405">+X196+Y196</f>
        <v>216.17753328000001</v>
      </c>
      <c r="X228" s="451">
        <f t="shared" ref="X228:X237" si="406">+V228-W228</f>
        <v>-45.205177919999983</v>
      </c>
      <c r="Y228" s="474">
        <f t="shared" ref="Y228:Y237" si="407">+X228/V228*100</f>
        <v>-26.440050980648767</v>
      </c>
      <c r="Z228" s="450">
        <v>149.14897300000001</v>
      </c>
      <c r="AA228" s="451">
        <f t="shared" ref="AA228:AA237" si="408">+AB196+AC196</f>
        <v>215.09494829000005</v>
      </c>
      <c r="AB228" s="451">
        <f t="shared" ref="AB228:AB237" si="409">+Z228-AA228</f>
        <v>-65.945975290000035</v>
      </c>
      <c r="AC228" s="474">
        <f t="shared" ref="AC228:AC237" si="410">+AB228/Z228*100</f>
        <v>-44.214836993882642</v>
      </c>
      <c r="AD228" s="450">
        <v>150.14617427000002</v>
      </c>
      <c r="AE228" s="451">
        <f t="shared" ref="AE228:AE237" si="411">+AF196+AG196</f>
        <v>269.33279592000002</v>
      </c>
      <c r="AF228" s="451">
        <f t="shared" ref="AF228:AF237" si="412">+AD228-AE228</f>
        <v>-119.18662165000001</v>
      </c>
      <c r="AG228" s="474">
        <f t="shared" ref="AG228:AG237" si="413">+AF228/AD228*100</f>
        <v>-79.38039196101856</v>
      </c>
      <c r="AH228" s="450"/>
      <c r="AI228" s="451">
        <f t="shared" ref="AI228:AI237" si="414">+AJ196+AK196</f>
        <v>0</v>
      </c>
      <c r="AJ228" s="451">
        <f t="shared" ref="AJ228:AJ237" si="415">+AH228-AI228</f>
        <v>0</v>
      </c>
      <c r="AK228" s="474" t="e">
        <f t="shared" ref="AK228:AK237" si="416">+AJ228/AH228*100</f>
        <v>#DIV/0!</v>
      </c>
      <c r="AL228" s="450"/>
      <c r="AM228" s="451">
        <f t="shared" ref="AM228:AM237" si="417">+AN196+AO196</f>
        <v>0</v>
      </c>
      <c r="AN228" s="451">
        <f t="shared" ref="AN228:AN237" si="418">+AL228-AM228</f>
        <v>0</v>
      </c>
      <c r="AO228" s="474" t="e">
        <f t="shared" ref="AO228:AO237" si="419">+AN228/AL228*100</f>
        <v>#DIV/0!</v>
      </c>
      <c r="AP228" s="450"/>
      <c r="AQ228" s="451">
        <f t="shared" ref="AQ228:AQ237" si="420">+AR196+AS196</f>
        <v>0</v>
      </c>
      <c r="AR228" s="451">
        <f t="shared" ref="AR228:AR237" si="421">+AP228-AQ228</f>
        <v>0</v>
      </c>
      <c r="AS228" s="474" t="e">
        <f t="shared" ref="AS228:AS237" si="422">+AR228/AP228*100</f>
        <v>#DIV/0!</v>
      </c>
      <c r="AT228" s="450"/>
      <c r="AU228" s="451">
        <f t="shared" ref="AU228:AU237" si="423">+AV196+AW196</f>
        <v>0</v>
      </c>
      <c r="AV228" s="451">
        <f t="shared" ref="AV228:AV237" si="424">+AT228-AU228</f>
        <v>0</v>
      </c>
      <c r="AW228" s="474" t="e">
        <f t="shared" ref="AW228:AW237" si="425">+AV228/AT228*100</f>
        <v>#DIV/0!</v>
      </c>
      <c r="AX228" s="1058">
        <f>+B228+F228+J228+N228+R228+V228+Z228+AD228+AH228+AL228+AP228+AT228</f>
        <v>2838.0943592399999</v>
      </c>
      <c r="AY228" s="442">
        <f>+AZ196+BA196</f>
        <v>3053.5190140600002</v>
      </c>
      <c r="AZ228" s="442">
        <f>+AX228-AY228</f>
        <v>-215.42465482000034</v>
      </c>
      <c r="BA228" s="475">
        <f>+AZ228/AX228*100</f>
        <v>-7.5904683760298912</v>
      </c>
      <c r="BC228" s="446"/>
      <c r="BD228" s="445">
        <f>AD228</f>
        <v>150.14617427000002</v>
      </c>
      <c r="BE228" s="446">
        <f>AG228</f>
        <v>-79.38039196101856</v>
      </c>
    </row>
    <row r="229" spans="1:73">
      <c r="A229" s="397" t="s">
        <v>7</v>
      </c>
      <c r="B229" s="450">
        <v>678.90971999999999</v>
      </c>
      <c r="C229" s="451">
        <f t="shared" si="393"/>
        <v>490.60624980999984</v>
      </c>
      <c r="D229" s="451">
        <f t="shared" ref="D229:D238" si="426">+B229-C229</f>
        <v>188.30347019000016</v>
      </c>
      <c r="E229" s="474">
        <f t="shared" ref="E229:E238" si="427">+D229/B229*100</f>
        <v>27.736157642580245</v>
      </c>
      <c r="F229" s="450">
        <v>605.95256300000005</v>
      </c>
      <c r="G229" s="451">
        <f t="shared" si="394"/>
        <v>548.87754552000001</v>
      </c>
      <c r="H229" s="451">
        <f t="shared" si="395"/>
        <v>57.075017480000042</v>
      </c>
      <c r="I229" s="474">
        <f t="shared" si="396"/>
        <v>9.4190570293866447</v>
      </c>
      <c r="J229" s="450">
        <v>423.97954199999998</v>
      </c>
      <c r="K229" s="451">
        <f t="shared" si="397"/>
        <v>432.24077213999993</v>
      </c>
      <c r="L229" s="451">
        <f t="shared" si="398"/>
        <v>-8.2612301399999524</v>
      </c>
      <c r="M229" s="474">
        <f t="shared" si="399"/>
        <v>-1.9484973499027822</v>
      </c>
      <c r="N229" s="450">
        <v>203.47585100000001</v>
      </c>
      <c r="O229" s="451">
        <f t="shared" ref="O229:O237" si="428">+P197+Q197</f>
        <v>495.65235121000001</v>
      </c>
      <c r="P229" s="451">
        <f t="shared" si="400"/>
        <v>-292.17650020999997</v>
      </c>
      <c r="Q229" s="474">
        <f t="shared" si="401"/>
        <v>-143.59271568300258</v>
      </c>
      <c r="R229" s="450">
        <v>138.45370199999999</v>
      </c>
      <c r="S229" s="451">
        <f t="shared" si="402"/>
        <v>278.09221827999988</v>
      </c>
      <c r="T229" s="451">
        <f t="shared" si="403"/>
        <v>-139.63851627999989</v>
      </c>
      <c r="U229" s="474">
        <f t="shared" si="404"/>
        <v>-100.85574763468578</v>
      </c>
      <c r="V229" s="450">
        <v>96.376923000000005</v>
      </c>
      <c r="W229" s="451">
        <f t="shared" si="405"/>
        <v>125.21779160999999</v>
      </c>
      <c r="X229" s="451">
        <f t="shared" si="406"/>
        <v>-28.840868609999987</v>
      </c>
      <c r="Y229" s="474">
        <f t="shared" si="407"/>
        <v>-29.925077199237816</v>
      </c>
      <c r="Z229" s="450">
        <v>48.913266</v>
      </c>
      <c r="AA229" s="451">
        <f t="shared" si="408"/>
        <v>124.33884383</v>
      </c>
      <c r="AB229" s="451">
        <f t="shared" si="409"/>
        <v>-75.425577830000009</v>
      </c>
      <c r="AC229" s="474">
        <f t="shared" si="410"/>
        <v>-154.20270204406307</v>
      </c>
      <c r="AD229" s="450">
        <v>58.993186000000001</v>
      </c>
      <c r="AE229" s="451">
        <f t="shared" si="411"/>
        <v>89.300075890000102</v>
      </c>
      <c r="AF229" s="451">
        <f t="shared" si="412"/>
        <v>-30.3068898900001</v>
      </c>
      <c r="AG229" s="474">
        <f t="shared" si="413"/>
        <v>-51.373543191920668</v>
      </c>
      <c r="AH229" s="450"/>
      <c r="AI229" s="451">
        <f t="shared" si="414"/>
        <v>0</v>
      </c>
      <c r="AJ229" s="451">
        <f t="shared" si="415"/>
        <v>0</v>
      </c>
      <c r="AK229" s="474" t="e">
        <f t="shared" si="416"/>
        <v>#DIV/0!</v>
      </c>
      <c r="AL229" s="450"/>
      <c r="AM229" s="451">
        <f t="shared" si="417"/>
        <v>0</v>
      </c>
      <c r="AN229" s="451">
        <f t="shared" si="418"/>
        <v>0</v>
      </c>
      <c r="AO229" s="474" t="e">
        <f t="shared" si="419"/>
        <v>#DIV/0!</v>
      </c>
      <c r="AP229" s="450"/>
      <c r="AQ229" s="451">
        <f t="shared" si="420"/>
        <v>0</v>
      </c>
      <c r="AR229" s="451">
        <f t="shared" si="421"/>
        <v>0</v>
      </c>
      <c r="AS229" s="474" t="e">
        <f t="shared" si="422"/>
        <v>#DIV/0!</v>
      </c>
      <c r="AT229" s="450"/>
      <c r="AU229" s="451">
        <f t="shared" si="423"/>
        <v>0</v>
      </c>
      <c r="AV229" s="451">
        <f t="shared" si="424"/>
        <v>0</v>
      </c>
      <c r="AW229" s="474" t="e">
        <f t="shared" si="425"/>
        <v>#DIV/0!</v>
      </c>
      <c r="AX229" s="1063">
        <f t="shared" ref="AX229:AX237" si="429">+B229+F229+J229+N229+R229+V229+Z229+AD229+AH229+AL229+AP229+AT229</f>
        <v>2255.0547529999999</v>
      </c>
      <c r="AY229" s="447">
        <f t="shared" ref="AY229:AY237" si="430">+AZ197+BA197</f>
        <v>2584.3258482899996</v>
      </c>
      <c r="AZ229" s="447">
        <f t="shared" ref="AZ229:AZ237" si="431">+AX229-AY229</f>
        <v>-329.27109528999972</v>
      </c>
      <c r="BA229" s="476">
        <f t="shared" ref="BA229:BA237" si="432">+AZ229/AX229*100</f>
        <v>-14.60146787353858</v>
      </c>
      <c r="BC229" s="446"/>
      <c r="BD229" s="445">
        <f t="shared" ref="BD229:BD238" si="433">AD229</f>
        <v>58.993186000000001</v>
      </c>
      <c r="BE229" s="446">
        <f t="shared" ref="BE229:BE237" si="434">AG229</f>
        <v>-51.373543191920668</v>
      </c>
    </row>
    <row r="230" spans="1:73">
      <c r="A230" s="397" t="s">
        <v>8</v>
      </c>
      <c r="B230" s="450">
        <v>612.06260399999996</v>
      </c>
      <c r="C230" s="451">
        <f t="shared" si="393"/>
        <v>506.02405352999983</v>
      </c>
      <c r="D230" s="451">
        <f t="shared" si="426"/>
        <v>106.03855047000013</v>
      </c>
      <c r="E230" s="474">
        <f t="shared" si="427"/>
        <v>17.324788310380114</v>
      </c>
      <c r="F230" s="450">
        <v>524.37458300000003</v>
      </c>
      <c r="G230" s="451">
        <f t="shared" si="394"/>
        <v>485.41536307999991</v>
      </c>
      <c r="H230" s="451">
        <f t="shared" si="395"/>
        <v>38.959219920000123</v>
      </c>
      <c r="I230" s="474">
        <f t="shared" si="396"/>
        <v>7.4296545223665271</v>
      </c>
      <c r="J230" s="450">
        <v>398.83000700000002</v>
      </c>
      <c r="K230" s="451">
        <f t="shared" si="397"/>
        <v>404.66933405999998</v>
      </c>
      <c r="L230" s="451">
        <f t="shared" si="398"/>
        <v>-5.8393270599999596</v>
      </c>
      <c r="M230" s="474">
        <f t="shared" si="399"/>
        <v>-1.464114273628353</v>
      </c>
      <c r="N230" s="450">
        <v>203.732304</v>
      </c>
      <c r="O230" s="451">
        <f t="shared" si="428"/>
        <v>449.87629043999999</v>
      </c>
      <c r="P230" s="451">
        <f t="shared" si="400"/>
        <v>-246.14398643999999</v>
      </c>
      <c r="Q230" s="474">
        <f t="shared" si="401"/>
        <v>-120.81735768324693</v>
      </c>
      <c r="R230" s="450">
        <v>167.82778999999999</v>
      </c>
      <c r="S230" s="451">
        <f t="shared" si="402"/>
        <v>238.14</v>
      </c>
      <c r="T230" s="451">
        <f t="shared" si="403"/>
        <v>-70.312209999999993</v>
      </c>
      <c r="U230" s="474">
        <f t="shared" si="404"/>
        <v>-41.895451283723631</v>
      </c>
      <c r="V230" s="450">
        <v>83.283490999999998</v>
      </c>
      <c r="W230" s="451">
        <f t="shared" si="405"/>
        <v>133.20886905</v>
      </c>
      <c r="X230" s="451">
        <f t="shared" si="406"/>
        <v>-49.925378050000006</v>
      </c>
      <c r="Y230" s="474">
        <f t="shared" si="407"/>
        <v>-59.946308026401063</v>
      </c>
      <c r="Z230" s="450">
        <v>45.237369999999999</v>
      </c>
      <c r="AA230" s="451">
        <f t="shared" si="408"/>
        <v>125.27832081999983</v>
      </c>
      <c r="AB230" s="451">
        <f t="shared" si="409"/>
        <v>-80.040950819999836</v>
      </c>
      <c r="AC230" s="474">
        <f t="shared" si="410"/>
        <v>-176.93546468329134</v>
      </c>
      <c r="AD230" s="450">
        <v>48.505294999999997</v>
      </c>
      <c r="AE230" s="451">
        <f t="shared" si="411"/>
        <v>70.527026869999986</v>
      </c>
      <c r="AF230" s="451">
        <f t="shared" si="412"/>
        <v>-22.021731869999989</v>
      </c>
      <c r="AG230" s="474">
        <f t="shared" si="413"/>
        <v>-45.400676091136013</v>
      </c>
      <c r="AH230" s="450"/>
      <c r="AI230" s="451">
        <f t="shared" si="414"/>
        <v>0</v>
      </c>
      <c r="AJ230" s="451">
        <f t="shared" si="415"/>
        <v>0</v>
      </c>
      <c r="AK230" s="474" t="e">
        <f t="shared" si="416"/>
        <v>#DIV/0!</v>
      </c>
      <c r="AL230" s="450"/>
      <c r="AM230" s="451">
        <f t="shared" si="417"/>
        <v>0</v>
      </c>
      <c r="AN230" s="451">
        <f t="shared" si="418"/>
        <v>0</v>
      </c>
      <c r="AO230" s="474" t="e">
        <f t="shared" si="419"/>
        <v>#DIV/0!</v>
      </c>
      <c r="AP230" s="450"/>
      <c r="AQ230" s="451">
        <f t="shared" si="420"/>
        <v>0</v>
      </c>
      <c r="AR230" s="451">
        <f t="shared" si="421"/>
        <v>0</v>
      </c>
      <c r="AS230" s="474" t="e">
        <f t="shared" si="422"/>
        <v>#DIV/0!</v>
      </c>
      <c r="AT230" s="450"/>
      <c r="AU230" s="451">
        <f t="shared" si="423"/>
        <v>0</v>
      </c>
      <c r="AV230" s="451">
        <f t="shared" si="424"/>
        <v>0</v>
      </c>
      <c r="AW230" s="474" t="e">
        <f t="shared" si="425"/>
        <v>#DIV/0!</v>
      </c>
      <c r="AX230" s="1063">
        <f t="shared" si="429"/>
        <v>2083.8534440000003</v>
      </c>
      <c r="AY230" s="447">
        <f t="shared" si="430"/>
        <v>2413.1392578499995</v>
      </c>
      <c r="AZ230" s="447">
        <f t="shared" si="431"/>
        <v>-329.28581384999916</v>
      </c>
      <c r="BA230" s="476">
        <f t="shared" si="432"/>
        <v>-15.80177410259371</v>
      </c>
      <c r="BC230" s="446"/>
      <c r="BD230" s="445">
        <f t="shared" si="433"/>
        <v>48.505294999999997</v>
      </c>
      <c r="BE230" s="446">
        <f t="shared" si="434"/>
        <v>-45.400676091136013</v>
      </c>
    </row>
    <row r="231" spans="1:73">
      <c r="A231" s="397" t="s">
        <v>4</v>
      </c>
      <c r="B231" s="450">
        <v>1077.2972070000001</v>
      </c>
      <c r="C231" s="451">
        <f t="shared" si="393"/>
        <v>683.72511378000024</v>
      </c>
      <c r="D231" s="451">
        <f t="shared" si="426"/>
        <v>393.57209321999983</v>
      </c>
      <c r="E231" s="474">
        <f t="shared" si="427"/>
        <v>36.533288182933141</v>
      </c>
      <c r="F231" s="450">
        <v>874.32276000000002</v>
      </c>
      <c r="G231" s="451">
        <f t="shared" si="394"/>
        <v>870.82660712999984</v>
      </c>
      <c r="H231" s="451">
        <f t="shared" si="395"/>
        <v>3.4961528700001736</v>
      </c>
      <c r="I231" s="474">
        <f t="shared" si="396"/>
        <v>0.39986982267282778</v>
      </c>
      <c r="J231" s="450">
        <v>672.70701199999996</v>
      </c>
      <c r="K231" s="451">
        <f t="shared" si="397"/>
        <v>782.24229499999979</v>
      </c>
      <c r="L231" s="451">
        <f t="shared" si="398"/>
        <v>-109.53528299999982</v>
      </c>
      <c r="M231" s="474">
        <f t="shared" si="399"/>
        <v>-16.28276219008697</v>
      </c>
      <c r="N231" s="450">
        <v>339.92951499999998</v>
      </c>
      <c r="O231" s="451">
        <f t="shared" si="428"/>
        <v>775.70368567000003</v>
      </c>
      <c r="P231" s="451">
        <f t="shared" si="400"/>
        <v>-435.77417067000005</v>
      </c>
      <c r="Q231" s="474">
        <f t="shared" si="401"/>
        <v>-128.19544977434515</v>
      </c>
      <c r="R231" s="450">
        <v>240.36307600000001</v>
      </c>
      <c r="S231" s="451">
        <f t="shared" si="402"/>
        <v>428.82954716000012</v>
      </c>
      <c r="T231" s="451">
        <f t="shared" si="403"/>
        <v>-188.46647116000011</v>
      </c>
      <c r="U231" s="474">
        <f t="shared" si="404"/>
        <v>-78.409077757017926</v>
      </c>
      <c r="V231" s="450">
        <v>143.22779399999999</v>
      </c>
      <c r="W231" s="451">
        <f t="shared" si="405"/>
        <v>240.95406803000003</v>
      </c>
      <c r="X231" s="451">
        <f t="shared" si="406"/>
        <v>-97.726274030000042</v>
      </c>
      <c r="Y231" s="474">
        <f t="shared" si="407"/>
        <v>-68.231361595920447</v>
      </c>
      <c r="Z231" s="450">
        <v>72.530991999999998</v>
      </c>
      <c r="AA231" s="451">
        <f t="shared" si="408"/>
        <v>205.26951453000001</v>
      </c>
      <c r="AB231" s="451">
        <f t="shared" si="409"/>
        <v>-132.73852253000001</v>
      </c>
      <c r="AC231" s="474">
        <f t="shared" si="410"/>
        <v>-183.00938518805867</v>
      </c>
      <c r="AD231" s="450">
        <v>77.462791999999993</v>
      </c>
      <c r="AE231" s="451">
        <f t="shared" si="411"/>
        <v>126.90872655</v>
      </c>
      <c r="AF231" s="451">
        <f t="shared" si="412"/>
        <v>-49.445934550000004</v>
      </c>
      <c r="AG231" s="474">
        <f t="shared" si="413"/>
        <v>-63.831851748901599</v>
      </c>
      <c r="AH231" s="450"/>
      <c r="AI231" s="451">
        <f t="shared" si="414"/>
        <v>0</v>
      </c>
      <c r="AJ231" s="451">
        <f t="shared" si="415"/>
        <v>0</v>
      </c>
      <c r="AK231" s="474" t="e">
        <f t="shared" si="416"/>
        <v>#DIV/0!</v>
      </c>
      <c r="AL231" s="450"/>
      <c r="AM231" s="451">
        <f t="shared" si="417"/>
        <v>0</v>
      </c>
      <c r="AN231" s="451">
        <f t="shared" si="418"/>
        <v>0</v>
      </c>
      <c r="AO231" s="474" t="e">
        <f t="shared" si="419"/>
        <v>#DIV/0!</v>
      </c>
      <c r="AP231" s="450"/>
      <c r="AQ231" s="451">
        <f t="shared" si="420"/>
        <v>0</v>
      </c>
      <c r="AR231" s="451">
        <f t="shared" si="421"/>
        <v>0</v>
      </c>
      <c r="AS231" s="474" t="e">
        <f t="shared" si="422"/>
        <v>#DIV/0!</v>
      </c>
      <c r="AT231" s="450"/>
      <c r="AU231" s="451">
        <f t="shared" si="423"/>
        <v>0</v>
      </c>
      <c r="AV231" s="451">
        <f t="shared" si="424"/>
        <v>0</v>
      </c>
      <c r="AW231" s="474" t="e">
        <f t="shared" si="425"/>
        <v>#DIV/0!</v>
      </c>
      <c r="AX231" s="1063">
        <f t="shared" si="429"/>
        <v>3497.8411479999995</v>
      </c>
      <c r="AY231" s="447">
        <f t="shared" si="430"/>
        <v>4114.4595578500002</v>
      </c>
      <c r="AZ231" s="447">
        <f t="shared" si="431"/>
        <v>-616.61840985000072</v>
      </c>
      <c r="BA231" s="476">
        <f t="shared" si="432"/>
        <v>-17.628542399719084</v>
      </c>
      <c r="BC231" s="446"/>
      <c r="BD231" s="445">
        <f t="shared" si="433"/>
        <v>77.462791999999993</v>
      </c>
      <c r="BE231" s="446">
        <f t="shared" si="434"/>
        <v>-63.831851748901599</v>
      </c>
    </row>
    <row r="232" spans="1:73">
      <c r="A232" s="397" t="s">
        <v>3</v>
      </c>
      <c r="B232" s="450">
        <v>1133.1748950000001</v>
      </c>
      <c r="C232" s="451">
        <f t="shared" si="393"/>
        <v>785.89398122000011</v>
      </c>
      <c r="D232" s="451">
        <f t="shared" si="426"/>
        <v>347.28091377999999</v>
      </c>
      <c r="E232" s="474">
        <f t="shared" si="427"/>
        <v>30.646717934922123</v>
      </c>
      <c r="F232" s="450">
        <v>943.93850299999997</v>
      </c>
      <c r="G232" s="451">
        <f t="shared" si="394"/>
        <v>909.91276709999977</v>
      </c>
      <c r="H232" s="451">
        <f t="shared" si="395"/>
        <v>34.0257359000002</v>
      </c>
      <c r="I232" s="474">
        <f t="shared" si="396"/>
        <v>3.6046560016209233</v>
      </c>
      <c r="J232" s="450">
        <v>665.78040199999998</v>
      </c>
      <c r="K232" s="451">
        <f t="shared" si="397"/>
        <v>730.25920894999956</v>
      </c>
      <c r="L232" s="451">
        <f t="shared" si="398"/>
        <v>-64.47880694999958</v>
      </c>
      <c r="M232" s="474">
        <f t="shared" si="399"/>
        <v>-9.6846958481063226</v>
      </c>
      <c r="N232" s="450">
        <v>355.61001800000003</v>
      </c>
      <c r="O232" s="451">
        <f t="shared" si="428"/>
        <v>683.90615476999994</v>
      </c>
      <c r="P232" s="451">
        <f t="shared" si="400"/>
        <v>-328.29613676999992</v>
      </c>
      <c r="Q232" s="474">
        <f t="shared" si="401"/>
        <v>-92.319147423456414</v>
      </c>
      <c r="R232" s="450">
        <v>287.74745000000001</v>
      </c>
      <c r="S232" s="451">
        <f t="shared" si="402"/>
        <v>421.67628062999995</v>
      </c>
      <c r="T232" s="451">
        <f t="shared" si="403"/>
        <v>-133.92883062999994</v>
      </c>
      <c r="U232" s="474">
        <f t="shared" si="404"/>
        <v>-46.543880972707122</v>
      </c>
      <c r="V232" s="450">
        <v>136.89756700000001</v>
      </c>
      <c r="W232" s="451">
        <f t="shared" si="405"/>
        <v>236.58567075000008</v>
      </c>
      <c r="X232" s="451">
        <f t="shared" si="406"/>
        <v>-99.688103750000067</v>
      </c>
      <c r="Y232" s="474">
        <f t="shared" si="407"/>
        <v>-72.819485352869748</v>
      </c>
      <c r="Z232" s="450">
        <v>90.217500000000001</v>
      </c>
      <c r="AA232" s="451">
        <f t="shared" si="408"/>
        <v>203.11264757999987</v>
      </c>
      <c r="AB232" s="451">
        <f t="shared" si="409"/>
        <v>-112.89514757999987</v>
      </c>
      <c r="AC232" s="474">
        <f t="shared" si="410"/>
        <v>-125.13663932163924</v>
      </c>
      <c r="AD232" s="450">
        <v>94.440179000000001</v>
      </c>
      <c r="AE232" s="451">
        <f t="shared" si="411"/>
        <v>135.97217754000002</v>
      </c>
      <c r="AF232" s="451">
        <f t="shared" si="412"/>
        <v>-41.531998540000018</v>
      </c>
      <c r="AG232" s="474">
        <f t="shared" si="413"/>
        <v>-43.977043436141749</v>
      </c>
      <c r="AH232" s="450"/>
      <c r="AI232" s="451">
        <f t="shared" si="414"/>
        <v>0</v>
      </c>
      <c r="AJ232" s="451">
        <f t="shared" si="415"/>
        <v>0</v>
      </c>
      <c r="AK232" s="474" t="e">
        <f t="shared" si="416"/>
        <v>#DIV/0!</v>
      </c>
      <c r="AL232" s="450"/>
      <c r="AM232" s="451">
        <f t="shared" si="417"/>
        <v>0</v>
      </c>
      <c r="AN232" s="451">
        <f t="shared" si="418"/>
        <v>0</v>
      </c>
      <c r="AO232" s="474" t="e">
        <f t="shared" si="419"/>
        <v>#DIV/0!</v>
      </c>
      <c r="AP232" s="450"/>
      <c r="AQ232" s="451">
        <f t="shared" si="420"/>
        <v>0</v>
      </c>
      <c r="AR232" s="451">
        <f t="shared" si="421"/>
        <v>0</v>
      </c>
      <c r="AS232" s="474" t="e">
        <f t="shared" si="422"/>
        <v>#DIV/0!</v>
      </c>
      <c r="AT232" s="450"/>
      <c r="AU232" s="451">
        <f t="shared" si="423"/>
        <v>0</v>
      </c>
      <c r="AV232" s="451">
        <f t="shared" si="424"/>
        <v>0</v>
      </c>
      <c r="AW232" s="474" t="e">
        <f t="shared" si="425"/>
        <v>#DIV/0!</v>
      </c>
      <c r="AX232" s="1063">
        <f t="shared" si="429"/>
        <v>3707.8065139999999</v>
      </c>
      <c r="AY232" s="447">
        <f t="shared" si="430"/>
        <v>4107.3188885399995</v>
      </c>
      <c r="AZ232" s="447">
        <f t="shared" si="431"/>
        <v>-399.51237453999966</v>
      </c>
      <c r="BA232" s="476">
        <f t="shared" si="432"/>
        <v>-10.774898124578883</v>
      </c>
      <c r="BC232" s="446"/>
      <c r="BD232" s="445">
        <f t="shared" si="433"/>
        <v>94.440179000000001</v>
      </c>
      <c r="BE232" s="446">
        <f t="shared" si="434"/>
        <v>-43.977043436141749</v>
      </c>
    </row>
    <row r="233" spans="1:73">
      <c r="A233" s="397" t="s">
        <v>397</v>
      </c>
      <c r="B233" s="450">
        <v>329.72820200000001</v>
      </c>
      <c r="C233" s="451">
        <f t="shared" si="393"/>
        <v>168.95706590000003</v>
      </c>
      <c r="D233" s="451">
        <f t="shared" si="426"/>
        <v>160.77113609999998</v>
      </c>
      <c r="E233" s="474">
        <f t="shared" si="427"/>
        <v>48.758685221593502</v>
      </c>
      <c r="F233" s="450">
        <v>297.83862299999998</v>
      </c>
      <c r="G233" s="451">
        <f t="shared" si="394"/>
        <v>230.40637114000018</v>
      </c>
      <c r="H233" s="451">
        <f t="shared" si="395"/>
        <v>67.432251859999809</v>
      </c>
      <c r="I233" s="474">
        <f t="shared" si="396"/>
        <v>22.640533044634648</v>
      </c>
      <c r="J233" s="450">
        <v>203.96688499999999</v>
      </c>
      <c r="K233" s="451">
        <f t="shared" si="397"/>
        <v>221.77598953</v>
      </c>
      <c r="L233" s="451">
        <f t="shared" si="398"/>
        <v>-17.809104530000013</v>
      </c>
      <c r="M233" s="474">
        <f t="shared" si="399"/>
        <v>-8.7313705506656216</v>
      </c>
      <c r="N233" s="450">
        <v>109.487073</v>
      </c>
      <c r="O233" s="451">
        <f t="shared" si="428"/>
        <v>204.62037952999995</v>
      </c>
      <c r="P233" s="451">
        <f t="shared" si="400"/>
        <v>-95.133306529999956</v>
      </c>
      <c r="Q233" s="474">
        <f t="shared" si="401"/>
        <v>-86.889989770755832</v>
      </c>
      <c r="R233" s="450">
        <v>77.306707400000008</v>
      </c>
      <c r="S233" s="451">
        <f t="shared" si="402"/>
        <v>124.28764908999999</v>
      </c>
      <c r="T233" s="451">
        <f t="shared" si="403"/>
        <v>-46.98094168999998</v>
      </c>
      <c r="U233" s="474">
        <f t="shared" si="404"/>
        <v>-60.772141603329977</v>
      </c>
      <c r="V233" s="450">
        <v>59.239855320000004</v>
      </c>
      <c r="W233" s="451">
        <f t="shared" si="405"/>
        <v>95.877163810000013</v>
      </c>
      <c r="X233" s="451">
        <f t="shared" si="406"/>
        <v>-36.637308490000009</v>
      </c>
      <c r="Y233" s="474">
        <f t="shared" si="407"/>
        <v>-61.845708927028497</v>
      </c>
      <c r="Z233" s="450">
        <v>49.019883</v>
      </c>
      <c r="AA233" s="451">
        <f t="shared" si="408"/>
        <v>81.215128640000543</v>
      </c>
      <c r="AB233" s="451">
        <f t="shared" si="409"/>
        <v>-32.195245640000543</v>
      </c>
      <c r="AC233" s="474">
        <f t="shared" si="410"/>
        <v>-65.677932442230727</v>
      </c>
      <c r="AD233" s="450">
        <v>48.25179069</v>
      </c>
      <c r="AE233" s="451">
        <f t="shared" si="411"/>
        <v>51.890828370000101</v>
      </c>
      <c r="AF233" s="451">
        <f t="shared" si="412"/>
        <v>-3.6390376800001007</v>
      </c>
      <c r="AG233" s="474">
        <f t="shared" si="413"/>
        <v>-7.5417671094935708</v>
      </c>
      <c r="AH233" s="450"/>
      <c r="AI233" s="451">
        <f t="shared" si="414"/>
        <v>0</v>
      </c>
      <c r="AJ233" s="451">
        <f t="shared" si="415"/>
        <v>0</v>
      </c>
      <c r="AK233" s="474" t="e">
        <f t="shared" si="416"/>
        <v>#DIV/0!</v>
      </c>
      <c r="AL233" s="450"/>
      <c r="AM233" s="451">
        <f t="shared" si="417"/>
        <v>0</v>
      </c>
      <c r="AN233" s="451">
        <f t="shared" si="418"/>
        <v>0</v>
      </c>
      <c r="AO233" s="474" t="e">
        <f t="shared" si="419"/>
        <v>#DIV/0!</v>
      </c>
      <c r="AP233" s="450"/>
      <c r="AQ233" s="451">
        <f t="shared" si="420"/>
        <v>0</v>
      </c>
      <c r="AR233" s="451">
        <f t="shared" si="421"/>
        <v>0</v>
      </c>
      <c r="AS233" s="474" t="e">
        <f t="shared" si="422"/>
        <v>#DIV/0!</v>
      </c>
      <c r="AT233" s="450"/>
      <c r="AU233" s="451">
        <f t="shared" si="423"/>
        <v>0</v>
      </c>
      <c r="AV233" s="451">
        <f t="shared" si="424"/>
        <v>0</v>
      </c>
      <c r="AW233" s="474" t="e">
        <f t="shared" si="425"/>
        <v>#DIV/0!</v>
      </c>
      <c r="AX233" s="1063">
        <f t="shared" si="429"/>
        <v>1174.83901941</v>
      </c>
      <c r="AY233" s="447">
        <f t="shared" si="430"/>
        <v>1179.0305760100007</v>
      </c>
      <c r="AZ233" s="447">
        <f t="shared" si="431"/>
        <v>-4.1915566000006947</v>
      </c>
      <c r="BA233" s="476">
        <f t="shared" si="432"/>
        <v>-0.35677710143689984</v>
      </c>
      <c r="BC233" s="446"/>
      <c r="BD233" s="445">
        <f t="shared" si="433"/>
        <v>48.25179069</v>
      </c>
      <c r="BE233" s="446">
        <f t="shared" si="434"/>
        <v>-7.5417671094935708</v>
      </c>
    </row>
    <row r="234" spans="1:73">
      <c r="A234" s="397" t="s">
        <v>399</v>
      </c>
      <c r="B234" s="450">
        <v>506.32913258999997</v>
      </c>
      <c r="C234" s="451">
        <f t="shared" si="393"/>
        <v>357.46454188999996</v>
      </c>
      <c r="D234" s="451">
        <f t="shared" si="426"/>
        <v>148.86459070000001</v>
      </c>
      <c r="E234" s="474">
        <f t="shared" si="427"/>
        <v>29.400755579383798</v>
      </c>
      <c r="F234" s="450">
        <v>488.55977524000002</v>
      </c>
      <c r="G234" s="451">
        <f t="shared" si="394"/>
        <v>408.36992129999993</v>
      </c>
      <c r="H234" s="451">
        <f t="shared" si="395"/>
        <v>80.189853940000091</v>
      </c>
      <c r="I234" s="474">
        <f t="shared" si="396"/>
        <v>16.413519492186527</v>
      </c>
      <c r="J234" s="450">
        <v>359.91664600000001</v>
      </c>
      <c r="K234" s="451">
        <f t="shared" si="397"/>
        <v>324.78171693000002</v>
      </c>
      <c r="L234" s="451">
        <f t="shared" si="398"/>
        <v>35.134929069999998</v>
      </c>
      <c r="M234" s="474">
        <f t="shared" si="399"/>
        <v>9.7619627934630167</v>
      </c>
      <c r="N234" s="450">
        <v>220.43495136000001</v>
      </c>
      <c r="O234" s="451">
        <f t="shared" si="428"/>
        <v>344.19479969999975</v>
      </c>
      <c r="P234" s="451">
        <f t="shared" si="400"/>
        <v>-123.75984833999973</v>
      </c>
      <c r="Q234" s="474">
        <f t="shared" si="401"/>
        <v>-56.143477963203395</v>
      </c>
      <c r="R234" s="450">
        <v>156.03334699999999</v>
      </c>
      <c r="S234" s="451">
        <f t="shared" si="402"/>
        <v>235.04351412999995</v>
      </c>
      <c r="T234" s="451">
        <f t="shared" si="403"/>
        <v>-79.010167129999957</v>
      </c>
      <c r="U234" s="474">
        <f t="shared" si="404"/>
        <v>-50.636718784222424</v>
      </c>
      <c r="V234" s="450">
        <v>135.51473529999998</v>
      </c>
      <c r="W234" s="451">
        <f t="shared" si="405"/>
        <v>158.38781481999999</v>
      </c>
      <c r="X234" s="451">
        <f t="shared" si="406"/>
        <v>-22.873079520000005</v>
      </c>
      <c r="Y234" s="474">
        <f t="shared" si="407"/>
        <v>-16.878665976333874</v>
      </c>
      <c r="Z234" s="450">
        <v>96.376173109999996</v>
      </c>
      <c r="AA234" s="451">
        <f t="shared" si="408"/>
        <v>149.36529119999997</v>
      </c>
      <c r="AB234" s="451">
        <f t="shared" si="409"/>
        <v>-52.989118089999977</v>
      </c>
      <c r="AC234" s="474">
        <f t="shared" si="410"/>
        <v>-54.98155444449975</v>
      </c>
      <c r="AD234" s="450">
        <v>114.3881392</v>
      </c>
      <c r="AE234" s="451">
        <f t="shared" si="411"/>
        <v>124.62906194000003</v>
      </c>
      <c r="AF234" s="451">
        <f t="shared" si="412"/>
        <v>-10.24092274000003</v>
      </c>
      <c r="AG234" s="474">
        <f t="shared" si="413"/>
        <v>-8.9527837515517774</v>
      </c>
      <c r="AH234" s="450"/>
      <c r="AI234" s="451">
        <f t="shared" si="414"/>
        <v>0</v>
      </c>
      <c r="AJ234" s="451">
        <f t="shared" si="415"/>
        <v>0</v>
      </c>
      <c r="AK234" s="474" t="e">
        <f t="shared" si="416"/>
        <v>#DIV/0!</v>
      </c>
      <c r="AL234" s="450"/>
      <c r="AM234" s="451">
        <f t="shared" si="417"/>
        <v>0</v>
      </c>
      <c r="AN234" s="451">
        <f t="shared" si="418"/>
        <v>0</v>
      </c>
      <c r="AO234" s="474" t="e">
        <f t="shared" si="419"/>
        <v>#DIV/0!</v>
      </c>
      <c r="AP234" s="450"/>
      <c r="AQ234" s="451">
        <f t="shared" si="420"/>
        <v>0</v>
      </c>
      <c r="AR234" s="451">
        <f t="shared" si="421"/>
        <v>0</v>
      </c>
      <c r="AS234" s="474" t="e">
        <f t="shared" si="422"/>
        <v>#DIV/0!</v>
      </c>
      <c r="AT234" s="450"/>
      <c r="AU234" s="451">
        <f t="shared" si="423"/>
        <v>0</v>
      </c>
      <c r="AV234" s="451">
        <f t="shared" si="424"/>
        <v>0</v>
      </c>
      <c r="AW234" s="474" t="e">
        <f t="shared" si="425"/>
        <v>#DIV/0!</v>
      </c>
      <c r="AX234" s="1063">
        <f t="shared" si="429"/>
        <v>2077.5528998</v>
      </c>
      <c r="AY234" s="447">
        <f t="shared" si="430"/>
        <v>2102.2366619099998</v>
      </c>
      <c r="AZ234" s="447">
        <f t="shared" si="431"/>
        <v>-24.683762109999861</v>
      </c>
      <c r="BA234" s="476">
        <f t="shared" si="432"/>
        <v>-1.188117140717625</v>
      </c>
      <c r="BC234" s="446"/>
      <c r="BD234" s="445">
        <f t="shared" si="433"/>
        <v>114.3881392</v>
      </c>
      <c r="BE234" s="446">
        <f t="shared" si="434"/>
        <v>-8.9527837515517774</v>
      </c>
    </row>
    <row r="235" spans="1:73">
      <c r="A235" s="397" t="s">
        <v>883</v>
      </c>
      <c r="B235" s="450">
        <v>423.10804100000001</v>
      </c>
      <c r="C235" s="451">
        <f t="shared" si="393"/>
        <v>286.36470566000003</v>
      </c>
      <c r="D235" s="451">
        <f t="shared" si="426"/>
        <v>136.74333533999999</v>
      </c>
      <c r="E235" s="474">
        <f t="shared" si="427"/>
        <v>32.318774896551773</v>
      </c>
      <c r="F235" s="450">
        <v>352.26254899999998</v>
      </c>
      <c r="G235" s="451">
        <f t="shared" si="394"/>
        <v>342.80890569000093</v>
      </c>
      <c r="H235" s="451">
        <f t="shared" si="395"/>
        <v>9.4536433099990518</v>
      </c>
      <c r="I235" s="474">
        <f t="shared" si="396"/>
        <v>2.6836924154543187</v>
      </c>
      <c r="J235" s="450">
        <v>211.71515400000001</v>
      </c>
      <c r="K235" s="451">
        <f t="shared" si="397"/>
        <v>230.36479318000002</v>
      </c>
      <c r="L235" s="451">
        <f t="shared" si="398"/>
        <v>-18.649639180000008</v>
      </c>
      <c r="M235" s="474">
        <f t="shared" si="399"/>
        <v>-8.8088352806337173</v>
      </c>
      <c r="N235" s="450">
        <v>108.451279</v>
      </c>
      <c r="O235" s="451">
        <f t="shared" si="428"/>
        <v>261.62871015999997</v>
      </c>
      <c r="P235" s="451">
        <f t="shared" si="400"/>
        <v>-153.17743115999997</v>
      </c>
      <c r="Q235" s="474">
        <f t="shared" si="401"/>
        <v>-141.24077887546164</v>
      </c>
      <c r="R235" s="450">
        <v>77.503878</v>
      </c>
      <c r="S235" s="451">
        <f t="shared" si="402"/>
        <v>141.58277404</v>
      </c>
      <c r="T235" s="451">
        <f t="shared" si="403"/>
        <v>-64.078896040000004</v>
      </c>
      <c r="U235" s="474">
        <f t="shared" si="404"/>
        <v>-82.67830938730576</v>
      </c>
      <c r="V235" s="450">
        <v>56.566971000000002</v>
      </c>
      <c r="W235" s="451">
        <f t="shared" si="405"/>
        <v>72.063454179999994</v>
      </c>
      <c r="X235" s="451">
        <f t="shared" si="406"/>
        <v>-15.496483179999991</v>
      </c>
      <c r="Y235" s="474">
        <f t="shared" si="407"/>
        <v>-27.394931894090618</v>
      </c>
      <c r="Z235" s="450">
        <v>40.997523999999999</v>
      </c>
      <c r="AA235" s="451">
        <f t="shared" si="408"/>
        <v>68.149540709999997</v>
      </c>
      <c r="AB235" s="451">
        <f t="shared" si="409"/>
        <v>-27.152016709999998</v>
      </c>
      <c r="AC235" s="474">
        <f t="shared" si="410"/>
        <v>-66.228430551074254</v>
      </c>
      <c r="AD235" s="450">
        <v>40.919502999999999</v>
      </c>
      <c r="AE235" s="451">
        <f t="shared" si="411"/>
        <v>55.749981849999941</v>
      </c>
      <c r="AF235" s="451">
        <f t="shared" si="412"/>
        <v>-14.830478849999942</v>
      </c>
      <c r="AG235" s="474">
        <f t="shared" si="413"/>
        <v>-36.243057130972346</v>
      </c>
      <c r="AH235" s="450"/>
      <c r="AI235" s="451">
        <f t="shared" si="414"/>
        <v>0</v>
      </c>
      <c r="AJ235" s="451">
        <f t="shared" si="415"/>
        <v>0</v>
      </c>
      <c r="AK235" s="474" t="e">
        <f t="shared" si="416"/>
        <v>#DIV/0!</v>
      </c>
      <c r="AL235" s="450"/>
      <c r="AM235" s="451">
        <f t="shared" si="417"/>
        <v>0</v>
      </c>
      <c r="AN235" s="451">
        <f t="shared" si="418"/>
        <v>0</v>
      </c>
      <c r="AO235" s="474" t="e">
        <f t="shared" si="419"/>
        <v>#DIV/0!</v>
      </c>
      <c r="AP235" s="450"/>
      <c r="AQ235" s="451">
        <f t="shared" si="420"/>
        <v>0</v>
      </c>
      <c r="AR235" s="451">
        <f t="shared" si="421"/>
        <v>0</v>
      </c>
      <c r="AS235" s="474" t="e">
        <f t="shared" si="422"/>
        <v>#DIV/0!</v>
      </c>
      <c r="AT235" s="450"/>
      <c r="AU235" s="451">
        <f t="shared" si="423"/>
        <v>0</v>
      </c>
      <c r="AV235" s="451">
        <f t="shared" si="424"/>
        <v>0</v>
      </c>
      <c r="AW235" s="474" t="e">
        <f t="shared" si="425"/>
        <v>#DIV/0!</v>
      </c>
      <c r="AX235" s="1063">
        <f t="shared" si="429"/>
        <v>1311.524899</v>
      </c>
      <c r="AY235" s="447">
        <f t="shared" si="430"/>
        <v>1458.7128654700007</v>
      </c>
      <c r="AZ235" s="447">
        <f t="shared" si="431"/>
        <v>-147.18796647000067</v>
      </c>
      <c r="BA235" s="476">
        <f t="shared" si="432"/>
        <v>-11.222658950830995</v>
      </c>
      <c r="BC235" s="446"/>
      <c r="BD235" s="445">
        <f t="shared" si="433"/>
        <v>40.919502999999999</v>
      </c>
      <c r="BE235" s="446">
        <f t="shared" si="434"/>
        <v>-36.243057130972346</v>
      </c>
    </row>
    <row r="236" spans="1:73">
      <c r="A236" s="397" t="s">
        <v>884</v>
      </c>
      <c r="B236" s="450">
        <v>433.7353</v>
      </c>
      <c r="C236" s="451">
        <f t="shared" si="393"/>
        <v>275.84367321999997</v>
      </c>
      <c r="D236" s="451">
        <f t="shared" si="426"/>
        <v>157.89162678000002</v>
      </c>
      <c r="E236" s="474">
        <f t="shared" si="427"/>
        <v>36.402761495317542</v>
      </c>
      <c r="F236" s="450">
        <v>355.79737699999998</v>
      </c>
      <c r="G236" s="451">
        <f t="shared" si="394"/>
        <v>332.98399028</v>
      </c>
      <c r="H236" s="451">
        <f t="shared" si="395"/>
        <v>22.813386719999983</v>
      </c>
      <c r="I236" s="474">
        <f t="shared" si="396"/>
        <v>6.4119041327277637</v>
      </c>
      <c r="J236" s="450">
        <v>230.292856</v>
      </c>
      <c r="K236" s="451">
        <f t="shared" si="397"/>
        <v>224.09149864999998</v>
      </c>
      <c r="L236" s="451">
        <f t="shared" si="398"/>
        <v>6.2013573500000234</v>
      </c>
      <c r="M236" s="474">
        <f t="shared" si="399"/>
        <v>2.6928136016516393</v>
      </c>
      <c r="N236" s="450">
        <v>107.79120500000001</v>
      </c>
      <c r="O236" s="451">
        <f t="shared" si="428"/>
        <v>302.08847236000003</v>
      </c>
      <c r="P236" s="451">
        <f t="shared" si="400"/>
        <v>-194.29726736000003</v>
      </c>
      <c r="Q236" s="474">
        <f t="shared" si="401"/>
        <v>-180.25335866687828</v>
      </c>
      <c r="R236" s="450">
        <v>84.656222999999997</v>
      </c>
      <c r="S236" s="451">
        <f t="shared" si="402"/>
        <v>160.83550937000001</v>
      </c>
      <c r="T236" s="451">
        <f t="shared" si="403"/>
        <v>-76.179286370000014</v>
      </c>
      <c r="U236" s="474">
        <f t="shared" si="404"/>
        <v>-89.986634969528495</v>
      </c>
      <c r="V236" s="450">
        <v>75.795636999999999</v>
      </c>
      <c r="W236" s="451">
        <f t="shared" si="405"/>
        <v>73.537551919999999</v>
      </c>
      <c r="X236" s="451">
        <f t="shared" si="406"/>
        <v>2.2580850800000007</v>
      </c>
      <c r="Y236" s="474">
        <f t="shared" si="407"/>
        <v>2.9791755427822326</v>
      </c>
      <c r="Z236" s="450">
        <v>65.184950999999998</v>
      </c>
      <c r="AA236" s="451">
        <f t="shared" si="408"/>
        <v>105.21204300000002</v>
      </c>
      <c r="AB236" s="451">
        <f t="shared" si="409"/>
        <v>-40.027092000000025</v>
      </c>
      <c r="AC236" s="474">
        <f t="shared" si="410"/>
        <v>-61.405418560489565</v>
      </c>
      <c r="AD236" s="450">
        <v>59.404097999999998</v>
      </c>
      <c r="AE236" s="451">
        <f t="shared" si="411"/>
        <v>77.729631919999989</v>
      </c>
      <c r="AF236" s="451">
        <f t="shared" si="412"/>
        <v>-18.325533919999991</v>
      </c>
      <c r="AG236" s="474">
        <f t="shared" si="413"/>
        <v>-30.848938940205763</v>
      </c>
      <c r="AH236" s="450"/>
      <c r="AI236" s="451">
        <f t="shared" si="414"/>
        <v>0</v>
      </c>
      <c r="AJ236" s="451">
        <f t="shared" si="415"/>
        <v>0</v>
      </c>
      <c r="AK236" s="474" t="e">
        <f t="shared" si="416"/>
        <v>#DIV/0!</v>
      </c>
      <c r="AL236" s="450"/>
      <c r="AM236" s="451">
        <f t="shared" si="417"/>
        <v>0</v>
      </c>
      <c r="AN236" s="451">
        <f t="shared" si="418"/>
        <v>0</v>
      </c>
      <c r="AO236" s="474" t="e">
        <f t="shared" si="419"/>
        <v>#DIV/0!</v>
      </c>
      <c r="AP236" s="450"/>
      <c r="AQ236" s="451">
        <f t="shared" si="420"/>
        <v>0</v>
      </c>
      <c r="AR236" s="451">
        <f t="shared" si="421"/>
        <v>0</v>
      </c>
      <c r="AS236" s="474" t="e">
        <f t="shared" si="422"/>
        <v>#DIV/0!</v>
      </c>
      <c r="AT236" s="450"/>
      <c r="AU236" s="451">
        <f t="shared" si="423"/>
        <v>0</v>
      </c>
      <c r="AV236" s="451">
        <f t="shared" si="424"/>
        <v>0</v>
      </c>
      <c r="AW236" s="474" t="e">
        <f t="shared" si="425"/>
        <v>#DIV/0!</v>
      </c>
      <c r="AX236" s="1063">
        <f t="shared" si="429"/>
        <v>1412.6576469999998</v>
      </c>
      <c r="AY236" s="447">
        <f t="shared" si="430"/>
        <v>1552.3223707199998</v>
      </c>
      <c r="AZ236" s="447">
        <f t="shared" si="431"/>
        <v>-139.66472371999998</v>
      </c>
      <c r="BA236" s="1898">
        <f t="shared" si="432"/>
        <v>-9.8866646152094901</v>
      </c>
      <c r="BC236" s="446"/>
      <c r="BD236" s="445">
        <f t="shared" si="433"/>
        <v>59.404097999999998</v>
      </c>
      <c r="BE236" s="446">
        <f t="shared" si="434"/>
        <v>-30.848938940205763</v>
      </c>
    </row>
    <row r="237" spans="1:73" ht="14.4" thickBot="1">
      <c r="A237" s="397" t="s">
        <v>885</v>
      </c>
      <c r="B237" s="450">
        <v>276.09571</v>
      </c>
      <c r="C237" s="451">
        <f t="shared" si="393"/>
        <v>179.67747902800016</v>
      </c>
      <c r="D237" s="451">
        <f t="shared" si="426"/>
        <v>96.418230971999833</v>
      </c>
      <c r="E237" s="474">
        <f t="shared" si="427"/>
        <v>34.922031556375806</v>
      </c>
      <c r="F237" s="450">
        <v>218.39909299999999</v>
      </c>
      <c r="G237" s="451">
        <f t="shared" si="394"/>
        <v>223.16972450000006</v>
      </c>
      <c r="H237" s="451">
        <f t="shared" si="395"/>
        <v>-4.7706315000000643</v>
      </c>
      <c r="I237" s="474">
        <f t="shared" si="396"/>
        <v>-2.1843641539299177</v>
      </c>
      <c r="J237" s="450">
        <v>186.58668700000001</v>
      </c>
      <c r="K237" s="451">
        <f t="shared" si="397"/>
        <v>160.71889018400012</v>
      </c>
      <c r="L237" s="451">
        <f t="shared" si="398"/>
        <v>25.867796815999895</v>
      </c>
      <c r="M237" s="474">
        <f t="shared" si="399"/>
        <v>13.863688364861687</v>
      </c>
      <c r="N237" s="450">
        <v>82.566625000000002</v>
      </c>
      <c r="O237" s="451">
        <f t="shared" si="428"/>
        <v>194.41672567799995</v>
      </c>
      <c r="P237" s="451">
        <f t="shared" si="400"/>
        <v>-111.85010067799995</v>
      </c>
      <c r="Q237" s="474">
        <f t="shared" si="401"/>
        <v>-135.46648016435205</v>
      </c>
      <c r="R237" s="450">
        <v>59.590187</v>
      </c>
      <c r="S237" s="451">
        <f t="shared" si="402"/>
        <v>117.32661228800002</v>
      </c>
      <c r="T237" s="451">
        <f t="shared" si="403"/>
        <v>-57.736425288000021</v>
      </c>
      <c r="U237" s="474">
        <f t="shared" si="404"/>
        <v>-96.889149362796971</v>
      </c>
      <c r="V237" s="450">
        <v>33.055244999999999</v>
      </c>
      <c r="W237" s="451">
        <f t="shared" si="405"/>
        <v>50.071780874000041</v>
      </c>
      <c r="X237" s="451">
        <f t="shared" si="406"/>
        <v>-17.016535874000041</v>
      </c>
      <c r="Y237" s="474">
        <f t="shared" si="407"/>
        <v>-51.479079565134192</v>
      </c>
      <c r="Z237" s="450">
        <v>17.617363999999998</v>
      </c>
      <c r="AA237" s="451">
        <f t="shared" si="408"/>
        <v>52.669232426000029</v>
      </c>
      <c r="AB237" s="451">
        <f t="shared" si="409"/>
        <v>-35.051868426000027</v>
      </c>
      <c r="AC237" s="474">
        <f t="shared" si="410"/>
        <v>-198.96204918056998</v>
      </c>
      <c r="AD237" s="450">
        <v>18.711783</v>
      </c>
      <c r="AE237" s="451">
        <f t="shared" si="411"/>
        <v>30.838328253999975</v>
      </c>
      <c r="AF237" s="451">
        <f t="shared" si="412"/>
        <v>-12.126545253999975</v>
      </c>
      <c r="AG237" s="474">
        <f t="shared" si="413"/>
        <v>-64.807000241505435</v>
      </c>
      <c r="AH237" s="450"/>
      <c r="AI237" s="451">
        <f t="shared" si="414"/>
        <v>0</v>
      </c>
      <c r="AJ237" s="451">
        <f t="shared" si="415"/>
        <v>0</v>
      </c>
      <c r="AK237" s="474" t="e">
        <f t="shared" si="416"/>
        <v>#DIV/0!</v>
      </c>
      <c r="AL237" s="450"/>
      <c r="AM237" s="451">
        <f t="shared" si="417"/>
        <v>0</v>
      </c>
      <c r="AN237" s="451">
        <f t="shared" si="418"/>
        <v>0</v>
      </c>
      <c r="AO237" s="474" t="e">
        <f t="shared" si="419"/>
        <v>#DIV/0!</v>
      </c>
      <c r="AP237" s="450"/>
      <c r="AQ237" s="451">
        <f t="shared" si="420"/>
        <v>0</v>
      </c>
      <c r="AR237" s="451">
        <f t="shared" si="421"/>
        <v>0</v>
      </c>
      <c r="AS237" s="474" t="e">
        <f t="shared" si="422"/>
        <v>#DIV/0!</v>
      </c>
      <c r="AT237" s="450"/>
      <c r="AU237" s="451">
        <f t="shared" si="423"/>
        <v>0</v>
      </c>
      <c r="AV237" s="451">
        <f t="shared" si="424"/>
        <v>0</v>
      </c>
      <c r="AW237" s="474" t="e">
        <f t="shared" si="425"/>
        <v>#DIV/0!</v>
      </c>
      <c r="AX237" s="1063">
        <f t="shared" si="429"/>
        <v>892.62269400000002</v>
      </c>
      <c r="AY237" s="447">
        <f t="shared" si="430"/>
        <v>1008.8887732320002</v>
      </c>
      <c r="AZ237" s="447">
        <f t="shared" si="431"/>
        <v>-116.26607923200015</v>
      </c>
      <c r="BA237" s="476">
        <f t="shared" si="432"/>
        <v>-13.025221071961694</v>
      </c>
      <c r="BC237" s="446"/>
      <c r="BD237" s="445">
        <f t="shared" si="433"/>
        <v>18.711783</v>
      </c>
      <c r="BE237" s="446">
        <f t="shared" si="434"/>
        <v>-64.807000241505435</v>
      </c>
    </row>
    <row r="238" spans="1:73" ht="14.4" thickBot="1">
      <c r="A238" s="433" t="s">
        <v>16</v>
      </c>
      <c r="B238" s="468">
        <f>SUM(B228:B237)</f>
        <v>6228.5440143600008</v>
      </c>
      <c r="C238" s="477">
        <f>SUM(C228:C237)</f>
        <v>4182.2534490280004</v>
      </c>
      <c r="D238" s="477">
        <f t="shared" si="426"/>
        <v>2046.2905653320004</v>
      </c>
      <c r="E238" s="1376">
        <f t="shared" si="427"/>
        <v>32.853433492871645</v>
      </c>
      <c r="F238" s="468">
        <f>SUM(F228:F237)</f>
        <v>5340.8015234699997</v>
      </c>
      <c r="G238" s="477">
        <f>SUM(G228:G237)</f>
        <v>4933.0745246600018</v>
      </c>
      <c r="H238" s="477">
        <f t="shared" si="395"/>
        <v>407.72699880999789</v>
      </c>
      <c r="I238" s="1376">
        <f t="shared" si="396"/>
        <v>7.6341911793249242</v>
      </c>
      <c r="J238" s="468">
        <f>SUM(J228:J237)</f>
        <v>3805.5407139999998</v>
      </c>
      <c r="K238" s="477">
        <f>SUM(K228:K237)</f>
        <v>4046.510575234</v>
      </c>
      <c r="L238" s="477">
        <f>+J238-K238</f>
        <v>-240.96986123400029</v>
      </c>
      <c r="M238" s="1376">
        <f>+L238/J238*100</f>
        <v>-6.3320794426797011</v>
      </c>
      <c r="N238" s="468">
        <f>SUM(N228:N237)</f>
        <v>1998.8906033600001</v>
      </c>
      <c r="O238" s="477">
        <f>SUM(O228:O237)</f>
        <v>4184.1325385579994</v>
      </c>
      <c r="P238" s="477">
        <f>+N238-O238</f>
        <v>-2185.2419351979993</v>
      </c>
      <c r="Q238" s="1376">
        <f>+P238/N238*100</f>
        <v>-109.32273789895031</v>
      </c>
      <c r="R238" s="468">
        <f>SUM(R228:R237)</f>
        <v>1500.6730120099999</v>
      </c>
      <c r="S238" s="477">
        <f>SUM(S228:S237)</f>
        <v>2463.3168819980006</v>
      </c>
      <c r="T238" s="477">
        <f>+R238-S238</f>
        <v>-962.64386998800069</v>
      </c>
      <c r="U238" s="2043">
        <f>+T238/R238*100</f>
        <v>-64.147476651068473</v>
      </c>
      <c r="V238" s="468">
        <f>SUM(V228:V237)</f>
        <v>990.93057397999996</v>
      </c>
      <c r="W238" s="477">
        <f>SUM(W228:W237)</f>
        <v>1402.0816983239999</v>
      </c>
      <c r="X238" s="477">
        <f>+V238-W238</f>
        <v>-411.15112434399998</v>
      </c>
      <c r="Y238" s="457">
        <f>+X238/V238*100</f>
        <v>-41.491415760101304</v>
      </c>
      <c r="Z238" s="468">
        <f>SUM(Z228:Z237)</f>
        <v>675.2439961099999</v>
      </c>
      <c r="AA238" s="477">
        <f>SUM(AA228:AA237)</f>
        <v>1329.7055110260005</v>
      </c>
      <c r="AB238" s="477">
        <f>+Z238-AA238</f>
        <v>-654.46151491600062</v>
      </c>
      <c r="AC238" s="457">
        <f>+AB238/Z238*100</f>
        <v>-96.922226437595199</v>
      </c>
      <c r="AD238" s="458">
        <f>SUM(AD228:AD237)</f>
        <v>711.22294015999989</v>
      </c>
      <c r="AE238" s="477">
        <f>SUM(AE228:AE237)</f>
        <v>1032.8786351040001</v>
      </c>
      <c r="AF238" s="477">
        <f>+AD238-AE238</f>
        <v>-321.65569494400017</v>
      </c>
      <c r="AG238" s="457">
        <f>+AF238/AD238*100</f>
        <v>-45.225719922875243</v>
      </c>
      <c r="AH238" s="477">
        <f>SUM(AH228:AH237)</f>
        <v>0</v>
      </c>
      <c r="AI238" s="477">
        <f>SUM(AI228:AI237)</f>
        <v>0</v>
      </c>
      <c r="AJ238" s="477">
        <f>+AH238-AI238</f>
        <v>0</v>
      </c>
      <c r="AK238" s="457" t="e">
        <f>+AJ238/AH238*100</f>
        <v>#DIV/0!</v>
      </c>
      <c r="AL238" s="458">
        <f>SUM(AL228:AL237)</f>
        <v>0</v>
      </c>
      <c r="AM238" s="477">
        <f>SUM(AM228:AM237)</f>
        <v>0</v>
      </c>
      <c r="AN238" s="477">
        <f>+AL238-AM238</f>
        <v>0</v>
      </c>
      <c r="AO238" s="457" t="e">
        <f>+AN238/AL238*100</f>
        <v>#DIV/0!</v>
      </c>
      <c r="AP238" s="458">
        <f>SUM(AP228:AP237)</f>
        <v>0</v>
      </c>
      <c r="AQ238" s="477">
        <f>SUM(AQ228:AQ237)</f>
        <v>0</v>
      </c>
      <c r="AR238" s="477">
        <f>+AP238-AQ238</f>
        <v>0</v>
      </c>
      <c r="AS238" s="457" t="e">
        <f>+AR238/AP238*100</f>
        <v>#DIV/0!</v>
      </c>
      <c r="AT238" s="458">
        <f>SUM(AT228:AT237)</f>
        <v>0</v>
      </c>
      <c r="AU238" s="477">
        <f>SUM(AU228:AU237)</f>
        <v>0</v>
      </c>
      <c r="AV238" s="477">
        <f>+AT238-AU238</f>
        <v>0</v>
      </c>
      <c r="AW238" s="457" t="e">
        <f>+AV238/AT238*100</f>
        <v>#DIV/0!</v>
      </c>
      <c r="AX238" s="1048">
        <f>SUM(AX228:AX237)</f>
        <v>21251.847377450002</v>
      </c>
      <c r="AY238" s="1048">
        <f>SUM(AY228:AY237)</f>
        <v>23573.953813931999</v>
      </c>
      <c r="AZ238" s="478">
        <f>+AX238-AY238</f>
        <v>-2322.1064364819977</v>
      </c>
      <c r="BA238" s="1459">
        <f>+AZ238/AX238*100</f>
        <v>-10.92660979179602</v>
      </c>
      <c r="BD238" s="445">
        <f t="shared" si="433"/>
        <v>711.22294015999989</v>
      </c>
      <c r="BE238" s="446">
        <f>AG238</f>
        <v>-45.225719922875243</v>
      </c>
    </row>
    <row r="239" spans="1:73">
      <c r="M239" s="117">
        <f>100-(M238)</f>
        <v>106.3320794426797</v>
      </c>
      <c r="N239" s="395"/>
      <c r="O239" s="395"/>
      <c r="P239" s="395">
        <f>P238/9.28</f>
        <v>-235.47865681012925</v>
      </c>
      <c r="Q239" s="395"/>
      <c r="AC239" s="445">
        <f>Z238+AD238+AH238</f>
        <v>1386.4669362699997</v>
      </c>
      <c r="AH239" s="1243">
        <f>AH238+AD238+Z238</f>
        <v>1386.4669362699997</v>
      </c>
      <c r="AI239" s="1243">
        <f>AI238+AE238+AA238</f>
        <v>2362.5841461300006</v>
      </c>
      <c r="AJ239" s="1243">
        <f>AJ238+AF238+AB238</f>
        <v>-976.1172098600008</v>
      </c>
      <c r="AT239" s="446"/>
      <c r="AU239" s="446"/>
      <c r="AZ239" s="117">
        <f>AZ238/9.28</f>
        <v>-250.22698668987044</v>
      </c>
    </row>
    <row r="240" spans="1:73" ht="18.600000000000001" thickBot="1">
      <c r="A240" s="394">
        <f>A208</f>
        <v>2024</v>
      </c>
      <c r="U240" s="117">
        <v>1095.3764289999999</v>
      </c>
      <c r="V240" s="445">
        <f>V238+R238+N238</f>
        <v>4490.4941893499999</v>
      </c>
      <c r="W240" s="117">
        <f>+(W245-W230)/W230</f>
        <v>7.1518900039786573E-2</v>
      </c>
      <c r="AX240" s="470">
        <v>574.49489100000005</v>
      </c>
    </row>
    <row r="241" spans="1:73">
      <c r="A241" s="2815" t="str">
        <f>A209</f>
        <v>DD</v>
      </c>
      <c r="B241" s="2827" t="s">
        <v>71</v>
      </c>
      <c r="C241" s="2828"/>
      <c r="D241" s="2828"/>
      <c r="E241" s="3091"/>
      <c r="F241" s="2829" t="s">
        <v>72</v>
      </c>
      <c r="G241" s="2830"/>
      <c r="H241" s="2830"/>
      <c r="I241" s="3095"/>
      <c r="J241" s="2817" t="s">
        <v>73</v>
      </c>
      <c r="K241" s="2818"/>
      <c r="L241" s="2818"/>
      <c r="M241" s="3094"/>
      <c r="N241" s="2819" t="s">
        <v>74</v>
      </c>
      <c r="O241" s="2820"/>
      <c r="P241" s="2820"/>
      <c r="Q241" s="3090"/>
      <c r="R241" s="2821" t="s">
        <v>75</v>
      </c>
      <c r="S241" s="2822"/>
      <c r="T241" s="2822"/>
      <c r="U241" s="3093"/>
      <c r="V241" s="2823" t="s">
        <v>76</v>
      </c>
      <c r="W241" s="2824"/>
      <c r="X241" s="2824"/>
      <c r="Y241" s="3089"/>
      <c r="Z241" s="2827" t="s">
        <v>77</v>
      </c>
      <c r="AA241" s="2828"/>
      <c r="AB241" s="2828"/>
      <c r="AC241" s="3091"/>
      <c r="AD241" s="2829" t="s">
        <v>78</v>
      </c>
      <c r="AE241" s="2830"/>
      <c r="AF241" s="2830"/>
      <c r="AG241" s="3095"/>
      <c r="AH241" s="2817" t="s">
        <v>79</v>
      </c>
      <c r="AI241" s="2818"/>
      <c r="AJ241" s="2818"/>
      <c r="AK241" s="3094"/>
      <c r="AL241" s="2819" t="s">
        <v>80</v>
      </c>
      <c r="AM241" s="2820"/>
      <c r="AN241" s="2820"/>
      <c r="AO241" s="3090"/>
      <c r="AP241" s="2821" t="s">
        <v>81</v>
      </c>
      <c r="AQ241" s="2822"/>
      <c r="AR241" s="2822"/>
      <c r="AS241" s="3093"/>
      <c r="AT241" s="2823" t="s">
        <v>82</v>
      </c>
      <c r="AU241" s="2824"/>
      <c r="AV241" s="2824"/>
      <c r="AW241" s="3089"/>
      <c r="AX241" s="2825" t="s">
        <v>83</v>
      </c>
      <c r="AY241" s="2826"/>
      <c r="AZ241" s="2826"/>
      <c r="BA241" s="3088"/>
      <c r="BB241" s="473"/>
      <c r="BC241" s="430"/>
      <c r="BD241" s="430"/>
      <c r="BE241" s="430"/>
      <c r="BF241" s="430"/>
      <c r="BG241" s="430"/>
      <c r="BH241" s="430"/>
      <c r="BR241" s="3112"/>
      <c r="BS241" s="3112"/>
      <c r="BT241" s="3112"/>
      <c r="BU241" s="3112"/>
    </row>
    <row r="242" spans="1:73" ht="14.4" thickBot="1">
      <c r="A242" s="2816"/>
      <c r="B242" s="402" t="s">
        <v>24</v>
      </c>
      <c r="C242" s="403" t="s">
        <v>96</v>
      </c>
      <c r="D242" s="403" t="s">
        <v>97</v>
      </c>
      <c r="E242" s="404" t="s">
        <v>91</v>
      </c>
      <c r="F242" s="402" t="s">
        <v>24</v>
      </c>
      <c r="G242" s="403" t="s">
        <v>96</v>
      </c>
      <c r="H242" s="403" t="s">
        <v>97</v>
      </c>
      <c r="I242" s="404" t="s">
        <v>91</v>
      </c>
      <c r="J242" s="402" t="s">
        <v>24</v>
      </c>
      <c r="K242" s="403" t="s">
        <v>96</v>
      </c>
      <c r="L242" s="403" t="s">
        <v>97</v>
      </c>
      <c r="M242" s="404" t="s">
        <v>91</v>
      </c>
      <c r="N242" s="402" t="s">
        <v>24</v>
      </c>
      <c r="O242" s="403" t="s">
        <v>96</v>
      </c>
      <c r="P242" s="403" t="s">
        <v>97</v>
      </c>
      <c r="Q242" s="404" t="s">
        <v>91</v>
      </c>
      <c r="R242" s="402" t="s">
        <v>24</v>
      </c>
      <c r="S242" s="403" t="s">
        <v>96</v>
      </c>
      <c r="T242" s="403" t="s">
        <v>97</v>
      </c>
      <c r="U242" s="404" t="s">
        <v>91</v>
      </c>
      <c r="V242" s="402" t="s">
        <v>24</v>
      </c>
      <c r="W242" s="403" t="s">
        <v>96</v>
      </c>
      <c r="X242" s="403" t="s">
        <v>97</v>
      </c>
      <c r="Y242" s="404" t="s">
        <v>91</v>
      </c>
      <c r="Z242" s="402" t="s">
        <v>24</v>
      </c>
      <c r="AA242" s="403" t="s">
        <v>96</v>
      </c>
      <c r="AB242" s="403" t="s">
        <v>97</v>
      </c>
      <c r="AC242" s="404" t="s">
        <v>91</v>
      </c>
      <c r="AD242" s="1062" t="s">
        <v>24</v>
      </c>
      <c r="AE242" s="403" t="s">
        <v>96</v>
      </c>
      <c r="AF242" s="403" t="s">
        <v>97</v>
      </c>
      <c r="AG242" s="404" t="s">
        <v>91</v>
      </c>
      <c r="AH242" s="402" t="s">
        <v>24</v>
      </c>
      <c r="AI242" s="403" t="s">
        <v>96</v>
      </c>
      <c r="AJ242" s="403" t="s">
        <v>97</v>
      </c>
      <c r="AK242" s="404" t="s">
        <v>91</v>
      </c>
      <c r="AL242" s="402" t="s">
        <v>24</v>
      </c>
      <c r="AM242" s="403" t="s">
        <v>96</v>
      </c>
      <c r="AN242" s="403" t="s">
        <v>97</v>
      </c>
      <c r="AO242" s="404" t="s">
        <v>91</v>
      </c>
      <c r="AP242" s="402" t="s">
        <v>24</v>
      </c>
      <c r="AQ242" s="403" t="s">
        <v>96</v>
      </c>
      <c r="AR242" s="403" t="s">
        <v>97</v>
      </c>
      <c r="AS242" s="404" t="s">
        <v>91</v>
      </c>
      <c r="AT242" s="402" t="s">
        <v>24</v>
      </c>
      <c r="AU242" s="403" t="s">
        <v>96</v>
      </c>
      <c r="AV242" s="403" t="s">
        <v>97</v>
      </c>
      <c r="AW242" s="404" t="s">
        <v>91</v>
      </c>
      <c r="AX242" s="1057" t="s">
        <v>24</v>
      </c>
      <c r="AY242" s="403" t="s">
        <v>96</v>
      </c>
      <c r="AZ242" s="403" t="s">
        <v>97</v>
      </c>
      <c r="BA242" s="431" t="s">
        <v>91</v>
      </c>
      <c r="BD242" s="117" t="s">
        <v>178</v>
      </c>
      <c r="BE242" s="117" t="s">
        <v>180</v>
      </c>
      <c r="BF242" s="430"/>
      <c r="BG242" s="430"/>
    </row>
    <row r="243" spans="1:73" ht="14.4">
      <c r="A243" s="397" t="s">
        <v>6</v>
      </c>
      <c r="B243" s="479">
        <v>685.83654000000001</v>
      </c>
      <c r="C243" s="451">
        <f t="shared" ref="C243:C252" si="435">+D211+E211</f>
        <v>496.24400363000018</v>
      </c>
      <c r="D243" s="451">
        <f t="shared" ref="D243:D252" si="436">+B243-C243</f>
        <v>189.59253636999983</v>
      </c>
      <c r="E243" s="474">
        <f t="shared" ref="E243:E252" si="437">+D243/B243*100</f>
        <v>27.643982977343235</v>
      </c>
      <c r="F243" s="479">
        <v>622.9323373200001</v>
      </c>
      <c r="G243" s="451">
        <f t="shared" ref="G243:G252" si="438">+H211+I211</f>
        <v>608.21341384000016</v>
      </c>
      <c r="H243" s="451">
        <f t="shared" ref="H243:H252" si="439">+F243-G243</f>
        <v>14.718923479999944</v>
      </c>
      <c r="I243" s="474">
        <f t="shared" ref="I243:I252" si="440">+H243/F243*100</f>
        <v>2.3628446619618719</v>
      </c>
      <c r="J243" s="479">
        <v>499.88197998000004</v>
      </c>
      <c r="K243" s="451">
        <f>+L211+M211</f>
        <v>515.10197500000038</v>
      </c>
      <c r="L243" s="451">
        <f t="shared" ref="L243:L252" si="441">+J243-K243</f>
        <v>-15.21999502000034</v>
      </c>
      <c r="M243" s="474">
        <f t="shared" ref="M243:M252" si="442">+L243/J243*100</f>
        <v>-3.0447176792828743</v>
      </c>
      <c r="N243" s="479">
        <v>272.86986000000002</v>
      </c>
      <c r="O243" s="451">
        <f t="shared" ref="O243:O252" si="443">+P211+Q211</f>
        <v>450.92671571000022</v>
      </c>
      <c r="P243" s="451">
        <f t="shared" ref="P243:P252" si="444">+N243-O243</f>
        <v>-178.05685571000021</v>
      </c>
      <c r="Q243" s="474">
        <f t="shared" ref="Q243:Q252" si="445">+P243/N243*100</f>
        <v>-65.253397978802127</v>
      </c>
      <c r="R243" s="450">
        <v>218.48639294999998</v>
      </c>
      <c r="S243" s="451">
        <f t="shared" ref="S243:S252" si="446">+T211+U211</f>
        <v>324.96831389000005</v>
      </c>
      <c r="T243" s="451">
        <f t="shared" ref="T243:T252" si="447">+R243-S243</f>
        <v>-106.48192094000007</v>
      </c>
      <c r="U243" s="474">
        <f t="shared" ref="U243:U252" si="448">+T243/R243*100</f>
        <v>-48.736179632187969</v>
      </c>
      <c r="V243" s="450">
        <v>163.06684702999999</v>
      </c>
      <c r="W243" s="451">
        <f t="shared" ref="W243:W252" si="449">+X211+Y211</f>
        <v>228.10792146999992</v>
      </c>
      <c r="X243" s="451">
        <f t="shared" ref="X243:X252" si="450">+V243-W243</f>
        <v>-65.041074439999932</v>
      </c>
      <c r="Y243" s="474">
        <f t="shared" ref="Y243:Y252" si="451">+X243/V243*100</f>
        <v>-39.886142170906204</v>
      </c>
      <c r="Z243" s="450">
        <v>184.15580399999999</v>
      </c>
      <c r="AA243" s="451">
        <f t="shared" ref="AA243:AA252" si="452">+AB211+AC211</f>
        <v>227.92967196999999</v>
      </c>
      <c r="AB243" s="451">
        <f t="shared" ref="AB243:AB252" si="453">+Z243-AA243</f>
        <v>-43.773867969999998</v>
      </c>
      <c r="AC243" s="474">
        <f t="shared" ref="AC243:AC252" si="454">+AB243/Z243*100</f>
        <v>-23.770018114661216</v>
      </c>
      <c r="AD243" s="450">
        <v>157.50607149000001</v>
      </c>
      <c r="AE243" s="451">
        <f t="shared" ref="AE243:AE252" si="455">+AF211+AG211</f>
        <v>184.19385033</v>
      </c>
      <c r="AF243" s="451">
        <f t="shared" ref="AF243:AF252" si="456">+AD243-AE243</f>
        <v>-26.687778839999993</v>
      </c>
      <c r="AG243" s="474">
        <f t="shared" ref="AG243:AG252" si="457">+AF243/AD243*100</f>
        <v>-16.943968310259322</v>
      </c>
      <c r="AH243" s="450"/>
      <c r="AI243" s="451">
        <f t="shared" ref="AI243:AI252" si="458">+AJ211+AK211</f>
        <v>0</v>
      </c>
      <c r="AJ243" s="451">
        <f t="shared" ref="AJ243:AJ252" si="459">+AH243-AI243</f>
        <v>0</v>
      </c>
      <c r="AK243" s="474" t="e">
        <f t="shared" ref="AK243:AK252" si="460">+AJ243/AH243*100</f>
        <v>#DIV/0!</v>
      </c>
      <c r="AL243" s="450"/>
      <c r="AM243" s="451">
        <f t="shared" ref="AM243:AM252" si="461">+AN211+AO211</f>
        <v>0</v>
      </c>
      <c r="AN243" s="451">
        <f t="shared" ref="AN243:AN252" si="462">+AL243-AM243</f>
        <v>0</v>
      </c>
      <c r="AO243" s="474" t="e">
        <f t="shared" ref="AO243:AO252" si="463">+AN243/AL243*100</f>
        <v>#DIV/0!</v>
      </c>
      <c r="AP243" s="450"/>
      <c r="AQ243" s="451">
        <f t="shared" ref="AQ243:AQ252" si="464">+AR211+AS211</f>
        <v>0</v>
      </c>
      <c r="AR243" s="451">
        <f t="shared" ref="AR243:AR252" si="465">+AP243-AQ243</f>
        <v>0</v>
      </c>
      <c r="AS243" s="474" t="e">
        <f t="shared" ref="AS243:AS252" si="466">+AR243/AP243*100</f>
        <v>#DIV/0!</v>
      </c>
      <c r="AT243" s="450"/>
      <c r="AU243" s="451">
        <f t="shared" ref="AU243:AU252" si="467">+AV211+AW211</f>
        <v>0</v>
      </c>
      <c r="AV243" s="451">
        <f t="shared" ref="AV243:AV252" si="468">+AT243-AU243</f>
        <v>0</v>
      </c>
      <c r="AW243" s="474" t="e">
        <f t="shared" ref="AW243:AW252" si="469">+AV243/AT243*100</f>
        <v>#DIV/0!</v>
      </c>
      <c r="AX243" s="1058">
        <f t="shared" ref="AX243:AX252" si="470">+B243+F243+J243+N243+R243+V243+Z243+AD243+AH243+AL243+AP243+AT243</f>
        <v>2804.7358327700008</v>
      </c>
      <c r="AY243" s="1098">
        <f t="shared" ref="AY243:AY252" si="471">+AZ211+BA211</f>
        <v>3035.6858658400006</v>
      </c>
      <c r="AZ243" s="442">
        <f>+AX243-AY243</f>
        <v>-230.95003306999979</v>
      </c>
      <c r="BA243" s="2040">
        <f>+AZ243/AX243*100</f>
        <v>-8.2342882481702357</v>
      </c>
      <c r="BB243" s="480"/>
      <c r="BC243" s="480"/>
      <c r="BD243" s="445">
        <f>AD243</f>
        <v>157.50607149000001</v>
      </c>
      <c r="BE243" s="446">
        <f>AG243</f>
        <v>-16.943968310259322</v>
      </c>
      <c r="BF243" s="430"/>
      <c r="BG243" s="430"/>
    </row>
    <row r="244" spans="1:73" ht="14.4">
      <c r="A244" s="397" t="s">
        <v>7</v>
      </c>
      <c r="B244" s="479">
        <v>651.86111900000003</v>
      </c>
      <c r="C244" s="451">
        <f t="shared" si="435"/>
        <v>553.11228752</v>
      </c>
      <c r="D244" s="451">
        <f t="shared" si="436"/>
        <v>98.748831480000035</v>
      </c>
      <c r="E244" s="474">
        <f t="shared" si="437"/>
        <v>15.148753101195474</v>
      </c>
      <c r="F244" s="479">
        <v>632.62451499999997</v>
      </c>
      <c r="G244" s="451">
        <f t="shared" si="438"/>
        <v>585.57852291999984</v>
      </c>
      <c r="H244" s="451">
        <f t="shared" si="439"/>
        <v>47.045992080000133</v>
      </c>
      <c r="I244" s="474">
        <f t="shared" si="440"/>
        <v>7.4366375258157893</v>
      </c>
      <c r="J244" s="479">
        <v>388.122229</v>
      </c>
      <c r="K244" s="451">
        <f t="shared" ref="K244:K252" si="472">+L212+M212</f>
        <v>439.20947722000011</v>
      </c>
      <c r="L244" s="451">
        <f t="shared" si="441"/>
        <v>-51.087248220000106</v>
      </c>
      <c r="M244" s="474">
        <f t="shared" si="442"/>
        <v>-13.162670005175123</v>
      </c>
      <c r="N244" s="479">
        <v>246.00104400000001</v>
      </c>
      <c r="O244" s="451">
        <f t="shared" si="443"/>
        <v>487.78443441000002</v>
      </c>
      <c r="P244" s="451">
        <f t="shared" si="444"/>
        <v>-241.78339041000001</v>
      </c>
      <c r="Q244" s="474">
        <f t="shared" si="445"/>
        <v>-98.285513946843253</v>
      </c>
      <c r="R244" s="450">
        <v>143.34225000000001</v>
      </c>
      <c r="S244" s="451">
        <f t="shared" si="446"/>
        <v>278.16914800000001</v>
      </c>
      <c r="T244" s="451">
        <f t="shared" si="447"/>
        <v>-134.826898</v>
      </c>
      <c r="U244" s="474">
        <f t="shared" si="448"/>
        <v>-94.059426303131133</v>
      </c>
      <c r="V244" s="450">
        <v>67.755330999999998</v>
      </c>
      <c r="W244" s="451">
        <f t="shared" si="449"/>
        <v>125.13176149</v>
      </c>
      <c r="X244" s="451">
        <f t="shared" si="450"/>
        <v>-57.376430490000004</v>
      </c>
      <c r="Y244" s="474">
        <f t="shared" si="451"/>
        <v>-84.681794986729543</v>
      </c>
      <c r="Z244" s="450">
        <v>59.633873999999999</v>
      </c>
      <c r="AA244" s="451">
        <f t="shared" si="452"/>
        <v>110.48775619</v>
      </c>
      <c r="AB244" s="451">
        <f t="shared" si="453"/>
        <v>-50.85388219</v>
      </c>
      <c r="AC244" s="474">
        <f t="shared" si="454"/>
        <v>-85.276838110500748</v>
      </c>
      <c r="AD244" s="450">
        <v>61.369314000000003</v>
      </c>
      <c r="AE244" s="451">
        <f t="shared" si="455"/>
        <v>70.441858289999999</v>
      </c>
      <c r="AF244" s="451">
        <f t="shared" si="456"/>
        <v>-9.0725442899999962</v>
      </c>
      <c r="AG244" s="474">
        <f t="shared" si="457"/>
        <v>-14.783519154214428</v>
      </c>
      <c r="AH244" s="450"/>
      <c r="AI244" s="451">
        <f t="shared" si="458"/>
        <v>0</v>
      </c>
      <c r="AJ244" s="451">
        <f t="shared" si="459"/>
        <v>0</v>
      </c>
      <c r="AK244" s="474" t="e">
        <f t="shared" si="460"/>
        <v>#DIV/0!</v>
      </c>
      <c r="AL244" s="450"/>
      <c r="AM244" s="451">
        <f t="shared" si="461"/>
        <v>0</v>
      </c>
      <c r="AN244" s="451">
        <f t="shared" si="462"/>
        <v>0</v>
      </c>
      <c r="AO244" s="474" t="e">
        <f t="shared" si="463"/>
        <v>#DIV/0!</v>
      </c>
      <c r="AP244" s="450"/>
      <c r="AQ244" s="451">
        <f t="shared" si="464"/>
        <v>0</v>
      </c>
      <c r="AR244" s="451">
        <f t="shared" si="465"/>
        <v>0</v>
      </c>
      <c r="AS244" s="474" t="e">
        <f t="shared" si="466"/>
        <v>#DIV/0!</v>
      </c>
      <c r="AT244" s="450"/>
      <c r="AU244" s="451">
        <f t="shared" si="467"/>
        <v>0</v>
      </c>
      <c r="AV244" s="451">
        <f t="shared" si="468"/>
        <v>0</v>
      </c>
      <c r="AW244" s="474" t="e">
        <f t="shared" si="469"/>
        <v>#DIV/0!</v>
      </c>
      <c r="AX244" s="1063">
        <f t="shared" si="470"/>
        <v>2250.7096760000004</v>
      </c>
      <c r="AY244" s="1047">
        <f t="shared" si="471"/>
        <v>2649.9152460399991</v>
      </c>
      <c r="AZ244" s="447">
        <f t="shared" ref="AZ244:AZ252" si="473">+AX244-AY244</f>
        <v>-399.20557003999875</v>
      </c>
      <c r="BA244" s="1898">
        <f t="shared" ref="BA244:BA253" si="474">+AZ244/AX244*100</f>
        <v>-17.736875364106208</v>
      </c>
      <c r="BB244" s="480"/>
      <c r="BC244" s="480"/>
      <c r="BD244" s="445">
        <f t="shared" ref="BD244:BD253" si="475">AD244</f>
        <v>61.369314000000003</v>
      </c>
      <c r="BE244" s="446">
        <f t="shared" ref="BE244:BE252" si="476">AG244</f>
        <v>-14.783519154214428</v>
      </c>
      <c r="BF244" s="430"/>
      <c r="BG244" s="430"/>
    </row>
    <row r="245" spans="1:73" ht="14.4">
      <c r="A245" s="397" t="s">
        <v>8</v>
      </c>
      <c r="B245" s="479">
        <v>581.15881899999999</v>
      </c>
      <c r="C245" s="451">
        <f t="shared" si="435"/>
        <v>562.75005864000013</v>
      </c>
      <c r="D245" s="451">
        <f t="shared" si="436"/>
        <v>18.40876035999986</v>
      </c>
      <c r="E245" s="474">
        <f t="shared" si="437"/>
        <v>3.1675954589617716</v>
      </c>
      <c r="F245" s="479">
        <v>572.69739300000003</v>
      </c>
      <c r="G245" s="451">
        <f t="shared" si="438"/>
        <v>513.76452132999998</v>
      </c>
      <c r="H245" s="451">
        <f t="shared" si="439"/>
        <v>58.932871670000054</v>
      </c>
      <c r="I245" s="474">
        <f t="shared" si="440"/>
        <v>10.290403342206247</v>
      </c>
      <c r="J245" s="479">
        <v>417.54899399999999</v>
      </c>
      <c r="K245" s="451">
        <f t="shared" si="472"/>
        <v>433.35603600999968</v>
      </c>
      <c r="L245" s="451">
        <f t="shared" si="441"/>
        <v>-15.807042009999691</v>
      </c>
      <c r="M245" s="474">
        <f t="shared" si="442"/>
        <v>-3.785673594509892</v>
      </c>
      <c r="N245" s="479">
        <v>272.69195100000002</v>
      </c>
      <c r="O245" s="451">
        <f t="shared" si="443"/>
        <v>483.74396726999987</v>
      </c>
      <c r="P245" s="451">
        <f t="shared" si="444"/>
        <v>-211.05201626999985</v>
      </c>
      <c r="Q245" s="474">
        <f t="shared" si="445"/>
        <v>-77.39576305646068</v>
      </c>
      <c r="R245" s="450">
        <v>139.05978400000001</v>
      </c>
      <c r="S245" s="451">
        <f t="shared" si="446"/>
        <v>262.56681320999979</v>
      </c>
      <c r="T245" s="451">
        <f t="shared" si="447"/>
        <v>-123.50702920999979</v>
      </c>
      <c r="U245" s="474">
        <f t="shared" si="448"/>
        <v>-88.815778118855533</v>
      </c>
      <c r="V245" s="450">
        <v>64.350081000000003</v>
      </c>
      <c r="W245" s="451">
        <f t="shared" si="449"/>
        <v>142.73582083999997</v>
      </c>
      <c r="X245" s="451">
        <f t="shared" si="450"/>
        <v>-78.385739839999971</v>
      </c>
      <c r="Y245" s="474">
        <f t="shared" si="451"/>
        <v>-121.81140819387619</v>
      </c>
      <c r="Z245" s="450">
        <v>52.969614</v>
      </c>
      <c r="AA245" s="451">
        <f t="shared" si="452"/>
        <v>109.09880824999999</v>
      </c>
      <c r="AB245" s="451">
        <f t="shared" si="453"/>
        <v>-56.129194249999991</v>
      </c>
      <c r="AC245" s="474">
        <f t="shared" si="454"/>
        <v>-105.96489196617516</v>
      </c>
      <c r="AD245" s="450">
        <v>55.285124000000003</v>
      </c>
      <c r="AE245" s="451">
        <f t="shared" si="455"/>
        <v>64.424617299999966</v>
      </c>
      <c r="AF245" s="451">
        <f t="shared" si="456"/>
        <v>-9.1394932999999625</v>
      </c>
      <c r="AG245" s="474">
        <f t="shared" si="457"/>
        <v>-16.531559737480126</v>
      </c>
      <c r="AH245" s="450"/>
      <c r="AI245" s="451">
        <f t="shared" si="458"/>
        <v>0</v>
      </c>
      <c r="AJ245" s="451">
        <f t="shared" si="459"/>
        <v>0</v>
      </c>
      <c r="AK245" s="474" t="e">
        <f t="shared" si="460"/>
        <v>#DIV/0!</v>
      </c>
      <c r="AL245" s="450"/>
      <c r="AM245" s="451">
        <f t="shared" si="461"/>
        <v>0</v>
      </c>
      <c r="AN245" s="451">
        <f t="shared" si="462"/>
        <v>0</v>
      </c>
      <c r="AO245" s="474" t="e">
        <f t="shared" si="463"/>
        <v>#DIV/0!</v>
      </c>
      <c r="AP245" s="450"/>
      <c r="AQ245" s="451">
        <f t="shared" si="464"/>
        <v>0</v>
      </c>
      <c r="AR245" s="451">
        <f t="shared" si="465"/>
        <v>0</v>
      </c>
      <c r="AS245" s="474" t="e">
        <f t="shared" si="466"/>
        <v>#DIV/0!</v>
      </c>
      <c r="AT245" s="450"/>
      <c r="AU245" s="451">
        <f t="shared" si="467"/>
        <v>0</v>
      </c>
      <c r="AV245" s="451">
        <f t="shared" si="468"/>
        <v>0</v>
      </c>
      <c r="AW245" s="474" t="e">
        <f t="shared" si="469"/>
        <v>#DIV/0!</v>
      </c>
      <c r="AX245" s="1063">
        <f t="shared" si="470"/>
        <v>2155.7617600000003</v>
      </c>
      <c r="AY245" s="1047">
        <f t="shared" si="471"/>
        <v>2572.4406428499992</v>
      </c>
      <c r="AZ245" s="447">
        <f t="shared" si="473"/>
        <v>-416.6788828499989</v>
      </c>
      <c r="BA245" s="1898">
        <f t="shared" si="474"/>
        <v>-19.328614626228401</v>
      </c>
      <c r="BB245" s="480"/>
      <c r="BC245" s="480"/>
      <c r="BD245" s="445">
        <f t="shared" si="475"/>
        <v>55.285124000000003</v>
      </c>
      <c r="BE245" s="446">
        <f t="shared" si="476"/>
        <v>-16.531559737480126</v>
      </c>
      <c r="BF245" s="430"/>
      <c r="BG245" s="430"/>
    </row>
    <row r="246" spans="1:73" ht="14.4">
      <c r="A246" s="397" t="s">
        <v>4</v>
      </c>
      <c r="B246" s="479">
        <v>944.97756700000002</v>
      </c>
      <c r="C246" s="451">
        <f t="shared" si="435"/>
        <v>764.88352785000006</v>
      </c>
      <c r="D246" s="451">
        <f t="shared" si="436"/>
        <v>180.09403914999996</v>
      </c>
      <c r="E246" s="474">
        <f t="shared" si="437"/>
        <v>19.05802269166459</v>
      </c>
      <c r="F246" s="479">
        <v>774.32205899999997</v>
      </c>
      <c r="G246" s="451">
        <f t="shared" si="438"/>
        <v>844.98752075000004</v>
      </c>
      <c r="H246" s="451">
        <f t="shared" si="439"/>
        <v>-70.665461750000077</v>
      </c>
      <c r="I246" s="474">
        <f t="shared" si="440"/>
        <v>-9.1261072739243865</v>
      </c>
      <c r="J246" s="479">
        <v>670.89014299999997</v>
      </c>
      <c r="K246" s="451">
        <f t="shared" si="472"/>
        <v>725.20081332999996</v>
      </c>
      <c r="L246" s="451">
        <f t="shared" si="441"/>
        <v>-54.310670329999994</v>
      </c>
      <c r="M246" s="474">
        <f t="shared" si="442"/>
        <v>-8.0953149925769594</v>
      </c>
      <c r="N246" s="479">
        <v>361.14102400000002</v>
      </c>
      <c r="O246" s="451">
        <f t="shared" si="443"/>
        <v>721.90666783999995</v>
      </c>
      <c r="P246" s="451">
        <f t="shared" si="444"/>
        <v>-360.76564383999994</v>
      </c>
      <c r="Q246" s="474">
        <f t="shared" si="445"/>
        <v>-99.896057181252246</v>
      </c>
      <c r="R246" s="450">
        <v>221.56954300000001</v>
      </c>
      <c r="S246" s="451">
        <f t="shared" si="446"/>
        <v>433.76733170999989</v>
      </c>
      <c r="T246" s="451">
        <f t="shared" si="447"/>
        <v>-212.19778870999988</v>
      </c>
      <c r="U246" s="474">
        <f t="shared" si="448"/>
        <v>-95.770287665394463</v>
      </c>
      <c r="V246" s="450">
        <v>95.131193999999994</v>
      </c>
      <c r="W246" s="451">
        <f t="shared" si="449"/>
        <v>225.36173808000004</v>
      </c>
      <c r="X246" s="451">
        <f t="shared" si="450"/>
        <v>-130.23054408000004</v>
      </c>
      <c r="Y246" s="474">
        <f t="shared" si="451"/>
        <v>-136.89573167766616</v>
      </c>
      <c r="Z246" s="450">
        <v>85.788334000000006</v>
      </c>
      <c r="AA246" s="451">
        <f t="shared" si="452"/>
        <v>182.10777426999999</v>
      </c>
      <c r="AB246" s="451">
        <f t="shared" si="453"/>
        <v>-96.319440269999987</v>
      </c>
      <c r="AC246" s="474">
        <f t="shared" si="454"/>
        <v>-112.275685724355</v>
      </c>
      <c r="AD246" s="450">
        <v>79.869473999999997</v>
      </c>
      <c r="AE246" s="451">
        <f t="shared" si="455"/>
        <v>100.96165829999998</v>
      </c>
      <c r="AF246" s="451">
        <f t="shared" si="456"/>
        <v>-21.092184299999985</v>
      </c>
      <c r="AG246" s="474">
        <f t="shared" si="457"/>
        <v>-26.408317525666924</v>
      </c>
      <c r="AH246" s="450"/>
      <c r="AI246" s="451">
        <f t="shared" si="458"/>
        <v>0</v>
      </c>
      <c r="AJ246" s="451">
        <f t="shared" si="459"/>
        <v>0</v>
      </c>
      <c r="AK246" s="474" t="e">
        <f t="shared" si="460"/>
        <v>#DIV/0!</v>
      </c>
      <c r="AL246" s="450"/>
      <c r="AM246" s="451">
        <f t="shared" si="461"/>
        <v>0</v>
      </c>
      <c r="AN246" s="451">
        <f t="shared" si="462"/>
        <v>0</v>
      </c>
      <c r="AO246" s="474" t="e">
        <f t="shared" si="463"/>
        <v>#DIV/0!</v>
      </c>
      <c r="AP246" s="450"/>
      <c r="AQ246" s="451">
        <f t="shared" si="464"/>
        <v>0</v>
      </c>
      <c r="AR246" s="451">
        <f t="shared" si="465"/>
        <v>0</v>
      </c>
      <c r="AS246" s="474" t="e">
        <f t="shared" si="466"/>
        <v>#DIV/0!</v>
      </c>
      <c r="AT246" s="450"/>
      <c r="AU246" s="451">
        <f t="shared" si="467"/>
        <v>0</v>
      </c>
      <c r="AV246" s="451">
        <f t="shared" si="468"/>
        <v>0</v>
      </c>
      <c r="AW246" s="474" t="e">
        <f t="shared" si="469"/>
        <v>#DIV/0!</v>
      </c>
      <c r="AX246" s="1063">
        <f t="shared" si="470"/>
        <v>3233.6893380000001</v>
      </c>
      <c r="AY246" s="1047">
        <f t="shared" si="471"/>
        <v>3999.1770321299991</v>
      </c>
      <c r="AZ246" s="447">
        <f t="shared" si="473"/>
        <v>-765.487694129999</v>
      </c>
      <c r="BA246" s="1898">
        <f t="shared" si="474"/>
        <v>-23.67227071365626</v>
      </c>
      <c r="BB246" s="480"/>
      <c r="BC246" s="480"/>
      <c r="BD246" s="445">
        <f t="shared" si="475"/>
        <v>79.869473999999997</v>
      </c>
      <c r="BE246" s="446">
        <f t="shared" si="476"/>
        <v>-26.408317525666924</v>
      </c>
      <c r="BF246" s="430"/>
      <c r="BG246" s="430"/>
    </row>
    <row r="247" spans="1:73" ht="14.4">
      <c r="A247" s="397" t="s">
        <v>3</v>
      </c>
      <c r="B247" s="479">
        <v>1045.2998299999999</v>
      </c>
      <c r="C247" s="451">
        <f t="shared" si="435"/>
        <v>798.92889165000008</v>
      </c>
      <c r="D247" s="451">
        <f t="shared" si="436"/>
        <v>246.37093834999985</v>
      </c>
      <c r="E247" s="474">
        <f t="shared" si="437"/>
        <v>23.569403847506592</v>
      </c>
      <c r="F247" s="479">
        <v>928.00328200000001</v>
      </c>
      <c r="G247" s="451">
        <f t="shared" si="438"/>
        <v>882.73161464000009</v>
      </c>
      <c r="H247" s="451">
        <f t="shared" si="439"/>
        <v>45.271667359999924</v>
      </c>
      <c r="I247" s="474">
        <f t="shared" si="440"/>
        <v>4.8783951779170458</v>
      </c>
      <c r="J247" s="479">
        <v>707.18533300000001</v>
      </c>
      <c r="K247" s="451">
        <f t="shared" si="472"/>
        <v>693.23976116999984</v>
      </c>
      <c r="L247" s="451">
        <f t="shared" si="441"/>
        <v>13.945571830000176</v>
      </c>
      <c r="M247" s="474">
        <f t="shared" si="442"/>
        <v>1.9719826160478608</v>
      </c>
      <c r="N247" s="479">
        <v>458.41986600000001</v>
      </c>
      <c r="O247" s="451">
        <f t="shared" si="443"/>
        <v>714.94808564999994</v>
      </c>
      <c r="P247" s="451">
        <f t="shared" si="444"/>
        <v>-256.52821964999993</v>
      </c>
      <c r="Q247" s="474">
        <f t="shared" si="445"/>
        <v>-55.959228357263193</v>
      </c>
      <c r="R247" s="479">
        <v>206.691497</v>
      </c>
      <c r="S247" s="451">
        <f t="shared" si="446"/>
        <v>441.96297494999993</v>
      </c>
      <c r="T247" s="451">
        <f t="shared" si="447"/>
        <v>-235.27147794999993</v>
      </c>
      <c r="U247" s="474">
        <f t="shared" si="448"/>
        <v>-113.82736172741539</v>
      </c>
      <c r="V247" s="479">
        <v>107.702489</v>
      </c>
      <c r="W247" s="451">
        <f t="shared" si="449"/>
        <v>243.01892886000002</v>
      </c>
      <c r="X247" s="451">
        <f t="shared" si="450"/>
        <v>-135.31643986</v>
      </c>
      <c r="Y247" s="474">
        <f t="shared" si="451"/>
        <v>-125.63910185956799</v>
      </c>
      <c r="Z247" s="450">
        <v>92.992178999999993</v>
      </c>
      <c r="AA247" s="451">
        <f t="shared" si="452"/>
        <v>165.29668449999991</v>
      </c>
      <c r="AB247" s="451">
        <f t="shared" si="453"/>
        <v>-72.304505499999919</v>
      </c>
      <c r="AC247" s="474">
        <f t="shared" si="454"/>
        <v>-77.753318910830046</v>
      </c>
      <c r="AD247" s="450">
        <v>104.927069</v>
      </c>
      <c r="AE247" s="451">
        <f t="shared" si="455"/>
        <v>119.07377231000004</v>
      </c>
      <c r="AF247" s="451">
        <f t="shared" si="456"/>
        <v>-14.146703310000035</v>
      </c>
      <c r="AG247" s="474">
        <f t="shared" si="457"/>
        <v>-13.48241540035778</v>
      </c>
      <c r="AH247" s="450"/>
      <c r="AI247" s="451">
        <f t="shared" si="458"/>
        <v>0</v>
      </c>
      <c r="AJ247" s="451">
        <f t="shared" si="459"/>
        <v>0</v>
      </c>
      <c r="AK247" s="474" t="e">
        <f t="shared" si="460"/>
        <v>#DIV/0!</v>
      </c>
      <c r="AL247" s="450"/>
      <c r="AM247" s="451">
        <f t="shared" si="461"/>
        <v>0</v>
      </c>
      <c r="AN247" s="451">
        <f t="shared" si="462"/>
        <v>0</v>
      </c>
      <c r="AO247" s="474" t="e">
        <f t="shared" si="463"/>
        <v>#DIV/0!</v>
      </c>
      <c r="AP247" s="450"/>
      <c r="AQ247" s="451">
        <f t="shared" si="464"/>
        <v>0</v>
      </c>
      <c r="AR247" s="451">
        <f t="shared" si="465"/>
        <v>0</v>
      </c>
      <c r="AS247" s="474" t="e">
        <f t="shared" si="466"/>
        <v>#DIV/0!</v>
      </c>
      <c r="AT247" s="450"/>
      <c r="AU247" s="451">
        <f t="shared" si="467"/>
        <v>0</v>
      </c>
      <c r="AV247" s="451">
        <f t="shared" si="468"/>
        <v>0</v>
      </c>
      <c r="AW247" s="474" t="e">
        <f t="shared" si="469"/>
        <v>#DIV/0!</v>
      </c>
      <c r="AX247" s="1063">
        <f t="shared" si="470"/>
        <v>3651.2215449999994</v>
      </c>
      <c r="AY247" s="1047">
        <f t="shared" si="471"/>
        <v>4059.2007137299993</v>
      </c>
      <c r="AZ247" s="447">
        <f t="shared" si="473"/>
        <v>-407.97916872999986</v>
      </c>
      <c r="BA247" s="1898">
        <f t="shared" si="474"/>
        <v>-11.173771947327833</v>
      </c>
      <c r="BB247" s="480"/>
      <c r="BC247" s="480"/>
      <c r="BD247" s="445">
        <f t="shared" si="475"/>
        <v>104.927069</v>
      </c>
      <c r="BE247" s="446">
        <f t="shared" si="476"/>
        <v>-13.48241540035778</v>
      </c>
      <c r="BF247" s="430"/>
      <c r="BG247" s="430"/>
    </row>
    <row r="248" spans="1:73" ht="14.4">
      <c r="A248" s="397" t="s">
        <v>397</v>
      </c>
      <c r="B248" s="479">
        <v>297.58002800000003</v>
      </c>
      <c r="C248" s="451">
        <f t="shared" si="435"/>
        <v>189.78866719999976</v>
      </c>
      <c r="D248" s="451">
        <f t="shared" si="436"/>
        <v>107.79136080000026</v>
      </c>
      <c r="E248" s="474">
        <f t="shared" si="437"/>
        <v>36.222646232159192</v>
      </c>
      <c r="F248" s="479">
        <v>252.72600468000002</v>
      </c>
      <c r="G248" s="451">
        <f t="shared" si="438"/>
        <v>228.90282747999774</v>
      </c>
      <c r="H248" s="451">
        <f>+F248-G248</f>
        <v>23.823177200002277</v>
      </c>
      <c r="I248" s="474">
        <f t="shared" si="440"/>
        <v>9.4264843185278959</v>
      </c>
      <c r="J248" s="479">
        <v>211.77231702</v>
      </c>
      <c r="K248" s="451">
        <f t="shared" si="472"/>
        <v>205.71388128000194</v>
      </c>
      <c r="L248" s="451">
        <f t="shared" si="441"/>
        <v>6.0584357399980604</v>
      </c>
      <c r="M248" s="474">
        <f t="shared" si="442"/>
        <v>2.8608251660323929</v>
      </c>
      <c r="N248" s="479">
        <v>118.78684199999999</v>
      </c>
      <c r="O248" s="451">
        <f t="shared" si="443"/>
        <v>190.30191659000008</v>
      </c>
      <c r="P248" s="451">
        <f t="shared" si="444"/>
        <v>-71.515074590000083</v>
      </c>
      <c r="Q248" s="474">
        <f t="shared" si="445"/>
        <v>-60.204542343166331</v>
      </c>
      <c r="R248" s="450">
        <v>84.670096049999998</v>
      </c>
      <c r="S248" s="451">
        <f t="shared" si="446"/>
        <v>130.55465263000178</v>
      </c>
      <c r="T248" s="451">
        <f t="shared" si="447"/>
        <v>-45.884556580001785</v>
      </c>
      <c r="U248" s="474">
        <f t="shared" si="448"/>
        <v>-54.192163137391155</v>
      </c>
      <c r="V248" s="450">
        <v>53.255471970000002</v>
      </c>
      <c r="W248" s="451">
        <f t="shared" si="449"/>
        <v>92.221025490000912</v>
      </c>
      <c r="X248" s="451">
        <f t="shared" si="450"/>
        <v>-38.96555352000091</v>
      </c>
      <c r="Y248" s="474">
        <f t="shared" si="451"/>
        <v>-73.167229729840869</v>
      </c>
      <c r="Z248" s="450">
        <v>56.860405999999998</v>
      </c>
      <c r="AA248" s="451">
        <f t="shared" si="452"/>
        <v>76.51412049000011</v>
      </c>
      <c r="AB248" s="451">
        <f t="shared" si="453"/>
        <v>-19.653714490000112</v>
      </c>
      <c r="AC248" s="474">
        <f t="shared" si="454"/>
        <v>-34.564850785624209</v>
      </c>
      <c r="AD248" s="450">
        <v>57.610941509999996</v>
      </c>
      <c r="AE248" s="451">
        <f t="shared" si="455"/>
        <v>59.418570859999868</v>
      </c>
      <c r="AF248" s="451">
        <f t="shared" si="456"/>
        <v>-1.8076293499998712</v>
      </c>
      <c r="AG248" s="474">
        <f t="shared" si="457"/>
        <v>-3.137649381560804</v>
      </c>
      <c r="AH248" s="450"/>
      <c r="AI248" s="451">
        <f t="shared" si="458"/>
        <v>0</v>
      </c>
      <c r="AJ248" s="451">
        <f t="shared" si="459"/>
        <v>0</v>
      </c>
      <c r="AK248" s="474" t="e">
        <f t="shared" si="460"/>
        <v>#DIV/0!</v>
      </c>
      <c r="AL248" s="450"/>
      <c r="AM248" s="451">
        <f t="shared" si="461"/>
        <v>0</v>
      </c>
      <c r="AN248" s="451">
        <f t="shared" si="462"/>
        <v>0</v>
      </c>
      <c r="AO248" s="474" t="e">
        <f t="shared" si="463"/>
        <v>#DIV/0!</v>
      </c>
      <c r="AP248" s="450"/>
      <c r="AQ248" s="451">
        <f t="shared" si="464"/>
        <v>0</v>
      </c>
      <c r="AR248" s="451">
        <f t="shared" si="465"/>
        <v>0</v>
      </c>
      <c r="AS248" s="474" t="e">
        <f t="shared" si="466"/>
        <v>#DIV/0!</v>
      </c>
      <c r="AT248" s="450"/>
      <c r="AU248" s="451">
        <f t="shared" si="467"/>
        <v>0</v>
      </c>
      <c r="AV248" s="451">
        <f t="shared" si="468"/>
        <v>0</v>
      </c>
      <c r="AW248" s="474" t="e">
        <f t="shared" si="469"/>
        <v>#DIV/0!</v>
      </c>
      <c r="AX248" s="1063">
        <f t="shared" si="470"/>
        <v>1133.2621072299999</v>
      </c>
      <c r="AY248" s="1047">
        <f t="shared" si="471"/>
        <v>1173.4156620200024</v>
      </c>
      <c r="AZ248" s="447">
        <f t="shared" si="473"/>
        <v>-40.153554790002545</v>
      </c>
      <c r="BA248" s="1898">
        <f t="shared" si="474"/>
        <v>-3.5431833936589241</v>
      </c>
      <c r="BB248" s="480"/>
      <c r="BC248" s="480"/>
      <c r="BD248" s="445">
        <f t="shared" si="475"/>
        <v>57.610941509999996</v>
      </c>
      <c r="BE248" s="446">
        <f t="shared" si="476"/>
        <v>-3.137649381560804</v>
      </c>
      <c r="BF248" s="430"/>
      <c r="BG248" s="430"/>
    </row>
    <row r="249" spans="1:73" ht="14.4">
      <c r="A249" s="397" t="s">
        <v>399</v>
      </c>
      <c r="B249" s="479">
        <v>521.38491799999997</v>
      </c>
      <c r="C249" s="451">
        <f t="shared" si="435"/>
        <v>405.03134307999994</v>
      </c>
      <c r="D249" s="451">
        <f t="shared" si="436"/>
        <v>116.35357492000003</v>
      </c>
      <c r="E249" s="474">
        <f t="shared" si="437"/>
        <v>22.316252523437978</v>
      </c>
      <c r="F249" s="479">
        <v>459.1325228</v>
      </c>
      <c r="G249" s="451">
        <f t="shared" si="438"/>
        <v>447.73041781999996</v>
      </c>
      <c r="H249" s="451">
        <f t="shared" si="439"/>
        <v>11.402104980000047</v>
      </c>
      <c r="I249" s="474">
        <f t="shared" si="440"/>
        <v>2.483401722549472</v>
      </c>
      <c r="J249" s="479">
        <v>359.89617900000002</v>
      </c>
      <c r="K249" s="451">
        <f t="shared" si="472"/>
        <v>319.33958927999993</v>
      </c>
      <c r="L249" s="451">
        <f t="shared" si="441"/>
        <v>40.55658972000009</v>
      </c>
      <c r="M249" s="474">
        <f t="shared" si="442"/>
        <v>11.268969243488435</v>
      </c>
      <c r="N249" s="479">
        <v>212.43230500000001</v>
      </c>
      <c r="O249" s="451">
        <f t="shared" si="443"/>
        <v>373.24650359999998</v>
      </c>
      <c r="P249" s="451">
        <f t="shared" si="444"/>
        <v>-160.81419859999997</v>
      </c>
      <c r="Q249" s="474">
        <f t="shared" si="445"/>
        <v>-75.701385719088236</v>
      </c>
      <c r="R249" s="450">
        <v>168.15725699999999</v>
      </c>
      <c r="S249" s="451">
        <f t="shared" si="446"/>
        <v>260.66506988000015</v>
      </c>
      <c r="T249" s="451">
        <f t="shared" si="447"/>
        <v>-92.507812880000159</v>
      </c>
      <c r="U249" s="474">
        <f t="shared" si="448"/>
        <v>-55.01267951819657</v>
      </c>
      <c r="V249" s="450">
        <v>125.339848</v>
      </c>
      <c r="W249" s="451">
        <f t="shared" si="449"/>
        <v>151.33500461000003</v>
      </c>
      <c r="X249" s="451">
        <f t="shared" si="450"/>
        <v>-25.995156610000024</v>
      </c>
      <c r="Y249" s="474">
        <f t="shared" si="451"/>
        <v>-20.739738419022196</v>
      </c>
      <c r="Z249" s="450">
        <v>124.212436</v>
      </c>
      <c r="AA249" s="451">
        <f t="shared" si="452"/>
        <v>167.43071563999999</v>
      </c>
      <c r="AB249" s="451">
        <f t="shared" si="453"/>
        <v>-43.218279639999992</v>
      </c>
      <c r="AC249" s="474">
        <f t="shared" si="454"/>
        <v>-34.793842735682276</v>
      </c>
      <c r="AD249" s="450">
        <v>122.400375</v>
      </c>
      <c r="AE249" s="451">
        <f t="shared" si="455"/>
        <v>140.48753844999999</v>
      </c>
      <c r="AF249" s="451">
        <f t="shared" si="456"/>
        <v>-18.087163449999991</v>
      </c>
      <c r="AG249" s="474">
        <f t="shared" si="457"/>
        <v>-14.777049049073575</v>
      </c>
      <c r="AH249" s="450"/>
      <c r="AI249" s="451">
        <f t="shared" si="458"/>
        <v>0</v>
      </c>
      <c r="AJ249" s="451">
        <f t="shared" si="459"/>
        <v>0</v>
      </c>
      <c r="AK249" s="474" t="e">
        <f t="shared" si="460"/>
        <v>#DIV/0!</v>
      </c>
      <c r="AL249" s="450"/>
      <c r="AM249" s="451">
        <f t="shared" si="461"/>
        <v>0</v>
      </c>
      <c r="AN249" s="451">
        <f t="shared" si="462"/>
        <v>0</v>
      </c>
      <c r="AO249" s="474" t="e">
        <f t="shared" si="463"/>
        <v>#DIV/0!</v>
      </c>
      <c r="AP249" s="450"/>
      <c r="AQ249" s="451">
        <f t="shared" si="464"/>
        <v>0</v>
      </c>
      <c r="AR249" s="451">
        <f t="shared" si="465"/>
        <v>0</v>
      </c>
      <c r="AS249" s="474" t="e">
        <f t="shared" si="466"/>
        <v>#DIV/0!</v>
      </c>
      <c r="AT249" s="450"/>
      <c r="AU249" s="451">
        <f t="shared" si="467"/>
        <v>0</v>
      </c>
      <c r="AV249" s="451">
        <f t="shared" si="468"/>
        <v>0</v>
      </c>
      <c r="AW249" s="474" t="e">
        <f t="shared" si="469"/>
        <v>#DIV/0!</v>
      </c>
      <c r="AX249" s="1063">
        <f t="shared" si="470"/>
        <v>2092.9558408000003</v>
      </c>
      <c r="AY249" s="1047">
        <f t="shared" si="471"/>
        <v>2265.2661823600001</v>
      </c>
      <c r="AZ249" s="447">
        <f t="shared" si="473"/>
        <v>-172.31034155999987</v>
      </c>
      <c r="BA249" s="1898">
        <f t="shared" si="474"/>
        <v>-8.2328703836454036</v>
      </c>
      <c r="BB249" s="480"/>
      <c r="BC249" s="480"/>
      <c r="BD249" s="445">
        <f t="shared" si="475"/>
        <v>122.400375</v>
      </c>
      <c r="BE249" s="446">
        <f t="shared" si="476"/>
        <v>-14.777049049073575</v>
      </c>
      <c r="BF249" s="430"/>
      <c r="BG249" s="430"/>
    </row>
    <row r="250" spans="1:73" ht="14.4">
      <c r="A250" s="397" t="s">
        <v>883</v>
      </c>
      <c r="B250" s="479">
        <v>427.70807600000001</v>
      </c>
      <c r="C250" s="451">
        <f t="shared" si="435"/>
        <v>339.96296793000118</v>
      </c>
      <c r="D250" s="451">
        <f t="shared" si="436"/>
        <v>87.745108069998821</v>
      </c>
      <c r="E250" s="474">
        <f t="shared" si="437"/>
        <v>20.51518617338402</v>
      </c>
      <c r="F250" s="479">
        <v>347.77246700000001</v>
      </c>
      <c r="G250" s="451">
        <f t="shared" si="438"/>
        <v>372.65448491000075</v>
      </c>
      <c r="H250" s="451">
        <f t="shared" si="439"/>
        <v>-24.882017910000741</v>
      </c>
      <c r="I250" s="474">
        <f t="shared" si="440"/>
        <v>-7.1546830962902943</v>
      </c>
      <c r="J250" s="479">
        <v>235.058267</v>
      </c>
      <c r="K250" s="451">
        <f t="shared" si="472"/>
        <v>243.48773218999884</v>
      </c>
      <c r="L250" s="451">
        <f t="shared" si="441"/>
        <v>-8.4294651899988366</v>
      </c>
      <c r="M250" s="474">
        <f t="shared" si="442"/>
        <v>-3.58611730511858</v>
      </c>
      <c r="N250" s="479">
        <v>130.52634900000001</v>
      </c>
      <c r="O250" s="451">
        <f t="shared" si="443"/>
        <v>268.1489386299989</v>
      </c>
      <c r="P250" s="451">
        <f t="shared" si="444"/>
        <v>-137.62258962999888</v>
      </c>
      <c r="Q250" s="474">
        <f t="shared" si="445"/>
        <v>-105.43663458325865</v>
      </c>
      <c r="R250" s="450">
        <v>77.316514999999995</v>
      </c>
      <c r="S250" s="451">
        <f t="shared" si="446"/>
        <v>153.3940251400013</v>
      </c>
      <c r="T250" s="451">
        <f t="shared" si="447"/>
        <v>-76.077510140001309</v>
      </c>
      <c r="U250" s="474">
        <f t="shared" si="448"/>
        <v>-98.397490031723905</v>
      </c>
      <c r="V250" s="450">
        <v>53.283107000000001</v>
      </c>
      <c r="W250" s="451">
        <f t="shared" si="449"/>
        <v>73.21230946999934</v>
      </c>
      <c r="X250" s="451">
        <f t="shared" si="450"/>
        <v>-19.929202469999339</v>
      </c>
      <c r="Y250" s="474">
        <f t="shared" si="451"/>
        <v>-37.402478181310521</v>
      </c>
      <c r="Z250" s="450">
        <v>44.949201000000002</v>
      </c>
      <c r="AA250" s="451">
        <f t="shared" si="452"/>
        <v>77.317026559999746</v>
      </c>
      <c r="AB250" s="451">
        <f t="shared" si="453"/>
        <v>-32.367825559999744</v>
      </c>
      <c r="AC250" s="474">
        <f t="shared" si="454"/>
        <v>-72.009790696835168</v>
      </c>
      <c r="AD250" s="450">
        <v>43.985266000000003</v>
      </c>
      <c r="AE250" s="451">
        <f t="shared" si="455"/>
        <v>55.041078791999638</v>
      </c>
      <c r="AF250" s="451">
        <f t="shared" si="456"/>
        <v>-11.055812791999635</v>
      </c>
      <c r="AG250" s="474">
        <f t="shared" si="457"/>
        <v>-25.135264140495671</v>
      </c>
      <c r="AH250" s="450"/>
      <c r="AI250" s="451">
        <f t="shared" si="458"/>
        <v>0</v>
      </c>
      <c r="AJ250" s="451">
        <f t="shared" si="459"/>
        <v>0</v>
      </c>
      <c r="AK250" s="474" t="e">
        <f t="shared" si="460"/>
        <v>#DIV/0!</v>
      </c>
      <c r="AL250" s="450"/>
      <c r="AM250" s="451">
        <f t="shared" si="461"/>
        <v>0</v>
      </c>
      <c r="AN250" s="451">
        <f t="shared" si="462"/>
        <v>0</v>
      </c>
      <c r="AO250" s="474" t="e">
        <f t="shared" si="463"/>
        <v>#DIV/0!</v>
      </c>
      <c r="AP250" s="450"/>
      <c r="AQ250" s="451">
        <f t="shared" si="464"/>
        <v>0</v>
      </c>
      <c r="AR250" s="451">
        <f t="shared" si="465"/>
        <v>0</v>
      </c>
      <c r="AS250" s="474" t="e">
        <f t="shared" si="466"/>
        <v>#DIV/0!</v>
      </c>
      <c r="AT250" s="450"/>
      <c r="AU250" s="451">
        <f t="shared" si="467"/>
        <v>0</v>
      </c>
      <c r="AV250" s="451">
        <f t="shared" si="468"/>
        <v>0</v>
      </c>
      <c r="AW250" s="474" t="e">
        <f t="shared" si="469"/>
        <v>#DIV/0!</v>
      </c>
      <c r="AX250" s="1063">
        <f t="shared" si="470"/>
        <v>1360.5992479999998</v>
      </c>
      <c r="AY250" s="1047">
        <f t="shared" si="471"/>
        <v>1583.2185636219997</v>
      </c>
      <c r="AZ250" s="447">
        <f t="shared" si="473"/>
        <v>-222.61931562199993</v>
      </c>
      <c r="BA250" s="1898">
        <f t="shared" si="474"/>
        <v>-16.361857905568971</v>
      </c>
      <c r="BB250" s="480"/>
      <c r="BC250" s="480"/>
      <c r="BD250" s="445">
        <f t="shared" si="475"/>
        <v>43.985266000000003</v>
      </c>
      <c r="BE250" s="446">
        <f t="shared" si="476"/>
        <v>-25.135264140495671</v>
      </c>
      <c r="BF250" s="430"/>
      <c r="BG250" s="430"/>
    </row>
    <row r="251" spans="1:73" ht="14.4">
      <c r="A251" s="397" t="s">
        <v>884</v>
      </c>
      <c r="B251" s="479">
        <v>431.66607800000003</v>
      </c>
      <c r="C251" s="451">
        <f t="shared" si="435"/>
        <v>334.50076111999994</v>
      </c>
      <c r="D251" s="451">
        <f t="shared" si="436"/>
        <v>97.165316880000091</v>
      </c>
      <c r="E251" s="474">
        <f t="shared" si="437"/>
        <v>22.50937051393695</v>
      </c>
      <c r="F251" s="479">
        <v>350.34268500000002</v>
      </c>
      <c r="G251" s="451">
        <f t="shared" si="438"/>
        <v>373.44957627999997</v>
      </c>
      <c r="H251" s="451">
        <f t="shared" si="439"/>
        <v>-23.106891279999957</v>
      </c>
      <c r="I251" s="474">
        <f t="shared" si="440"/>
        <v>-6.595511272056374</v>
      </c>
      <c r="J251" s="479">
        <v>258.30479700000001</v>
      </c>
      <c r="K251" s="451">
        <f t="shared" si="472"/>
        <v>239.65958417000002</v>
      </c>
      <c r="L251" s="451">
        <f t="shared" si="441"/>
        <v>18.645212829999991</v>
      </c>
      <c r="M251" s="474">
        <f t="shared" si="442"/>
        <v>7.2182990972482752</v>
      </c>
      <c r="N251" s="479">
        <v>120.379987</v>
      </c>
      <c r="O251" s="451">
        <f t="shared" si="443"/>
        <v>306.86328051999999</v>
      </c>
      <c r="P251" s="451">
        <f t="shared" si="444"/>
        <v>-186.48329351999999</v>
      </c>
      <c r="Q251" s="474">
        <f t="shared" si="445"/>
        <v>-154.91220606295627</v>
      </c>
      <c r="R251" s="450">
        <v>100.240116</v>
      </c>
      <c r="S251" s="451">
        <f t="shared" si="446"/>
        <v>190.34819713999997</v>
      </c>
      <c r="T251" s="451">
        <f t="shared" si="447"/>
        <v>-90.108081139999967</v>
      </c>
      <c r="U251" s="474">
        <f t="shared" si="448"/>
        <v>-89.892235499807242</v>
      </c>
      <c r="V251" s="1872">
        <v>69.053905999999998</v>
      </c>
      <c r="W251" s="451">
        <f t="shared" si="449"/>
        <v>80.787204970000005</v>
      </c>
      <c r="X251" s="451">
        <f t="shared" si="450"/>
        <v>-11.733298970000007</v>
      </c>
      <c r="Y251" s="474">
        <f t="shared" si="451"/>
        <v>-16.991506563003121</v>
      </c>
      <c r="Z251" s="450">
        <v>76.065483999999998</v>
      </c>
      <c r="AA251" s="451">
        <f t="shared" si="452"/>
        <v>122.41931398000003</v>
      </c>
      <c r="AB251" s="451">
        <f t="shared" si="453"/>
        <v>-46.353829980000029</v>
      </c>
      <c r="AC251" s="474">
        <f t="shared" si="454"/>
        <v>-60.939374263365011</v>
      </c>
      <c r="AD251" s="450">
        <v>68.217302000000004</v>
      </c>
      <c r="AE251" s="451">
        <f t="shared" si="455"/>
        <v>81.999664780000003</v>
      </c>
      <c r="AF251" s="451">
        <f t="shared" si="456"/>
        <v>-13.78236278</v>
      </c>
      <c r="AG251" s="474">
        <f t="shared" si="457"/>
        <v>-20.203617522135364</v>
      </c>
      <c r="AH251" s="450"/>
      <c r="AI251" s="451">
        <f t="shared" si="458"/>
        <v>0</v>
      </c>
      <c r="AJ251" s="451">
        <f t="shared" si="459"/>
        <v>0</v>
      </c>
      <c r="AK251" s="474" t="e">
        <f t="shared" si="460"/>
        <v>#DIV/0!</v>
      </c>
      <c r="AL251" s="450"/>
      <c r="AM251" s="451">
        <f t="shared" si="461"/>
        <v>0</v>
      </c>
      <c r="AN251" s="451">
        <f t="shared" si="462"/>
        <v>0</v>
      </c>
      <c r="AO251" s="474" t="e">
        <f t="shared" si="463"/>
        <v>#DIV/0!</v>
      </c>
      <c r="AP251" s="450"/>
      <c r="AQ251" s="451">
        <f t="shared" si="464"/>
        <v>0</v>
      </c>
      <c r="AR251" s="451">
        <f t="shared" si="465"/>
        <v>0</v>
      </c>
      <c r="AS251" s="474" t="e">
        <f t="shared" si="466"/>
        <v>#DIV/0!</v>
      </c>
      <c r="AT251" s="450"/>
      <c r="AU251" s="451">
        <f t="shared" si="467"/>
        <v>0</v>
      </c>
      <c r="AV251" s="451">
        <f t="shared" si="468"/>
        <v>0</v>
      </c>
      <c r="AW251" s="474" t="e">
        <f t="shared" si="469"/>
        <v>#DIV/0!</v>
      </c>
      <c r="AX251" s="1063">
        <f t="shared" si="470"/>
        <v>1474.2703550000001</v>
      </c>
      <c r="AY251" s="1047">
        <f t="shared" si="471"/>
        <v>1730.02758296</v>
      </c>
      <c r="AZ251" s="447">
        <f t="shared" si="473"/>
        <v>-255.75722795999991</v>
      </c>
      <c r="BA251" s="1898">
        <f t="shared" si="474"/>
        <v>-17.348054723653444</v>
      </c>
      <c r="BB251" s="480"/>
      <c r="BC251" s="480"/>
      <c r="BD251" s="445">
        <f t="shared" si="475"/>
        <v>68.217302000000004</v>
      </c>
      <c r="BE251" s="446">
        <f t="shared" si="476"/>
        <v>-20.203617522135364</v>
      </c>
      <c r="BF251" s="430"/>
      <c r="BG251" s="430"/>
    </row>
    <row r="252" spans="1:73" ht="15" thickBot="1">
      <c r="A252" s="397" t="s">
        <v>885</v>
      </c>
      <c r="B252" s="479">
        <v>260.57543199999998</v>
      </c>
      <c r="C252" s="451">
        <f t="shared" si="435"/>
        <v>198.27748346399977</v>
      </c>
      <c r="D252" s="451">
        <f t="shared" si="436"/>
        <v>62.297948536000206</v>
      </c>
      <c r="E252" s="474">
        <f t="shared" si="437"/>
        <v>23.907836612931419</v>
      </c>
      <c r="F252" s="479">
        <v>255.288163</v>
      </c>
      <c r="G252" s="451">
        <f t="shared" si="438"/>
        <v>228.42199803400013</v>
      </c>
      <c r="H252" s="451">
        <f t="shared" si="439"/>
        <v>26.866164965999872</v>
      </c>
      <c r="I252" s="474">
        <f t="shared" si="440"/>
        <v>10.523858470476704</v>
      </c>
      <c r="J252" s="1869">
        <v>187.12259599999999</v>
      </c>
      <c r="K252" s="451">
        <f t="shared" si="472"/>
        <v>184.03023632599997</v>
      </c>
      <c r="L252" s="451">
        <f t="shared" si="441"/>
        <v>3.0923596740000221</v>
      </c>
      <c r="M252" s="474">
        <f t="shared" si="442"/>
        <v>1.6525848508429319</v>
      </c>
      <c r="N252" s="479">
        <v>112.726642</v>
      </c>
      <c r="O252" s="451">
        <f t="shared" si="443"/>
        <v>211.70135619800021</v>
      </c>
      <c r="P252" s="451">
        <f t="shared" si="444"/>
        <v>-98.974714198000214</v>
      </c>
      <c r="Q252" s="474">
        <f t="shared" si="445"/>
        <v>-87.800640950521895</v>
      </c>
      <c r="R252" s="450">
        <v>53.715269999999997</v>
      </c>
      <c r="S252" s="451">
        <f t="shared" si="446"/>
        <v>135.14987927799999</v>
      </c>
      <c r="T252" s="451">
        <f t="shared" si="447"/>
        <v>-81.434609277999982</v>
      </c>
      <c r="U252" s="474">
        <f t="shared" si="448"/>
        <v>-151.60420729152062</v>
      </c>
      <c r="V252" s="450">
        <v>24.915251999999999</v>
      </c>
      <c r="W252" s="451">
        <f t="shared" si="449"/>
        <v>54.122755394000059</v>
      </c>
      <c r="X252" s="451">
        <f t="shared" si="450"/>
        <v>-29.20750339400006</v>
      </c>
      <c r="Y252" s="474">
        <f t="shared" si="451"/>
        <v>-117.22740510110057</v>
      </c>
      <c r="Z252" s="450">
        <v>21.128986000000001</v>
      </c>
      <c r="AA252" s="451">
        <f t="shared" si="452"/>
        <v>51.811188668000014</v>
      </c>
      <c r="AB252" s="451">
        <f t="shared" si="453"/>
        <v>-30.682202668000013</v>
      </c>
      <c r="AC252" s="474">
        <f t="shared" si="454"/>
        <v>-145.21379619447904</v>
      </c>
      <c r="AD252" s="450">
        <v>20.659275999999998</v>
      </c>
      <c r="AE252" s="451">
        <f t="shared" si="455"/>
        <v>26.864460779999995</v>
      </c>
      <c r="AF252" s="451">
        <f t="shared" si="456"/>
        <v>-6.2051847799999962</v>
      </c>
      <c r="AG252" s="474">
        <f t="shared" si="457"/>
        <v>-30.035828845115368</v>
      </c>
      <c r="AH252" s="450"/>
      <c r="AI252" s="451">
        <f t="shared" si="458"/>
        <v>0</v>
      </c>
      <c r="AJ252" s="451">
        <f t="shared" si="459"/>
        <v>0</v>
      </c>
      <c r="AK252" s="474" t="e">
        <f t="shared" si="460"/>
        <v>#DIV/0!</v>
      </c>
      <c r="AL252" s="450"/>
      <c r="AM252" s="451">
        <f t="shared" si="461"/>
        <v>0</v>
      </c>
      <c r="AN252" s="451">
        <f t="shared" si="462"/>
        <v>0</v>
      </c>
      <c r="AO252" s="474" t="e">
        <f t="shared" si="463"/>
        <v>#DIV/0!</v>
      </c>
      <c r="AP252" s="450"/>
      <c r="AQ252" s="451">
        <f t="shared" si="464"/>
        <v>0</v>
      </c>
      <c r="AR252" s="451">
        <f t="shared" si="465"/>
        <v>0</v>
      </c>
      <c r="AS252" s="474" t="e">
        <f t="shared" si="466"/>
        <v>#DIV/0!</v>
      </c>
      <c r="AT252" s="450"/>
      <c r="AU252" s="451">
        <f t="shared" si="467"/>
        <v>0</v>
      </c>
      <c r="AV252" s="451">
        <f t="shared" si="468"/>
        <v>0</v>
      </c>
      <c r="AW252" s="474" t="e">
        <f t="shared" si="469"/>
        <v>#DIV/0!</v>
      </c>
      <c r="AX252" s="1063">
        <f t="shared" si="470"/>
        <v>936.13161700000001</v>
      </c>
      <c r="AY252" s="1047">
        <f t="shared" si="471"/>
        <v>1090.379358142</v>
      </c>
      <c r="AZ252" s="447">
        <f t="shared" si="473"/>
        <v>-154.247741142</v>
      </c>
      <c r="BA252" s="1898">
        <f t="shared" si="474"/>
        <v>-16.47714256637483</v>
      </c>
      <c r="BB252" s="480"/>
      <c r="BC252" s="480"/>
      <c r="BD252" s="445">
        <f t="shared" si="475"/>
        <v>20.659275999999998</v>
      </c>
      <c r="BE252" s="446">
        <f t="shared" si="476"/>
        <v>-30.035828845115368</v>
      </c>
      <c r="BF252" s="430"/>
      <c r="BG252" s="430"/>
    </row>
    <row r="253" spans="1:73" ht="15" thickBot="1">
      <c r="A253" s="433" t="s">
        <v>16</v>
      </c>
      <c r="B253" s="468">
        <f>SUM(B243:B252)</f>
        <v>5848.0484069999993</v>
      </c>
      <c r="C253" s="477">
        <f>SUM(C243:C252)</f>
        <v>4643.4799920840014</v>
      </c>
      <c r="D253" s="2139">
        <f>+B253-C253</f>
        <v>1204.5684149159979</v>
      </c>
      <c r="E253" s="1376">
        <f>+D253/B253*100</f>
        <v>20.597784612626548</v>
      </c>
      <c r="F253" s="468">
        <f>SUM(F243:F252)</f>
        <v>5195.8414287999994</v>
      </c>
      <c r="G253" s="477">
        <f>SUM(G243:G252)</f>
        <v>5086.4348980039986</v>
      </c>
      <c r="H253" s="477">
        <f>+F253-G253</f>
        <v>109.40653079600088</v>
      </c>
      <c r="I253" s="1376">
        <f>+H253/F253*100</f>
        <v>2.1056556920611946</v>
      </c>
      <c r="J253" s="468">
        <f>SUM(J243:J252)</f>
        <v>3935.782835</v>
      </c>
      <c r="K253" s="477">
        <f>SUM(K243:K252)</f>
        <v>3998.3390859760007</v>
      </c>
      <c r="L253" s="477">
        <f>+J253-K253</f>
        <v>-62.556250976000683</v>
      </c>
      <c r="M253" s="1376">
        <f>+L253/J253*100</f>
        <v>-1.5894233396137234</v>
      </c>
      <c r="N253" s="468">
        <f>SUM(N243:N252)</f>
        <v>2305.9758700000002</v>
      </c>
      <c r="O253" s="477">
        <f>SUM(O243:O252)</f>
        <v>4209.5718664179985</v>
      </c>
      <c r="P253" s="477">
        <f>+N253-O253</f>
        <v>-1903.5959964179983</v>
      </c>
      <c r="Q253" s="1376">
        <f>+P253/N253*100</f>
        <v>-82.550560098358631</v>
      </c>
      <c r="R253" s="468">
        <f>SUM(R243:R252)</f>
        <v>1413.2487209999999</v>
      </c>
      <c r="S253" s="477">
        <f>SUM(S243:S252)</f>
        <v>2611.5464058280027</v>
      </c>
      <c r="T253" s="477">
        <f>+R253-S253</f>
        <v>-1198.2976848280027</v>
      </c>
      <c r="U253" s="2043">
        <f>+T253/R253*100</f>
        <v>-84.790289707822978</v>
      </c>
      <c r="V253" s="468">
        <f>SUM(V243:V252)</f>
        <v>823.85352699999987</v>
      </c>
      <c r="W253" s="477">
        <f>SUM(W243:W252)</f>
        <v>1416.0344706740002</v>
      </c>
      <c r="X253" s="477">
        <f>+V253-W253</f>
        <v>-592.18094367400033</v>
      </c>
      <c r="Y253" s="457">
        <f>+X253/V253*100</f>
        <v>-71.879396551275605</v>
      </c>
      <c r="Z253" s="468">
        <f>SUM(Z243:Z252)</f>
        <v>798.75631800000008</v>
      </c>
      <c r="AA253" s="477">
        <f>SUM(AA243:AA252)</f>
        <v>1290.4130605179998</v>
      </c>
      <c r="AB253" s="477">
        <f>+Z253-AA253</f>
        <v>-491.65674251799976</v>
      </c>
      <c r="AC253" s="457">
        <f>+AB253/Z253*100</f>
        <v>-61.552782924967076</v>
      </c>
      <c r="AD253" s="468">
        <f>SUM(AD243:AD252)</f>
        <v>771.83021300000019</v>
      </c>
      <c r="AE253" s="477">
        <f>SUM(AE243:AE252)</f>
        <v>902.90707019199942</v>
      </c>
      <c r="AF253" s="477">
        <f>+AD253-AE253</f>
        <v>-131.07685719199924</v>
      </c>
      <c r="AG253" s="457">
        <f>+AF253/AD253*100</f>
        <v>-16.98260251856702</v>
      </c>
      <c r="AH253" s="468">
        <f>SUM(AH243:AH252)</f>
        <v>0</v>
      </c>
      <c r="AI253" s="477">
        <f>SUM(AI243:AI252)</f>
        <v>0</v>
      </c>
      <c r="AJ253" s="477">
        <f>+AH253-AI253</f>
        <v>0</v>
      </c>
      <c r="AK253" s="457" t="e">
        <f>+AJ253/AH253*100</f>
        <v>#DIV/0!</v>
      </c>
      <c r="AL253" s="468">
        <f>SUM(AL243:AL252)</f>
        <v>0</v>
      </c>
      <c r="AM253" s="477">
        <f>SUM(AM243:AM252)</f>
        <v>0</v>
      </c>
      <c r="AN253" s="477">
        <f>+AL253-AM253</f>
        <v>0</v>
      </c>
      <c r="AO253" s="457" t="e">
        <f>+AN253/AL253*100</f>
        <v>#DIV/0!</v>
      </c>
      <c r="AP253" s="468">
        <f>SUM(AP243:AP252)</f>
        <v>0</v>
      </c>
      <c r="AQ253" s="2139">
        <f>SUM(AQ243:AQ252)</f>
        <v>0</v>
      </c>
      <c r="AR253" s="477">
        <f>+AP253-AQ253</f>
        <v>0</v>
      </c>
      <c r="AS253" s="457" t="e">
        <f>+AR253/AP253*100</f>
        <v>#DIV/0!</v>
      </c>
      <c r="AT253" s="468">
        <f>SUM(AT243:AT252)</f>
        <v>0</v>
      </c>
      <c r="AU253" s="477">
        <f>SUM(AU243:AU252)</f>
        <v>0</v>
      </c>
      <c r="AV253" s="477">
        <f>+AT253-AU253</f>
        <v>0</v>
      </c>
      <c r="AW253" s="457" t="e">
        <f>+AV253/AT253*100</f>
        <v>#DIV/0!</v>
      </c>
      <c r="AX253" s="1048">
        <f>SUM(AX243:AX252)</f>
        <v>21093.337319800001</v>
      </c>
      <c r="AY253" s="1048">
        <f>SUM(AY243:AY252)</f>
        <v>24158.726849693994</v>
      </c>
      <c r="AZ253" s="478">
        <f>+AX253-AY253</f>
        <v>-3065.3895298939933</v>
      </c>
      <c r="BA253" s="1459">
        <f t="shared" si="474"/>
        <v>-14.532501345894458</v>
      </c>
      <c r="BB253" s="480"/>
      <c r="BD253" s="445">
        <f t="shared" si="475"/>
        <v>771.83021300000019</v>
      </c>
      <c r="BE253" s="446">
        <f>AG253</f>
        <v>-16.98260251856702</v>
      </c>
    </row>
    <row r="254" spans="1:73">
      <c r="A254" s="424"/>
      <c r="B254" s="483">
        <v>5856560791.21</v>
      </c>
      <c r="C254" s="424"/>
      <c r="D254" s="424"/>
      <c r="E254" s="424"/>
      <c r="F254" s="1276"/>
      <c r="G254" s="424"/>
      <c r="H254" s="424"/>
      <c r="I254" s="424">
        <v>2989.0802867000002</v>
      </c>
      <c r="J254" s="395" t="s">
        <v>1209</v>
      </c>
      <c r="K254" s="424"/>
      <c r="L254" s="424"/>
      <c r="M254" s="2211">
        <f>100-(M253)</f>
        <v>101.58942333961372</v>
      </c>
      <c r="N254" s="395"/>
      <c r="O254" s="395"/>
      <c r="P254" s="1276">
        <f>P253/9.28</f>
        <v>-205.12887892435327</v>
      </c>
      <c r="Q254" s="424"/>
      <c r="R254" s="424"/>
      <c r="S254" s="424"/>
      <c r="T254" s="424"/>
      <c r="U254" s="424"/>
      <c r="V254" s="446">
        <f>V253+R253+N253</f>
        <v>4543.0781179999994</v>
      </c>
      <c r="W254" s="446"/>
      <c r="X254" s="484"/>
      <c r="Y254" s="484">
        <f>+X254/V254*100</f>
        <v>0</v>
      </c>
      <c r="Z254" s="424"/>
      <c r="AA254" s="424"/>
      <c r="AB254" s="424"/>
      <c r="AC254" s="445">
        <f>Z253+AD253+AH253</f>
        <v>1570.5865310000004</v>
      </c>
      <c r="AD254" s="1056"/>
      <c r="AE254" s="424"/>
      <c r="AF254" s="424"/>
      <c r="AG254" s="424"/>
      <c r="AH254" s="1243">
        <f>AH253+AD253+Z253</f>
        <v>1570.5865310000004</v>
      </c>
      <c r="AI254" s="1243">
        <f>AI253+AE253+AA253</f>
        <v>2193.3201307099994</v>
      </c>
      <c r="AJ254" s="1243">
        <f>AJ253+AF253+AB253</f>
        <v>-622.733599709999</v>
      </c>
      <c r="AK254" s="424"/>
      <c r="AL254" s="425"/>
      <c r="AM254" s="424"/>
      <c r="AN254" s="424"/>
      <c r="AO254" s="424"/>
      <c r="AP254" s="424"/>
      <c r="AQ254" s="424"/>
      <c r="AR254" s="424"/>
      <c r="AS254" s="424"/>
      <c r="AT254" s="446"/>
      <c r="AU254" s="424"/>
      <c r="AV254" s="424"/>
      <c r="AW254" s="424"/>
      <c r="AX254" s="1064"/>
      <c r="AY254" s="485"/>
      <c r="AZ254" s="1512"/>
      <c r="BA254" s="1950"/>
      <c r="BD254" s="445"/>
      <c r="BE254" s="446"/>
    </row>
    <row r="255" spans="1:73">
      <c r="A255" s="424"/>
      <c r="B255" s="424"/>
      <c r="C255" s="426"/>
      <c r="D255" s="424"/>
      <c r="E255" s="424"/>
      <c r="F255" s="424"/>
      <c r="H255" s="424"/>
      <c r="I255" s="424"/>
      <c r="J255" s="424"/>
      <c r="K255" s="424"/>
      <c r="L255" s="424"/>
      <c r="M255" s="2211">
        <f>M254-M239</f>
        <v>-4.7426561030659826</v>
      </c>
      <c r="N255" s="485"/>
      <c r="O255" s="424"/>
      <c r="P255" s="424"/>
      <c r="Q255" s="424"/>
      <c r="R255" s="424"/>
      <c r="S255" s="424"/>
      <c r="T255" s="424"/>
      <c r="U255" s="1390">
        <f>BA253-BA238</f>
        <v>-3.605891554098438</v>
      </c>
      <c r="V255" s="483"/>
      <c r="W255" s="424"/>
      <c r="X255" s="424"/>
      <c r="Y255" s="424"/>
      <c r="Z255" s="424"/>
      <c r="AA255" s="424"/>
      <c r="AB255" s="424"/>
      <c r="AC255" s="424"/>
      <c r="AD255" s="1056"/>
      <c r="AE255" s="424"/>
      <c r="AF255" s="424"/>
      <c r="AG255" s="424"/>
      <c r="AH255" s="424"/>
      <c r="AI255" s="424"/>
      <c r="AJ255" s="424"/>
      <c r="AK255" s="424"/>
      <c r="AL255" s="424">
        <f>3</f>
        <v>3</v>
      </c>
      <c r="AM255" s="424"/>
      <c r="AN255" s="424"/>
      <c r="AO255" s="424"/>
      <c r="AP255" s="424"/>
      <c r="AQ255" s="424"/>
      <c r="AR255" s="445"/>
      <c r="AS255" s="424"/>
      <c r="AT255" s="424"/>
      <c r="AU255" s="424"/>
      <c r="AV255" s="424"/>
      <c r="AW255" s="424"/>
      <c r="AX255" s="1064"/>
      <c r="AY255" s="424"/>
      <c r="AZ255" s="424">
        <f>BA255+BB255</f>
        <v>2774.6824790000001</v>
      </c>
      <c r="BA255" s="2527">
        <f>BB255+BC255</f>
        <v>1597.2442189999999</v>
      </c>
      <c r="BB255" s="117">
        <v>1177.4382599999999</v>
      </c>
      <c r="BC255" s="117">
        <v>419.80595899999997</v>
      </c>
    </row>
    <row r="256" spans="1:73" ht="18">
      <c r="A256" s="393" t="s">
        <v>1047</v>
      </c>
    </row>
    <row r="257" spans="1:73" ht="18.600000000000001" thickBot="1">
      <c r="A257" s="394" t="s">
        <v>1048</v>
      </c>
      <c r="AT257" s="117">
        <v>23.342376000000002</v>
      </c>
      <c r="AU257" s="117">
        <v>2.0153289999999999</v>
      </c>
      <c r="AV257" s="117">
        <v>25.357705000000003</v>
      </c>
      <c r="AW257" s="117">
        <v>1.30687</v>
      </c>
    </row>
    <row r="258" spans="1:73">
      <c r="A258" s="3113" t="str">
        <f>A99</f>
        <v>DD</v>
      </c>
      <c r="B258" s="3115" t="s">
        <v>71</v>
      </c>
      <c r="C258" s="3116"/>
      <c r="D258" s="3116"/>
      <c r="E258" s="3117"/>
      <c r="F258" s="3097" t="s">
        <v>72</v>
      </c>
      <c r="G258" s="3098"/>
      <c r="H258" s="3098"/>
      <c r="I258" s="3099"/>
      <c r="J258" s="3100" t="s">
        <v>73</v>
      </c>
      <c r="K258" s="3101"/>
      <c r="L258" s="3101"/>
      <c r="M258" s="3102"/>
      <c r="N258" s="3103" t="s">
        <v>74</v>
      </c>
      <c r="O258" s="3104"/>
      <c r="P258" s="3104"/>
      <c r="Q258" s="3105"/>
      <c r="R258" s="3106" t="s">
        <v>75</v>
      </c>
      <c r="S258" s="3107"/>
      <c r="T258" s="3107"/>
      <c r="U258" s="3108"/>
      <c r="V258" s="3109" t="s">
        <v>76</v>
      </c>
      <c r="W258" s="3110"/>
      <c r="X258" s="3110"/>
      <c r="Y258" s="3111"/>
      <c r="Z258" s="3115" t="s">
        <v>77</v>
      </c>
      <c r="AA258" s="3116"/>
      <c r="AB258" s="3116"/>
      <c r="AC258" s="3117"/>
      <c r="AD258" s="3097" t="s">
        <v>78</v>
      </c>
      <c r="AE258" s="3098"/>
      <c r="AF258" s="3098"/>
      <c r="AG258" s="3099"/>
      <c r="AH258" s="3100" t="s">
        <v>79</v>
      </c>
      <c r="AI258" s="3101"/>
      <c r="AJ258" s="3101"/>
      <c r="AK258" s="3102"/>
      <c r="AL258" s="3103" t="s">
        <v>80</v>
      </c>
      <c r="AM258" s="3104"/>
      <c r="AN258" s="3104"/>
      <c r="AO258" s="3105"/>
      <c r="AP258" s="3106" t="s">
        <v>81</v>
      </c>
      <c r="AQ258" s="3107"/>
      <c r="AR258" s="3107"/>
      <c r="AS258" s="3108"/>
      <c r="AT258" s="3109" t="s">
        <v>82</v>
      </c>
      <c r="AU258" s="3110"/>
      <c r="AV258" s="3110"/>
      <c r="AW258" s="3111"/>
      <c r="AX258" s="3097" t="s">
        <v>83</v>
      </c>
      <c r="AY258" s="3098"/>
      <c r="AZ258" s="3098"/>
      <c r="BA258" s="3098"/>
      <c r="BB258" s="3099"/>
      <c r="BC258" s="430"/>
      <c r="BD258" s="430"/>
      <c r="BE258" s="430"/>
      <c r="BF258" s="430"/>
      <c r="BG258" s="430"/>
      <c r="BH258" s="430"/>
      <c r="BI258" s="430"/>
      <c r="BR258" s="3112"/>
      <c r="BS258" s="3112"/>
      <c r="BT258" s="3112"/>
      <c r="BU258" s="3112"/>
    </row>
    <row r="259" spans="1:73" ht="14.4" thickBot="1">
      <c r="A259" s="3114"/>
      <c r="B259" s="402" t="s">
        <v>17</v>
      </c>
      <c r="C259" s="403" t="s">
        <v>18</v>
      </c>
      <c r="D259" s="403" t="s">
        <v>56</v>
      </c>
      <c r="E259" s="404" t="s">
        <v>21</v>
      </c>
      <c r="F259" s="402" t="s">
        <v>17</v>
      </c>
      <c r="G259" s="403" t="s">
        <v>18</v>
      </c>
      <c r="H259" s="403" t="s">
        <v>56</v>
      </c>
      <c r="I259" s="404" t="s">
        <v>21</v>
      </c>
      <c r="J259" s="402" t="s">
        <v>17</v>
      </c>
      <c r="K259" s="403" t="s">
        <v>18</v>
      </c>
      <c r="L259" s="403" t="s">
        <v>56</v>
      </c>
      <c r="M259" s="404" t="s">
        <v>21</v>
      </c>
      <c r="N259" s="402" t="s">
        <v>17</v>
      </c>
      <c r="O259" s="403" t="s">
        <v>18</v>
      </c>
      <c r="P259" s="403" t="s">
        <v>56</v>
      </c>
      <c r="Q259" s="404" t="s">
        <v>21</v>
      </c>
      <c r="R259" s="402" t="s">
        <v>17</v>
      </c>
      <c r="S259" s="403" t="s">
        <v>18</v>
      </c>
      <c r="T259" s="403" t="s">
        <v>56</v>
      </c>
      <c r="U259" s="404" t="s">
        <v>21</v>
      </c>
      <c r="V259" s="402" t="s">
        <v>17</v>
      </c>
      <c r="W259" s="403" t="s">
        <v>18</v>
      </c>
      <c r="X259" s="403" t="s">
        <v>56</v>
      </c>
      <c r="Y259" s="404" t="s">
        <v>21</v>
      </c>
      <c r="Z259" s="402" t="s">
        <v>17</v>
      </c>
      <c r="AA259" s="403" t="s">
        <v>18</v>
      </c>
      <c r="AB259" s="403" t="s">
        <v>56</v>
      </c>
      <c r="AC259" s="404" t="s">
        <v>21</v>
      </c>
      <c r="AD259" s="1062" t="s">
        <v>17</v>
      </c>
      <c r="AE259" s="403" t="s">
        <v>18</v>
      </c>
      <c r="AF259" s="403" t="s">
        <v>56</v>
      </c>
      <c r="AG259" s="404" t="s">
        <v>21</v>
      </c>
      <c r="AH259" s="402" t="s">
        <v>17</v>
      </c>
      <c r="AI259" s="403" t="s">
        <v>18</v>
      </c>
      <c r="AJ259" s="403" t="s">
        <v>56</v>
      </c>
      <c r="AK259" s="404" t="s">
        <v>21</v>
      </c>
      <c r="AL259" s="402" t="s">
        <v>17</v>
      </c>
      <c r="AM259" s="403" t="s">
        <v>18</v>
      </c>
      <c r="AN259" s="403" t="s">
        <v>56</v>
      </c>
      <c r="AO259" s="404" t="s">
        <v>21</v>
      </c>
      <c r="AP259" s="402" t="s">
        <v>17</v>
      </c>
      <c r="AQ259" s="403" t="s">
        <v>18</v>
      </c>
      <c r="AR259" s="403" t="s">
        <v>56</v>
      </c>
      <c r="AS259" s="404" t="s">
        <v>21</v>
      </c>
      <c r="AT259" s="402" t="s">
        <v>17</v>
      </c>
      <c r="AU259" s="403" t="s">
        <v>18</v>
      </c>
      <c r="AV259" s="403" t="s">
        <v>56</v>
      </c>
      <c r="AW259" s="436" t="s">
        <v>21</v>
      </c>
      <c r="AX259" s="1059" t="s">
        <v>17</v>
      </c>
      <c r="AY259" s="437" t="s">
        <v>18</v>
      </c>
      <c r="AZ259" s="437" t="s">
        <v>56</v>
      </c>
      <c r="BA259" s="437" t="s">
        <v>21</v>
      </c>
      <c r="BB259" s="437" t="s">
        <v>160</v>
      </c>
    </row>
    <row r="260" spans="1:73">
      <c r="A260" s="397" t="s">
        <v>6</v>
      </c>
      <c r="B260" s="438"/>
      <c r="C260" s="439"/>
      <c r="D260" s="1393">
        <f t="shared" ref="D260:E269" si="477">D274</f>
        <v>39.584052674842496</v>
      </c>
      <c r="E260" s="1393">
        <f t="shared" si="477"/>
        <v>8.3574948502947084</v>
      </c>
      <c r="F260" s="1100"/>
      <c r="G260" s="1392"/>
      <c r="H260" s="1393">
        <v>93.253318436867019</v>
      </c>
      <c r="I260" s="1393">
        <v>16.194355181460491</v>
      </c>
      <c r="J260" s="1100"/>
      <c r="K260" s="1392"/>
      <c r="L260" s="1393">
        <v>144.46611082338643</v>
      </c>
      <c r="M260" s="2037">
        <v>22.897372313287285</v>
      </c>
      <c r="N260" s="1100"/>
      <c r="O260" s="1392"/>
      <c r="P260" s="1393">
        <v>189.64841855234957</v>
      </c>
      <c r="Q260" s="441">
        <v>27.228924971630967</v>
      </c>
      <c r="R260" s="438"/>
      <c r="S260" s="439"/>
      <c r="T260" s="440">
        <v>203.30912592871977</v>
      </c>
      <c r="U260" s="441">
        <v>47.341990954663025</v>
      </c>
      <c r="V260" s="438"/>
      <c r="W260" s="439"/>
      <c r="X260" s="1393">
        <v>233.70612722583584</v>
      </c>
      <c r="Y260" s="2037">
        <v>39.890333946002563</v>
      </c>
      <c r="Z260" s="450"/>
      <c r="AA260" s="451"/>
      <c r="AB260" s="453">
        <v>248.40593488205633</v>
      </c>
      <c r="AC260" s="452">
        <v>47.989290416003378</v>
      </c>
      <c r="AD260" s="450"/>
      <c r="AE260" s="451"/>
      <c r="AF260" s="453"/>
      <c r="AG260" s="452"/>
      <c r="AH260" s="438"/>
      <c r="AI260" s="439"/>
      <c r="AJ260" s="440">
        <f>AF260+AJ274</f>
        <v>0</v>
      </c>
      <c r="AK260" s="441">
        <f>AG260+AK274</f>
        <v>0</v>
      </c>
      <c r="AL260" s="438"/>
      <c r="AM260" s="439"/>
      <c r="AN260" s="440">
        <f>AJ260+AN274</f>
        <v>0</v>
      </c>
      <c r="AO260" s="441">
        <f>AK260+AO274</f>
        <v>0</v>
      </c>
      <c r="AP260" s="438"/>
      <c r="AQ260" s="439"/>
      <c r="AR260" s="440">
        <f>AN260+AR274</f>
        <v>0</v>
      </c>
      <c r="AS260" s="441">
        <f>AO260+AS274</f>
        <v>0</v>
      </c>
      <c r="AT260" s="438"/>
      <c r="AU260" s="439"/>
      <c r="AV260" s="440">
        <f>AR260+AV274</f>
        <v>0</v>
      </c>
      <c r="AW260" s="441">
        <f>AS260+AW274</f>
        <v>0</v>
      </c>
      <c r="AX260" s="1060"/>
      <c r="AY260" s="442"/>
      <c r="AZ260" s="442"/>
      <c r="BA260" s="442"/>
      <c r="BB260" s="444"/>
      <c r="BD260" s="445"/>
      <c r="BE260" s="445"/>
      <c r="BF260" s="446"/>
      <c r="BG260" s="446"/>
    </row>
    <row r="261" spans="1:73">
      <c r="A261" s="397" t="s">
        <v>7</v>
      </c>
      <c r="B261" s="438"/>
      <c r="C261" s="439"/>
      <c r="D261" s="1393">
        <f t="shared" si="477"/>
        <v>50.490285096836182</v>
      </c>
      <c r="E261" s="1393">
        <f t="shared" si="477"/>
        <v>2.6056294410750209</v>
      </c>
      <c r="F261" s="1100"/>
      <c r="G261" s="1392"/>
      <c r="H261" s="1393">
        <v>107.48696722613907</v>
      </c>
      <c r="I261" s="1393">
        <v>5.126366149921278</v>
      </c>
      <c r="J261" s="1100"/>
      <c r="K261" s="1392"/>
      <c r="L261" s="1393">
        <v>152.18690370470276</v>
      </c>
      <c r="M261" s="2037">
        <v>7.5864565635073244</v>
      </c>
      <c r="N261" s="1100"/>
      <c r="O261" s="1392"/>
      <c r="P261" s="1393">
        <v>203.9083606136569</v>
      </c>
      <c r="Q261" s="441">
        <v>9.116870654618868</v>
      </c>
      <c r="R261" s="438"/>
      <c r="S261" s="439"/>
      <c r="T261" s="440">
        <v>233.99753675822615</v>
      </c>
      <c r="U261" s="441">
        <v>9.0076888952838079</v>
      </c>
      <c r="V261" s="438"/>
      <c r="W261" s="439"/>
      <c r="X261" s="1393">
        <v>245.30517374717419</v>
      </c>
      <c r="Y261" s="2037">
        <v>11.079784058643099</v>
      </c>
      <c r="Z261" s="450"/>
      <c r="AA261" s="451"/>
      <c r="AB261" s="453">
        <v>257.90568917642003</v>
      </c>
      <c r="AC261" s="452">
        <v>11.828177287281093</v>
      </c>
      <c r="AD261" s="450"/>
      <c r="AE261" s="451"/>
      <c r="AF261" s="453"/>
      <c r="AG261" s="452"/>
      <c r="AH261" s="438"/>
      <c r="AI261" s="439"/>
      <c r="AJ261" s="440">
        <f t="shared" ref="AJ261:AJ269" si="478">AF261+AJ275</f>
        <v>0</v>
      </c>
      <c r="AK261" s="441">
        <f t="shared" ref="AK261:AK269" si="479">AG261+AK275</f>
        <v>0</v>
      </c>
      <c r="AL261" s="438"/>
      <c r="AM261" s="439"/>
      <c r="AN261" s="440">
        <f t="shared" ref="AN261:AN269" si="480">AJ261+AN275</f>
        <v>0</v>
      </c>
      <c r="AO261" s="441">
        <f t="shared" ref="AO261:AO269" si="481">AK261+AO275</f>
        <v>0</v>
      </c>
      <c r="AP261" s="438"/>
      <c r="AQ261" s="439"/>
      <c r="AR261" s="440">
        <f t="shared" ref="AR261:AR269" si="482">AN261+AR275</f>
        <v>0</v>
      </c>
      <c r="AS261" s="441">
        <f t="shared" ref="AS261:AS269" si="483">AO261+AS275</f>
        <v>0</v>
      </c>
      <c r="AT261" s="438"/>
      <c r="AU261" s="439"/>
      <c r="AV261" s="440">
        <f t="shared" ref="AV261:AV269" si="484">AR261+AV275</f>
        <v>0</v>
      </c>
      <c r="AW261" s="441">
        <f t="shared" ref="AW261:AW269" si="485">AS261+AW275</f>
        <v>0</v>
      </c>
      <c r="AX261" s="1061"/>
      <c r="AY261" s="447"/>
      <c r="AZ261" s="447"/>
      <c r="BA261" s="448"/>
      <c r="BB261" s="449"/>
      <c r="BD261" s="445"/>
      <c r="BE261" s="445"/>
      <c r="BF261" s="446"/>
      <c r="BG261" s="446"/>
    </row>
    <row r="262" spans="1:73">
      <c r="A262" s="397" t="s">
        <v>8</v>
      </c>
      <c r="B262" s="438"/>
      <c r="C262" s="439"/>
      <c r="D262" s="1393">
        <f t="shared" si="477"/>
        <v>52.893279402303435</v>
      </c>
      <c r="E262" s="1393">
        <f t="shared" si="477"/>
        <v>1.8473316506092532</v>
      </c>
      <c r="F262" s="1100"/>
      <c r="G262" s="1392"/>
      <c r="H262" s="1393">
        <v>102.80407275459294</v>
      </c>
      <c r="I262" s="1393">
        <v>4.5245016799568205</v>
      </c>
      <c r="J262" s="1100"/>
      <c r="K262" s="1392"/>
      <c r="L262" s="1393">
        <v>147.32137290060854</v>
      </c>
      <c r="M262" s="2037">
        <v>6.3356389662193111</v>
      </c>
      <c r="N262" s="1100"/>
      <c r="O262" s="1392"/>
      <c r="P262" s="1393">
        <v>192.40956721938988</v>
      </c>
      <c r="Q262" s="441">
        <v>7.3212865486219627</v>
      </c>
      <c r="R262" s="438"/>
      <c r="S262" s="439"/>
      <c r="T262" s="440">
        <v>219.70821620430593</v>
      </c>
      <c r="U262" s="441">
        <v>5.6392668037162554</v>
      </c>
      <c r="V262" s="438"/>
      <c r="W262" s="439"/>
      <c r="X262" s="1393">
        <v>231.27300648426294</v>
      </c>
      <c r="Y262" s="2037">
        <v>8.3354308232825094</v>
      </c>
      <c r="Z262" s="450"/>
      <c r="AA262" s="451"/>
      <c r="AB262" s="453">
        <v>244.54945530653509</v>
      </c>
      <c r="AC262" s="452">
        <v>8.5081696162348077</v>
      </c>
      <c r="AD262" s="450"/>
      <c r="AE262" s="451"/>
      <c r="AF262" s="453"/>
      <c r="AG262" s="452"/>
      <c r="AH262" s="438"/>
      <c r="AI262" s="439"/>
      <c r="AJ262" s="440">
        <f t="shared" si="478"/>
        <v>0</v>
      </c>
      <c r="AK262" s="441">
        <f t="shared" si="479"/>
        <v>0</v>
      </c>
      <c r="AL262" s="438"/>
      <c r="AM262" s="439"/>
      <c r="AN262" s="440">
        <f t="shared" si="480"/>
        <v>0</v>
      </c>
      <c r="AO262" s="441">
        <f t="shared" si="481"/>
        <v>0</v>
      </c>
      <c r="AP262" s="438"/>
      <c r="AQ262" s="439"/>
      <c r="AR262" s="440">
        <f t="shared" si="482"/>
        <v>0</v>
      </c>
      <c r="AS262" s="441">
        <f t="shared" si="483"/>
        <v>0</v>
      </c>
      <c r="AT262" s="438"/>
      <c r="AU262" s="439"/>
      <c r="AV262" s="440">
        <f t="shared" si="484"/>
        <v>0</v>
      </c>
      <c r="AW262" s="441">
        <f t="shared" si="485"/>
        <v>0</v>
      </c>
      <c r="AX262" s="1061"/>
      <c r="AY262" s="447"/>
      <c r="AZ262" s="447"/>
      <c r="BA262" s="448"/>
      <c r="BB262" s="449"/>
      <c r="BD262" s="445"/>
      <c r="BE262" s="445"/>
      <c r="BF262" s="446"/>
      <c r="BG262" s="446"/>
    </row>
    <row r="263" spans="1:73">
      <c r="A263" s="397" t="s">
        <v>4</v>
      </c>
      <c r="B263" s="438"/>
      <c r="C263" s="439"/>
      <c r="D263" s="1393">
        <f t="shared" si="477"/>
        <v>70.387515856519656</v>
      </c>
      <c r="E263" s="1393">
        <f t="shared" si="477"/>
        <v>3.608708693939318</v>
      </c>
      <c r="F263" s="1100"/>
      <c r="G263" s="1392"/>
      <c r="H263" s="1393">
        <v>160.8818521895962</v>
      </c>
      <c r="I263" s="1393">
        <v>7.5231204474699878</v>
      </c>
      <c r="J263" s="1100"/>
      <c r="K263" s="1392"/>
      <c r="L263" s="1393">
        <v>242.87860259658703</v>
      </c>
      <c r="M263" s="2037">
        <v>10.415044290921864</v>
      </c>
      <c r="N263" s="1100"/>
      <c r="O263" s="1392"/>
      <c r="P263" s="1393">
        <v>324.63571069749116</v>
      </c>
      <c r="Q263" s="441">
        <v>12.347549854319162</v>
      </c>
      <c r="R263" s="438"/>
      <c r="S263" s="439"/>
      <c r="T263" s="440">
        <v>370.55171363713703</v>
      </c>
      <c r="U263" s="441">
        <v>12.632498575099229</v>
      </c>
      <c r="V263" s="438"/>
      <c r="W263" s="439"/>
      <c r="X263" s="1393">
        <v>393.99285760380764</v>
      </c>
      <c r="Y263" s="2037">
        <v>15.005546253325786</v>
      </c>
      <c r="Z263" s="450"/>
      <c r="AA263" s="451"/>
      <c r="AB263" s="453">
        <v>415.08685207070619</v>
      </c>
      <c r="AC263" s="452">
        <v>15.960268126642861</v>
      </c>
      <c r="AD263" s="450"/>
      <c r="AE263" s="451"/>
      <c r="AF263" s="453"/>
      <c r="AG263" s="452"/>
      <c r="AH263" s="438"/>
      <c r="AI263" s="439"/>
      <c r="AJ263" s="440">
        <f t="shared" si="478"/>
        <v>0</v>
      </c>
      <c r="AK263" s="441">
        <f t="shared" si="479"/>
        <v>0</v>
      </c>
      <c r="AL263" s="438"/>
      <c r="AM263" s="439"/>
      <c r="AN263" s="440">
        <f t="shared" si="480"/>
        <v>0</v>
      </c>
      <c r="AO263" s="441">
        <f t="shared" si="481"/>
        <v>0</v>
      </c>
      <c r="AP263" s="438"/>
      <c r="AQ263" s="439"/>
      <c r="AR263" s="440">
        <f t="shared" si="482"/>
        <v>0</v>
      </c>
      <c r="AS263" s="441">
        <f t="shared" si="483"/>
        <v>0</v>
      </c>
      <c r="AT263" s="438"/>
      <c r="AU263" s="439"/>
      <c r="AV263" s="440">
        <f t="shared" si="484"/>
        <v>0</v>
      </c>
      <c r="AW263" s="441">
        <f t="shared" si="485"/>
        <v>0</v>
      </c>
      <c r="AX263" s="1061"/>
      <c r="AY263" s="447"/>
      <c r="AZ263" s="447"/>
      <c r="BA263" s="448"/>
      <c r="BB263" s="449"/>
      <c r="BD263" s="445"/>
      <c r="BE263" s="445"/>
      <c r="BF263" s="446"/>
      <c r="BG263" s="446"/>
    </row>
    <row r="264" spans="1:73">
      <c r="A264" s="397" t="s">
        <v>3</v>
      </c>
      <c r="B264" s="438"/>
      <c r="C264" s="439"/>
      <c r="D264" s="1393">
        <f t="shared" si="477"/>
        <v>80.923397658376388</v>
      </c>
      <c r="E264" s="1393">
        <f t="shared" si="477"/>
        <v>4.0251849485360154</v>
      </c>
      <c r="F264" s="1100"/>
      <c r="G264" s="1392"/>
      <c r="H264" s="1393">
        <v>175.28157114221173</v>
      </c>
      <c r="I264" s="1393">
        <v>8.1663832609638209</v>
      </c>
      <c r="J264" s="1100"/>
      <c r="K264" s="1392"/>
      <c r="L264" s="1393">
        <v>253.57017394907675</v>
      </c>
      <c r="M264" s="2037">
        <v>12.124996857332091</v>
      </c>
      <c r="N264" s="1100"/>
      <c r="O264" s="1392"/>
      <c r="P264" s="1393">
        <v>323.48833160394088</v>
      </c>
      <c r="Q264" s="441">
        <v>12.74320257202778</v>
      </c>
      <c r="R264" s="438"/>
      <c r="S264" s="439"/>
      <c r="T264" s="440">
        <v>372.33968058107763</v>
      </c>
      <c r="U264" s="441">
        <v>9.2497422325368301</v>
      </c>
      <c r="V264" s="438"/>
      <c r="W264" s="439"/>
      <c r="X264" s="1393">
        <v>391.55708126967738</v>
      </c>
      <c r="Y264" s="2037">
        <v>15.383275300107272</v>
      </c>
      <c r="Z264" s="450"/>
      <c r="AA264" s="451"/>
      <c r="AB264" s="453">
        <v>412.43304692291923</v>
      </c>
      <c r="AC264" s="452">
        <v>16.282962862054955</v>
      </c>
      <c r="AD264" s="450"/>
      <c r="AE264" s="451"/>
      <c r="AF264" s="453"/>
      <c r="AG264" s="452"/>
      <c r="AH264" s="438"/>
      <c r="AI264" s="439"/>
      <c r="AJ264" s="440">
        <f t="shared" si="478"/>
        <v>0</v>
      </c>
      <c r="AK264" s="441">
        <f t="shared" si="479"/>
        <v>0</v>
      </c>
      <c r="AL264" s="438"/>
      <c r="AM264" s="439"/>
      <c r="AN264" s="440">
        <f t="shared" si="480"/>
        <v>0</v>
      </c>
      <c r="AO264" s="441">
        <f t="shared" si="481"/>
        <v>0</v>
      </c>
      <c r="AP264" s="438"/>
      <c r="AQ264" s="439"/>
      <c r="AR264" s="440">
        <f t="shared" si="482"/>
        <v>0</v>
      </c>
      <c r="AS264" s="441">
        <f t="shared" si="483"/>
        <v>0</v>
      </c>
      <c r="AT264" s="438"/>
      <c r="AU264" s="439"/>
      <c r="AV264" s="440">
        <f t="shared" si="484"/>
        <v>0</v>
      </c>
      <c r="AW264" s="441">
        <f t="shared" si="485"/>
        <v>0</v>
      </c>
      <c r="AX264" s="1061"/>
      <c r="AY264" s="447"/>
      <c r="AZ264" s="447"/>
      <c r="BA264" s="448"/>
      <c r="BB264" s="449"/>
      <c r="BD264" s="445"/>
      <c r="BE264" s="445"/>
      <c r="BF264" s="446"/>
      <c r="BG264" s="446"/>
    </row>
    <row r="265" spans="1:73">
      <c r="A265" s="397" t="s">
        <v>397</v>
      </c>
      <c r="B265" s="438"/>
      <c r="C265" s="439"/>
      <c r="D265" s="1393">
        <f t="shared" si="477"/>
        <v>15.255816972794301</v>
      </c>
      <c r="E265" s="1393">
        <f t="shared" si="477"/>
        <v>2.7951516018859315</v>
      </c>
      <c r="F265" s="1100"/>
      <c r="G265" s="1392"/>
      <c r="H265" s="1393">
        <v>38.195480105497637</v>
      </c>
      <c r="I265" s="1393">
        <v>4.9679818924398402</v>
      </c>
      <c r="J265" s="1100"/>
      <c r="K265" s="1392"/>
      <c r="L265" s="1393">
        <v>59.495863282725225</v>
      </c>
      <c r="M265" s="2037">
        <v>6.3523317614075854</v>
      </c>
      <c r="N265" s="1100"/>
      <c r="O265" s="1392"/>
      <c r="P265" s="1393">
        <v>79.960284791309689</v>
      </c>
      <c r="Q265" s="441">
        <v>7.6974574692840498</v>
      </c>
      <c r="R265" s="438"/>
      <c r="S265" s="439"/>
      <c r="T265" s="440">
        <v>90.804092953353361</v>
      </c>
      <c r="U265" s="441">
        <v>10.039388259275878</v>
      </c>
      <c r="V265" s="438"/>
      <c r="W265" s="439"/>
      <c r="X265" s="1393">
        <v>101.11589844965697</v>
      </c>
      <c r="Y265" s="2037">
        <v>9.8922563731683137</v>
      </c>
      <c r="Z265" s="450"/>
      <c r="AA265" s="451"/>
      <c r="AB265" s="453">
        <v>108.39929980827071</v>
      </c>
      <c r="AC265" s="452">
        <v>11.207660712486504</v>
      </c>
      <c r="AD265" s="450"/>
      <c r="AE265" s="451"/>
      <c r="AF265" s="453"/>
      <c r="AG265" s="452"/>
      <c r="AH265" s="438"/>
      <c r="AI265" s="439"/>
      <c r="AJ265" s="440">
        <f t="shared" si="478"/>
        <v>0</v>
      </c>
      <c r="AK265" s="441">
        <f t="shared" si="479"/>
        <v>0</v>
      </c>
      <c r="AL265" s="438"/>
      <c r="AM265" s="439"/>
      <c r="AN265" s="440">
        <f t="shared" si="480"/>
        <v>0</v>
      </c>
      <c r="AO265" s="441">
        <f t="shared" si="481"/>
        <v>0</v>
      </c>
      <c r="AP265" s="438"/>
      <c r="AQ265" s="439"/>
      <c r="AR265" s="440">
        <f t="shared" si="482"/>
        <v>0</v>
      </c>
      <c r="AS265" s="441">
        <f t="shared" si="483"/>
        <v>0</v>
      </c>
      <c r="AT265" s="438"/>
      <c r="AU265" s="439"/>
      <c r="AV265" s="440">
        <f t="shared" si="484"/>
        <v>0</v>
      </c>
      <c r="AW265" s="441">
        <f t="shared" si="485"/>
        <v>0</v>
      </c>
      <c r="AX265" s="1061"/>
      <c r="AY265" s="447"/>
      <c r="AZ265" s="447"/>
      <c r="BA265" s="448"/>
      <c r="BB265" s="449"/>
      <c r="BD265" s="445"/>
      <c r="BE265" s="445"/>
      <c r="BF265" s="446"/>
      <c r="BG265" s="446"/>
    </row>
    <row r="266" spans="1:73">
      <c r="A266" s="397" t="s">
        <v>399</v>
      </c>
      <c r="B266" s="438"/>
      <c r="C266" s="439"/>
      <c r="D266" s="1393">
        <f t="shared" si="477"/>
        <v>30.041782850941061</v>
      </c>
      <c r="E266" s="1393">
        <f t="shared" si="477"/>
        <v>8.6373182248667195</v>
      </c>
      <c r="F266" s="1100"/>
      <c r="G266" s="1392"/>
      <c r="H266" s="1393">
        <v>67.162308866427608</v>
      </c>
      <c r="I266" s="1393">
        <v>15.800278745341634</v>
      </c>
      <c r="J266" s="1100"/>
      <c r="K266" s="1392"/>
      <c r="L266" s="1393">
        <v>94.969223484125934</v>
      </c>
      <c r="M266" s="2037">
        <v>23.257325649181226</v>
      </c>
      <c r="N266" s="1100"/>
      <c r="O266" s="1392"/>
      <c r="P266" s="1393">
        <v>125.31877263283154</v>
      </c>
      <c r="Q266" s="441">
        <v>29.99760060508487</v>
      </c>
      <c r="R266" s="438"/>
      <c r="S266" s="439"/>
      <c r="T266" s="440">
        <v>128.80790599732092</v>
      </c>
      <c r="U266" s="441">
        <v>51.825605123336622</v>
      </c>
      <c r="V266" s="438"/>
      <c r="W266" s="439"/>
      <c r="X266" s="1393">
        <v>152.95753315670066</v>
      </c>
      <c r="Y266" s="2037">
        <v>44.601806908928715</v>
      </c>
      <c r="Z266" s="450"/>
      <c r="AA266" s="451"/>
      <c r="AB266" s="453">
        <v>162.60973197591861</v>
      </c>
      <c r="AC266" s="452">
        <v>50.927823246886547</v>
      </c>
      <c r="AD266" s="450"/>
      <c r="AE266" s="451"/>
      <c r="AF266" s="453"/>
      <c r="AG266" s="452"/>
      <c r="AH266" s="438"/>
      <c r="AI266" s="439"/>
      <c r="AJ266" s="440">
        <f t="shared" si="478"/>
        <v>0</v>
      </c>
      <c r="AK266" s="441">
        <f t="shared" si="479"/>
        <v>0</v>
      </c>
      <c r="AL266" s="438"/>
      <c r="AM266" s="439"/>
      <c r="AN266" s="440">
        <f t="shared" si="480"/>
        <v>0</v>
      </c>
      <c r="AO266" s="441">
        <f t="shared" si="481"/>
        <v>0</v>
      </c>
      <c r="AP266" s="438"/>
      <c r="AQ266" s="439"/>
      <c r="AR266" s="440">
        <f t="shared" si="482"/>
        <v>0</v>
      </c>
      <c r="AS266" s="441">
        <f t="shared" si="483"/>
        <v>0</v>
      </c>
      <c r="AT266" s="438"/>
      <c r="AU266" s="439"/>
      <c r="AV266" s="440">
        <f t="shared" si="484"/>
        <v>0</v>
      </c>
      <c r="AW266" s="441">
        <f t="shared" si="485"/>
        <v>0</v>
      </c>
      <c r="AX266" s="1061"/>
      <c r="AY266" s="447"/>
      <c r="AZ266" s="447"/>
      <c r="BA266" s="448"/>
      <c r="BB266" s="449"/>
      <c r="BD266" s="445"/>
      <c r="BE266" s="445"/>
      <c r="BF266" s="446"/>
      <c r="BG266" s="446"/>
    </row>
    <row r="267" spans="1:73">
      <c r="A267" s="397" t="s">
        <v>883</v>
      </c>
      <c r="B267" s="438"/>
      <c r="C267" s="439"/>
      <c r="D267" s="1393">
        <f t="shared" si="477"/>
        <v>29.104446718612191</v>
      </c>
      <c r="E267" s="1393">
        <f t="shared" si="477"/>
        <v>1.4915739248856852</v>
      </c>
      <c r="F267" s="1100"/>
      <c r="G267" s="1392"/>
      <c r="H267" s="1393">
        <v>63.756987277646303</v>
      </c>
      <c r="I267" s="1393">
        <v>2.9865079671788601</v>
      </c>
      <c r="J267" s="1100"/>
      <c r="K267" s="1392"/>
      <c r="L267" s="1393">
        <v>86.943203675456886</v>
      </c>
      <c r="M267" s="2037">
        <v>4.2122259273859042</v>
      </c>
      <c r="N267" s="1100"/>
      <c r="O267" s="1392"/>
      <c r="P267" s="1393">
        <v>113.90571091223465</v>
      </c>
      <c r="Q267" s="441">
        <v>5.126941982070254</v>
      </c>
      <c r="R267" s="438"/>
      <c r="S267" s="439"/>
      <c r="T267" s="440">
        <v>129.50244953169627</v>
      </c>
      <c r="U267" s="441">
        <v>4.551493044984376</v>
      </c>
      <c r="V267" s="438"/>
      <c r="W267" s="439"/>
      <c r="X267" s="1393">
        <v>135.71181711865984</v>
      </c>
      <c r="Y267" s="2037">
        <v>5.9785523468345092</v>
      </c>
      <c r="Z267" s="450"/>
      <c r="AA267" s="451"/>
      <c r="AB267" s="453">
        <v>142.60508152044068</v>
      </c>
      <c r="AC267" s="452">
        <v>6.29945329432931</v>
      </c>
      <c r="AD267" s="450"/>
      <c r="AE267" s="451"/>
      <c r="AF267" s="453"/>
      <c r="AG267" s="452"/>
      <c r="AH267" s="438"/>
      <c r="AI267" s="439"/>
      <c r="AJ267" s="440">
        <f t="shared" si="478"/>
        <v>0</v>
      </c>
      <c r="AK267" s="441">
        <f t="shared" si="479"/>
        <v>0</v>
      </c>
      <c r="AL267" s="438"/>
      <c r="AM267" s="439"/>
      <c r="AN267" s="440">
        <f t="shared" si="480"/>
        <v>0</v>
      </c>
      <c r="AO267" s="441">
        <f t="shared" si="481"/>
        <v>0</v>
      </c>
      <c r="AP267" s="438"/>
      <c r="AQ267" s="439"/>
      <c r="AR267" s="440">
        <f t="shared" si="482"/>
        <v>0</v>
      </c>
      <c r="AS267" s="441">
        <f t="shared" si="483"/>
        <v>0</v>
      </c>
      <c r="AT267" s="438"/>
      <c r="AU267" s="439"/>
      <c r="AV267" s="440">
        <f t="shared" si="484"/>
        <v>0</v>
      </c>
      <c r="AW267" s="441">
        <f t="shared" si="485"/>
        <v>0</v>
      </c>
      <c r="AX267" s="1061"/>
      <c r="AY267" s="447"/>
      <c r="AZ267" s="447"/>
      <c r="BA267" s="448"/>
      <c r="BB267" s="449"/>
      <c r="BD267" s="445"/>
      <c r="BE267" s="445"/>
      <c r="BF267" s="446"/>
      <c r="BG267" s="446"/>
    </row>
    <row r="268" spans="1:73">
      <c r="A268" s="397" t="s">
        <v>884</v>
      </c>
      <c r="B268" s="438"/>
      <c r="C268" s="439"/>
      <c r="D268" s="1393">
        <f t="shared" si="477"/>
        <v>27.47727261555011</v>
      </c>
      <c r="E268" s="1393">
        <f t="shared" si="477"/>
        <v>1.991388031375416</v>
      </c>
      <c r="F268" s="1100"/>
      <c r="G268" s="1392"/>
      <c r="H268" s="1393">
        <v>61.121119099281501</v>
      </c>
      <c r="I268" s="1393">
        <v>3.8255970269815442</v>
      </c>
      <c r="J268" s="1100"/>
      <c r="K268" s="1392"/>
      <c r="L268" s="1393">
        <v>83.28402756166615</v>
      </c>
      <c r="M268" s="2037">
        <v>5.336330427769755</v>
      </c>
      <c r="N268" s="1100"/>
      <c r="O268" s="1392"/>
      <c r="P268" s="1393">
        <v>114.48481755403876</v>
      </c>
      <c r="Q268" s="441">
        <v>6.2569920465060811</v>
      </c>
      <c r="R268" s="438"/>
      <c r="S268" s="439"/>
      <c r="T268" s="440">
        <v>126.55259777960782</v>
      </c>
      <c r="U268" s="441">
        <v>11.277558885241131</v>
      </c>
      <c r="V268" s="438"/>
      <c r="W268" s="439"/>
      <c r="X268" s="1393">
        <v>137.14641409526925</v>
      </c>
      <c r="Y268" s="2037">
        <v>8.4834037279625516</v>
      </c>
      <c r="Z268" s="450"/>
      <c r="AA268" s="451"/>
      <c r="AB268" s="453">
        <v>146.54684029369685</v>
      </c>
      <c r="AC268" s="452">
        <v>10.242243841688563</v>
      </c>
      <c r="AD268" s="450"/>
      <c r="AE268" s="451"/>
      <c r="AF268" s="453"/>
      <c r="AG268" s="452"/>
      <c r="AH268" s="438"/>
      <c r="AI268" s="439"/>
      <c r="AJ268" s="440">
        <f t="shared" si="478"/>
        <v>0</v>
      </c>
      <c r="AK268" s="441">
        <f t="shared" si="479"/>
        <v>0</v>
      </c>
      <c r="AL268" s="438"/>
      <c r="AM268" s="439"/>
      <c r="AN268" s="440">
        <f t="shared" si="480"/>
        <v>0</v>
      </c>
      <c r="AO268" s="441">
        <f t="shared" si="481"/>
        <v>0</v>
      </c>
      <c r="AP268" s="438"/>
      <c r="AQ268" s="439"/>
      <c r="AR268" s="440">
        <f t="shared" si="482"/>
        <v>0</v>
      </c>
      <c r="AS268" s="441">
        <f t="shared" si="483"/>
        <v>0</v>
      </c>
      <c r="AT268" s="438"/>
      <c r="AU268" s="439"/>
      <c r="AV268" s="440">
        <f t="shared" si="484"/>
        <v>0</v>
      </c>
      <c r="AW268" s="441">
        <f t="shared" si="485"/>
        <v>0</v>
      </c>
      <c r="AX268" s="1061"/>
      <c r="AY268" s="447"/>
      <c r="AZ268" s="447"/>
      <c r="BA268" s="448"/>
      <c r="BB268" s="449"/>
      <c r="BD268" s="445"/>
      <c r="BE268" s="445"/>
      <c r="BF268" s="446"/>
      <c r="BG268" s="446"/>
    </row>
    <row r="269" spans="1:73" ht="14.4" thickBot="1">
      <c r="A269" s="397" t="s">
        <v>885</v>
      </c>
      <c r="B269" s="438"/>
      <c r="C269" s="439"/>
      <c r="D269" s="1393">
        <f t="shared" si="477"/>
        <v>18.606122864245616</v>
      </c>
      <c r="E269" s="1393">
        <f t="shared" si="477"/>
        <v>0.59057366413590817</v>
      </c>
      <c r="F269" s="1100"/>
      <c r="G269" s="1392"/>
      <c r="H269" s="1393">
        <v>41.600434510882032</v>
      </c>
      <c r="I269" s="1393">
        <v>1.1630977012528012</v>
      </c>
      <c r="J269" s="1100"/>
      <c r="K269" s="1392"/>
      <c r="L269" s="1393">
        <v>58.182012841920347</v>
      </c>
      <c r="M269" s="2037">
        <v>1.6082239234030222</v>
      </c>
      <c r="N269" s="1100"/>
      <c r="O269" s="1392"/>
      <c r="P269" s="1393">
        <v>78.56889017901571</v>
      </c>
      <c r="Q269" s="441">
        <v>1.8577828587849348</v>
      </c>
      <c r="R269" s="438"/>
      <c r="S269" s="439"/>
      <c r="T269" s="440">
        <v>92.073858073523851</v>
      </c>
      <c r="U269" s="441">
        <v>0.79798899205717699</v>
      </c>
      <c r="V269" s="438"/>
      <c r="W269" s="439"/>
      <c r="X269" s="1393">
        <v>96.187037730388866</v>
      </c>
      <c r="Y269" s="2037">
        <v>1.991456146760421</v>
      </c>
      <c r="Z269" s="450"/>
      <c r="AA269" s="451"/>
      <c r="AB269" s="453">
        <v>101.72281021447117</v>
      </c>
      <c r="AC269" s="452">
        <v>2.0360069455796741</v>
      </c>
      <c r="AD269" s="450"/>
      <c r="AE269" s="451"/>
      <c r="AF269" s="453"/>
      <c r="AG269" s="452"/>
      <c r="AH269" s="438"/>
      <c r="AI269" s="439"/>
      <c r="AJ269" s="440">
        <f t="shared" si="478"/>
        <v>0</v>
      </c>
      <c r="AK269" s="441">
        <f t="shared" si="479"/>
        <v>0</v>
      </c>
      <c r="AL269" s="438"/>
      <c r="AM269" s="439"/>
      <c r="AN269" s="440">
        <f t="shared" si="480"/>
        <v>0</v>
      </c>
      <c r="AO269" s="441">
        <f t="shared" si="481"/>
        <v>0</v>
      </c>
      <c r="AP269" s="438"/>
      <c r="AQ269" s="439"/>
      <c r="AR269" s="440">
        <f t="shared" si="482"/>
        <v>0</v>
      </c>
      <c r="AS269" s="441">
        <f t="shared" si="483"/>
        <v>0</v>
      </c>
      <c r="AT269" s="438"/>
      <c r="AU269" s="439"/>
      <c r="AV269" s="440">
        <f t="shared" si="484"/>
        <v>0</v>
      </c>
      <c r="AW269" s="441">
        <f t="shared" si="485"/>
        <v>0</v>
      </c>
      <c r="AX269" s="1061"/>
      <c r="AY269" s="447"/>
      <c r="AZ269" s="447"/>
      <c r="BA269" s="448"/>
      <c r="BB269" s="449"/>
      <c r="BD269" s="445"/>
      <c r="BE269" s="445"/>
      <c r="BF269" s="446"/>
      <c r="BG269" s="446"/>
    </row>
    <row r="270" spans="1:73" ht="14.4" thickBot="1">
      <c r="A270" s="433" t="s">
        <v>16</v>
      </c>
      <c r="B270" s="455">
        <f t="shared" ref="B270:BB270" si="486">SUM(B260:B269)</f>
        <v>0</v>
      </c>
      <c r="C270" s="456">
        <f t="shared" si="486"/>
        <v>0</v>
      </c>
      <c r="D270" s="465">
        <f t="shared" si="486"/>
        <v>414.76397271102144</v>
      </c>
      <c r="E270" s="466">
        <f t="shared" si="486"/>
        <v>35.950355031603976</v>
      </c>
      <c r="F270" s="455">
        <f t="shared" si="486"/>
        <v>0</v>
      </c>
      <c r="G270" s="456">
        <f t="shared" si="486"/>
        <v>0</v>
      </c>
      <c r="H270" s="456">
        <f>SUM(H260:H269)</f>
        <v>911.54411160914196</v>
      </c>
      <c r="I270" s="457">
        <f>SUM(I260:I269)</f>
        <v>70.278190052967062</v>
      </c>
      <c r="J270" s="455">
        <f t="shared" si="486"/>
        <v>0</v>
      </c>
      <c r="K270" s="456">
        <f t="shared" si="486"/>
        <v>0</v>
      </c>
      <c r="L270" s="456">
        <f t="shared" si="486"/>
        <v>1323.2974948202561</v>
      </c>
      <c r="M270" s="457">
        <f t="shared" si="486"/>
        <v>100.12594668041537</v>
      </c>
      <c r="N270" s="455">
        <f t="shared" si="486"/>
        <v>0</v>
      </c>
      <c r="O270" s="456">
        <f t="shared" si="486"/>
        <v>0</v>
      </c>
      <c r="P270" s="456">
        <f t="shared" si="486"/>
        <v>1746.3288647562583</v>
      </c>
      <c r="Q270" s="457">
        <f t="shared" si="486"/>
        <v>119.69460956294893</v>
      </c>
      <c r="R270" s="455">
        <f t="shared" si="486"/>
        <v>0</v>
      </c>
      <c r="S270" s="456">
        <f t="shared" si="486"/>
        <v>0</v>
      </c>
      <c r="T270" s="456">
        <f t="shared" si="486"/>
        <v>1967.6471774449685</v>
      </c>
      <c r="U270" s="457">
        <f t="shared" si="486"/>
        <v>162.36322176619433</v>
      </c>
      <c r="V270" s="455">
        <f t="shared" si="486"/>
        <v>0</v>
      </c>
      <c r="W270" s="456">
        <f t="shared" si="486"/>
        <v>0</v>
      </c>
      <c r="X270" s="1794">
        <f t="shared" si="486"/>
        <v>2118.9529468814335</v>
      </c>
      <c r="Y270" s="1376">
        <f t="shared" si="486"/>
        <v>160.64184588501573</v>
      </c>
      <c r="Z270" s="458">
        <f t="shared" si="486"/>
        <v>0</v>
      </c>
      <c r="AA270" s="477">
        <f t="shared" si="486"/>
        <v>0</v>
      </c>
      <c r="AB270" s="477">
        <f t="shared" si="486"/>
        <v>2240.264742171435</v>
      </c>
      <c r="AC270" s="499">
        <f t="shared" si="486"/>
        <v>181.28205634918771</v>
      </c>
      <c r="AD270" s="458">
        <f t="shared" si="486"/>
        <v>0</v>
      </c>
      <c r="AE270" s="456">
        <f t="shared" si="486"/>
        <v>0</v>
      </c>
      <c r="AF270" s="456">
        <f t="shared" si="486"/>
        <v>0</v>
      </c>
      <c r="AG270" s="457">
        <f t="shared" si="486"/>
        <v>0</v>
      </c>
      <c r="AH270" s="455">
        <f t="shared" si="486"/>
        <v>0</v>
      </c>
      <c r="AI270" s="456">
        <f t="shared" si="486"/>
        <v>0</v>
      </c>
      <c r="AJ270" s="456">
        <f t="shared" si="486"/>
        <v>0</v>
      </c>
      <c r="AK270" s="457">
        <f t="shared" si="486"/>
        <v>0</v>
      </c>
      <c r="AL270" s="455">
        <f t="shared" si="486"/>
        <v>0</v>
      </c>
      <c r="AM270" s="456">
        <f t="shared" si="486"/>
        <v>0</v>
      </c>
      <c r="AN270" s="456">
        <f t="shared" si="486"/>
        <v>0</v>
      </c>
      <c r="AO270" s="457">
        <f t="shared" si="486"/>
        <v>0</v>
      </c>
      <c r="AP270" s="455">
        <f t="shared" si="486"/>
        <v>0</v>
      </c>
      <c r="AQ270" s="456">
        <f t="shared" si="486"/>
        <v>0</v>
      </c>
      <c r="AR270" s="456">
        <f t="shared" si="486"/>
        <v>0</v>
      </c>
      <c r="AS270" s="457">
        <f t="shared" si="486"/>
        <v>0</v>
      </c>
      <c r="AT270" s="455">
        <f t="shared" si="486"/>
        <v>0</v>
      </c>
      <c r="AU270" s="456">
        <f t="shared" si="486"/>
        <v>0</v>
      </c>
      <c r="AV270" s="456">
        <f t="shared" si="486"/>
        <v>0</v>
      </c>
      <c r="AW270" s="457">
        <f t="shared" si="486"/>
        <v>0</v>
      </c>
      <c r="AX270" s="468">
        <f t="shared" si="486"/>
        <v>0</v>
      </c>
      <c r="AY270" s="458">
        <f t="shared" si="486"/>
        <v>0</v>
      </c>
      <c r="AZ270" s="468"/>
      <c r="BA270" s="468"/>
      <c r="BB270" s="458">
        <f t="shared" si="486"/>
        <v>0</v>
      </c>
      <c r="BD270" s="445"/>
      <c r="BE270" s="445"/>
      <c r="BF270" s="446"/>
      <c r="BG270" s="446"/>
    </row>
    <row r="271" spans="1:73" ht="18.600000000000001" thickBot="1">
      <c r="A271" s="394" t="s">
        <v>1049</v>
      </c>
      <c r="AT271" s="117">
        <v>23.342376000000002</v>
      </c>
      <c r="AU271" s="117">
        <v>2.0153289999999999</v>
      </c>
      <c r="AV271" s="117">
        <v>25.357705000000003</v>
      </c>
      <c r="AW271" s="117">
        <v>1.30687</v>
      </c>
    </row>
    <row r="272" spans="1:73">
      <c r="A272" s="3113">
        <f>A113</f>
        <v>2024</v>
      </c>
      <c r="B272" s="3115" t="s">
        <v>71</v>
      </c>
      <c r="C272" s="3116"/>
      <c r="D272" s="3116"/>
      <c r="E272" s="3117"/>
      <c r="F272" s="3097" t="s">
        <v>72</v>
      </c>
      <c r="G272" s="3098"/>
      <c r="H272" s="3098"/>
      <c r="I272" s="3099"/>
      <c r="J272" s="3100" t="s">
        <v>73</v>
      </c>
      <c r="K272" s="3101"/>
      <c r="L272" s="3101"/>
      <c r="M272" s="3102"/>
      <c r="N272" s="3103" t="s">
        <v>74</v>
      </c>
      <c r="O272" s="3104"/>
      <c r="P272" s="3104"/>
      <c r="Q272" s="3105"/>
      <c r="R272" s="3106" t="s">
        <v>75</v>
      </c>
      <c r="S272" s="3107"/>
      <c r="T272" s="3107"/>
      <c r="U272" s="3108"/>
      <c r="V272" s="3109" t="s">
        <v>76</v>
      </c>
      <c r="W272" s="3110"/>
      <c r="X272" s="3110"/>
      <c r="Y272" s="3111"/>
      <c r="Z272" s="3115" t="s">
        <v>77</v>
      </c>
      <c r="AA272" s="3116"/>
      <c r="AB272" s="3116"/>
      <c r="AC272" s="3117"/>
      <c r="AD272" s="3097" t="s">
        <v>78</v>
      </c>
      <c r="AE272" s="3098"/>
      <c r="AF272" s="3098"/>
      <c r="AG272" s="3099"/>
      <c r="AH272" s="3100" t="s">
        <v>79</v>
      </c>
      <c r="AI272" s="3101"/>
      <c r="AJ272" s="3101"/>
      <c r="AK272" s="3102"/>
      <c r="AL272" s="3103" t="s">
        <v>80</v>
      </c>
      <c r="AM272" s="3104"/>
      <c r="AN272" s="3104"/>
      <c r="AO272" s="3105"/>
      <c r="AP272" s="3106" t="s">
        <v>81</v>
      </c>
      <c r="AQ272" s="3107"/>
      <c r="AR272" s="3107"/>
      <c r="AS272" s="3108"/>
      <c r="AT272" s="3109" t="s">
        <v>82</v>
      </c>
      <c r="AU272" s="3110"/>
      <c r="AV272" s="3110"/>
      <c r="AW272" s="3111"/>
      <c r="AX272" s="3097" t="s">
        <v>83</v>
      </c>
      <c r="AY272" s="3098"/>
      <c r="AZ272" s="3098"/>
      <c r="BA272" s="3098"/>
      <c r="BB272" s="3099"/>
      <c r="BC272" s="430"/>
      <c r="BD272" s="430"/>
      <c r="BE272" s="430"/>
      <c r="BF272" s="430"/>
      <c r="BG272" s="430"/>
      <c r="BH272" s="430"/>
      <c r="BI272" s="430"/>
      <c r="BR272" s="3112"/>
      <c r="BS272" s="3112"/>
      <c r="BT272" s="3112"/>
      <c r="BU272" s="3112"/>
    </row>
    <row r="273" spans="1:73" ht="14.4" thickBot="1">
      <c r="A273" s="3114"/>
      <c r="B273" s="402" t="s">
        <v>17</v>
      </c>
      <c r="C273" s="403" t="s">
        <v>18</v>
      </c>
      <c r="D273" s="403" t="s">
        <v>56</v>
      </c>
      <c r="E273" s="404" t="s">
        <v>21</v>
      </c>
      <c r="F273" s="402" t="s">
        <v>17</v>
      </c>
      <c r="G273" s="403" t="s">
        <v>18</v>
      </c>
      <c r="H273" s="403" t="s">
        <v>56</v>
      </c>
      <c r="I273" s="404" t="s">
        <v>21</v>
      </c>
      <c r="J273" s="402" t="s">
        <v>17</v>
      </c>
      <c r="K273" s="403" t="s">
        <v>18</v>
      </c>
      <c r="L273" s="403" t="s">
        <v>56</v>
      </c>
      <c r="M273" s="404" t="s">
        <v>21</v>
      </c>
      <c r="N273" s="402" t="s">
        <v>17</v>
      </c>
      <c r="O273" s="403" t="s">
        <v>18</v>
      </c>
      <c r="P273" s="403" t="s">
        <v>56</v>
      </c>
      <c r="Q273" s="404" t="s">
        <v>21</v>
      </c>
      <c r="R273" s="402" t="s">
        <v>17</v>
      </c>
      <c r="S273" s="403" t="s">
        <v>18</v>
      </c>
      <c r="T273" s="403" t="s">
        <v>56</v>
      </c>
      <c r="U273" s="404" t="s">
        <v>21</v>
      </c>
      <c r="V273" s="402" t="s">
        <v>17</v>
      </c>
      <c r="W273" s="403" t="s">
        <v>18</v>
      </c>
      <c r="X273" s="403" t="s">
        <v>56</v>
      </c>
      <c r="Y273" s="404" t="s">
        <v>21</v>
      </c>
      <c r="Z273" s="402" t="s">
        <v>17</v>
      </c>
      <c r="AA273" s="403" t="s">
        <v>18</v>
      </c>
      <c r="AB273" s="403" t="s">
        <v>56</v>
      </c>
      <c r="AC273" s="404" t="s">
        <v>21</v>
      </c>
      <c r="AD273" s="1062" t="s">
        <v>17</v>
      </c>
      <c r="AE273" s="403" t="s">
        <v>18</v>
      </c>
      <c r="AF273" s="403" t="s">
        <v>56</v>
      </c>
      <c r="AG273" s="404" t="s">
        <v>21</v>
      </c>
      <c r="AH273" s="402" t="s">
        <v>17</v>
      </c>
      <c r="AI273" s="403" t="s">
        <v>18</v>
      </c>
      <c r="AJ273" s="403" t="s">
        <v>56</v>
      </c>
      <c r="AK273" s="404" t="s">
        <v>21</v>
      </c>
      <c r="AL273" s="402" t="s">
        <v>17</v>
      </c>
      <c r="AM273" s="403" t="s">
        <v>18</v>
      </c>
      <c r="AN273" s="403" t="s">
        <v>56</v>
      </c>
      <c r="AO273" s="404" t="s">
        <v>21</v>
      </c>
      <c r="AP273" s="402" t="s">
        <v>17</v>
      </c>
      <c r="AQ273" s="403" t="s">
        <v>18</v>
      </c>
      <c r="AR273" s="403" t="s">
        <v>56</v>
      </c>
      <c r="AS273" s="404" t="s">
        <v>21</v>
      </c>
      <c r="AT273" s="402" t="s">
        <v>17</v>
      </c>
      <c r="AU273" s="403" t="s">
        <v>18</v>
      </c>
      <c r="AV273" s="403" t="s">
        <v>56</v>
      </c>
      <c r="AW273" s="436" t="s">
        <v>21</v>
      </c>
      <c r="AX273" s="1059" t="s">
        <v>17</v>
      </c>
      <c r="AY273" s="437" t="s">
        <v>18</v>
      </c>
      <c r="AZ273" s="437" t="s">
        <v>56</v>
      </c>
      <c r="BA273" s="437" t="s">
        <v>21</v>
      </c>
      <c r="BB273" s="437" t="s">
        <v>160</v>
      </c>
    </row>
    <row r="274" spans="1:73">
      <c r="A274" s="397" t="s">
        <v>6</v>
      </c>
      <c r="B274" s="438"/>
      <c r="C274" s="439"/>
      <c r="D274" s="1393">
        <v>39.584052674842496</v>
      </c>
      <c r="E274" s="2037">
        <v>8.3574948502947084</v>
      </c>
      <c r="F274" s="1100"/>
      <c r="G274" s="1392"/>
      <c r="H274" s="1393">
        <f>H260-D260</f>
        <v>53.669265762024523</v>
      </c>
      <c r="I274" s="2037">
        <f t="shared" ref="I274:I283" si="487">I260-E260</f>
        <v>7.8368603311657825</v>
      </c>
      <c r="J274" s="1100"/>
      <c r="K274" s="1392"/>
      <c r="L274" s="1393">
        <f>L260-H260</f>
        <v>51.212792386519411</v>
      </c>
      <c r="M274" s="2037">
        <f t="shared" ref="M274:M283" si="488">M260-I260</f>
        <v>6.7030171318267939</v>
      </c>
      <c r="N274" s="1100"/>
      <c r="O274" s="1392"/>
      <c r="P274" s="1392">
        <f>P260-L260</f>
        <v>45.182307728963139</v>
      </c>
      <c r="Q274" s="441">
        <f t="shared" ref="Q274:Q283" si="489">Q260-M260</f>
        <v>4.3315526583436821</v>
      </c>
      <c r="R274" s="438"/>
      <c r="S274" s="439"/>
      <c r="T274" s="440">
        <f>T260-P260</f>
        <v>13.660707376370198</v>
      </c>
      <c r="U274" s="441">
        <f t="shared" ref="U274:U283" si="490">U260-Q260</f>
        <v>20.113065983032058</v>
      </c>
      <c r="V274" s="438"/>
      <c r="W274" s="439"/>
      <c r="X274" s="440">
        <f>X260-T260</f>
        <v>30.397001297116077</v>
      </c>
      <c r="Y274" s="441">
        <f t="shared" ref="Y274:Y283" si="491">Y260-U260</f>
        <v>-7.4516570086604617</v>
      </c>
      <c r="Z274" s="450"/>
      <c r="AA274" s="451"/>
      <c r="AB274" s="453">
        <f>AB260-X260</f>
        <v>14.699807656220486</v>
      </c>
      <c r="AC274" s="452">
        <f t="shared" ref="AC274:AC283" si="492">AC260-Y260</f>
        <v>8.0989564700008145</v>
      </c>
      <c r="AD274" s="450"/>
      <c r="AE274" s="451"/>
      <c r="AF274" s="453"/>
      <c r="AG274" s="452"/>
      <c r="AH274" s="438"/>
      <c r="AI274" s="439"/>
      <c r="AJ274" s="440"/>
      <c r="AK274" s="441"/>
      <c r="AL274" s="438"/>
      <c r="AM274" s="439"/>
      <c r="AN274" s="440"/>
      <c r="AO274" s="441"/>
      <c r="AP274" s="438"/>
      <c r="AQ274" s="439"/>
      <c r="AR274" s="440"/>
      <c r="AS274" s="441"/>
      <c r="AT274" s="438"/>
      <c r="AU274" s="439"/>
      <c r="AV274" s="440"/>
      <c r="AW274" s="441"/>
      <c r="AX274" s="1060"/>
      <c r="AY274" s="442"/>
      <c r="AZ274" s="442">
        <f>+D274+H274+L274+P274+T274+X274+AB274+AF274+AJ274+AN274+AR274+AV274</f>
        <v>248.40593488205633</v>
      </c>
      <c r="BA274" s="443">
        <f t="shared" ref="BA274:BA283" si="493">+E274+I274+M274+Q274+U274+Y274+AC274+AG274+AK274+AO274+AS274+AW274</f>
        <v>47.989290416003378</v>
      </c>
      <c r="BB274" s="444"/>
      <c r="BD274" s="445"/>
      <c r="BE274" s="445"/>
      <c r="BF274" s="446"/>
      <c r="BG274" s="446"/>
    </row>
    <row r="275" spans="1:73">
      <c r="A275" s="397" t="s">
        <v>7</v>
      </c>
      <c r="B275" s="438"/>
      <c r="C275" s="439"/>
      <c r="D275" s="1393">
        <v>50.490285096836182</v>
      </c>
      <c r="E275" s="2037">
        <v>2.6056294410750209</v>
      </c>
      <c r="F275" s="1100"/>
      <c r="G275" s="1392"/>
      <c r="H275" s="1393">
        <f t="shared" ref="H275:H283" si="494">H261-D261</f>
        <v>56.99668212930289</v>
      </c>
      <c r="I275" s="2037">
        <f t="shared" si="487"/>
        <v>2.5207367088462571</v>
      </c>
      <c r="J275" s="1100"/>
      <c r="K275" s="1392"/>
      <c r="L275" s="1393">
        <f t="shared" ref="L275:L283" si="495">L261-H261</f>
        <v>44.699936478563686</v>
      </c>
      <c r="M275" s="2037">
        <f t="shared" si="488"/>
        <v>2.4600904135860464</v>
      </c>
      <c r="N275" s="1100"/>
      <c r="O275" s="1392"/>
      <c r="P275" s="1392">
        <f t="shared" ref="P275:P283" si="496">P261-L261</f>
        <v>51.721456908954138</v>
      </c>
      <c r="Q275" s="441">
        <f t="shared" si="489"/>
        <v>1.5304140911115436</v>
      </c>
      <c r="R275" s="438"/>
      <c r="S275" s="439"/>
      <c r="T275" s="440">
        <f t="shared" ref="T275:T283" si="497">T261-P261</f>
        <v>30.089176144569251</v>
      </c>
      <c r="U275" s="441">
        <f t="shared" si="490"/>
        <v>-0.10918175933506014</v>
      </c>
      <c r="V275" s="438"/>
      <c r="W275" s="439"/>
      <c r="X275" s="440">
        <f t="shared" ref="X275:X283" si="498">X261-T261</f>
        <v>11.307636988948047</v>
      </c>
      <c r="Y275" s="441">
        <f t="shared" si="491"/>
        <v>2.0720951633592914</v>
      </c>
      <c r="Z275" s="450"/>
      <c r="AA275" s="451"/>
      <c r="AB275" s="453">
        <f t="shared" ref="AB275:AB283" si="499">AB261-X261</f>
        <v>12.600515429245831</v>
      </c>
      <c r="AC275" s="452">
        <f t="shared" si="492"/>
        <v>0.74839322863799396</v>
      </c>
      <c r="AD275" s="450"/>
      <c r="AE275" s="451"/>
      <c r="AF275" s="453"/>
      <c r="AG275" s="452"/>
      <c r="AH275" s="438"/>
      <c r="AI275" s="439"/>
      <c r="AJ275" s="440"/>
      <c r="AK275" s="441"/>
      <c r="AL275" s="438"/>
      <c r="AM275" s="439"/>
      <c r="AN275" s="440"/>
      <c r="AO275" s="441"/>
      <c r="AP275" s="438"/>
      <c r="AQ275" s="439"/>
      <c r="AR275" s="440"/>
      <c r="AS275" s="441"/>
      <c r="AT275" s="438"/>
      <c r="AU275" s="439"/>
      <c r="AV275" s="440"/>
      <c r="AW275" s="441"/>
      <c r="AX275" s="1061"/>
      <c r="AY275" s="447"/>
      <c r="AZ275" s="447">
        <f t="shared" ref="AZ275:AZ282" si="500">+D275+H275+L275+P275+T275+X275+AB275+AF275+AJ275+AN275+AR275+AV275</f>
        <v>257.90568917642003</v>
      </c>
      <c r="BA275" s="448">
        <f t="shared" si="493"/>
        <v>11.828177287281093</v>
      </c>
      <c r="BB275" s="449"/>
      <c r="BD275" s="445"/>
      <c r="BE275" s="445"/>
      <c r="BF275" s="446"/>
      <c r="BG275" s="446"/>
    </row>
    <row r="276" spans="1:73">
      <c r="A276" s="397" t="s">
        <v>8</v>
      </c>
      <c r="B276" s="438"/>
      <c r="C276" s="439"/>
      <c r="D276" s="1393">
        <v>52.893279402303435</v>
      </c>
      <c r="E276" s="2037">
        <v>1.8473316506092532</v>
      </c>
      <c r="F276" s="1100"/>
      <c r="G276" s="1392"/>
      <c r="H276" s="1393">
        <f t="shared" si="494"/>
        <v>49.910793352289502</v>
      </c>
      <c r="I276" s="2037">
        <f t="shared" si="487"/>
        <v>2.6771700293475673</v>
      </c>
      <c r="J276" s="1100"/>
      <c r="K276" s="1392"/>
      <c r="L276" s="1393">
        <f t="shared" si="495"/>
        <v>44.5173001460156</v>
      </c>
      <c r="M276" s="2037">
        <f t="shared" si="488"/>
        <v>1.8111372862624906</v>
      </c>
      <c r="N276" s="1100"/>
      <c r="O276" s="1392"/>
      <c r="P276" s="1392">
        <f t="shared" si="496"/>
        <v>45.088194318781348</v>
      </c>
      <c r="Q276" s="441">
        <f t="shared" si="489"/>
        <v>0.9856475824026516</v>
      </c>
      <c r="R276" s="438"/>
      <c r="S276" s="439"/>
      <c r="T276" s="440">
        <f t="shared" si="497"/>
        <v>27.298648984916042</v>
      </c>
      <c r="U276" s="441">
        <f t="shared" si="490"/>
        <v>-1.6820197449057073</v>
      </c>
      <c r="V276" s="438"/>
      <c r="W276" s="439"/>
      <c r="X276" s="440">
        <f t="shared" si="498"/>
        <v>11.564790279957009</v>
      </c>
      <c r="Y276" s="441">
        <f t="shared" si="491"/>
        <v>2.696164019566254</v>
      </c>
      <c r="Z276" s="450"/>
      <c r="AA276" s="451"/>
      <c r="AB276" s="453">
        <f t="shared" si="499"/>
        <v>13.276448822272158</v>
      </c>
      <c r="AC276" s="2326">
        <f t="shared" si="492"/>
        <v>0.17273879295229833</v>
      </c>
      <c r="AD276" s="450"/>
      <c r="AE276" s="451"/>
      <c r="AF276" s="453"/>
      <c r="AG276" s="2324"/>
      <c r="AH276" s="438"/>
      <c r="AI276" s="439"/>
      <c r="AJ276" s="440"/>
      <c r="AK276" s="2319"/>
      <c r="AL276" s="438"/>
      <c r="AM276" s="439"/>
      <c r="AN276" s="440"/>
      <c r="AO276" s="441"/>
      <c r="AP276" s="438"/>
      <c r="AQ276" s="439"/>
      <c r="AR276" s="440"/>
      <c r="AS276" s="441"/>
      <c r="AT276" s="438"/>
      <c r="AU276" s="439"/>
      <c r="AV276" s="440"/>
      <c r="AW276" s="441"/>
      <c r="AX276" s="1061"/>
      <c r="AY276" s="447"/>
      <c r="AZ276" s="447">
        <f t="shared" si="500"/>
        <v>244.54945530653509</v>
      </c>
      <c r="BA276" s="448">
        <f t="shared" si="493"/>
        <v>8.5081696162348077</v>
      </c>
      <c r="BB276" s="449"/>
      <c r="BD276" s="445"/>
      <c r="BE276" s="445"/>
      <c r="BF276" s="446"/>
      <c r="BG276" s="446"/>
    </row>
    <row r="277" spans="1:73">
      <c r="A277" s="397" t="s">
        <v>4</v>
      </c>
      <c r="B277" s="438"/>
      <c r="C277" s="439"/>
      <c r="D277" s="1393">
        <v>70.387515856519656</v>
      </c>
      <c r="E277" s="2037">
        <v>3.608708693939318</v>
      </c>
      <c r="F277" s="1100"/>
      <c r="G277" s="1392"/>
      <c r="H277" s="1393">
        <f t="shared" si="494"/>
        <v>90.494336333076546</v>
      </c>
      <c r="I277" s="2037">
        <f t="shared" si="487"/>
        <v>3.9144117535306697</v>
      </c>
      <c r="J277" s="1100"/>
      <c r="K277" s="1392"/>
      <c r="L277" s="1393">
        <f t="shared" si="495"/>
        <v>81.996750406990827</v>
      </c>
      <c r="M277" s="2037">
        <f t="shared" si="488"/>
        <v>2.8919238434518766</v>
      </c>
      <c r="N277" s="1100"/>
      <c r="O277" s="1392"/>
      <c r="P277" s="1392">
        <f t="shared" si="496"/>
        <v>81.757108100904134</v>
      </c>
      <c r="Q277" s="441">
        <f t="shared" si="489"/>
        <v>1.9325055633972976</v>
      </c>
      <c r="R277" s="438"/>
      <c r="S277" s="439"/>
      <c r="T277" s="440">
        <f t="shared" si="497"/>
        <v>45.916002939645864</v>
      </c>
      <c r="U277" s="441">
        <f t="shared" si="490"/>
        <v>0.28494872078006672</v>
      </c>
      <c r="V277" s="438"/>
      <c r="W277" s="439"/>
      <c r="X277" s="440">
        <f t="shared" si="498"/>
        <v>23.441143966670609</v>
      </c>
      <c r="Y277" s="441">
        <f t="shared" si="491"/>
        <v>2.3730476782265573</v>
      </c>
      <c r="Z277" s="450"/>
      <c r="AA277" s="451"/>
      <c r="AB277" s="453">
        <f t="shared" si="499"/>
        <v>21.09399446689855</v>
      </c>
      <c r="AC277" s="452">
        <f t="shared" si="492"/>
        <v>0.95472187331707481</v>
      </c>
      <c r="AD277" s="450"/>
      <c r="AE277" s="451"/>
      <c r="AF277" s="453"/>
      <c r="AG277" s="452"/>
      <c r="AH277" s="438"/>
      <c r="AI277" s="439"/>
      <c r="AJ277" s="440"/>
      <c r="AK277" s="441"/>
      <c r="AL277" s="438"/>
      <c r="AM277" s="439"/>
      <c r="AN277" s="440"/>
      <c r="AO277" s="441"/>
      <c r="AP277" s="438"/>
      <c r="AQ277" s="439"/>
      <c r="AR277" s="440"/>
      <c r="AS277" s="441"/>
      <c r="AT277" s="438"/>
      <c r="AU277" s="439"/>
      <c r="AV277" s="440"/>
      <c r="AW277" s="441"/>
      <c r="AX277" s="1061"/>
      <c r="AY277" s="447"/>
      <c r="AZ277" s="447">
        <f t="shared" si="500"/>
        <v>415.08685207070619</v>
      </c>
      <c r="BA277" s="448">
        <f t="shared" si="493"/>
        <v>15.960268126642861</v>
      </c>
      <c r="BB277" s="449"/>
      <c r="BD277" s="445"/>
      <c r="BE277" s="445"/>
      <c r="BF277" s="446"/>
      <c r="BG277" s="446"/>
    </row>
    <row r="278" spans="1:73">
      <c r="A278" s="397" t="s">
        <v>3</v>
      </c>
      <c r="B278" s="438"/>
      <c r="C278" s="439"/>
      <c r="D278" s="1393">
        <v>80.923397658376388</v>
      </c>
      <c r="E278" s="2037">
        <v>4.0251849485360154</v>
      </c>
      <c r="F278" s="1100"/>
      <c r="G278" s="1392"/>
      <c r="H278" s="1393">
        <f t="shared" si="494"/>
        <v>94.358173483835344</v>
      </c>
      <c r="I278" s="2037">
        <f t="shared" si="487"/>
        <v>4.1411983124278056</v>
      </c>
      <c r="J278" s="1100"/>
      <c r="K278" s="1392"/>
      <c r="L278" s="1393">
        <f t="shared" si="495"/>
        <v>78.288602806865015</v>
      </c>
      <c r="M278" s="2037">
        <f t="shared" si="488"/>
        <v>3.95861359636827</v>
      </c>
      <c r="N278" s="1100"/>
      <c r="O278" s="1392"/>
      <c r="P278" s="1392">
        <f t="shared" si="496"/>
        <v>69.918157654864132</v>
      </c>
      <c r="Q278" s="441">
        <f t="shared" si="489"/>
        <v>0.61820571469568897</v>
      </c>
      <c r="R278" s="438"/>
      <c r="S278" s="439"/>
      <c r="T278" s="440">
        <f t="shared" si="497"/>
        <v>48.851348977136752</v>
      </c>
      <c r="U278" s="441">
        <f t="shared" si="490"/>
        <v>-3.4934603394909498</v>
      </c>
      <c r="V278" s="438"/>
      <c r="W278" s="439"/>
      <c r="X278" s="440">
        <f t="shared" si="498"/>
        <v>19.217400688599753</v>
      </c>
      <c r="Y278" s="441">
        <f t="shared" si="491"/>
        <v>6.1335330675704416</v>
      </c>
      <c r="Z278" s="450"/>
      <c r="AA278" s="451"/>
      <c r="AB278" s="453">
        <f t="shared" si="499"/>
        <v>20.875965653241849</v>
      </c>
      <c r="AC278" s="452">
        <f t="shared" si="492"/>
        <v>0.89968756194768318</v>
      </c>
      <c r="AD278" s="450"/>
      <c r="AE278" s="451"/>
      <c r="AF278" s="2321"/>
      <c r="AG278" s="452"/>
      <c r="AH278" s="438"/>
      <c r="AI278" s="439"/>
      <c r="AJ278" s="440"/>
      <c r="AK278" s="441"/>
      <c r="AL278" s="438"/>
      <c r="AM278" s="439"/>
      <c r="AN278" s="440"/>
      <c r="AO278" s="441"/>
      <c r="AP278" s="438"/>
      <c r="AQ278" s="439"/>
      <c r="AR278" s="440"/>
      <c r="AS278" s="441"/>
      <c r="AT278" s="438"/>
      <c r="AU278" s="439"/>
      <c r="AV278" s="440"/>
      <c r="AW278" s="441"/>
      <c r="AX278" s="1061"/>
      <c r="AY278" s="447"/>
      <c r="AZ278" s="447">
        <f t="shared" si="500"/>
        <v>412.43304692291923</v>
      </c>
      <c r="BA278" s="448">
        <f t="shared" si="493"/>
        <v>16.282962862054955</v>
      </c>
      <c r="BB278" s="449"/>
      <c r="BD278" s="445"/>
      <c r="BE278" s="445"/>
      <c r="BF278" s="446"/>
      <c r="BG278" s="446"/>
    </row>
    <row r="279" spans="1:73">
      <c r="A279" s="397" t="s">
        <v>397</v>
      </c>
      <c r="B279" s="438"/>
      <c r="C279" s="439"/>
      <c r="D279" s="1393">
        <v>15.255816972794301</v>
      </c>
      <c r="E279" s="2037">
        <v>2.7951516018859315</v>
      </c>
      <c r="F279" s="1100"/>
      <c r="G279" s="1392"/>
      <c r="H279" s="1393">
        <f t="shared" si="494"/>
        <v>22.939663132703338</v>
      </c>
      <c r="I279" s="2037">
        <f t="shared" si="487"/>
        <v>2.1728302905539087</v>
      </c>
      <c r="J279" s="1100"/>
      <c r="K279" s="1392"/>
      <c r="L279" s="1393">
        <f t="shared" si="495"/>
        <v>21.300383177227587</v>
      </c>
      <c r="M279" s="2037">
        <f t="shared" si="488"/>
        <v>1.3843498689677451</v>
      </c>
      <c r="N279" s="1100"/>
      <c r="O279" s="1392"/>
      <c r="P279" s="1392">
        <f t="shared" si="496"/>
        <v>20.464421508584465</v>
      </c>
      <c r="Q279" s="441">
        <f t="shared" si="489"/>
        <v>1.3451257078764645</v>
      </c>
      <c r="R279" s="438"/>
      <c r="S279" s="439"/>
      <c r="T279" s="440">
        <f t="shared" si="497"/>
        <v>10.843808162043672</v>
      </c>
      <c r="U279" s="441">
        <f t="shared" si="490"/>
        <v>2.341930789991828</v>
      </c>
      <c r="V279" s="438"/>
      <c r="W279" s="439"/>
      <c r="X279" s="440">
        <f t="shared" si="498"/>
        <v>10.311805496303606</v>
      </c>
      <c r="Y279" s="441">
        <f t="shared" si="491"/>
        <v>-0.14713188610756411</v>
      </c>
      <c r="Z279" s="450"/>
      <c r="AA279" s="451"/>
      <c r="AB279" s="453">
        <f t="shared" si="499"/>
        <v>7.2834013586137445</v>
      </c>
      <c r="AC279" s="452">
        <f t="shared" si="492"/>
        <v>1.3154043393181905</v>
      </c>
      <c r="AD279" s="450"/>
      <c r="AE279" s="451"/>
      <c r="AF279" s="453"/>
      <c r="AG279" s="452"/>
      <c r="AH279" s="438"/>
      <c r="AI279" s="439"/>
      <c r="AJ279" s="440"/>
      <c r="AK279" s="2319"/>
      <c r="AL279" s="438"/>
      <c r="AM279" s="439"/>
      <c r="AN279" s="440"/>
      <c r="AO279" s="441"/>
      <c r="AP279" s="438"/>
      <c r="AQ279" s="439"/>
      <c r="AR279" s="440"/>
      <c r="AS279" s="441"/>
      <c r="AT279" s="438"/>
      <c r="AU279" s="439"/>
      <c r="AV279" s="440"/>
      <c r="AW279" s="441"/>
      <c r="AX279" s="1061"/>
      <c r="AY279" s="447"/>
      <c r="AZ279" s="447">
        <f t="shared" si="500"/>
        <v>108.39929980827071</v>
      </c>
      <c r="BA279" s="448">
        <f t="shared" si="493"/>
        <v>11.207660712486504</v>
      </c>
      <c r="BB279" s="449"/>
      <c r="BD279" s="445"/>
      <c r="BE279" s="445"/>
      <c r="BF279" s="446"/>
      <c r="BG279" s="446"/>
    </row>
    <row r="280" spans="1:73">
      <c r="A280" s="397" t="s">
        <v>399</v>
      </c>
      <c r="B280" s="438"/>
      <c r="C280" s="439"/>
      <c r="D280" s="1393">
        <v>30.041782850941061</v>
      </c>
      <c r="E280" s="2037">
        <v>8.6373182248667195</v>
      </c>
      <c r="F280" s="1100"/>
      <c r="G280" s="1392"/>
      <c r="H280" s="1393">
        <f t="shared" si="494"/>
        <v>37.120526015486547</v>
      </c>
      <c r="I280" s="2037">
        <f t="shared" si="487"/>
        <v>7.1629605204749147</v>
      </c>
      <c r="J280" s="1100"/>
      <c r="K280" s="1392"/>
      <c r="L280" s="1393">
        <f t="shared" si="495"/>
        <v>27.806914617698325</v>
      </c>
      <c r="M280" s="2037">
        <f t="shared" si="488"/>
        <v>7.4570469038395917</v>
      </c>
      <c r="N280" s="1100"/>
      <c r="O280" s="1392"/>
      <c r="P280" s="1392">
        <f t="shared" si="496"/>
        <v>30.349549148705606</v>
      </c>
      <c r="Q280" s="441">
        <f t="shared" si="489"/>
        <v>6.7402749559036437</v>
      </c>
      <c r="R280" s="438"/>
      <c r="S280" s="439"/>
      <c r="T280" s="440">
        <f t="shared" si="497"/>
        <v>3.4891333644893763</v>
      </c>
      <c r="U280" s="441">
        <f t="shared" si="490"/>
        <v>21.828004518251753</v>
      </c>
      <c r="V280" s="438"/>
      <c r="W280" s="439"/>
      <c r="X280" s="440">
        <f t="shared" si="498"/>
        <v>24.149627159379747</v>
      </c>
      <c r="Y280" s="441">
        <f t="shared" si="491"/>
        <v>-7.2237982144079069</v>
      </c>
      <c r="Z280" s="450"/>
      <c r="AA280" s="451"/>
      <c r="AB280" s="453">
        <f t="shared" si="499"/>
        <v>9.6521988192179435</v>
      </c>
      <c r="AC280" s="452">
        <f t="shared" si="492"/>
        <v>6.3260163379578316</v>
      </c>
      <c r="AD280" s="450"/>
      <c r="AE280" s="451"/>
      <c r="AF280" s="453"/>
      <c r="AG280" s="452"/>
      <c r="AH280" s="438"/>
      <c r="AI280" s="439"/>
      <c r="AJ280" s="440"/>
      <c r="AK280" s="441"/>
      <c r="AL280" s="438"/>
      <c r="AM280" s="439"/>
      <c r="AN280" s="440"/>
      <c r="AO280" s="441"/>
      <c r="AP280" s="438"/>
      <c r="AQ280" s="439"/>
      <c r="AR280" s="440"/>
      <c r="AS280" s="441"/>
      <c r="AT280" s="438"/>
      <c r="AU280" s="439"/>
      <c r="AV280" s="440"/>
      <c r="AW280" s="441"/>
      <c r="AX280" s="1061"/>
      <c r="AY280" s="447"/>
      <c r="AZ280" s="447">
        <f t="shared" si="500"/>
        <v>162.60973197591861</v>
      </c>
      <c r="BA280" s="448">
        <f t="shared" si="493"/>
        <v>50.927823246886547</v>
      </c>
      <c r="BB280" s="449"/>
      <c r="BD280" s="445"/>
      <c r="BE280" s="445"/>
      <c r="BF280" s="446"/>
      <c r="BG280" s="446"/>
    </row>
    <row r="281" spans="1:73">
      <c r="A281" s="397" t="s">
        <v>883</v>
      </c>
      <c r="B281" s="438"/>
      <c r="C281" s="439"/>
      <c r="D281" s="1393">
        <v>29.104446718612191</v>
      </c>
      <c r="E281" s="2037">
        <v>1.4915739248856852</v>
      </c>
      <c r="F281" s="1100"/>
      <c r="G281" s="1392"/>
      <c r="H281" s="1393">
        <f t="shared" si="494"/>
        <v>34.652540559034108</v>
      </c>
      <c r="I281" s="2037">
        <f t="shared" si="487"/>
        <v>1.4949340422931749</v>
      </c>
      <c r="J281" s="1100"/>
      <c r="K281" s="1392"/>
      <c r="L281" s="1393">
        <f t="shared" si="495"/>
        <v>23.186216397810583</v>
      </c>
      <c r="M281" s="2037">
        <f t="shared" si="488"/>
        <v>1.225717960207044</v>
      </c>
      <c r="N281" s="1100"/>
      <c r="O281" s="1392"/>
      <c r="P281" s="1392">
        <f t="shared" si="496"/>
        <v>26.962507236777768</v>
      </c>
      <c r="Q281" s="441">
        <f t="shared" si="489"/>
        <v>0.9147160546843498</v>
      </c>
      <c r="R281" s="438"/>
      <c r="S281" s="439"/>
      <c r="T281" s="440">
        <f t="shared" si="497"/>
        <v>15.596738619461618</v>
      </c>
      <c r="U281" s="441">
        <f t="shared" si="490"/>
        <v>-0.57544893708587797</v>
      </c>
      <c r="V281" s="438"/>
      <c r="W281" s="439"/>
      <c r="X281" s="440">
        <f t="shared" si="498"/>
        <v>6.2093675869635661</v>
      </c>
      <c r="Y281" s="441">
        <f t="shared" si="491"/>
        <v>1.4270593018501332</v>
      </c>
      <c r="Z281" s="450"/>
      <c r="AA281" s="451"/>
      <c r="AB281" s="453">
        <f t="shared" si="499"/>
        <v>6.89326440178084</v>
      </c>
      <c r="AC281" s="452">
        <f t="shared" si="492"/>
        <v>0.3209009474948008</v>
      </c>
      <c r="AD281" s="450"/>
      <c r="AE281" s="451"/>
      <c r="AF281" s="453"/>
      <c r="AG281" s="452"/>
      <c r="AH281" s="438"/>
      <c r="AI281" s="439"/>
      <c r="AJ281" s="440"/>
      <c r="AK281" s="2320"/>
      <c r="AL281" s="438"/>
      <c r="AM281" s="439"/>
      <c r="AN281" s="440"/>
      <c r="AO281" s="441"/>
      <c r="AP281" s="438"/>
      <c r="AQ281" s="439"/>
      <c r="AR281" s="440"/>
      <c r="AS281" s="441"/>
      <c r="AT281" s="438"/>
      <c r="AU281" s="439"/>
      <c r="AV281" s="440"/>
      <c r="AW281" s="441"/>
      <c r="AX281" s="1061"/>
      <c r="AY281" s="447"/>
      <c r="AZ281" s="447">
        <f t="shared" si="500"/>
        <v>142.60508152044068</v>
      </c>
      <c r="BA281" s="448">
        <f t="shared" si="493"/>
        <v>6.29945329432931</v>
      </c>
      <c r="BB281" s="449"/>
      <c r="BD281" s="445"/>
      <c r="BE281" s="445"/>
      <c r="BF281" s="446"/>
      <c r="BG281" s="446"/>
    </row>
    <row r="282" spans="1:73">
      <c r="A282" s="397" t="s">
        <v>884</v>
      </c>
      <c r="B282" s="438"/>
      <c r="C282" s="439"/>
      <c r="D282" s="1393">
        <v>27.47727261555011</v>
      </c>
      <c r="E282" s="2037">
        <v>1.991388031375416</v>
      </c>
      <c r="F282" s="1100"/>
      <c r="G282" s="1392"/>
      <c r="H282" s="1393">
        <f t="shared" si="494"/>
        <v>33.643846483731394</v>
      </c>
      <c r="I282" s="2037">
        <f t="shared" si="487"/>
        <v>1.8342089956061283</v>
      </c>
      <c r="J282" s="1100"/>
      <c r="K282" s="1392"/>
      <c r="L282" s="1393">
        <f t="shared" si="495"/>
        <v>22.16290846238465</v>
      </c>
      <c r="M282" s="2037">
        <f t="shared" si="488"/>
        <v>1.5107334007882107</v>
      </c>
      <c r="N282" s="1100"/>
      <c r="O282" s="1392"/>
      <c r="P282" s="1392">
        <f t="shared" si="496"/>
        <v>31.200789992372606</v>
      </c>
      <c r="Q282" s="441">
        <f t="shared" si="489"/>
        <v>0.92066161873632613</v>
      </c>
      <c r="R282" s="438"/>
      <c r="S282" s="439"/>
      <c r="T282" s="440">
        <f t="shared" si="497"/>
        <v>12.067780225569066</v>
      </c>
      <c r="U282" s="441">
        <f t="shared" si="490"/>
        <v>5.0205668387350499</v>
      </c>
      <c r="V282" s="438"/>
      <c r="W282" s="439"/>
      <c r="X282" s="440">
        <f t="shared" si="498"/>
        <v>10.593816315661428</v>
      </c>
      <c r="Y282" s="441">
        <f t="shared" si="491"/>
        <v>-2.7941551572785794</v>
      </c>
      <c r="Z282" s="450"/>
      <c r="AA282" s="451"/>
      <c r="AB282" s="453">
        <f t="shared" si="499"/>
        <v>9.4004261984275956</v>
      </c>
      <c r="AC282" s="452">
        <f t="shared" si="492"/>
        <v>1.758840113726011</v>
      </c>
      <c r="AD282" s="450"/>
      <c r="AE282" s="451"/>
      <c r="AF282" s="453"/>
      <c r="AG282" s="452"/>
      <c r="AH282" s="438"/>
      <c r="AI282" s="439"/>
      <c r="AJ282" s="440"/>
      <c r="AK282" s="441"/>
      <c r="AL282" s="438"/>
      <c r="AM282" s="439"/>
      <c r="AN282" s="440"/>
      <c r="AO282" s="441"/>
      <c r="AP282" s="438"/>
      <c r="AQ282" s="439"/>
      <c r="AR282" s="440"/>
      <c r="AS282" s="441"/>
      <c r="AT282" s="438"/>
      <c r="AU282" s="439"/>
      <c r="AV282" s="440"/>
      <c r="AW282" s="441"/>
      <c r="AX282" s="1061"/>
      <c r="AY282" s="447"/>
      <c r="AZ282" s="447">
        <f t="shared" si="500"/>
        <v>146.54684029369685</v>
      </c>
      <c r="BA282" s="448">
        <f t="shared" si="493"/>
        <v>10.242243841688563</v>
      </c>
      <c r="BB282" s="449"/>
      <c r="BD282" s="445"/>
      <c r="BE282" s="445"/>
      <c r="BF282" s="446"/>
      <c r="BG282" s="446"/>
    </row>
    <row r="283" spans="1:73" ht="14.4" thickBot="1">
      <c r="A283" s="397" t="s">
        <v>885</v>
      </c>
      <c r="B283" s="438"/>
      <c r="C283" s="439"/>
      <c r="D283" s="1393">
        <v>18.606122864245616</v>
      </c>
      <c r="E283" s="2037">
        <v>0.59057366413590817</v>
      </c>
      <c r="F283" s="1100"/>
      <c r="G283" s="1392"/>
      <c r="H283" s="1393">
        <f t="shared" si="494"/>
        <v>22.994311646636415</v>
      </c>
      <c r="I283" s="2037">
        <f t="shared" si="487"/>
        <v>0.57252403711689304</v>
      </c>
      <c r="J283" s="1100"/>
      <c r="K283" s="1392"/>
      <c r="L283" s="1393">
        <f t="shared" si="495"/>
        <v>16.581578331038315</v>
      </c>
      <c r="M283" s="2037">
        <f t="shared" si="488"/>
        <v>0.44512622215022102</v>
      </c>
      <c r="N283" s="1100"/>
      <c r="O283" s="1392"/>
      <c r="P283" s="1392">
        <f t="shared" si="496"/>
        <v>20.386877337095363</v>
      </c>
      <c r="Q283" s="441">
        <f t="shared" si="489"/>
        <v>0.24955893538191254</v>
      </c>
      <c r="R283" s="438"/>
      <c r="S283" s="439"/>
      <c r="T283" s="440">
        <f t="shared" si="497"/>
        <v>13.504967894508141</v>
      </c>
      <c r="U283" s="441">
        <f t="shared" si="490"/>
        <v>-1.0597938667277578</v>
      </c>
      <c r="V283" s="438"/>
      <c r="W283" s="439"/>
      <c r="X283" s="440">
        <f t="shared" si="498"/>
        <v>4.1131796568650145</v>
      </c>
      <c r="Y283" s="441">
        <f t="shared" si="491"/>
        <v>1.193467154703244</v>
      </c>
      <c r="Z283" s="450"/>
      <c r="AA283" s="451"/>
      <c r="AB283" s="453">
        <f t="shared" si="499"/>
        <v>5.535772484082301</v>
      </c>
      <c r="AC283" s="2324">
        <f t="shared" si="492"/>
        <v>4.4550798819253057E-2</v>
      </c>
      <c r="AD283" s="450"/>
      <c r="AE283" s="451"/>
      <c r="AF283" s="453"/>
      <c r="AG283" s="452"/>
      <c r="AH283" s="438"/>
      <c r="AI283" s="439"/>
      <c r="AJ283" s="440"/>
      <c r="AK283" s="2322"/>
      <c r="AL283" s="438"/>
      <c r="AM283" s="439"/>
      <c r="AN283" s="440"/>
      <c r="AO283" s="441"/>
      <c r="AP283" s="438"/>
      <c r="AQ283" s="439"/>
      <c r="AR283" s="440"/>
      <c r="AS283" s="441"/>
      <c r="AT283" s="438"/>
      <c r="AU283" s="439"/>
      <c r="AV283" s="440"/>
      <c r="AW283" s="441"/>
      <c r="AX283" s="1061"/>
      <c r="AY283" s="447"/>
      <c r="AZ283" s="447">
        <f>+D283+H283+L283+P283+T283+X283+AB283+AF283+AJ283+AN283+AR283+AV283</f>
        <v>101.72281021447117</v>
      </c>
      <c r="BA283" s="448">
        <f t="shared" si="493"/>
        <v>2.0360069455796741</v>
      </c>
      <c r="BB283" s="449"/>
      <c r="BD283" s="445"/>
      <c r="BE283" s="445"/>
      <c r="BF283" s="446"/>
      <c r="BG283" s="446"/>
    </row>
    <row r="284" spans="1:73" ht="14.4" thickBot="1">
      <c r="A284" s="433" t="s">
        <v>16</v>
      </c>
      <c r="B284" s="455">
        <f t="shared" ref="B284:H284" si="501">SUM(B274:B283)</f>
        <v>0</v>
      </c>
      <c r="C284" s="456">
        <f t="shared" si="501"/>
        <v>0</v>
      </c>
      <c r="D284" s="465">
        <f t="shared" si="501"/>
        <v>414.76397271102144</v>
      </c>
      <c r="E284" s="466">
        <f t="shared" si="501"/>
        <v>35.950355031603976</v>
      </c>
      <c r="F284" s="455">
        <f t="shared" si="501"/>
        <v>0</v>
      </c>
      <c r="G284" s="456">
        <f t="shared" si="501"/>
        <v>0</v>
      </c>
      <c r="H284" s="456">
        <f t="shared" si="501"/>
        <v>496.78013889812064</v>
      </c>
      <c r="I284" s="457">
        <f t="shared" ref="I284:BB284" si="502">SUM(I274:I283)</f>
        <v>34.327835021363093</v>
      </c>
      <c r="J284" s="455">
        <f t="shared" si="502"/>
        <v>0</v>
      </c>
      <c r="K284" s="456">
        <f t="shared" si="502"/>
        <v>0</v>
      </c>
      <c r="L284" s="456">
        <f t="shared" si="502"/>
        <v>411.753383211114</v>
      </c>
      <c r="M284" s="457">
        <f t="shared" si="502"/>
        <v>29.847756627448291</v>
      </c>
      <c r="N284" s="455">
        <f t="shared" si="502"/>
        <v>0</v>
      </c>
      <c r="O284" s="456">
        <f t="shared" si="502"/>
        <v>0</v>
      </c>
      <c r="P284" s="456">
        <f t="shared" si="502"/>
        <v>423.0313699360027</v>
      </c>
      <c r="Q284" s="457">
        <f t="shared" si="502"/>
        <v>19.568662882533559</v>
      </c>
      <c r="R284" s="455">
        <f t="shared" si="502"/>
        <v>0</v>
      </c>
      <c r="S284" s="456">
        <f t="shared" si="502"/>
        <v>0</v>
      </c>
      <c r="T284" s="456">
        <f t="shared" si="502"/>
        <v>221.31831268871002</v>
      </c>
      <c r="U284" s="457">
        <f t="shared" si="502"/>
        <v>42.668612203245395</v>
      </c>
      <c r="V284" s="455">
        <f t="shared" si="502"/>
        <v>0</v>
      </c>
      <c r="W284" s="456">
        <f t="shared" si="502"/>
        <v>0</v>
      </c>
      <c r="X284" s="456">
        <f t="shared" si="502"/>
        <v>151.30576943646486</v>
      </c>
      <c r="Y284" s="457">
        <f t="shared" si="502"/>
        <v>-1.7213758811785906</v>
      </c>
      <c r="Z284" s="458">
        <f t="shared" si="502"/>
        <v>0</v>
      </c>
      <c r="AA284" s="477">
        <f t="shared" si="502"/>
        <v>0</v>
      </c>
      <c r="AB284" s="477">
        <f t="shared" si="502"/>
        <v>121.3117952900013</v>
      </c>
      <c r="AC284" s="499">
        <f t="shared" si="502"/>
        <v>20.64021046417195</v>
      </c>
      <c r="AD284" s="458">
        <f t="shared" si="502"/>
        <v>0</v>
      </c>
      <c r="AE284" s="456">
        <f t="shared" si="502"/>
        <v>0</v>
      </c>
      <c r="AF284" s="456">
        <f t="shared" si="502"/>
        <v>0</v>
      </c>
      <c r="AG284" s="457">
        <f t="shared" si="502"/>
        <v>0</v>
      </c>
      <c r="AH284" s="455">
        <f t="shared" si="502"/>
        <v>0</v>
      </c>
      <c r="AI284" s="456">
        <f t="shared" si="502"/>
        <v>0</v>
      </c>
      <c r="AJ284" s="456">
        <f t="shared" si="502"/>
        <v>0</v>
      </c>
      <c r="AK284" s="457">
        <f t="shared" si="502"/>
        <v>0</v>
      </c>
      <c r="AL284" s="455">
        <f t="shared" si="502"/>
        <v>0</v>
      </c>
      <c r="AM284" s="456">
        <f t="shared" si="502"/>
        <v>0</v>
      </c>
      <c r="AN284" s="456">
        <f t="shared" si="502"/>
        <v>0</v>
      </c>
      <c r="AO284" s="457">
        <f t="shared" si="502"/>
        <v>0</v>
      </c>
      <c r="AP284" s="455">
        <f t="shared" si="502"/>
        <v>0</v>
      </c>
      <c r="AQ284" s="456">
        <f t="shared" si="502"/>
        <v>0</v>
      </c>
      <c r="AR284" s="456">
        <f t="shared" si="502"/>
        <v>0</v>
      </c>
      <c r="AS284" s="457">
        <f t="shared" si="502"/>
        <v>0</v>
      </c>
      <c r="AT284" s="455">
        <f t="shared" si="502"/>
        <v>0</v>
      </c>
      <c r="AU284" s="456">
        <f t="shared" si="502"/>
        <v>0</v>
      </c>
      <c r="AV284" s="456">
        <f t="shared" si="502"/>
        <v>0</v>
      </c>
      <c r="AW284" s="457">
        <f t="shared" si="502"/>
        <v>0</v>
      </c>
      <c r="AX284" s="468">
        <f t="shared" si="502"/>
        <v>0</v>
      </c>
      <c r="AY284" s="458">
        <f t="shared" si="502"/>
        <v>0</v>
      </c>
      <c r="AZ284" s="468">
        <f t="shared" si="502"/>
        <v>2240.264742171435</v>
      </c>
      <c r="BA284" s="468">
        <f t="shared" si="502"/>
        <v>181.28205634918771</v>
      </c>
      <c r="BB284" s="458">
        <f t="shared" si="502"/>
        <v>0</v>
      </c>
      <c r="BD284" s="445"/>
      <c r="BE284" s="445"/>
      <c r="BF284" s="446"/>
      <c r="BG284" s="446"/>
    </row>
    <row r="285" spans="1:73" ht="18.600000000000001" thickBot="1">
      <c r="A285" s="394" t="s">
        <v>1088</v>
      </c>
      <c r="AT285" s="117">
        <v>23.342376000000002</v>
      </c>
      <c r="AU285" s="117">
        <v>2.0153289999999999</v>
      </c>
      <c r="AV285" s="117">
        <v>25.357705000000003</v>
      </c>
      <c r="AW285" s="117">
        <v>1.30687</v>
      </c>
    </row>
    <row r="286" spans="1:73">
      <c r="A286" s="3113" t="str">
        <f>A114</f>
        <v>DD</v>
      </c>
      <c r="B286" s="3115" t="s">
        <v>71</v>
      </c>
      <c r="C286" s="3116"/>
      <c r="D286" s="3116"/>
      <c r="E286" s="3117"/>
      <c r="F286" s="3097" t="s">
        <v>72</v>
      </c>
      <c r="G286" s="3098"/>
      <c r="H286" s="3098"/>
      <c r="I286" s="3099"/>
      <c r="J286" s="3100" t="s">
        <v>73</v>
      </c>
      <c r="K286" s="3101"/>
      <c r="L286" s="3101"/>
      <c r="M286" s="3102"/>
      <c r="N286" s="3103" t="s">
        <v>74</v>
      </c>
      <c r="O286" s="3104"/>
      <c r="P286" s="3104"/>
      <c r="Q286" s="3105"/>
      <c r="R286" s="3106" t="s">
        <v>75</v>
      </c>
      <c r="S286" s="3107"/>
      <c r="T286" s="3107"/>
      <c r="U286" s="3108"/>
      <c r="V286" s="3109" t="s">
        <v>76</v>
      </c>
      <c r="W286" s="3110"/>
      <c r="X286" s="3110"/>
      <c r="Y286" s="3111"/>
      <c r="Z286" s="3115" t="s">
        <v>77</v>
      </c>
      <c r="AA286" s="3116"/>
      <c r="AB286" s="3116"/>
      <c r="AC286" s="3117"/>
      <c r="AD286" s="3097" t="s">
        <v>78</v>
      </c>
      <c r="AE286" s="3098"/>
      <c r="AF286" s="3098"/>
      <c r="AG286" s="3099"/>
      <c r="AH286" s="3100" t="s">
        <v>79</v>
      </c>
      <c r="AI286" s="3101"/>
      <c r="AJ286" s="3101"/>
      <c r="AK286" s="3102"/>
      <c r="AL286" s="3103" t="s">
        <v>80</v>
      </c>
      <c r="AM286" s="3104"/>
      <c r="AN286" s="3104"/>
      <c r="AO286" s="3105"/>
      <c r="AP286" s="3106" t="s">
        <v>81</v>
      </c>
      <c r="AQ286" s="3107"/>
      <c r="AR286" s="3107"/>
      <c r="AS286" s="3108"/>
      <c r="AT286" s="3109" t="s">
        <v>82</v>
      </c>
      <c r="AU286" s="3110"/>
      <c r="AV286" s="3110"/>
      <c r="AW286" s="3111"/>
      <c r="AX286" s="3097" t="s">
        <v>83</v>
      </c>
      <c r="AY286" s="3098"/>
      <c r="AZ286" s="3098"/>
      <c r="BA286" s="3098"/>
      <c r="BB286" s="3099"/>
      <c r="BC286" s="430"/>
      <c r="BD286" s="430"/>
      <c r="BE286" s="430"/>
      <c r="BH286" s="430"/>
      <c r="BI286" s="430"/>
      <c r="BR286" s="3112"/>
      <c r="BS286" s="3112"/>
      <c r="BT286" s="3112"/>
      <c r="BU286" s="3112"/>
    </row>
    <row r="287" spans="1:73" ht="14.4" thickBot="1">
      <c r="A287" s="3114"/>
      <c r="B287" s="402" t="s">
        <v>17</v>
      </c>
      <c r="C287" s="403" t="s">
        <v>18</v>
      </c>
      <c r="D287" s="403" t="s">
        <v>56</v>
      </c>
      <c r="E287" s="404" t="s">
        <v>21</v>
      </c>
      <c r="F287" s="402" t="s">
        <v>17</v>
      </c>
      <c r="G287" s="403" t="s">
        <v>18</v>
      </c>
      <c r="H287" s="403" t="s">
        <v>56</v>
      </c>
      <c r="I287" s="404" t="s">
        <v>21</v>
      </c>
      <c r="J287" s="402" t="s">
        <v>17</v>
      </c>
      <c r="K287" s="403" t="s">
        <v>18</v>
      </c>
      <c r="L287" s="403" t="s">
        <v>56</v>
      </c>
      <c r="M287" s="404" t="s">
        <v>21</v>
      </c>
      <c r="N287" s="402" t="s">
        <v>17</v>
      </c>
      <c r="O287" s="403" t="s">
        <v>18</v>
      </c>
      <c r="P287" s="403" t="s">
        <v>56</v>
      </c>
      <c r="Q287" s="404" t="s">
        <v>21</v>
      </c>
      <c r="R287" s="402" t="s">
        <v>17</v>
      </c>
      <c r="S287" s="403" t="s">
        <v>18</v>
      </c>
      <c r="T287" s="403" t="s">
        <v>56</v>
      </c>
      <c r="U287" s="404" t="s">
        <v>21</v>
      </c>
      <c r="V287" s="402" t="s">
        <v>17</v>
      </c>
      <c r="W287" s="403" t="s">
        <v>18</v>
      </c>
      <c r="X287" s="403" t="s">
        <v>56</v>
      </c>
      <c r="Y287" s="404" t="s">
        <v>21</v>
      </c>
      <c r="Z287" s="402" t="s">
        <v>17</v>
      </c>
      <c r="AA287" s="403" t="s">
        <v>18</v>
      </c>
      <c r="AB287" s="403" t="s">
        <v>56</v>
      </c>
      <c r="AC287" s="404" t="s">
        <v>21</v>
      </c>
      <c r="AD287" s="1062" t="s">
        <v>17</v>
      </c>
      <c r="AE287" s="403" t="s">
        <v>18</v>
      </c>
      <c r="AF287" s="403" t="s">
        <v>56</v>
      </c>
      <c r="AG287" s="404" t="s">
        <v>21</v>
      </c>
      <c r="AH287" s="402" t="s">
        <v>17</v>
      </c>
      <c r="AI287" s="403" t="s">
        <v>18</v>
      </c>
      <c r="AJ287" s="403" t="s">
        <v>56</v>
      </c>
      <c r="AK287" s="404" t="s">
        <v>21</v>
      </c>
      <c r="AL287" s="402" t="s">
        <v>17</v>
      </c>
      <c r="AM287" s="403" t="s">
        <v>18</v>
      </c>
      <c r="AN287" s="403" t="s">
        <v>56</v>
      </c>
      <c r="AO287" s="404" t="s">
        <v>21</v>
      </c>
      <c r="AP287" s="402" t="s">
        <v>17</v>
      </c>
      <c r="AQ287" s="403" t="s">
        <v>18</v>
      </c>
      <c r="AR287" s="403" t="s">
        <v>56</v>
      </c>
      <c r="AS287" s="404" t="s">
        <v>21</v>
      </c>
      <c r="AT287" s="402" t="s">
        <v>17</v>
      </c>
      <c r="AU287" s="403" t="s">
        <v>18</v>
      </c>
      <c r="AV287" s="403" t="s">
        <v>56</v>
      </c>
      <c r="AW287" s="436" t="s">
        <v>21</v>
      </c>
      <c r="AX287" s="1059" t="s">
        <v>17</v>
      </c>
      <c r="AY287" s="437" t="s">
        <v>18</v>
      </c>
      <c r="AZ287" s="437" t="s">
        <v>56</v>
      </c>
      <c r="BA287" s="437" t="s">
        <v>21</v>
      </c>
      <c r="BB287" s="437" t="s">
        <v>160</v>
      </c>
    </row>
    <row r="288" spans="1:73">
      <c r="A288" s="397" t="s">
        <v>6</v>
      </c>
      <c r="B288" s="438"/>
      <c r="C288" s="439"/>
      <c r="D288" s="1393">
        <v>44.541690309287922</v>
      </c>
      <c r="E288" s="2037">
        <v>7.8920011528329326</v>
      </c>
      <c r="F288" s="1100"/>
      <c r="G288" s="1392"/>
      <c r="H288" s="1393">
        <v>101.08309775526902</v>
      </c>
      <c r="I288" s="2037">
        <v>15.623022152345184</v>
      </c>
      <c r="J288" s="1100"/>
      <c r="K288" s="1392"/>
      <c r="L288" s="1393">
        <v>149.39797817205229</v>
      </c>
      <c r="M288" s="2037">
        <v>21.776280200467877</v>
      </c>
      <c r="N288" s="1100"/>
      <c r="O288" s="1392"/>
      <c r="P288" s="1393">
        <v>190.88095726040635</v>
      </c>
      <c r="Q288" s="441">
        <v>27.946863405749596</v>
      </c>
      <c r="R288" s="438"/>
      <c r="S288" s="439"/>
      <c r="T288" s="440">
        <v>218.71535962613621</v>
      </c>
      <c r="U288" s="441">
        <v>34.430125418093013</v>
      </c>
      <c r="V288" s="438"/>
      <c r="W288" s="439"/>
      <c r="X288" s="440">
        <v>236.41524989240284</v>
      </c>
      <c r="Y288" s="441">
        <v>40.815682854024395</v>
      </c>
      <c r="Z288" s="450"/>
      <c r="AA288" s="451"/>
      <c r="AB288" s="453">
        <v>250.78864279524225</v>
      </c>
      <c r="AC288" s="452">
        <v>50.359913910304407</v>
      </c>
      <c r="AD288" s="450"/>
      <c r="AE288" s="451"/>
      <c r="AF288" s="453"/>
      <c r="AG288" s="452"/>
      <c r="AH288" s="438"/>
      <c r="AI288" s="439"/>
      <c r="AJ288" s="440">
        <f>AF288+AJ302</f>
        <v>0</v>
      </c>
      <c r="AK288" s="441">
        <f>AG288+AK302</f>
        <v>0</v>
      </c>
      <c r="AL288" s="438"/>
      <c r="AM288" s="439"/>
      <c r="AN288" s="440">
        <f>AJ288+AN302</f>
        <v>0</v>
      </c>
      <c r="AO288" s="441">
        <f>AK288+AO302</f>
        <v>0</v>
      </c>
      <c r="AP288" s="438"/>
      <c r="AQ288" s="439"/>
      <c r="AR288" s="440">
        <f>AN288+AR302</f>
        <v>0</v>
      </c>
      <c r="AS288" s="441">
        <f>AO288+AS302</f>
        <v>0</v>
      </c>
      <c r="AT288" s="438"/>
      <c r="AU288" s="439"/>
      <c r="AV288" s="440">
        <f>AR288+AV302</f>
        <v>0</v>
      </c>
      <c r="AW288" s="441">
        <f>AS288+AW302</f>
        <v>0</v>
      </c>
      <c r="AX288" s="1060"/>
      <c r="AY288" s="442"/>
      <c r="AZ288" s="442"/>
      <c r="BA288" s="443"/>
      <c r="BB288" s="444"/>
      <c r="BD288" s="445"/>
      <c r="BE288" s="445"/>
    </row>
    <row r="289" spans="1:73">
      <c r="A289" s="397" t="s">
        <v>7</v>
      </c>
      <c r="B289" s="438"/>
      <c r="C289" s="439"/>
      <c r="D289" s="1393">
        <v>56.334886872534135</v>
      </c>
      <c r="E289" s="2037">
        <v>2.9483162284344591</v>
      </c>
      <c r="F289" s="1100"/>
      <c r="G289" s="1392"/>
      <c r="H289" s="1393">
        <v>116.3769025316472</v>
      </c>
      <c r="I289" s="2037">
        <v>5.7337669162505289</v>
      </c>
      <c r="J289" s="1100"/>
      <c r="K289" s="1392"/>
      <c r="L289" s="1393">
        <v>160.98139431754333</v>
      </c>
      <c r="M289" s="2037">
        <v>8.2504396759843193</v>
      </c>
      <c r="N289" s="1100"/>
      <c r="O289" s="1392"/>
      <c r="P289" s="1393">
        <v>209.92752112444794</v>
      </c>
      <c r="Q289" s="441">
        <v>9.6213384771420163</v>
      </c>
      <c r="R289" s="438"/>
      <c r="S289" s="439"/>
      <c r="T289" s="440">
        <v>240.54161209693137</v>
      </c>
      <c r="U289" s="441">
        <v>10.725806008898697</v>
      </c>
      <c r="V289" s="438"/>
      <c r="W289" s="439"/>
      <c r="X289" s="440">
        <v>253.04537022942702</v>
      </c>
      <c r="Y289" s="441">
        <v>11.62084163925671</v>
      </c>
      <c r="Z289" s="450"/>
      <c r="AA289" s="451"/>
      <c r="AB289" s="453">
        <v>263.81664161226485</v>
      </c>
      <c r="AC289" s="452">
        <v>12.684322087539698</v>
      </c>
      <c r="AD289" s="450"/>
      <c r="AE289" s="451"/>
      <c r="AF289" s="453"/>
      <c r="AG289" s="452"/>
      <c r="AH289" s="438"/>
      <c r="AI289" s="439"/>
      <c r="AJ289" s="440">
        <f t="shared" ref="AJ289:AJ297" si="503">AF289+AJ303</f>
        <v>0</v>
      </c>
      <c r="AK289" s="441">
        <f t="shared" ref="AK289:AK297" si="504">AG289+AK303</f>
        <v>0</v>
      </c>
      <c r="AL289" s="438"/>
      <c r="AM289" s="439"/>
      <c r="AN289" s="440">
        <f t="shared" ref="AN289:AN297" si="505">AJ289+AN303</f>
        <v>0</v>
      </c>
      <c r="AO289" s="441">
        <f t="shared" ref="AO289:AO297" si="506">AK289+AO303</f>
        <v>0</v>
      </c>
      <c r="AP289" s="438"/>
      <c r="AQ289" s="439"/>
      <c r="AR289" s="440">
        <f t="shared" ref="AR289:AR297" si="507">AN289+AR303</f>
        <v>0</v>
      </c>
      <c r="AS289" s="441">
        <f t="shared" ref="AS289:AS297" si="508">AO289+AS303</f>
        <v>0</v>
      </c>
      <c r="AT289" s="438"/>
      <c r="AU289" s="439"/>
      <c r="AV289" s="440">
        <f t="shared" ref="AV289:AV297" si="509">AR289+AV303</f>
        <v>0</v>
      </c>
      <c r="AW289" s="441">
        <f t="shared" ref="AW289:AW297" si="510">AS289+AW303</f>
        <v>0</v>
      </c>
      <c r="AX289" s="1061"/>
      <c r="AY289" s="447"/>
      <c r="AZ289" s="447"/>
      <c r="BA289" s="448"/>
      <c r="BB289" s="449"/>
      <c r="BD289" s="445"/>
      <c r="BE289" s="445"/>
    </row>
    <row r="290" spans="1:73">
      <c r="A290" s="397" t="s">
        <v>8</v>
      </c>
      <c r="B290" s="438"/>
      <c r="C290" s="439"/>
      <c r="D290" s="1393">
        <v>58.095608070242513</v>
      </c>
      <c r="E290" s="2037">
        <v>2.1855529728819652</v>
      </c>
      <c r="F290" s="1100"/>
      <c r="G290" s="1392"/>
      <c r="H290" s="1393">
        <v>111.17652520736702</v>
      </c>
      <c r="I290" s="2037">
        <v>4.1994039619277377</v>
      </c>
      <c r="J290" s="1100"/>
      <c r="K290" s="1392"/>
      <c r="L290" s="1393">
        <v>155.88419582011892</v>
      </c>
      <c r="M290" s="2037">
        <v>6.1541429184232754</v>
      </c>
      <c r="N290" s="1100"/>
      <c r="O290" s="1392"/>
      <c r="P290" s="1393">
        <v>206.50161645154017</v>
      </c>
      <c r="Q290" s="441">
        <v>7.3090440222065887</v>
      </c>
      <c r="R290" s="438"/>
      <c r="S290" s="439"/>
      <c r="T290" s="440">
        <v>233.71863177279508</v>
      </c>
      <c r="U290" s="441">
        <v>8.0123954732182074</v>
      </c>
      <c r="V290" s="438"/>
      <c r="W290" s="439"/>
      <c r="X290" s="440">
        <v>248.678031974204</v>
      </c>
      <c r="Y290" s="441">
        <v>8.3363778266858084</v>
      </c>
      <c r="Z290" s="450"/>
      <c r="AA290" s="451"/>
      <c r="AB290" s="453">
        <v>260.10985951868702</v>
      </c>
      <c r="AC290" s="452">
        <v>8.5839449521537787</v>
      </c>
      <c r="AD290" s="450"/>
      <c r="AE290" s="451"/>
      <c r="AF290" s="453"/>
      <c r="AG290" s="452"/>
      <c r="AH290" s="438"/>
      <c r="AI290" s="439"/>
      <c r="AJ290" s="440">
        <f t="shared" si="503"/>
        <v>0</v>
      </c>
      <c r="AK290" s="441">
        <f t="shared" si="504"/>
        <v>0</v>
      </c>
      <c r="AL290" s="438"/>
      <c r="AM290" s="439"/>
      <c r="AN290" s="440">
        <f t="shared" si="505"/>
        <v>0</v>
      </c>
      <c r="AO290" s="441">
        <f t="shared" si="506"/>
        <v>0</v>
      </c>
      <c r="AP290" s="438"/>
      <c r="AQ290" s="439"/>
      <c r="AR290" s="440">
        <f t="shared" si="507"/>
        <v>0</v>
      </c>
      <c r="AS290" s="441">
        <f t="shared" si="508"/>
        <v>0</v>
      </c>
      <c r="AT290" s="438"/>
      <c r="AU290" s="439"/>
      <c r="AV290" s="440">
        <f t="shared" si="509"/>
        <v>0</v>
      </c>
      <c r="AW290" s="441">
        <f t="shared" si="510"/>
        <v>0</v>
      </c>
      <c r="AX290" s="1061"/>
      <c r="AY290" s="447"/>
      <c r="AZ290" s="447"/>
      <c r="BA290" s="448"/>
      <c r="BB290" s="449"/>
      <c r="BD290" s="445"/>
      <c r="BE290" s="445"/>
    </row>
    <row r="291" spans="1:73">
      <c r="A291" s="397" t="s">
        <v>4</v>
      </c>
      <c r="B291" s="438"/>
      <c r="C291" s="439"/>
      <c r="D291" s="1393">
        <v>78.230841183055773</v>
      </c>
      <c r="E291" s="2037">
        <v>3.748927211980265</v>
      </c>
      <c r="F291" s="1100"/>
      <c r="G291" s="1392"/>
      <c r="H291" s="1393">
        <v>165.0345052458818</v>
      </c>
      <c r="I291" s="2037">
        <v>7.5951594196498045</v>
      </c>
      <c r="J291" s="1100"/>
      <c r="K291" s="1392"/>
      <c r="L291" s="1393">
        <v>240.06712962713308</v>
      </c>
      <c r="M291" s="2037">
        <v>10.369359466092734</v>
      </c>
      <c r="N291" s="1100"/>
      <c r="O291" s="1392"/>
      <c r="P291" s="1393">
        <v>315.12902243330586</v>
      </c>
      <c r="Q291" s="441">
        <v>12.612386853659695</v>
      </c>
      <c r="R291" s="438"/>
      <c r="S291" s="439"/>
      <c r="T291" s="440">
        <v>360.06432058425958</v>
      </c>
      <c r="U291" s="441">
        <v>14.144090821914178</v>
      </c>
      <c r="V291" s="438"/>
      <c r="W291" s="439"/>
      <c r="X291" s="440">
        <v>383.05774149316596</v>
      </c>
      <c r="Y291" s="441">
        <v>15.299245139879989</v>
      </c>
      <c r="Z291" s="450"/>
      <c r="AA291" s="451"/>
      <c r="AB291" s="453">
        <v>400.24217692223129</v>
      </c>
      <c r="AC291" s="452">
        <v>17.622395690589595</v>
      </c>
      <c r="AD291" s="450"/>
      <c r="AE291" s="451"/>
      <c r="AF291" s="453"/>
      <c r="AG291" s="452"/>
      <c r="AH291" s="438"/>
      <c r="AI291" s="439"/>
      <c r="AJ291" s="440">
        <f t="shared" si="503"/>
        <v>0</v>
      </c>
      <c r="AK291" s="441">
        <f t="shared" si="504"/>
        <v>0</v>
      </c>
      <c r="AL291" s="438"/>
      <c r="AM291" s="439"/>
      <c r="AN291" s="440">
        <f t="shared" si="505"/>
        <v>0</v>
      </c>
      <c r="AO291" s="441">
        <f t="shared" si="506"/>
        <v>0</v>
      </c>
      <c r="AP291" s="438"/>
      <c r="AQ291" s="439"/>
      <c r="AR291" s="440">
        <f t="shared" si="507"/>
        <v>0</v>
      </c>
      <c r="AS291" s="441">
        <f t="shared" si="508"/>
        <v>0</v>
      </c>
      <c r="AT291" s="438"/>
      <c r="AU291" s="439"/>
      <c r="AV291" s="440">
        <f t="shared" si="509"/>
        <v>0</v>
      </c>
      <c r="AW291" s="441">
        <f t="shared" si="510"/>
        <v>0</v>
      </c>
      <c r="AX291" s="1061"/>
      <c r="AY291" s="447"/>
      <c r="AZ291" s="447"/>
      <c r="BA291" s="448"/>
      <c r="BB291" s="449"/>
      <c r="BD291" s="445"/>
      <c r="BE291" s="445"/>
    </row>
    <row r="292" spans="1:73">
      <c r="A292" s="397" t="s">
        <v>3</v>
      </c>
      <c r="B292" s="438"/>
      <c r="C292" s="439"/>
      <c r="D292" s="1393">
        <v>81.638906692910908</v>
      </c>
      <c r="E292" s="2037">
        <v>3.9501048752850325</v>
      </c>
      <c r="F292" s="1100"/>
      <c r="G292" s="1392"/>
      <c r="H292" s="1393">
        <v>173.28634793900005</v>
      </c>
      <c r="I292" s="2037">
        <v>7.650225895463393</v>
      </c>
      <c r="J292" s="1100"/>
      <c r="K292" s="1392"/>
      <c r="L292" s="1393">
        <v>245.51940145650983</v>
      </c>
      <c r="M292" s="2037">
        <v>10.607543613379491</v>
      </c>
      <c r="N292" s="1100"/>
      <c r="O292" s="1392"/>
      <c r="P292" s="1393">
        <v>318.35715872011565</v>
      </c>
      <c r="Q292" s="441">
        <v>12.721732745571368</v>
      </c>
      <c r="R292" s="438"/>
      <c r="S292" s="439"/>
      <c r="T292" s="440">
        <v>364.53253643980173</v>
      </c>
      <c r="U292" s="441">
        <v>13.868392222279555</v>
      </c>
      <c r="V292" s="438"/>
      <c r="W292" s="439"/>
      <c r="X292" s="440">
        <v>389.73194685029972</v>
      </c>
      <c r="Y292" s="441">
        <v>14.691233274147612</v>
      </c>
      <c r="Z292" s="450"/>
      <c r="AA292" s="451"/>
      <c r="AB292" s="453">
        <v>406.65094410663147</v>
      </c>
      <c r="AC292" s="452">
        <v>15.470561869542582</v>
      </c>
      <c r="AD292" s="450"/>
      <c r="AE292" s="451"/>
      <c r="AF292" s="453"/>
      <c r="AG292" s="452"/>
      <c r="AH292" s="438"/>
      <c r="AI292" s="439"/>
      <c r="AJ292" s="440">
        <f t="shared" si="503"/>
        <v>0</v>
      </c>
      <c r="AK292" s="441">
        <f t="shared" si="504"/>
        <v>0</v>
      </c>
      <c r="AL292" s="438"/>
      <c r="AM292" s="439"/>
      <c r="AN292" s="440">
        <f t="shared" si="505"/>
        <v>0</v>
      </c>
      <c r="AO292" s="441">
        <f t="shared" si="506"/>
        <v>0</v>
      </c>
      <c r="AP292" s="438"/>
      <c r="AQ292" s="439"/>
      <c r="AR292" s="440">
        <f t="shared" si="507"/>
        <v>0</v>
      </c>
      <c r="AS292" s="441">
        <f t="shared" si="508"/>
        <v>0</v>
      </c>
      <c r="AT292" s="438"/>
      <c r="AU292" s="439"/>
      <c r="AV292" s="440">
        <f t="shared" si="509"/>
        <v>0</v>
      </c>
      <c r="AW292" s="441">
        <f t="shared" si="510"/>
        <v>0</v>
      </c>
      <c r="AX292" s="1061"/>
      <c r="AY292" s="447"/>
      <c r="AZ292" s="447"/>
      <c r="BA292" s="448"/>
      <c r="BB292" s="449"/>
      <c r="BD292" s="445"/>
      <c r="BE292" s="445"/>
    </row>
    <row r="293" spans="1:73">
      <c r="A293" s="397" t="s">
        <v>397</v>
      </c>
      <c r="B293" s="438"/>
      <c r="C293" s="439"/>
      <c r="D293" s="1393">
        <v>17.848819635353586</v>
      </c>
      <c r="E293" s="2037">
        <v>2.1289345046483938</v>
      </c>
      <c r="F293" s="1100"/>
      <c r="G293" s="1392"/>
      <c r="H293" s="1393">
        <v>40.011038072930852</v>
      </c>
      <c r="I293" s="2037">
        <v>4.0617500398752764</v>
      </c>
      <c r="J293" s="1100"/>
      <c r="K293" s="1392"/>
      <c r="L293" s="1393">
        <v>60.247047060009287</v>
      </c>
      <c r="M293" s="2037">
        <v>5.4990800068534567</v>
      </c>
      <c r="N293" s="1100"/>
      <c r="O293" s="1392"/>
      <c r="P293" s="1393">
        <v>79.128294778482285</v>
      </c>
      <c r="Q293" s="441">
        <v>6.6642785066949459</v>
      </c>
      <c r="R293" s="438"/>
      <c r="S293" s="439"/>
      <c r="T293" s="440">
        <v>91.504477870087683</v>
      </c>
      <c r="U293" s="441">
        <v>8.0326735273548451</v>
      </c>
      <c r="V293" s="438"/>
      <c r="W293" s="439"/>
      <c r="X293" s="440">
        <v>100.13585754147871</v>
      </c>
      <c r="Y293" s="441">
        <v>9.1102122594755386</v>
      </c>
      <c r="Z293" s="450"/>
      <c r="AA293" s="451"/>
      <c r="AB293" s="453">
        <v>116.74068082898631</v>
      </c>
      <c r="AC293" s="452">
        <v>9.8736599202717255</v>
      </c>
      <c r="AD293" s="450"/>
      <c r="AE293" s="451"/>
      <c r="AF293" s="453"/>
      <c r="AG293" s="452"/>
      <c r="AH293" s="438"/>
      <c r="AI293" s="439"/>
      <c r="AJ293" s="440">
        <f t="shared" si="503"/>
        <v>0</v>
      </c>
      <c r="AK293" s="441">
        <f t="shared" si="504"/>
        <v>0</v>
      </c>
      <c r="AL293" s="438"/>
      <c r="AM293" s="439"/>
      <c r="AN293" s="440">
        <f t="shared" si="505"/>
        <v>0</v>
      </c>
      <c r="AO293" s="441">
        <f t="shared" si="506"/>
        <v>0</v>
      </c>
      <c r="AP293" s="438"/>
      <c r="AQ293" s="439"/>
      <c r="AR293" s="440">
        <f t="shared" si="507"/>
        <v>0</v>
      </c>
      <c r="AS293" s="441">
        <f t="shared" si="508"/>
        <v>0</v>
      </c>
      <c r="AT293" s="438"/>
      <c r="AU293" s="439"/>
      <c r="AV293" s="440">
        <f t="shared" si="509"/>
        <v>0</v>
      </c>
      <c r="AW293" s="441">
        <f t="shared" si="510"/>
        <v>0</v>
      </c>
      <c r="AX293" s="1061"/>
      <c r="AY293" s="447"/>
      <c r="AZ293" s="447"/>
      <c r="BA293" s="448"/>
      <c r="BB293" s="449"/>
      <c r="BD293" s="445"/>
      <c r="BE293" s="445"/>
    </row>
    <row r="294" spans="1:73">
      <c r="A294" s="397" t="s">
        <v>399</v>
      </c>
      <c r="B294" s="438"/>
      <c r="C294" s="439"/>
      <c r="D294" s="1393">
        <v>34.271349688152142</v>
      </c>
      <c r="E294" s="2037">
        <v>9.1403699306344066</v>
      </c>
      <c r="F294" s="1100"/>
      <c r="G294" s="1392"/>
      <c r="H294" s="1393">
        <v>72.959857611213735</v>
      </c>
      <c r="I294" s="2037">
        <v>18.486037848102818</v>
      </c>
      <c r="J294" s="1100"/>
      <c r="K294" s="1392"/>
      <c r="L294" s="1393">
        <v>100.65235746007076</v>
      </c>
      <c r="M294" s="2037">
        <v>25.057159145033754</v>
      </c>
      <c r="N294" s="1100"/>
      <c r="O294" s="1392"/>
      <c r="P294" s="1393">
        <v>132.76702812491499</v>
      </c>
      <c r="Q294" s="441">
        <v>32.91054366169395</v>
      </c>
      <c r="R294" s="438"/>
      <c r="S294" s="439"/>
      <c r="T294" s="440">
        <v>152.675003348621</v>
      </c>
      <c r="U294" s="441">
        <v>40.923172266914015</v>
      </c>
      <c r="V294" s="438"/>
      <c r="W294" s="439"/>
      <c r="X294" s="440">
        <v>162.38814618972154</v>
      </c>
      <c r="Y294" s="441">
        <v>47.415321801782987</v>
      </c>
      <c r="Z294" s="450"/>
      <c r="AA294" s="451"/>
      <c r="AB294" s="453">
        <v>163.42724371301378</v>
      </c>
      <c r="AC294" s="452">
        <v>54.528211123494643</v>
      </c>
      <c r="AD294" s="450"/>
      <c r="AE294" s="451"/>
      <c r="AF294" s="453"/>
      <c r="AG294" s="452"/>
      <c r="AH294" s="438"/>
      <c r="AI294" s="439"/>
      <c r="AJ294" s="440">
        <f t="shared" si="503"/>
        <v>0</v>
      </c>
      <c r="AK294" s="441">
        <f t="shared" si="504"/>
        <v>0</v>
      </c>
      <c r="AL294" s="438"/>
      <c r="AM294" s="439"/>
      <c r="AN294" s="440">
        <f t="shared" si="505"/>
        <v>0</v>
      </c>
      <c r="AO294" s="441">
        <f t="shared" si="506"/>
        <v>0</v>
      </c>
      <c r="AP294" s="438"/>
      <c r="AQ294" s="439"/>
      <c r="AR294" s="440">
        <f t="shared" si="507"/>
        <v>0</v>
      </c>
      <c r="AS294" s="441">
        <f t="shared" si="508"/>
        <v>0</v>
      </c>
      <c r="AT294" s="438"/>
      <c r="AU294" s="439"/>
      <c r="AV294" s="440">
        <f t="shared" si="509"/>
        <v>0</v>
      </c>
      <c r="AW294" s="441">
        <f t="shared" si="510"/>
        <v>0</v>
      </c>
      <c r="AX294" s="1061"/>
      <c r="AY294" s="447"/>
      <c r="AZ294" s="447"/>
      <c r="BA294" s="448"/>
      <c r="BB294" s="449"/>
      <c r="BD294" s="445"/>
      <c r="BE294" s="445"/>
    </row>
    <row r="295" spans="1:73">
      <c r="A295" s="397" t="s">
        <v>883</v>
      </c>
      <c r="B295" s="438"/>
      <c r="C295" s="439"/>
      <c r="D295" s="1393">
        <v>34.155757044700636</v>
      </c>
      <c r="E295" s="2037">
        <v>1.6326690614728245</v>
      </c>
      <c r="F295" s="1100"/>
      <c r="G295" s="1392"/>
      <c r="H295" s="1393">
        <v>71.988277027806248</v>
      </c>
      <c r="I295" s="2037">
        <v>3.0306670791173711</v>
      </c>
      <c r="J295" s="1100"/>
      <c r="K295" s="1392"/>
      <c r="L295" s="1393">
        <v>96.866152405974375</v>
      </c>
      <c r="M295" s="2037">
        <v>3.8042269898587415</v>
      </c>
      <c r="N295" s="1100"/>
      <c r="O295" s="1392"/>
      <c r="P295" s="1393">
        <v>124.4866228868503</v>
      </c>
      <c r="Q295" s="441">
        <v>4.4312986330324593</v>
      </c>
      <c r="R295" s="438"/>
      <c r="S295" s="439"/>
      <c r="T295" s="440">
        <v>140.08840244370873</v>
      </c>
      <c r="U295" s="441">
        <v>4.9796377012503399</v>
      </c>
      <c r="V295" s="438"/>
      <c r="W295" s="439"/>
      <c r="X295" s="440">
        <v>147.44240506544494</v>
      </c>
      <c r="Y295" s="441">
        <v>5.3350897231059058</v>
      </c>
      <c r="Z295" s="450"/>
      <c r="AA295" s="451"/>
      <c r="AB295" s="453">
        <v>155.34558225380408</v>
      </c>
      <c r="AC295" s="452">
        <v>5.5483055613910137</v>
      </c>
      <c r="AD295" s="450"/>
      <c r="AE295" s="451"/>
      <c r="AF295" s="453"/>
      <c r="AG295" s="452"/>
      <c r="AH295" s="438"/>
      <c r="AI295" s="439"/>
      <c r="AJ295" s="440">
        <f t="shared" si="503"/>
        <v>0</v>
      </c>
      <c r="AK295" s="441">
        <f t="shared" si="504"/>
        <v>0</v>
      </c>
      <c r="AL295" s="438"/>
      <c r="AM295" s="439"/>
      <c r="AN295" s="440">
        <f t="shared" si="505"/>
        <v>0</v>
      </c>
      <c r="AO295" s="441">
        <f t="shared" si="506"/>
        <v>0</v>
      </c>
      <c r="AP295" s="438"/>
      <c r="AQ295" s="439"/>
      <c r="AR295" s="440">
        <f t="shared" si="507"/>
        <v>0</v>
      </c>
      <c r="AS295" s="441">
        <f t="shared" si="508"/>
        <v>0</v>
      </c>
      <c r="AT295" s="438"/>
      <c r="AU295" s="439"/>
      <c r="AV295" s="440">
        <f t="shared" si="509"/>
        <v>0</v>
      </c>
      <c r="AW295" s="441">
        <f t="shared" si="510"/>
        <v>0</v>
      </c>
      <c r="AX295" s="1061"/>
      <c r="AY295" s="447"/>
      <c r="AZ295" s="447"/>
      <c r="BA295" s="448"/>
      <c r="BB295" s="449"/>
      <c r="BD295" s="445"/>
      <c r="BE295" s="445"/>
    </row>
    <row r="296" spans="1:73">
      <c r="A296" s="397" t="s">
        <v>884</v>
      </c>
      <c r="B296" s="438"/>
      <c r="C296" s="439"/>
      <c r="D296" s="1393">
        <v>33.708753694389493</v>
      </c>
      <c r="E296" s="2037">
        <v>1.9752636284629661</v>
      </c>
      <c r="F296" s="1100"/>
      <c r="G296" s="1392"/>
      <c r="H296" s="1393">
        <v>71.444047430993777</v>
      </c>
      <c r="I296" s="2037">
        <v>3.5670808976848978</v>
      </c>
      <c r="J296" s="1100"/>
      <c r="K296" s="1392"/>
      <c r="L296" s="1393">
        <v>95.45696395060429</v>
      </c>
      <c r="M296" s="2037">
        <v>4.8236812477017539</v>
      </c>
      <c r="N296" s="1100"/>
      <c r="O296" s="1392"/>
      <c r="P296" s="1393">
        <v>127.15942056735406</v>
      </c>
      <c r="Q296" s="441">
        <v>5.5651926228172641</v>
      </c>
      <c r="R296" s="438"/>
      <c r="S296" s="439"/>
      <c r="T296" s="440">
        <v>145.59062808533898</v>
      </c>
      <c r="U296" s="441">
        <v>7.2100401797337605</v>
      </c>
      <c r="V296" s="438"/>
      <c r="W296" s="439"/>
      <c r="X296" s="440">
        <v>153.35029892955694</v>
      </c>
      <c r="Y296" s="441">
        <v>8.0226441496534235</v>
      </c>
      <c r="Z296" s="450"/>
      <c r="AA296" s="451"/>
      <c r="AB296" s="453">
        <v>163.91176973114096</v>
      </c>
      <c r="AC296" s="452">
        <v>10.31534394983745</v>
      </c>
      <c r="AD296" s="450"/>
      <c r="AE296" s="451"/>
      <c r="AF296" s="453"/>
      <c r="AG296" s="452"/>
      <c r="AH296" s="438"/>
      <c r="AI296" s="439"/>
      <c r="AJ296" s="440">
        <f t="shared" si="503"/>
        <v>0</v>
      </c>
      <c r="AK296" s="441">
        <f t="shared" si="504"/>
        <v>0</v>
      </c>
      <c r="AL296" s="438"/>
      <c r="AM296" s="439"/>
      <c r="AN296" s="440">
        <f t="shared" si="505"/>
        <v>0</v>
      </c>
      <c r="AO296" s="441">
        <f t="shared" si="506"/>
        <v>0</v>
      </c>
      <c r="AP296" s="438"/>
      <c r="AQ296" s="439"/>
      <c r="AR296" s="440">
        <f t="shared" si="507"/>
        <v>0</v>
      </c>
      <c r="AS296" s="441">
        <f t="shared" si="508"/>
        <v>0</v>
      </c>
      <c r="AT296" s="438"/>
      <c r="AU296" s="439"/>
      <c r="AV296" s="440">
        <f t="shared" si="509"/>
        <v>0</v>
      </c>
      <c r="AW296" s="441">
        <f t="shared" si="510"/>
        <v>0</v>
      </c>
      <c r="AX296" s="1061"/>
      <c r="AY296" s="447"/>
      <c r="AZ296" s="447"/>
      <c r="BA296" s="448"/>
      <c r="BB296" s="449"/>
      <c r="BD296" s="445"/>
      <c r="BE296" s="445"/>
    </row>
    <row r="297" spans="1:73" ht="14.4" thickBot="1">
      <c r="A297" s="397" t="s">
        <v>885</v>
      </c>
      <c r="B297" s="438"/>
      <c r="C297" s="439"/>
      <c r="D297" s="1393">
        <v>20.365807035164611</v>
      </c>
      <c r="E297" s="2037">
        <v>0.50550637290135803</v>
      </c>
      <c r="F297" s="1100"/>
      <c r="G297" s="1392"/>
      <c r="H297" s="1393">
        <v>43.953431998319324</v>
      </c>
      <c r="I297" s="2037">
        <v>0.96230119836119077</v>
      </c>
      <c r="J297" s="1100"/>
      <c r="K297" s="1392"/>
      <c r="L297" s="1393">
        <v>62.9166004525567</v>
      </c>
      <c r="M297" s="2037">
        <v>1.448433994001908</v>
      </c>
      <c r="N297" s="1100"/>
      <c r="O297" s="1392"/>
      <c r="P297" s="1393">
        <v>85.014948365218487</v>
      </c>
      <c r="Q297" s="441">
        <v>1.6596695410261555</v>
      </c>
      <c r="R297" s="438"/>
      <c r="S297" s="439"/>
      <c r="T297" s="440">
        <v>99.1290645014885</v>
      </c>
      <c r="U297" s="441">
        <v>1.7819317292480079</v>
      </c>
      <c r="V297" s="438"/>
      <c r="W297" s="439"/>
      <c r="X297" s="440">
        <v>104.69164984686171</v>
      </c>
      <c r="Y297" s="441">
        <v>1.841096515076893</v>
      </c>
      <c r="Z297" s="450"/>
      <c r="AA297" s="451"/>
      <c r="AB297" s="453">
        <v>110.07398624417831</v>
      </c>
      <c r="AC297" s="452">
        <v>1.9000386251885144</v>
      </c>
      <c r="AD297" s="450"/>
      <c r="AE297" s="451"/>
      <c r="AF297" s="453"/>
      <c r="AG297" s="452"/>
      <c r="AH297" s="438"/>
      <c r="AI297" s="439"/>
      <c r="AJ297" s="440">
        <f t="shared" si="503"/>
        <v>0</v>
      </c>
      <c r="AK297" s="441">
        <f t="shared" si="504"/>
        <v>0</v>
      </c>
      <c r="AL297" s="438"/>
      <c r="AM297" s="439"/>
      <c r="AN297" s="440">
        <f t="shared" si="505"/>
        <v>0</v>
      </c>
      <c r="AO297" s="441">
        <f t="shared" si="506"/>
        <v>0</v>
      </c>
      <c r="AP297" s="438"/>
      <c r="AQ297" s="439"/>
      <c r="AR297" s="440">
        <f t="shared" si="507"/>
        <v>0</v>
      </c>
      <c r="AS297" s="441">
        <f t="shared" si="508"/>
        <v>0</v>
      </c>
      <c r="AT297" s="438"/>
      <c r="AU297" s="439"/>
      <c r="AV297" s="440">
        <f t="shared" si="509"/>
        <v>0</v>
      </c>
      <c r="AW297" s="441">
        <f t="shared" si="510"/>
        <v>0</v>
      </c>
      <c r="AX297" s="1061"/>
      <c r="AY297" s="447"/>
      <c r="AZ297" s="447"/>
      <c r="BA297" s="448"/>
      <c r="BB297" s="449"/>
      <c r="BD297" s="445"/>
      <c r="BE297" s="445"/>
    </row>
    <row r="298" spans="1:73" ht="14.4" thickBot="1">
      <c r="A298" s="433" t="s">
        <v>16</v>
      </c>
      <c r="B298" s="455">
        <f t="shared" ref="B298:BB298" si="511">SUM(B288:B297)</f>
        <v>0</v>
      </c>
      <c r="C298" s="456">
        <f t="shared" si="511"/>
        <v>0</v>
      </c>
      <c r="D298" s="465">
        <f t="shared" si="511"/>
        <v>459.19242022579175</v>
      </c>
      <c r="E298" s="466">
        <f t="shared" si="511"/>
        <v>36.107645939534606</v>
      </c>
      <c r="F298" s="455">
        <f t="shared" si="511"/>
        <v>0</v>
      </c>
      <c r="G298" s="456">
        <f t="shared" si="511"/>
        <v>0</v>
      </c>
      <c r="H298" s="456">
        <f t="shared" si="511"/>
        <v>967.31403082042902</v>
      </c>
      <c r="I298" s="457">
        <f t="shared" si="511"/>
        <v>70.909415408778202</v>
      </c>
      <c r="J298" s="455">
        <f t="shared" si="511"/>
        <v>0</v>
      </c>
      <c r="K298" s="456">
        <f t="shared" si="511"/>
        <v>0</v>
      </c>
      <c r="L298" s="456">
        <f t="shared" si="511"/>
        <v>1367.9892207225728</v>
      </c>
      <c r="M298" s="457">
        <f t="shared" si="511"/>
        <v>97.790347257797308</v>
      </c>
      <c r="N298" s="455">
        <f t="shared" si="511"/>
        <v>0</v>
      </c>
      <c r="O298" s="456">
        <f t="shared" si="511"/>
        <v>0</v>
      </c>
      <c r="P298" s="456">
        <f t="shared" si="511"/>
        <v>1789.3525907126361</v>
      </c>
      <c r="Q298" s="457">
        <f t="shared" si="511"/>
        <v>121.44234846959404</v>
      </c>
      <c r="R298" s="455">
        <f t="shared" si="511"/>
        <v>0</v>
      </c>
      <c r="S298" s="456">
        <f t="shared" si="511"/>
        <v>0</v>
      </c>
      <c r="T298" s="456">
        <f t="shared" si="511"/>
        <v>2046.5600367691686</v>
      </c>
      <c r="U298" s="457">
        <f t="shared" si="511"/>
        <v>144.10826534890464</v>
      </c>
      <c r="V298" s="455">
        <f t="shared" si="511"/>
        <v>0</v>
      </c>
      <c r="W298" s="456">
        <f t="shared" si="511"/>
        <v>0</v>
      </c>
      <c r="X298" s="456">
        <f t="shared" si="511"/>
        <v>2178.9366980125637</v>
      </c>
      <c r="Y298" s="457">
        <f t="shared" si="511"/>
        <v>162.48774518308926</v>
      </c>
      <c r="Z298" s="458">
        <f t="shared" si="511"/>
        <v>0</v>
      </c>
      <c r="AA298" s="477">
        <f t="shared" si="511"/>
        <v>0</v>
      </c>
      <c r="AB298" s="477">
        <f t="shared" si="511"/>
        <v>2291.1075277261798</v>
      </c>
      <c r="AC298" s="499">
        <f t="shared" si="511"/>
        <v>186.88669769031338</v>
      </c>
      <c r="AD298" s="458">
        <f t="shared" si="511"/>
        <v>0</v>
      </c>
      <c r="AE298" s="456">
        <f t="shared" si="511"/>
        <v>0</v>
      </c>
      <c r="AF298" s="456">
        <f t="shared" si="511"/>
        <v>0</v>
      </c>
      <c r="AG298" s="457">
        <f t="shared" si="511"/>
        <v>0</v>
      </c>
      <c r="AH298" s="455">
        <f t="shared" si="511"/>
        <v>0</v>
      </c>
      <c r="AI298" s="456">
        <f t="shared" si="511"/>
        <v>0</v>
      </c>
      <c r="AJ298" s="456">
        <f t="shared" si="511"/>
        <v>0</v>
      </c>
      <c r="AK298" s="457">
        <f t="shared" si="511"/>
        <v>0</v>
      </c>
      <c r="AL298" s="455">
        <f t="shared" si="511"/>
        <v>0</v>
      </c>
      <c r="AM298" s="456">
        <f t="shared" si="511"/>
        <v>0</v>
      </c>
      <c r="AN298" s="456">
        <f t="shared" si="511"/>
        <v>0</v>
      </c>
      <c r="AO298" s="457">
        <f t="shared" si="511"/>
        <v>0</v>
      </c>
      <c r="AP298" s="455">
        <f t="shared" si="511"/>
        <v>0</v>
      </c>
      <c r="AQ298" s="456">
        <f t="shared" si="511"/>
        <v>0</v>
      </c>
      <c r="AR298" s="456">
        <f t="shared" si="511"/>
        <v>0</v>
      </c>
      <c r="AS298" s="457">
        <f t="shared" si="511"/>
        <v>0</v>
      </c>
      <c r="AT298" s="455">
        <f t="shared" si="511"/>
        <v>0</v>
      </c>
      <c r="AU298" s="456">
        <f t="shared" si="511"/>
        <v>0</v>
      </c>
      <c r="AV298" s="456">
        <f t="shared" si="511"/>
        <v>0</v>
      </c>
      <c r="AW298" s="457">
        <f t="shared" si="511"/>
        <v>0</v>
      </c>
      <c r="AX298" s="468">
        <f t="shared" si="511"/>
        <v>0</v>
      </c>
      <c r="AY298" s="458">
        <f t="shared" si="511"/>
        <v>0</v>
      </c>
      <c r="AZ298" s="468"/>
      <c r="BA298" s="468"/>
      <c r="BB298" s="458">
        <f t="shared" si="511"/>
        <v>0</v>
      </c>
      <c r="BD298" s="445"/>
      <c r="BE298" s="445"/>
    </row>
    <row r="299" spans="1:73" ht="18.600000000000001" thickBot="1">
      <c r="A299" s="394" t="s">
        <v>1089</v>
      </c>
      <c r="AT299" s="117">
        <v>23.342376000000002</v>
      </c>
      <c r="AU299" s="117">
        <v>2.0153289999999999</v>
      </c>
      <c r="AV299" s="117">
        <v>25.357705000000003</v>
      </c>
      <c r="AW299" s="117">
        <v>1.30687</v>
      </c>
    </row>
    <row r="300" spans="1:73">
      <c r="A300" s="3113">
        <f>A128</f>
        <v>0</v>
      </c>
      <c r="B300" s="3115" t="s">
        <v>71</v>
      </c>
      <c r="C300" s="3116"/>
      <c r="D300" s="3116"/>
      <c r="E300" s="3117"/>
      <c r="F300" s="3097" t="s">
        <v>72</v>
      </c>
      <c r="G300" s="3098"/>
      <c r="H300" s="3098"/>
      <c r="I300" s="3099"/>
      <c r="J300" s="3100" t="s">
        <v>73</v>
      </c>
      <c r="K300" s="3101"/>
      <c r="L300" s="3101"/>
      <c r="M300" s="3102"/>
      <c r="N300" s="3103" t="s">
        <v>74</v>
      </c>
      <c r="O300" s="3104"/>
      <c r="P300" s="3104"/>
      <c r="Q300" s="3105"/>
      <c r="R300" s="3106" t="s">
        <v>75</v>
      </c>
      <c r="S300" s="3107"/>
      <c r="T300" s="3107"/>
      <c r="U300" s="3108"/>
      <c r="V300" s="3109" t="s">
        <v>76</v>
      </c>
      <c r="W300" s="3110"/>
      <c r="X300" s="3110"/>
      <c r="Y300" s="3111"/>
      <c r="Z300" s="3115" t="s">
        <v>77</v>
      </c>
      <c r="AA300" s="3116"/>
      <c r="AB300" s="3116"/>
      <c r="AC300" s="3117"/>
      <c r="AD300" s="3097" t="s">
        <v>78</v>
      </c>
      <c r="AE300" s="3098"/>
      <c r="AF300" s="3098"/>
      <c r="AG300" s="3099"/>
      <c r="AH300" s="3100" t="s">
        <v>79</v>
      </c>
      <c r="AI300" s="3101"/>
      <c r="AJ300" s="3101"/>
      <c r="AK300" s="3102"/>
      <c r="AL300" s="3103" t="s">
        <v>80</v>
      </c>
      <c r="AM300" s="3104"/>
      <c r="AN300" s="3104"/>
      <c r="AO300" s="3105"/>
      <c r="AP300" s="3106" t="s">
        <v>81</v>
      </c>
      <c r="AQ300" s="3107"/>
      <c r="AR300" s="3107"/>
      <c r="AS300" s="3108"/>
      <c r="AT300" s="3109" t="s">
        <v>82</v>
      </c>
      <c r="AU300" s="3110"/>
      <c r="AV300" s="3110"/>
      <c r="AW300" s="3111"/>
      <c r="AX300" s="3097" t="s">
        <v>83</v>
      </c>
      <c r="AY300" s="3098"/>
      <c r="AZ300" s="3098"/>
      <c r="BA300" s="3098"/>
      <c r="BB300" s="3099"/>
      <c r="BC300" s="430"/>
      <c r="BD300" s="430"/>
      <c r="BE300" s="430"/>
      <c r="BH300" s="430"/>
      <c r="BI300" s="430"/>
      <c r="BR300" s="3112"/>
      <c r="BS300" s="3112"/>
      <c r="BT300" s="3112"/>
      <c r="BU300" s="3112"/>
    </row>
    <row r="301" spans="1:73" ht="14.4" thickBot="1">
      <c r="A301" s="3114"/>
      <c r="B301" s="402" t="s">
        <v>17</v>
      </c>
      <c r="C301" s="403" t="s">
        <v>18</v>
      </c>
      <c r="D301" s="403" t="s">
        <v>56</v>
      </c>
      <c r="E301" s="404" t="s">
        <v>21</v>
      </c>
      <c r="F301" s="402" t="s">
        <v>17</v>
      </c>
      <c r="G301" s="403" t="s">
        <v>18</v>
      </c>
      <c r="H301" s="403" t="s">
        <v>56</v>
      </c>
      <c r="I301" s="404" t="s">
        <v>21</v>
      </c>
      <c r="J301" s="402" t="s">
        <v>17</v>
      </c>
      <c r="K301" s="403" t="s">
        <v>18</v>
      </c>
      <c r="L301" s="403" t="s">
        <v>56</v>
      </c>
      <c r="M301" s="404" t="s">
        <v>21</v>
      </c>
      <c r="N301" s="402" t="s">
        <v>17</v>
      </c>
      <c r="O301" s="403" t="s">
        <v>18</v>
      </c>
      <c r="P301" s="403" t="s">
        <v>56</v>
      </c>
      <c r="Q301" s="404" t="s">
        <v>21</v>
      </c>
      <c r="R301" s="402" t="s">
        <v>17</v>
      </c>
      <c r="S301" s="403" t="s">
        <v>18</v>
      </c>
      <c r="T301" s="403" t="s">
        <v>56</v>
      </c>
      <c r="U301" s="404" t="s">
        <v>21</v>
      </c>
      <c r="V301" s="402" t="s">
        <v>17</v>
      </c>
      <c r="W301" s="403" t="s">
        <v>18</v>
      </c>
      <c r="X301" s="403" t="s">
        <v>56</v>
      </c>
      <c r="Y301" s="404" t="s">
        <v>21</v>
      </c>
      <c r="Z301" s="402" t="s">
        <v>17</v>
      </c>
      <c r="AA301" s="403" t="s">
        <v>18</v>
      </c>
      <c r="AB301" s="403" t="s">
        <v>56</v>
      </c>
      <c r="AC301" s="404" t="s">
        <v>21</v>
      </c>
      <c r="AD301" s="1062" t="s">
        <v>17</v>
      </c>
      <c r="AE301" s="403" t="s">
        <v>18</v>
      </c>
      <c r="AF301" s="403" t="s">
        <v>56</v>
      </c>
      <c r="AG301" s="404" t="s">
        <v>21</v>
      </c>
      <c r="AH301" s="402" t="s">
        <v>17</v>
      </c>
      <c r="AI301" s="403" t="s">
        <v>18</v>
      </c>
      <c r="AJ301" s="403" t="s">
        <v>56</v>
      </c>
      <c r="AK301" s="404" t="s">
        <v>21</v>
      </c>
      <c r="AL301" s="402" t="s">
        <v>17</v>
      </c>
      <c r="AM301" s="403" t="s">
        <v>18</v>
      </c>
      <c r="AN301" s="403" t="s">
        <v>56</v>
      </c>
      <c r="AO301" s="404" t="s">
        <v>21</v>
      </c>
      <c r="AP301" s="402" t="s">
        <v>17</v>
      </c>
      <c r="AQ301" s="403" t="s">
        <v>18</v>
      </c>
      <c r="AR301" s="403" t="s">
        <v>56</v>
      </c>
      <c r="AS301" s="404" t="s">
        <v>21</v>
      </c>
      <c r="AT301" s="402" t="s">
        <v>17</v>
      </c>
      <c r="AU301" s="403" t="s">
        <v>18</v>
      </c>
      <c r="AV301" s="403" t="s">
        <v>56</v>
      </c>
      <c r="AW301" s="436" t="s">
        <v>21</v>
      </c>
      <c r="AX301" s="1059" t="s">
        <v>17</v>
      </c>
      <c r="AY301" s="437" t="s">
        <v>18</v>
      </c>
      <c r="AZ301" s="437" t="s">
        <v>56</v>
      </c>
      <c r="BA301" s="437" t="s">
        <v>21</v>
      </c>
      <c r="BB301" s="437" t="s">
        <v>160</v>
      </c>
    </row>
    <row r="302" spans="1:73">
      <c r="A302" s="397" t="s">
        <v>6</v>
      </c>
      <c r="B302" s="438"/>
      <c r="C302" s="439"/>
      <c r="D302" s="1393">
        <v>44.541690309287922</v>
      </c>
      <c r="E302" s="2037">
        <v>7.8920011528329326</v>
      </c>
      <c r="F302" s="1100"/>
      <c r="G302" s="1392"/>
      <c r="H302" s="1393">
        <f>H288-D288</f>
        <v>56.5414074459811</v>
      </c>
      <c r="I302" s="2037">
        <f t="shared" ref="I302:I311" si="512">I288-E288</f>
        <v>7.7310209995122516</v>
      </c>
      <c r="J302" s="1100"/>
      <c r="K302" s="1392"/>
      <c r="L302" s="1393">
        <f>L288-H288</f>
        <v>48.314880416783268</v>
      </c>
      <c r="M302" s="2037">
        <f t="shared" ref="M302:M311" si="513">M288-I288</f>
        <v>6.1532580481226926</v>
      </c>
      <c r="N302" s="1100"/>
      <c r="O302" s="1392"/>
      <c r="P302" s="1392">
        <f>P288-L288</f>
        <v>41.482979088354057</v>
      </c>
      <c r="Q302" s="441">
        <f t="shared" ref="Q302:Q311" si="514">Q288-M288</f>
        <v>6.1705832052817193</v>
      </c>
      <c r="R302" s="438"/>
      <c r="S302" s="439"/>
      <c r="T302" s="440">
        <f>T288-P288</f>
        <v>27.834402365729858</v>
      </c>
      <c r="U302" s="441">
        <f t="shared" ref="U302:U311" si="515">U288-Q288</f>
        <v>6.4832620123434168</v>
      </c>
      <c r="V302" s="438"/>
      <c r="W302" s="439"/>
      <c r="X302" s="440">
        <f>X288-T288</f>
        <v>17.699890266266635</v>
      </c>
      <c r="Y302" s="441">
        <f t="shared" ref="Y302:Y311" si="516">Y288-U288</f>
        <v>6.385557435931382</v>
      </c>
      <c r="Z302" s="450"/>
      <c r="AA302" s="451"/>
      <c r="AB302" s="453">
        <f>AB288-X288</f>
        <v>14.373392902839413</v>
      </c>
      <c r="AC302" s="452">
        <f t="shared" ref="AC302:AC311" si="517">AC288-Y288</f>
        <v>9.5442310562800117</v>
      </c>
      <c r="AD302" s="450"/>
      <c r="AE302" s="451"/>
      <c r="AF302" s="453"/>
      <c r="AG302" s="452"/>
      <c r="AH302" s="438"/>
      <c r="AI302" s="439"/>
      <c r="AJ302" s="440"/>
      <c r="AK302" s="441"/>
      <c r="AL302" s="438"/>
      <c r="AM302" s="439"/>
      <c r="AN302" s="440"/>
      <c r="AO302" s="441"/>
      <c r="AP302" s="438"/>
      <c r="AQ302" s="439"/>
      <c r="AR302" s="440"/>
      <c r="AS302" s="441"/>
      <c r="AT302" s="438"/>
      <c r="AU302" s="439"/>
      <c r="AV302" s="440"/>
      <c r="AW302" s="441"/>
      <c r="AX302" s="1060"/>
      <c r="AY302" s="442"/>
      <c r="AZ302" s="442">
        <f t="shared" ref="AZ302:AZ310" si="518">+D302+H302+L302+P302+T302+X302+AB302+AF302+AJ302+AN302+AR302+AV302</f>
        <v>250.78864279524225</v>
      </c>
      <c r="BA302" s="443">
        <f t="shared" ref="BA302:BA311" si="519">+E302+I302+M302+Q302+U302+Y302+AC302+AG302+AK302+AO302+AS302+AW302</f>
        <v>50.359913910304407</v>
      </c>
      <c r="BB302" s="444"/>
      <c r="BD302" s="445"/>
      <c r="BE302" s="445"/>
    </row>
    <row r="303" spans="1:73">
      <c r="A303" s="397" t="s">
        <v>7</v>
      </c>
      <c r="B303" s="438"/>
      <c r="C303" s="439"/>
      <c r="D303" s="1393">
        <v>56.334886872534135</v>
      </c>
      <c r="E303" s="2037">
        <v>2.9483162284344591</v>
      </c>
      <c r="F303" s="1100"/>
      <c r="G303" s="1392"/>
      <c r="H303" s="1393">
        <f t="shared" ref="H303:H311" si="520">H289-D289</f>
        <v>60.042015659113069</v>
      </c>
      <c r="I303" s="2037">
        <f t="shared" si="512"/>
        <v>2.7854506878160699</v>
      </c>
      <c r="J303" s="1100"/>
      <c r="K303" s="1392"/>
      <c r="L303" s="1393">
        <f t="shared" ref="L303:L311" si="521">L289-H289</f>
        <v>44.60449178589613</v>
      </c>
      <c r="M303" s="2037">
        <f t="shared" si="513"/>
        <v>2.5166727597337903</v>
      </c>
      <c r="N303" s="1100"/>
      <c r="O303" s="1392"/>
      <c r="P303" s="1392">
        <f t="shared" ref="P303:P311" si="522">P289-L289</f>
        <v>48.946126806904601</v>
      </c>
      <c r="Q303" s="441">
        <f t="shared" si="514"/>
        <v>1.370898801157697</v>
      </c>
      <c r="R303" s="438"/>
      <c r="S303" s="439"/>
      <c r="T303" s="440">
        <f t="shared" ref="T303:T311" si="523">T289-P289</f>
        <v>30.614090972483439</v>
      </c>
      <c r="U303" s="441">
        <f t="shared" si="515"/>
        <v>1.104467531756681</v>
      </c>
      <c r="V303" s="438"/>
      <c r="W303" s="439"/>
      <c r="X303" s="440">
        <f t="shared" ref="X303:X311" si="524">X289-T289</f>
        <v>12.503758132495648</v>
      </c>
      <c r="Y303" s="441">
        <f t="shared" si="516"/>
        <v>0.89503563035801292</v>
      </c>
      <c r="Z303" s="450"/>
      <c r="AA303" s="451"/>
      <c r="AB303" s="453">
        <f t="shared" ref="AB303:AB311" si="525">AB289-X289</f>
        <v>10.771271382837824</v>
      </c>
      <c r="AC303" s="452">
        <f t="shared" si="517"/>
        <v>1.0634804482829878</v>
      </c>
      <c r="AD303" s="450"/>
      <c r="AE303" s="451"/>
      <c r="AF303" s="453"/>
      <c r="AG303" s="452"/>
      <c r="AH303" s="438"/>
      <c r="AI303" s="439"/>
      <c r="AJ303" s="440"/>
      <c r="AK303" s="441"/>
      <c r="AL303" s="438"/>
      <c r="AM303" s="439"/>
      <c r="AN303" s="440"/>
      <c r="AO303" s="441"/>
      <c r="AP303" s="438"/>
      <c r="AQ303" s="439"/>
      <c r="AR303" s="440"/>
      <c r="AS303" s="441"/>
      <c r="AT303" s="438"/>
      <c r="AU303" s="439"/>
      <c r="AV303" s="440"/>
      <c r="AW303" s="441"/>
      <c r="AX303" s="1061"/>
      <c r="AY303" s="447"/>
      <c r="AZ303" s="447">
        <f t="shared" si="518"/>
        <v>263.81664161226485</v>
      </c>
      <c r="BA303" s="448">
        <f t="shared" si="519"/>
        <v>12.684322087539698</v>
      </c>
      <c r="BB303" s="449"/>
      <c r="BD303" s="445"/>
      <c r="BE303" s="445"/>
    </row>
    <row r="304" spans="1:73">
      <c r="A304" s="397" t="s">
        <v>8</v>
      </c>
      <c r="B304" s="438"/>
      <c r="C304" s="439"/>
      <c r="D304" s="1393">
        <v>58.095608070242513</v>
      </c>
      <c r="E304" s="2037">
        <v>2.1855529728819652</v>
      </c>
      <c r="F304" s="1100"/>
      <c r="G304" s="1392"/>
      <c r="H304" s="1393">
        <f t="shared" si="520"/>
        <v>53.080917137124509</v>
      </c>
      <c r="I304" s="2037">
        <f t="shared" si="512"/>
        <v>2.0138509890457725</v>
      </c>
      <c r="J304" s="1100"/>
      <c r="K304" s="1392"/>
      <c r="L304" s="1393">
        <f t="shared" si="521"/>
        <v>44.707670612751897</v>
      </c>
      <c r="M304" s="2037">
        <f t="shared" si="513"/>
        <v>1.9547389564955377</v>
      </c>
      <c r="N304" s="1100"/>
      <c r="O304" s="1392"/>
      <c r="P304" s="1392">
        <f t="shared" si="522"/>
        <v>50.617420631421254</v>
      </c>
      <c r="Q304" s="441">
        <f t="shared" si="514"/>
        <v>1.1549011037833132</v>
      </c>
      <c r="R304" s="438"/>
      <c r="S304" s="439"/>
      <c r="T304" s="440">
        <f t="shared" si="523"/>
        <v>27.217015321254905</v>
      </c>
      <c r="U304" s="441">
        <f t="shared" si="515"/>
        <v>0.70335145101161878</v>
      </c>
      <c r="V304" s="438"/>
      <c r="W304" s="439"/>
      <c r="X304" s="440">
        <f t="shared" si="524"/>
        <v>14.959400201408926</v>
      </c>
      <c r="Y304" s="441">
        <f t="shared" si="516"/>
        <v>0.32398235346760096</v>
      </c>
      <c r="Z304" s="450"/>
      <c r="AA304" s="451"/>
      <c r="AB304" s="453">
        <f t="shared" si="525"/>
        <v>11.431827544483014</v>
      </c>
      <c r="AC304" s="2326">
        <f t="shared" si="517"/>
        <v>0.24756712546797033</v>
      </c>
      <c r="AD304" s="450"/>
      <c r="AE304" s="451"/>
      <c r="AF304" s="453"/>
      <c r="AG304" s="2324"/>
      <c r="AH304" s="438"/>
      <c r="AI304" s="439"/>
      <c r="AJ304" s="440"/>
      <c r="AK304" s="2319"/>
      <c r="AL304" s="438"/>
      <c r="AM304" s="439"/>
      <c r="AN304" s="440"/>
      <c r="AO304" s="441"/>
      <c r="AP304" s="438"/>
      <c r="AQ304" s="439"/>
      <c r="AR304" s="440"/>
      <c r="AS304" s="441"/>
      <c r="AT304" s="438"/>
      <c r="AU304" s="439"/>
      <c r="AV304" s="440"/>
      <c r="AW304" s="441"/>
      <c r="AX304" s="1061"/>
      <c r="AY304" s="447"/>
      <c r="AZ304" s="447">
        <f t="shared" si="518"/>
        <v>260.10985951868702</v>
      </c>
      <c r="BA304" s="448">
        <f t="shared" si="519"/>
        <v>8.5839449521537787</v>
      </c>
      <c r="BB304" s="449"/>
      <c r="BD304" s="445"/>
      <c r="BE304" s="445"/>
    </row>
    <row r="305" spans="1:73">
      <c r="A305" s="397" t="s">
        <v>4</v>
      </c>
      <c r="B305" s="438"/>
      <c r="C305" s="439"/>
      <c r="D305" s="1393">
        <v>78.230841183055773</v>
      </c>
      <c r="E305" s="2037">
        <v>3.748927211980265</v>
      </c>
      <c r="F305" s="1100"/>
      <c r="G305" s="1392"/>
      <c r="H305" s="1393">
        <f t="shared" si="520"/>
        <v>86.80366406282603</v>
      </c>
      <c r="I305" s="2037">
        <f t="shared" si="512"/>
        <v>3.8462322076695394</v>
      </c>
      <c r="J305" s="1100"/>
      <c r="K305" s="1392"/>
      <c r="L305" s="1393">
        <f t="shared" si="521"/>
        <v>75.032624381251281</v>
      </c>
      <c r="M305" s="2037">
        <f t="shared" si="513"/>
        <v>2.7742000464429291</v>
      </c>
      <c r="N305" s="1100"/>
      <c r="O305" s="1392"/>
      <c r="P305" s="1392">
        <f t="shared" si="522"/>
        <v>75.061892806172779</v>
      </c>
      <c r="Q305" s="441">
        <f t="shared" si="514"/>
        <v>2.2430273875669613</v>
      </c>
      <c r="R305" s="438"/>
      <c r="S305" s="439"/>
      <c r="T305" s="440">
        <f t="shared" si="523"/>
        <v>44.935298150953713</v>
      </c>
      <c r="U305" s="441">
        <f t="shared" si="515"/>
        <v>1.5317039682544831</v>
      </c>
      <c r="V305" s="438"/>
      <c r="W305" s="439"/>
      <c r="X305" s="440">
        <f t="shared" si="524"/>
        <v>22.993420908906387</v>
      </c>
      <c r="Y305" s="441">
        <f t="shared" si="516"/>
        <v>1.1551543179658115</v>
      </c>
      <c r="Z305" s="450"/>
      <c r="AA305" s="451"/>
      <c r="AB305" s="453">
        <f t="shared" si="525"/>
        <v>17.184435429065331</v>
      </c>
      <c r="AC305" s="452">
        <f t="shared" si="517"/>
        <v>2.323150550709606</v>
      </c>
      <c r="AD305" s="450"/>
      <c r="AE305" s="451"/>
      <c r="AF305" s="453"/>
      <c r="AG305" s="452"/>
      <c r="AH305" s="438"/>
      <c r="AI305" s="439"/>
      <c r="AJ305" s="440"/>
      <c r="AK305" s="441"/>
      <c r="AL305" s="438"/>
      <c r="AM305" s="439"/>
      <c r="AN305" s="440"/>
      <c r="AO305" s="441"/>
      <c r="AP305" s="438"/>
      <c r="AQ305" s="439"/>
      <c r="AR305" s="440"/>
      <c r="AS305" s="441"/>
      <c r="AT305" s="438"/>
      <c r="AU305" s="439"/>
      <c r="AV305" s="440"/>
      <c r="AW305" s="441"/>
      <c r="AX305" s="1061"/>
      <c r="AY305" s="447"/>
      <c r="AZ305" s="447">
        <f t="shared" si="518"/>
        <v>400.24217692223129</v>
      </c>
      <c r="BA305" s="448">
        <f t="shared" si="519"/>
        <v>17.622395690589595</v>
      </c>
      <c r="BB305" s="449"/>
      <c r="BD305" s="445"/>
      <c r="BE305" s="445"/>
    </row>
    <row r="306" spans="1:73">
      <c r="A306" s="397" t="s">
        <v>3</v>
      </c>
      <c r="B306" s="438"/>
      <c r="C306" s="439"/>
      <c r="D306" s="1393">
        <v>81.638906692910908</v>
      </c>
      <c r="E306" s="2037">
        <v>3.9501048752850325</v>
      </c>
      <c r="F306" s="1100"/>
      <c r="G306" s="1392"/>
      <c r="H306" s="1393">
        <f t="shared" si="520"/>
        <v>91.647441246089144</v>
      </c>
      <c r="I306" s="2037">
        <f t="shared" si="512"/>
        <v>3.7001210201783605</v>
      </c>
      <c r="J306" s="1100"/>
      <c r="K306" s="1392"/>
      <c r="L306" s="1393">
        <f t="shared" si="521"/>
        <v>72.233053517509774</v>
      </c>
      <c r="M306" s="2037">
        <f t="shared" si="513"/>
        <v>2.9573177179160979</v>
      </c>
      <c r="N306" s="1100"/>
      <c r="O306" s="1392"/>
      <c r="P306" s="1392">
        <f t="shared" si="522"/>
        <v>72.837757263605823</v>
      </c>
      <c r="Q306" s="441">
        <f t="shared" si="514"/>
        <v>2.1141891321918767</v>
      </c>
      <c r="R306" s="438"/>
      <c r="S306" s="439"/>
      <c r="T306" s="440">
        <f t="shared" si="523"/>
        <v>46.175377719686082</v>
      </c>
      <c r="U306" s="441">
        <f t="shared" si="515"/>
        <v>1.1466594767081872</v>
      </c>
      <c r="V306" s="438"/>
      <c r="W306" s="439"/>
      <c r="X306" s="440">
        <f t="shared" si="524"/>
        <v>25.19941041049799</v>
      </c>
      <c r="Y306" s="441">
        <f t="shared" si="516"/>
        <v>0.82284105186805689</v>
      </c>
      <c r="Z306" s="450"/>
      <c r="AA306" s="451"/>
      <c r="AB306" s="453">
        <f t="shared" si="525"/>
        <v>16.91899725633175</v>
      </c>
      <c r="AC306" s="452">
        <f t="shared" si="517"/>
        <v>0.77932859539497024</v>
      </c>
      <c r="AD306" s="450"/>
      <c r="AE306" s="451"/>
      <c r="AF306" s="2321"/>
      <c r="AG306" s="452"/>
      <c r="AH306" s="438"/>
      <c r="AI306" s="439"/>
      <c r="AJ306" s="440"/>
      <c r="AK306" s="441"/>
      <c r="AL306" s="438"/>
      <c r="AM306" s="439"/>
      <c r="AN306" s="440"/>
      <c r="AO306" s="441"/>
      <c r="AP306" s="438"/>
      <c r="AQ306" s="439"/>
      <c r="AR306" s="440"/>
      <c r="AS306" s="441"/>
      <c r="AT306" s="438"/>
      <c r="AU306" s="439"/>
      <c r="AV306" s="440"/>
      <c r="AW306" s="441"/>
      <c r="AX306" s="1061"/>
      <c r="AY306" s="447"/>
      <c r="AZ306" s="447">
        <f t="shared" si="518"/>
        <v>406.65094410663147</v>
      </c>
      <c r="BA306" s="448">
        <f t="shared" si="519"/>
        <v>15.470561869542582</v>
      </c>
      <c r="BB306" s="449"/>
      <c r="BD306" s="445"/>
      <c r="BE306" s="445"/>
    </row>
    <row r="307" spans="1:73">
      <c r="A307" s="397" t="s">
        <v>397</v>
      </c>
      <c r="B307" s="438"/>
      <c r="C307" s="439"/>
      <c r="D307" s="1393">
        <v>17.848819635353586</v>
      </c>
      <c r="E307" s="2037">
        <v>2.1289345046483938</v>
      </c>
      <c r="F307" s="1100"/>
      <c r="G307" s="1392"/>
      <c r="H307" s="1393">
        <f t="shared" si="520"/>
        <v>22.162218437577266</v>
      </c>
      <c r="I307" s="2037">
        <f t="shared" si="512"/>
        <v>1.9328155352268825</v>
      </c>
      <c r="J307" s="1100"/>
      <c r="K307" s="1392"/>
      <c r="L307" s="1393">
        <f t="shared" si="521"/>
        <v>20.236008987078435</v>
      </c>
      <c r="M307" s="2037">
        <f t="shared" si="513"/>
        <v>1.4373299669781803</v>
      </c>
      <c r="N307" s="1100"/>
      <c r="O307" s="1392"/>
      <c r="P307" s="1392">
        <f t="shared" si="522"/>
        <v>18.881247718472999</v>
      </c>
      <c r="Q307" s="441">
        <f t="shared" si="514"/>
        <v>1.1651984998414893</v>
      </c>
      <c r="R307" s="438"/>
      <c r="S307" s="439"/>
      <c r="T307" s="440">
        <f t="shared" si="523"/>
        <v>12.376183091605398</v>
      </c>
      <c r="U307" s="441">
        <f t="shared" si="515"/>
        <v>1.3683950206598992</v>
      </c>
      <c r="V307" s="438"/>
      <c r="W307" s="439"/>
      <c r="X307" s="440">
        <f t="shared" si="524"/>
        <v>8.6313796713910307</v>
      </c>
      <c r="Y307" s="441">
        <f t="shared" si="516"/>
        <v>1.0775387321206935</v>
      </c>
      <c r="Z307" s="450"/>
      <c r="AA307" s="451"/>
      <c r="AB307" s="453">
        <f t="shared" si="525"/>
        <v>16.6048232875076</v>
      </c>
      <c r="AC307" s="452">
        <f t="shared" si="517"/>
        <v>0.76344766079618687</v>
      </c>
      <c r="AD307" s="450"/>
      <c r="AE307" s="451"/>
      <c r="AF307" s="453"/>
      <c r="AG307" s="452"/>
      <c r="AH307" s="438"/>
      <c r="AI307" s="439"/>
      <c r="AJ307" s="440"/>
      <c r="AK307" s="2319"/>
      <c r="AL307" s="438"/>
      <c r="AM307" s="439"/>
      <c r="AN307" s="440"/>
      <c r="AO307" s="441"/>
      <c r="AP307" s="438"/>
      <c r="AQ307" s="439"/>
      <c r="AR307" s="440"/>
      <c r="AS307" s="441"/>
      <c r="AT307" s="438"/>
      <c r="AU307" s="439"/>
      <c r="AV307" s="440"/>
      <c r="AW307" s="441"/>
      <c r="AX307" s="1061"/>
      <c r="AY307" s="447"/>
      <c r="AZ307" s="447">
        <f t="shared" si="518"/>
        <v>116.74068082898631</v>
      </c>
      <c r="BA307" s="448">
        <f t="shared" si="519"/>
        <v>9.8736599202717255</v>
      </c>
      <c r="BB307" s="449"/>
      <c r="BD307" s="445"/>
      <c r="BE307" s="445"/>
    </row>
    <row r="308" spans="1:73">
      <c r="A308" s="397" t="s">
        <v>399</v>
      </c>
      <c r="B308" s="438"/>
      <c r="C308" s="439"/>
      <c r="D308" s="1393">
        <v>34.271349688152142</v>
      </c>
      <c r="E308" s="2037">
        <v>9.1403699306344066</v>
      </c>
      <c r="F308" s="1100"/>
      <c r="G308" s="1392"/>
      <c r="H308" s="1393">
        <f t="shared" si="520"/>
        <v>38.688507923061593</v>
      </c>
      <c r="I308" s="2037">
        <f t="shared" si="512"/>
        <v>9.3456679174684112</v>
      </c>
      <c r="J308" s="1100"/>
      <c r="K308" s="1392"/>
      <c r="L308" s="1393">
        <f t="shared" si="521"/>
        <v>27.692499848857025</v>
      </c>
      <c r="M308" s="2037">
        <f t="shared" si="513"/>
        <v>6.5711212969309365</v>
      </c>
      <c r="N308" s="1100"/>
      <c r="O308" s="1392"/>
      <c r="P308" s="1392">
        <f t="shared" si="522"/>
        <v>32.114670664844226</v>
      </c>
      <c r="Q308" s="441">
        <f t="shared" si="514"/>
        <v>7.8533845166601957</v>
      </c>
      <c r="R308" s="438"/>
      <c r="S308" s="439"/>
      <c r="T308" s="440">
        <f t="shared" si="523"/>
        <v>19.907975223706018</v>
      </c>
      <c r="U308" s="441">
        <f t="shared" si="515"/>
        <v>8.0126286052200655</v>
      </c>
      <c r="V308" s="438"/>
      <c r="W308" s="439"/>
      <c r="X308" s="440">
        <f t="shared" si="524"/>
        <v>9.7131428411005345</v>
      </c>
      <c r="Y308" s="441">
        <f t="shared" si="516"/>
        <v>6.4921495348689717</v>
      </c>
      <c r="Z308" s="450"/>
      <c r="AA308" s="451"/>
      <c r="AB308" s="453">
        <f t="shared" si="525"/>
        <v>1.0390975232922415</v>
      </c>
      <c r="AC308" s="452">
        <f t="shared" si="517"/>
        <v>7.1128893217116556</v>
      </c>
      <c r="AD308" s="450"/>
      <c r="AE308" s="451"/>
      <c r="AF308" s="453"/>
      <c r="AG308" s="452"/>
      <c r="AH308" s="438"/>
      <c r="AI308" s="439"/>
      <c r="AJ308" s="440"/>
      <c r="AK308" s="441"/>
      <c r="AL308" s="438"/>
      <c r="AM308" s="439"/>
      <c r="AN308" s="440"/>
      <c r="AO308" s="441"/>
      <c r="AP308" s="438"/>
      <c r="AQ308" s="439"/>
      <c r="AR308" s="440"/>
      <c r="AS308" s="441"/>
      <c r="AT308" s="438"/>
      <c r="AU308" s="439"/>
      <c r="AV308" s="440"/>
      <c r="AW308" s="441"/>
      <c r="AX308" s="1061"/>
      <c r="AY308" s="447"/>
      <c r="AZ308" s="447">
        <f t="shared" si="518"/>
        <v>163.42724371301378</v>
      </c>
      <c r="BA308" s="448">
        <f t="shared" si="519"/>
        <v>54.528211123494643</v>
      </c>
      <c r="BB308" s="449"/>
      <c r="BD308" s="445"/>
      <c r="BE308" s="445"/>
    </row>
    <row r="309" spans="1:73">
      <c r="A309" s="397" t="s">
        <v>883</v>
      </c>
      <c r="B309" s="438"/>
      <c r="C309" s="439"/>
      <c r="D309" s="1393">
        <v>34.155757044700636</v>
      </c>
      <c r="E309" s="2037">
        <v>1.6326690614728245</v>
      </c>
      <c r="F309" s="1100"/>
      <c r="G309" s="1392"/>
      <c r="H309" s="1393">
        <f t="shared" si="520"/>
        <v>37.832519983105612</v>
      </c>
      <c r="I309" s="2037">
        <f t="shared" si="512"/>
        <v>1.3979980176445466</v>
      </c>
      <c r="J309" s="1100"/>
      <c r="K309" s="1392"/>
      <c r="L309" s="1393">
        <f t="shared" si="521"/>
        <v>24.877875378168127</v>
      </c>
      <c r="M309" s="2037">
        <f t="shared" si="513"/>
        <v>0.77355991074137043</v>
      </c>
      <c r="N309" s="1100"/>
      <c r="O309" s="1392"/>
      <c r="P309" s="1392">
        <f t="shared" si="522"/>
        <v>27.620470480875923</v>
      </c>
      <c r="Q309" s="441">
        <f t="shared" si="514"/>
        <v>0.62707164317371777</v>
      </c>
      <c r="R309" s="438"/>
      <c r="S309" s="439"/>
      <c r="T309" s="440">
        <f t="shared" si="523"/>
        <v>15.601779556858432</v>
      </c>
      <c r="U309" s="441">
        <f t="shared" si="515"/>
        <v>0.54833906821788059</v>
      </c>
      <c r="V309" s="438"/>
      <c r="W309" s="439"/>
      <c r="X309" s="440">
        <f t="shared" si="524"/>
        <v>7.354002621736214</v>
      </c>
      <c r="Y309" s="441">
        <f t="shared" si="516"/>
        <v>0.3554520218555659</v>
      </c>
      <c r="Z309" s="450"/>
      <c r="AA309" s="451"/>
      <c r="AB309" s="453">
        <f t="shared" si="525"/>
        <v>7.9031771883591375</v>
      </c>
      <c r="AC309" s="452">
        <f t="shared" si="517"/>
        <v>0.21321583828510793</v>
      </c>
      <c r="AD309" s="450"/>
      <c r="AE309" s="451"/>
      <c r="AF309" s="453"/>
      <c r="AG309" s="452"/>
      <c r="AH309" s="438"/>
      <c r="AI309" s="439"/>
      <c r="AJ309" s="440"/>
      <c r="AK309" s="2320"/>
      <c r="AL309" s="438"/>
      <c r="AM309" s="439"/>
      <c r="AN309" s="440"/>
      <c r="AO309" s="441"/>
      <c r="AP309" s="438"/>
      <c r="AQ309" s="439"/>
      <c r="AR309" s="440"/>
      <c r="AS309" s="441"/>
      <c r="AT309" s="438"/>
      <c r="AU309" s="439"/>
      <c r="AV309" s="440"/>
      <c r="AW309" s="441"/>
      <c r="AX309" s="1061"/>
      <c r="AY309" s="447"/>
      <c r="AZ309" s="447">
        <f t="shared" si="518"/>
        <v>155.34558225380408</v>
      </c>
      <c r="BA309" s="448">
        <f t="shared" si="519"/>
        <v>5.5483055613910137</v>
      </c>
      <c r="BB309" s="449"/>
      <c r="BD309" s="445"/>
      <c r="BE309" s="445"/>
    </row>
    <row r="310" spans="1:73">
      <c r="A310" s="397" t="s">
        <v>884</v>
      </c>
      <c r="B310" s="438"/>
      <c r="C310" s="439"/>
      <c r="D310" s="1393">
        <v>33.708753694389493</v>
      </c>
      <c r="E310" s="2037">
        <v>1.9752636284629661</v>
      </c>
      <c r="F310" s="1100"/>
      <c r="G310" s="1392"/>
      <c r="H310" s="1393">
        <f t="shared" si="520"/>
        <v>37.735293736604284</v>
      </c>
      <c r="I310" s="2037">
        <f t="shared" si="512"/>
        <v>1.5918172692219317</v>
      </c>
      <c r="J310" s="1100"/>
      <c r="K310" s="1392"/>
      <c r="L310" s="1393">
        <f t="shared" si="521"/>
        <v>24.012916519610513</v>
      </c>
      <c r="M310" s="2037">
        <f t="shared" si="513"/>
        <v>1.2566003500168561</v>
      </c>
      <c r="N310" s="1100"/>
      <c r="O310" s="1392"/>
      <c r="P310" s="1392">
        <f t="shared" si="522"/>
        <v>31.702456616749771</v>
      </c>
      <c r="Q310" s="441">
        <f t="shared" si="514"/>
        <v>0.74151137511551024</v>
      </c>
      <c r="R310" s="438"/>
      <c r="S310" s="439"/>
      <c r="T310" s="440">
        <f t="shared" si="523"/>
        <v>18.431207517984916</v>
      </c>
      <c r="U310" s="441">
        <f t="shared" si="515"/>
        <v>1.6448475569164964</v>
      </c>
      <c r="V310" s="438"/>
      <c r="W310" s="439"/>
      <c r="X310" s="440">
        <f t="shared" si="524"/>
        <v>7.7596708442179647</v>
      </c>
      <c r="Y310" s="441">
        <f t="shared" si="516"/>
        <v>0.81260396991966299</v>
      </c>
      <c r="Z310" s="450"/>
      <c r="AA310" s="451"/>
      <c r="AB310" s="453">
        <f t="shared" si="525"/>
        <v>10.561470801584022</v>
      </c>
      <c r="AC310" s="452">
        <f t="shared" si="517"/>
        <v>2.2926998001840264</v>
      </c>
      <c r="AD310" s="450"/>
      <c r="AE310" s="451"/>
      <c r="AF310" s="453"/>
      <c r="AG310" s="452"/>
      <c r="AH310" s="438"/>
      <c r="AI310" s="439"/>
      <c r="AJ310" s="440"/>
      <c r="AK310" s="441"/>
      <c r="AL310" s="438"/>
      <c r="AM310" s="439"/>
      <c r="AN310" s="440"/>
      <c r="AO310" s="441"/>
      <c r="AP310" s="438"/>
      <c r="AQ310" s="439"/>
      <c r="AR310" s="440"/>
      <c r="AS310" s="441"/>
      <c r="AT310" s="438"/>
      <c r="AU310" s="439"/>
      <c r="AV310" s="440"/>
      <c r="AW310" s="441"/>
      <c r="AX310" s="1061"/>
      <c r="AY310" s="447"/>
      <c r="AZ310" s="447">
        <f t="shared" si="518"/>
        <v>163.91176973114096</v>
      </c>
      <c r="BA310" s="448">
        <f t="shared" si="519"/>
        <v>10.31534394983745</v>
      </c>
      <c r="BB310" s="449"/>
      <c r="BD310" s="445"/>
      <c r="BE310" s="445"/>
    </row>
    <row r="311" spans="1:73" ht="14.4" thickBot="1">
      <c r="A311" s="397" t="s">
        <v>885</v>
      </c>
      <c r="B311" s="438"/>
      <c r="C311" s="439"/>
      <c r="D311" s="1393">
        <v>20.365807035164611</v>
      </c>
      <c r="E311" s="2037">
        <v>0.50550637290135803</v>
      </c>
      <c r="F311" s="1100"/>
      <c r="G311" s="1392"/>
      <c r="H311" s="1393">
        <f t="shared" si="520"/>
        <v>23.587624963154713</v>
      </c>
      <c r="I311" s="2037">
        <f t="shared" si="512"/>
        <v>0.45679482545983274</v>
      </c>
      <c r="J311" s="1100"/>
      <c r="K311" s="1392"/>
      <c r="L311" s="1393">
        <f t="shared" si="521"/>
        <v>18.963168454237376</v>
      </c>
      <c r="M311" s="2037">
        <f t="shared" si="513"/>
        <v>0.48613279564071721</v>
      </c>
      <c r="N311" s="1100"/>
      <c r="O311" s="1392"/>
      <c r="P311" s="1392">
        <f t="shared" si="522"/>
        <v>22.098347912661787</v>
      </c>
      <c r="Q311" s="441">
        <f t="shared" si="514"/>
        <v>0.21123554702424752</v>
      </c>
      <c r="R311" s="438"/>
      <c r="S311" s="439"/>
      <c r="T311" s="440">
        <f t="shared" si="523"/>
        <v>14.114116136270013</v>
      </c>
      <c r="U311" s="441">
        <f t="shared" si="515"/>
        <v>0.12226218822185242</v>
      </c>
      <c r="V311" s="438"/>
      <c r="W311" s="439"/>
      <c r="X311" s="440">
        <f t="shared" si="524"/>
        <v>5.5625853453732077</v>
      </c>
      <c r="Y311" s="441">
        <f t="shared" si="516"/>
        <v>5.9164785828885069E-2</v>
      </c>
      <c r="Z311" s="450"/>
      <c r="AA311" s="451"/>
      <c r="AB311" s="453">
        <f t="shared" si="525"/>
        <v>5.3823363973166067</v>
      </c>
      <c r="AC311" s="2324">
        <f t="shared" si="517"/>
        <v>5.8942110111621426E-2</v>
      </c>
      <c r="AD311" s="450"/>
      <c r="AE311" s="451"/>
      <c r="AF311" s="453"/>
      <c r="AG311" s="452"/>
      <c r="AH311" s="438"/>
      <c r="AI311" s="439"/>
      <c r="AJ311" s="440"/>
      <c r="AK311" s="2322"/>
      <c r="AL311" s="438"/>
      <c r="AM311" s="439"/>
      <c r="AN311" s="440"/>
      <c r="AO311" s="441"/>
      <c r="AP311" s="438"/>
      <c r="AQ311" s="439"/>
      <c r="AR311" s="440"/>
      <c r="AS311" s="441"/>
      <c r="AT311" s="438"/>
      <c r="AU311" s="439"/>
      <c r="AV311" s="440"/>
      <c r="AW311" s="441"/>
      <c r="AX311" s="1061"/>
      <c r="AY311" s="447"/>
      <c r="AZ311" s="447">
        <f>+D311+H311+L311+P311+T311+X311+AB311+AF311+AJ311+AN311+AR311+AV311</f>
        <v>110.07398624417831</v>
      </c>
      <c r="BA311" s="448">
        <f t="shared" si="519"/>
        <v>1.9000386251885144</v>
      </c>
      <c r="BB311" s="449"/>
      <c r="BD311" s="445"/>
      <c r="BE311" s="445"/>
    </row>
    <row r="312" spans="1:73" ht="14.4" thickBot="1">
      <c r="A312" s="433" t="s">
        <v>16</v>
      </c>
      <c r="B312" s="455">
        <f t="shared" ref="B312:BB312" si="526">SUM(B302:B311)</f>
        <v>0</v>
      </c>
      <c r="C312" s="456">
        <f t="shared" si="526"/>
        <v>0</v>
      </c>
      <c r="D312" s="465">
        <f t="shared" si="526"/>
        <v>459.19242022579175</v>
      </c>
      <c r="E312" s="466">
        <f t="shared" si="526"/>
        <v>36.107645939534606</v>
      </c>
      <c r="F312" s="455">
        <f t="shared" si="526"/>
        <v>0</v>
      </c>
      <c r="G312" s="456">
        <f t="shared" si="526"/>
        <v>0</v>
      </c>
      <c r="H312" s="456">
        <f t="shared" si="526"/>
        <v>508.12161059463733</v>
      </c>
      <c r="I312" s="457">
        <f t="shared" si="526"/>
        <v>34.801769469243602</v>
      </c>
      <c r="J312" s="455">
        <f t="shared" si="526"/>
        <v>0</v>
      </c>
      <c r="K312" s="456">
        <f t="shared" si="526"/>
        <v>0</v>
      </c>
      <c r="L312" s="456">
        <f t="shared" si="526"/>
        <v>400.67518990214387</v>
      </c>
      <c r="M312" s="457">
        <f t="shared" si="526"/>
        <v>26.880931849019106</v>
      </c>
      <c r="N312" s="455">
        <f t="shared" si="526"/>
        <v>0</v>
      </c>
      <c r="O312" s="456">
        <f t="shared" si="526"/>
        <v>0</v>
      </c>
      <c r="P312" s="456">
        <f t="shared" si="526"/>
        <v>421.36336999006318</v>
      </c>
      <c r="Q312" s="457">
        <f t="shared" si="526"/>
        <v>23.65200121179673</v>
      </c>
      <c r="R312" s="455">
        <f t="shared" si="526"/>
        <v>0</v>
      </c>
      <c r="S312" s="456">
        <f t="shared" si="526"/>
        <v>0</v>
      </c>
      <c r="T312" s="456">
        <f t="shared" si="526"/>
        <v>257.20744605653272</v>
      </c>
      <c r="U312" s="457">
        <f t="shared" si="526"/>
        <v>22.665916879310583</v>
      </c>
      <c r="V312" s="455">
        <f t="shared" si="526"/>
        <v>0</v>
      </c>
      <c r="W312" s="456">
        <f t="shared" si="526"/>
        <v>0</v>
      </c>
      <c r="X312" s="456">
        <f t="shared" si="526"/>
        <v>132.37666124339455</v>
      </c>
      <c r="Y312" s="457">
        <f t="shared" si="526"/>
        <v>18.379479834184643</v>
      </c>
      <c r="Z312" s="458">
        <f t="shared" si="526"/>
        <v>0</v>
      </c>
      <c r="AA312" s="477">
        <f t="shared" si="526"/>
        <v>0</v>
      </c>
      <c r="AB312" s="477">
        <f t="shared" si="526"/>
        <v>112.17082971361694</v>
      </c>
      <c r="AC312" s="499">
        <f t="shared" si="526"/>
        <v>24.398952507224145</v>
      </c>
      <c r="AD312" s="458">
        <f t="shared" si="526"/>
        <v>0</v>
      </c>
      <c r="AE312" s="456">
        <f t="shared" si="526"/>
        <v>0</v>
      </c>
      <c r="AF312" s="456">
        <f t="shared" si="526"/>
        <v>0</v>
      </c>
      <c r="AG312" s="457">
        <f t="shared" si="526"/>
        <v>0</v>
      </c>
      <c r="AH312" s="455">
        <f t="shared" si="526"/>
        <v>0</v>
      </c>
      <c r="AI312" s="456">
        <f t="shared" si="526"/>
        <v>0</v>
      </c>
      <c r="AJ312" s="456">
        <f t="shared" si="526"/>
        <v>0</v>
      </c>
      <c r="AK312" s="457">
        <f t="shared" si="526"/>
        <v>0</v>
      </c>
      <c r="AL312" s="455">
        <f t="shared" si="526"/>
        <v>0</v>
      </c>
      <c r="AM312" s="456">
        <f t="shared" si="526"/>
        <v>0</v>
      </c>
      <c r="AN312" s="456">
        <f t="shared" si="526"/>
        <v>0</v>
      </c>
      <c r="AO312" s="457">
        <f t="shared" si="526"/>
        <v>0</v>
      </c>
      <c r="AP312" s="455">
        <f t="shared" si="526"/>
        <v>0</v>
      </c>
      <c r="AQ312" s="456">
        <f t="shared" si="526"/>
        <v>0</v>
      </c>
      <c r="AR312" s="456">
        <f t="shared" si="526"/>
        <v>0</v>
      </c>
      <c r="AS312" s="457">
        <f t="shared" si="526"/>
        <v>0</v>
      </c>
      <c r="AT312" s="455">
        <f t="shared" si="526"/>
        <v>0</v>
      </c>
      <c r="AU312" s="456">
        <f t="shared" si="526"/>
        <v>0</v>
      </c>
      <c r="AV312" s="456">
        <f t="shared" si="526"/>
        <v>0</v>
      </c>
      <c r="AW312" s="457">
        <f t="shared" si="526"/>
        <v>0</v>
      </c>
      <c r="AX312" s="468">
        <f t="shared" si="526"/>
        <v>0</v>
      </c>
      <c r="AY312" s="458">
        <f t="shared" si="526"/>
        <v>0</v>
      </c>
      <c r="AZ312" s="468">
        <f t="shared" si="526"/>
        <v>2291.1075277261798</v>
      </c>
      <c r="BA312" s="468">
        <f t="shared" si="526"/>
        <v>186.88669769031338</v>
      </c>
      <c r="BB312" s="458">
        <f t="shared" si="526"/>
        <v>0</v>
      </c>
      <c r="BD312" s="445"/>
      <c r="BE312" s="445"/>
    </row>
    <row r="313" spans="1:73">
      <c r="D313" s="446"/>
      <c r="E313" s="446"/>
      <c r="F313" s="446"/>
      <c r="G313" s="446"/>
      <c r="H313" s="446"/>
      <c r="I313" s="446"/>
      <c r="P313" s="395"/>
      <c r="Q313" s="395"/>
      <c r="Y313" s="446"/>
      <c r="AB313" s="446"/>
      <c r="AC313" s="446"/>
      <c r="AJ313" s="1243"/>
      <c r="AK313" s="1243"/>
      <c r="AN313" s="446"/>
      <c r="AO313" s="446"/>
      <c r="AV313" s="446"/>
      <c r="AW313" s="446"/>
      <c r="AY313" s="445"/>
    </row>
    <row r="314" spans="1:73" ht="14.4">
      <c r="B314" s="459"/>
      <c r="C314" s="459"/>
      <c r="E314" s="446"/>
      <c r="F314" s="459"/>
      <c r="G314" s="459"/>
      <c r="I314" s="77"/>
      <c r="J314" s="459"/>
      <c r="K314" s="459"/>
      <c r="M314" s="395"/>
      <c r="N314" s="459"/>
      <c r="Q314" s="395"/>
      <c r="R314" s="471"/>
      <c r="V314" s="459"/>
      <c r="W314" s="459"/>
      <c r="Z314" s="459"/>
      <c r="AA314" s="459"/>
      <c r="AH314" s="459"/>
      <c r="AI314" s="459"/>
      <c r="AL314" s="459"/>
      <c r="AM314" s="472"/>
      <c r="AP314" s="459"/>
      <c r="AZ314" s="469"/>
      <c r="BA314" s="469"/>
    </row>
    <row r="315" spans="1:73" ht="18">
      <c r="A315" s="393" t="s">
        <v>952</v>
      </c>
      <c r="H315" s="1091" t="e">
        <f>#REF!+#REF!</f>
        <v>#REF!</v>
      </c>
      <c r="I315" s="469" t="e">
        <f>2.88681-#REF!</f>
        <v>#REF!</v>
      </c>
      <c r="W315" s="649"/>
    </row>
    <row r="316" spans="1:73" ht="18.600000000000001" thickBot="1">
      <c r="A316" s="394" t="str">
        <f>A257</f>
        <v>2023 cumul</v>
      </c>
      <c r="AT316" s="117">
        <v>74.061263999999994</v>
      </c>
    </row>
    <row r="317" spans="1:73">
      <c r="A317" s="2815" t="str">
        <f>A258</f>
        <v>DD</v>
      </c>
      <c r="B317" s="2827" t="s">
        <v>71</v>
      </c>
      <c r="C317" s="2828"/>
      <c r="D317" s="2828"/>
      <c r="E317" s="3091"/>
      <c r="F317" s="2829" t="s">
        <v>72</v>
      </c>
      <c r="G317" s="2830"/>
      <c r="H317" s="2830"/>
      <c r="I317" s="3095"/>
      <c r="J317" s="2817" t="s">
        <v>73</v>
      </c>
      <c r="K317" s="2818"/>
      <c r="L317" s="2818"/>
      <c r="M317" s="3094"/>
      <c r="N317" s="2819" t="s">
        <v>74</v>
      </c>
      <c r="O317" s="2820"/>
      <c r="P317" s="2820"/>
      <c r="Q317" s="3090"/>
      <c r="R317" s="2821" t="s">
        <v>75</v>
      </c>
      <c r="S317" s="2822"/>
      <c r="T317" s="2822"/>
      <c r="U317" s="3093"/>
      <c r="V317" s="2823" t="s">
        <v>76</v>
      </c>
      <c r="W317" s="2824"/>
      <c r="X317" s="2824"/>
      <c r="Y317" s="3089"/>
      <c r="Z317" s="2827" t="s">
        <v>77</v>
      </c>
      <c r="AA317" s="2828"/>
      <c r="AB317" s="2828"/>
      <c r="AC317" s="3091"/>
      <c r="AD317" s="2829" t="s">
        <v>78</v>
      </c>
      <c r="AE317" s="2830"/>
      <c r="AF317" s="2830"/>
      <c r="AG317" s="3095"/>
      <c r="AH317" s="2817" t="s">
        <v>79</v>
      </c>
      <c r="AI317" s="2818"/>
      <c r="AJ317" s="2818"/>
      <c r="AK317" s="3094"/>
      <c r="AL317" s="2819" t="s">
        <v>80</v>
      </c>
      <c r="AM317" s="2820"/>
      <c r="AN317" s="2820"/>
      <c r="AO317" s="3090"/>
      <c r="AP317" s="2821" t="s">
        <v>81</v>
      </c>
      <c r="AQ317" s="2822"/>
      <c r="AR317" s="2822"/>
      <c r="AS317" s="3093"/>
      <c r="AT317" s="2823" t="s">
        <v>82</v>
      </c>
      <c r="AU317" s="2824"/>
      <c r="AV317" s="2824"/>
      <c r="AW317" s="3089"/>
      <c r="AX317" s="2825" t="s">
        <v>83</v>
      </c>
      <c r="AY317" s="2826"/>
      <c r="AZ317" s="2826"/>
      <c r="BA317" s="3088"/>
      <c r="BB317" s="473"/>
      <c r="BC317" s="430"/>
      <c r="BD317" s="430"/>
      <c r="BE317" s="430"/>
      <c r="BF317" s="430"/>
      <c r="BG317" s="430"/>
      <c r="BH317" s="430"/>
      <c r="BI317" s="430"/>
      <c r="BR317" s="3112"/>
      <c r="BS317" s="3112"/>
      <c r="BT317" s="3112"/>
      <c r="BU317" s="3112"/>
    </row>
    <row r="318" spans="1:73" ht="14.4" thickBot="1">
      <c r="A318" s="2816"/>
      <c r="B318" s="402" t="s">
        <v>24</v>
      </c>
      <c r="C318" s="403" t="s">
        <v>96</v>
      </c>
      <c r="D318" s="403" t="s">
        <v>97</v>
      </c>
      <c r="E318" s="404" t="s">
        <v>91</v>
      </c>
      <c r="F318" s="402" t="s">
        <v>24</v>
      </c>
      <c r="G318" s="403" t="s">
        <v>96</v>
      </c>
      <c r="H318" s="403" t="s">
        <v>97</v>
      </c>
      <c r="I318" s="404" t="s">
        <v>91</v>
      </c>
      <c r="J318" s="402" t="s">
        <v>24</v>
      </c>
      <c r="K318" s="403" t="s">
        <v>96</v>
      </c>
      <c r="L318" s="403" t="s">
        <v>97</v>
      </c>
      <c r="M318" s="404" t="s">
        <v>91</v>
      </c>
      <c r="N318" s="402" t="s">
        <v>24</v>
      </c>
      <c r="O318" s="403" t="s">
        <v>96</v>
      </c>
      <c r="P318" s="403" t="s">
        <v>97</v>
      </c>
      <c r="Q318" s="404" t="s">
        <v>91</v>
      </c>
      <c r="R318" s="402" t="s">
        <v>24</v>
      </c>
      <c r="S318" s="403" t="s">
        <v>96</v>
      </c>
      <c r="T318" s="403" t="s">
        <v>97</v>
      </c>
      <c r="U318" s="404" t="s">
        <v>91</v>
      </c>
      <c r="V318" s="402" t="s">
        <v>24</v>
      </c>
      <c r="W318" s="403" t="s">
        <v>96</v>
      </c>
      <c r="X318" s="403" t="s">
        <v>97</v>
      </c>
      <c r="Y318" s="404" t="s">
        <v>91</v>
      </c>
      <c r="Z318" s="402" t="s">
        <v>24</v>
      </c>
      <c r="AA318" s="403" t="s">
        <v>96</v>
      </c>
      <c r="AB318" s="403" t="s">
        <v>97</v>
      </c>
      <c r="AC318" s="404" t="s">
        <v>91</v>
      </c>
      <c r="AD318" s="1062" t="s">
        <v>24</v>
      </c>
      <c r="AE318" s="403" t="s">
        <v>96</v>
      </c>
      <c r="AF318" s="403" t="s">
        <v>97</v>
      </c>
      <c r="AG318" s="404" t="s">
        <v>91</v>
      </c>
      <c r="AH318" s="402" t="s">
        <v>24</v>
      </c>
      <c r="AI318" s="403" t="s">
        <v>96</v>
      </c>
      <c r="AJ318" s="403" t="s">
        <v>97</v>
      </c>
      <c r="AK318" s="404" t="s">
        <v>91</v>
      </c>
      <c r="AL318" s="402" t="s">
        <v>24</v>
      </c>
      <c r="AM318" s="403" t="s">
        <v>96</v>
      </c>
      <c r="AN318" s="403" t="s">
        <v>97</v>
      </c>
      <c r="AO318" s="404" t="s">
        <v>91</v>
      </c>
      <c r="AP318" s="402" t="s">
        <v>24</v>
      </c>
      <c r="AQ318" s="403" t="s">
        <v>96</v>
      </c>
      <c r="AR318" s="403" t="s">
        <v>97</v>
      </c>
      <c r="AS318" s="404" t="s">
        <v>91</v>
      </c>
      <c r="AT318" s="402" t="s">
        <v>24</v>
      </c>
      <c r="AU318" s="403" t="s">
        <v>96</v>
      </c>
      <c r="AV318" s="403" t="s">
        <v>97</v>
      </c>
      <c r="AW318" s="404" t="s">
        <v>91</v>
      </c>
      <c r="AX318" s="1057" t="s">
        <v>24</v>
      </c>
      <c r="AY318" s="403" t="s">
        <v>96</v>
      </c>
      <c r="AZ318" s="403" t="s">
        <v>97</v>
      </c>
      <c r="BA318" s="431" t="s">
        <v>91</v>
      </c>
      <c r="BD318" s="117" t="s">
        <v>178</v>
      </c>
      <c r="BE318" s="117" t="s">
        <v>180</v>
      </c>
    </row>
    <row r="319" spans="1:73">
      <c r="A319" s="397" t="s">
        <v>6</v>
      </c>
      <c r="B319" s="450">
        <v>81.181411569999995</v>
      </c>
      <c r="C319" s="451">
        <f>+D274+E274</f>
        <v>47.941547525137203</v>
      </c>
      <c r="D319" s="451">
        <f>+B319-C319</f>
        <v>33.239864044862792</v>
      </c>
      <c r="E319" s="474">
        <f>+D319/B319*100</f>
        <v>40.94516638972356</v>
      </c>
      <c r="F319" s="450">
        <v>71.859975299934931</v>
      </c>
      <c r="G319" s="451">
        <f>+H274+I274</f>
        <v>61.506126093190304</v>
      </c>
      <c r="H319" s="451">
        <f t="shared" ref="H319:H329" si="527">+F319-G319</f>
        <v>10.353849206744627</v>
      </c>
      <c r="I319" s="474">
        <f t="shared" ref="I319:I329" si="528">+H319/F319*100</f>
        <v>14.408367333176642</v>
      </c>
      <c r="J319" s="450">
        <v>48.067492999999999</v>
      </c>
      <c r="K319" s="451">
        <f>+L274+M274</f>
        <v>57.915809518346208</v>
      </c>
      <c r="L319" s="451">
        <f t="shared" ref="L319:L328" si="529">+J319-K319</f>
        <v>-9.8483165183462091</v>
      </c>
      <c r="M319" s="474">
        <f t="shared" ref="M319:M328" si="530">+L319/J319*100</f>
        <v>-20.48851709063797</v>
      </c>
      <c r="N319" s="450">
        <v>28.685269999999999</v>
      </c>
      <c r="O319" s="451">
        <f>+P274+Q274</f>
        <v>49.513860387306821</v>
      </c>
      <c r="P319" s="451">
        <f t="shared" ref="P319:P328" si="531">+N319-O319</f>
        <v>-20.828590387306821</v>
      </c>
      <c r="Q319" s="474">
        <f t="shared" ref="Q319:Q328" si="532">+P319/N319*100</f>
        <v>-72.610752443002355</v>
      </c>
      <c r="R319" s="450">
        <v>22.445631372937342</v>
      </c>
      <c r="S319" s="451">
        <f>+T274+U274</f>
        <v>33.773773359402256</v>
      </c>
      <c r="T319" s="451">
        <f t="shared" ref="T319:T328" si="533">+R319-S319</f>
        <v>-11.328141986464914</v>
      </c>
      <c r="U319" s="474">
        <f t="shared" ref="U319:U329" si="534">+T319/R319*100</f>
        <v>-50.469250778675956</v>
      </c>
      <c r="V319" s="450">
        <v>18.130714415462037</v>
      </c>
      <c r="W319" s="451">
        <f>X274+Y274</f>
        <v>22.945344288455615</v>
      </c>
      <c r="X319" s="451">
        <f t="shared" ref="X319:X328" si="535">+V319-W319</f>
        <v>-4.8146298729935779</v>
      </c>
      <c r="Y319" s="474">
        <f t="shared" ref="Y319:Y328" si="536">+X319/V319*100</f>
        <v>-26.555102919097429</v>
      </c>
      <c r="Z319" s="450">
        <v>15.779548</v>
      </c>
      <c r="AA319" s="451">
        <f>AB274+AC274</f>
        <v>22.7987641262213</v>
      </c>
      <c r="AB319" s="451">
        <f t="shared" ref="AB319:AB328" si="537">+Z319-AA319</f>
        <v>-7.0192161262213002</v>
      </c>
      <c r="AC319" s="474">
        <f t="shared" ref="AC319:AC328" si="538">+AB319/Z319*100</f>
        <v>-44.482998665242505</v>
      </c>
      <c r="AD319" s="450">
        <v>15.871484676210878</v>
      </c>
      <c r="AE319" s="451">
        <f>AF274+AG274</f>
        <v>0</v>
      </c>
      <c r="AF319" s="451">
        <f t="shared" ref="AF319:AF328" si="539">+AD319-AE319</f>
        <v>15.871484676210878</v>
      </c>
      <c r="AG319" s="474">
        <f t="shared" ref="AG319:AG328" si="540">+AF319/AD319*100</f>
        <v>100</v>
      </c>
      <c r="AH319" s="450"/>
      <c r="AI319" s="451">
        <f>AJ274+AK274</f>
        <v>0</v>
      </c>
      <c r="AJ319" s="451">
        <f t="shared" ref="AJ319:AJ328" si="541">+AH319-AI319</f>
        <v>0</v>
      </c>
      <c r="AK319" s="474" t="e">
        <f t="shared" ref="AK319:AK328" si="542">+AJ319/AH319*100</f>
        <v>#DIV/0!</v>
      </c>
      <c r="AL319" s="450"/>
      <c r="AM319" s="451">
        <f>AN274+AO274</f>
        <v>0</v>
      </c>
      <c r="AN319" s="451">
        <f t="shared" ref="AN319:AN328" si="543">+AL319-AM319</f>
        <v>0</v>
      </c>
      <c r="AO319" s="474" t="e">
        <f t="shared" ref="AO319:AO328" si="544">+AN319/AL319*100</f>
        <v>#DIV/0!</v>
      </c>
      <c r="AP319" s="450"/>
      <c r="AQ319" s="451">
        <f>AR274+AS274</f>
        <v>0</v>
      </c>
      <c r="AR319" s="451">
        <f t="shared" ref="AR319:AR328" si="545">+AP319-AQ319</f>
        <v>0</v>
      </c>
      <c r="AS319" s="474" t="e">
        <f t="shared" ref="AS319:AS328" si="546">+AR319/AP319*100</f>
        <v>#DIV/0!</v>
      </c>
      <c r="AT319" s="450"/>
      <c r="AU319" s="451">
        <f>AV274+AW274</f>
        <v>0</v>
      </c>
      <c r="AV319" s="451">
        <f t="shared" ref="AV319:AV328" si="547">+AT319-AU319</f>
        <v>0</v>
      </c>
      <c r="AW319" s="474" t="e">
        <f t="shared" ref="AW319:AW328" si="548">+AV319/AT319*100</f>
        <v>#DIV/0!</v>
      </c>
      <c r="AX319" s="1058">
        <f>+B319+F319+J319+N319+R319+V319+Z319+AD319+AH319+AL319+AP319+AT319</f>
        <v>302.02152833454511</v>
      </c>
      <c r="AY319" s="1058">
        <f>+C319+G319+K319+O319+S319+W319+AA319+AE319+AI319+AM319+AQ319+AU319</f>
        <v>296.3952252980597</v>
      </c>
      <c r="AZ319" s="442">
        <f>+D319+H319+L319+P319+T319+X319+AB319+AF319+AJ319+AN319+AR319+AV319</f>
        <v>5.6263030364854743</v>
      </c>
      <c r="BA319" s="475">
        <f>+AZ319/AX319*100</f>
        <v>1.8628814533556348</v>
      </c>
      <c r="BC319" s="446"/>
      <c r="BD319" s="445">
        <f>AD319</f>
        <v>15.871484676210878</v>
      </c>
      <c r="BE319" s="446">
        <f>AE319</f>
        <v>0</v>
      </c>
    </row>
    <row r="320" spans="1:73">
      <c r="A320" s="397" t="s">
        <v>7</v>
      </c>
      <c r="B320" s="450">
        <v>73.475077999999996</v>
      </c>
      <c r="C320" s="451">
        <f t="shared" ref="C320:C328" si="549">+D275+E275</f>
        <v>53.095914537911206</v>
      </c>
      <c r="D320" s="451">
        <f t="shared" ref="D320:D329" si="550">+B320-C320</f>
        <v>20.37916346208879</v>
      </c>
      <c r="E320" s="474">
        <f t="shared" ref="E320:E329" si="551">+D320/B320*100</f>
        <v>27.736157642580238</v>
      </c>
      <c r="F320" s="450">
        <v>65.721536</v>
      </c>
      <c r="G320" s="451">
        <f t="shared" ref="G320:G327" si="552">+H275+I275</f>
        <v>59.517418838149148</v>
      </c>
      <c r="H320" s="451">
        <f t="shared" si="527"/>
        <v>6.2041171618508528</v>
      </c>
      <c r="I320" s="474">
        <f t="shared" si="528"/>
        <v>9.4400063349871388</v>
      </c>
      <c r="J320" s="450">
        <v>46.034694999999999</v>
      </c>
      <c r="K320" s="451">
        <f t="shared" ref="K320:K328" si="553">+L275+M275</f>
        <v>47.16002689214973</v>
      </c>
      <c r="L320" s="451">
        <f t="shared" si="529"/>
        <v>-1.1253318921497311</v>
      </c>
      <c r="M320" s="474">
        <f t="shared" si="530"/>
        <v>-2.4445299184663463</v>
      </c>
      <c r="N320" s="450">
        <v>21.832173000000001</v>
      </c>
      <c r="O320" s="451">
        <f t="shared" ref="O320:O328" si="554">+P275+Q275</f>
        <v>53.251871000065684</v>
      </c>
      <c r="P320" s="451">
        <f t="shared" si="531"/>
        <v>-31.419698000065683</v>
      </c>
      <c r="Q320" s="474">
        <f t="shared" si="532"/>
        <v>-143.91466209096859</v>
      </c>
      <c r="R320" s="450">
        <v>14.871504</v>
      </c>
      <c r="S320" s="451">
        <f t="shared" ref="S320:S328" si="555">+T275+U275</f>
        <v>29.979994385234193</v>
      </c>
      <c r="T320" s="451">
        <f t="shared" si="533"/>
        <v>-15.108490385234193</v>
      </c>
      <c r="U320" s="474">
        <f t="shared" si="534"/>
        <v>-101.59356030993362</v>
      </c>
      <c r="V320" s="450">
        <v>10.274725</v>
      </c>
      <c r="W320" s="451">
        <f t="shared" ref="W320:W328" si="556">X275+Y275</f>
        <v>13.379732152307339</v>
      </c>
      <c r="X320" s="451">
        <f t="shared" si="535"/>
        <v>-3.1050071523073388</v>
      </c>
      <c r="Y320" s="474">
        <f t="shared" si="536"/>
        <v>-30.219856514965986</v>
      </c>
      <c r="Z320" s="450">
        <v>5.2035390000000001</v>
      </c>
      <c r="AA320" s="451">
        <f t="shared" ref="AA320:AA328" si="557">AB275+AC275</f>
        <v>13.348908657883825</v>
      </c>
      <c r="AB320" s="451">
        <f t="shared" si="537"/>
        <v>-8.1453696578838262</v>
      </c>
      <c r="AC320" s="474">
        <f t="shared" si="538"/>
        <v>-156.53518995214267</v>
      </c>
      <c r="AD320" s="450">
        <v>6.2758710000000004</v>
      </c>
      <c r="AE320" s="451">
        <f t="shared" ref="AE320:AE328" si="558">AF275+AG275</f>
        <v>0</v>
      </c>
      <c r="AF320" s="451">
        <f t="shared" si="539"/>
        <v>6.2758710000000004</v>
      </c>
      <c r="AG320" s="474">
        <f t="shared" si="540"/>
        <v>100</v>
      </c>
      <c r="AH320" s="450"/>
      <c r="AI320" s="451">
        <f t="shared" ref="AI320:AI328" si="559">AJ275+AK275</f>
        <v>0</v>
      </c>
      <c r="AJ320" s="451">
        <f t="shared" si="541"/>
        <v>0</v>
      </c>
      <c r="AK320" s="474" t="e">
        <f t="shared" si="542"/>
        <v>#DIV/0!</v>
      </c>
      <c r="AL320" s="450"/>
      <c r="AM320" s="451">
        <f t="shared" ref="AM320:AM328" si="560">AN275+AO275</f>
        <v>0</v>
      </c>
      <c r="AN320" s="451">
        <f t="shared" si="543"/>
        <v>0</v>
      </c>
      <c r="AO320" s="474" t="e">
        <f t="shared" si="544"/>
        <v>#DIV/0!</v>
      </c>
      <c r="AP320" s="450"/>
      <c r="AQ320" s="451">
        <f t="shared" ref="AQ320:AQ327" si="561">AR275+AS275</f>
        <v>0</v>
      </c>
      <c r="AR320" s="451">
        <f t="shared" si="545"/>
        <v>0</v>
      </c>
      <c r="AS320" s="474" t="e">
        <f t="shared" si="546"/>
        <v>#DIV/0!</v>
      </c>
      <c r="AT320" s="450"/>
      <c r="AU320" s="451">
        <f t="shared" ref="AU320:AU328" si="562">AV275+AW275</f>
        <v>0</v>
      </c>
      <c r="AV320" s="451">
        <f t="shared" si="547"/>
        <v>0</v>
      </c>
      <c r="AW320" s="474" t="e">
        <f t="shared" si="548"/>
        <v>#DIV/0!</v>
      </c>
      <c r="AX320" s="1063">
        <f t="shared" ref="AX320:AY328" si="563">+B320+F320+J320+N320+R320+V320+Z320+AD320+AH320+AL320+AP320+AT320</f>
        <v>243.689121</v>
      </c>
      <c r="AY320" s="1063">
        <f t="shared" si="563"/>
        <v>269.73386646370113</v>
      </c>
      <c r="AZ320" s="447">
        <f t="shared" ref="AZ320:AZ328" si="564">+D320+H320+L320+P320+T320+X320+AB320+AF320+AJ320+AN320+AR320+AV320</f>
        <v>-26.044745463701126</v>
      </c>
      <c r="BA320" s="476">
        <f t="shared" ref="BA320:BA328" si="565">+AZ320/AX320*100</f>
        <v>-10.687693138218151</v>
      </c>
      <c r="BC320" s="446"/>
      <c r="BD320" s="445">
        <f t="shared" ref="BD320:BD329" si="566">AD320</f>
        <v>6.2758710000000004</v>
      </c>
      <c r="BE320" s="446">
        <f t="shared" ref="BE320:BE329" si="567">AE320</f>
        <v>0</v>
      </c>
    </row>
    <row r="321" spans="1:73">
      <c r="A321" s="397" t="s">
        <v>8</v>
      </c>
      <c r="B321" s="450">
        <v>66.211636999999996</v>
      </c>
      <c r="C321" s="451">
        <f t="shared" si="549"/>
        <v>54.740611052912691</v>
      </c>
      <c r="D321" s="451">
        <f t="shared" si="550"/>
        <v>11.471025947087305</v>
      </c>
      <c r="E321" s="474">
        <f t="shared" si="551"/>
        <v>17.3247883103801</v>
      </c>
      <c r="F321" s="450">
        <v>56.813715000000002</v>
      </c>
      <c r="G321" s="451">
        <f t="shared" si="552"/>
        <v>52.587963381637067</v>
      </c>
      <c r="H321" s="451">
        <f t="shared" si="527"/>
        <v>4.2257516183629349</v>
      </c>
      <c r="I321" s="474">
        <f t="shared" si="528"/>
        <v>7.4379075868616145</v>
      </c>
      <c r="J321" s="450">
        <v>43.275367000000003</v>
      </c>
      <c r="K321" s="451">
        <f t="shared" si="553"/>
        <v>46.328437432278093</v>
      </c>
      <c r="L321" s="451">
        <f t="shared" si="529"/>
        <v>-3.0530704322780906</v>
      </c>
      <c r="M321" s="474">
        <f t="shared" si="530"/>
        <v>-7.0549844956325627</v>
      </c>
      <c r="N321" s="450">
        <v>21.854572999999998</v>
      </c>
      <c r="O321" s="451">
        <f t="shared" si="554"/>
        <v>46.073841901183997</v>
      </c>
      <c r="P321" s="451">
        <f t="shared" si="531"/>
        <v>-24.219268901183998</v>
      </c>
      <c r="Q321" s="474">
        <f t="shared" si="532"/>
        <v>-110.82014231613677</v>
      </c>
      <c r="R321" s="450">
        <v>18.021747000000001</v>
      </c>
      <c r="S321" s="451">
        <f t="shared" si="555"/>
        <v>25.616629240010333</v>
      </c>
      <c r="T321" s="451">
        <f t="shared" si="533"/>
        <v>-7.5948822400103317</v>
      </c>
      <c r="U321" s="474">
        <f t="shared" si="534"/>
        <v>-42.142874605943206</v>
      </c>
      <c r="V321" s="450">
        <v>8.8773250000000008</v>
      </c>
      <c r="W321" s="451">
        <f t="shared" si="556"/>
        <v>14.260954299523263</v>
      </c>
      <c r="X321" s="451">
        <f t="shared" si="535"/>
        <v>-5.3836292995232622</v>
      </c>
      <c r="Y321" s="474">
        <f t="shared" si="536"/>
        <v>-60.644724616066917</v>
      </c>
      <c r="Z321" s="450">
        <v>4.8114600000000003</v>
      </c>
      <c r="AA321" s="451">
        <f t="shared" si="557"/>
        <v>13.449187615224456</v>
      </c>
      <c r="AB321" s="451">
        <f t="shared" si="537"/>
        <v>-8.6377276152244562</v>
      </c>
      <c r="AC321" s="474">
        <f t="shared" si="538"/>
        <v>-179.52404499308849</v>
      </c>
      <c r="AD321" s="450">
        <v>5.1589419999999997</v>
      </c>
      <c r="AE321" s="451">
        <f t="shared" si="558"/>
        <v>0</v>
      </c>
      <c r="AF321" s="451">
        <f t="shared" si="539"/>
        <v>5.1589419999999997</v>
      </c>
      <c r="AG321" s="474">
        <f t="shared" si="540"/>
        <v>100</v>
      </c>
      <c r="AH321" s="450"/>
      <c r="AI321" s="451">
        <f t="shared" si="559"/>
        <v>0</v>
      </c>
      <c r="AJ321" s="451">
        <f t="shared" si="541"/>
        <v>0</v>
      </c>
      <c r="AK321" s="474" t="e">
        <f t="shared" si="542"/>
        <v>#DIV/0!</v>
      </c>
      <c r="AL321" s="450"/>
      <c r="AM321" s="451">
        <f t="shared" si="560"/>
        <v>0</v>
      </c>
      <c r="AN321" s="451">
        <f t="shared" si="543"/>
        <v>0</v>
      </c>
      <c r="AO321" s="474" t="e">
        <f t="shared" si="544"/>
        <v>#DIV/0!</v>
      </c>
      <c r="AP321" s="450"/>
      <c r="AQ321" s="451">
        <f t="shared" si="561"/>
        <v>0</v>
      </c>
      <c r="AR321" s="451">
        <f t="shared" si="545"/>
        <v>0</v>
      </c>
      <c r="AS321" s="474" t="e">
        <f t="shared" si="546"/>
        <v>#DIV/0!</v>
      </c>
      <c r="AT321" s="450"/>
      <c r="AU321" s="451">
        <f t="shared" si="562"/>
        <v>0</v>
      </c>
      <c r="AV321" s="451">
        <f t="shared" si="547"/>
        <v>0</v>
      </c>
      <c r="AW321" s="474" t="e">
        <f t="shared" si="548"/>
        <v>#DIV/0!</v>
      </c>
      <c r="AX321" s="1063">
        <f t="shared" si="563"/>
        <v>225.02476600000003</v>
      </c>
      <c r="AY321" s="1063">
        <f t="shared" si="563"/>
        <v>253.05762492276989</v>
      </c>
      <c r="AZ321" s="447">
        <f t="shared" si="564"/>
        <v>-28.032858922769901</v>
      </c>
      <c r="BA321" s="476">
        <f t="shared" si="565"/>
        <v>-12.457677179750917</v>
      </c>
      <c r="BC321" s="446"/>
      <c r="BD321" s="445">
        <f t="shared" si="566"/>
        <v>5.1589419999999997</v>
      </c>
      <c r="BE321" s="446">
        <f t="shared" si="567"/>
        <v>0</v>
      </c>
    </row>
    <row r="322" spans="1:73">
      <c r="A322" s="397" t="s">
        <v>4</v>
      </c>
      <c r="B322" s="450">
        <v>116.59060700000001</v>
      </c>
      <c r="C322" s="451">
        <f t="shared" si="549"/>
        <v>73.996224550458976</v>
      </c>
      <c r="D322" s="451">
        <f t="shared" si="550"/>
        <v>42.59438244954103</v>
      </c>
      <c r="E322" s="474">
        <f t="shared" si="551"/>
        <v>36.533288182933148</v>
      </c>
      <c r="F322" s="450">
        <v>94.828867000000002</v>
      </c>
      <c r="G322" s="451">
        <f t="shared" si="552"/>
        <v>94.408748086607218</v>
      </c>
      <c r="H322" s="451">
        <f t="shared" si="527"/>
        <v>0.42011891339278407</v>
      </c>
      <c r="I322" s="474">
        <f t="shared" si="528"/>
        <v>0.44302850670227251</v>
      </c>
      <c r="J322" s="450">
        <v>73.040921999999995</v>
      </c>
      <c r="K322" s="451">
        <f t="shared" si="553"/>
        <v>84.888674250442705</v>
      </c>
      <c r="L322" s="451">
        <f t="shared" si="529"/>
        <v>-11.84775225044271</v>
      </c>
      <c r="M322" s="474">
        <f t="shared" si="530"/>
        <v>-16.220704676267246</v>
      </c>
      <c r="N322" s="450">
        <v>36.473115999999997</v>
      </c>
      <c r="O322" s="451">
        <f t="shared" si="554"/>
        <v>83.689613664301433</v>
      </c>
      <c r="P322" s="451">
        <f t="shared" si="531"/>
        <v>-47.216497664301436</v>
      </c>
      <c r="Q322" s="474">
        <f t="shared" si="532"/>
        <v>-129.45561784274597</v>
      </c>
      <c r="R322" s="450">
        <v>25.817730999999998</v>
      </c>
      <c r="S322" s="451">
        <f t="shared" si="555"/>
        <v>46.200951660425929</v>
      </c>
      <c r="T322" s="451">
        <f t="shared" si="533"/>
        <v>-20.383220660425931</v>
      </c>
      <c r="U322" s="474">
        <f t="shared" si="534"/>
        <v>-78.950472682614631</v>
      </c>
      <c r="V322" s="450">
        <v>15.269482999999999</v>
      </c>
      <c r="W322" s="451">
        <f t="shared" si="556"/>
        <v>25.814191644897164</v>
      </c>
      <c r="X322" s="451">
        <f t="shared" si="535"/>
        <v>-10.544708644897165</v>
      </c>
      <c r="Y322" s="474">
        <f t="shared" si="536"/>
        <v>-69.057404529656736</v>
      </c>
      <c r="Z322" s="450">
        <v>7.7160630000000001</v>
      </c>
      <c r="AA322" s="451">
        <f t="shared" si="557"/>
        <v>22.048716340215627</v>
      </c>
      <c r="AB322" s="451">
        <f t="shared" si="537"/>
        <v>-14.332653340215627</v>
      </c>
      <c r="AC322" s="474">
        <f t="shared" si="538"/>
        <v>-185.75085947607772</v>
      </c>
      <c r="AD322" s="450">
        <v>8.2407219999999999</v>
      </c>
      <c r="AE322" s="451">
        <f t="shared" si="558"/>
        <v>0</v>
      </c>
      <c r="AF322" s="451">
        <f t="shared" si="539"/>
        <v>8.2407219999999999</v>
      </c>
      <c r="AG322" s="474">
        <f t="shared" si="540"/>
        <v>100</v>
      </c>
      <c r="AH322" s="450"/>
      <c r="AI322" s="451">
        <f t="shared" si="559"/>
        <v>0</v>
      </c>
      <c r="AJ322" s="451">
        <f t="shared" si="541"/>
        <v>0</v>
      </c>
      <c r="AK322" s="474" t="e">
        <f t="shared" si="542"/>
        <v>#DIV/0!</v>
      </c>
      <c r="AL322" s="450"/>
      <c r="AM322" s="451">
        <f t="shared" si="560"/>
        <v>0</v>
      </c>
      <c r="AN322" s="451">
        <f t="shared" si="543"/>
        <v>0</v>
      </c>
      <c r="AO322" s="474" t="e">
        <f t="shared" si="544"/>
        <v>#DIV/0!</v>
      </c>
      <c r="AP322" s="450"/>
      <c r="AQ322" s="451">
        <f t="shared" si="561"/>
        <v>0</v>
      </c>
      <c r="AR322" s="451">
        <f t="shared" si="545"/>
        <v>0</v>
      </c>
      <c r="AS322" s="474" t="e">
        <f t="shared" si="546"/>
        <v>#DIV/0!</v>
      </c>
      <c r="AT322" s="450"/>
      <c r="AU322" s="451">
        <f t="shared" si="562"/>
        <v>0</v>
      </c>
      <c r="AV322" s="451">
        <f t="shared" si="547"/>
        <v>0</v>
      </c>
      <c r="AW322" s="474" t="e">
        <f t="shared" si="548"/>
        <v>#DIV/0!</v>
      </c>
      <c r="AX322" s="1063">
        <f t="shared" si="563"/>
        <v>377.97751099999999</v>
      </c>
      <c r="AY322" s="1063">
        <f t="shared" si="563"/>
        <v>431.04712019734899</v>
      </c>
      <c r="AZ322" s="447">
        <f t="shared" si="564"/>
        <v>-53.069609197349052</v>
      </c>
      <c r="BA322" s="476">
        <f t="shared" si="565"/>
        <v>-14.040414483111682</v>
      </c>
      <c r="BC322" s="446"/>
      <c r="BD322" s="445">
        <f t="shared" si="566"/>
        <v>8.2407219999999999</v>
      </c>
      <c r="BE322" s="446">
        <f t="shared" si="567"/>
        <v>0</v>
      </c>
    </row>
    <row r="323" spans="1:73">
      <c r="A323" s="397" t="s">
        <v>3</v>
      </c>
      <c r="B323" s="450">
        <v>122.486752</v>
      </c>
      <c r="C323" s="451">
        <f t="shared" si="549"/>
        <v>84.948582606912396</v>
      </c>
      <c r="D323" s="451">
        <f t="shared" si="550"/>
        <v>37.5381693930876</v>
      </c>
      <c r="E323" s="474">
        <f t="shared" si="551"/>
        <v>30.64671793492214</v>
      </c>
      <c r="F323" s="450">
        <v>102.209962</v>
      </c>
      <c r="G323" s="451">
        <f t="shared" si="552"/>
        <v>98.499371796263148</v>
      </c>
      <c r="H323" s="451">
        <f t="shared" si="527"/>
        <v>3.7105902037368566</v>
      </c>
      <c r="I323" s="474">
        <f t="shared" si="528"/>
        <v>3.630360613710879</v>
      </c>
      <c r="J323" s="450">
        <v>72.167497999999995</v>
      </c>
      <c r="K323" s="451">
        <f t="shared" si="553"/>
        <v>82.247216403233281</v>
      </c>
      <c r="L323" s="451">
        <f t="shared" si="529"/>
        <v>-10.079718403233286</v>
      </c>
      <c r="M323" s="474">
        <f t="shared" si="530"/>
        <v>-13.967116337098576</v>
      </c>
      <c r="N323" s="450">
        <v>38.127439000000003</v>
      </c>
      <c r="O323" s="451">
        <f t="shared" si="554"/>
        <v>70.536363369559822</v>
      </c>
      <c r="P323" s="451">
        <f t="shared" si="531"/>
        <v>-32.40892436955982</v>
      </c>
      <c r="Q323" s="474">
        <f t="shared" si="532"/>
        <v>-85.001576868459011</v>
      </c>
      <c r="R323" s="450">
        <v>30.887826</v>
      </c>
      <c r="S323" s="451">
        <f t="shared" si="555"/>
        <v>45.3578886376458</v>
      </c>
      <c r="T323" s="451">
        <f t="shared" si="533"/>
        <v>-14.4700626376458</v>
      </c>
      <c r="U323" s="474">
        <f t="shared" si="534"/>
        <v>-46.847138538159982</v>
      </c>
      <c r="V323" s="450">
        <v>14.593556</v>
      </c>
      <c r="W323" s="451">
        <f t="shared" si="556"/>
        <v>25.350933756170193</v>
      </c>
      <c r="X323" s="451">
        <f t="shared" si="535"/>
        <v>-10.757377756170193</v>
      </c>
      <c r="Y323" s="474">
        <f t="shared" si="536"/>
        <v>-73.713204349715681</v>
      </c>
      <c r="Z323" s="450">
        <v>9.5981719999999999</v>
      </c>
      <c r="AA323" s="451">
        <f t="shared" si="557"/>
        <v>21.775653215189532</v>
      </c>
      <c r="AB323" s="451">
        <f t="shared" si="537"/>
        <v>-12.177481215189532</v>
      </c>
      <c r="AC323" s="474">
        <f t="shared" si="538"/>
        <v>-126.87292137700317</v>
      </c>
      <c r="AD323" s="450">
        <v>10.047003</v>
      </c>
      <c r="AE323" s="451">
        <f t="shared" si="558"/>
        <v>0</v>
      </c>
      <c r="AF323" s="451">
        <f t="shared" si="539"/>
        <v>10.047003</v>
      </c>
      <c r="AG323" s="474">
        <f t="shared" si="540"/>
        <v>100</v>
      </c>
      <c r="AH323" s="450"/>
      <c r="AI323" s="451">
        <f t="shared" si="559"/>
        <v>0</v>
      </c>
      <c r="AJ323" s="451">
        <f t="shared" si="541"/>
        <v>0</v>
      </c>
      <c r="AK323" s="474" t="e">
        <f t="shared" si="542"/>
        <v>#DIV/0!</v>
      </c>
      <c r="AL323" s="450"/>
      <c r="AM323" s="451">
        <f t="shared" si="560"/>
        <v>0</v>
      </c>
      <c r="AN323" s="451">
        <f t="shared" si="543"/>
        <v>0</v>
      </c>
      <c r="AO323" s="474" t="e">
        <f t="shared" si="544"/>
        <v>#DIV/0!</v>
      </c>
      <c r="AP323" s="450"/>
      <c r="AQ323" s="451">
        <f t="shared" si="561"/>
        <v>0</v>
      </c>
      <c r="AR323" s="451">
        <f t="shared" si="545"/>
        <v>0</v>
      </c>
      <c r="AS323" s="474" t="e">
        <f t="shared" si="546"/>
        <v>#DIV/0!</v>
      </c>
      <c r="AT323" s="450"/>
      <c r="AU323" s="451">
        <f t="shared" si="562"/>
        <v>0</v>
      </c>
      <c r="AV323" s="451">
        <f t="shared" si="547"/>
        <v>0</v>
      </c>
      <c r="AW323" s="474" t="e">
        <f t="shared" si="548"/>
        <v>#DIV/0!</v>
      </c>
      <c r="AX323" s="1063">
        <f t="shared" si="563"/>
        <v>400.11820799999992</v>
      </c>
      <c r="AY323" s="1063">
        <f t="shared" si="563"/>
        <v>428.71600978497418</v>
      </c>
      <c r="AZ323" s="447">
        <f t="shared" si="564"/>
        <v>-28.597801784974177</v>
      </c>
      <c r="BA323" s="476">
        <f t="shared" si="565"/>
        <v>-7.1473382648395205</v>
      </c>
      <c r="BC323" s="446"/>
      <c r="BD323" s="445">
        <f t="shared" si="566"/>
        <v>10.047003</v>
      </c>
      <c r="BE323" s="446">
        <f t="shared" si="567"/>
        <v>0</v>
      </c>
    </row>
    <row r="324" spans="1:73">
      <c r="A324" s="397" t="s">
        <v>397</v>
      </c>
      <c r="B324" s="450">
        <v>35.227372000000003</v>
      </c>
      <c r="C324" s="451">
        <f t="shared" si="549"/>
        <v>18.050968574680233</v>
      </c>
      <c r="D324" s="451">
        <f t="shared" si="550"/>
        <v>17.176403425319769</v>
      </c>
      <c r="E324" s="474">
        <f t="shared" si="551"/>
        <v>48.75868522159351</v>
      </c>
      <c r="F324" s="450">
        <v>31.318466999999998</v>
      </c>
      <c r="G324" s="451">
        <f t="shared" si="552"/>
        <v>25.112493423257245</v>
      </c>
      <c r="H324" s="451">
        <f t="shared" si="527"/>
        <v>6.2059735767427533</v>
      </c>
      <c r="I324" s="474">
        <f t="shared" si="528"/>
        <v>19.815700355776524</v>
      </c>
      <c r="J324" s="450">
        <v>21.606662</v>
      </c>
      <c r="K324" s="451">
        <f t="shared" si="553"/>
        <v>22.684733046195333</v>
      </c>
      <c r="L324" s="451">
        <f t="shared" si="529"/>
        <v>-1.0780710461953333</v>
      </c>
      <c r="M324" s="474">
        <f t="shared" si="530"/>
        <v>-4.9895307576678585</v>
      </c>
      <c r="N324" s="450">
        <v>11.74066</v>
      </c>
      <c r="O324" s="451">
        <f t="shared" si="554"/>
        <v>21.809547216460928</v>
      </c>
      <c r="P324" s="451">
        <f t="shared" si="531"/>
        <v>-10.068887216460928</v>
      </c>
      <c r="Q324" s="474">
        <f t="shared" si="532"/>
        <v>-85.760827896054622</v>
      </c>
      <c r="R324" s="450">
        <v>8.1979544337221633</v>
      </c>
      <c r="S324" s="451">
        <f t="shared" si="555"/>
        <v>13.1857389520355</v>
      </c>
      <c r="T324" s="451">
        <f t="shared" si="533"/>
        <v>-4.9877845183133367</v>
      </c>
      <c r="U324" s="474">
        <f t="shared" si="534"/>
        <v>-60.841818024703329</v>
      </c>
      <c r="V324" s="450">
        <v>6.2754082838983054</v>
      </c>
      <c r="W324" s="451">
        <f t="shared" si="556"/>
        <v>10.164673610196042</v>
      </c>
      <c r="X324" s="451">
        <f t="shared" si="535"/>
        <v>-3.8892653262977364</v>
      </c>
      <c r="Y324" s="474">
        <f t="shared" si="536"/>
        <v>-61.976291427554905</v>
      </c>
      <c r="Z324" s="450">
        <v>5.1818059999999999</v>
      </c>
      <c r="AA324" s="451">
        <f t="shared" si="557"/>
        <v>8.5988056979319349</v>
      </c>
      <c r="AB324" s="451">
        <f t="shared" si="537"/>
        <v>-3.416999697931935</v>
      </c>
      <c r="AC324" s="474">
        <f t="shared" si="538"/>
        <v>-65.942254455916242</v>
      </c>
      <c r="AD324" s="450">
        <v>5.0952259197465688</v>
      </c>
      <c r="AE324" s="451">
        <f t="shared" si="558"/>
        <v>0</v>
      </c>
      <c r="AF324" s="451">
        <f t="shared" si="539"/>
        <v>5.0952259197465688</v>
      </c>
      <c r="AG324" s="474">
        <f t="shared" si="540"/>
        <v>100</v>
      </c>
      <c r="AH324" s="450"/>
      <c r="AI324" s="451">
        <f t="shared" si="559"/>
        <v>0</v>
      </c>
      <c r="AJ324" s="451">
        <f t="shared" si="541"/>
        <v>0</v>
      </c>
      <c r="AK324" s="474" t="e">
        <f t="shared" si="542"/>
        <v>#DIV/0!</v>
      </c>
      <c r="AL324" s="450"/>
      <c r="AM324" s="451">
        <f t="shared" si="560"/>
        <v>0</v>
      </c>
      <c r="AN324" s="451">
        <f t="shared" si="543"/>
        <v>0</v>
      </c>
      <c r="AO324" s="474" t="e">
        <f t="shared" si="544"/>
        <v>#DIV/0!</v>
      </c>
      <c r="AP324" s="450"/>
      <c r="AQ324" s="451">
        <f t="shared" si="561"/>
        <v>0</v>
      </c>
      <c r="AR324" s="451">
        <f t="shared" si="545"/>
        <v>0</v>
      </c>
      <c r="AS324" s="474" t="e">
        <f t="shared" si="546"/>
        <v>#DIV/0!</v>
      </c>
      <c r="AT324" s="450"/>
      <c r="AU324" s="451">
        <f t="shared" si="562"/>
        <v>0</v>
      </c>
      <c r="AV324" s="451">
        <f t="shared" si="547"/>
        <v>0</v>
      </c>
      <c r="AW324" s="474" t="e">
        <f t="shared" si="548"/>
        <v>#DIV/0!</v>
      </c>
      <c r="AX324" s="1063">
        <f t="shared" si="563"/>
        <v>124.64355563736703</v>
      </c>
      <c r="AY324" s="1063">
        <f t="shared" si="563"/>
        <v>119.60696052075721</v>
      </c>
      <c r="AZ324" s="447">
        <f t="shared" si="564"/>
        <v>5.0365951166098224</v>
      </c>
      <c r="BA324" s="476">
        <f t="shared" si="565"/>
        <v>4.0407986524895767</v>
      </c>
      <c r="BC324" s="446"/>
      <c r="BD324" s="445">
        <f t="shared" si="566"/>
        <v>5.0952259197465688</v>
      </c>
      <c r="BE324" s="446">
        <f t="shared" si="567"/>
        <v>0</v>
      </c>
    </row>
    <row r="325" spans="1:73">
      <c r="A325" s="397" t="s">
        <v>399</v>
      </c>
      <c r="B325" s="450">
        <v>54.786848490000004</v>
      </c>
      <c r="C325" s="451">
        <f t="shared" si="549"/>
        <v>38.679101075807779</v>
      </c>
      <c r="D325" s="451">
        <f t="shared" si="550"/>
        <v>16.107747414192225</v>
      </c>
      <c r="E325" s="474">
        <f t="shared" si="551"/>
        <v>29.400755579383798</v>
      </c>
      <c r="F325" s="450">
        <v>52.989129409999997</v>
      </c>
      <c r="G325" s="451">
        <f t="shared" si="552"/>
        <v>44.283486535961458</v>
      </c>
      <c r="H325" s="451">
        <f t="shared" si="527"/>
        <v>8.7056428740385385</v>
      </c>
      <c r="I325" s="474">
        <f t="shared" si="528"/>
        <v>16.429110972326388</v>
      </c>
      <c r="J325" s="450">
        <v>39.089609000000003</v>
      </c>
      <c r="K325" s="451">
        <f t="shared" si="553"/>
        <v>35.263961521537915</v>
      </c>
      <c r="L325" s="451">
        <f t="shared" si="529"/>
        <v>3.8256474784620877</v>
      </c>
      <c r="M325" s="474">
        <f t="shared" si="530"/>
        <v>9.7868655541222935</v>
      </c>
      <c r="N325" s="450">
        <v>23.652094999999999</v>
      </c>
      <c r="O325" s="451">
        <f t="shared" si="554"/>
        <v>37.089824104609249</v>
      </c>
      <c r="P325" s="451">
        <f t="shared" si="531"/>
        <v>-13.43772910460925</v>
      </c>
      <c r="Q325" s="474">
        <f t="shared" si="532"/>
        <v>-56.814117754090077</v>
      </c>
      <c r="R325" s="450">
        <v>16.759758000000001</v>
      </c>
      <c r="S325" s="451">
        <f t="shared" si="555"/>
        <v>25.317137882741129</v>
      </c>
      <c r="T325" s="451">
        <f t="shared" si="533"/>
        <v>-8.5573798827411274</v>
      </c>
      <c r="U325" s="474">
        <f t="shared" si="534"/>
        <v>-51.059089771708678</v>
      </c>
      <c r="V325" s="450">
        <v>14.4472</v>
      </c>
      <c r="W325" s="451">
        <f t="shared" si="556"/>
        <v>16.92582894497184</v>
      </c>
      <c r="X325" s="451">
        <f t="shared" si="535"/>
        <v>-2.4786289449718399</v>
      </c>
      <c r="Y325" s="474">
        <f t="shared" si="536"/>
        <v>-17.156465923998006</v>
      </c>
      <c r="Z325" s="450">
        <v>10.25341049</v>
      </c>
      <c r="AA325" s="451">
        <f t="shared" si="557"/>
        <v>15.978215157175775</v>
      </c>
      <c r="AB325" s="451">
        <f t="shared" si="537"/>
        <v>-5.7248046671757749</v>
      </c>
      <c r="AC325" s="474">
        <f t="shared" si="538"/>
        <v>-55.833175437178603</v>
      </c>
      <c r="AD325" s="450">
        <v>12.168951</v>
      </c>
      <c r="AE325" s="451">
        <f t="shared" si="558"/>
        <v>0</v>
      </c>
      <c r="AF325" s="451">
        <f t="shared" si="539"/>
        <v>12.168951</v>
      </c>
      <c r="AG325" s="474">
        <f t="shared" si="540"/>
        <v>100</v>
      </c>
      <c r="AH325" s="450"/>
      <c r="AI325" s="451">
        <f t="shared" si="559"/>
        <v>0</v>
      </c>
      <c r="AJ325" s="451">
        <f t="shared" si="541"/>
        <v>0</v>
      </c>
      <c r="AK325" s="474" t="e">
        <f t="shared" si="542"/>
        <v>#DIV/0!</v>
      </c>
      <c r="AL325" s="450"/>
      <c r="AM325" s="451">
        <f t="shared" si="560"/>
        <v>0</v>
      </c>
      <c r="AN325" s="451">
        <f t="shared" si="543"/>
        <v>0</v>
      </c>
      <c r="AO325" s="474" t="e">
        <f t="shared" si="544"/>
        <v>#DIV/0!</v>
      </c>
      <c r="AP325" s="450"/>
      <c r="AQ325" s="451">
        <f t="shared" si="561"/>
        <v>0</v>
      </c>
      <c r="AR325" s="451">
        <f t="shared" si="545"/>
        <v>0</v>
      </c>
      <c r="AS325" s="474" t="e">
        <f t="shared" si="546"/>
        <v>#DIV/0!</v>
      </c>
      <c r="AT325" s="450"/>
      <c r="AU325" s="451">
        <f t="shared" si="562"/>
        <v>0</v>
      </c>
      <c r="AV325" s="451">
        <f t="shared" si="547"/>
        <v>0</v>
      </c>
      <c r="AW325" s="474" t="e">
        <f t="shared" si="548"/>
        <v>#DIV/0!</v>
      </c>
      <c r="AX325" s="1063">
        <f t="shared" si="563"/>
        <v>224.14700139000001</v>
      </c>
      <c r="AY325" s="1063">
        <f t="shared" si="563"/>
        <v>213.53755522280514</v>
      </c>
      <c r="AZ325" s="447">
        <f t="shared" si="564"/>
        <v>10.609446167194859</v>
      </c>
      <c r="BA325" s="476">
        <f t="shared" si="565"/>
        <v>4.733253668977337</v>
      </c>
      <c r="BC325" s="446"/>
      <c r="BD325" s="445">
        <f t="shared" si="566"/>
        <v>12.168951</v>
      </c>
      <c r="BE325" s="446">
        <f t="shared" si="567"/>
        <v>0</v>
      </c>
    </row>
    <row r="326" spans="1:73">
      <c r="A326" s="397" t="s">
        <v>883</v>
      </c>
      <c r="B326" s="450">
        <v>45.206068000000002</v>
      </c>
      <c r="C326" s="451">
        <f t="shared" si="549"/>
        <v>30.596020643497877</v>
      </c>
      <c r="D326" s="451">
        <f t="shared" si="550"/>
        <v>14.610047356502125</v>
      </c>
      <c r="E326" s="474">
        <f t="shared" si="551"/>
        <v>32.318774896551773</v>
      </c>
      <c r="F326" s="450">
        <v>37.046179000000002</v>
      </c>
      <c r="G326" s="451">
        <f t="shared" si="552"/>
        <v>36.147474601327282</v>
      </c>
      <c r="H326" s="451">
        <f t="shared" si="527"/>
        <v>0.89870439867272012</v>
      </c>
      <c r="I326" s="474">
        <f t="shared" si="528"/>
        <v>2.4259030834805397</v>
      </c>
      <c r="J326" s="450">
        <v>22.429783</v>
      </c>
      <c r="K326" s="451">
        <f t="shared" si="553"/>
        <v>24.411934358017625</v>
      </c>
      <c r="L326" s="451">
        <f t="shared" si="529"/>
        <v>-1.9821513580176244</v>
      </c>
      <c r="M326" s="474">
        <f t="shared" si="530"/>
        <v>-8.837140145393402</v>
      </c>
      <c r="N326" s="450">
        <v>11.629514</v>
      </c>
      <c r="O326" s="451">
        <f t="shared" si="554"/>
        <v>27.877223291462116</v>
      </c>
      <c r="P326" s="451">
        <f t="shared" si="531"/>
        <v>-16.247709291462115</v>
      </c>
      <c r="Q326" s="474">
        <f t="shared" si="532"/>
        <v>-139.71099128873414</v>
      </c>
      <c r="R326" s="450">
        <v>8.2188630000000007</v>
      </c>
      <c r="S326" s="451">
        <f t="shared" si="555"/>
        <v>15.021289682375741</v>
      </c>
      <c r="T326" s="451">
        <f t="shared" si="533"/>
        <v>-6.8024266823757404</v>
      </c>
      <c r="U326" s="474">
        <f t="shared" si="534"/>
        <v>-82.766030804695731</v>
      </c>
      <c r="V326" s="450">
        <v>5.992407</v>
      </c>
      <c r="W326" s="451">
        <f t="shared" si="556"/>
        <v>7.6364268888136992</v>
      </c>
      <c r="X326" s="451">
        <f t="shared" si="535"/>
        <v>-1.6440198888136992</v>
      </c>
      <c r="Y326" s="474">
        <f t="shared" si="536"/>
        <v>-27.435050536682493</v>
      </c>
      <c r="Z326" s="450">
        <v>4.3338580000000002</v>
      </c>
      <c r="AA326" s="451">
        <f t="shared" si="557"/>
        <v>7.2141653492756408</v>
      </c>
      <c r="AB326" s="451">
        <f t="shared" si="537"/>
        <v>-2.8803073492756406</v>
      </c>
      <c r="AC326" s="474">
        <f t="shared" si="538"/>
        <v>-66.460584294077947</v>
      </c>
      <c r="AD326" s="450">
        <v>4.3210660000000001</v>
      </c>
      <c r="AE326" s="451">
        <f t="shared" si="558"/>
        <v>0</v>
      </c>
      <c r="AF326" s="451">
        <f t="shared" si="539"/>
        <v>4.3210660000000001</v>
      </c>
      <c r="AG326" s="474">
        <f t="shared" si="540"/>
        <v>100</v>
      </c>
      <c r="AH326" s="450"/>
      <c r="AI326" s="451">
        <f t="shared" si="559"/>
        <v>0</v>
      </c>
      <c r="AJ326" s="451">
        <f t="shared" si="541"/>
        <v>0</v>
      </c>
      <c r="AK326" s="474" t="e">
        <f t="shared" si="542"/>
        <v>#DIV/0!</v>
      </c>
      <c r="AL326" s="450"/>
      <c r="AM326" s="451">
        <f t="shared" si="560"/>
        <v>0</v>
      </c>
      <c r="AN326" s="451">
        <f t="shared" si="543"/>
        <v>0</v>
      </c>
      <c r="AO326" s="474" t="e">
        <f t="shared" si="544"/>
        <v>#DIV/0!</v>
      </c>
      <c r="AP326" s="450"/>
      <c r="AQ326" s="451">
        <f t="shared" si="561"/>
        <v>0</v>
      </c>
      <c r="AR326" s="451">
        <f t="shared" si="545"/>
        <v>0</v>
      </c>
      <c r="AS326" s="474" t="e">
        <f t="shared" si="546"/>
        <v>#DIV/0!</v>
      </c>
      <c r="AT326" s="450"/>
      <c r="AU326" s="451">
        <f t="shared" si="562"/>
        <v>0</v>
      </c>
      <c r="AV326" s="451">
        <f t="shared" si="547"/>
        <v>0</v>
      </c>
      <c r="AW326" s="474" t="e">
        <f t="shared" si="548"/>
        <v>#DIV/0!</v>
      </c>
      <c r="AX326" s="1063">
        <f t="shared" si="563"/>
        <v>139.17773800000001</v>
      </c>
      <c r="AY326" s="1063">
        <f t="shared" si="563"/>
        <v>148.90453481476999</v>
      </c>
      <c r="AZ326" s="447">
        <f t="shared" si="564"/>
        <v>-9.7267968147699744</v>
      </c>
      <c r="BA326" s="476">
        <f t="shared" si="565"/>
        <v>-6.9887590893092213</v>
      </c>
      <c r="BC326" s="446"/>
      <c r="BD326" s="445">
        <f t="shared" si="566"/>
        <v>4.3210660000000001</v>
      </c>
      <c r="BE326" s="446">
        <f t="shared" si="567"/>
        <v>0</v>
      </c>
    </row>
    <row r="327" spans="1:73">
      <c r="A327" s="397" t="s">
        <v>884</v>
      </c>
      <c r="B327" s="450">
        <v>46.336384000000002</v>
      </c>
      <c r="C327" s="451">
        <f t="shared" si="549"/>
        <v>29.468660646925525</v>
      </c>
      <c r="D327" s="451">
        <f t="shared" si="550"/>
        <v>16.867723353074478</v>
      </c>
      <c r="E327" s="474">
        <f t="shared" si="551"/>
        <v>36.402761495317534</v>
      </c>
      <c r="F327" s="450">
        <v>37.746195999999998</v>
      </c>
      <c r="G327" s="451">
        <f t="shared" si="552"/>
        <v>35.47805547933752</v>
      </c>
      <c r="H327" s="451">
        <f t="shared" si="527"/>
        <v>2.2681405206624774</v>
      </c>
      <c r="I327" s="474">
        <f t="shared" si="528"/>
        <v>6.008924768637554</v>
      </c>
      <c r="J327" s="450">
        <v>24.424112999999998</v>
      </c>
      <c r="K327" s="451">
        <f t="shared" si="553"/>
        <v>23.673641863172861</v>
      </c>
      <c r="L327" s="451">
        <f t="shared" si="529"/>
        <v>0.75047113682713729</v>
      </c>
      <c r="M327" s="474">
        <f t="shared" si="530"/>
        <v>3.0726648571726529</v>
      </c>
      <c r="N327" s="450">
        <v>11.448874999999999</v>
      </c>
      <c r="O327" s="451">
        <f t="shared" si="554"/>
        <v>32.121451611108931</v>
      </c>
      <c r="P327" s="451">
        <f t="shared" si="531"/>
        <v>-20.67257661110893</v>
      </c>
      <c r="Q327" s="474">
        <f t="shared" si="532"/>
        <v>-180.56426165111358</v>
      </c>
      <c r="R327" s="450">
        <v>8.9857879999999994</v>
      </c>
      <c r="S327" s="451">
        <f t="shared" si="555"/>
        <v>17.088347064304116</v>
      </c>
      <c r="T327" s="451">
        <f t="shared" si="533"/>
        <v>-8.102559064304117</v>
      </c>
      <c r="U327" s="474">
        <f t="shared" si="534"/>
        <v>-90.170823797580326</v>
      </c>
      <c r="V327" s="450">
        <v>8.0411470000000005</v>
      </c>
      <c r="W327" s="451">
        <f t="shared" si="556"/>
        <v>7.7996611583828486</v>
      </c>
      <c r="X327" s="451">
        <f t="shared" si="535"/>
        <v>0.24148584161715192</v>
      </c>
      <c r="Y327" s="474">
        <f t="shared" si="536"/>
        <v>3.0031268128433908</v>
      </c>
      <c r="Z327" s="450">
        <v>6.9049440000000004</v>
      </c>
      <c r="AA327" s="451">
        <f t="shared" si="557"/>
        <v>11.159266312153607</v>
      </c>
      <c r="AB327" s="451">
        <f t="shared" si="537"/>
        <v>-4.2543223121536062</v>
      </c>
      <c r="AC327" s="474">
        <f t="shared" si="538"/>
        <v>-61.612698265961406</v>
      </c>
      <c r="AD327" s="450">
        <v>6.2863499999999997</v>
      </c>
      <c r="AE327" s="451">
        <f t="shared" si="558"/>
        <v>0</v>
      </c>
      <c r="AF327" s="451">
        <f t="shared" si="539"/>
        <v>6.2863499999999997</v>
      </c>
      <c r="AG327" s="474">
        <f t="shared" si="540"/>
        <v>100</v>
      </c>
      <c r="AH327" s="450"/>
      <c r="AI327" s="451">
        <f t="shared" si="559"/>
        <v>0</v>
      </c>
      <c r="AJ327" s="451">
        <f t="shared" si="541"/>
        <v>0</v>
      </c>
      <c r="AK327" s="474" t="e">
        <f t="shared" si="542"/>
        <v>#DIV/0!</v>
      </c>
      <c r="AL327" s="450"/>
      <c r="AM327" s="451">
        <f t="shared" si="560"/>
        <v>0</v>
      </c>
      <c r="AN327" s="451">
        <f t="shared" si="543"/>
        <v>0</v>
      </c>
      <c r="AO327" s="474" t="e">
        <f t="shared" si="544"/>
        <v>#DIV/0!</v>
      </c>
      <c r="AP327" s="450"/>
      <c r="AQ327" s="451">
        <f t="shared" si="561"/>
        <v>0</v>
      </c>
      <c r="AR327" s="451">
        <f t="shared" si="545"/>
        <v>0</v>
      </c>
      <c r="AS327" s="474" t="e">
        <f t="shared" si="546"/>
        <v>#DIV/0!</v>
      </c>
      <c r="AT327" s="450"/>
      <c r="AU327" s="451">
        <f t="shared" si="562"/>
        <v>0</v>
      </c>
      <c r="AV327" s="451">
        <f t="shared" si="547"/>
        <v>0</v>
      </c>
      <c r="AW327" s="474" t="e">
        <f t="shared" si="548"/>
        <v>#DIV/0!</v>
      </c>
      <c r="AX327" s="1063">
        <f t="shared" si="563"/>
        <v>150.17379700000001</v>
      </c>
      <c r="AY327" s="1063">
        <f t="shared" si="563"/>
        <v>156.78908413538542</v>
      </c>
      <c r="AZ327" s="447">
        <f t="shared" si="564"/>
        <v>-6.615287135385409</v>
      </c>
      <c r="BA327" s="1898">
        <f t="shared" si="565"/>
        <v>-4.4050874836609539</v>
      </c>
      <c r="BC327" s="446"/>
      <c r="BD327" s="445">
        <f t="shared" si="566"/>
        <v>6.2863499999999997</v>
      </c>
      <c r="BE327" s="446">
        <f t="shared" si="567"/>
        <v>0</v>
      </c>
    </row>
    <row r="328" spans="1:73" ht="14.4" thickBot="1">
      <c r="A328" s="397" t="s">
        <v>885</v>
      </c>
      <c r="B328" s="450">
        <v>29.497996000000001</v>
      </c>
      <c r="C328" s="451">
        <f t="shared" si="549"/>
        <v>19.196696528381526</v>
      </c>
      <c r="D328" s="451">
        <f t="shared" si="550"/>
        <v>10.301299471618474</v>
      </c>
      <c r="E328" s="474">
        <f t="shared" si="551"/>
        <v>34.922031556375813</v>
      </c>
      <c r="F328" s="450">
        <v>22.994225</v>
      </c>
      <c r="G328" s="451">
        <f>+H283+I283</f>
        <v>23.566835683753308</v>
      </c>
      <c r="H328" s="451">
        <f t="shared" si="527"/>
        <v>-0.57261068375330737</v>
      </c>
      <c r="I328" s="474">
        <f t="shared" si="528"/>
        <v>-2.4902369345055435</v>
      </c>
      <c r="J328" s="450">
        <v>19.765539</v>
      </c>
      <c r="K328" s="451">
        <f t="shared" si="553"/>
        <v>17.026704553188537</v>
      </c>
      <c r="L328" s="451">
        <f t="shared" si="529"/>
        <v>2.7388344468114632</v>
      </c>
      <c r="M328" s="474">
        <f t="shared" si="530"/>
        <v>13.856614012961968</v>
      </c>
      <c r="N328" s="450">
        <v>8.7700359999999993</v>
      </c>
      <c r="O328" s="451">
        <f t="shared" si="554"/>
        <v>20.636436272477276</v>
      </c>
      <c r="P328" s="451">
        <f t="shared" si="531"/>
        <v>-11.866400272477277</v>
      </c>
      <c r="Q328" s="474">
        <f t="shared" si="532"/>
        <v>-135.30617516823509</v>
      </c>
      <c r="R328" s="450">
        <v>6.3192139999999997</v>
      </c>
      <c r="S328" s="451">
        <f t="shared" si="555"/>
        <v>12.445174027780384</v>
      </c>
      <c r="T328" s="451">
        <f t="shared" si="533"/>
        <v>-6.1259600277803843</v>
      </c>
      <c r="U328" s="474">
        <f t="shared" si="534"/>
        <v>-96.941803644889774</v>
      </c>
      <c r="V328" s="450">
        <v>3.5016150000000001</v>
      </c>
      <c r="W328" s="451">
        <f t="shared" si="556"/>
        <v>5.3066468115682586</v>
      </c>
      <c r="X328" s="451">
        <f t="shared" si="535"/>
        <v>-1.8050318115682584</v>
      </c>
      <c r="Y328" s="474">
        <f t="shared" si="536"/>
        <v>-51.54855149890146</v>
      </c>
      <c r="Z328" s="450">
        <v>1.862301</v>
      </c>
      <c r="AA328" s="451">
        <f t="shared" si="557"/>
        <v>5.5803232829015545</v>
      </c>
      <c r="AB328" s="451">
        <f t="shared" si="537"/>
        <v>-3.7180222829015546</v>
      </c>
      <c r="AC328" s="474">
        <f t="shared" si="538"/>
        <v>-199.646688848986</v>
      </c>
      <c r="AD328" s="450">
        <v>1.9759009999999999</v>
      </c>
      <c r="AE328" s="451">
        <f t="shared" si="558"/>
        <v>0</v>
      </c>
      <c r="AF328" s="451">
        <f t="shared" si="539"/>
        <v>1.9759009999999999</v>
      </c>
      <c r="AG328" s="474">
        <f t="shared" si="540"/>
        <v>100</v>
      </c>
      <c r="AH328" s="450"/>
      <c r="AI328" s="451">
        <f t="shared" si="559"/>
        <v>0</v>
      </c>
      <c r="AJ328" s="451">
        <f t="shared" si="541"/>
        <v>0</v>
      </c>
      <c r="AK328" s="474" t="e">
        <f t="shared" si="542"/>
        <v>#DIV/0!</v>
      </c>
      <c r="AL328" s="450"/>
      <c r="AM328" s="451">
        <f t="shared" si="560"/>
        <v>0</v>
      </c>
      <c r="AN328" s="451">
        <f t="shared" si="543"/>
        <v>0</v>
      </c>
      <c r="AO328" s="474" t="e">
        <f t="shared" si="544"/>
        <v>#DIV/0!</v>
      </c>
      <c r="AP328" s="450"/>
      <c r="AQ328" s="451">
        <f>AR283+AS283</f>
        <v>0</v>
      </c>
      <c r="AR328" s="451">
        <f t="shared" si="545"/>
        <v>0</v>
      </c>
      <c r="AS328" s="474" t="e">
        <f t="shared" si="546"/>
        <v>#DIV/0!</v>
      </c>
      <c r="AT328" s="450"/>
      <c r="AU328" s="451">
        <f t="shared" si="562"/>
        <v>0</v>
      </c>
      <c r="AV328" s="451">
        <f t="shared" si="547"/>
        <v>0</v>
      </c>
      <c r="AW328" s="474" t="e">
        <f t="shared" si="548"/>
        <v>#DIV/0!</v>
      </c>
      <c r="AX328" s="1063">
        <f t="shared" si="563"/>
        <v>94.686827000000008</v>
      </c>
      <c r="AY328" s="1063">
        <f t="shared" si="563"/>
        <v>103.75881716005084</v>
      </c>
      <c r="AZ328" s="447">
        <f t="shared" si="564"/>
        <v>-9.0719901600508432</v>
      </c>
      <c r="BA328" s="476">
        <f t="shared" si="565"/>
        <v>-9.5810478051512291</v>
      </c>
      <c r="BC328" s="446"/>
      <c r="BD328" s="445">
        <f t="shared" si="566"/>
        <v>1.9759009999999999</v>
      </c>
      <c r="BE328" s="446">
        <f t="shared" si="567"/>
        <v>0</v>
      </c>
    </row>
    <row r="329" spans="1:73" ht="14.4" thickBot="1">
      <c r="A329" s="433" t="s">
        <v>16</v>
      </c>
      <c r="B329" s="468">
        <f>SUM(B319:B328)</f>
        <v>671.00015405999989</v>
      </c>
      <c r="C329" s="477">
        <f>SUM(C319:C328)</f>
        <v>450.71432774262541</v>
      </c>
      <c r="D329" s="477">
        <f t="shared" si="550"/>
        <v>220.28582631737447</v>
      </c>
      <c r="E329" s="1376">
        <f t="shared" si="551"/>
        <v>32.829474775005316</v>
      </c>
      <c r="F329" s="468">
        <f>SUM(F319:F328)</f>
        <v>573.52825170993503</v>
      </c>
      <c r="G329" s="477">
        <f>SUM(G319:G328)</f>
        <v>531.1079739194837</v>
      </c>
      <c r="H329" s="477">
        <f t="shared" si="527"/>
        <v>42.420277790451337</v>
      </c>
      <c r="I329" s="1376">
        <f t="shared" si="528"/>
        <v>7.3963710879068643</v>
      </c>
      <c r="J329" s="468">
        <f>SUM(J319:J328)</f>
        <v>409.90168099999994</v>
      </c>
      <c r="K329" s="477">
        <f>SUM(K319:K328)</f>
        <v>441.60113983856229</v>
      </c>
      <c r="L329" s="477">
        <f>+J329-K329</f>
        <v>-31.69945883856235</v>
      </c>
      <c r="M329" s="1376">
        <f>+L329/J329*100</f>
        <v>-7.7334298218119173</v>
      </c>
      <c r="N329" s="468">
        <f>SUM(N319:N328)</f>
        <v>214.213751</v>
      </c>
      <c r="O329" s="477">
        <f>SUM(O319:O328)</f>
        <v>442.60003281853625</v>
      </c>
      <c r="P329" s="477">
        <f>+N329-O329</f>
        <v>-228.38628181853625</v>
      </c>
      <c r="Q329" s="1376">
        <f>+P329/N329*100</f>
        <v>-106.61606958114291</v>
      </c>
      <c r="R329" s="468">
        <f>SUM(R319:R328)</f>
        <v>160.52601680665947</v>
      </c>
      <c r="S329" s="477">
        <f>SUM(S319:S328)</f>
        <v>263.98692489195537</v>
      </c>
      <c r="T329" s="477">
        <f>+R329-S329</f>
        <v>-103.4609080852959</v>
      </c>
      <c r="U329" s="2043">
        <f t="shared" si="534"/>
        <v>-64.451177537100506</v>
      </c>
      <c r="V329" s="468">
        <f>SUM(V319:V328)</f>
        <v>105.40358069936033</v>
      </c>
      <c r="W329" s="477">
        <f>SUM(W319:W328)</f>
        <v>149.58439355528628</v>
      </c>
      <c r="X329" s="477">
        <f>+V329-W329</f>
        <v>-44.18081285592595</v>
      </c>
      <c r="Y329" s="457">
        <f>+X329/V329*100</f>
        <v>-41.915855763896332</v>
      </c>
      <c r="Z329" s="468">
        <f>SUM(Z319:Z328)</f>
        <v>71.645101490000002</v>
      </c>
      <c r="AA329" s="477">
        <f>SUM(AA319:AA328)</f>
        <v>141.95200575417329</v>
      </c>
      <c r="AB329" s="477">
        <f>+Z329-AA329</f>
        <v>-70.306904264173284</v>
      </c>
      <c r="AC329" s="457">
        <f>+AB329/Z329*100</f>
        <v>-98.132186014121984</v>
      </c>
      <c r="AD329" s="458">
        <f>SUM(AD319:AD328)</f>
        <v>75.441516595957438</v>
      </c>
      <c r="AE329" s="477">
        <f>SUM(AE319:AE328)</f>
        <v>0</v>
      </c>
      <c r="AF329" s="477">
        <f>+AD329-AE329</f>
        <v>75.441516595957438</v>
      </c>
      <c r="AG329" s="457">
        <f>+AF329/AD329*100</f>
        <v>100</v>
      </c>
      <c r="AH329" s="477">
        <f>SUM(AH319:AH328)</f>
        <v>0</v>
      </c>
      <c r="AI329" s="477">
        <f>SUM(AI319:AI328)</f>
        <v>0</v>
      </c>
      <c r="AJ329" s="477">
        <f>+AH329-AI329</f>
        <v>0</v>
      </c>
      <c r="AK329" s="457" t="e">
        <f>+AJ329/AH329*100</f>
        <v>#DIV/0!</v>
      </c>
      <c r="AL329" s="458">
        <f>SUM(AL319:AL328)</f>
        <v>0</v>
      </c>
      <c r="AM329" s="477">
        <f>SUM(AM319:AM328)</f>
        <v>0</v>
      </c>
      <c r="AN329" s="477">
        <f>+AL329-AM329</f>
        <v>0</v>
      </c>
      <c r="AO329" s="457" t="e">
        <f>+AN329/AL329*100</f>
        <v>#DIV/0!</v>
      </c>
      <c r="AP329" s="458">
        <f>SUM(AP319:AP328)</f>
        <v>0</v>
      </c>
      <c r="AQ329" s="477">
        <f>SUM(AQ319:AQ328)</f>
        <v>0</v>
      </c>
      <c r="AR329" s="477">
        <f>+AP329-AQ329</f>
        <v>0</v>
      </c>
      <c r="AS329" s="457" t="e">
        <f>+AR329/AP329*100</f>
        <v>#DIV/0!</v>
      </c>
      <c r="AT329" s="458">
        <f>SUM(AT319:AT328)</f>
        <v>0</v>
      </c>
      <c r="AU329" s="477">
        <f>SUM(AU319:AU328)</f>
        <v>0</v>
      </c>
      <c r="AV329" s="477">
        <f>+AT329-AU329</f>
        <v>0</v>
      </c>
      <c r="AW329" s="457" t="e">
        <f>+AV329/AT329*100</f>
        <v>#DIV/0!</v>
      </c>
      <c r="AX329" s="1048">
        <f>SUM(AX319:AX328)</f>
        <v>2281.6600533619121</v>
      </c>
      <c r="AY329" s="646">
        <f>SUM(AY319:AY328)</f>
        <v>2421.5467985206228</v>
      </c>
      <c r="AZ329" s="478">
        <f>+AX329-AY329</f>
        <v>-139.88674515871071</v>
      </c>
      <c r="BA329" s="1459">
        <f>+AZ329/AX329*100</f>
        <v>-6.1309196763380491</v>
      </c>
      <c r="BD329" s="445">
        <f t="shared" si="566"/>
        <v>75.441516595957438</v>
      </c>
      <c r="BE329" s="446">
        <f t="shared" si="567"/>
        <v>0</v>
      </c>
    </row>
    <row r="330" spans="1:73">
      <c r="N330" s="395"/>
      <c r="O330" s="395"/>
      <c r="P330" s="395">
        <f>P329/9.28</f>
        <v>-24.610590713204338</v>
      </c>
      <c r="Q330" s="395"/>
      <c r="AC330" s="445">
        <f>Z329+AD329+AH329</f>
        <v>147.08661808595744</v>
      </c>
      <c r="AH330" s="1243">
        <f>AH329+AD329+Z329</f>
        <v>147.08661808595744</v>
      </c>
      <c r="AI330" s="1243">
        <f>AI329+AE329+AA329</f>
        <v>141.95200575417329</v>
      </c>
      <c r="AJ330" s="1243">
        <f>AJ329+AF329+AB329</f>
        <v>5.1346123317841545</v>
      </c>
      <c r="AT330" s="446"/>
      <c r="AU330" s="446"/>
      <c r="AZ330" s="117">
        <f>AZ329/9.28</f>
        <v>-15.074002711067966</v>
      </c>
    </row>
    <row r="331" spans="1:73" ht="18.600000000000001" thickBot="1">
      <c r="A331" s="394" t="str">
        <f>A285</f>
        <v>2024 cumul</v>
      </c>
      <c r="U331" s="117">
        <v>1095.3764289999999</v>
      </c>
      <c r="V331" s="445">
        <f>V329+R329+N329</f>
        <v>480.14334850601983</v>
      </c>
      <c r="W331" s="117">
        <f>+(W336-W321)/W321</f>
        <v>7.1694238259177562E-2</v>
      </c>
      <c r="AX331" s="470">
        <v>574.49489100000005</v>
      </c>
    </row>
    <row r="332" spans="1:73">
      <c r="A332" s="2815" t="str">
        <f>A317</f>
        <v>DD</v>
      </c>
      <c r="B332" s="2827" t="s">
        <v>71</v>
      </c>
      <c r="C332" s="2828"/>
      <c r="D332" s="2828"/>
      <c r="E332" s="3091"/>
      <c r="F332" s="2829" t="s">
        <v>72</v>
      </c>
      <c r="G332" s="2830"/>
      <c r="H332" s="2830"/>
      <c r="I332" s="3095"/>
      <c r="J332" s="2817" t="s">
        <v>73</v>
      </c>
      <c r="K332" s="2818"/>
      <c r="L332" s="2818"/>
      <c r="M332" s="3094"/>
      <c r="N332" s="2819" t="s">
        <v>74</v>
      </c>
      <c r="O332" s="2820"/>
      <c r="P332" s="2820"/>
      <c r="Q332" s="3090"/>
      <c r="R332" s="2821" t="s">
        <v>75</v>
      </c>
      <c r="S332" s="2822"/>
      <c r="T332" s="2822"/>
      <c r="U332" s="3093"/>
      <c r="V332" s="2823" t="s">
        <v>76</v>
      </c>
      <c r="W332" s="2824"/>
      <c r="X332" s="2824"/>
      <c r="Y332" s="3089"/>
      <c r="Z332" s="2827" t="s">
        <v>77</v>
      </c>
      <c r="AA332" s="2828"/>
      <c r="AB332" s="2828"/>
      <c r="AC332" s="3091"/>
      <c r="AD332" s="2829" t="s">
        <v>78</v>
      </c>
      <c r="AE332" s="2830"/>
      <c r="AF332" s="2830"/>
      <c r="AG332" s="3095"/>
      <c r="AH332" s="2817" t="s">
        <v>79</v>
      </c>
      <c r="AI332" s="2818"/>
      <c r="AJ332" s="2818"/>
      <c r="AK332" s="3094"/>
      <c r="AL332" s="2819" t="s">
        <v>80</v>
      </c>
      <c r="AM332" s="2820"/>
      <c r="AN332" s="2820"/>
      <c r="AO332" s="3090"/>
      <c r="AP332" s="2821" t="s">
        <v>81</v>
      </c>
      <c r="AQ332" s="2822"/>
      <c r="AR332" s="2822"/>
      <c r="AS332" s="3093"/>
      <c r="AT332" s="2823" t="s">
        <v>82</v>
      </c>
      <c r="AU332" s="2824"/>
      <c r="AV332" s="2824"/>
      <c r="AW332" s="3089"/>
      <c r="AX332" s="2825" t="s">
        <v>83</v>
      </c>
      <c r="AY332" s="2826"/>
      <c r="AZ332" s="2826"/>
      <c r="BA332" s="3088"/>
      <c r="BB332" s="473"/>
      <c r="BC332" s="430"/>
      <c r="BD332" s="430"/>
      <c r="BE332" s="430"/>
      <c r="BF332" s="430"/>
      <c r="BG332" s="430"/>
      <c r="BH332" s="430"/>
      <c r="BI332" s="430"/>
      <c r="BJ332" s="430"/>
      <c r="BK332" s="430"/>
      <c r="BL332" s="430"/>
      <c r="BM332" s="430"/>
      <c r="BR332" s="3112"/>
      <c r="BS332" s="3112"/>
      <c r="BT332" s="3112"/>
      <c r="BU332" s="3112"/>
    </row>
    <row r="333" spans="1:73" ht="14.4" thickBot="1">
      <c r="A333" s="2816"/>
      <c r="B333" s="402" t="s">
        <v>24</v>
      </c>
      <c r="C333" s="403" t="s">
        <v>96</v>
      </c>
      <c r="D333" s="403" t="s">
        <v>97</v>
      </c>
      <c r="E333" s="404" t="s">
        <v>91</v>
      </c>
      <c r="F333" s="402" t="s">
        <v>24</v>
      </c>
      <c r="G333" s="403" t="s">
        <v>96</v>
      </c>
      <c r="H333" s="403" t="s">
        <v>97</v>
      </c>
      <c r="I333" s="404" t="s">
        <v>91</v>
      </c>
      <c r="J333" s="402" t="s">
        <v>24</v>
      </c>
      <c r="K333" s="403" t="s">
        <v>96</v>
      </c>
      <c r="L333" s="403" t="s">
        <v>97</v>
      </c>
      <c r="M333" s="404" t="s">
        <v>91</v>
      </c>
      <c r="N333" s="402" t="s">
        <v>24</v>
      </c>
      <c r="O333" s="403" t="s">
        <v>96</v>
      </c>
      <c r="P333" s="403" t="s">
        <v>97</v>
      </c>
      <c r="Q333" s="404" t="s">
        <v>91</v>
      </c>
      <c r="R333" s="402" t="s">
        <v>24</v>
      </c>
      <c r="S333" s="403" t="s">
        <v>96</v>
      </c>
      <c r="T333" s="403" t="s">
        <v>97</v>
      </c>
      <c r="U333" s="404" t="s">
        <v>91</v>
      </c>
      <c r="V333" s="402" t="s">
        <v>24</v>
      </c>
      <c r="W333" s="403" t="s">
        <v>96</v>
      </c>
      <c r="X333" s="403" t="s">
        <v>97</v>
      </c>
      <c r="Y333" s="404" t="s">
        <v>91</v>
      </c>
      <c r="Z333" s="402" t="s">
        <v>24</v>
      </c>
      <c r="AA333" s="403" t="s">
        <v>96</v>
      </c>
      <c r="AB333" s="403" t="s">
        <v>97</v>
      </c>
      <c r="AC333" s="404" t="s">
        <v>91</v>
      </c>
      <c r="AD333" s="1062" t="s">
        <v>24</v>
      </c>
      <c r="AE333" s="403" t="s">
        <v>96</v>
      </c>
      <c r="AF333" s="403" t="s">
        <v>97</v>
      </c>
      <c r="AG333" s="404" t="s">
        <v>91</v>
      </c>
      <c r="AH333" s="402" t="s">
        <v>24</v>
      </c>
      <c r="AI333" s="403" t="s">
        <v>96</v>
      </c>
      <c r="AJ333" s="403" t="s">
        <v>97</v>
      </c>
      <c r="AK333" s="404" t="s">
        <v>91</v>
      </c>
      <c r="AL333" s="402" t="s">
        <v>24</v>
      </c>
      <c r="AM333" s="403" t="s">
        <v>96</v>
      </c>
      <c r="AN333" s="403" t="s">
        <v>97</v>
      </c>
      <c r="AO333" s="404" t="s">
        <v>91</v>
      </c>
      <c r="AP333" s="402" t="s">
        <v>24</v>
      </c>
      <c r="AQ333" s="403" t="s">
        <v>96</v>
      </c>
      <c r="AR333" s="403" t="s">
        <v>97</v>
      </c>
      <c r="AS333" s="404" t="s">
        <v>91</v>
      </c>
      <c r="AT333" s="402" t="s">
        <v>24</v>
      </c>
      <c r="AU333" s="403" t="s">
        <v>96</v>
      </c>
      <c r="AV333" s="403" t="s">
        <v>97</v>
      </c>
      <c r="AW333" s="404" t="s">
        <v>91</v>
      </c>
      <c r="AX333" s="1057" t="s">
        <v>24</v>
      </c>
      <c r="AY333" s="403" t="s">
        <v>96</v>
      </c>
      <c r="AZ333" s="403" t="s">
        <v>97</v>
      </c>
      <c r="BA333" s="431" t="s">
        <v>91</v>
      </c>
      <c r="BB333" s="473"/>
      <c r="BD333" s="117" t="s">
        <v>178</v>
      </c>
      <c r="BE333" s="117" t="s">
        <v>180</v>
      </c>
      <c r="BF333" s="430"/>
      <c r="BG333" s="430"/>
    </row>
    <row r="334" spans="1:73" ht="14.4">
      <c r="A334" s="397" t="s">
        <v>6</v>
      </c>
      <c r="B334" s="479">
        <v>72.466249000000005</v>
      </c>
      <c r="C334" s="451">
        <f>+D302+E302</f>
        <v>52.433691462120855</v>
      </c>
      <c r="D334" s="451">
        <f t="shared" ref="D334:D343" si="568">+B334-C334</f>
        <v>20.03255753787915</v>
      </c>
      <c r="E334" s="474">
        <f t="shared" ref="E334:E343" si="569">+D334/B334*100</f>
        <v>27.643982977343217</v>
      </c>
      <c r="F334" s="450">
        <v>65.829112244210521</v>
      </c>
      <c r="G334" s="451">
        <f>H302+I302</f>
        <v>64.272428445493347</v>
      </c>
      <c r="H334" s="451">
        <f t="shared" ref="H334:H344" si="570">+F334-G334</f>
        <v>1.5566837987171738</v>
      </c>
      <c r="I334" s="474">
        <f t="shared" ref="I334:I343" si="571">+H334/F334*100</f>
        <v>2.3647346069961315</v>
      </c>
      <c r="J334" s="479">
        <v>52.864327367755536</v>
      </c>
      <c r="K334" s="451">
        <f>L302+M302</f>
        <v>54.468138464905962</v>
      </c>
      <c r="L334" s="451">
        <f t="shared" ref="L334:L343" si="572">+J334-K334</f>
        <v>-1.6038110971504267</v>
      </c>
      <c r="M334" s="474">
        <f t="shared" ref="M334:M343" si="573">+L334/J334*100</f>
        <v>-3.0338248437237607</v>
      </c>
      <c r="N334" s="1313">
        <v>28.83437</v>
      </c>
      <c r="O334" s="451">
        <f>P302+Q302</f>
        <v>47.653562293635773</v>
      </c>
      <c r="P334" s="451">
        <f t="shared" ref="P334:P343" si="574">+N334-O334</f>
        <v>-18.819192293635773</v>
      </c>
      <c r="Q334" s="474">
        <f t="shared" ref="Q334:Q343" si="575">+P334/N334*100</f>
        <v>-65.266528429911148</v>
      </c>
      <c r="R334" s="450">
        <v>23.064799100000002</v>
      </c>
      <c r="S334" s="451">
        <f>T302+U302</f>
        <v>34.317664378073275</v>
      </c>
      <c r="T334" s="451">
        <f t="shared" ref="T334:T344" si="576">+R334-S334</f>
        <v>-11.252865278073273</v>
      </c>
      <c r="U334" s="2046">
        <f t="shared" ref="U334:U343" si="577">+T334/R334*100</f>
        <v>-48.788048095650971</v>
      </c>
      <c r="V334" s="450">
        <v>17.213322318947366</v>
      </c>
      <c r="W334" s="451">
        <f>X302+Y302</f>
        <v>24.085447702198017</v>
      </c>
      <c r="X334" s="451">
        <f>+V334-W334</f>
        <v>-6.8721253832506513</v>
      </c>
      <c r="Y334" s="474">
        <f t="shared" ref="Y334:Y343" si="578">+X334/V334*100</f>
        <v>-39.923294619808743</v>
      </c>
      <c r="Z334" s="450">
        <v>19.304061999999998</v>
      </c>
      <c r="AA334" s="451">
        <f>AB302+AC302</f>
        <v>23.917623959119425</v>
      </c>
      <c r="AB334" s="451">
        <f t="shared" ref="AB334:AB343" si="579">+Z334-AA334</f>
        <v>-4.6135619591194263</v>
      </c>
      <c r="AC334" s="474">
        <f t="shared" ref="AC334:AC343" si="580">+AB334/Z334*100</f>
        <v>-23.899436083034892</v>
      </c>
      <c r="AD334" s="450">
        <v>16.482735489051095</v>
      </c>
      <c r="AE334" s="451">
        <f>AF302+AG302</f>
        <v>0</v>
      </c>
      <c r="AF334" s="451">
        <f t="shared" ref="AF334:AF343" si="581">+AD334-AE334</f>
        <v>16.482735489051095</v>
      </c>
      <c r="AG334" s="474">
        <f t="shared" ref="AG334:AG343" si="582">+AF334/AD334*100</f>
        <v>100</v>
      </c>
      <c r="AH334" s="450"/>
      <c r="AI334" s="451">
        <f>AJ302+AK302</f>
        <v>0</v>
      </c>
      <c r="AJ334" s="451">
        <f t="shared" ref="AJ334:AJ343" si="583">+AH334-AI334</f>
        <v>0</v>
      </c>
      <c r="AK334" s="474" t="e">
        <f t="shared" ref="AK334:AK343" si="584">+AJ334/AH334*100</f>
        <v>#DIV/0!</v>
      </c>
      <c r="AL334" s="450"/>
      <c r="AM334" s="451">
        <f>AN302+AO302</f>
        <v>0</v>
      </c>
      <c r="AN334" s="451">
        <f t="shared" ref="AN334:AN343" si="585">+AL334-AM334</f>
        <v>0</v>
      </c>
      <c r="AO334" s="474" t="e">
        <f t="shared" ref="AO334:AO343" si="586">+AN334/AL334*100</f>
        <v>#DIV/0!</v>
      </c>
      <c r="AP334" s="450"/>
      <c r="AQ334" s="451">
        <f>AR302+AS302</f>
        <v>0</v>
      </c>
      <c r="AR334" s="451">
        <f t="shared" ref="AR334:AR343" si="587">+AP334-AQ334</f>
        <v>0</v>
      </c>
      <c r="AS334" s="474" t="e">
        <f t="shared" ref="AS334:AS343" si="588">+AR334/AP334*100</f>
        <v>#DIV/0!</v>
      </c>
      <c r="AT334" s="450"/>
      <c r="AU334" s="451">
        <f>AV302+AW302</f>
        <v>0</v>
      </c>
      <c r="AV334" s="451">
        <f t="shared" ref="AV334:AV343" si="589">+AT334-AU334</f>
        <v>0</v>
      </c>
      <c r="AW334" s="474" t="e">
        <f t="shared" ref="AW334:AW343" si="590">+AV334/AT334*100</f>
        <v>#DIV/0!</v>
      </c>
      <c r="AX334" s="1058">
        <f>+B334+F334+J334+N334+R334+V334+Z334+AD334+AH334+AL334+AP334+AT334</f>
        <v>296.05897751996451</v>
      </c>
      <c r="AY334" s="1098">
        <f>+C334+G334+K334+O334+S334+W334+AA334+AE334+AI334+AM334+AQ334+AU334</f>
        <v>301.14855670554664</v>
      </c>
      <c r="AZ334" s="442">
        <f>+D334+H334+L334+P334+T334+X334+AB334+AF334+AJ334+AN334+AR334+AV334</f>
        <v>-5.0895791855821315</v>
      </c>
      <c r="BA334" s="475">
        <f>+AZ334/AX334*100</f>
        <v>-1.7191098977023656</v>
      </c>
      <c r="BB334" s="473"/>
      <c r="BC334" s="480"/>
      <c r="BD334" s="445">
        <f>AD334</f>
        <v>16.482735489051095</v>
      </c>
      <c r="BE334" s="446">
        <f>AE334</f>
        <v>0</v>
      </c>
      <c r="BF334" s="430"/>
      <c r="BG334" s="430"/>
    </row>
    <row r="335" spans="1:73" ht="14.4">
      <c r="A335" s="397" t="s">
        <v>7</v>
      </c>
      <c r="B335" s="479">
        <v>69.867215000000002</v>
      </c>
      <c r="C335" s="451">
        <f t="shared" ref="C335:C343" si="591">+D303+E303</f>
        <v>59.283203100968592</v>
      </c>
      <c r="D335" s="451">
        <f t="shared" si="568"/>
        <v>10.58401189903141</v>
      </c>
      <c r="E335" s="474">
        <f t="shared" si="569"/>
        <v>15.148753101195474</v>
      </c>
      <c r="F335" s="450">
        <v>67.878167000000005</v>
      </c>
      <c r="G335" s="451">
        <f t="shared" ref="G335:G343" si="592">H303+I303</f>
        <v>62.827466346929143</v>
      </c>
      <c r="H335" s="451">
        <f t="shared" si="570"/>
        <v>5.0507006530708622</v>
      </c>
      <c r="I335" s="474">
        <f t="shared" si="571"/>
        <v>7.4408324153344658</v>
      </c>
      <c r="J335" s="479">
        <v>41.638730000000002</v>
      </c>
      <c r="K335" s="451">
        <f t="shared" ref="K335:K343" si="593">L303+M303</f>
        <v>47.121164545629924</v>
      </c>
      <c r="L335" s="451">
        <f t="shared" si="572"/>
        <v>-5.4824345456299213</v>
      </c>
      <c r="M335" s="474">
        <f t="shared" si="573"/>
        <v>-13.166670899016184</v>
      </c>
      <c r="N335" s="1313">
        <v>26.310272000000001</v>
      </c>
      <c r="O335" s="451">
        <f t="shared" ref="O335:O343" si="594">P303+Q303</f>
        <v>50.317025608062295</v>
      </c>
      <c r="P335" s="451">
        <f t="shared" si="574"/>
        <v>-24.006753608062294</v>
      </c>
      <c r="Q335" s="474">
        <f t="shared" si="575"/>
        <v>-91.244794459222206</v>
      </c>
      <c r="R335" s="450">
        <v>15.347136000000001</v>
      </c>
      <c r="S335" s="451">
        <f t="shared" ref="S335:S343" si="595">T303+U303</f>
        <v>31.718558504240121</v>
      </c>
      <c r="T335" s="451">
        <f t="shared" si="576"/>
        <v>-16.371422504240122</v>
      </c>
      <c r="U335" s="2046">
        <f t="shared" si="577"/>
        <v>-106.6741215054074</v>
      </c>
      <c r="V335" s="450">
        <v>7.2552110000000001</v>
      </c>
      <c r="W335" s="451">
        <f t="shared" ref="W335:W343" si="596">X303+Y303</f>
        <v>13.398793762853661</v>
      </c>
      <c r="X335" s="451">
        <f t="shared" ref="X335:X343" si="597">+V335-W335</f>
        <v>-6.1435827628536606</v>
      </c>
      <c r="Y335" s="474">
        <f t="shared" si="578"/>
        <v>-84.678209398095532</v>
      </c>
      <c r="Z335" s="450">
        <v>6.3847829999999997</v>
      </c>
      <c r="AA335" s="451">
        <f t="shared" ref="AA335:AA343" si="598">AB303+AC303</f>
        <v>11.834751831120812</v>
      </c>
      <c r="AB335" s="451">
        <f t="shared" si="579"/>
        <v>-5.4499688311208123</v>
      </c>
      <c r="AC335" s="474">
        <f t="shared" si="580"/>
        <v>-85.358716672450925</v>
      </c>
      <c r="AD335" s="450">
        <v>6.5776320000000004</v>
      </c>
      <c r="AE335" s="451">
        <f t="shared" ref="AE335:AE343" si="599">AF303+AG303</f>
        <v>0</v>
      </c>
      <c r="AF335" s="451">
        <f t="shared" si="581"/>
        <v>6.5776320000000004</v>
      </c>
      <c r="AG335" s="474">
        <f t="shared" si="582"/>
        <v>100</v>
      </c>
      <c r="AH335" s="450"/>
      <c r="AI335" s="451">
        <f t="shared" ref="AI335:AI343" si="600">AJ303+AK303</f>
        <v>0</v>
      </c>
      <c r="AJ335" s="451">
        <f t="shared" si="583"/>
        <v>0</v>
      </c>
      <c r="AK335" s="474" t="e">
        <f t="shared" si="584"/>
        <v>#DIV/0!</v>
      </c>
      <c r="AL335" s="450"/>
      <c r="AM335" s="451">
        <f t="shared" ref="AM335:AM343" si="601">AN303+AO303</f>
        <v>0</v>
      </c>
      <c r="AN335" s="451">
        <f t="shared" si="585"/>
        <v>0</v>
      </c>
      <c r="AO335" s="474" t="e">
        <f t="shared" si="586"/>
        <v>#DIV/0!</v>
      </c>
      <c r="AP335" s="450"/>
      <c r="AQ335" s="451">
        <f t="shared" ref="AQ335:AQ343" si="602">AR303+AS303</f>
        <v>0</v>
      </c>
      <c r="AR335" s="451">
        <f t="shared" si="587"/>
        <v>0</v>
      </c>
      <c r="AS335" s="474" t="e">
        <f t="shared" si="588"/>
        <v>#DIV/0!</v>
      </c>
      <c r="AT335" s="450"/>
      <c r="AU335" s="451">
        <f t="shared" ref="AU335:AU343" si="603">AV303+AW303</f>
        <v>0</v>
      </c>
      <c r="AV335" s="451">
        <f t="shared" si="589"/>
        <v>0</v>
      </c>
      <c r="AW335" s="474" t="e">
        <f t="shared" si="590"/>
        <v>#DIV/0!</v>
      </c>
      <c r="AX335" s="1063">
        <f t="shared" ref="AX335:AX343" si="604">+B335+F335+J335+N335+R335+V335+Z335+AD335+AH335+AL335+AP335+AT335</f>
        <v>241.25914600000002</v>
      </c>
      <c r="AY335" s="1047">
        <f t="shared" ref="AY335:AY343" si="605">+C335+G335+K335+O335+S335+W335+AA335+AE335+AI335+AM335+AQ335+AU335</f>
        <v>276.50096369980452</v>
      </c>
      <c r="AZ335" s="447">
        <f t="shared" ref="AZ335:AZ343" si="606">+D335+H335+L335+P335+T335+X335+AB335+AF335+AJ335+AN335+AR335+AV335</f>
        <v>-35.241817699804535</v>
      </c>
      <c r="BA335" s="476">
        <f t="shared" ref="BA335:BA344" si="607">+AZ335/AX335*100</f>
        <v>-14.607453555275592</v>
      </c>
      <c r="BB335" s="473"/>
      <c r="BC335" s="480"/>
      <c r="BD335" s="445">
        <f t="shared" ref="BD335:BD344" si="608">AD335</f>
        <v>6.5776320000000004</v>
      </c>
      <c r="BE335" s="446">
        <f t="shared" ref="BE335:BE344" si="609">AE335</f>
        <v>0</v>
      </c>
      <c r="BF335" s="430"/>
      <c r="BG335" s="430"/>
      <c r="BI335" s="430"/>
      <c r="BJ335" s="430"/>
      <c r="BK335" s="430"/>
      <c r="BL335" s="430"/>
      <c r="BM335" s="430"/>
    </row>
    <row r="336" spans="1:73" ht="14.4">
      <c r="A336" s="397" t="s">
        <v>8</v>
      </c>
      <c r="B336" s="479">
        <v>62.253087000000001</v>
      </c>
      <c r="C336" s="451">
        <f t="shared" si="591"/>
        <v>60.281161043124477</v>
      </c>
      <c r="D336" s="451">
        <f t="shared" si="568"/>
        <v>1.9719259568755234</v>
      </c>
      <c r="E336" s="474">
        <f t="shared" si="569"/>
        <v>3.1675954589617756</v>
      </c>
      <c r="F336" s="450">
        <v>61.411966</v>
      </c>
      <c r="G336" s="451">
        <f t="shared" si="592"/>
        <v>55.09476812617028</v>
      </c>
      <c r="H336" s="451">
        <f t="shared" si="570"/>
        <v>6.3171978738297199</v>
      </c>
      <c r="I336" s="474">
        <f t="shared" si="571"/>
        <v>10.286591173175793</v>
      </c>
      <c r="J336" s="479">
        <v>44.776470000000003</v>
      </c>
      <c r="K336" s="451">
        <f t="shared" si="593"/>
        <v>46.662409569247437</v>
      </c>
      <c r="L336" s="451">
        <f t="shared" si="572"/>
        <v>-1.8859395692474337</v>
      </c>
      <c r="M336" s="474">
        <f t="shared" si="573"/>
        <v>-4.2118987254855806</v>
      </c>
      <c r="N336" s="1313">
        <v>29.155449000000001</v>
      </c>
      <c r="O336" s="451">
        <f t="shared" si="594"/>
        <v>51.772321735204571</v>
      </c>
      <c r="P336" s="451">
        <f t="shared" si="574"/>
        <v>-22.61687273520457</v>
      </c>
      <c r="Q336" s="474">
        <f t="shared" si="575"/>
        <v>-77.573398836027422</v>
      </c>
      <c r="R336" s="450">
        <v>14.881760999999999</v>
      </c>
      <c r="S336" s="451">
        <f t="shared" si="595"/>
        <v>27.920366772266526</v>
      </c>
      <c r="T336" s="451">
        <f t="shared" si="576"/>
        <v>-13.038605772266527</v>
      </c>
      <c r="U336" s="2046">
        <f t="shared" si="577"/>
        <v>-87.6146698785616</v>
      </c>
      <c r="V336" s="450">
        <v>6.886406</v>
      </c>
      <c r="W336" s="451">
        <f t="shared" si="596"/>
        <v>15.283382554876527</v>
      </c>
      <c r="X336" s="451">
        <f t="shared" si="597"/>
        <v>-8.3969765548765274</v>
      </c>
      <c r="Y336" s="474">
        <f t="shared" si="578"/>
        <v>-121.9355430812027</v>
      </c>
      <c r="Z336" s="450">
        <v>5.667338</v>
      </c>
      <c r="AA336" s="451">
        <f t="shared" si="598"/>
        <v>11.679394669950984</v>
      </c>
      <c r="AB336" s="451">
        <f t="shared" si="579"/>
        <v>-6.0120566699509839</v>
      </c>
      <c r="AC336" s="474">
        <f t="shared" si="580"/>
        <v>-106.08255004291227</v>
      </c>
      <c r="AD336" s="450">
        <v>5.9207000000000001</v>
      </c>
      <c r="AE336" s="451">
        <f t="shared" si="599"/>
        <v>0</v>
      </c>
      <c r="AF336" s="451">
        <f t="shared" si="581"/>
        <v>5.9207000000000001</v>
      </c>
      <c r="AG336" s="474">
        <f t="shared" si="582"/>
        <v>100</v>
      </c>
      <c r="AH336" s="450"/>
      <c r="AI336" s="451">
        <f t="shared" si="600"/>
        <v>0</v>
      </c>
      <c r="AJ336" s="451">
        <f t="shared" si="583"/>
        <v>0</v>
      </c>
      <c r="AK336" s="474" t="e">
        <f t="shared" si="584"/>
        <v>#DIV/0!</v>
      </c>
      <c r="AL336" s="450"/>
      <c r="AM336" s="451">
        <f t="shared" si="601"/>
        <v>0</v>
      </c>
      <c r="AN336" s="451">
        <f t="shared" si="585"/>
        <v>0</v>
      </c>
      <c r="AO336" s="474" t="e">
        <f t="shared" si="586"/>
        <v>#DIV/0!</v>
      </c>
      <c r="AP336" s="450"/>
      <c r="AQ336" s="451">
        <f t="shared" si="602"/>
        <v>0</v>
      </c>
      <c r="AR336" s="451">
        <f t="shared" si="587"/>
        <v>0</v>
      </c>
      <c r="AS336" s="474" t="e">
        <f t="shared" si="588"/>
        <v>#DIV/0!</v>
      </c>
      <c r="AT336" s="450"/>
      <c r="AU336" s="451">
        <f t="shared" si="603"/>
        <v>0</v>
      </c>
      <c r="AV336" s="451">
        <f t="shared" si="589"/>
        <v>0</v>
      </c>
      <c r="AW336" s="474" t="e">
        <f t="shared" si="590"/>
        <v>#DIV/0!</v>
      </c>
      <c r="AX336" s="1063">
        <f t="shared" si="604"/>
        <v>230.95317700000004</v>
      </c>
      <c r="AY336" s="1047">
        <f t="shared" si="605"/>
        <v>268.6938044708408</v>
      </c>
      <c r="AZ336" s="447">
        <f t="shared" si="606"/>
        <v>-37.740627470840792</v>
      </c>
      <c r="BA336" s="476">
        <f t="shared" si="607"/>
        <v>-16.341246291165238</v>
      </c>
      <c r="BB336" s="473"/>
      <c r="BC336" s="480"/>
      <c r="BD336" s="445">
        <f t="shared" si="608"/>
        <v>5.9207000000000001</v>
      </c>
      <c r="BE336" s="446">
        <f t="shared" si="609"/>
        <v>0</v>
      </c>
      <c r="BF336" s="430"/>
      <c r="BG336" s="430"/>
    </row>
    <row r="337" spans="1:65" ht="14.4">
      <c r="A337" s="397" t="s">
        <v>4</v>
      </c>
      <c r="B337" s="479">
        <v>101.28214199999999</v>
      </c>
      <c r="C337" s="451">
        <f t="shared" si="591"/>
        <v>81.979768395036032</v>
      </c>
      <c r="D337" s="451">
        <f t="shared" si="568"/>
        <v>19.302373604963961</v>
      </c>
      <c r="E337" s="474">
        <f t="shared" si="569"/>
        <v>19.058022691664601</v>
      </c>
      <c r="F337" s="450">
        <v>83.081766000000002</v>
      </c>
      <c r="G337" s="451">
        <f t="shared" si="592"/>
        <v>90.649896270495574</v>
      </c>
      <c r="H337" s="451">
        <f t="shared" si="570"/>
        <v>-7.5681302704955726</v>
      </c>
      <c r="I337" s="474">
        <f t="shared" si="571"/>
        <v>-9.1092554177237552</v>
      </c>
      <c r="J337" s="479">
        <v>71.989206999999993</v>
      </c>
      <c r="K337" s="451">
        <f t="shared" si="593"/>
        <v>77.80682442769421</v>
      </c>
      <c r="L337" s="451">
        <f t="shared" si="572"/>
        <v>-5.8176174276942163</v>
      </c>
      <c r="M337" s="474">
        <f t="shared" si="573"/>
        <v>-8.0812356047958911</v>
      </c>
      <c r="N337" s="1313">
        <v>38.624707999999998</v>
      </c>
      <c r="O337" s="451">
        <f t="shared" si="594"/>
        <v>77.304920193739747</v>
      </c>
      <c r="P337" s="451">
        <f t="shared" si="574"/>
        <v>-38.680212193739749</v>
      </c>
      <c r="Q337" s="474">
        <f t="shared" si="575"/>
        <v>-100.14370126432995</v>
      </c>
      <c r="R337" s="450">
        <v>23.722649000000001</v>
      </c>
      <c r="S337" s="451">
        <f t="shared" si="595"/>
        <v>46.467002119208196</v>
      </c>
      <c r="T337" s="451">
        <f t="shared" si="576"/>
        <v>-22.744353119208196</v>
      </c>
      <c r="U337" s="2046">
        <f t="shared" si="577"/>
        <v>-95.876110291090157</v>
      </c>
      <c r="V337" s="450">
        <v>10.18446</v>
      </c>
      <c r="W337" s="451">
        <f t="shared" si="596"/>
        <v>24.148575226872197</v>
      </c>
      <c r="X337" s="451">
        <f t="shared" si="597"/>
        <v>-13.964115226872197</v>
      </c>
      <c r="Y337" s="474">
        <f t="shared" si="578"/>
        <v>-137.11198460077608</v>
      </c>
      <c r="Z337" s="450">
        <v>9.1850470000000008</v>
      </c>
      <c r="AA337" s="451">
        <f t="shared" si="598"/>
        <v>19.507585979774937</v>
      </c>
      <c r="AB337" s="451">
        <f t="shared" si="579"/>
        <v>-10.322538979774937</v>
      </c>
      <c r="AC337" s="474">
        <f t="shared" si="580"/>
        <v>-112.3841715755503</v>
      </c>
      <c r="AD337" s="450">
        <v>8.5605010000000004</v>
      </c>
      <c r="AE337" s="451">
        <f t="shared" si="599"/>
        <v>0</v>
      </c>
      <c r="AF337" s="451">
        <f t="shared" si="581"/>
        <v>8.5605010000000004</v>
      </c>
      <c r="AG337" s="474">
        <f t="shared" si="582"/>
        <v>100</v>
      </c>
      <c r="AH337" s="450"/>
      <c r="AI337" s="451">
        <f t="shared" si="600"/>
        <v>0</v>
      </c>
      <c r="AJ337" s="451">
        <f t="shared" si="583"/>
        <v>0</v>
      </c>
      <c r="AK337" s="474" t="e">
        <f t="shared" si="584"/>
        <v>#DIV/0!</v>
      </c>
      <c r="AL337" s="450"/>
      <c r="AM337" s="451">
        <f t="shared" si="601"/>
        <v>0</v>
      </c>
      <c r="AN337" s="451">
        <f t="shared" si="585"/>
        <v>0</v>
      </c>
      <c r="AO337" s="474" t="e">
        <f t="shared" si="586"/>
        <v>#DIV/0!</v>
      </c>
      <c r="AP337" s="450"/>
      <c r="AQ337" s="451">
        <f t="shared" si="602"/>
        <v>0</v>
      </c>
      <c r="AR337" s="451">
        <f t="shared" si="587"/>
        <v>0</v>
      </c>
      <c r="AS337" s="474" t="e">
        <f t="shared" si="588"/>
        <v>#DIV/0!</v>
      </c>
      <c r="AT337" s="450"/>
      <c r="AU337" s="451">
        <f t="shared" si="603"/>
        <v>0</v>
      </c>
      <c r="AV337" s="451">
        <f t="shared" si="589"/>
        <v>0</v>
      </c>
      <c r="AW337" s="474" t="e">
        <f t="shared" si="590"/>
        <v>#DIV/0!</v>
      </c>
      <c r="AX337" s="1063">
        <f t="shared" si="604"/>
        <v>346.63047999999998</v>
      </c>
      <c r="AY337" s="1047">
        <f t="shared" si="605"/>
        <v>417.86457261282089</v>
      </c>
      <c r="AZ337" s="447">
        <f t="shared" si="606"/>
        <v>-71.234092612820902</v>
      </c>
      <c r="BA337" s="476">
        <f t="shared" si="607"/>
        <v>-20.55044109589581</v>
      </c>
      <c r="BB337" s="473"/>
      <c r="BC337" s="480"/>
      <c r="BD337" s="445">
        <f t="shared" si="608"/>
        <v>8.5605010000000004</v>
      </c>
      <c r="BE337" s="446">
        <f t="shared" si="609"/>
        <v>0</v>
      </c>
      <c r="BF337" s="430"/>
      <c r="BG337" s="430"/>
    </row>
    <row r="338" spans="1:65" ht="14.4">
      <c r="A338" s="397" t="s">
        <v>3</v>
      </c>
      <c r="B338" s="479">
        <v>111.98265600000001</v>
      </c>
      <c r="C338" s="451">
        <f t="shared" si="591"/>
        <v>85.589011568195943</v>
      </c>
      <c r="D338" s="451">
        <f t="shared" si="568"/>
        <v>26.393644431804063</v>
      </c>
      <c r="E338" s="474">
        <f t="shared" si="569"/>
        <v>23.569403847506585</v>
      </c>
      <c r="F338" s="450">
        <v>99.517039999999994</v>
      </c>
      <c r="G338" s="451">
        <f t="shared" si="592"/>
        <v>95.347562266267502</v>
      </c>
      <c r="H338" s="451">
        <f t="shared" si="570"/>
        <v>4.1694777337324922</v>
      </c>
      <c r="I338" s="474">
        <f t="shared" si="571"/>
        <v>4.1897123685878244</v>
      </c>
      <c r="J338" s="479">
        <v>75.827550000000002</v>
      </c>
      <c r="K338" s="451">
        <f t="shared" si="593"/>
        <v>75.190371235425872</v>
      </c>
      <c r="L338" s="451">
        <f t="shared" si="572"/>
        <v>0.6371787645741307</v>
      </c>
      <c r="M338" s="474">
        <f t="shared" si="573"/>
        <v>0.84029981790804364</v>
      </c>
      <c r="N338" s="1313">
        <v>49.008445999999999</v>
      </c>
      <c r="O338" s="451">
        <f t="shared" si="594"/>
        <v>74.951946395797705</v>
      </c>
      <c r="P338" s="451">
        <f t="shared" si="574"/>
        <v>-25.943500395797706</v>
      </c>
      <c r="Q338" s="474">
        <f t="shared" si="575"/>
        <v>-52.936794600256675</v>
      </c>
      <c r="R338" s="450">
        <v>22.114394000000001</v>
      </c>
      <c r="S338" s="451">
        <f t="shared" si="595"/>
        <v>47.32203719639427</v>
      </c>
      <c r="T338" s="451">
        <f t="shared" si="576"/>
        <v>-25.207643196394269</v>
      </c>
      <c r="U338" s="2046">
        <f>+T338/R338*100</f>
        <v>-113.98749247388045</v>
      </c>
      <c r="V338" s="450">
        <v>11.525622</v>
      </c>
      <c r="W338" s="451">
        <f t="shared" si="596"/>
        <v>26.022251462366047</v>
      </c>
      <c r="X338" s="451">
        <f t="shared" si="597"/>
        <v>-14.496629462366046</v>
      </c>
      <c r="Y338" s="474">
        <f t="shared" si="578"/>
        <v>-125.77741541728547</v>
      </c>
      <c r="Z338" s="450">
        <v>9.9529560000000004</v>
      </c>
      <c r="AA338" s="451">
        <f t="shared" si="598"/>
        <v>17.698325851726722</v>
      </c>
      <c r="AB338" s="451">
        <f t="shared" si="579"/>
        <v>-7.7453698517267213</v>
      </c>
      <c r="AC338" s="474">
        <f t="shared" si="580"/>
        <v>-77.8197939559536</v>
      </c>
      <c r="AD338" s="450">
        <v>11.240017</v>
      </c>
      <c r="AE338" s="451">
        <f t="shared" si="599"/>
        <v>0</v>
      </c>
      <c r="AF338" s="451">
        <f t="shared" si="581"/>
        <v>11.240017</v>
      </c>
      <c r="AG338" s="474">
        <f t="shared" si="582"/>
        <v>100</v>
      </c>
      <c r="AH338" s="450"/>
      <c r="AI338" s="451">
        <f t="shared" si="600"/>
        <v>0</v>
      </c>
      <c r="AJ338" s="451">
        <f t="shared" si="583"/>
        <v>0</v>
      </c>
      <c r="AK338" s="474" t="e">
        <f t="shared" si="584"/>
        <v>#DIV/0!</v>
      </c>
      <c r="AL338" s="450"/>
      <c r="AM338" s="451">
        <f t="shared" si="601"/>
        <v>0</v>
      </c>
      <c r="AN338" s="451">
        <f t="shared" si="585"/>
        <v>0</v>
      </c>
      <c r="AO338" s="474" t="e">
        <f t="shared" si="586"/>
        <v>#DIV/0!</v>
      </c>
      <c r="AP338" s="450"/>
      <c r="AQ338" s="451">
        <f t="shared" si="602"/>
        <v>0</v>
      </c>
      <c r="AR338" s="451">
        <f t="shared" si="587"/>
        <v>0</v>
      </c>
      <c r="AS338" s="474" t="e">
        <f t="shared" si="588"/>
        <v>#DIV/0!</v>
      </c>
      <c r="AT338" s="450"/>
      <c r="AU338" s="451">
        <f t="shared" si="603"/>
        <v>0</v>
      </c>
      <c r="AV338" s="451">
        <f t="shared" si="589"/>
        <v>0</v>
      </c>
      <c r="AW338" s="474" t="e">
        <f t="shared" si="590"/>
        <v>#DIV/0!</v>
      </c>
      <c r="AX338" s="1063">
        <f t="shared" si="604"/>
        <v>391.16868100000005</v>
      </c>
      <c r="AY338" s="1047">
        <f t="shared" si="605"/>
        <v>422.12150597617403</v>
      </c>
      <c r="AZ338" s="447">
        <f t="shared" si="606"/>
        <v>-30.952824976174057</v>
      </c>
      <c r="BA338" s="476">
        <f t="shared" si="607"/>
        <v>-7.9129098211658855</v>
      </c>
      <c r="BB338" s="473"/>
      <c r="BC338" s="480"/>
      <c r="BD338" s="445">
        <f t="shared" si="608"/>
        <v>11.240017</v>
      </c>
      <c r="BE338" s="446">
        <f t="shared" si="609"/>
        <v>0</v>
      </c>
      <c r="BF338" s="430"/>
      <c r="BG338" s="430"/>
      <c r="BI338" s="430"/>
      <c r="BJ338" s="430"/>
      <c r="BK338" s="430"/>
      <c r="BL338" s="430"/>
      <c r="BM338" s="430"/>
    </row>
    <row r="339" spans="1:65" ht="14.4">
      <c r="A339" s="397" t="s">
        <v>397</v>
      </c>
      <c r="B339" s="479">
        <v>31.324213</v>
      </c>
      <c r="C339" s="451">
        <f t="shared" si="591"/>
        <v>19.977754140001981</v>
      </c>
      <c r="D339" s="451">
        <f t="shared" si="568"/>
        <v>11.34645885999802</v>
      </c>
      <c r="E339" s="474">
        <f t="shared" si="569"/>
        <v>36.222646232159192</v>
      </c>
      <c r="F339" s="450">
        <v>26.602736755789472</v>
      </c>
      <c r="G339" s="451">
        <f t="shared" si="592"/>
        <v>24.095033972804149</v>
      </c>
      <c r="H339" s="451">
        <f t="shared" si="570"/>
        <v>2.5077027829853229</v>
      </c>
      <c r="I339" s="474">
        <f t="shared" si="571"/>
        <v>9.4264842223031025</v>
      </c>
      <c r="J339" s="479">
        <v>22.315312632244467</v>
      </c>
      <c r="K339" s="451">
        <f t="shared" si="593"/>
        <v>21.673338954056614</v>
      </c>
      <c r="L339" s="451">
        <f t="shared" si="572"/>
        <v>0.64197367818785267</v>
      </c>
      <c r="M339" s="474">
        <f t="shared" si="573"/>
        <v>2.8768303127433406</v>
      </c>
      <c r="N339" s="1313">
        <v>12.517054</v>
      </c>
      <c r="O339" s="451">
        <f t="shared" si="594"/>
        <v>20.046446218314486</v>
      </c>
      <c r="P339" s="451">
        <f t="shared" si="574"/>
        <v>-7.5293922183144861</v>
      </c>
      <c r="Q339" s="474">
        <f t="shared" si="575"/>
        <v>-60.153069710448527</v>
      </c>
      <c r="R339" s="450">
        <v>8.9126408999999995</v>
      </c>
      <c r="S339" s="451">
        <f t="shared" si="595"/>
        <v>13.744578112265298</v>
      </c>
      <c r="T339" s="451">
        <f t="shared" si="576"/>
        <v>-4.8319372122652986</v>
      </c>
      <c r="U339" s="2046">
        <f t="shared" si="577"/>
        <v>-54.214427199297333</v>
      </c>
      <c r="V339" s="450">
        <v>5.6058386810526315</v>
      </c>
      <c r="W339" s="451">
        <f t="shared" si="596"/>
        <v>9.7089184035117242</v>
      </c>
      <c r="X339" s="451">
        <f t="shared" si="597"/>
        <v>-4.1030797224590927</v>
      </c>
      <c r="Y339" s="474">
        <f t="shared" si="578"/>
        <v>-73.192968187387081</v>
      </c>
      <c r="Z339" s="450">
        <v>5.9539689999999998</v>
      </c>
      <c r="AA339" s="451">
        <f t="shared" si="598"/>
        <v>17.368270948303788</v>
      </c>
      <c r="AB339" s="451">
        <f t="shared" si="579"/>
        <v>-11.414301948303788</v>
      </c>
      <c r="AC339" s="474">
        <f t="shared" si="580"/>
        <v>-191.70912627028773</v>
      </c>
      <c r="AD339" s="450">
        <v>6.0073975109489046</v>
      </c>
      <c r="AE339" s="451">
        <f t="shared" si="599"/>
        <v>0</v>
      </c>
      <c r="AF339" s="451">
        <f t="shared" si="581"/>
        <v>6.0073975109489046</v>
      </c>
      <c r="AG339" s="474">
        <f t="shared" si="582"/>
        <v>100</v>
      </c>
      <c r="AH339" s="450"/>
      <c r="AI339" s="451">
        <f t="shared" si="600"/>
        <v>0</v>
      </c>
      <c r="AJ339" s="451">
        <f t="shared" si="583"/>
        <v>0</v>
      </c>
      <c r="AK339" s="474" t="e">
        <f t="shared" si="584"/>
        <v>#DIV/0!</v>
      </c>
      <c r="AL339" s="450"/>
      <c r="AM339" s="451">
        <f t="shared" si="601"/>
        <v>0</v>
      </c>
      <c r="AN339" s="451">
        <f t="shared" si="585"/>
        <v>0</v>
      </c>
      <c r="AO339" s="474" t="e">
        <f t="shared" si="586"/>
        <v>#DIV/0!</v>
      </c>
      <c r="AP339" s="450"/>
      <c r="AQ339" s="451">
        <f t="shared" si="602"/>
        <v>0</v>
      </c>
      <c r="AR339" s="451">
        <f t="shared" si="587"/>
        <v>0</v>
      </c>
      <c r="AS339" s="474" t="e">
        <f t="shared" si="588"/>
        <v>#DIV/0!</v>
      </c>
      <c r="AT339" s="450"/>
      <c r="AU339" s="451">
        <f t="shared" si="603"/>
        <v>0</v>
      </c>
      <c r="AV339" s="451">
        <f t="shared" si="589"/>
        <v>0</v>
      </c>
      <c r="AW339" s="474" t="e">
        <f t="shared" si="590"/>
        <v>#DIV/0!</v>
      </c>
      <c r="AX339" s="1063">
        <f t="shared" si="604"/>
        <v>119.23916248003547</v>
      </c>
      <c r="AY339" s="1047">
        <f t="shared" si="605"/>
        <v>126.61434074925803</v>
      </c>
      <c r="AZ339" s="447">
        <f t="shared" si="606"/>
        <v>-7.3751782692225651</v>
      </c>
      <c r="BA339" s="1898">
        <f t="shared" si="607"/>
        <v>-6.185197980116147</v>
      </c>
      <c r="BB339" s="473"/>
      <c r="BC339" s="480"/>
      <c r="BD339" s="445">
        <f t="shared" si="608"/>
        <v>6.0073975109489046</v>
      </c>
      <c r="BE339" s="446">
        <f t="shared" si="609"/>
        <v>0</v>
      </c>
      <c r="BF339" s="430"/>
      <c r="BG339" s="430"/>
    </row>
    <row r="340" spans="1:65" ht="14.4">
      <c r="A340" s="397" t="s">
        <v>399</v>
      </c>
      <c r="B340" s="479">
        <v>55.882627999999997</v>
      </c>
      <c r="C340" s="451">
        <f t="shared" si="591"/>
        <v>43.411719618786549</v>
      </c>
      <c r="D340" s="451">
        <f t="shared" si="568"/>
        <v>12.470908381213448</v>
      </c>
      <c r="E340" s="474">
        <f t="shared" si="569"/>
        <v>22.31625252343796</v>
      </c>
      <c r="F340" s="450">
        <v>49.263145999999999</v>
      </c>
      <c r="G340" s="451">
        <f t="shared" si="592"/>
        <v>48.034175840530004</v>
      </c>
      <c r="H340" s="451">
        <f t="shared" si="570"/>
        <v>1.2289701594699949</v>
      </c>
      <c r="I340" s="474">
        <f t="shared" si="571"/>
        <v>2.4947049858935011</v>
      </c>
      <c r="J340" s="479">
        <v>38.615470000000002</v>
      </c>
      <c r="K340" s="451">
        <f t="shared" si="593"/>
        <v>34.263621145787965</v>
      </c>
      <c r="L340" s="451">
        <f t="shared" si="572"/>
        <v>4.3518488542120366</v>
      </c>
      <c r="M340" s="474">
        <f t="shared" si="573"/>
        <v>11.269703189452404</v>
      </c>
      <c r="N340" s="1313">
        <v>22.720199999999998</v>
      </c>
      <c r="O340" s="451">
        <f t="shared" si="594"/>
        <v>39.968055181504425</v>
      </c>
      <c r="P340" s="451">
        <f t="shared" si="574"/>
        <v>-17.247855181504427</v>
      </c>
      <c r="Q340" s="474">
        <f t="shared" si="575"/>
        <v>-75.914187293705282</v>
      </c>
      <c r="R340" s="450">
        <v>18.003989000000001</v>
      </c>
      <c r="S340" s="451">
        <f t="shared" si="595"/>
        <v>27.920603828926083</v>
      </c>
      <c r="T340" s="451">
        <f t="shared" si="576"/>
        <v>-9.9166148289260825</v>
      </c>
      <c r="U340" s="2046">
        <f t="shared" si="577"/>
        <v>-55.080098243373079</v>
      </c>
      <c r="V340" s="450">
        <v>13.419684</v>
      </c>
      <c r="W340" s="451">
        <f t="shared" si="596"/>
        <v>16.205292375969506</v>
      </c>
      <c r="X340" s="451">
        <f t="shared" si="597"/>
        <v>-2.7856083759695061</v>
      </c>
      <c r="Y340" s="474">
        <f t="shared" si="578"/>
        <v>-20.757630179440188</v>
      </c>
      <c r="Z340" s="450">
        <v>13.29843</v>
      </c>
      <c r="AA340" s="451">
        <f t="shared" si="598"/>
        <v>8.151986845003897</v>
      </c>
      <c r="AB340" s="451">
        <f t="shared" si="579"/>
        <v>5.1464431549961027</v>
      </c>
      <c r="AC340" s="474">
        <f t="shared" si="580"/>
        <v>38.699629617903035</v>
      </c>
      <c r="AD340" s="450">
        <v>13.119011</v>
      </c>
      <c r="AE340" s="451">
        <f t="shared" si="599"/>
        <v>0</v>
      </c>
      <c r="AF340" s="451">
        <f t="shared" si="581"/>
        <v>13.119011</v>
      </c>
      <c r="AG340" s="474">
        <f t="shared" si="582"/>
        <v>100</v>
      </c>
      <c r="AH340" s="450"/>
      <c r="AI340" s="451">
        <f t="shared" si="600"/>
        <v>0</v>
      </c>
      <c r="AJ340" s="451">
        <f t="shared" si="583"/>
        <v>0</v>
      </c>
      <c r="AK340" s="474" t="e">
        <f t="shared" si="584"/>
        <v>#DIV/0!</v>
      </c>
      <c r="AL340" s="450"/>
      <c r="AM340" s="451">
        <f t="shared" si="601"/>
        <v>0</v>
      </c>
      <c r="AN340" s="451">
        <f t="shared" si="585"/>
        <v>0</v>
      </c>
      <c r="AO340" s="474" t="e">
        <f t="shared" si="586"/>
        <v>#DIV/0!</v>
      </c>
      <c r="AP340" s="450"/>
      <c r="AQ340" s="451">
        <f t="shared" si="602"/>
        <v>0</v>
      </c>
      <c r="AR340" s="451">
        <f t="shared" si="587"/>
        <v>0</v>
      </c>
      <c r="AS340" s="474" t="e">
        <f t="shared" si="588"/>
        <v>#DIV/0!</v>
      </c>
      <c r="AT340" s="450"/>
      <c r="AU340" s="451">
        <f t="shared" si="603"/>
        <v>0</v>
      </c>
      <c r="AV340" s="451">
        <f t="shared" si="589"/>
        <v>0</v>
      </c>
      <c r="AW340" s="474" t="e">
        <f t="shared" si="590"/>
        <v>#DIV/0!</v>
      </c>
      <c r="AX340" s="1063">
        <f t="shared" si="604"/>
        <v>224.32255799999996</v>
      </c>
      <c r="AY340" s="1047">
        <f t="shared" si="605"/>
        <v>217.95545483650844</v>
      </c>
      <c r="AZ340" s="447">
        <f t="shared" si="606"/>
        <v>6.3671031634915671</v>
      </c>
      <c r="BA340" s="476">
        <f t="shared" si="607"/>
        <v>2.8383695426170954</v>
      </c>
      <c r="BB340" s="473"/>
      <c r="BC340" s="480"/>
      <c r="BD340" s="445">
        <f t="shared" si="608"/>
        <v>13.119011</v>
      </c>
      <c r="BE340" s="446">
        <f t="shared" si="609"/>
        <v>0</v>
      </c>
      <c r="BF340" s="430"/>
      <c r="BG340" s="430"/>
    </row>
    <row r="341" spans="1:65" ht="14.4">
      <c r="A341" s="397" t="s">
        <v>883</v>
      </c>
      <c r="B341" s="479">
        <v>45.025489</v>
      </c>
      <c r="C341" s="451">
        <f t="shared" si="591"/>
        <v>35.788426106173461</v>
      </c>
      <c r="D341" s="451">
        <f t="shared" si="568"/>
        <v>9.2370628938265398</v>
      </c>
      <c r="E341" s="474">
        <f t="shared" si="569"/>
        <v>20.515186173384013</v>
      </c>
      <c r="F341" s="450">
        <v>36.611203000000003</v>
      </c>
      <c r="G341" s="451">
        <f t="shared" si="592"/>
        <v>39.230518000750159</v>
      </c>
      <c r="H341" s="451">
        <f t="shared" si="570"/>
        <v>-2.6193150007501558</v>
      </c>
      <c r="I341" s="474">
        <f t="shared" si="571"/>
        <v>-7.1544084491027391</v>
      </c>
      <c r="J341" s="479">
        <v>24.771528</v>
      </c>
      <c r="K341" s="451">
        <f t="shared" si="593"/>
        <v>25.651435288909497</v>
      </c>
      <c r="L341" s="451">
        <f t="shared" si="572"/>
        <v>-0.87990728890949654</v>
      </c>
      <c r="M341" s="474">
        <f t="shared" si="573"/>
        <v>-3.552091291701895</v>
      </c>
      <c r="N341" s="1313">
        <v>13.755509999999999</v>
      </c>
      <c r="O341" s="451">
        <f t="shared" si="594"/>
        <v>28.247542124049641</v>
      </c>
      <c r="P341" s="451">
        <f t="shared" si="574"/>
        <v>-14.492032124049642</v>
      </c>
      <c r="Q341" s="474">
        <f t="shared" si="575"/>
        <v>-105.35437889289196</v>
      </c>
      <c r="R341" s="450">
        <v>8.1393269999999998</v>
      </c>
      <c r="S341" s="451">
        <f t="shared" si="595"/>
        <v>16.150118625076313</v>
      </c>
      <c r="T341" s="451">
        <f t="shared" si="576"/>
        <v>-8.0107916250763136</v>
      </c>
      <c r="U341" s="2046">
        <f t="shared" si="577"/>
        <v>-98.420810775587626</v>
      </c>
      <c r="V341" s="450">
        <v>5.6091759999999997</v>
      </c>
      <c r="W341" s="451">
        <f t="shared" si="596"/>
        <v>7.7094546435917799</v>
      </c>
      <c r="X341" s="451">
        <f t="shared" si="597"/>
        <v>-2.1002786435917802</v>
      </c>
      <c r="Y341" s="474">
        <f t="shared" si="578"/>
        <v>-37.44362172967616</v>
      </c>
      <c r="Z341" s="450">
        <v>4.70723</v>
      </c>
      <c r="AA341" s="451">
        <f t="shared" si="598"/>
        <v>8.1163930266442463</v>
      </c>
      <c r="AB341" s="451">
        <f t="shared" si="579"/>
        <v>-3.4091630266442463</v>
      </c>
      <c r="AC341" s="474">
        <f t="shared" si="580"/>
        <v>-72.423973900664436</v>
      </c>
      <c r="AD341" s="450">
        <v>4.5870959999999998</v>
      </c>
      <c r="AE341" s="451">
        <f t="shared" si="599"/>
        <v>0</v>
      </c>
      <c r="AF341" s="451">
        <f t="shared" si="581"/>
        <v>4.5870959999999998</v>
      </c>
      <c r="AG341" s="474">
        <f t="shared" si="582"/>
        <v>100</v>
      </c>
      <c r="AH341" s="450"/>
      <c r="AI341" s="451">
        <f t="shared" si="600"/>
        <v>0</v>
      </c>
      <c r="AJ341" s="451">
        <f t="shared" si="583"/>
        <v>0</v>
      </c>
      <c r="AK341" s="474" t="e">
        <f t="shared" si="584"/>
        <v>#DIV/0!</v>
      </c>
      <c r="AL341" s="450"/>
      <c r="AM341" s="451">
        <f t="shared" si="601"/>
        <v>0</v>
      </c>
      <c r="AN341" s="451">
        <f t="shared" si="585"/>
        <v>0</v>
      </c>
      <c r="AO341" s="474" t="e">
        <f t="shared" si="586"/>
        <v>#DIV/0!</v>
      </c>
      <c r="AP341" s="450"/>
      <c r="AQ341" s="451">
        <f t="shared" si="602"/>
        <v>0</v>
      </c>
      <c r="AR341" s="451">
        <f t="shared" si="587"/>
        <v>0</v>
      </c>
      <c r="AS341" s="474" t="e">
        <f t="shared" si="588"/>
        <v>#DIV/0!</v>
      </c>
      <c r="AT341" s="450"/>
      <c r="AU341" s="451">
        <f t="shared" si="603"/>
        <v>0</v>
      </c>
      <c r="AV341" s="451">
        <f t="shared" si="589"/>
        <v>0</v>
      </c>
      <c r="AW341" s="474" t="e">
        <f t="shared" si="590"/>
        <v>#DIV/0!</v>
      </c>
      <c r="AX341" s="1063">
        <f t="shared" si="604"/>
        <v>143.20655900000003</v>
      </c>
      <c r="AY341" s="1047">
        <f t="shared" si="605"/>
        <v>160.89388781519511</v>
      </c>
      <c r="AZ341" s="447">
        <f t="shared" si="606"/>
        <v>-17.687328815195094</v>
      </c>
      <c r="BA341" s="476">
        <f t="shared" si="607"/>
        <v>-12.350920892663227</v>
      </c>
      <c r="BB341" s="473"/>
      <c r="BC341" s="480"/>
      <c r="BD341" s="445">
        <f t="shared" si="608"/>
        <v>4.5870959999999998</v>
      </c>
      <c r="BE341" s="446">
        <f t="shared" si="609"/>
        <v>0</v>
      </c>
      <c r="BF341" s="430"/>
      <c r="BG341" s="430"/>
      <c r="BI341" s="430"/>
      <c r="BJ341" s="430"/>
      <c r="BK341" s="430"/>
      <c r="BL341" s="430"/>
      <c r="BM341" s="430"/>
    </row>
    <row r="342" spans="1:65" ht="14.4">
      <c r="A342" s="397" t="s">
        <v>884</v>
      </c>
      <c r="B342" s="479">
        <v>45.741928000000001</v>
      </c>
      <c r="C342" s="451">
        <f t="shared" si="591"/>
        <v>35.684017322852462</v>
      </c>
      <c r="D342" s="451">
        <f t="shared" si="568"/>
        <v>10.05791067714754</v>
      </c>
      <c r="E342" s="474">
        <f t="shared" si="569"/>
        <v>21.988383780297891</v>
      </c>
      <c r="F342" s="450">
        <v>37.116087</v>
      </c>
      <c r="G342" s="451">
        <f t="shared" si="592"/>
        <v>39.327111005826218</v>
      </c>
      <c r="H342" s="451">
        <f t="shared" si="570"/>
        <v>-2.2110240058262178</v>
      </c>
      <c r="I342" s="474">
        <f t="shared" si="571"/>
        <v>-5.9570503911854118</v>
      </c>
      <c r="J342" s="479">
        <v>27.289493</v>
      </c>
      <c r="K342" s="451">
        <f t="shared" si="593"/>
        <v>25.26951686962737</v>
      </c>
      <c r="L342" s="451">
        <f t="shared" si="572"/>
        <v>2.0199761303726298</v>
      </c>
      <c r="M342" s="474">
        <f t="shared" si="573"/>
        <v>7.4020287968436422</v>
      </c>
      <c r="N342" s="1313">
        <v>12.712206</v>
      </c>
      <c r="O342" s="451">
        <f t="shared" si="594"/>
        <v>32.443967991865279</v>
      </c>
      <c r="P342" s="451">
        <f t="shared" si="574"/>
        <v>-19.731761991865277</v>
      </c>
      <c r="Q342" s="474">
        <f t="shared" si="575"/>
        <v>-155.21902329041296</v>
      </c>
      <c r="R342" s="450">
        <v>10.551589999999999</v>
      </c>
      <c r="S342" s="451">
        <f t="shared" si="595"/>
        <v>20.076055074901412</v>
      </c>
      <c r="T342" s="451">
        <f t="shared" si="576"/>
        <v>-9.5244650749014124</v>
      </c>
      <c r="U342" s="2046">
        <f t="shared" si="577"/>
        <v>-90.265685786705248</v>
      </c>
      <c r="V342" s="1872">
        <v>7.2696069999999997</v>
      </c>
      <c r="W342" s="451">
        <f t="shared" si="596"/>
        <v>8.5722748141376286</v>
      </c>
      <c r="X342" s="451">
        <f t="shared" si="597"/>
        <v>-1.3026678141376289</v>
      </c>
      <c r="Y342" s="474">
        <f t="shared" si="578"/>
        <v>-17.919370526324585</v>
      </c>
      <c r="Z342" s="450">
        <v>7.9649720000000004</v>
      </c>
      <c r="AA342" s="451">
        <f t="shared" si="598"/>
        <v>12.854170601768049</v>
      </c>
      <c r="AB342" s="451">
        <f t="shared" si="579"/>
        <v>-4.8891986017680482</v>
      </c>
      <c r="AC342" s="474">
        <f t="shared" si="580"/>
        <v>-61.383751277067233</v>
      </c>
      <c r="AD342" s="450">
        <v>7.1133790000000001</v>
      </c>
      <c r="AE342" s="451">
        <f t="shared" si="599"/>
        <v>0</v>
      </c>
      <c r="AF342" s="451">
        <f t="shared" si="581"/>
        <v>7.1133790000000001</v>
      </c>
      <c r="AG342" s="474">
        <f t="shared" si="582"/>
        <v>100</v>
      </c>
      <c r="AH342" s="450"/>
      <c r="AI342" s="451">
        <f t="shared" si="600"/>
        <v>0</v>
      </c>
      <c r="AJ342" s="451">
        <f t="shared" si="583"/>
        <v>0</v>
      </c>
      <c r="AK342" s="474" t="e">
        <f t="shared" si="584"/>
        <v>#DIV/0!</v>
      </c>
      <c r="AL342" s="450"/>
      <c r="AM342" s="451">
        <f t="shared" si="601"/>
        <v>0</v>
      </c>
      <c r="AN342" s="451">
        <f t="shared" si="585"/>
        <v>0</v>
      </c>
      <c r="AO342" s="474" t="e">
        <f t="shared" si="586"/>
        <v>#DIV/0!</v>
      </c>
      <c r="AP342" s="450"/>
      <c r="AQ342" s="451">
        <f t="shared" si="602"/>
        <v>0</v>
      </c>
      <c r="AR342" s="451">
        <f t="shared" si="587"/>
        <v>0</v>
      </c>
      <c r="AS342" s="474" t="e">
        <f t="shared" si="588"/>
        <v>#DIV/0!</v>
      </c>
      <c r="AT342" s="450"/>
      <c r="AU342" s="451">
        <f t="shared" si="603"/>
        <v>0</v>
      </c>
      <c r="AV342" s="451">
        <f t="shared" si="589"/>
        <v>0</v>
      </c>
      <c r="AW342" s="474" t="e">
        <f t="shared" si="590"/>
        <v>#DIV/0!</v>
      </c>
      <c r="AX342" s="1063">
        <f t="shared" si="604"/>
        <v>155.75926199999998</v>
      </c>
      <c r="AY342" s="1047">
        <f t="shared" si="605"/>
        <v>174.22711368097842</v>
      </c>
      <c r="AZ342" s="447">
        <f t="shared" si="606"/>
        <v>-18.467851680978413</v>
      </c>
      <c r="BA342" s="476">
        <f t="shared" si="607"/>
        <v>-11.856663574188234</v>
      </c>
      <c r="BB342" s="473"/>
      <c r="BC342" s="480"/>
      <c r="BD342" s="445">
        <f t="shared" si="608"/>
        <v>7.1133790000000001</v>
      </c>
      <c r="BE342" s="446">
        <f t="shared" si="609"/>
        <v>0</v>
      </c>
      <c r="BF342" s="430"/>
      <c r="BG342" s="430"/>
    </row>
    <row r="343" spans="1:65" ht="15" thickBot="1">
      <c r="A343" s="397" t="s">
        <v>885</v>
      </c>
      <c r="B343" s="479">
        <v>27.428992000000001</v>
      </c>
      <c r="C343" s="451">
        <f t="shared" si="591"/>
        <v>20.871313408065969</v>
      </c>
      <c r="D343" s="451">
        <f t="shared" si="568"/>
        <v>6.5576785919340317</v>
      </c>
      <c r="E343" s="474">
        <f t="shared" si="569"/>
        <v>23.907836612931423</v>
      </c>
      <c r="F343" s="450">
        <v>26.872437000000001</v>
      </c>
      <c r="G343" s="451">
        <f t="shared" si="592"/>
        <v>24.044419788614547</v>
      </c>
      <c r="H343" s="451">
        <f t="shared" si="570"/>
        <v>2.828017211385454</v>
      </c>
      <c r="I343" s="474">
        <f t="shared" si="571"/>
        <v>10.52385837349048</v>
      </c>
      <c r="J343" s="1869">
        <v>19.717870999999999</v>
      </c>
      <c r="K343" s="451">
        <f t="shared" si="593"/>
        <v>19.449301249878094</v>
      </c>
      <c r="L343" s="451">
        <f t="shared" si="572"/>
        <v>0.26856975012190532</v>
      </c>
      <c r="M343" s="474">
        <f t="shared" si="573"/>
        <v>1.3620626188390488</v>
      </c>
      <c r="N343" s="1313">
        <v>11.878466</v>
      </c>
      <c r="O343" s="451">
        <f t="shared" si="594"/>
        <v>22.309583459686035</v>
      </c>
      <c r="P343" s="451">
        <f t="shared" si="574"/>
        <v>-10.431117459686035</v>
      </c>
      <c r="Q343" s="474">
        <f t="shared" si="575"/>
        <v>-87.815358142086993</v>
      </c>
      <c r="R343" s="450">
        <v>5.6542380000000003</v>
      </c>
      <c r="S343" s="451">
        <f t="shared" si="595"/>
        <v>14.236378324491866</v>
      </c>
      <c r="T343" s="451">
        <f t="shared" si="576"/>
        <v>-8.582140324491867</v>
      </c>
      <c r="U343" s="2046">
        <f t="shared" si="577"/>
        <v>-151.78243866798437</v>
      </c>
      <c r="V343" s="450">
        <v>2.6226569999999998</v>
      </c>
      <c r="W343" s="451">
        <f t="shared" si="596"/>
        <v>5.6217501312020932</v>
      </c>
      <c r="X343" s="451">
        <f t="shared" si="597"/>
        <v>-2.9990931312020934</v>
      </c>
      <c r="Y343" s="474">
        <f t="shared" si="578"/>
        <v>-114.35323533356035</v>
      </c>
      <c r="Z343" s="450">
        <v>2.212459</v>
      </c>
      <c r="AA343" s="451">
        <f t="shared" si="598"/>
        <v>5.4412785074282279</v>
      </c>
      <c r="AB343" s="451">
        <f t="shared" si="579"/>
        <v>-3.228819507428228</v>
      </c>
      <c r="AC343" s="474">
        <f t="shared" si="580"/>
        <v>-145.93804935721872</v>
      </c>
      <c r="AD343" s="450">
        <v>2.1542520000000001</v>
      </c>
      <c r="AE343" s="451">
        <f t="shared" si="599"/>
        <v>0</v>
      </c>
      <c r="AF343" s="451">
        <f t="shared" si="581"/>
        <v>2.1542520000000001</v>
      </c>
      <c r="AG343" s="474">
        <f t="shared" si="582"/>
        <v>100</v>
      </c>
      <c r="AH343" s="450"/>
      <c r="AI343" s="451">
        <f t="shared" si="600"/>
        <v>0</v>
      </c>
      <c r="AJ343" s="451">
        <f t="shared" si="583"/>
        <v>0</v>
      </c>
      <c r="AK343" s="474" t="e">
        <f t="shared" si="584"/>
        <v>#DIV/0!</v>
      </c>
      <c r="AL343" s="450"/>
      <c r="AM343" s="451">
        <f t="shared" si="601"/>
        <v>0</v>
      </c>
      <c r="AN343" s="451">
        <f t="shared" si="585"/>
        <v>0</v>
      </c>
      <c r="AO343" s="474" t="e">
        <f t="shared" si="586"/>
        <v>#DIV/0!</v>
      </c>
      <c r="AP343" s="450"/>
      <c r="AQ343" s="451">
        <f t="shared" si="602"/>
        <v>0</v>
      </c>
      <c r="AR343" s="451">
        <f t="shared" si="587"/>
        <v>0</v>
      </c>
      <c r="AS343" s="474" t="e">
        <f t="shared" si="588"/>
        <v>#DIV/0!</v>
      </c>
      <c r="AT343" s="450"/>
      <c r="AU343" s="451">
        <f t="shared" si="603"/>
        <v>0</v>
      </c>
      <c r="AV343" s="451">
        <f t="shared" si="589"/>
        <v>0</v>
      </c>
      <c r="AW343" s="474" t="e">
        <f t="shared" si="590"/>
        <v>#DIV/0!</v>
      </c>
      <c r="AX343" s="1063">
        <f t="shared" si="604"/>
        <v>98.54137200000001</v>
      </c>
      <c r="AY343" s="1047">
        <f t="shared" si="605"/>
        <v>111.97402486936683</v>
      </c>
      <c r="AZ343" s="447">
        <f t="shared" si="606"/>
        <v>-13.432652869366834</v>
      </c>
      <c r="BA343" s="476">
        <f t="shared" si="607"/>
        <v>-13.631485534184396</v>
      </c>
      <c r="BB343" s="473"/>
      <c r="BC343" s="480"/>
      <c r="BD343" s="445">
        <f t="shared" si="608"/>
        <v>2.1542520000000001</v>
      </c>
      <c r="BE343" s="446">
        <f t="shared" si="609"/>
        <v>0</v>
      </c>
      <c r="BF343" s="430"/>
      <c r="BG343" s="430"/>
    </row>
    <row r="344" spans="1:65" ht="14.4" thickBot="1">
      <c r="A344" s="433" t="s">
        <v>16</v>
      </c>
      <c r="B344" s="468">
        <f>SUM(B334:B343)</f>
        <v>623.2545990000001</v>
      </c>
      <c r="C344" s="477">
        <f>SUM(C334:C343)</f>
        <v>495.30006616532637</v>
      </c>
      <c r="D344" s="477">
        <f>+B344-C344</f>
        <v>127.95453283467373</v>
      </c>
      <c r="E344" s="1376">
        <f>+D344/B344*100</f>
        <v>20.530058348542362</v>
      </c>
      <c r="F344" s="468">
        <f>SUM(F334:F343)</f>
        <v>554.18366100000003</v>
      </c>
      <c r="G344" s="477">
        <f>SUM(G334:G343)</f>
        <v>542.92338006388093</v>
      </c>
      <c r="H344" s="477">
        <f t="shared" si="570"/>
        <v>11.260280936119102</v>
      </c>
      <c r="I344" s="1376">
        <f>+H344/F344*100</f>
        <v>2.0318680842737984</v>
      </c>
      <c r="J344" s="468">
        <f>SUM(J334:J343)</f>
        <v>419.80595899999997</v>
      </c>
      <c r="K344" s="477">
        <f>SUM(K334:K343)</f>
        <v>427.55612175116289</v>
      </c>
      <c r="L344" s="477">
        <f>+J344-K344</f>
        <v>-7.7501627511629181</v>
      </c>
      <c r="M344" s="1376">
        <f>+L344/J344*100</f>
        <v>-1.846129761860507</v>
      </c>
      <c r="N344" s="468">
        <f>SUM(N334:N343)</f>
        <v>245.51668100000001</v>
      </c>
      <c r="O344" s="477">
        <f>SUM(O334:O343)</f>
        <v>445.01537120185998</v>
      </c>
      <c r="P344" s="477">
        <f>+N344-O344</f>
        <v>-199.49869020185997</v>
      </c>
      <c r="Q344" s="1376">
        <f>+P344/N344*100</f>
        <v>-81.256674450507077</v>
      </c>
      <c r="R344" s="468">
        <f>SUM(R334:R343)</f>
        <v>150.39252400000001</v>
      </c>
      <c r="S344" s="2044">
        <f>SUM(S334:S343)</f>
        <v>279.87336293584332</v>
      </c>
      <c r="T344" s="477">
        <f t="shared" si="576"/>
        <v>-129.48083893584331</v>
      </c>
      <c r="U344" s="2045">
        <f>+T344/R344*100</f>
        <v>-86.095262910703795</v>
      </c>
      <c r="V344" s="468">
        <f>SUM(V334:V343)</f>
        <v>87.591983999999997</v>
      </c>
      <c r="W344" s="477">
        <f>SUM(W334:W343)</f>
        <v>150.7561410775792</v>
      </c>
      <c r="X344" s="477">
        <f>+V344-W344</f>
        <v>-63.164157077579205</v>
      </c>
      <c r="Y344" s="457">
        <f>+X344/V344*100</f>
        <v>-72.111800867051031</v>
      </c>
      <c r="Z344" s="468">
        <f>SUM(Z334:Z343)</f>
        <v>84.63124599999999</v>
      </c>
      <c r="AA344" s="477">
        <f>SUM(AA334:AA343)</f>
        <v>136.56978222084109</v>
      </c>
      <c r="AB344" s="477">
        <f>+Z344-AA344</f>
        <v>-51.938536220841101</v>
      </c>
      <c r="AC344" s="457">
        <f>+AB344/Z344*100</f>
        <v>-61.370402393509728</v>
      </c>
      <c r="AD344" s="468">
        <f>SUM(AD334:AD343)</f>
        <v>81.762720999999999</v>
      </c>
      <c r="AE344" s="477">
        <f>SUM(AE334:AE343)</f>
        <v>0</v>
      </c>
      <c r="AF344" s="477">
        <f>+AD344-AE344</f>
        <v>81.762720999999999</v>
      </c>
      <c r="AG344" s="457">
        <f>+AF344/AD344*100</f>
        <v>100</v>
      </c>
      <c r="AH344" s="468">
        <f>SUM(AH334:AH343)</f>
        <v>0</v>
      </c>
      <c r="AI344" s="477">
        <f>SUM(AI334:AI343)</f>
        <v>0</v>
      </c>
      <c r="AJ344" s="477">
        <f>+AH344-AI344</f>
        <v>0</v>
      </c>
      <c r="AK344" s="457" t="e">
        <f>+AJ344/AH344*100</f>
        <v>#DIV/0!</v>
      </c>
      <c r="AL344" s="468">
        <f>SUM(AL334:AL343)</f>
        <v>0</v>
      </c>
      <c r="AM344" s="477">
        <f>SUM(AM334:AM343)</f>
        <v>0</v>
      </c>
      <c r="AN344" s="477">
        <f>+AL344-AM344</f>
        <v>0</v>
      </c>
      <c r="AO344" s="457" t="e">
        <f>+AN344/AL344*100</f>
        <v>#DIV/0!</v>
      </c>
      <c r="AP344" s="468">
        <f>SUM(AP334:AP343)</f>
        <v>0</v>
      </c>
      <c r="AQ344" s="477">
        <f>SUM(AQ334:AQ343)</f>
        <v>0</v>
      </c>
      <c r="AR344" s="477">
        <f>+AP344-AQ344</f>
        <v>0</v>
      </c>
      <c r="AS344" s="457" t="e">
        <f>+AR344/AP344*100</f>
        <v>#DIV/0!</v>
      </c>
      <c r="AT344" s="468">
        <f>SUM(AT334:AT343)</f>
        <v>0</v>
      </c>
      <c r="AU344" s="477">
        <f>SUM(AU334:AU343)</f>
        <v>0</v>
      </c>
      <c r="AV344" s="477">
        <f>+AT344-AU344</f>
        <v>0</v>
      </c>
      <c r="AW344" s="457" t="e">
        <f>+AV344/AT344*100</f>
        <v>#DIV/0!</v>
      </c>
      <c r="AX344" s="1048">
        <f>SUM(AX334:AX343)</f>
        <v>2247.1393750000002</v>
      </c>
      <c r="AY344" s="1048">
        <f>SUM(AY334:AY343)</f>
        <v>2477.9942254164939</v>
      </c>
      <c r="AZ344" s="478">
        <f>+AX344-AY344</f>
        <v>-230.85485041649372</v>
      </c>
      <c r="BA344" s="1459">
        <f t="shared" si="607"/>
        <v>-10.273276904174832</v>
      </c>
      <c r="BB344" s="473"/>
      <c r="BD344" s="445">
        <f t="shared" si="608"/>
        <v>81.762720999999999</v>
      </c>
      <c r="BE344" s="446">
        <f t="shared" si="609"/>
        <v>0</v>
      </c>
      <c r="BF344" s="430"/>
      <c r="BG344" s="430"/>
      <c r="BI344" s="430"/>
      <c r="BJ344" s="430"/>
      <c r="BK344" s="430"/>
      <c r="BL344" s="430"/>
      <c r="BM344" s="430"/>
    </row>
    <row r="345" spans="1:65">
      <c r="A345" s="424"/>
      <c r="B345" s="483"/>
      <c r="C345" s="424"/>
      <c r="D345" s="424"/>
      <c r="E345" s="424"/>
      <c r="F345" s="1276"/>
      <c r="G345" s="424"/>
      <c r="H345" s="424"/>
      <c r="I345" s="424">
        <v>2989.0802867000002</v>
      </c>
      <c r="J345" s="395" t="s">
        <v>1209</v>
      </c>
      <c r="K345" s="424"/>
      <c r="L345" s="424"/>
      <c r="M345" s="424"/>
      <c r="N345" s="395"/>
      <c r="O345" s="395"/>
      <c r="P345" s="1276">
        <f>P344/9.28</f>
        <v>-21.497703685545257</v>
      </c>
      <c r="Q345" s="424"/>
      <c r="R345" s="424"/>
      <c r="S345" s="424"/>
      <c r="T345" s="424"/>
      <c r="U345" s="424"/>
      <c r="V345" s="446">
        <f>V344+R344+N344</f>
        <v>483.50118900000001</v>
      </c>
      <c r="W345" s="446"/>
      <c r="X345" s="484"/>
      <c r="Y345" s="484">
        <f>+X345/V345*100</f>
        <v>0</v>
      </c>
      <c r="Z345" s="424"/>
      <c r="AA345" s="424"/>
      <c r="AB345" s="424"/>
      <c r="AC345" s="445">
        <f>Z344+AD344+AH344</f>
        <v>166.39396699999998</v>
      </c>
      <c r="AD345" s="1056"/>
      <c r="AE345" s="424"/>
      <c r="AF345" s="424"/>
      <c r="AG345" s="424"/>
      <c r="AH345" s="1243">
        <f>AH344+AD344+Z344</f>
        <v>166.39396699999998</v>
      </c>
      <c r="AI345" s="1243">
        <f>AI344+AE344+AA344</f>
        <v>136.56978222084109</v>
      </c>
      <c r="AJ345" s="1243">
        <f>AJ344+AF344+AB344</f>
        <v>29.824184779158898</v>
      </c>
      <c r="AK345" s="424"/>
      <c r="AL345" s="425"/>
      <c r="AM345" s="424"/>
      <c r="AN345" s="424"/>
      <c r="AO345" s="424"/>
      <c r="AP345" s="424"/>
      <c r="AQ345" s="424"/>
      <c r="AR345" s="424"/>
      <c r="AS345" s="424"/>
      <c r="AT345" s="446"/>
      <c r="AU345" s="424"/>
      <c r="AV345" s="424"/>
      <c r="AW345" s="424"/>
      <c r="AX345" s="1064"/>
      <c r="AY345" s="485"/>
      <c r="AZ345" s="1512"/>
      <c r="BA345" s="1950">
        <f>BA255*BA253/100</f>
        <v>-232.11953762339644</v>
      </c>
      <c r="BD345" s="445"/>
      <c r="BE345" s="446"/>
    </row>
    <row r="346" spans="1:65" ht="18">
      <c r="A346" s="486" t="s">
        <v>92</v>
      </c>
      <c r="B346" s="487"/>
      <c r="C346" s="487"/>
      <c r="D346" s="487"/>
      <c r="E346" s="487"/>
      <c r="F346" s="487"/>
      <c r="G346" s="487"/>
      <c r="H346" s="487"/>
      <c r="I346" s="487"/>
      <c r="J346" s="487"/>
      <c r="K346" s="487"/>
      <c r="L346" s="487"/>
      <c r="M346" s="487"/>
      <c r="N346" s="487"/>
      <c r="O346" s="487"/>
      <c r="P346" s="487"/>
      <c r="Q346" s="487"/>
      <c r="R346" s="487"/>
      <c r="S346" s="487"/>
      <c r="T346" s="487"/>
      <c r="U346" s="487"/>
      <c r="V346" s="487"/>
      <c r="W346" s="487"/>
      <c r="X346" s="487"/>
      <c r="Y346" s="487"/>
      <c r="Z346" s="487"/>
      <c r="AA346" s="487"/>
      <c r="AB346" s="487"/>
      <c r="AC346" s="487"/>
      <c r="AD346" s="1065"/>
      <c r="AE346" s="487"/>
      <c r="AF346" s="487"/>
      <c r="AG346" s="487"/>
      <c r="AH346" s="487"/>
      <c r="AI346" s="487"/>
      <c r="AJ346" s="487"/>
      <c r="AK346" s="487"/>
      <c r="AL346" s="487"/>
      <c r="AM346" s="487"/>
      <c r="AN346" s="487"/>
      <c r="AO346" s="487"/>
      <c r="AP346" s="487"/>
      <c r="AQ346" s="487"/>
      <c r="AR346" s="487"/>
      <c r="AS346" s="487"/>
      <c r="AT346" s="487"/>
      <c r="AU346" s="487"/>
      <c r="AV346" s="487"/>
      <c r="AW346" s="487"/>
      <c r="AX346" s="1065"/>
      <c r="AY346" s="487"/>
      <c r="AZ346" s="487"/>
      <c r="BA346" s="2528">
        <f>BA255-BA345</f>
        <v>1829.3637566233963</v>
      </c>
      <c r="BB346" s="487">
        <f>BA346*BB222</f>
        <v>1680.6989416091437</v>
      </c>
      <c r="BC346" s="944">
        <f>BA346-BB346</f>
        <v>148.66481501425255</v>
      </c>
    </row>
    <row r="347" spans="1:65" ht="18.600000000000001" thickBot="1">
      <c r="A347" s="489">
        <f>A225</f>
        <v>2023</v>
      </c>
      <c r="B347" s="487"/>
      <c r="C347" s="487"/>
      <c r="D347" s="487"/>
      <c r="E347" s="487"/>
      <c r="F347" s="487"/>
      <c r="G347" s="487"/>
      <c r="H347" s="487"/>
      <c r="I347" s="487"/>
      <c r="J347" s="487"/>
      <c r="K347" s="487"/>
      <c r="L347" s="487"/>
      <c r="M347" s="487"/>
      <c r="N347" s="487"/>
      <c r="O347" s="487"/>
      <c r="P347" s="487"/>
      <c r="Q347" s="487"/>
      <c r="R347" s="487"/>
      <c r="S347" s="487"/>
      <c r="T347" s="487"/>
      <c r="U347" s="487"/>
      <c r="V347" s="487"/>
      <c r="W347" s="487"/>
      <c r="X347" s="487"/>
      <c r="Y347" s="487"/>
      <c r="Z347" s="487"/>
      <c r="AA347" s="487"/>
      <c r="AB347" s="487"/>
      <c r="AC347" s="487"/>
      <c r="AD347" s="1065"/>
      <c r="AE347" s="487"/>
      <c r="AF347" s="487"/>
      <c r="AG347" s="487"/>
      <c r="AH347" s="487"/>
      <c r="AI347" s="487"/>
      <c r="AJ347" s="487"/>
      <c r="AK347" s="487"/>
      <c r="AL347" s="487"/>
      <c r="AM347" s="487"/>
      <c r="AN347" s="487"/>
      <c r="AO347" s="487"/>
      <c r="AP347" s="487"/>
      <c r="AQ347" s="487"/>
      <c r="AR347" s="487"/>
      <c r="AS347" s="487"/>
      <c r="AT347" s="487"/>
      <c r="AU347" s="487"/>
      <c r="AV347" s="487"/>
      <c r="AW347" s="487"/>
      <c r="AX347" s="1065"/>
      <c r="AY347" s="487"/>
      <c r="AZ347" s="487"/>
      <c r="BA347" s="487"/>
      <c r="BB347" s="487"/>
      <c r="BI347" s="430"/>
      <c r="BJ347" s="430"/>
      <c r="BK347" s="430"/>
      <c r="BL347" s="430"/>
      <c r="BM347" s="430"/>
    </row>
    <row r="348" spans="1:65">
      <c r="A348" s="2815" t="str">
        <f>A226</f>
        <v>DD</v>
      </c>
      <c r="B348" s="2827" t="s">
        <v>71</v>
      </c>
      <c r="C348" s="2828"/>
      <c r="D348" s="2828"/>
      <c r="E348" s="3091"/>
      <c r="F348" s="2829" t="s">
        <v>72</v>
      </c>
      <c r="G348" s="2830"/>
      <c r="H348" s="2830"/>
      <c r="I348" s="3095"/>
      <c r="J348" s="2817" t="s">
        <v>73</v>
      </c>
      <c r="K348" s="2818"/>
      <c r="L348" s="2818"/>
      <c r="M348" s="3094"/>
      <c r="N348" s="2819" t="s">
        <v>74</v>
      </c>
      <c r="O348" s="2820"/>
      <c r="P348" s="2820"/>
      <c r="Q348" s="3090"/>
      <c r="R348" s="2821" t="s">
        <v>75</v>
      </c>
      <c r="S348" s="2822"/>
      <c r="T348" s="2822"/>
      <c r="U348" s="3093"/>
      <c r="V348" s="2823" t="s">
        <v>76</v>
      </c>
      <c r="W348" s="2824"/>
      <c r="X348" s="2824"/>
      <c r="Y348" s="3089"/>
      <c r="Z348" s="2827" t="s">
        <v>77</v>
      </c>
      <c r="AA348" s="2828"/>
      <c r="AB348" s="2828"/>
      <c r="AC348" s="3091"/>
      <c r="AD348" s="2829" t="s">
        <v>78</v>
      </c>
      <c r="AE348" s="2830"/>
      <c r="AF348" s="2830"/>
      <c r="AG348" s="3095"/>
      <c r="AH348" s="2817" t="s">
        <v>79</v>
      </c>
      <c r="AI348" s="2818"/>
      <c r="AJ348" s="2818"/>
      <c r="AK348" s="3094"/>
      <c r="AL348" s="2819" t="s">
        <v>80</v>
      </c>
      <c r="AM348" s="2820"/>
      <c r="AN348" s="2820"/>
      <c r="AO348" s="3090"/>
      <c r="AP348" s="2821" t="s">
        <v>81</v>
      </c>
      <c r="AQ348" s="2822"/>
      <c r="AR348" s="2822"/>
      <c r="AS348" s="3093"/>
      <c r="AT348" s="2823" t="s">
        <v>82</v>
      </c>
      <c r="AU348" s="2824"/>
      <c r="AV348" s="2824"/>
      <c r="AW348" s="3089"/>
      <c r="AX348" s="3097" t="s">
        <v>83</v>
      </c>
      <c r="AY348" s="3098"/>
      <c r="AZ348" s="3098"/>
      <c r="BA348" s="3098"/>
      <c r="BB348" s="3099"/>
    </row>
    <row r="349" spans="1:65" ht="14.4" thickBot="1">
      <c r="A349" s="2816"/>
      <c r="B349" s="402" t="s">
        <v>17</v>
      </c>
      <c r="C349" s="403" t="s">
        <v>18</v>
      </c>
      <c r="D349" s="403" t="s">
        <v>56</v>
      </c>
      <c r="E349" s="404" t="s">
        <v>21</v>
      </c>
      <c r="F349" s="402" t="s">
        <v>17</v>
      </c>
      <c r="G349" s="403" t="s">
        <v>18</v>
      </c>
      <c r="H349" s="403" t="s">
        <v>56</v>
      </c>
      <c r="I349" s="404" t="s">
        <v>21</v>
      </c>
      <c r="J349" s="402" t="s">
        <v>17</v>
      </c>
      <c r="K349" s="403" t="s">
        <v>18</v>
      </c>
      <c r="L349" s="403" t="s">
        <v>56</v>
      </c>
      <c r="M349" s="404" t="s">
        <v>21</v>
      </c>
      <c r="N349" s="402" t="s">
        <v>17</v>
      </c>
      <c r="O349" s="403" t="s">
        <v>18</v>
      </c>
      <c r="P349" s="403" t="s">
        <v>56</v>
      </c>
      <c r="Q349" s="404" t="s">
        <v>21</v>
      </c>
      <c r="R349" s="402" t="s">
        <v>17</v>
      </c>
      <c r="S349" s="403" t="s">
        <v>18</v>
      </c>
      <c r="T349" s="403" t="s">
        <v>56</v>
      </c>
      <c r="U349" s="404" t="s">
        <v>21</v>
      </c>
      <c r="V349" s="402" t="s">
        <v>17</v>
      </c>
      <c r="W349" s="403" t="s">
        <v>18</v>
      </c>
      <c r="X349" s="403" t="s">
        <v>56</v>
      </c>
      <c r="Y349" s="404" t="s">
        <v>21</v>
      </c>
      <c r="Z349" s="402" t="s">
        <v>17</v>
      </c>
      <c r="AA349" s="403" t="s">
        <v>18</v>
      </c>
      <c r="AB349" s="403" t="s">
        <v>56</v>
      </c>
      <c r="AC349" s="404" t="s">
        <v>21</v>
      </c>
      <c r="AD349" s="1062" t="s">
        <v>17</v>
      </c>
      <c r="AE349" s="403" t="s">
        <v>18</v>
      </c>
      <c r="AF349" s="403" t="s">
        <v>56</v>
      </c>
      <c r="AG349" s="404" t="s">
        <v>21</v>
      </c>
      <c r="AH349" s="402" t="s">
        <v>17</v>
      </c>
      <c r="AI349" s="403" t="s">
        <v>18</v>
      </c>
      <c r="AJ349" s="403" t="s">
        <v>56</v>
      </c>
      <c r="AK349" s="404" t="s">
        <v>21</v>
      </c>
      <c r="AL349" s="402" t="s">
        <v>17</v>
      </c>
      <c r="AM349" s="403" t="s">
        <v>18</v>
      </c>
      <c r="AN349" s="403" t="s">
        <v>56</v>
      </c>
      <c r="AO349" s="404" t="s">
        <v>21</v>
      </c>
      <c r="AP349" s="402" t="s">
        <v>17</v>
      </c>
      <c r="AQ349" s="403" t="s">
        <v>18</v>
      </c>
      <c r="AR349" s="403" t="s">
        <v>56</v>
      </c>
      <c r="AS349" s="404" t="s">
        <v>21</v>
      </c>
      <c r="AT349" s="402" t="s">
        <v>17</v>
      </c>
      <c r="AU349" s="403" t="s">
        <v>18</v>
      </c>
      <c r="AV349" s="403" t="s">
        <v>56</v>
      </c>
      <c r="AW349" s="404" t="s">
        <v>21</v>
      </c>
      <c r="AX349" s="1057" t="s">
        <v>17</v>
      </c>
      <c r="AY349" s="403" t="s">
        <v>18</v>
      </c>
      <c r="AZ349" s="403" t="s">
        <v>56</v>
      </c>
      <c r="BA349" s="431" t="s">
        <v>21</v>
      </c>
      <c r="BB349" s="404" t="s">
        <v>160</v>
      </c>
      <c r="BD349" s="403" t="s">
        <v>17</v>
      </c>
      <c r="BE349" s="403" t="s">
        <v>18</v>
      </c>
      <c r="BF349" s="403" t="s">
        <v>56</v>
      </c>
      <c r="BG349" s="431" t="s">
        <v>21</v>
      </c>
    </row>
    <row r="350" spans="1:65">
      <c r="A350" s="397" t="s">
        <v>6</v>
      </c>
      <c r="B350" s="438">
        <v>136.07823941000001</v>
      </c>
      <c r="C350" s="439">
        <v>3.2400621600000008</v>
      </c>
      <c r="D350" s="440">
        <f t="shared" ref="D350:D359" si="610">B350+C350</f>
        <v>139.31830157000002</v>
      </c>
      <c r="E350" s="441">
        <v>31.141102199999995</v>
      </c>
      <c r="F350" s="438">
        <v>193.28314429999998</v>
      </c>
      <c r="G350" s="439">
        <v>5.3993593800000008</v>
      </c>
      <c r="H350" s="440">
        <f>F350+G350</f>
        <v>198.68250367999997</v>
      </c>
      <c r="I350" s="441">
        <v>30.129850770000001</v>
      </c>
      <c r="J350" s="450">
        <v>175.58918502999964</v>
      </c>
      <c r="K350" s="451">
        <v>11.8295906</v>
      </c>
      <c r="L350" s="453">
        <f t="shared" ref="L350:L359" si="611">J350+K350</f>
        <v>187.41877562999963</v>
      </c>
      <c r="M350" s="452">
        <v>22.53364964</v>
      </c>
      <c r="N350" s="450">
        <v>157.87284409999995</v>
      </c>
      <c r="O350" s="451">
        <v>3.4979118599999999</v>
      </c>
      <c r="P350" s="453">
        <f t="shared" ref="P350:P359" si="612">N350+O350</f>
        <v>161.37075595999994</v>
      </c>
      <c r="Q350" s="452">
        <v>20.1182965</v>
      </c>
      <c r="R350" s="438">
        <v>89.966460959999992</v>
      </c>
      <c r="S350" s="439">
        <v>1.8692688699999997</v>
      </c>
      <c r="T350" s="440">
        <f t="shared" ref="T350:T359" si="613">R350+S350</f>
        <v>91.835729829999991</v>
      </c>
      <c r="U350" s="441">
        <v>24.227354769999994</v>
      </c>
      <c r="V350" s="438">
        <v>52.614758770000002</v>
      </c>
      <c r="W350" s="439">
        <v>2.3728378699999997</v>
      </c>
      <c r="X350" s="440">
        <f t="shared" ref="X350:X359" si="614">V350+W350</f>
        <v>54.98759664</v>
      </c>
      <c r="Y350" s="441">
        <v>21.824126679999999</v>
      </c>
      <c r="Z350" s="438">
        <v>47.629398119999998</v>
      </c>
      <c r="AA350" s="439">
        <v>0.51067888000000006</v>
      </c>
      <c r="AB350" s="440">
        <f t="shared" ref="AB350:AB359" si="615">Z350+AA350</f>
        <v>48.140076999999998</v>
      </c>
      <c r="AC350" s="441">
        <v>27.976441990000001</v>
      </c>
      <c r="AD350" s="438">
        <v>37.091052160000004</v>
      </c>
      <c r="AE350" s="439">
        <v>0.69461609999999996</v>
      </c>
      <c r="AF350" s="440">
        <f t="shared" ref="AF350:AF359" si="616">AD350+AE350</f>
        <v>37.785668260000001</v>
      </c>
      <c r="AG350" s="441">
        <v>26.963627379999998</v>
      </c>
      <c r="AH350" s="438"/>
      <c r="AI350" s="439"/>
      <c r="AJ350" s="440">
        <f t="shared" ref="AJ350:AJ359" si="617">AH350+AI350</f>
        <v>0</v>
      </c>
      <c r="AK350" s="441"/>
      <c r="AL350" s="438"/>
      <c r="AM350" s="439"/>
      <c r="AN350" s="440">
        <f t="shared" ref="AN350:AN359" si="618">AL350+AM350</f>
        <v>0</v>
      </c>
      <c r="AO350" s="441"/>
      <c r="AP350" s="438"/>
      <c r="AQ350" s="439"/>
      <c r="AR350" s="440">
        <f t="shared" ref="AR350:AR359" si="619">AP350+AQ350</f>
        <v>0</v>
      </c>
      <c r="AS350" s="441"/>
      <c r="AT350" s="438"/>
      <c r="AU350" s="439"/>
      <c r="AV350" s="440">
        <f t="shared" ref="AV350:AV359" si="620">AT350+AU350</f>
        <v>0</v>
      </c>
      <c r="AW350" s="441"/>
      <c r="AX350" s="1066">
        <f>+B350+F350+J350+N350+R350+V350+Z350+AD350+AH350+AL350+AP350+AT350</f>
        <v>890.12508284999956</v>
      </c>
      <c r="AY350" s="822">
        <f t="shared" ref="AY350:BA359" si="621">+C350+G350+K350+O350+S350+W350+AA350+AE350+AI350+AM350+AQ350+AU350</f>
        <v>29.414325719999997</v>
      </c>
      <c r="AZ350" s="822">
        <f t="shared" si="621"/>
        <v>919.53940856999952</v>
      </c>
      <c r="BA350" s="823">
        <f t="shared" si="621"/>
        <v>204.91444992999999</v>
      </c>
      <c r="BB350" s="824">
        <f>+AZ350+BA350</f>
        <v>1124.4538584999996</v>
      </c>
      <c r="BD350" s="445">
        <f>AD350</f>
        <v>37.091052160000004</v>
      </c>
      <c r="BE350" s="445">
        <f>AE350</f>
        <v>0.69461609999999996</v>
      </c>
      <c r="BF350" s="445">
        <f>AF350</f>
        <v>37.785668260000001</v>
      </c>
      <c r="BG350" s="445">
        <f>AG350</f>
        <v>26.963627379999998</v>
      </c>
      <c r="BI350" s="430"/>
      <c r="BJ350" s="430"/>
      <c r="BK350" s="430"/>
      <c r="BL350" s="430"/>
      <c r="BM350" s="430"/>
    </row>
    <row r="351" spans="1:65">
      <c r="A351" s="397" t="s">
        <v>7</v>
      </c>
      <c r="B351" s="438">
        <v>176.89832992000001</v>
      </c>
      <c r="C351" s="439">
        <v>4.2035047300000006</v>
      </c>
      <c r="D351" s="440">
        <f t="shared" si="610"/>
        <v>181.10183465</v>
      </c>
      <c r="E351" s="441">
        <v>11.231795910000001</v>
      </c>
      <c r="F351" s="438">
        <v>204.88923788</v>
      </c>
      <c r="G351" s="439">
        <v>5.73623905</v>
      </c>
      <c r="H351" s="440">
        <f t="shared" ref="H351:H359" si="622">F351+G351</f>
        <v>210.62547692999999</v>
      </c>
      <c r="I351" s="441">
        <v>11.14458941</v>
      </c>
      <c r="J351" s="450">
        <v>142.12803999000002</v>
      </c>
      <c r="K351" s="451">
        <v>24.4051872</v>
      </c>
      <c r="L351" s="453">
        <f t="shared" si="611"/>
        <v>166.53322719000002</v>
      </c>
      <c r="M351" s="452">
        <v>10.77550666</v>
      </c>
      <c r="N351" s="450">
        <v>181.21226089999999</v>
      </c>
      <c r="O351" s="451">
        <v>5.7695363400000002</v>
      </c>
      <c r="P351" s="453">
        <f t="shared" si="612"/>
        <v>186.98179723999999</v>
      </c>
      <c r="Q351" s="452">
        <v>8.4955863699999998</v>
      </c>
      <c r="R351" s="438">
        <v>95.855781440000001</v>
      </c>
      <c r="S351" s="439">
        <v>2.82944482</v>
      </c>
      <c r="T351" s="440">
        <f t="shared" si="613"/>
        <v>98.685226260000007</v>
      </c>
      <c r="U351" s="441">
        <v>6.3498550600000003</v>
      </c>
      <c r="V351" s="438">
        <v>34.728000000000002</v>
      </c>
      <c r="W351" s="439">
        <v>5.8460000000000001</v>
      </c>
      <c r="X351" s="440">
        <f t="shared" si="614"/>
        <v>40.573999999999998</v>
      </c>
      <c r="Y351" s="441">
        <v>5.5687051600000004</v>
      </c>
      <c r="Z351" s="438">
        <v>37.949241389999997</v>
      </c>
      <c r="AA351" s="439">
        <v>0.86301064999999999</v>
      </c>
      <c r="AB351" s="440">
        <f t="shared" si="615"/>
        <v>38.812252039999997</v>
      </c>
      <c r="AC351" s="441">
        <v>4.7110571300000013</v>
      </c>
      <c r="AD351" s="438">
        <v>24.615839520000002</v>
      </c>
      <c r="AE351" s="439">
        <v>0.35414785999999998</v>
      </c>
      <c r="AF351" s="440">
        <f t="shared" si="616"/>
        <v>24.969987380000003</v>
      </c>
      <c r="AG351" s="441">
        <v>4.3367673599999996</v>
      </c>
      <c r="AH351" s="438"/>
      <c r="AI351" s="439"/>
      <c r="AJ351" s="440">
        <f t="shared" si="617"/>
        <v>0</v>
      </c>
      <c r="AK351" s="441"/>
      <c r="AL351" s="438"/>
      <c r="AM351" s="439"/>
      <c r="AN351" s="440">
        <f t="shared" si="618"/>
        <v>0</v>
      </c>
      <c r="AO351" s="441"/>
      <c r="AP351" s="438"/>
      <c r="AQ351" s="439"/>
      <c r="AR351" s="440">
        <f t="shared" si="619"/>
        <v>0</v>
      </c>
      <c r="AS351" s="441"/>
      <c r="AT351" s="438"/>
      <c r="AU351" s="439"/>
      <c r="AV351" s="440">
        <f t="shared" si="620"/>
        <v>0</v>
      </c>
      <c r="AW351" s="441"/>
      <c r="AX351" s="1061">
        <f t="shared" ref="AX351:AX359" si="623">+B351+F351+J351+N351+R351+V351+Z351+AD351+AH351+AL351+AP351+AT351</f>
        <v>898.27673103999996</v>
      </c>
      <c r="AY351" s="447">
        <f t="shared" si="621"/>
        <v>50.007070649999996</v>
      </c>
      <c r="AZ351" s="447">
        <f t="shared" si="621"/>
        <v>948.28380169000002</v>
      </c>
      <c r="BA351" s="825">
        <f t="shared" si="621"/>
        <v>62.61386306</v>
      </c>
      <c r="BB351" s="826">
        <f t="shared" ref="BB351:BB359" si="624">+AZ351+BA351</f>
        <v>1010.89766475</v>
      </c>
      <c r="BD351" s="445">
        <f t="shared" ref="BD351:BD360" si="625">AD351</f>
        <v>24.615839520000002</v>
      </c>
      <c r="BE351" s="445">
        <f t="shared" ref="BE351:BE359" si="626">AE351</f>
        <v>0.35414785999999998</v>
      </c>
      <c r="BF351" s="445">
        <f t="shared" ref="BF351:BF359" si="627">AF351</f>
        <v>24.969987380000003</v>
      </c>
      <c r="BG351" s="445">
        <f t="shared" ref="BG351:BG359" si="628">AG351</f>
        <v>4.3367673599999996</v>
      </c>
    </row>
    <row r="352" spans="1:65">
      <c r="A352" s="397" t="s">
        <v>8</v>
      </c>
      <c r="B352" s="438">
        <v>183.36347522000003</v>
      </c>
      <c r="C352" s="439">
        <v>11.042952419999999</v>
      </c>
      <c r="D352" s="440">
        <f t="shared" si="610"/>
        <v>194.40642764000003</v>
      </c>
      <c r="E352" s="441">
        <v>8.2431435299999993</v>
      </c>
      <c r="F352" s="438">
        <v>176.73739633</v>
      </c>
      <c r="G352" s="439">
        <v>8.7583511000000005</v>
      </c>
      <c r="H352" s="440">
        <f t="shared" si="622"/>
        <v>185.49574742999999</v>
      </c>
      <c r="I352" s="441">
        <v>10.68454</v>
      </c>
      <c r="J352" s="450">
        <v>140.19329923000001</v>
      </c>
      <c r="K352" s="451">
        <v>16.008612759999998</v>
      </c>
      <c r="L352" s="453">
        <f t="shared" si="611"/>
        <v>156.20191199000001</v>
      </c>
      <c r="M352" s="452">
        <v>8.0376185099999997</v>
      </c>
      <c r="N352" s="450">
        <v>163.5243251</v>
      </c>
      <c r="O352" s="451">
        <v>9.2300348200000002</v>
      </c>
      <c r="P352" s="453">
        <f t="shared" si="612"/>
        <v>172.75435992000001</v>
      </c>
      <c r="Q352" s="452">
        <v>5.3397815399999997</v>
      </c>
      <c r="R352" s="438">
        <v>81.764669999999995</v>
      </c>
      <c r="S352" s="439">
        <v>4.8091400000000002</v>
      </c>
      <c r="T352" s="440">
        <f t="shared" si="613"/>
        <v>86.573809999999995</v>
      </c>
      <c r="U352" s="441">
        <v>3.71187975</v>
      </c>
      <c r="V352" s="438">
        <v>40.852145849999999</v>
      </c>
      <c r="W352" s="439">
        <v>4.1204289900000006</v>
      </c>
      <c r="X352" s="440">
        <f t="shared" si="614"/>
        <v>44.97257484</v>
      </c>
      <c r="Y352" s="441">
        <v>5.2750384300000004</v>
      </c>
      <c r="Z352" s="438">
        <v>39.409999999999997</v>
      </c>
      <c r="AA352" s="439">
        <v>1.64</v>
      </c>
      <c r="AB352" s="440">
        <f t="shared" si="615"/>
        <v>41.05</v>
      </c>
      <c r="AC352" s="441">
        <v>3.3</v>
      </c>
      <c r="AD352" s="438">
        <v>22.099317370000001</v>
      </c>
      <c r="AE352" s="439">
        <v>0.76098030000000005</v>
      </c>
      <c r="AF352" s="440">
        <f t="shared" si="616"/>
        <v>22.860297670000001</v>
      </c>
      <c r="AG352" s="441">
        <v>2.6764683700000003</v>
      </c>
      <c r="AH352" s="438"/>
      <c r="AI352" s="439"/>
      <c r="AJ352" s="440">
        <f t="shared" si="617"/>
        <v>0</v>
      </c>
      <c r="AK352" s="441"/>
      <c r="AL352" s="438"/>
      <c r="AM352" s="439"/>
      <c r="AN352" s="440">
        <f t="shared" si="618"/>
        <v>0</v>
      </c>
      <c r="AO352" s="441"/>
      <c r="AP352" s="438"/>
      <c r="AQ352" s="439"/>
      <c r="AR352" s="440">
        <f t="shared" si="619"/>
        <v>0</v>
      </c>
      <c r="AS352" s="441"/>
      <c r="AT352" s="438"/>
      <c r="AU352" s="439"/>
      <c r="AV352" s="440">
        <f t="shared" si="620"/>
        <v>0</v>
      </c>
      <c r="AW352" s="441"/>
      <c r="AX352" s="1061">
        <f t="shared" si="623"/>
        <v>847.94462909999993</v>
      </c>
      <c r="AY352" s="447">
        <f t="shared" si="621"/>
        <v>56.370500389999997</v>
      </c>
      <c r="AZ352" s="447">
        <f t="shared" si="621"/>
        <v>904.31512949</v>
      </c>
      <c r="BA352" s="825">
        <f t="shared" si="621"/>
        <v>47.268470129999997</v>
      </c>
      <c r="BB352" s="826">
        <f t="shared" si="624"/>
        <v>951.58359961999997</v>
      </c>
      <c r="BD352" s="445">
        <f t="shared" si="625"/>
        <v>22.099317370000001</v>
      </c>
      <c r="BE352" s="445">
        <f t="shared" si="626"/>
        <v>0.76098030000000005</v>
      </c>
      <c r="BF352" s="445">
        <f t="shared" si="627"/>
        <v>22.860297670000001</v>
      </c>
      <c r="BG352" s="445">
        <f t="shared" si="628"/>
        <v>2.6764683700000003</v>
      </c>
    </row>
    <row r="353" spans="1:65">
      <c r="A353" s="397" t="s">
        <v>4</v>
      </c>
      <c r="B353" s="438">
        <v>242.58475505999999</v>
      </c>
      <c r="C353" s="439">
        <v>8.4037976600000004</v>
      </c>
      <c r="D353" s="440">
        <f t="shared" si="610"/>
        <v>250.98855272</v>
      </c>
      <c r="E353" s="441">
        <v>14.149520530000002</v>
      </c>
      <c r="F353" s="438">
        <v>319.77592613999991</v>
      </c>
      <c r="G353" s="439">
        <v>12.066972099999997</v>
      </c>
      <c r="H353" s="440">
        <f t="shared" si="622"/>
        <v>331.8428982399999</v>
      </c>
      <c r="I353" s="441">
        <v>15.50652934</v>
      </c>
      <c r="J353" s="450">
        <v>286.93632220000001</v>
      </c>
      <c r="K353" s="451">
        <v>16.851141469999998</v>
      </c>
      <c r="L353" s="453">
        <f t="shared" si="611"/>
        <v>303.78746367000002</v>
      </c>
      <c r="M353" s="452">
        <v>12.065895709999999</v>
      </c>
      <c r="N353" s="450">
        <v>285.15258115999995</v>
      </c>
      <c r="O353" s="451">
        <v>11.665558150000003</v>
      </c>
      <c r="P353" s="453">
        <f t="shared" si="612"/>
        <v>296.81813930999994</v>
      </c>
      <c r="Q353" s="452">
        <v>8.9883896300000004</v>
      </c>
      <c r="R353" s="438">
        <v>144.81686138999999</v>
      </c>
      <c r="S353" s="439">
        <v>6.2215889100000004</v>
      </c>
      <c r="T353" s="440">
        <f t="shared" si="613"/>
        <v>151.03845029999999</v>
      </c>
      <c r="U353" s="441">
        <v>7.8538293699999997</v>
      </c>
      <c r="V353" s="438">
        <v>76.178058800000002</v>
      </c>
      <c r="W353" s="439">
        <v>4.7233986800000007</v>
      </c>
      <c r="X353" s="440">
        <f t="shared" si="614"/>
        <v>80.901457480000005</v>
      </c>
      <c r="Y353" s="441">
        <v>6.7721771199999994</v>
      </c>
      <c r="Z353" s="438">
        <v>64.809144809999992</v>
      </c>
      <c r="AA353" s="439">
        <v>2.9001218199999999</v>
      </c>
      <c r="AB353" s="440">
        <f t="shared" si="615"/>
        <v>67.709266629999988</v>
      </c>
      <c r="AC353" s="441">
        <v>6.2445766300000001</v>
      </c>
      <c r="AD353" s="438">
        <v>38.622178980000001</v>
      </c>
      <c r="AE353" s="439">
        <v>0.98810300999999989</v>
      </c>
      <c r="AF353" s="440">
        <f t="shared" si="616"/>
        <v>39.610281990000004</v>
      </c>
      <c r="AG353" s="441">
        <v>6.5452774599999994</v>
      </c>
      <c r="AH353" s="438"/>
      <c r="AI353" s="439"/>
      <c r="AJ353" s="440">
        <f t="shared" si="617"/>
        <v>0</v>
      </c>
      <c r="AK353" s="441"/>
      <c r="AL353" s="438"/>
      <c r="AM353" s="439"/>
      <c r="AN353" s="440">
        <f t="shared" si="618"/>
        <v>0</v>
      </c>
      <c r="AO353" s="441"/>
      <c r="AP353" s="438"/>
      <c r="AQ353" s="439"/>
      <c r="AR353" s="440">
        <f t="shared" si="619"/>
        <v>0</v>
      </c>
      <c r="AS353" s="441"/>
      <c r="AT353" s="438"/>
      <c r="AU353" s="439"/>
      <c r="AV353" s="440">
        <f t="shared" si="620"/>
        <v>0</v>
      </c>
      <c r="AW353" s="441"/>
      <c r="AX353" s="1061">
        <f t="shared" si="623"/>
        <v>1458.8758285399997</v>
      </c>
      <c r="AY353" s="447">
        <f t="shared" si="621"/>
        <v>63.82068180000001</v>
      </c>
      <c r="AZ353" s="447">
        <f t="shared" si="621"/>
        <v>1522.6965103399998</v>
      </c>
      <c r="BA353" s="825">
        <f t="shared" si="621"/>
        <v>78.126195789999997</v>
      </c>
      <c r="BB353" s="826">
        <f t="shared" si="624"/>
        <v>1600.8227061299999</v>
      </c>
      <c r="BD353" s="445">
        <f t="shared" si="625"/>
        <v>38.622178980000001</v>
      </c>
      <c r="BE353" s="445">
        <f t="shared" si="626"/>
        <v>0.98810300999999989</v>
      </c>
      <c r="BF353" s="445">
        <f t="shared" si="627"/>
        <v>39.610281990000004</v>
      </c>
      <c r="BG353" s="445">
        <f t="shared" si="628"/>
        <v>6.5452774599999994</v>
      </c>
      <c r="BI353" s="430"/>
      <c r="BJ353" s="430"/>
      <c r="BK353" s="430"/>
      <c r="BL353" s="430"/>
      <c r="BM353" s="430"/>
    </row>
    <row r="354" spans="1:65">
      <c r="A354" s="397" t="s">
        <v>3</v>
      </c>
      <c r="B354" s="438">
        <v>296.01028066999993</v>
      </c>
      <c r="C354" s="439">
        <v>8.488071810000001</v>
      </c>
      <c r="D354" s="440">
        <f t="shared" si="610"/>
        <v>304.49835247999994</v>
      </c>
      <c r="E354" s="441">
        <v>14.71690605</v>
      </c>
      <c r="F354" s="438">
        <v>350.12883873999999</v>
      </c>
      <c r="G354" s="439">
        <v>11.886164310000002</v>
      </c>
      <c r="H354" s="440">
        <f t="shared" si="622"/>
        <v>362.01500305000002</v>
      </c>
      <c r="I354" s="441">
        <v>15.07907471</v>
      </c>
      <c r="J354" s="450">
        <v>251.84773555000001</v>
      </c>
      <c r="K354" s="451">
        <v>41.02645471999999</v>
      </c>
      <c r="L354" s="453">
        <f t="shared" si="611"/>
        <v>292.87419026999999</v>
      </c>
      <c r="M354" s="452">
        <v>13.426735750000001</v>
      </c>
      <c r="N354" s="450">
        <v>263.44845310000005</v>
      </c>
      <c r="O354" s="451">
        <v>5.6923140699999992</v>
      </c>
      <c r="P354" s="453">
        <f t="shared" si="612"/>
        <v>269.14076717000006</v>
      </c>
      <c r="Q354" s="452">
        <v>6.4479421299999995</v>
      </c>
      <c r="R354" s="438">
        <v>150.54158337000001</v>
      </c>
      <c r="S354" s="439">
        <v>4.5110393499999999</v>
      </c>
      <c r="T354" s="440">
        <f t="shared" si="613"/>
        <v>155.05262272000002</v>
      </c>
      <c r="U354" s="441">
        <v>6.2218677099999997</v>
      </c>
      <c r="V354" s="438">
        <v>69.399987199999998</v>
      </c>
      <c r="W354" s="439">
        <v>14.831834469999999</v>
      </c>
      <c r="X354" s="440">
        <f t="shared" si="614"/>
        <v>84.231821670000002</v>
      </c>
      <c r="Y354" s="441">
        <v>4.371057050000001</v>
      </c>
      <c r="Z354" s="438">
        <v>67.739014680000011</v>
      </c>
      <c r="AA354" s="439">
        <v>0.35956126999999988</v>
      </c>
      <c r="AB354" s="440">
        <f t="shared" si="615"/>
        <v>68.098575950000011</v>
      </c>
      <c r="AC354" s="441">
        <v>3.93918985</v>
      </c>
      <c r="AD354" s="438">
        <v>42.935211460000005</v>
      </c>
      <c r="AE354" s="439">
        <v>0.98552340999999999</v>
      </c>
      <c r="AF354" s="440">
        <f t="shared" si="616"/>
        <v>43.920734870000004</v>
      </c>
      <c r="AG354" s="441">
        <v>3.9536792300000001</v>
      </c>
      <c r="AH354" s="438"/>
      <c r="AI354" s="439"/>
      <c r="AJ354" s="440">
        <f t="shared" si="617"/>
        <v>0</v>
      </c>
      <c r="AK354" s="441"/>
      <c r="AL354" s="438"/>
      <c r="AM354" s="439"/>
      <c r="AN354" s="440">
        <f t="shared" si="618"/>
        <v>0</v>
      </c>
      <c r="AO354" s="441"/>
      <c r="AP354" s="438"/>
      <c r="AQ354" s="439"/>
      <c r="AR354" s="440">
        <f t="shared" si="619"/>
        <v>0</v>
      </c>
      <c r="AS354" s="441"/>
      <c r="AT354" s="438"/>
      <c r="AU354" s="439"/>
      <c r="AV354" s="440">
        <f t="shared" si="620"/>
        <v>0</v>
      </c>
      <c r="AW354" s="441"/>
      <c r="AX354" s="1061">
        <f t="shared" si="623"/>
        <v>1492.0511047699997</v>
      </c>
      <c r="AY354" s="447">
        <f t="shared" si="621"/>
        <v>87.780963409999998</v>
      </c>
      <c r="AZ354" s="447">
        <f t="shared" si="621"/>
        <v>1579.8320681799999</v>
      </c>
      <c r="BA354" s="825">
        <f t="shared" si="621"/>
        <v>68.156452480000013</v>
      </c>
      <c r="BB354" s="826">
        <f t="shared" si="624"/>
        <v>1647.9885206599999</v>
      </c>
      <c r="BD354" s="445">
        <f t="shared" si="625"/>
        <v>42.935211460000005</v>
      </c>
      <c r="BE354" s="445">
        <f t="shared" si="626"/>
        <v>0.98552340999999999</v>
      </c>
      <c r="BF354" s="445">
        <f t="shared" si="627"/>
        <v>43.920734870000004</v>
      </c>
      <c r="BG354" s="445">
        <f t="shared" si="628"/>
        <v>3.9536792300000001</v>
      </c>
    </row>
    <row r="355" spans="1:65">
      <c r="A355" s="397" t="s">
        <v>397</v>
      </c>
      <c r="B355" s="438">
        <v>46.970887060000003</v>
      </c>
      <c r="C355" s="439">
        <v>3.0946128900000001</v>
      </c>
      <c r="D355" s="440">
        <f t="shared" si="610"/>
        <v>50.065499950000003</v>
      </c>
      <c r="E355" s="441">
        <v>8.9618663900000008</v>
      </c>
      <c r="F355" s="438">
        <v>73.284329400000061</v>
      </c>
      <c r="G355" s="439">
        <v>3.4080843999999999</v>
      </c>
      <c r="H355" s="440">
        <f t="shared" si="622"/>
        <v>76.692413800000054</v>
      </c>
      <c r="I355" s="441">
        <v>7.2785611299999999</v>
      </c>
      <c r="J355" s="450">
        <v>78.36230359000001</v>
      </c>
      <c r="K355" s="451">
        <v>2.6758908300000002</v>
      </c>
      <c r="L355" s="453">
        <f t="shared" si="611"/>
        <v>81.038194420000011</v>
      </c>
      <c r="M355" s="452">
        <v>6.0845943400000007</v>
      </c>
      <c r="N355" s="450">
        <v>69.872769359999992</v>
      </c>
      <c r="O355" s="451">
        <v>3.97655051</v>
      </c>
      <c r="P355" s="453">
        <f t="shared" si="612"/>
        <v>73.849319869999988</v>
      </c>
      <c r="Q355" s="452">
        <v>6.8134495999999993</v>
      </c>
      <c r="R355" s="438">
        <v>39.401408420000003</v>
      </c>
      <c r="S355" s="439">
        <v>1.4241629000000002</v>
      </c>
      <c r="T355" s="440">
        <f t="shared" si="613"/>
        <v>40.825571320000002</v>
      </c>
      <c r="U355" s="441">
        <v>4.5057630200000007</v>
      </c>
      <c r="V355" s="438">
        <v>29.67447434</v>
      </c>
      <c r="W355" s="439">
        <v>0.88602709999999996</v>
      </c>
      <c r="X355" s="440">
        <f t="shared" si="614"/>
        <v>30.560501439999999</v>
      </c>
      <c r="Y355" s="441">
        <v>3.1146187099999998</v>
      </c>
      <c r="Z355" s="438">
        <v>24.080723070000435</v>
      </c>
      <c r="AA355" s="439">
        <v>0.73079959999999999</v>
      </c>
      <c r="AB355" s="440">
        <f t="shared" si="615"/>
        <v>24.811522670000436</v>
      </c>
      <c r="AC355" s="441">
        <v>5.2316698300000004</v>
      </c>
      <c r="AD355" s="438">
        <v>12.88872984000003</v>
      </c>
      <c r="AE355" s="439">
        <v>0.67593526000000004</v>
      </c>
      <c r="AF355" s="440">
        <f t="shared" si="616"/>
        <v>13.564665100000029</v>
      </c>
      <c r="AG355" s="441">
        <v>3.8852184799999998</v>
      </c>
      <c r="AH355" s="438"/>
      <c r="AI355" s="439"/>
      <c r="AJ355" s="440">
        <f t="shared" si="617"/>
        <v>0</v>
      </c>
      <c r="AK355" s="441"/>
      <c r="AL355" s="438"/>
      <c r="AM355" s="439"/>
      <c r="AN355" s="440">
        <f t="shared" si="618"/>
        <v>0</v>
      </c>
      <c r="AO355" s="441"/>
      <c r="AP355" s="438"/>
      <c r="AQ355" s="439"/>
      <c r="AR355" s="440">
        <f t="shared" si="619"/>
        <v>0</v>
      </c>
      <c r="AS355" s="441"/>
      <c r="AT355" s="438"/>
      <c r="AU355" s="439"/>
      <c r="AV355" s="440">
        <f t="shared" si="620"/>
        <v>0</v>
      </c>
      <c r="AW355" s="441"/>
      <c r="AX355" s="1061">
        <f t="shared" si="623"/>
        <v>374.53562508000056</v>
      </c>
      <c r="AY355" s="447">
        <f t="shared" si="621"/>
        <v>16.872063489999999</v>
      </c>
      <c r="AZ355" s="447">
        <f t="shared" si="621"/>
        <v>391.40768857000052</v>
      </c>
      <c r="BA355" s="825">
        <f t="shared" si="621"/>
        <v>45.875741500000004</v>
      </c>
      <c r="BB355" s="826">
        <f t="shared" si="624"/>
        <v>437.28343007000052</v>
      </c>
      <c r="BD355" s="445">
        <f t="shared" si="625"/>
        <v>12.88872984000003</v>
      </c>
      <c r="BE355" s="445">
        <f t="shared" si="626"/>
        <v>0.67593526000000004</v>
      </c>
      <c r="BF355" s="445">
        <f t="shared" si="627"/>
        <v>13.564665100000029</v>
      </c>
      <c r="BG355" s="445">
        <f t="shared" si="628"/>
        <v>3.8852184799999998</v>
      </c>
    </row>
    <row r="356" spans="1:65">
      <c r="A356" s="397" t="s">
        <v>399</v>
      </c>
      <c r="B356" s="438">
        <v>103.79758024000002</v>
      </c>
      <c r="C356" s="439">
        <v>0.46628116000000003</v>
      </c>
      <c r="D356" s="440">
        <f t="shared" si="610"/>
        <v>104.26386140000001</v>
      </c>
      <c r="E356" s="441">
        <v>26.63552675</v>
      </c>
      <c r="F356" s="438">
        <v>130.39861819000001</v>
      </c>
      <c r="G356" s="439">
        <v>0.86633473999999988</v>
      </c>
      <c r="H356" s="440">
        <f t="shared" si="622"/>
        <v>131.26495293000002</v>
      </c>
      <c r="I356" s="441">
        <v>22.6825929</v>
      </c>
      <c r="J356" s="450">
        <v>88.938981760000004</v>
      </c>
      <c r="K356" s="451">
        <v>11.273749720000001</v>
      </c>
      <c r="L356" s="453">
        <f t="shared" si="611"/>
        <v>100.21273148</v>
      </c>
      <c r="M356" s="452">
        <v>22.980631030000001</v>
      </c>
      <c r="N356" s="450">
        <v>104.70381248000001</v>
      </c>
      <c r="O356" s="451">
        <v>0.50840894000000003</v>
      </c>
      <c r="P356" s="453">
        <f t="shared" si="612"/>
        <v>105.21222142000001</v>
      </c>
      <c r="Q356" s="452">
        <v>25.380829179999999</v>
      </c>
      <c r="R356" s="438">
        <v>57.753421809999985</v>
      </c>
      <c r="S356" s="439">
        <v>0.53255574999999999</v>
      </c>
      <c r="T356" s="440">
        <f t="shared" si="613"/>
        <v>58.285977559999985</v>
      </c>
      <c r="U356" s="441">
        <v>26.70456618</v>
      </c>
      <c r="V356" s="438">
        <v>28.752695919999997</v>
      </c>
      <c r="W356" s="439">
        <v>3.8245960099999996</v>
      </c>
      <c r="X356" s="440">
        <f t="shared" si="614"/>
        <v>32.577291929999994</v>
      </c>
      <c r="Y356" s="441">
        <v>66.829844559999998</v>
      </c>
      <c r="Z356" s="438">
        <v>31.069911189999999</v>
      </c>
      <c r="AA356" s="439">
        <v>0.61860360999999997</v>
      </c>
      <c r="AB356" s="440">
        <f t="shared" si="615"/>
        <v>31.6885148</v>
      </c>
      <c r="AC356" s="441">
        <v>20.018837659999999</v>
      </c>
      <c r="AD356" s="438">
        <v>23.189756449999997</v>
      </c>
      <c r="AE356" s="439">
        <v>0.22278676</v>
      </c>
      <c r="AF356" s="440">
        <f t="shared" si="616"/>
        <v>23.412543209999999</v>
      </c>
      <c r="AG356" s="441">
        <v>24.888590699999998</v>
      </c>
      <c r="AH356" s="438"/>
      <c r="AI356" s="439"/>
      <c r="AJ356" s="440">
        <f t="shared" si="617"/>
        <v>0</v>
      </c>
      <c r="AK356" s="441"/>
      <c r="AL356" s="438"/>
      <c r="AM356" s="439"/>
      <c r="AN356" s="440">
        <f t="shared" si="618"/>
        <v>0</v>
      </c>
      <c r="AO356" s="441"/>
      <c r="AP356" s="438"/>
      <c r="AQ356" s="439"/>
      <c r="AR356" s="440">
        <f t="shared" si="619"/>
        <v>0</v>
      </c>
      <c r="AS356" s="441"/>
      <c r="AT356" s="438"/>
      <c r="AU356" s="439"/>
      <c r="AV356" s="440">
        <f t="shared" si="620"/>
        <v>0</v>
      </c>
      <c r="AW356" s="441"/>
      <c r="AX356" s="1061">
        <f t="shared" si="623"/>
        <v>568.60477803999993</v>
      </c>
      <c r="AY356" s="447">
        <f t="shared" si="621"/>
        <v>18.313316690000004</v>
      </c>
      <c r="AZ356" s="447">
        <f t="shared" si="621"/>
        <v>586.91809473000001</v>
      </c>
      <c r="BA356" s="825">
        <f t="shared" si="621"/>
        <v>236.12141896</v>
      </c>
      <c r="BB356" s="826">
        <f t="shared" si="624"/>
        <v>823.03951369000004</v>
      </c>
      <c r="BD356" s="445">
        <f t="shared" si="625"/>
        <v>23.189756449999997</v>
      </c>
      <c r="BE356" s="445">
        <f t="shared" si="626"/>
        <v>0.22278676</v>
      </c>
      <c r="BF356" s="445">
        <f t="shared" si="627"/>
        <v>23.412543209999999</v>
      </c>
      <c r="BG356" s="445">
        <f t="shared" si="628"/>
        <v>24.888590699999998</v>
      </c>
      <c r="BI356" s="430"/>
      <c r="BJ356" s="430"/>
      <c r="BK356" s="430"/>
      <c r="BL356" s="430"/>
      <c r="BM356" s="430"/>
    </row>
    <row r="357" spans="1:65">
      <c r="A357" s="397" t="s">
        <v>883</v>
      </c>
      <c r="B357" s="438">
        <v>99.992582460000008</v>
      </c>
      <c r="C357" s="439">
        <v>4.19119259</v>
      </c>
      <c r="D357" s="440">
        <f t="shared" si="610"/>
        <v>104.18377505000001</v>
      </c>
      <c r="E357" s="441">
        <v>6.6981274100000006</v>
      </c>
      <c r="F357" s="438">
        <v>122.86317340000001</v>
      </c>
      <c r="G357" s="439">
        <v>6.4349963799999985</v>
      </c>
      <c r="H357" s="440">
        <f t="shared" si="622"/>
        <v>129.29816977999999</v>
      </c>
      <c r="I357" s="441">
        <v>6.7537495999999999</v>
      </c>
      <c r="J357" s="450">
        <v>78.48587793999998</v>
      </c>
      <c r="K357" s="451">
        <v>6.08057172</v>
      </c>
      <c r="L357" s="453">
        <f t="shared" si="611"/>
        <v>84.566449659999975</v>
      </c>
      <c r="M357" s="452">
        <v>5.5274296600000001</v>
      </c>
      <c r="N357" s="450">
        <v>214.17367038999441</v>
      </c>
      <c r="O357" s="451">
        <v>7.6418193400000005</v>
      </c>
      <c r="P357" s="453">
        <f t="shared" si="612"/>
        <v>221.81548972999443</v>
      </c>
      <c r="Q357" s="452">
        <v>4.7899862199999994</v>
      </c>
      <c r="R357" s="438">
        <v>45.957373750000002</v>
      </c>
      <c r="S357" s="439">
        <v>2.3086886400000002</v>
      </c>
      <c r="T357" s="440">
        <f t="shared" si="613"/>
        <v>48.266062390000002</v>
      </c>
      <c r="U357" s="441">
        <v>3.0002423899999999</v>
      </c>
      <c r="V357" s="438">
        <v>21.375152850000003</v>
      </c>
      <c r="W357" s="439">
        <v>1.48761144</v>
      </c>
      <c r="X357" s="440">
        <f t="shared" si="614"/>
        <v>22.862764290000001</v>
      </c>
      <c r="Y357" s="441">
        <v>3.23366971</v>
      </c>
      <c r="Z357" s="438">
        <v>20.846103790000004</v>
      </c>
      <c r="AA357" s="439">
        <v>0.77880653</v>
      </c>
      <c r="AB357" s="440">
        <f t="shared" si="615"/>
        <v>21.624910320000005</v>
      </c>
      <c r="AC357" s="441">
        <v>2.8387821600000001</v>
      </c>
      <c r="AD357" s="438">
        <v>17.162716059999997</v>
      </c>
      <c r="AE357" s="439">
        <v>0.52402910999999996</v>
      </c>
      <c r="AF357" s="440">
        <f t="shared" si="616"/>
        <v>17.686745169999998</v>
      </c>
      <c r="AG357" s="441">
        <v>2.9118518399999997</v>
      </c>
      <c r="AH357" s="438"/>
      <c r="AI357" s="439"/>
      <c r="AJ357" s="440">
        <f t="shared" si="617"/>
        <v>0</v>
      </c>
      <c r="AK357" s="441"/>
      <c r="AL357" s="438"/>
      <c r="AM357" s="439"/>
      <c r="AN357" s="440">
        <f t="shared" si="618"/>
        <v>0</v>
      </c>
      <c r="AO357" s="441"/>
      <c r="AP357" s="438"/>
      <c r="AQ357" s="439"/>
      <c r="AR357" s="440">
        <f t="shared" si="619"/>
        <v>0</v>
      </c>
      <c r="AS357" s="441"/>
      <c r="AT357" s="438"/>
      <c r="AU357" s="439"/>
      <c r="AV357" s="440">
        <f t="shared" si="620"/>
        <v>0</v>
      </c>
      <c r="AW357" s="441"/>
      <c r="AX357" s="1061">
        <f t="shared" si="623"/>
        <v>620.85665063999431</v>
      </c>
      <c r="AY357" s="447">
        <f t="shared" si="621"/>
        <v>29.447715749999997</v>
      </c>
      <c r="AZ357" s="447">
        <f t="shared" si="621"/>
        <v>650.30436638999436</v>
      </c>
      <c r="BA357" s="825">
        <f t="shared" si="621"/>
        <v>35.753838989999998</v>
      </c>
      <c r="BB357" s="826">
        <f t="shared" si="624"/>
        <v>686.05820537999432</v>
      </c>
      <c r="BD357" s="445">
        <f t="shared" si="625"/>
        <v>17.162716059999997</v>
      </c>
      <c r="BE357" s="445">
        <f t="shared" si="626"/>
        <v>0.52402910999999996</v>
      </c>
      <c r="BF357" s="445">
        <f t="shared" si="627"/>
        <v>17.686745169999998</v>
      </c>
      <c r="BG357" s="445">
        <f t="shared" si="628"/>
        <v>2.9118518399999997</v>
      </c>
    </row>
    <row r="358" spans="1:65">
      <c r="A358" s="397" t="s">
        <v>884</v>
      </c>
      <c r="B358" s="438">
        <v>86.160039969999872</v>
      </c>
      <c r="C358" s="439">
        <v>3.8547753899999999</v>
      </c>
      <c r="D358" s="440">
        <f t="shared" si="610"/>
        <v>90.014815359999872</v>
      </c>
      <c r="E358" s="441">
        <v>8.1499287700000078</v>
      </c>
      <c r="F358" s="438">
        <v>111.15114285000006</v>
      </c>
      <c r="G358" s="439">
        <v>6.9389075499999997</v>
      </c>
      <c r="H358" s="440">
        <f t="shared" si="622"/>
        <v>118.09005040000005</v>
      </c>
      <c r="I358" s="441">
        <v>7.5987050599999995</v>
      </c>
      <c r="J358" s="450">
        <v>111.15114285000006</v>
      </c>
      <c r="K358" s="451">
        <v>6.9389075499999997</v>
      </c>
      <c r="L358" s="453">
        <f t="shared" si="611"/>
        <v>118.09005040000005</v>
      </c>
      <c r="M358" s="452">
        <v>6.55958255</v>
      </c>
      <c r="N358" s="450">
        <v>89.315453389999959</v>
      </c>
      <c r="O358" s="451">
        <v>4.8640344100000004</v>
      </c>
      <c r="P358" s="453">
        <f t="shared" si="612"/>
        <v>94.179487799999961</v>
      </c>
      <c r="Q358" s="452">
        <v>4.5685842399999999</v>
      </c>
      <c r="R358" s="438">
        <v>44.633871959999887</v>
      </c>
      <c r="S358" s="439">
        <v>3.48562482</v>
      </c>
      <c r="T358" s="440">
        <f t="shared" si="613"/>
        <v>48.119496779999885</v>
      </c>
      <c r="U358" s="441">
        <v>5.0639686699999995</v>
      </c>
      <c r="V358" s="438">
        <v>19.690899010000003</v>
      </c>
      <c r="W358" s="439">
        <v>1.0297823400000001</v>
      </c>
      <c r="X358" s="440">
        <f t="shared" si="614"/>
        <v>20.720681350000003</v>
      </c>
      <c r="Y358" s="441">
        <v>4.68786814</v>
      </c>
      <c r="Z358" s="438">
        <v>28.752572060000002</v>
      </c>
      <c r="AA358" s="439">
        <v>0.78518468000000008</v>
      </c>
      <c r="AB358" s="440">
        <f t="shared" si="615"/>
        <v>29.537756740000003</v>
      </c>
      <c r="AC358" s="441">
        <v>5.8979035900000012</v>
      </c>
      <c r="AD358" s="438">
        <v>22.261234260000002</v>
      </c>
      <c r="AE358" s="439">
        <v>0.77208564000000002</v>
      </c>
      <c r="AF358" s="440">
        <f t="shared" si="616"/>
        <v>23.033319900000002</v>
      </c>
      <c r="AG358" s="441">
        <v>4.9074197300000009</v>
      </c>
      <c r="AH358" s="438"/>
      <c r="AI358" s="439"/>
      <c r="AJ358" s="440">
        <f t="shared" si="617"/>
        <v>0</v>
      </c>
      <c r="AK358" s="441"/>
      <c r="AL358" s="438"/>
      <c r="AM358" s="439"/>
      <c r="AN358" s="440">
        <f t="shared" si="618"/>
        <v>0</v>
      </c>
      <c r="AO358" s="441"/>
      <c r="AP358" s="438"/>
      <c r="AQ358" s="439"/>
      <c r="AR358" s="440">
        <f t="shared" si="619"/>
        <v>0</v>
      </c>
      <c r="AS358" s="441"/>
      <c r="AT358" s="438"/>
      <c r="AU358" s="439"/>
      <c r="AV358" s="440">
        <f t="shared" si="620"/>
        <v>0</v>
      </c>
      <c r="AW358" s="441"/>
      <c r="AX358" s="1061">
        <f t="shared" si="623"/>
        <v>513.11635634999982</v>
      </c>
      <c r="AY358" s="447">
        <f t="shared" si="621"/>
        <v>28.669302380000001</v>
      </c>
      <c r="AZ358" s="447">
        <f t="shared" si="621"/>
        <v>541.78565872999991</v>
      </c>
      <c r="BA358" s="825">
        <f t="shared" si="621"/>
        <v>47.433960750000004</v>
      </c>
      <c r="BB358" s="826">
        <f t="shared" si="624"/>
        <v>589.21961947999989</v>
      </c>
      <c r="BD358" s="445">
        <f t="shared" si="625"/>
        <v>22.261234260000002</v>
      </c>
      <c r="BE358" s="445">
        <f t="shared" si="626"/>
        <v>0.77208564000000002</v>
      </c>
      <c r="BF358" s="445">
        <f t="shared" si="627"/>
        <v>23.033319900000002</v>
      </c>
      <c r="BG358" s="445">
        <f t="shared" si="628"/>
        <v>4.9074197300000009</v>
      </c>
    </row>
    <row r="359" spans="1:65" ht="14.4" thickBot="1">
      <c r="A359" s="397" t="s">
        <v>885</v>
      </c>
      <c r="B359" s="462">
        <v>63.087595130000004</v>
      </c>
      <c r="C359" s="463">
        <v>4.91668504</v>
      </c>
      <c r="D359" s="440">
        <f t="shared" si="610"/>
        <v>68.004280170000001</v>
      </c>
      <c r="E359" s="464">
        <v>2.5907653400000004</v>
      </c>
      <c r="F359" s="462">
        <v>79.443576609999994</v>
      </c>
      <c r="G359" s="463">
        <v>8.7937494300000001</v>
      </c>
      <c r="H359" s="440">
        <f t="shared" si="622"/>
        <v>88.237326039999999</v>
      </c>
      <c r="I359" s="464">
        <v>2.5397664100000004</v>
      </c>
      <c r="J359" s="450">
        <v>55.714934049999997</v>
      </c>
      <c r="K359" s="451">
        <v>7.6014341300000012</v>
      </c>
      <c r="L359" s="453">
        <f t="shared" si="611"/>
        <v>63.316368179999998</v>
      </c>
      <c r="M359" s="452">
        <v>2.01659692</v>
      </c>
      <c r="N359" s="450">
        <v>70.915142760000009</v>
      </c>
      <c r="O359" s="451">
        <v>4.6362851799999998</v>
      </c>
      <c r="P359" s="453">
        <f t="shared" si="612"/>
        <v>75.551427940000011</v>
      </c>
      <c r="Q359" s="452">
        <v>1.2271546200000001</v>
      </c>
      <c r="R359" s="462">
        <v>39.020260960000002</v>
      </c>
      <c r="S359" s="463">
        <v>4.588794609999999</v>
      </c>
      <c r="T359" s="440">
        <f t="shared" si="613"/>
        <v>43.609055570000002</v>
      </c>
      <c r="U359" s="464">
        <v>0.72800180000000003</v>
      </c>
      <c r="V359" s="462">
        <v>15.977729789999998</v>
      </c>
      <c r="W359" s="463">
        <v>1.4909332399999999</v>
      </c>
      <c r="X359" s="440">
        <f t="shared" si="614"/>
        <v>17.468663029999998</v>
      </c>
      <c r="Y359" s="464">
        <v>0.26054701999999996</v>
      </c>
      <c r="Z359" s="462">
        <v>16.297957100000001</v>
      </c>
      <c r="AA359" s="463">
        <v>1.4503038899999998</v>
      </c>
      <c r="AB359" s="440">
        <f t="shared" si="615"/>
        <v>17.748260990000002</v>
      </c>
      <c r="AC359" s="464">
        <v>0.40494220000000003</v>
      </c>
      <c r="AD359" s="462">
        <v>9.4328160800000003</v>
      </c>
      <c r="AE359" s="463">
        <v>0.56026348000000004</v>
      </c>
      <c r="AF359" s="440">
        <f t="shared" si="616"/>
        <v>9.99307956</v>
      </c>
      <c r="AG359" s="464">
        <v>0.38313422000000003</v>
      </c>
      <c r="AH359" s="462"/>
      <c r="AI359" s="463"/>
      <c r="AJ359" s="440">
        <f t="shared" si="617"/>
        <v>0</v>
      </c>
      <c r="AK359" s="464"/>
      <c r="AL359" s="462"/>
      <c r="AM359" s="463"/>
      <c r="AN359" s="440">
        <f t="shared" si="618"/>
        <v>0</v>
      </c>
      <c r="AO359" s="464"/>
      <c r="AP359" s="462"/>
      <c r="AQ359" s="463"/>
      <c r="AR359" s="440">
        <f t="shared" si="619"/>
        <v>0</v>
      </c>
      <c r="AS359" s="464"/>
      <c r="AT359" s="462"/>
      <c r="AU359" s="463"/>
      <c r="AV359" s="440">
        <f t="shared" si="620"/>
        <v>0</v>
      </c>
      <c r="AW359" s="464"/>
      <c r="AX359" s="1061">
        <f t="shared" si="623"/>
        <v>349.89001248</v>
      </c>
      <c r="AY359" s="447">
        <f t="shared" si="621"/>
        <v>34.038449</v>
      </c>
      <c r="AZ359" s="447">
        <f t="shared" si="621"/>
        <v>383.92846148000001</v>
      </c>
      <c r="BA359" s="825">
        <f t="shared" si="621"/>
        <v>10.150908530000002</v>
      </c>
      <c r="BB359" s="826">
        <f t="shared" si="624"/>
        <v>394.07937000999999</v>
      </c>
      <c r="BD359" s="445">
        <f t="shared" si="625"/>
        <v>9.4328160800000003</v>
      </c>
      <c r="BE359" s="445">
        <f t="shared" si="626"/>
        <v>0.56026348000000004</v>
      </c>
      <c r="BF359" s="445">
        <f t="shared" si="627"/>
        <v>9.99307956</v>
      </c>
      <c r="BG359" s="445">
        <f t="shared" si="628"/>
        <v>0.38313422000000003</v>
      </c>
      <c r="BI359" s="430"/>
      <c r="BJ359" s="430"/>
      <c r="BK359" s="430"/>
      <c r="BL359" s="430"/>
      <c r="BM359" s="430"/>
    </row>
    <row r="360" spans="1:65" ht="14.4" thickBot="1">
      <c r="A360" s="433" t="s">
        <v>16</v>
      </c>
      <c r="B360" s="455">
        <f t="shared" ref="B360:AG360" si="629">SUM(B350:B359)</f>
        <v>1434.9437651399999</v>
      </c>
      <c r="C360" s="456">
        <f t="shared" si="629"/>
        <v>51.901935850000001</v>
      </c>
      <c r="D360" s="456">
        <f t="shared" si="629"/>
        <v>1486.8457009899996</v>
      </c>
      <c r="E360" s="457">
        <f t="shared" si="629"/>
        <v>132.51868288</v>
      </c>
      <c r="F360" s="455">
        <f t="shared" si="629"/>
        <v>1761.9553838400002</v>
      </c>
      <c r="G360" s="456">
        <f t="shared" si="629"/>
        <v>70.289158440000008</v>
      </c>
      <c r="H360" s="456">
        <f t="shared" si="629"/>
        <v>1832.2445422799999</v>
      </c>
      <c r="I360" s="457">
        <f t="shared" si="629"/>
        <v>129.39795933000002</v>
      </c>
      <c r="J360" s="455">
        <f t="shared" si="629"/>
        <v>1409.3478221899995</v>
      </c>
      <c r="K360" s="456">
        <f t="shared" si="629"/>
        <v>144.69154069999999</v>
      </c>
      <c r="L360" s="465">
        <f t="shared" si="629"/>
        <v>1554.0393628899999</v>
      </c>
      <c r="M360" s="466">
        <f t="shared" si="629"/>
        <v>110.00824076999999</v>
      </c>
      <c r="N360" s="455">
        <f t="shared" si="629"/>
        <v>1600.1913127399944</v>
      </c>
      <c r="O360" s="456">
        <f t="shared" si="629"/>
        <v>57.482453620000008</v>
      </c>
      <c r="P360" s="456">
        <f t="shared" si="629"/>
        <v>1657.6737663599945</v>
      </c>
      <c r="Q360" s="457">
        <f t="shared" si="629"/>
        <v>92.170000029999983</v>
      </c>
      <c r="R360" s="455">
        <f t="shared" si="629"/>
        <v>789.71169405999979</v>
      </c>
      <c r="S360" s="456">
        <f t="shared" si="629"/>
        <v>32.580308670000001</v>
      </c>
      <c r="T360" s="456">
        <f t="shared" si="629"/>
        <v>822.29200272999992</v>
      </c>
      <c r="U360" s="457">
        <f t="shared" si="629"/>
        <v>88.367328719999989</v>
      </c>
      <c r="V360" s="455">
        <f t="shared" si="629"/>
        <v>389.24390253000001</v>
      </c>
      <c r="W360" s="456">
        <f t="shared" si="629"/>
        <v>40.613450139999998</v>
      </c>
      <c r="X360" s="456">
        <f t="shared" si="629"/>
        <v>429.85735267000001</v>
      </c>
      <c r="Y360" s="457">
        <f t="shared" si="629"/>
        <v>121.93765258000002</v>
      </c>
      <c r="Z360" s="455">
        <f t="shared" si="629"/>
        <v>378.5840662100004</v>
      </c>
      <c r="AA360" s="456">
        <f t="shared" si="629"/>
        <v>10.63707093</v>
      </c>
      <c r="AB360" s="456">
        <f t="shared" si="629"/>
        <v>389.22113714000051</v>
      </c>
      <c r="AC360" s="457">
        <f t="shared" si="629"/>
        <v>80.563401039999988</v>
      </c>
      <c r="AD360" s="455">
        <f t="shared" si="629"/>
        <v>250.29885218000007</v>
      </c>
      <c r="AE360" s="456">
        <f t="shared" si="629"/>
        <v>6.5384709299999999</v>
      </c>
      <c r="AF360" s="456">
        <f t="shared" si="629"/>
        <v>256.83732311000006</v>
      </c>
      <c r="AG360" s="457">
        <f t="shared" si="629"/>
        <v>81.452034769999997</v>
      </c>
      <c r="AH360" s="455">
        <f t="shared" ref="AH360:BB360" si="630">SUM(AH350:AH359)</f>
        <v>0</v>
      </c>
      <c r="AI360" s="456">
        <f t="shared" si="630"/>
        <v>0</v>
      </c>
      <c r="AJ360" s="456">
        <f t="shared" si="630"/>
        <v>0</v>
      </c>
      <c r="AK360" s="457">
        <f t="shared" si="630"/>
        <v>0</v>
      </c>
      <c r="AL360" s="455">
        <f t="shared" si="630"/>
        <v>0</v>
      </c>
      <c r="AM360" s="456">
        <f t="shared" si="630"/>
        <v>0</v>
      </c>
      <c r="AN360" s="456">
        <f t="shared" si="630"/>
        <v>0</v>
      </c>
      <c r="AO360" s="457">
        <f t="shared" si="630"/>
        <v>0</v>
      </c>
      <c r="AP360" s="455">
        <f t="shared" si="630"/>
        <v>0</v>
      </c>
      <c r="AQ360" s="456">
        <f t="shared" si="630"/>
        <v>0</v>
      </c>
      <c r="AR360" s="456">
        <f t="shared" si="630"/>
        <v>0</v>
      </c>
      <c r="AS360" s="457">
        <f t="shared" si="630"/>
        <v>0</v>
      </c>
      <c r="AT360" s="455">
        <f t="shared" si="630"/>
        <v>0</v>
      </c>
      <c r="AU360" s="456">
        <f t="shared" si="630"/>
        <v>0</v>
      </c>
      <c r="AV360" s="456">
        <f t="shared" si="630"/>
        <v>0</v>
      </c>
      <c r="AW360" s="457">
        <f t="shared" si="630"/>
        <v>0</v>
      </c>
      <c r="AX360" s="1067">
        <f t="shared" si="630"/>
        <v>8014.2767988899941</v>
      </c>
      <c r="AY360" s="1067">
        <f t="shared" si="630"/>
        <v>414.73438928000002</v>
      </c>
      <c r="AZ360" s="1067">
        <f t="shared" si="630"/>
        <v>8429.0111881699941</v>
      </c>
      <c r="BA360" s="1067">
        <f t="shared" si="630"/>
        <v>836.41530011999998</v>
      </c>
      <c r="BB360" s="831">
        <f t="shared" si="630"/>
        <v>9265.4264882899934</v>
      </c>
      <c r="BD360" s="445">
        <f t="shared" si="625"/>
        <v>250.29885218000007</v>
      </c>
      <c r="BE360" s="445">
        <f>AE360</f>
        <v>6.5384709299999999</v>
      </c>
      <c r="BF360" s="445">
        <f>AF360</f>
        <v>256.83732311000006</v>
      </c>
      <c r="BG360" s="445">
        <f>AG360</f>
        <v>81.452034769999997</v>
      </c>
    </row>
    <row r="361" spans="1:65">
      <c r="A361" s="487"/>
      <c r="B361" s="497"/>
      <c r="C361" s="487"/>
      <c r="D361" s="487"/>
      <c r="E361" s="487"/>
      <c r="F361" s="487"/>
      <c r="G361" s="487"/>
      <c r="H361" s="487"/>
      <c r="I361" s="487"/>
      <c r="J361" s="487"/>
      <c r="K361" s="487"/>
      <c r="L361" s="487"/>
      <c r="M361" s="487"/>
      <c r="N361" s="487"/>
      <c r="O361" s="487"/>
      <c r="P361" s="395">
        <f>P360+T360+X360</f>
        <v>2909.8231217599946</v>
      </c>
      <c r="Q361" s="395">
        <f>Q360+U360+Y360</f>
        <v>302.47498132999999</v>
      </c>
      <c r="R361" s="487"/>
      <c r="S361" s="487"/>
      <c r="T361" s="487"/>
      <c r="U361" s="487"/>
      <c r="V361" s="487"/>
      <c r="W361" s="487"/>
      <c r="X361" s="395">
        <f>X360+T360+P360</f>
        <v>2909.8231217599941</v>
      </c>
      <c r="Y361" s="395">
        <f>Y360+U360+Q360</f>
        <v>302.47498132999999</v>
      </c>
      <c r="Z361" s="487"/>
      <c r="AA361" s="487"/>
      <c r="AB361" s="497">
        <f>AB360+AF360+AJ360</f>
        <v>646.05846025000051</v>
      </c>
      <c r="AC361" s="497">
        <f>AC360+AG360+AK360</f>
        <v>162.01543580999999</v>
      </c>
      <c r="AD361" s="1065"/>
      <c r="AE361" s="487"/>
      <c r="AF361" s="487"/>
      <c r="AG361" s="659">
        <f>AG360-[7]gaz!$AG$208</f>
        <v>17.646703390000006</v>
      </c>
      <c r="AH361" s="487">
        <v>3.7481339</v>
      </c>
      <c r="AI361" s="487">
        <v>0.42640935999999996</v>
      </c>
      <c r="AJ361" s="1243">
        <f>AJ360+AF360+AB360</f>
        <v>646.05846025000051</v>
      </c>
      <c r="AK361" s="1243">
        <f>AK360+AG360+AC360</f>
        <v>162.01543580999999</v>
      </c>
      <c r="AL361" s="487"/>
      <c r="AM361" s="487"/>
      <c r="AN361" s="487"/>
      <c r="AO361" s="487"/>
      <c r="AP361" s="487">
        <v>10.27413722</v>
      </c>
      <c r="AQ361" s="487">
        <v>5.1511370000000001E-2</v>
      </c>
      <c r="AR361" s="487">
        <v>10.32564859</v>
      </c>
      <c r="AS361" s="487">
        <v>1.9476031899999999</v>
      </c>
      <c r="AT361" s="487"/>
      <c r="AU361" s="487"/>
      <c r="AV361" s="446">
        <f>AN360+AR360+AV360</f>
        <v>0</v>
      </c>
      <c r="AW361" s="446">
        <f>AO360+AS360+AW360</f>
        <v>0</v>
      </c>
      <c r="AX361" s="1065"/>
      <c r="AY361" s="487"/>
      <c r="AZ361" s="487"/>
      <c r="BA361" s="487"/>
      <c r="BB361" s="487"/>
      <c r="BF361" s="395"/>
    </row>
    <row r="362" spans="1:65" ht="18.600000000000001" thickBot="1">
      <c r="A362" s="489">
        <f>A240</f>
        <v>2024</v>
      </c>
      <c r="B362" s="487"/>
      <c r="C362" s="487"/>
      <c r="D362" s="487"/>
      <c r="E362" s="487"/>
      <c r="F362" s="471"/>
      <c r="G362" s="498"/>
      <c r="H362" s="487"/>
      <c r="I362" s="498"/>
      <c r="J362" s="487"/>
      <c r="K362" s="487"/>
      <c r="L362" s="487"/>
      <c r="M362" s="487"/>
      <c r="N362" s="487"/>
      <c r="O362" s="487"/>
      <c r="P362" s="487"/>
      <c r="Q362" s="487"/>
      <c r="R362" s="487"/>
      <c r="S362" s="487"/>
      <c r="T362" s="487"/>
      <c r="U362" s="497"/>
      <c r="V362" s="487"/>
      <c r="W362" s="487"/>
      <c r="X362" s="487"/>
      <c r="Y362" s="487"/>
      <c r="Z362" s="487"/>
      <c r="AA362" s="487"/>
      <c r="AB362" s="487"/>
      <c r="AC362" s="487"/>
      <c r="AD362" s="1065"/>
      <c r="AE362" s="487"/>
      <c r="AF362" s="487"/>
      <c r="AG362" s="487"/>
      <c r="AH362" s="498"/>
      <c r="AI362" s="498"/>
      <c r="AJ362" s="487"/>
      <c r="AK362" s="498"/>
      <c r="AL362" s="487"/>
      <c r="AM362" s="487"/>
      <c r="AN362" s="487"/>
      <c r="AO362" s="487"/>
      <c r="AP362" s="487"/>
      <c r="AQ362" s="487"/>
      <c r="AR362" s="487"/>
      <c r="AS362" s="487"/>
      <c r="AT362" s="445"/>
      <c r="AU362" s="445"/>
      <c r="AV362" s="487"/>
      <c r="AW362" s="445"/>
      <c r="AX362" s="1065"/>
      <c r="AY362" s="497"/>
      <c r="AZ362" s="497"/>
      <c r="BA362" s="497"/>
      <c r="BB362" s="487"/>
      <c r="BI362" s="430"/>
      <c r="BJ362" s="430"/>
      <c r="BK362" s="430"/>
      <c r="BL362" s="430"/>
      <c r="BM362" s="430"/>
    </row>
    <row r="363" spans="1:65">
      <c r="A363" s="2815" t="str">
        <f>A241</f>
        <v>DD</v>
      </c>
      <c r="B363" s="2827" t="s">
        <v>71</v>
      </c>
      <c r="C363" s="2828"/>
      <c r="D363" s="2828"/>
      <c r="E363" s="3091"/>
      <c r="F363" s="2829" t="s">
        <v>72</v>
      </c>
      <c r="G363" s="2830"/>
      <c r="H363" s="2830"/>
      <c r="I363" s="3095"/>
      <c r="J363" s="2817" t="s">
        <v>73</v>
      </c>
      <c r="K363" s="2818"/>
      <c r="L363" s="2818"/>
      <c r="M363" s="3094"/>
      <c r="N363" s="2819" t="s">
        <v>74</v>
      </c>
      <c r="O363" s="2820"/>
      <c r="P363" s="2820"/>
      <c r="Q363" s="3090"/>
      <c r="R363" s="2821" t="s">
        <v>75</v>
      </c>
      <c r="S363" s="2822"/>
      <c r="T363" s="2822"/>
      <c r="U363" s="3093"/>
      <c r="V363" s="2823" t="s">
        <v>76</v>
      </c>
      <c r="W363" s="2824"/>
      <c r="X363" s="2824"/>
      <c r="Y363" s="3089"/>
      <c r="Z363" s="2827" t="s">
        <v>77</v>
      </c>
      <c r="AA363" s="2828"/>
      <c r="AB363" s="2828"/>
      <c r="AC363" s="3091"/>
      <c r="AD363" s="2829" t="s">
        <v>78</v>
      </c>
      <c r="AE363" s="2830"/>
      <c r="AF363" s="2830"/>
      <c r="AG363" s="3095"/>
      <c r="AH363" s="2817" t="s">
        <v>79</v>
      </c>
      <c r="AI363" s="2818"/>
      <c r="AJ363" s="2818"/>
      <c r="AK363" s="3094"/>
      <c r="AL363" s="2819" t="s">
        <v>80</v>
      </c>
      <c r="AM363" s="2820"/>
      <c r="AN363" s="2820"/>
      <c r="AO363" s="3090"/>
      <c r="AP363" s="2821" t="s">
        <v>81</v>
      </c>
      <c r="AQ363" s="2822"/>
      <c r="AR363" s="2822"/>
      <c r="AS363" s="3093"/>
      <c r="AT363" s="3109" t="s">
        <v>82</v>
      </c>
      <c r="AU363" s="3110"/>
      <c r="AV363" s="3110"/>
      <c r="AW363" s="3111"/>
      <c r="AX363" s="3097" t="s">
        <v>83</v>
      </c>
      <c r="AY363" s="3098"/>
      <c r="AZ363" s="3098"/>
      <c r="BA363" s="3098"/>
      <c r="BB363" s="3099"/>
    </row>
    <row r="364" spans="1:65" ht="14.4" thickBot="1">
      <c r="A364" s="2816"/>
      <c r="B364" s="402" t="s">
        <v>17</v>
      </c>
      <c r="C364" s="403" t="s">
        <v>18</v>
      </c>
      <c r="D364" s="403" t="s">
        <v>56</v>
      </c>
      <c r="E364" s="404" t="s">
        <v>21</v>
      </c>
      <c r="F364" s="402" t="s">
        <v>17</v>
      </c>
      <c r="G364" s="403" t="s">
        <v>18</v>
      </c>
      <c r="H364" s="403" t="s">
        <v>56</v>
      </c>
      <c r="I364" s="404" t="s">
        <v>21</v>
      </c>
      <c r="J364" s="402" t="s">
        <v>17</v>
      </c>
      <c r="K364" s="403" t="s">
        <v>18</v>
      </c>
      <c r="L364" s="403" t="s">
        <v>56</v>
      </c>
      <c r="M364" s="404" t="s">
        <v>21</v>
      </c>
      <c r="N364" s="402" t="s">
        <v>17</v>
      </c>
      <c r="O364" s="403" t="s">
        <v>18</v>
      </c>
      <c r="P364" s="403" t="s">
        <v>56</v>
      </c>
      <c r="Q364" s="404" t="s">
        <v>21</v>
      </c>
      <c r="R364" s="402" t="s">
        <v>17</v>
      </c>
      <c r="S364" s="403" t="s">
        <v>18</v>
      </c>
      <c r="T364" s="403" t="s">
        <v>56</v>
      </c>
      <c r="U364" s="404" t="s">
        <v>21</v>
      </c>
      <c r="V364" s="402" t="s">
        <v>17</v>
      </c>
      <c r="W364" s="403" t="s">
        <v>18</v>
      </c>
      <c r="X364" s="403" t="s">
        <v>56</v>
      </c>
      <c r="Y364" s="404" t="s">
        <v>21</v>
      </c>
      <c r="Z364" s="402" t="s">
        <v>17</v>
      </c>
      <c r="AA364" s="403" t="s">
        <v>18</v>
      </c>
      <c r="AB364" s="403" t="s">
        <v>56</v>
      </c>
      <c r="AC364" s="404" t="s">
        <v>21</v>
      </c>
      <c r="AD364" s="1062" t="s">
        <v>17</v>
      </c>
      <c r="AE364" s="403" t="s">
        <v>18</v>
      </c>
      <c r="AF364" s="403" t="s">
        <v>56</v>
      </c>
      <c r="AG364" s="404" t="s">
        <v>21</v>
      </c>
      <c r="AH364" s="402" t="s">
        <v>17</v>
      </c>
      <c r="AI364" s="403" t="s">
        <v>18</v>
      </c>
      <c r="AJ364" s="403" t="s">
        <v>56</v>
      </c>
      <c r="AK364" s="404" t="s">
        <v>21</v>
      </c>
      <c r="AL364" s="402" t="s">
        <v>17</v>
      </c>
      <c r="AM364" s="403" t="s">
        <v>18</v>
      </c>
      <c r="AN364" s="403" t="s">
        <v>56</v>
      </c>
      <c r="AO364" s="404" t="s">
        <v>21</v>
      </c>
      <c r="AP364" s="402" t="s">
        <v>17</v>
      </c>
      <c r="AQ364" s="403" t="s">
        <v>18</v>
      </c>
      <c r="AR364" s="403" t="s">
        <v>56</v>
      </c>
      <c r="AS364" s="404" t="s">
        <v>21</v>
      </c>
      <c r="AT364" s="402" t="s">
        <v>17</v>
      </c>
      <c r="AU364" s="403" t="s">
        <v>18</v>
      </c>
      <c r="AV364" s="403" t="s">
        <v>56</v>
      </c>
      <c r="AW364" s="404" t="s">
        <v>21</v>
      </c>
      <c r="AX364" s="1057" t="s">
        <v>17</v>
      </c>
      <c r="AY364" s="403" t="s">
        <v>18</v>
      </c>
      <c r="AZ364" s="403" t="s">
        <v>56</v>
      </c>
      <c r="BA364" s="431" t="s">
        <v>21</v>
      </c>
      <c r="BB364" s="404" t="s">
        <v>160</v>
      </c>
      <c r="BD364" s="403" t="s">
        <v>17</v>
      </c>
      <c r="BE364" s="403" t="s">
        <v>18</v>
      </c>
      <c r="BF364" s="403" t="s">
        <v>56</v>
      </c>
      <c r="BG364" s="431" t="s">
        <v>21</v>
      </c>
    </row>
    <row r="365" spans="1:65">
      <c r="A365" s="397" t="s">
        <v>6</v>
      </c>
      <c r="B365" s="438">
        <f>'Feuil-saisie'!K5/1000000</f>
        <v>156.30081100000001</v>
      </c>
      <c r="C365" s="439">
        <f>'Feuil-saisie'!L5/1000000</f>
        <v>3.9968997900000005</v>
      </c>
      <c r="D365" s="440">
        <f t="shared" ref="D365:D374" si="631">B365+C365</f>
        <v>160.29771079</v>
      </c>
      <c r="E365" s="441">
        <f>'Feuil-saisie'!M5/1000000</f>
        <v>29.329831710000001</v>
      </c>
      <c r="F365" s="438">
        <f>'Feuil-saisie'!W5/1000000</f>
        <v>205.05095713000003</v>
      </c>
      <c r="G365" s="439">
        <f>'Feuil-saisie'!X5/1000000</f>
        <v>5.4072011199999999</v>
      </c>
      <c r="H365" s="440">
        <f>F365+G365</f>
        <v>210.45815825000003</v>
      </c>
      <c r="I365" s="441">
        <f>'Feuil-saisie'!Y5/1000000</f>
        <v>28.679462120000004</v>
      </c>
      <c r="J365" s="438">
        <f>'Feuil-saisie'!AI5/1000000</f>
        <v>166.01201915999999</v>
      </c>
      <c r="K365" s="439">
        <f>'Feuil-saisie'!AJ5/1000000</f>
        <v>10.141349200000001</v>
      </c>
      <c r="L365" s="440">
        <f>J365+K365</f>
        <v>176.15336836</v>
      </c>
      <c r="M365" s="441">
        <f>'Feuil-saisie'!AK5/1000000</f>
        <v>22.922767829999998</v>
      </c>
      <c r="N365" s="438">
        <f>'Feuil-saisie'!AU5/1000000</f>
        <v>144.01955727000001</v>
      </c>
      <c r="O365" s="439">
        <f>'Feuil-saisie'!AV5/1000000</f>
        <v>3.1487947699999994</v>
      </c>
      <c r="P365" s="440">
        <f t="shared" ref="P365:P374" si="632">N365+O365</f>
        <v>147.16835204</v>
      </c>
      <c r="Q365" s="441">
        <f>'Feuil-saisie'!AW5/1000000</f>
        <v>23.976067439999994</v>
      </c>
      <c r="R365" s="438">
        <f>'Feuil-saisie'!BG5/1000000</f>
        <v>92.310224359999992</v>
      </c>
      <c r="S365" s="439">
        <f>'Feuil-saisie'!BH5/1000000</f>
        <v>2.3762602200000007</v>
      </c>
      <c r="T365" s="440">
        <f>R365+S365</f>
        <v>94.686484579999998</v>
      </c>
      <c r="U365" s="441">
        <f>'Feuil-saisie'!BI5/1000000</f>
        <v>23.488074889999996</v>
      </c>
      <c r="V365" s="438">
        <f>'Feuil-saisie'!BS5/1000000</f>
        <v>55.522370460000012</v>
      </c>
      <c r="W365" s="439">
        <f>'Feuil-saisie'!BT5/1000000</f>
        <v>2.9345538899999997</v>
      </c>
      <c r="X365" s="440">
        <f>V365+W365</f>
        <v>58.456924350000008</v>
      </c>
      <c r="Y365" s="441">
        <f>'Feuil-saisie'!BU5/1000000</f>
        <v>23.821483960000005</v>
      </c>
      <c r="Z365" s="438">
        <f>'Feuil-saisie'!CE5/1000000</f>
        <v>47.646142510000004</v>
      </c>
      <c r="AA365" s="439">
        <f>'Feuil-saisie'!CF5/1000000</f>
        <v>0.53539260999999994</v>
      </c>
      <c r="AB365" s="440">
        <f>Z365+AA365</f>
        <v>48.181535120000007</v>
      </c>
      <c r="AC365" s="441">
        <f>'Feuil-saisie'!CG5/1000000</f>
        <v>33.731484420000001</v>
      </c>
      <c r="AD365" s="438">
        <f>'Feuil-saisie'!CQ5/1000000</f>
        <v>26.477821600000002</v>
      </c>
      <c r="AE365" s="439">
        <f>'Feuil-saisie'!CR5/1000000</f>
        <v>0.46012359000000003</v>
      </c>
      <c r="AF365" s="440">
        <f>AD365+AE365</f>
        <v>26.937945190000001</v>
      </c>
      <c r="AG365" s="441">
        <f>'Feuil-saisie'!CS5/1000000</f>
        <v>31.23215922</v>
      </c>
      <c r="AH365" s="438">
        <f>'Feuil-saisie'!DC5/1000000</f>
        <v>0</v>
      </c>
      <c r="AI365" s="439">
        <f>'Feuil-saisie'!DD5/1000000</f>
        <v>0</v>
      </c>
      <c r="AJ365" s="440">
        <f>AH365+AI365</f>
        <v>0</v>
      </c>
      <c r="AK365" s="441">
        <f>'Feuil-saisie'!DE5/1000000</f>
        <v>0</v>
      </c>
      <c r="AL365" s="438">
        <f>'Feuil-saisie'!DO5/1000000</f>
        <v>0</v>
      </c>
      <c r="AM365" s="439">
        <f>'Feuil-saisie'!DP5/1000000</f>
        <v>0</v>
      </c>
      <c r="AN365" s="440">
        <f>AL365+AM365</f>
        <v>0</v>
      </c>
      <c r="AO365" s="441">
        <f>'Feuil-saisie'!DQ5/1000000</f>
        <v>0</v>
      </c>
      <c r="AP365" s="438">
        <f>'Feuil-saisie'!EA5/1000000</f>
        <v>0</v>
      </c>
      <c r="AQ365" s="439">
        <f>'Feuil-saisie'!EB5/1000000</f>
        <v>0</v>
      </c>
      <c r="AR365" s="440">
        <f>AP365+AQ365</f>
        <v>0</v>
      </c>
      <c r="AS365" s="441">
        <f>'Feuil-saisie'!EC5/1000000</f>
        <v>0</v>
      </c>
      <c r="AT365" s="438">
        <f>'Feuil-saisie'!EM5/1000000</f>
        <v>0</v>
      </c>
      <c r="AU365" s="439">
        <f>'Feuil-saisie'!EN5/1000000</f>
        <v>0</v>
      </c>
      <c r="AV365" s="440">
        <f>AT365+AU365</f>
        <v>0</v>
      </c>
      <c r="AW365" s="441">
        <f>'Feuil-saisie'!EO5/1000000</f>
        <v>0</v>
      </c>
      <c r="AX365" s="1066">
        <f>+B365+F365+J365+N365+R365+V365+Z365+AD365+AH365+AL365+AP365+AT365</f>
        <v>893.3399034900001</v>
      </c>
      <c r="AY365" s="1066">
        <f t="shared" ref="AY365:BA374" si="633">+C365+G365+K365+O365+S365+W365+AA365+AE365+AI365+AM365+AQ365+AU365</f>
        <v>29.000575189999996</v>
      </c>
      <c r="AZ365" s="1514">
        <f t="shared" si="633"/>
        <v>922.34047867999993</v>
      </c>
      <c r="BA365" s="1251">
        <f t="shared" si="633"/>
        <v>217.18133158999998</v>
      </c>
      <c r="BB365" s="1904">
        <f>+AZ365+BA365</f>
        <v>1139.5218102699998</v>
      </c>
      <c r="BD365" s="445">
        <f>AD365</f>
        <v>26.477821600000002</v>
      </c>
      <c r="BE365" s="445">
        <f t="shared" ref="BE365:BE374" si="634">AE365</f>
        <v>0.46012359000000003</v>
      </c>
      <c r="BF365" s="445">
        <f>AF365</f>
        <v>26.937945190000001</v>
      </c>
      <c r="BG365" s="445">
        <f t="shared" ref="BG365:BG374" si="635">AG365</f>
        <v>31.23215922</v>
      </c>
      <c r="BI365" s="430"/>
      <c r="BJ365" s="430"/>
      <c r="BK365" s="430"/>
      <c r="BL365" s="430"/>
      <c r="BM365" s="430"/>
    </row>
    <row r="366" spans="1:65">
      <c r="A366" s="397" t="s">
        <v>7</v>
      </c>
      <c r="B366" s="438">
        <f>'Feuil-saisie'!K6/1000000</f>
        <v>200.58250100000001</v>
      </c>
      <c r="C366" s="439">
        <f>'Feuil-saisie'!L6/1000000</f>
        <v>4.8927072100000002</v>
      </c>
      <c r="D366" s="440">
        <f t="shared" si="631"/>
        <v>205.47520821000001</v>
      </c>
      <c r="E366" s="441">
        <f>'Feuil-saisie'!M6/1000000</f>
        <v>12.788030340000001</v>
      </c>
      <c r="F366" s="438">
        <f>'Feuil-saisie'!W6/1000000</f>
        <v>217.87837034000003</v>
      </c>
      <c r="G366" s="439">
        <f>'Feuil-saisie'!X6/1000000</f>
        <v>6.4264347099999988</v>
      </c>
      <c r="H366" s="440">
        <f>F366+G366</f>
        <v>224.30480505000003</v>
      </c>
      <c r="I366" s="441">
        <f>'Feuil-saisie'!Y6/1000000</f>
        <v>12.60589646</v>
      </c>
      <c r="J366" s="438">
        <f>'Feuil-saisie'!AI6/1000000</f>
        <v>143.38120604000002</v>
      </c>
      <c r="K366" s="439">
        <f>'Feuil-saisie'!AJ6/1000000</f>
        <v>25.025863279999996</v>
      </c>
      <c r="L366" s="440">
        <f t="shared" ref="L366:L374" si="636">J366+K366</f>
        <v>168.40706932000001</v>
      </c>
      <c r="M366" s="441">
        <f>'Feuil-saisie'!AK6/1000000</f>
        <v>11.57411312</v>
      </c>
      <c r="N366" s="438">
        <f>'Feuil-saisie'!AU6/1000000</f>
        <v>178.20917942</v>
      </c>
      <c r="O366" s="439">
        <f>'Feuil-saisie'!AV6/1000000</f>
        <v>5.11758968</v>
      </c>
      <c r="P366" s="440">
        <f t="shared" si="632"/>
        <v>183.32676910000001</v>
      </c>
      <c r="Q366" s="441">
        <f>'Feuil-saisie'!AW6/1000000</f>
        <v>7.0108663900000003</v>
      </c>
      <c r="R366" s="438">
        <f>'Feuil-saisie'!BG6/1000000</f>
        <v>94.937410150000005</v>
      </c>
      <c r="S366" s="439">
        <f>'Feuil-saisie'!BH6/1000000</f>
        <v>2.7030828200000001</v>
      </c>
      <c r="T366" s="440">
        <f t="shared" ref="T366:T374" si="637">R366+S366</f>
        <v>97.640492970000011</v>
      </c>
      <c r="U366" s="441">
        <f>'Feuil-saisie'!BI6/1000000</f>
        <v>6.3576629999999996</v>
      </c>
      <c r="V366" s="438">
        <f>'Feuil-saisie'!BS6/1000000</f>
        <v>33.646382699999997</v>
      </c>
      <c r="W366" s="439">
        <f>'Feuil-saisie'!BT6/1000000</f>
        <v>7.1145574299999996</v>
      </c>
      <c r="X366" s="440">
        <f t="shared" ref="X366:X374" si="638">V366+W366</f>
        <v>40.760940129999994</v>
      </c>
      <c r="Y366" s="441">
        <f>'Feuil-saisie'!BU6/1000000</f>
        <v>5.3932240299999998</v>
      </c>
      <c r="Z366" s="438">
        <f>'Feuil-saisie'!CE6/1000000</f>
        <v>34.391334372491336</v>
      </c>
      <c r="AA366" s="439">
        <f>'Feuil-saisie'!CF6/1000000</f>
        <v>0.88886846866553704</v>
      </c>
      <c r="AB366" s="440">
        <f t="shared" ref="AB366:AB374" si="639">Z366+AA366</f>
        <v>35.280202841156871</v>
      </c>
      <c r="AC366" s="441">
        <f>'Feuil-saisie'!CG6/1000000</f>
        <v>6.3126590599999997</v>
      </c>
      <c r="AD366" s="438">
        <f>'Feuil-saisie'!CQ6/1000000</f>
        <v>25.026739859999999</v>
      </c>
      <c r="AE366" s="439">
        <f>'Feuil-saisie'!CR6/1000000</f>
        <v>0.31088618856868999</v>
      </c>
      <c r="AF366" s="440">
        <f t="shared" ref="AF366:AF374" si="640">AD366+AE366</f>
        <v>25.337626048568691</v>
      </c>
      <c r="AG366" s="441">
        <f>'Feuil-saisie'!CS6/1000000</f>
        <v>5.1699632800000002</v>
      </c>
      <c r="AH366" s="438">
        <f>'Feuil-saisie'!DC6/1000000</f>
        <v>0</v>
      </c>
      <c r="AI366" s="439">
        <f>'Feuil-saisie'!DD6/1000000</f>
        <v>0</v>
      </c>
      <c r="AJ366" s="440">
        <f t="shared" ref="AJ366:AJ374" si="641">AH366+AI366</f>
        <v>0</v>
      </c>
      <c r="AK366" s="441">
        <f>'Feuil-saisie'!DE6/1000000</f>
        <v>0</v>
      </c>
      <c r="AL366" s="438">
        <f>'Feuil-saisie'!DO6/1000000</f>
        <v>0</v>
      </c>
      <c r="AM366" s="439">
        <f>'Feuil-saisie'!DP6/1000000</f>
        <v>0</v>
      </c>
      <c r="AN366" s="440">
        <f t="shared" ref="AN366:AN374" si="642">AL366+AM366</f>
        <v>0</v>
      </c>
      <c r="AO366" s="441">
        <f>'Feuil-saisie'!DQ6/1000000</f>
        <v>0</v>
      </c>
      <c r="AP366" s="438">
        <f>'Feuil-saisie'!EA6/1000000</f>
        <v>0</v>
      </c>
      <c r="AQ366" s="439">
        <f>'Feuil-saisie'!EB6/1000000</f>
        <v>0</v>
      </c>
      <c r="AR366" s="440">
        <f t="shared" ref="AR366:AR374" si="643">AP366+AQ366</f>
        <v>0</v>
      </c>
      <c r="AS366" s="441">
        <f>'Feuil-saisie'!EC6/1000000</f>
        <v>0</v>
      </c>
      <c r="AT366" s="438">
        <f>'Feuil-saisie'!EM6/1000000</f>
        <v>0</v>
      </c>
      <c r="AU366" s="439">
        <f>'Feuil-saisie'!EN6/1000000</f>
        <v>0</v>
      </c>
      <c r="AV366" s="440">
        <f t="shared" ref="AV366:AV374" si="644">AT366+AU366</f>
        <v>0</v>
      </c>
      <c r="AW366" s="441">
        <f>'Feuil-saisie'!EO6/1000000</f>
        <v>0</v>
      </c>
      <c r="AX366" s="1061">
        <f t="shared" ref="AX366:AX374" si="645">+B366+F366+J366+N366+R366+V366+Z366+AD366+AH366+AL366+AP366+AT366</f>
        <v>928.05312388249149</v>
      </c>
      <c r="AY366" s="447">
        <f t="shared" si="633"/>
        <v>52.479989787234217</v>
      </c>
      <c r="AZ366" s="1047">
        <f t="shared" si="633"/>
        <v>980.53311366972559</v>
      </c>
      <c r="BA366" s="1240">
        <f t="shared" si="633"/>
        <v>67.212415680000007</v>
      </c>
      <c r="BB366" s="826">
        <f t="shared" ref="BB366:BB374" si="646">+AZ366+BA366</f>
        <v>1047.7455293497255</v>
      </c>
      <c r="BD366" s="445">
        <f t="shared" ref="BD366:BD375" si="647">AD366</f>
        <v>25.026739859999999</v>
      </c>
      <c r="BE366" s="445">
        <f t="shared" si="634"/>
        <v>0.31088618856868999</v>
      </c>
      <c r="BF366" s="445">
        <f t="shared" ref="BF366:BF375" si="648">AF366</f>
        <v>25.337626048568691</v>
      </c>
      <c r="BG366" s="445">
        <f t="shared" si="635"/>
        <v>5.1699632800000002</v>
      </c>
    </row>
    <row r="367" spans="1:65">
      <c r="A367" s="397" t="s">
        <v>8</v>
      </c>
      <c r="B367" s="438">
        <f>'Feuil-saisie'!K7/1000000</f>
        <v>203.66880245000002</v>
      </c>
      <c r="C367" s="439">
        <f>'Feuil-saisie'!L7/1000000</f>
        <v>11.952834350000002</v>
      </c>
      <c r="D367" s="440">
        <f t="shared" si="631"/>
        <v>215.6216368</v>
      </c>
      <c r="E367" s="441">
        <f>'Feuil-saisie'!M7/1000000</f>
        <v>7.3550300000000002</v>
      </c>
      <c r="F367" s="438">
        <f>'Feuil-saisie'!W7/1000000</f>
        <v>189.12889622000006</v>
      </c>
      <c r="G367" s="439">
        <f>'Feuil-saisie'!X7/1000000</f>
        <v>9.8026884900000013</v>
      </c>
      <c r="H367" s="440">
        <f t="shared" ref="H367:H374" si="649">F367+G367</f>
        <v>198.93158471000007</v>
      </c>
      <c r="I367" s="441">
        <f>'Feuil-saisie'!Y7/1000000</f>
        <v>8.9565107499999996</v>
      </c>
      <c r="J367" s="438">
        <f>'Feuil-saisie'!AI7/1000000</f>
        <v>149.56703841000001</v>
      </c>
      <c r="K367" s="439">
        <f>'Feuil-saisie'!AJ7/1000000</f>
        <v>16.512635070000002</v>
      </c>
      <c r="L367" s="440">
        <f t="shared" si="636"/>
        <v>166.07967348</v>
      </c>
      <c r="M367" s="441">
        <f>'Feuil-saisie'!AK7/1000000</f>
        <v>8.5697299999999998</v>
      </c>
      <c r="N367" s="438">
        <f>'Feuil-saisie'!AU7/1000000</f>
        <v>175.29128026999999</v>
      </c>
      <c r="O367" s="439">
        <f>'Feuil-saisie'!AV7/1000000</f>
        <v>9.9195895899999993</v>
      </c>
      <c r="P367" s="440">
        <f t="shared" si="632"/>
        <v>185.21086985999997</v>
      </c>
      <c r="Q367" s="441">
        <f>'Feuil-saisie'!AW7/1000000</f>
        <v>5.9646027999999998</v>
      </c>
      <c r="R367" s="438">
        <f>'Feuil-saisie'!BG7/1000000</f>
        <v>89.756331570000015</v>
      </c>
      <c r="S367" s="439">
        <f>'Feuil-saisie'!BH7/1000000</f>
        <v>4.7059329700000001</v>
      </c>
      <c r="T367" s="440">
        <f t="shared" si="637"/>
        <v>94.462264540000021</v>
      </c>
      <c r="U367" s="441">
        <f>'Feuil-saisie'!BI7/1000000</f>
        <v>4.47676885</v>
      </c>
      <c r="V367" s="438">
        <f>'Feuil-saisie'!BS7/1000000</f>
        <v>43.614773689999993</v>
      </c>
      <c r="W367" s="439">
        <f>'Feuil-saisie'!BT7/1000000</f>
        <v>4.4633975100000001</v>
      </c>
      <c r="X367" s="440">
        <f t="shared" si="638"/>
        <v>48.078171199999993</v>
      </c>
      <c r="Y367" s="441">
        <f>'Feuil-saisie'!BU7/1000000</f>
        <v>3.92</v>
      </c>
      <c r="Z367" s="438">
        <f>'Feuil-saisie'!CE7/1000000</f>
        <v>34.292945599999996</v>
      </c>
      <c r="AA367" s="439">
        <f>'Feuil-saisie'!CF7/1000000</f>
        <v>1.2383551499999998</v>
      </c>
      <c r="AB367" s="440">
        <f t="shared" si="639"/>
        <v>35.531300749999993</v>
      </c>
      <c r="AC367" s="441">
        <f>'Feuil-saisie'!CG7/1000000</f>
        <v>1.38</v>
      </c>
      <c r="AD367" s="438">
        <f>'Feuil-saisie'!CQ7/1000000</f>
        <v>20.068063890000001</v>
      </c>
      <c r="AE367" s="439">
        <f>'Feuil-saisie'!CR7/1000000</f>
        <v>0.68280688999999994</v>
      </c>
      <c r="AF367" s="440">
        <f t="shared" si="640"/>
        <v>20.75087078</v>
      </c>
      <c r="AG367" s="441">
        <f>'Feuil-saisie'!CS7/1000000</f>
        <v>2.8097934499999999</v>
      </c>
      <c r="AH367" s="438">
        <f>'Feuil-saisie'!DC7/1000000</f>
        <v>0</v>
      </c>
      <c r="AI367" s="439">
        <f>'Feuil-saisie'!DD7/1000000</f>
        <v>0</v>
      </c>
      <c r="AJ367" s="440">
        <f t="shared" si="641"/>
        <v>0</v>
      </c>
      <c r="AK367" s="441">
        <f>'Feuil-saisie'!DE7/1000000</f>
        <v>0</v>
      </c>
      <c r="AL367" s="438">
        <f>'Feuil-saisie'!DO7/1000000</f>
        <v>0</v>
      </c>
      <c r="AM367" s="439">
        <f>'Feuil-saisie'!DP7/1000000</f>
        <v>0</v>
      </c>
      <c r="AN367" s="440">
        <f t="shared" si="642"/>
        <v>0</v>
      </c>
      <c r="AO367" s="441">
        <f>'Feuil-saisie'!DQ7/1000000</f>
        <v>0</v>
      </c>
      <c r="AP367" s="438">
        <f>'Feuil-saisie'!EA7/1000000</f>
        <v>0</v>
      </c>
      <c r="AQ367" s="439">
        <f>'Feuil-saisie'!EB7/1000000</f>
        <v>0</v>
      </c>
      <c r="AR367" s="440">
        <f t="shared" si="643"/>
        <v>0</v>
      </c>
      <c r="AS367" s="441">
        <f>'Feuil-saisie'!EC7/1000000</f>
        <v>0</v>
      </c>
      <c r="AT367" s="438">
        <f>'Feuil-saisie'!EM7/1000000</f>
        <v>0</v>
      </c>
      <c r="AU367" s="439">
        <f>'Feuil-saisie'!EN7/1000000</f>
        <v>0</v>
      </c>
      <c r="AV367" s="440">
        <f t="shared" si="644"/>
        <v>0</v>
      </c>
      <c r="AW367" s="441">
        <f>'Feuil-saisie'!EO7/1000000</f>
        <v>0</v>
      </c>
      <c r="AX367" s="1061">
        <f t="shared" si="645"/>
        <v>905.38813210000001</v>
      </c>
      <c r="AY367" s="447">
        <f t="shared" si="633"/>
        <v>59.278240020000005</v>
      </c>
      <c r="AZ367" s="1047">
        <f t="shared" si="633"/>
        <v>964.66637212000012</v>
      </c>
      <c r="BA367" s="1240">
        <f t="shared" si="633"/>
        <v>43.432435850000005</v>
      </c>
      <c r="BB367" s="826">
        <f t="shared" si="646"/>
        <v>1008.0988079700002</v>
      </c>
      <c r="BD367" s="445">
        <f t="shared" si="647"/>
        <v>20.068063890000001</v>
      </c>
      <c r="BE367" s="445">
        <f t="shared" si="634"/>
        <v>0.68280688999999994</v>
      </c>
      <c r="BF367" s="445">
        <f t="shared" si="648"/>
        <v>20.75087078</v>
      </c>
      <c r="BG367" s="445">
        <f t="shared" si="635"/>
        <v>2.8097934499999999</v>
      </c>
    </row>
    <row r="368" spans="1:65">
      <c r="A368" s="397" t="s">
        <v>4</v>
      </c>
      <c r="B368" s="438">
        <f>'Feuil-saisie'!K8/1000000</f>
        <v>273.73051872999997</v>
      </c>
      <c r="C368" s="439">
        <f>'Feuil-saisie'!L8/1000000</f>
        <v>10.225217499999999</v>
      </c>
      <c r="D368" s="440">
        <f t="shared" si="631"/>
        <v>283.95573622999996</v>
      </c>
      <c r="E368" s="441">
        <f>'Feuil-saisie'!M8/1000000</f>
        <v>14.95363716</v>
      </c>
      <c r="F368" s="438">
        <f>'Feuil-saisie'!W8/1000000</f>
        <v>306.90433407000006</v>
      </c>
      <c r="G368" s="439">
        <f>'Feuil-saisie'!X8/1000000</f>
        <v>12.7694809</v>
      </c>
      <c r="H368" s="440">
        <f t="shared" si="649"/>
        <v>319.67381497000008</v>
      </c>
      <c r="I368" s="441">
        <f>'Feuil-saisie'!Y8/1000000</f>
        <v>15.25185589</v>
      </c>
      <c r="J368" s="438">
        <f>'Feuil-saisie'!AI8/1000000</f>
        <v>262.66237798000003</v>
      </c>
      <c r="K368" s="439">
        <f>'Feuil-saisie'!AJ8/1000000</f>
        <v>14.972714830000003</v>
      </c>
      <c r="L368" s="440">
        <f t="shared" si="636"/>
        <v>277.63509281000006</v>
      </c>
      <c r="M368" s="441">
        <f>'Feuil-saisie'!AK8/1000000</f>
        <v>11.833941149999999</v>
      </c>
      <c r="N368" s="438">
        <f>'Feuil-saisie'!AU8/1000000</f>
        <v>260.29970639999999</v>
      </c>
      <c r="O368" s="439">
        <f>'Feuil-saisie'!AV8/1000000</f>
        <v>10.709006839999997</v>
      </c>
      <c r="P368" s="440">
        <f t="shared" si="632"/>
        <v>271.00871323999996</v>
      </c>
      <c r="Q368" s="441">
        <f>'Feuil-saisie'!AW8/1000000</f>
        <v>10.04073415</v>
      </c>
      <c r="R368" s="438">
        <f>'Feuil-saisie'!BG8/1000000</f>
        <v>146.12181282</v>
      </c>
      <c r="S368" s="439">
        <f>'Feuil-saisie'!BH8/1000000</f>
        <v>6.6716879300000009</v>
      </c>
      <c r="T368" s="440">
        <f t="shared" si="637"/>
        <v>152.79350074999999</v>
      </c>
      <c r="U368" s="441">
        <f>'Feuil-saisie'!BI8/1000000</f>
        <v>7.93410818</v>
      </c>
      <c r="V368" s="438">
        <f>'Feuil-saisie'!BS8/1000000</f>
        <v>69.809413620000001</v>
      </c>
      <c r="W368" s="439">
        <f>'Feuil-saisie'!BT8/1000000</f>
        <v>4.1621537600000007</v>
      </c>
      <c r="X368" s="440">
        <f t="shared" si="638"/>
        <v>73.971567379999996</v>
      </c>
      <c r="Y368" s="441">
        <f>'Feuil-saisie'!BU8/1000000</f>
        <v>7.2653601399999976</v>
      </c>
      <c r="Z368" s="438">
        <f>'Feuil-saisie'!CE8/1000000</f>
        <v>52.356110510000001</v>
      </c>
      <c r="AA368" s="439">
        <f>'Feuil-saisie'!CF8/1000000</f>
        <v>3.2503605299999996</v>
      </c>
      <c r="AB368" s="440">
        <f t="shared" si="639"/>
        <v>55.606471040000002</v>
      </c>
      <c r="AC368" s="441">
        <f>'Feuil-saisie'!CG8/1000000</f>
        <v>11.48345108</v>
      </c>
      <c r="AD368" s="438">
        <f>'Feuil-saisie'!CQ8/1000000</f>
        <v>32.270362999999946</v>
      </c>
      <c r="AE368" s="439">
        <f>'Feuil-saisie'!CR8/1000000</f>
        <v>0.79787261999999992</v>
      </c>
      <c r="AF368" s="440">
        <f t="shared" si="640"/>
        <v>33.068235619999946</v>
      </c>
      <c r="AG368" s="441">
        <f>'Feuil-saisie'!CS8/1000000</f>
        <v>6.4587565099999997</v>
      </c>
      <c r="AH368" s="438">
        <f>'Feuil-saisie'!DC8/1000000</f>
        <v>0</v>
      </c>
      <c r="AI368" s="439">
        <f>'Feuil-saisie'!DD8/1000000</f>
        <v>0</v>
      </c>
      <c r="AJ368" s="440">
        <f t="shared" si="641"/>
        <v>0</v>
      </c>
      <c r="AK368" s="441">
        <f>'Feuil-saisie'!DE8/1000000</f>
        <v>0</v>
      </c>
      <c r="AL368" s="438">
        <f>'Feuil-saisie'!DO8/1000000</f>
        <v>0</v>
      </c>
      <c r="AM368" s="439">
        <f>'Feuil-saisie'!DP8/1000000</f>
        <v>0</v>
      </c>
      <c r="AN368" s="440">
        <f t="shared" si="642"/>
        <v>0</v>
      </c>
      <c r="AO368" s="441">
        <f>'Feuil-saisie'!DQ8/1000000</f>
        <v>0</v>
      </c>
      <c r="AP368" s="438">
        <f>'Feuil-saisie'!EA8/1000000</f>
        <v>0</v>
      </c>
      <c r="AQ368" s="439">
        <f>'Feuil-saisie'!EB8/1000000</f>
        <v>0</v>
      </c>
      <c r="AR368" s="440">
        <f t="shared" si="643"/>
        <v>0</v>
      </c>
      <c r="AS368" s="441">
        <f>'Feuil-saisie'!EC8/1000000</f>
        <v>0</v>
      </c>
      <c r="AT368" s="438">
        <f>'Feuil-saisie'!EM8/1000000</f>
        <v>0</v>
      </c>
      <c r="AU368" s="439">
        <f>'Feuil-saisie'!EN8/1000000</f>
        <v>0</v>
      </c>
      <c r="AV368" s="440">
        <f t="shared" si="644"/>
        <v>0</v>
      </c>
      <c r="AW368" s="441">
        <f>'Feuil-saisie'!EO8/1000000</f>
        <v>0</v>
      </c>
      <c r="AX368" s="1061">
        <f t="shared" si="645"/>
        <v>1404.1546371300001</v>
      </c>
      <c r="AY368" s="1047">
        <f t="shared" si="633"/>
        <v>63.55849491</v>
      </c>
      <c r="AZ368" s="1047">
        <f t="shared" si="633"/>
        <v>1467.7131320400001</v>
      </c>
      <c r="BA368" s="1240">
        <f t="shared" si="633"/>
        <v>85.221844259999997</v>
      </c>
      <c r="BB368" s="826">
        <f t="shared" si="646"/>
        <v>1552.9349763</v>
      </c>
      <c r="BC368" s="446"/>
      <c r="BD368" s="445">
        <f t="shared" si="647"/>
        <v>32.270362999999946</v>
      </c>
      <c r="BE368" s="445">
        <f t="shared" si="634"/>
        <v>0.79787261999999992</v>
      </c>
      <c r="BF368" s="445">
        <f t="shared" si="648"/>
        <v>33.068235619999946</v>
      </c>
      <c r="BG368" s="445">
        <f t="shared" si="635"/>
        <v>6.4587565099999997</v>
      </c>
      <c r="BI368" s="430"/>
      <c r="BJ368" s="430"/>
      <c r="BK368" s="430"/>
      <c r="BL368" s="430"/>
      <c r="BM368" s="430"/>
    </row>
    <row r="369" spans="1:65">
      <c r="A369" s="397" t="s">
        <v>3</v>
      </c>
      <c r="B369" s="438">
        <f>'Feuil-saisie'!K9/1000000</f>
        <v>299.22798465999995</v>
      </c>
      <c r="C369" s="439">
        <f>'Feuil-saisie'!L9/1000000</f>
        <v>9.8203622900000003</v>
      </c>
      <c r="D369" s="440">
        <f t="shared" si="631"/>
        <v>309.04834694999994</v>
      </c>
      <c r="E369" s="441">
        <f>'Feuil-saisie'!M9/1000000</f>
        <v>14.688558349999999</v>
      </c>
      <c r="F369" s="438">
        <f>'Feuil-saisie'!W9/1000000</f>
        <v>339.92567697999999</v>
      </c>
      <c r="G369" s="439">
        <f>'Feuil-saisie'!X9/1000000</f>
        <v>10.453794940000002</v>
      </c>
      <c r="H369" s="440">
        <f t="shared" si="649"/>
        <v>350.37947192000001</v>
      </c>
      <c r="I369" s="441">
        <f>'Feuil-saisie'!Y9/1000000</f>
        <v>13.890282970000001</v>
      </c>
      <c r="J369" s="438">
        <f>'Feuil-saisie'!AI9/1000000</f>
        <v>235.75602801999995</v>
      </c>
      <c r="K369" s="439">
        <f>'Feuil-saisie'!AJ9/1000000</f>
        <v>40.242112940000005</v>
      </c>
      <c r="L369" s="440">
        <f t="shared" si="636"/>
        <v>275.99814095999994</v>
      </c>
      <c r="M369" s="441">
        <f>'Feuil-saisie'!AK9/1000000</f>
        <v>10.947690570000001</v>
      </c>
      <c r="N369" s="438">
        <f>'Feuil-saisie'!AU9/1000000</f>
        <v>273.41976235999999</v>
      </c>
      <c r="O369" s="439">
        <f>'Feuil-saisie'!AV9/1000000</f>
        <v>5.4093177300000006</v>
      </c>
      <c r="P369" s="440">
        <f t="shared" si="632"/>
        <v>278.82908008999999</v>
      </c>
      <c r="Q369" s="441">
        <f>'Feuil-saisie'!AW9/1000000</f>
        <v>8.6497877400000007</v>
      </c>
      <c r="R369" s="438">
        <f>'Feuil-saisie'!BG9/1000000</f>
        <v>159.81845375000003</v>
      </c>
      <c r="S369" s="439">
        <f>'Feuil-saisie'!BH9/1000000</f>
        <v>5.3143159000000004</v>
      </c>
      <c r="T369" s="440">
        <f t="shared" si="637"/>
        <v>165.13276965000003</v>
      </c>
      <c r="U369" s="441">
        <f>'Feuil-saisie'!BI9/1000000</f>
        <v>5.1489649000000002</v>
      </c>
      <c r="V369" s="438">
        <f>'Feuil-saisie'!BS9/1000000</f>
        <v>72.127935579999999</v>
      </c>
      <c r="W369" s="439">
        <f>'Feuil-saisie'!BT9/1000000</f>
        <v>15.524222329999999</v>
      </c>
      <c r="X369" s="440">
        <f t="shared" si="638"/>
        <v>87.65215791</v>
      </c>
      <c r="Y369" s="441">
        <f>'Feuil-saisie'!BU9/1000000</f>
        <v>4.7115246200000005</v>
      </c>
      <c r="Z369" s="438">
        <f>'Feuil-saisie'!CE9/1000000</f>
        <v>52.750635219999999</v>
      </c>
      <c r="AA369" s="439">
        <f>'Feuil-saisie'!CF9/1000000</f>
        <v>0.73061787000000011</v>
      </c>
      <c r="AB369" s="440">
        <f t="shared" si="639"/>
        <v>53.481253090000003</v>
      </c>
      <c r="AC369" s="441">
        <f>'Feuil-saisie'!CG9/1000000</f>
        <v>3.7741901699999998</v>
      </c>
      <c r="AD369" s="438">
        <f>'Feuil-saisie'!CQ9/1000000</f>
        <v>37.624971020000004</v>
      </c>
      <c r="AE369" s="439">
        <f>'Feuil-saisie'!CR9/1000000</f>
        <v>0.48853210000000002</v>
      </c>
      <c r="AF369" s="440">
        <f t="shared" si="640"/>
        <v>38.113503120000004</v>
      </c>
      <c r="AG369" s="441">
        <f>'Feuil-saisie'!CS9/1000000</f>
        <v>4.0870285099999997</v>
      </c>
      <c r="AH369" s="438">
        <f>'Feuil-saisie'!DC9/1000000</f>
        <v>0</v>
      </c>
      <c r="AI369" s="439">
        <f>'Feuil-saisie'!DD9/1000000</f>
        <v>0</v>
      </c>
      <c r="AJ369" s="440">
        <f t="shared" si="641"/>
        <v>0</v>
      </c>
      <c r="AK369" s="441">
        <f>'Feuil-saisie'!DE9/1000000</f>
        <v>0</v>
      </c>
      <c r="AL369" s="438">
        <f>'Feuil-saisie'!DO9/1000000</f>
        <v>0</v>
      </c>
      <c r="AM369" s="439">
        <f>'Feuil-saisie'!DP9/1000000</f>
        <v>0</v>
      </c>
      <c r="AN369" s="440">
        <f t="shared" si="642"/>
        <v>0</v>
      </c>
      <c r="AO369" s="441">
        <f>'Feuil-saisie'!DQ9/1000000</f>
        <v>0</v>
      </c>
      <c r="AP369" s="438">
        <f>'Feuil-saisie'!EA9/1000000</f>
        <v>0</v>
      </c>
      <c r="AQ369" s="439">
        <f>'Feuil-saisie'!EB9/1000000</f>
        <v>0</v>
      </c>
      <c r="AR369" s="440">
        <f t="shared" si="643"/>
        <v>0</v>
      </c>
      <c r="AS369" s="441">
        <f>'Feuil-saisie'!EC9/1000000</f>
        <v>0</v>
      </c>
      <c r="AT369" s="438">
        <f>'Feuil-saisie'!EM9/1000000</f>
        <v>0</v>
      </c>
      <c r="AU369" s="439">
        <f>'Feuil-saisie'!EN9/1000000</f>
        <v>0</v>
      </c>
      <c r="AV369" s="440">
        <f t="shared" si="644"/>
        <v>0</v>
      </c>
      <c r="AW369" s="441">
        <f>'Feuil-saisie'!EO9/1000000</f>
        <v>0</v>
      </c>
      <c r="AX369" s="1061">
        <f t="shared" si="645"/>
        <v>1470.6514475899999</v>
      </c>
      <c r="AY369" s="447">
        <f t="shared" si="633"/>
        <v>87.983276100000012</v>
      </c>
      <c r="AZ369" s="1047">
        <f t="shared" si="633"/>
        <v>1558.6347236899999</v>
      </c>
      <c r="BA369" s="1240">
        <f t="shared" si="633"/>
        <v>65.898027830000004</v>
      </c>
      <c r="BB369" s="826">
        <f t="shared" si="646"/>
        <v>1624.5327515199999</v>
      </c>
      <c r="BD369" s="445">
        <f t="shared" si="647"/>
        <v>37.624971020000004</v>
      </c>
      <c r="BE369" s="445">
        <f t="shared" si="634"/>
        <v>0.48853210000000002</v>
      </c>
      <c r="BF369" s="445">
        <f t="shared" si="648"/>
        <v>38.113503120000004</v>
      </c>
      <c r="BG369" s="445">
        <f t="shared" si="635"/>
        <v>4.0870285099999997</v>
      </c>
    </row>
    <row r="370" spans="1:65">
      <c r="A370" s="397" t="s">
        <v>397</v>
      </c>
      <c r="B370" s="438">
        <f>'Feuil-saisie'!K10/1000000</f>
        <v>60.72583801000026</v>
      </c>
      <c r="C370" s="439">
        <f>'Feuil-saisie'!L10/1000000</f>
        <v>2.8589619800000001</v>
      </c>
      <c r="D370" s="440">
        <f t="shared" si="631"/>
        <v>63.584799990000263</v>
      </c>
      <c r="E370" s="441">
        <f>'Feuil-saisie'!M10/1000000</f>
        <v>9.2938688499999991</v>
      </c>
      <c r="F370" s="438">
        <f>'Feuil-saisie'!W10/1000000</f>
        <v>76.405562060000065</v>
      </c>
      <c r="G370" s="439">
        <f>'Feuil-saisie'!X10/1000000</f>
        <v>3.7689738299999997</v>
      </c>
      <c r="H370" s="440">
        <f t="shared" si="649"/>
        <v>80.174535890000058</v>
      </c>
      <c r="I370" s="441">
        <f>'Feuil-saisie'!Y10/1000000</f>
        <v>8.660529480000001</v>
      </c>
      <c r="J370" s="438">
        <f>'Feuil-saisie'!AI10/1000000</f>
        <v>69.990683970000447</v>
      </c>
      <c r="K370" s="439">
        <f>'Feuil-saisie'!AJ10/1000000</f>
        <v>3.2174335900000006</v>
      </c>
      <c r="L370" s="440">
        <f t="shared" si="636"/>
        <v>73.208117560000446</v>
      </c>
      <c r="M370" s="441">
        <f>'Feuil-saisie'!AK10/1000000</f>
        <v>8.5804517499999999</v>
      </c>
      <c r="N370" s="438">
        <f>'Feuil-saisie'!AU10/1000000</f>
        <v>64.045070720000538</v>
      </c>
      <c r="O370" s="439">
        <f>'Feuil-saisie'!AV10/1000000</f>
        <v>3.5740600999999974</v>
      </c>
      <c r="P370" s="440">
        <f t="shared" si="632"/>
        <v>67.619130820000535</v>
      </c>
      <c r="Q370" s="441">
        <f>'Feuil-saisie'!AW10/1000000</f>
        <v>5.6141847800000004</v>
      </c>
      <c r="R370" s="438">
        <f>'Feuil-saisie'!BG10/1000000</f>
        <v>40.088118880000849</v>
      </c>
      <c r="S370" s="439">
        <f>'Feuil-saisie'!BH10/1000000</f>
        <v>1.4541757500000001</v>
      </c>
      <c r="T370" s="440">
        <f t="shared" si="637"/>
        <v>41.542294630000846</v>
      </c>
      <c r="U370" s="441">
        <f>'Feuil-saisie'!BI10/1000000</f>
        <v>6.11982903</v>
      </c>
      <c r="V370" s="438">
        <f>'Feuil-saisie'!BS10/1000000</f>
        <v>27.617306480000476</v>
      </c>
      <c r="W370" s="439">
        <f>'Feuil-saisie'!BT10/1000000</f>
        <v>1.3194284199999999</v>
      </c>
      <c r="X370" s="440">
        <f t="shared" si="638"/>
        <v>28.936734900000477</v>
      </c>
      <c r="Y370" s="441">
        <f>'Feuil-saisie'!BU10/1000000</f>
        <v>5.0607810000000004</v>
      </c>
      <c r="Z370" s="438">
        <f>'Feuil-saisie'!CE10/1000000</f>
        <v>23.62609344000029</v>
      </c>
      <c r="AA370" s="439">
        <f>'Feuil-saisie'!CF10/1000000</f>
        <v>1.5493653000000007</v>
      </c>
      <c r="AB370" s="440">
        <f t="shared" si="639"/>
        <v>25.175458740000291</v>
      </c>
      <c r="AC370" s="441">
        <f>'Feuil-saisie'!CG10/1000000</f>
        <v>4.4624307000000005</v>
      </c>
      <c r="AD370" s="438">
        <f>'Feuil-saisie'!CQ10/1000000</f>
        <v>17.069173059999741</v>
      </c>
      <c r="AE370" s="439">
        <f>'Feuil-saisie'!CR10/1000000</f>
        <v>0.33428822000000008</v>
      </c>
      <c r="AF370" s="440">
        <f t="shared" si="640"/>
        <v>17.403461279999743</v>
      </c>
      <c r="AG370" s="441">
        <f>'Feuil-saisie'!CS10/1000000</f>
        <v>5.1061570400000003</v>
      </c>
      <c r="AH370" s="438">
        <f>'Feuil-saisie'!DC10/1000000</f>
        <v>0</v>
      </c>
      <c r="AI370" s="439">
        <f>'Feuil-saisie'!DD10/1000000</f>
        <v>0</v>
      </c>
      <c r="AJ370" s="440">
        <f t="shared" si="641"/>
        <v>0</v>
      </c>
      <c r="AK370" s="441">
        <f>'Feuil-saisie'!DE10/1000000</f>
        <v>0</v>
      </c>
      <c r="AL370" s="438">
        <f>'Feuil-saisie'!DO10/1000000</f>
        <v>0</v>
      </c>
      <c r="AM370" s="439">
        <f>'Feuil-saisie'!DP10/1000000</f>
        <v>0</v>
      </c>
      <c r="AN370" s="440">
        <f t="shared" si="642"/>
        <v>0</v>
      </c>
      <c r="AO370" s="441">
        <f>'Feuil-saisie'!DQ10/1000000</f>
        <v>0</v>
      </c>
      <c r="AP370" s="438">
        <f>'Feuil-saisie'!EA10/1000000</f>
        <v>0</v>
      </c>
      <c r="AQ370" s="439">
        <f>'Feuil-saisie'!EB10/1000000</f>
        <v>0</v>
      </c>
      <c r="AR370" s="440">
        <f t="shared" si="643"/>
        <v>0</v>
      </c>
      <c r="AS370" s="441">
        <f>'Feuil-saisie'!EC10/1000000</f>
        <v>0</v>
      </c>
      <c r="AT370" s="438">
        <f>'Feuil-saisie'!EM10/1000000</f>
        <v>0</v>
      </c>
      <c r="AU370" s="439">
        <f>'Feuil-saisie'!EN10/1000000</f>
        <v>0</v>
      </c>
      <c r="AV370" s="440">
        <f t="shared" si="644"/>
        <v>0</v>
      </c>
      <c r="AW370" s="441">
        <f>'Feuil-saisie'!EO10/1000000</f>
        <v>0</v>
      </c>
      <c r="AX370" s="1061">
        <f t="shared" si="645"/>
        <v>379.56784662000274</v>
      </c>
      <c r="AY370" s="447">
        <f t="shared" si="633"/>
        <v>18.076687190000001</v>
      </c>
      <c r="AZ370" s="1047">
        <f t="shared" si="633"/>
        <v>397.64453381000271</v>
      </c>
      <c r="BA370" s="1240">
        <f t="shared" si="633"/>
        <v>52.898232629999995</v>
      </c>
      <c r="BB370" s="826">
        <f t="shared" si="646"/>
        <v>450.54276644000271</v>
      </c>
      <c r="BD370" s="445">
        <f t="shared" si="647"/>
        <v>17.069173059999741</v>
      </c>
      <c r="BE370" s="445">
        <f t="shared" si="634"/>
        <v>0.33428822000000008</v>
      </c>
      <c r="BF370" s="445">
        <f t="shared" si="648"/>
        <v>17.403461279999743</v>
      </c>
      <c r="BG370" s="445">
        <f t="shared" si="635"/>
        <v>5.1061570400000003</v>
      </c>
    </row>
    <row r="371" spans="1:65">
      <c r="A371" s="397" t="s">
        <v>399</v>
      </c>
      <c r="B371" s="438">
        <f>'Feuil-saisie'!K11/1000000</f>
        <v>120.55415304</v>
      </c>
      <c r="C371" s="439">
        <f>'Feuil-saisie'!L11/1000000</f>
        <v>0.42717030000000006</v>
      </c>
      <c r="D371" s="440">
        <f t="shared" si="631"/>
        <v>120.98132334</v>
      </c>
      <c r="E371" s="441">
        <f>'Feuil-saisie'!M11/1000000</f>
        <v>27.57251471</v>
      </c>
      <c r="F371" s="438">
        <f>'Feuil-saisie'!W11/1000000</f>
        <v>137.50812642000002</v>
      </c>
      <c r="G371" s="439">
        <f>'Feuil-saisie'!X11/1000000</f>
        <v>1.00234851</v>
      </c>
      <c r="H371" s="440">
        <f t="shared" si="649"/>
        <v>138.51047493000002</v>
      </c>
      <c r="I371" s="441">
        <f>'Feuil-saisie'!Y11/1000000</f>
        <v>28.221569579999997</v>
      </c>
      <c r="J371" s="438">
        <f>'Feuil-saisie'!AI11/1000000</f>
        <v>88.734673020000017</v>
      </c>
      <c r="K371" s="439">
        <f>'Feuil-saisie'!AJ11/1000000</f>
        <v>11.490648709999999</v>
      </c>
      <c r="L371" s="440">
        <f t="shared" si="636"/>
        <v>100.22532173000002</v>
      </c>
      <c r="M371" s="441">
        <f>'Feuil-saisie'!AK11/1000000</f>
        <v>21.436052350000001</v>
      </c>
      <c r="N371" s="438">
        <f>'Feuil-saisie'!AU11/1000000</f>
        <v>111.64131750999999</v>
      </c>
      <c r="O371" s="439">
        <f>'Feuil-saisie'!AV11/1000000</f>
        <v>0.43489614999999998</v>
      </c>
      <c r="P371" s="440">
        <f t="shared" si="632"/>
        <v>112.07621365999999</v>
      </c>
      <c r="Q371" s="441">
        <f>'Feuil-saisie'!AW11/1000000</f>
        <v>23.92124338</v>
      </c>
      <c r="R371" s="438">
        <f>'Feuil-saisie'!BG11/1000000</f>
        <v>65.216619520000009</v>
      </c>
      <c r="S371" s="439">
        <f>'Feuil-saisie'!BH11/1000000</f>
        <v>0.49558725999999997</v>
      </c>
      <c r="T371" s="440">
        <f t="shared" si="637"/>
        <v>65.712206780000002</v>
      </c>
      <c r="U371" s="441">
        <f>'Feuil-saisie'!BI11/1000000</f>
        <v>25.554623109999998</v>
      </c>
      <c r="V371" s="438">
        <f>'Feuil-saisie'!BS11/1000000</f>
        <v>28.284464280000005</v>
      </c>
      <c r="W371" s="439">
        <f>'Feuil-saisie'!BT11/1000000</f>
        <v>3.4301274500000005</v>
      </c>
      <c r="X371" s="440">
        <f t="shared" si="638"/>
        <v>31.714591730000006</v>
      </c>
      <c r="Y371" s="441">
        <f>'Feuil-saisie'!BU11/1000000</f>
        <v>20.65433801</v>
      </c>
      <c r="Z371" s="438">
        <f>'Feuil-saisie'!CE11/1000000</f>
        <v>35.818279799999999</v>
      </c>
      <c r="AA371" s="439">
        <f>'Feuil-saisie'!CF11/1000000</f>
        <v>0.15651885000000001</v>
      </c>
      <c r="AB371" s="440">
        <f t="shared" si="639"/>
        <v>35.974798649999997</v>
      </c>
      <c r="AC371" s="441">
        <f>'Feuil-saisie'!CG11/1000000</f>
        <v>22.320271080000001</v>
      </c>
      <c r="AD371" s="438">
        <f>'Feuil-saisie'!CQ11/1000000</f>
        <v>25.643871630000003</v>
      </c>
      <c r="AE371" s="439">
        <f>'Feuil-saisie'!CR11/1000000</f>
        <v>1.7288779999999983E-2</v>
      </c>
      <c r="AF371" s="440">
        <f t="shared" si="640"/>
        <v>25.661160410000004</v>
      </c>
      <c r="AG371" s="441">
        <f>'Feuil-saisie'!CS11/1000000</f>
        <v>27.521311969999999</v>
      </c>
      <c r="AH371" s="438">
        <f>'Feuil-saisie'!DC11/1000000</f>
        <v>0</v>
      </c>
      <c r="AI371" s="439">
        <f>'Feuil-saisie'!DD11/1000000</f>
        <v>0</v>
      </c>
      <c r="AJ371" s="440">
        <f t="shared" si="641"/>
        <v>0</v>
      </c>
      <c r="AK371" s="441">
        <f>'Feuil-saisie'!DE11/1000000</f>
        <v>0</v>
      </c>
      <c r="AL371" s="438">
        <f>'Feuil-saisie'!DO11/1000000</f>
        <v>0</v>
      </c>
      <c r="AM371" s="439">
        <f>'Feuil-saisie'!DP11/1000000</f>
        <v>0</v>
      </c>
      <c r="AN371" s="440">
        <f t="shared" si="642"/>
        <v>0</v>
      </c>
      <c r="AO371" s="441">
        <f>'Feuil-saisie'!DQ11/1000000</f>
        <v>0</v>
      </c>
      <c r="AP371" s="438">
        <f>'Feuil-saisie'!EA11/1000000</f>
        <v>0</v>
      </c>
      <c r="AQ371" s="439">
        <f>'Feuil-saisie'!EB11/1000000</f>
        <v>0</v>
      </c>
      <c r="AR371" s="440">
        <f t="shared" si="643"/>
        <v>0</v>
      </c>
      <c r="AS371" s="441">
        <f>'Feuil-saisie'!EC11/1000000</f>
        <v>0</v>
      </c>
      <c r="AT371" s="438">
        <f>'Feuil-saisie'!EM11/1000000</f>
        <v>0</v>
      </c>
      <c r="AU371" s="439">
        <f>'Feuil-saisie'!EN11/1000000</f>
        <v>0</v>
      </c>
      <c r="AV371" s="440">
        <f t="shared" si="644"/>
        <v>0</v>
      </c>
      <c r="AW371" s="441">
        <f>'Feuil-saisie'!EO11/1000000</f>
        <v>0</v>
      </c>
      <c r="AX371" s="1061">
        <f t="shared" si="645"/>
        <v>613.40150521999999</v>
      </c>
      <c r="AY371" s="447">
        <f t="shared" si="633"/>
        <v>17.454586010000003</v>
      </c>
      <c r="AZ371" s="1047">
        <f t="shared" si="633"/>
        <v>630.85609123000006</v>
      </c>
      <c r="BA371" s="1240">
        <f t="shared" si="633"/>
        <v>197.20192419</v>
      </c>
      <c r="BB371" s="826">
        <f t="shared" si="646"/>
        <v>828.05801542000006</v>
      </c>
      <c r="BD371" s="445">
        <f t="shared" si="647"/>
        <v>25.643871630000003</v>
      </c>
      <c r="BE371" s="445">
        <f t="shared" si="634"/>
        <v>1.7288779999999983E-2</v>
      </c>
      <c r="BF371" s="445">
        <f t="shared" si="648"/>
        <v>25.661160410000004</v>
      </c>
      <c r="BG371" s="445">
        <f t="shared" si="635"/>
        <v>27.521311969999999</v>
      </c>
      <c r="BI371" s="430"/>
      <c r="BJ371" s="430"/>
      <c r="BK371" s="430"/>
      <c r="BL371" s="430"/>
      <c r="BM371" s="430"/>
    </row>
    <row r="372" spans="1:65">
      <c r="A372" s="397" t="s">
        <v>883</v>
      </c>
      <c r="B372" s="438">
        <f>'Feuil-saisie'!K12/1000000</f>
        <v>120.47438004</v>
      </c>
      <c r="C372" s="439">
        <f>'Feuil-saisie'!L12/1000000</f>
        <v>5.5122825999999998</v>
      </c>
      <c r="D372" s="440">
        <f t="shared" si="631"/>
        <v>125.98666264000001</v>
      </c>
      <c r="E372" s="441">
        <f>'Feuil-saisie'!M12/1000000</f>
        <v>7.0837325800000004</v>
      </c>
      <c r="F372" s="438">
        <f>'Feuil-saisie'!W12/1000000</f>
        <v>134.62141707000001</v>
      </c>
      <c r="G372" s="439">
        <f>'Feuil-saisie'!X12/1000000</f>
        <v>7.7010294500000001</v>
      </c>
      <c r="H372" s="440">
        <f t="shared" si="649"/>
        <v>142.32244652</v>
      </c>
      <c r="I372" s="441">
        <f>'Feuil-saisie'!Y12/1000000</f>
        <v>6.4826309999999996</v>
      </c>
      <c r="J372" s="438">
        <f>'Feuil-saisie'!AI12/1000000</f>
        <v>84.676784709999993</v>
      </c>
      <c r="K372" s="439">
        <f>'Feuil-saisie'!AJ12/1000000</f>
        <v>6.3194177699999994</v>
      </c>
      <c r="L372" s="440">
        <f t="shared" si="636"/>
        <v>90.996202479999994</v>
      </c>
      <c r="M372" s="441">
        <f>'Feuil-saisie'!AK12/1000000</f>
        <v>4.1221143199999997</v>
      </c>
      <c r="N372" s="438">
        <f>'Feuil-saisie'!AU12/1000000</f>
        <v>94.804631049999998</v>
      </c>
      <c r="O372" s="439">
        <f>'Feuil-saisie'!AV12/1000000</f>
        <v>4.1756082399999999</v>
      </c>
      <c r="P372" s="440">
        <f t="shared" si="632"/>
        <v>98.98023929</v>
      </c>
      <c r="Q372" s="441">
        <f>'Feuil-saisie'!AW12/1000000</f>
        <v>3.5317792200000002</v>
      </c>
      <c r="R372" s="438">
        <f>'Feuil-saisie'!BG12/1000000</f>
        <v>49.350875729999998</v>
      </c>
      <c r="S372" s="439">
        <f>'Feuil-saisie'!BH12/1000000</f>
        <v>2.8345139899999996</v>
      </c>
      <c r="T372" s="440">
        <f t="shared" si="637"/>
        <v>52.185389719999996</v>
      </c>
      <c r="U372" s="441">
        <f>'Feuil-saisie'!BI12/1000000</f>
        <v>3.0146121299999997</v>
      </c>
      <c r="V372" s="438">
        <f>'Feuil-saisie'!BS12/1000000</f>
        <v>21.998540179999999</v>
      </c>
      <c r="W372" s="439">
        <f>'Feuil-saisie'!BT12/1000000</f>
        <v>1.4063486000000001</v>
      </c>
      <c r="X372" s="440">
        <f t="shared" si="638"/>
        <v>23.40488878</v>
      </c>
      <c r="Y372" s="441">
        <f>'Feuil-saisie'!BU12/1000000</f>
        <v>2.6031064500000003</v>
      </c>
      <c r="Z372" s="438">
        <f>'Feuil-saisie'!CE12/1000000</f>
        <v>24.753452910000004</v>
      </c>
      <c r="AA372" s="439">
        <f>'Feuil-saisie'!CF12/1000000</f>
        <v>0.77558882000000007</v>
      </c>
      <c r="AB372" s="440">
        <f t="shared" si="639"/>
        <v>25.529041730000003</v>
      </c>
      <c r="AC372" s="441">
        <f>'Feuil-saisie'!CG12/1000000</f>
        <v>2.0418767700000005</v>
      </c>
      <c r="AD372" s="438">
        <f>'Feuil-saisie'!CQ12/1000000</f>
        <v>19.097044713777532</v>
      </c>
      <c r="AE372" s="439">
        <f>'Feuil-saisie'!CR12/1000000</f>
        <v>0.18058940200402512</v>
      </c>
      <c r="AF372" s="440">
        <f t="shared" si="640"/>
        <v>19.277634115781556</v>
      </c>
      <c r="AG372" s="441">
        <f>'Feuil-saisie'!CS12/1000000</f>
        <v>1.4227210004898854</v>
      </c>
      <c r="AH372" s="438">
        <f>'Feuil-saisie'!DC12/1000000</f>
        <v>0</v>
      </c>
      <c r="AI372" s="439">
        <f>'Feuil-saisie'!DD12/1000000</f>
        <v>0</v>
      </c>
      <c r="AJ372" s="440">
        <f t="shared" si="641"/>
        <v>0</v>
      </c>
      <c r="AK372" s="441">
        <f>'Feuil-saisie'!DE12/1000000</f>
        <v>0</v>
      </c>
      <c r="AL372" s="438">
        <f>'Feuil-saisie'!DO12/1000000</f>
        <v>0</v>
      </c>
      <c r="AM372" s="439">
        <f>'Feuil-saisie'!DP12/1000000</f>
        <v>0</v>
      </c>
      <c r="AN372" s="440">
        <f t="shared" si="642"/>
        <v>0</v>
      </c>
      <c r="AO372" s="441">
        <f>'Feuil-saisie'!DQ12/1000000</f>
        <v>0</v>
      </c>
      <c r="AP372" s="438">
        <f>'Feuil-saisie'!EA12/1000000</f>
        <v>0</v>
      </c>
      <c r="AQ372" s="439">
        <f>'Feuil-saisie'!EB12/1000000</f>
        <v>0</v>
      </c>
      <c r="AR372" s="440">
        <f t="shared" si="643"/>
        <v>0</v>
      </c>
      <c r="AS372" s="441">
        <f>'Feuil-saisie'!EC12/1000000</f>
        <v>0</v>
      </c>
      <c r="AT372" s="438">
        <f>'Feuil-saisie'!EM12/1000000</f>
        <v>0</v>
      </c>
      <c r="AU372" s="439">
        <f>'Feuil-saisie'!EN12/1000000</f>
        <v>0</v>
      </c>
      <c r="AV372" s="440">
        <f t="shared" si="644"/>
        <v>0</v>
      </c>
      <c r="AW372" s="441">
        <f>'Feuil-saisie'!EO12/1000000</f>
        <v>0</v>
      </c>
      <c r="AX372" s="1061">
        <f t="shared" si="645"/>
        <v>549.77712640377763</v>
      </c>
      <c r="AY372" s="447">
        <f t="shared" si="633"/>
        <v>28.905378872004025</v>
      </c>
      <c r="AZ372" s="1047">
        <f t="shared" si="633"/>
        <v>578.68250527578152</v>
      </c>
      <c r="BA372" s="1240">
        <f t="shared" si="633"/>
        <v>30.302573470489889</v>
      </c>
      <c r="BB372" s="826">
        <f t="shared" si="646"/>
        <v>608.98507874627137</v>
      </c>
      <c r="BD372" s="445">
        <f t="shared" si="647"/>
        <v>19.097044713777532</v>
      </c>
      <c r="BE372" s="445">
        <f t="shared" si="634"/>
        <v>0.18058940200402512</v>
      </c>
      <c r="BF372" s="445">
        <f t="shared" si="648"/>
        <v>19.277634115781556</v>
      </c>
      <c r="BG372" s="445">
        <f t="shared" si="635"/>
        <v>1.4227210004898854</v>
      </c>
    </row>
    <row r="373" spans="1:65">
      <c r="A373" s="397" t="s">
        <v>884</v>
      </c>
      <c r="B373" s="438">
        <f>'Feuil-saisie'!K13/1000000</f>
        <v>113.58061584000001</v>
      </c>
      <c r="C373" s="439">
        <f>'Feuil-saisie'!L13/1000000</f>
        <v>5.5909412199999995</v>
      </c>
      <c r="D373" s="440">
        <f t="shared" si="631"/>
        <v>119.17155706000001</v>
      </c>
      <c r="E373" s="441">
        <f>'Feuil-saisie'!M13/1000000</f>
        <v>7.6848363300000004</v>
      </c>
      <c r="F373" s="438">
        <f>'Feuil-saisie'!W13/1000000</f>
        <v>130.30292362000003</v>
      </c>
      <c r="G373" s="439">
        <f>'Feuil-saisie'!X13/1000000</f>
        <v>7.7511559600000002</v>
      </c>
      <c r="H373" s="440">
        <f t="shared" si="649"/>
        <v>138.05407958000004</v>
      </c>
      <c r="I373" s="441">
        <f>'Feuil-saisie'!Y13/1000000</f>
        <v>7.74125643</v>
      </c>
      <c r="J373" s="438">
        <f>'Feuil-saisie'!AI13/1000000</f>
        <v>81.533460940000026</v>
      </c>
      <c r="K373" s="439">
        <f>'Feuil-saisie'!AJ13/1000000</f>
        <v>5.5532489700000003</v>
      </c>
      <c r="L373" s="440">
        <f t="shared" si="636"/>
        <v>87.086709910000025</v>
      </c>
      <c r="M373" s="441">
        <f>'Feuil-saisie'!AK13/1000000</f>
        <v>5.9323572899999997</v>
      </c>
      <c r="N373" s="438">
        <f>'Feuil-saisie'!AU13/1000000</f>
        <v>105.70191426999999</v>
      </c>
      <c r="O373" s="439">
        <f>'Feuil-saisie'!AV13/1000000</f>
        <v>5.9935063199999989</v>
      </c>
      <c r="P373" s="440">
        <f t="shared" si="632"/>
        <v>111.69542058999998</v>
      </c>
      <c r="Q373" s="441">
        <f>'Feuil-saisie'!AW13/1000000</f>
        <v>4.3397321299999998</v>
      </c>
      <c r="R373" s="438">
        <f>'Feuil-saisie'!BG13/1000000</f>
        <v>57.396830480000006</v>
      </c>
      <c r="S373" s="439">
        <f>'Feuil-saisie'!BH13/1000000</f>
        <v>4.0657258900000004</v>
      </c>
      <c r="T373" s="440">
        <f t="shared" si="637"/>
        <v>61.462556370000009</v>
      </c>
      <c r="U373" s="441">
        <f>'Feuil-saisie'!BI13/1000000</f>
        <v>7.3299762400000006</v>
      </c>
      <c r="V373" s="438">
        <f>'Feuil-saisie'!BS13/1000000</f>
        <v>23.071128339999998</v>
      </c>
      <c r="W373" s="439">
        <f>'Feuil-saisie'!BT13/1000000</f>
        <v>1.15394675</v>
      </c>
      <c r="X373" s="440">
        <f t="shared" si="638"/>
        <v>24.225075089999997</v>
      </c>
      <c r="Y373" s="441">
        <f>'Feuil-saisie'!BU13/1000000</f>
        <v>4.1458563499999999</v>
      </c>
      <c r="Z373" s="438">
        <f>'Feuil-saisie'!CE13/1000000</f>
        <v>32.415016909999999</v>
      </c>
      <c r="AA373" s="439">
        <f>'Feuil-saisie'!CF13/1000000</f>
        <v>1.89867545</v>
      </c>
      <c r="AB373" s="440">
        <f t="shared" si="639"/>
        <v>34.313692359999997</v>
      </c>
      <c r="AC373" s="441">
        <f>'Feuil-saisie'!CG13/1000000</f>
        <v>7.7676627199999997</v>
      </c>
      <c r="AD373" s="438">
        <f>'Feuil-saisie'!CQ13/1000000</f>
        <v>22.50784745999999</v>
      </c>
      <c r="AE373" s="439">
        <f>'Feuil-saisie'!CR13/1000000</f>
        <v>0.91735704999999967</v>
      </c>
      <c r="AF373" s="440">
        <f t="shared" si="640"/>
        <v>23.42520450999999</v>
      </c>
      <c r="AG373" s="441">
        <f>'Feuil-saisie'!CS13/1000000</f>
        <v>5.7027692400000003</v>
      </c>
      <c r="AH373" s="438">
        <f>'Feuil-saisie'!DC13/1000000</f>
        <v>0</v>
      </c>
      <c r="AI373" s="439">
        <f>'Feuil-saisie'!DD13/1000000</f>
        <v>0</v>
      </c>
      <c r="AJ373" s="440">
        <f t="shared" si="641"/>
        <v>0</v>
      </c>
      <c r="AK373" s="441">
        <f>'Feuil-saisie'!DE13/1000000</f>
        <v>0</v>
      </c>
      <c r="AL373" s="438">
        <f>'Feuil-saisie'!DO13/1000000</f>
        <v>0</v>
      </c>
      <c r="AM373" s="439">
        <f>'Feuil-saisie'!DP13/1000000</f>
        <v>0</v>
      </c>
      <c r="AN373" s="440">
        <f t="shared" si="642"/>
        <v>0</v>
      </c>
      <c r="AO373" s="441">
        <f>'Feuil-saisie'!DQ13/1000000</f>
        <v>0</v>
      </c>
      <c r="AP373" s="438">
        <f>'Feuil-saisie'!EA13/1000000</f>
        <v>0</v>
      </c>
      <c r="AQ373" s="439">
        <f>'Feuil-saisie'!EB13/1000000</f>
        <v>0</v>
      </c>
      <c r="AR373" s="440">
        <f t="shared" si="643"/>
        <v>0</v>
      </c>
      <c r="AS373" s="441">
        <f>'Feuil-saisie'!EC13/1000000</f>
        <v>0</v>
      </c>
      <c r="AT373" s="438">
        <f>'Feuil-saisie'!EM13/1000000</f>
        <v>0</v>
      </c>
      <c r="AU373" s="439">
        <f>'Feuil-saisie'!EN13/1000000</f>
        <v>0</v>
      </c>
      <c r="AV373" s="440">
        <f t="shared" si="644"/>
        <v>0</v>
      </c>
      <c r="AW373" s="441">
        <f>'Feuil-saisie'!EO13/1000000</f>
        <v>0</v>
      </c>
      <c r="AX373" s="1061">
        <f t="shared" si="645"/>
        <v>566.50973785999997</v>
      </c>
      <c r="AY373" s="447">
        <f t="shared" si="633"/>
        <v>32.924557610000001</v>
      </c>
      <c r="AZ373" s="1047">
        <f t="shared" si="633"/>
        <v>599.43429547000005</v>
      </c>
      <c r="BA373" s="1240">
        <f t="shared" si="633"/>
        <v>50.644446729999999</v>
      </c>
      <c r="BB373" s="1523">
        <f t="shared" si="646"/>
        <v>650.07874220000008</v>
      </c>
      <c r="BD373" s="445">
        <f t="shared" si="647"/>
        <v>22.50784745999999</v>
      </c>
      <c r="BE373" s="445">
        <f t="shared" si="634"/>
        <v>0.91735704999999967</v>
      </c>
      <c r="BF373" s="445">
        <f t="shared" si="648"/>
        <v>23.42520450999999</v>
      </c>
      <c r="BG373" s="445">
        <f t="shared" si="635"/>
        <v>5.7027692400000003</v>
      </c>
    </row>
    <row r="374" spans="1:65" ht="14.4" thickBot="1">
      <c r="A374" s="397" t="s">
        <v>885</v>
      </c>
      <c r="B374" s="438">
        <f>'Feuil-saisie'!K14/1000000</f>
        <v>69.956512629999736</v>
      </c>
      <c r="C374" s="439">
        <f>'Feuil-saisie'!L14/1000000</f>
        <v>5.7084750000000009</v>
      </c>
      <c r="D374" s="440">
        <f t="shared" si="631"/>
        <v>75.664987629999743</v>
      </c>
      <c r="E374" s="441">
        <f>'Feuil-saisie'!M14/1000000</f>
        <v>2.2763648499999998</v>
      </c>
      <c r="F374" s="438">
        <f>'Feuil-saisie'!W14/1000000</f>
        <v>81.786506380000006</v>
      </c>
      <c r="G374" s="439">
        <f>'Feuil-saisie'!X14/1000000</f>
        <v>8.7109888999999985</v>
      </c>
      <c r="H374" s="440">
        <f t="shared" si="649"/>
        <v>90.49749528000001</v>
      </c>
      <c r="I374" s="441">
        <f>'Feuil-saisie'!Y14/1000000</f>
        <v>2.0790904399999999</v>
      </c>
      <c r="J374" s="650">
        <f>'Feuil-saisie'!AI14/1000000</f>
        <v>64.385345020000003</v>
      </c>
      <c r="K374" s="439">
        <f>'Feuil-saisie'!AJ14/1000000</f>
        <v>8.1179043499999999</v>
      </c>
      <c r="L374" s="440">
        <f t="shared" si="636"/>
        <v>72.503249370000006</v>
      </c>
      <c r="M374" s="441">
        <f>'Feuil-saisie'!AK14/1000000</f>
        <v>2.19082373</v>
      </c>
      <c r="N374" s="438">
        <f>'Feuil-saisie'!AU14/1000000</f>
        <v>77.054571420000016</v>
      </c>
      <c r="O374" s="439">
        <f>'Feuil-saisie'!AV14/1000000</f>
        <v>5.5877859399999998</v>
      </c>
      <c r="P374" s="440">
        <f t="shared" si="632"/>
        <v>82.64235736000002</v>
      </c>
      <c r="Q374" s="441">
        <f>'Feuil-saisie'!AW14/1000000</f>
        <v>1.08371131</v>
      </c>
      <c r="R374" s="438">
        <f>'Feuil-saisie'!BG14/1000000</f>
        <v>45.484445100000002</v>
      </c>
      <c r="S374" s="439">
        <f>'Feuil-saisie'!BH14/1000000</f>
        <v>5.4056049000000002</v>
      </c>
      <c r="T374" s="440">
        <f t="shared" si="637"/>
        <v>50.890050000000002</v>
      </c>
      <c r="U374" s="441">
        <f>'Feuil-saisie'!BI14/1000000</f>
        <v>0.75845791000000007</v>
      </c>
      <c r="V374" s="438">
        <f>'Feuil-saisie'!BS14/1000000</f>
        <v>16.947062119999998</v>
      </c>
      <c r="W374" s="439">
        <f>'Feuil-saisie'!BT14/1000000</f>
        <v>1.48515497</v>
      </c>
      <c r="X374" s="440">
        <f t="shared" si="638"/>
        <v>18.432217089999998</v>
      </c>
      <c r="Y374" s="441">
        <f>'Feuil-saisie'!BU14/1000000</f>
        <v>0.47800477999999996</v>
      </c>
      <c r="Z374" s="438">
        <f>'Feuil-saisie'!CE14/1000000</f>
        <v>16.496463739999999</v>
      </c>
      <c r="AA374" s="439">
        <f>'Feuil-saisie'!CF14/1000000</f>
        <v>0.99694169999999993</v>
      </c>
      <c r="AB374" s="440">
        <f t="shared" si="639"/>
        <v>17.49340544</v>
      </c>
      <c r="AC374" s="441">
        <f>'Feuil-saisie'!CG14/1000000</f>
        <v>0.47256362999999996</v>
      </c>
      <c r="AD374" s="438">
        <f>'Feuil-saisie'!CQ14/1000000</f>
        <v>8.4422317800000002</v>
      </c>
      <c r="AE374" s="463">
        <f>'Feuil-saisie'!CR14/1000000</f>
        <v>0.39957048000000001</v>
      </c>
      <c r="AF374" s="440">
        <f t="shared" si="640"/>
        <v>8.8418022599999997</v>
      </c>
      <c r="AG374" s="464">
        <f>'Feuil-saisie'!CS14/1000000</f>
        <v>0.34962357999999999</v>
      </c>
      <c r="AH374" s="462">
        <f>'Feuil-saisie'!DC14/1000000</f>
        <v>0</v>
      </c>
      <c r="AI374" s="463">
        <f>'Feuil-saisie'!DD14/1000000</f>
        <v>0</v>
      </c>
      <c r="AJ374" s="440">
        <f t="shared" si="641"/>
        <v>0</v>
      </c>
      <c r="AK374" s="464">
        <f>'Feuil-saisie'!DE14/1000000</f>
        <v>0</v>
      </c>
      <c r="AL374" s="462">
        <f>'Feuil-saisie'!DO14/1000000</f>
        <v>0</v>
      </c>
      <c r="AM374" s="463">
        <f>'Feuil-saisie'!DP14/1000000</f>
        <v>0</v>
      </c>
      <c r="AN374" s="440">
        <f t="shared" si="642"/>
        <v>0</v>
      </c>
      <c r="AO374" s="464">
        <f>'Feuil-saisie'!DQ14/1000000</f>
        <v>0</v>
      </c>
      <c r="AP374" s="438">
        <f>'Feuil-saisie'!EA14/1000000</f>
        <v>0</v>
      </c>
      <c r="AQ374" s="439">
        <f>'Feuil-saisie'!EB14/1000000</f>
        <v>0</v>
      </c>
      <c r="AR374" s="440">
        <f t="shared" si="643"/>
        <v>0</v>
      </c>
      <c r="AS374" s="441">
        <f>'Feuil-saisie'!EC14/1000000</f>
        <v>0</v>
      </c>
      <c r="AT374" s="438">
        <f>'Feuil-saisie'!EM14/1000000</f>
        <v>0</v>
      </c>
      <c r="AU374" s="439">
        <f>'Feuil-saisie'!EN14/1000000</f>
        <v>0</v>
      </c>
      <c r="AV374" s="440">
        <f t="shared" si="644"/>
        <v>0</v>
      </c>
      <c r="AW374" s="441">
        <f>'Feuil-saisie'!EO14/1000000</f>
        <v>0</v>
      </c>
      <c r="AX374" s="1061">
        <f t="shared" si="645"/>
        <v>380.55313818999974</v>
      </c>
      <c r="AY374" s="447">
        <f t="shared" si="633"/>
        <v>36.412426240000002</v>
      </c>
      <c r="AZ374" s="1047">
        <f t="shared" si="633"/>
        <v>416.9655644299998</v>
      </c>
      <c r="BA374" s="1240">
        <f t="shared" si="633"/>
        <v>9.688640229999999</v>
      </c>
      <c r="BB374" s="826">
        <f t="shared" si="646"/>
        <v>426.65420465999978</v>
      </c>
      <c r="BC374" s="446"/>
      <c r="BD374" s="445">
        <f t="shared" si="647"/>
        <v>8.4422317800000002</v>
      </c>
      <c r="BE374" s="445">
        <f t="shared" si="634"/>
        <v>0.39957048000000001</v>
      </c>
      <c r="BF374" s="445">
        <f t="shared" si="648"/>
        <v>8.8418022599999997</v>
      </c>
      <c r="BG374" s="445">
        <f t="shared" si="635"/>
        <v>0.34962357999999999</v>
      </c>
      <c r="BI374" s="430"/>
      <c r="BJ374" s="430"/>
      <c r="BK374" s="430"/>
      <c r="BL374" s="430"/>
      <c r="BM374" s="430"/>
    </row>
    <row r="375" spans="1:65" ht="14.4" thickBot="1">
      <c r="A375" s="433" t="s">
        <v>16</v>
      </c>
      <c r="B375" s="455">
        <f t="shared" ref="B375:AG375" si="650">SUM(B365:B374)</f>
        <v>1618.8021174</v>
      </c>
      <c r="C375" s="456">
        <f t="shared" si="650"/>
        <v>60.985852239999993</v>
      </c>
      <c r="D375" s="456">
        <f t="shared" si="650"/>
        <v>1679.78796964</v>
      </c>
      <c r="E375" s="457">
        <f t="shared" si="650"/>
        <v>133.02640487999997</v>
      </c>
      <c r="F375" s="455">
        <f t="shared" si="650"/>
        <v>1819.5127702900002</v>
      </c>
      <c r="G375" s="456">
        <f t="shared" si="650"/>
        <v>73.794096809999999</v>
      </c>
      <c r="H375" s="456">
        <f t="shared" si="650"/>
        <v>1893.3068671000005</v>
      </c>
      <c r="I375" s="457">
        <f t="shared" si="650"/>
        <v>132.56908511999998</v>
      </c>
      <c r="J375" s="455">
        <f t="shared" si="650"/>
        <v>1346.6996172700003</v>
      </c>
      <c r="K375" s="456">
        <f t="shared" si="650"/>
        <v>141.59332871000001</v>
      </c>
      <c r="L375" s="456">
        <f t="shared" si="650"/>
        <v>1488.2929459800005</v>
      </c>
      <c r="M375" s="457">
        <f t="shared" si="650"/>
        <v>108.11004210999999</v>
      </c>
      <c r="N375" s="455">
        <f t="shared" si="650"/>
        <v>1484.4869906900003</v>
      </c>
      <c r="O375" s="456">
        <f t="shared" si="650"/>
        <v>54.070155360000001</v>
      </c>
      <c r="P375" s="456">
        <f t="shared" si="650"/>
        <v>1538.5571460500003</v>
      </c>
      <c r="Q375" s="457">
        <f t="shared" si="650"/>
        <v>94.132709339999991</v>
      </c>
      <c r="R375" s="455">
        <f t="shared" si="650"/>
        <v>840.481122360001</v>
      </c>
      <c r="S375" s="456">
        <f t="shared" si="650"/>
        <v>36.026887630000004</v>
      </c>
      <c r="T375" s="456">
        <f t="shared" si="650"/>
        <v>876.5080099900008</v>
      </c>
      <c r="U375" s="457">
        <f>SUM(U365:U374)</f>
        <v>90.183078240000015</v>
      </c>
      <c r="V375" s="455">
        <f t="shared" si="650"/>
        <v>392.63937745000044</v>
      </c>
      <c r="W375" s="456">
        <f t="shared" si="650"/>
        <v>42.993891110000007</v>
      </c>
      <c r="X375" s="456">
        <f t="shared" si="650"/>
        <v>435.63326856000049</v>
      </c>
      <c r="Y375" s="457">
        <f t="shared" si="650"/>
        <v>78.053679340000002</v>
      </c>
      <c r="Z375" s="455">
        <f t="shared" si="650"/>
        <v>354.54647501249173</v>
      </c>
      <c r="AA375" s="456">
        <f t="shared" si="650"/>
        <v>12.020684748665538</v>
      </c>
      <c r="AB375" s="456">
        <f t="shared" si="650"/>
        <v>366.56715976115714</v>
      </c>
      <c r="AC375" s="457">
        <f t="shared" si="650"/>
        <v>93.746589630000003</v>
      </c>
      <c r="AD375" s="455">
        <f t="shared" si="650"/>
        <v>234.22812801377722</v>
      </c>
      <c r="AE375" s="456">
        <f t="shared" si="650"/>
        <v>4.5893153205727151</v>
      </c>
      <c r="AF375" s="456">
        <f t="shared" si="650"/>
        <v>238.81744333434992</v>
      </c>
      <c r="AG375" s="457">
        <f t="shared" si="650"/>
        <v>89.860283800489881</v>
      </c>
      <c r="AH375" s="455">
        <f t="shared" ref="AH375:BB375" si="651">SUM(AH365:AH374)</f>
        <v>0</v>
      </c>
      <c r="AI375" s="456">
        <f t="shared" si="651"/>
        <v>0</v>
      </c>
      <c r="AJ375" s="456">
        <f t="shared" si="651"/>
        <v>0</v>
      </c>
      <c r="AK375" s="457">
        <f t="shared" si="651"/>
        <v>0</v>
      </c>
      <c r="AL375" s="455">
        <f t="shared" si="651"/>
        <v>0</v>
      </c>
      <c r="AM375" s="456">
        <f t="shared" si="651"/>
        <v>0</v>
      </c>
      <c r="AN375" s="456">
        <f t="shared" si="651"/>
        <v>0</v>
      </c>
      <c r="AO375" s="457">
        <f t="shared" si="651"/>
        <v>0</v>
      </c>
      <c r="AP375" s="455">
        <f t="shared" si="651"/>
        <v>0</v>
      </c>
      <c r="AQ375" s="456">
        <f t="shared" si="651"/>
        <v>0</v>
      </c>
      <c r="AR375" s="456">
        <f t="shared" si="651"/>
        <v>0</v>
      </c>
      <c r="AS375" s="457">
        <f t="shared" si="651"/>
        <v>0</v>
      </c>
      <c r="AT375" s="455">
        <f t="shared" si="651"/>
        <v>0</v>
      </c>
      <c r="AU375" s="456">
        <f t="shared" si="651"/>
        <v>0</v>
      </c>
      <c r="AV375" s="456">
        <f t="shared" si="651"/>
        <v>0</v>
      </c>
      <c r="AW375" s="457">
        <f t="shared" si="651"/>
        <v>0</v>
      </c>
      <c r="AX375" s="1067">
        <f t="shared" si="651"/>
        <v>8091.3965984862716</v>
      </c>
      <c r="AY375" s="478">
        <f t="shared" si="651"/>
        <v>426.07421192923829</v>
      </c>
      <c r="AZ375" s="1048">
        <f t="shared" si="651"/>
        <v>8517.4708104155106</v>
      </c>
      <c r="BA375" s="1048">
        <f t="shared" si="651"/>
        <v>819.6818724604899</v>
      </c>
      <c r="BB375" s="831">
        <f t="shared" si="651"/>
        <v>9337.1526828759997</v>
      </c>
      <c r="BD375" s="445">
        <f t="shared" si="647"/>
        <v>234.22812801377722</v>
      </c>
      <c r="BE375" s="445">
        <f>AE375</f>
        <v>4.5893153205727151</v>
      </c>
      <c r="BF375" s="445">
        <f t="shared" si="648"/>
        <v>238.81744333434992</v>
      </c>
      <c r="BG375" s="445">
        <f>AG375</f>
        <v>89.860283800489881</v>
      </c>
    </row>
    <row r="376" spans="1:65" ht="14.4">
      <c r="C376" s="471"/>
      <c r="F376" s="445"/>
      <c r="H376" s="446">
        <f>H375+D375</f>
        <v>3573.0948367400006</v>
      </c>
      <c r="I376" s="446">
        <f>I375+E375</f>
        <v>265.59548999999993</v>
      </c>
      <c r="J376" s="445"/>
      <c r="K376" s="445"/>
      <c r="L376" s="395"/>
      <c r="M376" s="395"/>
      <c r="O376" s="445"/>
      <c r="P376" s="395"/>
      <c r="Q376" s="395"/>
      <c r="R376" s="471"/>
      <c r="T376" s="445"/>
      <c r="X376" s="395">
        <f>X375+T375+P375</f>
        <v>2850.6984246000015</v>
      </c>
      <c r="Y376" s="395">
        <f>Y375+U375+Q375</f>
        <v>262.36946692000004</v>
      </c>
      <c r="Z376" s="471"/>
      <c r="AB376" s="497">
        <f>AB375+AF375+AJ375</f>
        <v>605.38460309550703</v>
      </c>
      <c r="AC376" s="497">
        <f>AC375+AG375+AK375</f>
        <v>183.60687343048988</v>
      </c>
      <c r="AH376" s="498"/>
      <c r="AI376" s="498"/>
      <c r="AJ376" s="1243">
        <f>AJ375+AF375+AB375</f>
        <v>605.38460309550703</v>
      </c>
      <c r="AK376" s="1243">
        <f>AK375+AG375+AC375</f>
        <v>183.60687343048988</v>
      </c>
      <c r="AL376" s="471"/>
      <c r="AM376" s="459"/>
      <c r="AP376" s="498"/>
      <c r="AQ376" s="471"/>
      <c r="AT376" s="445"/>
      <c r="AU376" s="471"/>
      <c r="AV376" s="446"/>
      <c r="AW376" s="446"/>
      <c r="BA376" s="446"/>
    </row>
    <row r="377" spans="1:65" ht="14.4">
      <c r="B377" s="471"/>
      <c r="J377" s="471"/>
      <c r="K377" s="471"/>
      <c r="N377" s="471"/>
      <c r="O377" s="471"/>
      <c r="R377" s="471"/>
      <c r="S377" s="471"/>
      <c r="V377" s="498"/>
      <c r="W377" s="498"/>
      <c r="X377" s="446"/>
      <c r="Z377" s="471"/>
      <c r="AA377" s="471"/>
      <c r="AL377" s="498"/>
      <c r="AM377" s="498"/>
      <c r="AP377" s="471"/>
      <c r="AQ377" s="471"/>
    </row>
    <row r="378" spans="1:65" ht="18">
      <c r="A378" s="393" t="s">
        <v>93</v>
      </c>
      <c r="F378" s="471"/>
      <c r="G378" s="471"/>
      <c r="AD378" s="1069"/>
    </row>
    <row r="379" spans="1:65" ht="18.600000000000001" thickBot="1">
      <c r="A379" s="394">
        <f>A347</f>
        <v>2023</v>
      </c>
      <c r="BE379" s="446"/>
      <c r="BF379" s="446"/>
      <c r="BG379" s="446"/>
    </row>
    <row r="380" spans="1:65">
      <c r="A380" s="2815" t="str">
        <f>A348</f>
        <v>DD</v>
      </c>
      <c r="B380" s="2827" t="s">
        <v>71</v>
      </c>
      <c r="C380" s="2828"/>
      <c r="D380" s="2828"/>
      <c r="E380" s="3091"/>
      <c r="F380" s="2829" t="s">
        <v>72</v>
      </c>
      <c r="G380" s="2830"/>
      <c r="H380" s="2830"/>
      <c r="I380" s="3095"/>
      <c r="J380" s="2817" t="s">
        <v>73</v>
      </c>
      <c r="K380" s="2818"/>
      <c r="L380" s="2818"/>
      <c r="M380" s="3094"/>
      <c r="N380" s="2819" t="s">
        <v>74</v>
      </c>
      <c r="O380" s="2820"/>
      <c r="P380" s="2820"/>
      <c r="Q380" s="3090"/>
      <c r="R380" s="2821" t="s">
        <v>75</v>
      </c>
      <c r="S380" s="2822"/>
      <c r="T380" s="2822"/>
      <c r="U380" s="3093"/>
      <c r="V380" s="2823" t="s">
        <v>76</v>
      </c>
      <c r="W380" s="2824"/>
      <c r="X380" s="2824"/>
      <c r="Y380" s="3089"/>
      <c r="Z380" s="2827" t="s">
        <v>77</v>
      </c>
      <c r="AA380" s="2828"/>
      <c r="AB380" s="2828"/>
      <c r="AC380" s="3091"/>
      <c r="AD380" s="2829" t="s">
        <v>78</v>
      </c>
      <c r="AE380" s="2830"/>
      <c r="AF380" s="2830"/>
      <c r="AG380" s="3095"/>
      <c r="AH380" s="2817" t="s">
        <v>79</v>
      </c>
      <c r="AI380" s="2818"/>
      <c r="AJ380" s="2818"/>
      <c r="AK380" s="3094"/>
      <c r="AL380" s="2819" t="s">
        <v>80</v>
      </c>
      <c r="AM380" s="2820"/>
      <c r="AN380" s="2820"/>
      <c r="AO380" s="3090"/>
      <c r="AP380" s="2821" t="s">
        <v>81</v>
      </c>
      <c r="AQ380" s="2822"/>
      <c r="AR380" s="2822"/>
      <c r="AS380" s="3093"/>
      <c r="AT380" s="3109" t="s">
        <v>82</v>
      </c>
      <c r="AU380" s="3110"/>
      <c r="AV380" s="3110"/>
      <c r="AW380" s="3111"/>
      <c r="AX380" s="3097" t="s">
        <v>83</v>
      </c>
      <c r="AY380" s="3098"/>
      <c r="AZ380" s="3098"/>
      <c r="BA380" s="3098"/>
      <c r="BB380" s="3099"/>
      <c r="BE380" s="446"/>
      <c r="BF380" s="446"/>
      <c r="BG380" s="446"/>
    </row>
    <row r="381" spans="1:65" ht="14.4" thickBot="1">
      <c r="A381" s="2816"/>
      <c r="B381" s="402" t="s">
        <v>17</v>
      </c>
      <c r="C381" s="403" t="s">
        <v>18</v>
      </c>
      <c r="D381" s="403" t="s">
        <v>56</v>
      </c>
      <c r="E381" s="404" t="s">
        <v>21</v>
      </c>
      <c r="F381" s="402" t="s">
        <v>17</v>
      </c>
      <c r="G381" s="403" t="s">
        <v>18</v>
      </c>
      <c r="H381" s="403" t="s">
        <v>56</v>
      </c>
      <c r="I381" s="404" t="s">
        <v>21</v>
      </c>
      <c r="J381" s="402" t="s">
        <v>17</v>
      </c>
      <c r="K381" s="403" t="s">
        <v>18</v>
      </c>
      <c r="L381" s="403" t="s">
        <v>56</v>
      </c>
      <c r="M381" s="404" t="s">
        <v>21</v>
      </c>
      <c r="N381" s="402" t="s">
        <v>17</v>
      </c>
      <c r="O381" s="403" t="s">
        <v>18</v>
      </c>
      <c r="P381" s="403" t="s">
        <v>56</v>
      </c>
      <c r="Q381" s="404" t="s">
        <v>21</v>
      </c>
      <c r="R381" s="402" t="s">
        <v>17</v>
      </c>
      <c r="S381" s="403" t="s">
        <v>18</v>
      </c>
      <c r="T381" s="403" t="s">
        <v>56</v>
      </c>
      <c r="U381" s="404" t="s">
        <v>21</v>
      </c>
      <c r="V381" s="402" t="s">
        <v>17</v>
      </c>
      <c r="W381" s="403" t="s">
        <v>18</v>
      </c>
      <c r="X381" s="403" t="s">
        <v>56</v>
      </c>
      <c r="Y381" s="404" t="s">
        <v>21</v>
      </c>
      <c r="Z381" s="402" t="s">
        <v>17</v>
      </c>
      <c r="AA381" s="403" t="s">
        <v>18</v>
      </c>
      <c r="AB381" s="403" t="s">
        <v>56</v>
      </c>
      <c r="AC381" s="404" t="s">
        <v>21</v>
      </c>
      <c r="AD381" s="1062" t="s">
        <v>17</v>
      </c>
      <c r="AE381" s="403" t="s">
        <v>18</v>
      </c>
      <c r="AF381" s="403" t="s">
        <v>56</v>
      </c>
      <c r="AG381" s="404" t="s">
        <v>21</v>
      </c>
      <c r="AH381" s="402" t="s">
        <v>17</v>
      </c>
      <c r="AI381" s="403" t="s">
        <v>18</v>
      </c>
      <c r="AJ381" s="403" t="s">
        <v>56</v>
      </c>
      <c r="AK381" s="404" t="s">
        <v>21</v>
      </c>
      <c r="AL381" s="402" t="s">
        <v>17</v>
      </c>
      <c r="AM381" s="403" t="s">
        <v>18</v>
      </c>
      <c r="AN381" s="403" t="s">
        <v>56</v>
      </c>
      <c r="AO381" s="404" t="s">
        <v>21</v>
      </c>
      <c r="AP381" s="402" t="s">
        <v>17</v>
      </c>
      <c r="AQ381" s="403" t="s">
        <v>18</v>
      </c>
      <c r="AR381" s="403" t="s">
        <v>56</v>
      </c>
      <c r="AS381" s="404" t="s">
        <v>21</v>
      </c>
      <c r="AT381" s="402" t="s">
        <v>17</v>
      </c>
      <c r="AU381" s="403" t="s">
        <v>18</v>
      </c>
      <c r="AV381" s="403" t="s">
        <v>56</v>
      </c>
      <c r="AW381" s="404" t="s">
        <v>21</v>
      </c>
      <c r="AX381" s="1057" t="s">
        <v>17</v>
      </c>
      <c r="AY381" s="832" t="s">
        <v>18</v>
      </c>
      <c r="AZ381" s="832" t="s">
        <v>52</v>
      </c>
      <c r="BA381" s="833" t="s">
        <v>19</v>
      </c>
      <c r="BB381" s="834" t="s">
        <v>160</v>
      </c>
      <c r="BD381" s="117" t="s">
        <v>56</v>
      </c>
      <c r="BE381" s="446" t="s">
        <v>21</v>
      </c>
      <c r="BF381" s="446"/>
      <c r="BG381" s="446"/>
    </row>
    <row r="382" spans="1:65">
      <c r="A382" s="397" t="s">
        <v>6</v>
      </c>
      <c r="B382" s="450">
        <f t="shared" ref="B382:AG382" si="652">+B350/B196*100</f>
        <v>37.576510917815952</v>
      </c>
      <c r="C382" s="451">
        <f t="shared" si="652"/>
        <v>43.11662679943408</v>
      </c>
      <c r="D382" s="453">
        <f t="shared" si="652"/>
        <v>37.689136078985079</v>
      </c>
      <c r="E382" s="452">
        <f t="shared" si="652"/>
        <v>39.90121582543064</v>
      </c>
      <c r="F382" s="450">
        <f t="shared" si="652"/>
        <v>39.118679767275815</v>
      </c>
      <c r="G382" s="451">
        <f t="shared" si="652"/>
        <v>44.449295938115249</v>
      </c>
      <c r="H382" s="453">
        <f t="shared" si="652"/>
        <v>39.246587570025632</v>
      </c>
      <c r="I382" s="452">
        <f t="shared" si="652"/>
        <v>40.682009765015309</v>
      </c>
      <c r="J382" s="450">
        <f t="shared" si="652"/>
        <v>38.632398228765844</v>
      </c>
      <c r="K382" s="451">
        <f t="shared" si="652"/>
        <v>44.281084999277802</v>
      </c>
      <c r="L382" s="453">
        <f t="shared" si="652"/>
        <v>38.945978315170279</v>
      </c>
      <c r="M382" s="452">
        <f t="shared" si="652"/>
        <v>41.622203814359068</v>
      </c>
      <c r="N382" s="450">
        <f t="shared" si="652"/>
        <v>38.075878455025631</v>
      </c>
      <c r="O382" s="451">
        <f t="shared" si="652"/>
        <v>43.086650672075208</v>
      </c>
      <c r="P382" s="453">
        <f t="shared" si="652"/>
        <v>38.172104371521257</v>
      </c>
      <c r="Q382" s="452">
        <f t="shared" si="652"/>
        <v>40.80813167172478</v>
      </c>
      <c r="R382" s="450">
        <f t="shared" si="652"/>
        <v>35.875510151010516</v>
      </c>
      <c r="S382" s="451">
        <f t="shared" si="652"/>
        <v>42.914144768205809</v>
      </c>
      <c r="T382" s="453">
        <f t="shared" si="652"/>
        <v>35.995680810067768</v>
      </c>
      <c r="U382" s="452">
        <f t="shared" si="652"/>
        <v>38.842747279891384</v>
      </c>
      <c r="V382" s="450">
        <f t="shared" si="652"/>
        <v>34.18863926578026</v>
      </c>
      <c r="W382" s="451">
        <f t="shared" si="652"/>
        <v>42.165889152199362</v>
      </c>
      <c r="X382" s="453">
        <f t="shared" si="652"/>
        <v>34.470047722967053</v>
      </c>
      <c r="Y382" s="452">
        <f t="shared" si="652"/>
        <v>38.521299283511254</v>
      </c>
      <c r="Z382" s="450">
        <f t="shared" si="652"/>
        <v>34.612221989354921</v>
      </c>
      <c r="AA382" s="451">
        <f t="shared" si="652"/>
        <v>40.130702151857648</v>
      </c>
      <c r="AB382" s="453">
        <f t="shared" si="652"/>
        <v>34.66278667577312</v>
      </c>
      <c r="AC382" s="452">
        <f t="shared" si="652"/>
        <v>36.707844084219715</v>
      </c>
      <c r="AD382" s="450">
        <f t="shared" si="652"/>
        <v>20.241968078203097</v>
      </c>
      <c r="AE382" s="451">
        <f t="shared" si="652"/>
        <v>6.2456675394753267</v>
      </c>
      <c r="AF382" s="453">
        <f t="shared" si="652"/>
        <v>19.44107877253057</v>
      </c>
      <c r="AG382" s="452">
        <f t="shared" si="652"/>
        <v>35.964517571787461</v>
      </c>
      <c r="AH382" s="450" t="e">
        <f t="shared" ref="AH382:BB382" si="653">+AH350/AH196*100</f>
        <v>#DIV/0!</v>
      </c>
      <c r="AI382" s="451" t="e">
        <f t="shared" si="653"/>
        <v>#DIV/0!</v>
      </c>
      <c r="AJ382" s="453" t="e">
        <f t="shared" si="653"/>
        <v>#DIV/0!</v>
      </c>
      <c r="AK382" s="452" t="e">
        <f t="shared" si="653"/>
        <v>#DIV/0!</v>
      </c>
      <c r="AL382" s="450" t="e">
        <f t="shared" si="653"/>
        <v>#DIV/0!</v>
      </c>
      <c r="AM382" s="450" t="e">
        <f t="shared" si="653"/>
        <v>#DIV/0!</v>
      </c>
      <c r="AN382" s="453" t="e">
        <f t="shared" si="653"/>
        <v>#DIV/0!</v>
      </c>
      <c r="AO382" s="452" t="e">
        <f t="shared" si="653"/>
        <v>#DIV/0!</v>
      </c>
      <c r="AP382" s="450" t="e">
        <f t="shared" si="653"/>
        <v>#DIV/0!</v>
      </c>
      <c r="AQ382" s="451" t="e">
        <f t="shared" si="653"/>
        <v>#DIV/0!</v>
      </c>
      <c r="AR382" s="453" t="e">
        <f t="shared" si="653"/>
        <v>#DIV/0!</v>
      </c>
      <c r="AS382" s="452" t="e">
        <f t="shared" si="653"/>
        <v>#DIV/0!</v>
      </c>
      <c r="AT382" s="450" t="e">
        <f t="shared" si="653"/>
        <v>#DIV/0!</v>
      </c>
      <c r="AU382" s="451" t="e">
        <f t="shared" si="653"/>
        <v>#DIV/0!</v>
      </c>
      <c r="AV382" s="453" t="e">
        <f t="shared" si="653"/>
        <v>#DIV/0!</v>
      </c>
      <c r="AW382" s="452" t="e">
        <f t="shared" si="653"/>
        <v>#DIV/0!</v>
      </c>
      <c r="AX382" s="1066">
        <f t="shared" si="653"/>
        <v>36.318489707639742</v>
      </c>
      <c r="AY382" s="822">
        <f t="shared" si="653"/>
        <v>38.263882837763759</v>
      </c>
      <c r="AZ382" s="822">
        <f t="shared" si="653"/>
        <v>36.377651530813452</v>
      </c>
      <c r="BA382" s="825">
        <f t="shared" si="653"/>
        <v>38.974911725733399</v>
      </c>
      <c r="BB382" s="824">
        <f t="shared" si="653"/>
        <v>36.824852025562151</v>
      </c>
      <c r="BD382" s="446">
        <f>AF382</f>
        <v>19.44107877253057</v>
      </c>
      <c r="BE382" s="446">
        <f>AG382</f>
        <v>35.964517571787461</v>
      </c>
      <c r="BF382" s="446"/>
      <c r="BG382" s="446"/>
    </row>
    <row r="383" spans="1:65">
      <c r="A383" s="397" t="s">
        <v>7</v>
      </c>
      <c r="B383" s="450">
        <f t="shared" ref="B383:AG383" si="654">+B351/B197*100</f>
        <v>38.709477802803526</v>
      </c>
      <c r="C383" s="451">
        <f t="shared" si="654"/>
        <v>44.059470157539309</v>
      </c>
      <c r="D383" s="453">
        <f t="shared" si="654"/>
        <v>38.81888493589846</v>
      </c>
      <c r="E383" s="452">
        <f t="shared" si="654"/>
        <v>46.651389105800817</v>
      </c>
      <c r="F383" s="450">
        <f t="shared" si="654"/>
        <v>39.962369322358029</v>
      </c>
      <c r="G383" s="451">
        <f t="shared" si="654"/>
        <v>44.367519275847314</v>
      </c>
      <c r="H383" s="453">
        <f t="shared" si="654"/>
        <v>40.070721852273081</v>
      </c>
      <c r="I383" s="452">
        <f t="shared" si="654"/>
        <v>47.947743256990378</v>
      </c>
      <c r="J383" s="450">
        <f t="shared" si="654"/>
        <v>40.028751448688439</v>
      </c>
      <c r="K383" s="451">
        <f t="shared" si="654"/>
        <v>44.774703401375213</v>
      </c>
      <c r="L383" s="453">
        <f t="shared" si="654"/>
        <v>40.660352735996092</v>
      </c>
      <c r="M383" s="452">
        <f t="shared" si="654"/>
        <v>47.533590696898564</v>
      </c>
      <c r="N383" s="450">
        <f t="shared" si="654"/>
        <v>38.681384310365686</v>
      </c>
      <c r="O383" s="451">
        <f t="shared" si="654"/>
        <v>44.488427749540435</v>
      </c>
      <c r="P383" s="453">
        <f t="shared" si="654"/>
        <v>38.83780864557194</v>
      </c>
      <c r="Q383" s="452">
        <f t="shared" si="654"/>
        <v>59.787466728090486</v>
      </c>
      <c r="R383" s="450">
        <f t="shared" si="654"/>
        <v>36.504829119010331</v>
      </c>
      <c r="S383" s="451">
        <f t="shared" si="654"/>
        <v>43.163004357338018</v>
      </c>
      <c r="T383" s="453">
        <f t="shared" si="654"/>
        <v>36.666998179141274</v>
      </c>
      <c r="U383" s="452">
        <f t="shared" si="654"/>
        <v>70.923333770726217</v>
      </c>
      <c r="V383" s="450">
        <f t="shared" si="654"/>
        <v>33.963982987737452</v>
      </c>
      <c r="W383" s="451">
        <f t="shared" si="654"/>
        <v>42.767383168306274</v>
      </c>
      <c r="X383" s="453">
        <f t="shared" si="654"/>
        <v>35.002091490996094</v>
      </c>
      <c r="Y383" s="452">
        <f t="shared" si="654"/>
        <v>59.884961855168619</v>
      </c>
      <c r="Z383" s="450">
        <f t="shared" si="654"/>
        <v>32.91724092187134</v>
      </c>
      <c r="AA383" s="451">
        <f t="shared" si="654"/>
        <v>41.249672713218899</v>
      </c>
      <c r="AB383" s="453">
        <f t="shared" si="654"/>
        <v>33.06575822631671</v>
      </c>
      <c r="AC383" s="452">
        <f t="shared" si="654"/>
        <v>67.688994540614743</v>
      </c>
      <c r="AD383" s="450">
        <f t="shared" si="654"/>
        <v>32.588587909980809</v>
      </c>
      <c r="AE383" s="451">
        <f t="shared" si="654"/>
        <v>4.351977268274335</v>
      </c>
      <c r="AF383" s="453">
        <f t="shared" si="654"/>
        <v>29.842424652990353</v>
      </c>
      <c r="AG383" s="452">
        <f t="shared" si="654"/>
        <v>77.066679364780683</v>
      </c>
      <c r="AH383" s="450" t="e">
        <f t="shared" ref="AH383:BB383" si="655">+AH351/AH197*100</f>
        <v>#DIV/0!</v>
      </c>
      <c r="AI383" s="451" t="e">
        <f t="shared" si="655"/>
        <v>#DIV/0!</v>
      </c>
      <c r="AJ383" s="453" t="e">
        <f t="shared" si="655"/>
        <v>#DIV/0!</v>
      </c>
      <c r="AK383" s="452" t="e">
        <f t="shared" si="655"/>
        <v>#DIV/0!</v>
      </c>
      <c r="AL383" s="450" t="e">
        <f t="shared" si="655"/>
        <v>#DIV/0!</v>
      </c>
      <c r="AM383" s="450" t="e">
        <f t="shared" si="655"/>
        <v>#DIV/0!</v>
      </c>
      <c r="AN383" s="453" t="e">
        <f t="shared" si="655"/>
        <v>#DIV/0!</v>
      </c>
      <c r="AO383" s="452" t="e">
        <f t="shared" si="655"/>
        <v>#DIV/0!</v>
      </c>
      <c r="AP383" s="450" t="e">
        <f t="shared" si="655"/>
        <v>#DIV/0!</v>
      </c>
      <c r="AQ383" s="451" t="e">
        <f t="shared" si="655"/>
        <v>#DIV/0!</v>
      </c>
      <c r="AR383" s="453" t="e">
        <f t="shared" si="655"/>
        <v>#DIV/0!</v>
      </c>
      <c r="AS383" s="452" t="e">
        <f t="shared" si="655"/>
        <v>#DIV/0!</v>
      </c>
      <c r="AT383" s="450" t="e">
        <f t="shared" si="655"/>
        <v>#DIV/0!</v>
      </c>
      <c r="AU383" s="451" t="e">
        <f t="shared" si="655"/>
        <v>#DIV/0!</v>
      </c>
      <c r="AV383" s="453" t="e">
        <f t="shared" si="655"/>
        <v>#DIV/0!</v>
      </c>
      <c r="AW383" s="452" t="e">
        <f t="shared" si="655"/>
        <v>#DIV/0!</v>
      </c>
      <c r="AX383" s="1061">
        <f t="shared" si="655"/>
        <v>38.242614815256317</v>
      </c>
      <c r="AY383" s="447">
        <f t="shared" si="655"/>
        <v>41.534439622999876</v>
      </c>
      <c r="AZ383" s="447">
        <f t="shared" si="655"/>
        <v>38.403119586083541</v>
      </c>
      <c r="BA383" s="825">
        <f t="shared" si="655"/>
        <v>54.429143494453889</v>
      </c>
      <c r="BB383" s="826">
        <f t="shared" si="655"/>
        <v>39.116493975358878</v>
      </c>
      <c r="BD383" s="446">
        <f t="shared" ref="BD383:BD392" si="656">AF383</f>
        <v>29.842424652990353</v>
      </c>
      <c r="BE383" s="446">
        <f t="shared" ref="BE383:BE392" si="657">AG383</f>
        <v>77.066679364780683</v>
      </c>
    </row>
    <row r="384" spans="1:65">
      <c r="A384" s="397" t="s">
        <v>8</v>
      </c>
      <c r="B384" s="450">
        <f t="shared" ref="B384:AG384" si="658">+B352/B198*100</f>
        <v>39.487994239812849</v>
      </c>
      <c r="C384" s="451">
        <f t="shared" si="658"/>
        <v>44.899557877926263</v>
      </c>
      <c r="D384" s="453">
        <f t="shared" si="658"/>
        <v>39.760204124670054</v>
      </c>
      <c r="E384" s="452">
        <f t="shared" si="658"/>
        <v>48.271019403707761</v>
      </c>
      <c r="F384" s="450">
        <f t="shared" si="658"/>
        <v>40.058122698675035</v>
      </c>
      <c r="G384" s="451">
        <f t="shared" si="658"/>
        <v>44.926070653617707</v>
      </c>
      <c r="H384" s="453">
        <f t="shared" si="658"/>
        <v>40.26411645513808</v>
      </c>
      <c r="I384" s="452">
        <f t="shared" si="658"/>
        <v>43.225853496197487</v>
      </c>
      <c r="J384" s="450">
        <f t="shared" si="658"/>
        <v>39.784146058297843</v>
      </c>
      <c r="K384" s="451">
        <f t="shared" si="658"/>
        <v>44.981391341980512</v>
      </c>
      <c r="L384" s="453">
        <f t="shared" si="658"/>
        <v>40.260896522306631</v>
      </c>
      <c r="M384" s="452">
        <f t="shared" si="658"/>
        <v>48.143628839984856</v>
      </c>
      <c r="N384" s="450">
        <f t="shared" si="658"/>
        <v>38.93155449937715</v>
      </c>
      <c r="O384" s="451">
        <f t="shared" si="658"/>
        <v>44.654644658926266</v>
      </c>
      <c r="P384" s="453">
        <f t="shared" si="658"/>
        <v>39.199980215444477</v>
      </c>
      <c r="Q384" s="452">
        <f t="shared" si="658"/>
        <v>58.191831545200642</v>
      </c>
      <c r="R384" s="450">
        <f t="shared" si="658"/>
        <v>36.654265477204461</v>
      </c>
      <c r="S384" s="451">
        <f t="shared" si="658"/>
        <v>44.201654411764707</v>
      </c>
      <c r="T384" s="453">
        <f t="shared" si="658"/>
        <v>37.00526180807865</v>
      </c>
      <c r="U384" s="452">
        <f t="shared" si="658"/>
        <v>88.589015513126483</v>
      </c>
      <c r="V384" s="450">
        <f t="shared" si="658"/>
        <v>34.483045721754138</v>
      </c>
      <c r="W384" s="451">
        <f t="shared" si="658"/>
        <v>43.562629242916998</v>
      </c>
      <c r="X384" s="453">
        <f t="shared" si="658"/>
        <v>35.154359742227385</v>
      </c>
      <c r="Y384" s="452">
        <f t="shared" si="658"/>
        <v>99.906030871212124</v>
      </c>
      <c r="Z384" s="450">
        <f t="shared" si="658"/>
        <v>32.889402688326491</v>
      </c>
      <c r="AA384" s="451">
        <f t="shared" si="658"/>
        <v>42.860037888430298</v>
      </c>
      <c r="AB384" s="453">
        <f t="shared" si="658"/>
        <v>33.197943160510675</v>
      </c>
      <c r="AC384" s="452">
        <f t="shared" si="658"/>
        <v>202.9418100397256</v>
      </c>
      <c r="AD384" s="450">
        <f t="shared" si="658"/>
        <v>32.654404267230163</v>
      </c>
      <c r="AE384" s="451">
        <f t="shared" si="658"/>
        <v>43.221529990895412</v>
      </c>
      <c r="AF384" s="453">
        <f t="shared" si="658"/>
        <v>32.922345181626305</v>
      </c>
      <c r="AG384" s="452">
        <f t="shared" si="658"/>
        <v>245.54755688073394</v>
      </c>
      <c r="AH384" s="450" t="e">
        <f t="shared" ref="AH384:BB384" si="659">+AH352/AH198*100</f>
        <v>#DIV/0!</v>
      </c>
      <c r="AI384" s="451" t="e">
        <f t="shared" si="659"/>
        <v>#DIV/0!</v>
      </c>
      <c r="AJ384" s="453" t="e">
        <f t="shared" si="659"/>
        <v>#DIV/0!</v>
      </c>
      <c r="AK384" s="452" t="e">
        <f t="shared" si="659"/>
        <v>#DIV/0!</v>
      </c>
      <c r="AL384" s="450" t="e">
        <f t="shared" si="659"/>
        <v>#DIV/0!</v>
      </c>
      <c r="AM384" s="450" t="e">
        <f t="shared" si="659"/>
        <v>#DIV/0!</v>
      </c>
      <c r="AN384" s="453" t="e">
        <f t="shared" si="659"/>
        <v>#DIV/0!</v>
      </c>
      <c r="AO384" s="452" t="e">
        <f t="shared" si="659"/>
        <v>#DIV/0!</v>
      </c>
      <c r="AP384" s="450" t="e">
        <f t="shared" si="659"/>
        <v>#DIV/0!</v>
      </c>
      <c r="AQ384" s="451" t="e">
        <f t="shared" si="659"/>
        <v>#DIV/0!</v>
      </c>
      <c r="AR384" s="453" t="e">
        <f t="shared" si="659"/>
        <v>#DIV/0!</v>
      </c>
      <c r="AS384" s="452" t="e">
        <f t="shared" si="659"/>
        <v>#DIV/0!</v>
      </c>
      <c r="AT384" s="450" t="e">
        <f t="shared" si="659"/>
        <v>#DIV/0!</v>
      </c>
      <c r="AU384" s="451" t="e">
        <f t="shared" si="659"/>
        <v>#DIV/0!</v>
      </c>
      <c r="AV384" s="453" t="e">
        <f t="shared" si="659"/>
        <v>#DIV/0!</v>
      </c>
      <c r="AW384" s="452" t="e">
        <f t="shared" si="659"/>
        <v>#DIV/0!</v>
      </c>
      <c r="AX384" s="1061">
        <f t="shared" si="659"/>
        <v>38.420473422419931</v>
      </c>
      <c r="AY384" s="447">
        <f t="shared" si="659"/>
        <v>44.641151467133504</v>
      </c>
      <c r="AZ384" s="447">
        <f t="shared" si="659"/>
        <v>38.757129167422924</v>
      </c>
      <c r="BA384" s="825">
        <f t="shared" si="659"/>
        <v>59.195047177672777</v>
      </c>
      <c r="BB384" s="826">
        <f t="shared" si="659"/>
        <v>39.433430811109467</v>
      </c>
      <c r="BD384" s="446">
        <f t="shared" si="656"/>
        <v>32.922345181626305</v>
      </c>
      <c r="BE384" s="446">
        <f t="shared" si="657"/>
        <v>245.54755688073394</v>
      </c>
      <c r="BF384" s="482"/>
      <c r="BG384" s="482"/>
    </row>
    <row r="385" spans="1:59">
      <c r="A385" s="397" t="s">
        <v>4</v>
      </c>
      <c r="B385" s="450">
        <f t="shared" ref="B385:AG385" si="660">+B353/B199*100</f>
        <v>38.427237745692771</v>
      </c>
      <c r="C385" s="451">
        <f t="shared" si="660"/>
        <v>44.005179456829914</v>
      </c>
      <c r="D385" s="453">
        <f t="shared" si="660"/>
        <v>38.591024265035564</v>
      </c>
      <c r="E385" s="452">
        <f t="shared" si="660"/>
        <v>42.434386451101041</v>
      </c>
      <c r="F385" s="450">
        <f t="shared" si="660"/>
        <v>39.5983010265372</v>
      </c>
      <c r="G385" s="451">
        <f t="shared" si="660"/>
        <v>44.404196003466659</v>
      </c>
      <c r="H385" s="453">
        <f t="shared" si="660"/>
        <v>39.754761701830773</v>
      </c>
      <c r="I385" s="452">
        <f t="shared" si="660"/>
        <v>42.952353846071645</v>
      </c>
      <c r="J385" s="450">
        <f t="shared" si="660"/>
        <v>39.966017485173197</v>
      </c>
      <c r="K385" s="451">
        <f t="shared" si="660"/>
        <v>44.754560954365004</v>
      </c>
      <c r="L385" s="453">
        <f t="shared" si="660"/>
        <v>40.204634676811715</v>
      </c>
      <c r="M385" s="452">
        <f t="shared" si="660"/>
        <v>45.293760296644344</v>
      </c>
      <c r="N385" s="450">
        <f t="shared" si="660"/>
        <v>38.98197232143869</v>
      </c>
      <c r="O385" s="451">
        <f t="shared" si="660"/>
        <v>44.450252548801863</v>
      </c>
      <c r="P385" s="453">
        <f t="shared" si="660"/>
        <v>39.171363743857427</v>
      </c>
      <c r="Q385" s="452">
        <f t="shared" si="660"/>
        <v>50.043895607932498</v>
      </c>
      <c r="R385" s="450">
        <f t="shared" si="660"/>
        <v>36.167583191702192</v>
      </c>
      <c r="S385" s="451">
        <f t="shared" si="660"/>
        <v>43.399891368935158</v>
      </c>
      <c r="T385" s="453">
        <f t="shared" si="660"/>
        <v>36.417567649162677</v>
      </c>
      <c r="U385" s="452">
        <f t="shared" si="660"/>
        <v>55.744742531968548</v>
      </c>
      <c r="V385" s="450">
        <f t="shared" si="660"/>
        <v>34.712688932673593</v>
      </c>
      <c r="W385" s="451">
        <f t="shared" si="660"/>
        <v>43.453551301672228</v>
      </c>
      <c r="X385" s="453">
        <f t="shared" si="660"/>
        <v>35.125210058919819</v>
      </c>
      <c r="Y385" s="452">
        <f t="shared" si="660"/>
        <v>63.702096722344479</v>
      </c>
      <c r="Z385" s="450">
        <f t="shared" si="660"/>
        <v>34.174317547577473</v>
      </c>
      <c r="AA385" s="451">
        <f t="shared" si="660"/>
        <v>42.983934080710533</v>
      </c>
      <c r="AB385" s="453">
        <f t="shared" si="660"/>
        <v>34.476972719264438</v>
      </c>
      <c r="AC385" s="452">
        <f t="shared" si="660"/>
        <v>70.32427317613562</v>
      </c>
      <c r="AD385" s="450">
        <f t="shared" si="660"/>
        <v>33.844792606741578</v>
      </c>
      <c r="AE385" s="451">
        <f t="shared" si="660"/>
        <v>43.07661619976642</v>
      </c>
      <c r="AF385" s="453">
        <f t="shared" si="660"/>
        <v>34.026704078926109</v>
      </c>
      <c r="AG385" s="452">
        <f t="shared" si="660"/>
        <v>62.339972989220485</v>
      </c>
      <c r="AH385" s="450" t="e">
        <f t="shared" ref="AH385:BB385" si="661">+AH353/AH199*100</f>
        <v>#DIV/0!</v>
      </c>
      <c r="AI385" s="451" t="e">
        <f t="shared" si="661"/>
        <v>#DIV/0!</v>
      </c>
      <c r="AJ385" s="453" t="e">
        <f t="shared" si="661"/>
        <v>#DIV/0!</v>
      </c>
      <c r="AK385" s="452" t="e">
        <f t="shared" si="661"/>
        <v>#DIV/0!</v>
      </c>
      <c r="AL385" s="450" t="e">
        <f t="shared" si="661"/>
        <v>#DIV/0!</v>
      </c>
      <c r="AM385" s="450" t="e">
        <f t="shared" si="661"/>
        <v>#DIV/0!</v>
      </c>
      <c r="AN385" s="453" t="e">
        <f t="shared" si="661"/>
        <v>#DIV/0!</v>
      </c>
      <c r="AO385" s="452" t="e">
        <f t="shared" si="661"/>
        <v>#DIV/0!</v>
      </c>
      <c r="AP385" s="450" t="e">
        <f t="shared" si="661"/>
        <v>#DIV/0!</v>
      </c>
      <c r="AQ385" s="451" t="e">
        <f t="shared" si="661"/>
        <v>#DIV/0!</v>
      </c>
      <c r="AR385" s="453" t="e">
        <f t="shared" si="661"/>
        <v>#DIV/0!</v>
      </c>
      <c r="AS385" s="452" t="e">
        <f t="shared" si="661"/>
        <v>#DIV/0!</v>
      </c>
      <c r="AT385" s="450" t="e">
        <f t="shared" si="661"/>
        <v>#DIV/0!</v>
      </c>
      <c r="AU385" s="451" t="e">
        <f t="shared" si="661"/>
        <v>#DIV/0!</v>
      </c>
      <c r="AV385" s="453" t="e">
        <f t="shared" si="661"/>
        <v>#DIV/0!</v>
      </c>
      <c r="AW385" s="452" t="e">
        <f t="shared" si="661"/>
        <v>#DIV/0!</v>
      </c>
      <c r="AX385" s="1061">
        <f t="shared" si="661"/>
        <v>38.271629403262928</v>
      </c>
      <c r="AY385" s="447">
        <f t="shared" si="661"/>
        <v>44.192460844506179</v>
      </c>
      <c r="AZ385" s="447">
        <f t="shared" si="661"/>
        <v>38.487754485830962</v>
      </c>
      <c r="BA385" s="825">
        <f t="shared" si="661"/>
        <v>49.401522294995281</v>
      </c>
      <c r="BB385" s="826">
        <f t="shared" si="661"/>
        <v>38.907241245713095</v>
      </c>
      <c r="BD385" s="446">
        <f t="shared" si="656"/>
        <v>34.026704078926109</v>
      </c>
      <c r="BE385" s="446">
        <f t="shared" si="657"/>
        <v>62.339972989220485</v>
      </c>
      <c r="BF385" s="482"/>
      <c r="BG385" s="482"/>
    </row>
    <row r="386" spans="1:59">
      <c r="A386" s="397" t="s">
        <v>3</v>
      </c>
      <c r="B386" s="450">
        <f t="shared" ref="B386:AG386" si="662">+B354/B200*100</f>
        <v>40.562294973325663</v>
      </c>
      <c r="C386" s="451">
        <f t="shared" si="662"/>
        <v>44.938343991265135</v>
      </c>
      <c r="D386" s="453">
        <f t="shared" si="662"/>
        <v>40.67270085854264</v>
      </c>
      <c r="E386" s="452">
        <f t="shared" si="662"/>
        <v>39.520538317369514</v>
      </c>
      <c r="F386" s="450">
        <f t="shared" si="662"/>
        <v>41.418404601546484</v>
      </c>
      <c r="G386" s="451">
        <f t="shared" si="662"/>
        <v>45.169291915021638</v>
      </c>
      <c r="H386" s="453">
        <f t="shared" si="662"/>
        <v>41.531640722317995</v>
      </c>
      <c r="I386" s="452">
        <f t="shared" si="662"/>
        <v>39.420318979902589</v>
      </c>
      <c r="J386" s="450">
        <f t="shared" si="662"/>
        <v>41.223655248949925</v>
      </c>
      <c r="K386" s="451">
        <f t="shared" si="662"/>
        <v>45.113183891697155</v>
      </c>
      <c r="L386" s="453">
        <f t="shared" si="662"/>
        <v>41.727619808329251</v>
      </c>
      <c r="M386" s="452">
        <f t="shared" si="662"/>
        <v>47.297385627176332</v>
      </c>
      <c r="N386" s="450">
        <f t="shared" si="662"/>
        <v>40.092288292600706</v>
      </c>
      <c r="O386" s="451">
        <f t="shared" si="662"/>
        <v>44.431391721699335</v>
      </c>
      <c r="P386" s="453">
        <f t="shared" si="662"/>
        <v>40.175269213295536</v>
      </c>
      <c r="Q386" s="452">
        <f t="shared" si="662"/>
        <v>46.090868347744191</v>
      </c>
      <c r="R386" s="450">
        <f t="shared" si="662"/>
        <v>37.979574488652432</v>
      </c>
      <c r="S386" s="451">
        <f t="shared" si="662"/>
        <v>44.233480149291395</v>
      </c>
      <c r="T386" s="453">
        <f t="shared" si="662"/>
        <v>38.136443770148922</v>
      </c>
      <c r="U386" s="452">
        <f t="shared" si="662"/>
        <v>41.196467319209312</v>
      </c>
      <c r="V386" s="450">
        <f t="shared" si="662"/>
        <v>35.832750846216889</v>
      </c>
      <c r="W386" s="451">
        <f t="shared" si="662"/>
        <v>44.36498925127389</v>
      </c>
      <c r="X386" s="453">
        <f t="shared" si="662"/>
        <v>37.088732421850793</v>
      </c>
      <c r="Y386" s="452">
        <f t="shared" si="662"/>
        <v>46.124032209796809</v>
      </c>
      <c r="Z386" s="450">
        <f t="shared" si="662"/>
        <v>34.952465621951852</v>
      </c>
      <c r="AA386" s="451">
        <f t="shared" si="662"/>
        <v>38.978509730521942</v>
      </c>
      <c r="AB386" s="453">
        <f t="shared" si="662"/>
        <v>34.971537914723413</v>
      </c>
      <c r="AC386" s="452">
        <f t="shared" si="662"/>
        <v>46.968162259679978</v>
      </c>
      <c r="AD386" s="450">
        <f t="shared" si="662"/>
        <v>34.219504509957524</v>
      </c>
      <c r="AE386" s="451">
        <f t="shared" si="662"/>
        <v>43.558782756697248</v>
      </c>
      <c r="AF386" s="453">
        <f t="shared" si="662"/>
        <v>34.384930245446377</v>
      </c>
      <c r="AG386" s="452">
        <f t="shared" si="662"/>
        <v>47.983486918759169</v>
      </c>
      <c r="AH386" s="450" t="e">
        <f t="shared" ref="AH386:BB386" si="663">+AH354/AH200*100</f>
        <v>#DIV/0!</v>
      </c>
      <c r="AI386" s="451" t="e">
        <f t="shared" si="663"/>
        <v>#DIV/0!</v>
      </c>
      <c r="AJ386" s="453" t="e">
        <f t="shared" si="663"/>
        <v>#DIV/0!</v>
      </c>
      <c r="AK386" s="452" t="e">
        <f t="shared" si="663"/>
        <v>#DIV/0!</v>
      </c>
      <c r="AL386" s="450" t="e">
        <f t="shared" si="663"/>
        <v>#DIV/0!</v>
      </c>
      <c r="AM386" s="450" t="e">
        <f t="shared" si="663"/>
        <v>#DIV/0!</v>
      </c>
      <c r="AN386" s="453" t="e">
        <f t="shared" si="663"/>
        <v>#DIV/0!</v>
      </c>
      <c r="AO386" s="452" t="e">
        <f t="shared" si="663"/>
        <v>#DIV/0!</v>
      </c>
      <c r="AP386" s="450" t="e">
        <f t="shared" si="663"/>
        <v>#DIV/0!</v>
      </c>
      <c r="AQ386" s="451" t="e">
        <f t="shared" si="663"/>
        <v>#DIV/0!</v>
      </c>
      <c r="AR386" s="453" t="e">
        <f t="shared" si="663"/>
        <v>#DIV/0!</v>
      </c>
      <c r="AS386" s="452" t="e">
        <f t="shared" si="663"/>
        <v>#DIV/0!</v>
      </c>
      <c r="AT386" s="450" t="e">
        <f t="shared" si="663"/>
        <v>#DIV/0!</v>
      </c>
      <c r="AU386" s="451" t="e">
        <f t="shared" si="663"/>
        <v>#DIV/0!</v>
      </c>
      <c r="AV386" s="453" t="e">
        <f t="shared" si="663"/>
        <v>#DIV/0!</v>
      </c>
      <c r="AW386" s="452" t="e">
        <f t="shared" si="663"/>
        <v>#DIV/0!</v>
      </c>
      <c r="AX386" s="1061">
        <f t="shared" si="663"/>
        <v>39.761794975779416</v>
      </c>
      <c r="AY386" s="447">
        <f t="shared" si="663"/>
        <v>44.838774482642755</v>
      </c>
      <c r="AZ386" s="447">
        <f t="shared" si="663"/>
        <v>40.013532518204357</v>
      </c>
      <c r="BA386" s="825">
        <f t="shared" si="663"/>
        <v>42.845628606005917</v>
      </c>
      <c r="BB386" s="826">
        <f t="shared" si="663"/>
        <v>40.123218220482485</v>
      </c>
      <c r="BD386" s="446">
        <f t="shared" si="656"/>
        <v>34.384930245446377</v>
      </c>
      <c r="BE386" s="446">
        <f t="shared" si="657"/>
        <v>47.983486918759169</v>
      </c>
      <c r="BF386" s="482"/>
      <c r="BG386" s="482"/>
    </row>
    <row r="387" spans="1:59">
      <c r="A387" s="397" t="s">
        <v>397</v>
      </c>
      <c r="B387" s="450">
        <f t="shared" ref="B387:AG387" si="664">+B355/B201*100</f>
        <v>34.606732408776004</v>
      </c>
      <c r="C387" s="451">
        <f t="shared" si="664"/>
        <v>43.790570016104915</v>
      </c>
      <c r="D387" s="453">
        <f t="shared" si="664"/>
        <v>35.061237349839821</v>
      </c>
      <c r="E387" s="452">
        <f t="shared" si="664"/>
        <v>34.254469669110733</v>
      </c>
      <c r="F387" s="450">
        <f t="shared" si="664"/>
        <v>36.281969156279395</v>
      </c>
      <c r="G387" s="451">
        <f t="shared" si="664"/>
        <v>44.075190516371272</v>
      </c>
      <c r="H387" s="453">
        <f t="shared" si="664"/>
        <v>36.569310101261884</v>
      </c>
      <c r="I387" s="452">
        <f t="shared" si="664"/>
        <v>35.18183996354162</v>
      </c>
      <c r="J387" s="450">
        <f t="shared" si="664"/>
        <v>38.666499869737308</v>
      </c>
      <c r="K387" s="451">
        <f t="shared" si="664"/>
        <v>44.272782191807558</v>
      </c>
      <c r="L387" s="453">
        <f t="shared" si="664"/>
        <v>38.828857009281343</v>
      </c>
      <c r="M387" s="452">
        <f t="shared" si="664"/>
        <v>46.554302255774118</v>
      </c>
      <c r="N387" s="450">
        <f t="shared" si="664"/>
        <v>38.169943734013337</v>
      </c>
      <c r="O387" s="451">
        <f t="shared" si="664"/>
        <v>44.321279194509401</v>
      </c>
      <c r="P387" s="453">
        <f t="shared" si="664"/>
        <v>38.457350167372617</v>
      </c>
      <c r="Q387" s="452">
        <f t="shared" si="664"/>
        <v>54.112632032135565</v>
      </c>
      <c r="R387" s="450">
        <f t="shared" si="664"/>
        <v>35.44458254053766</v>
      </c>
      <c r="S387" s="451">
        <f t="shared" si="664"/>
        <v>43.210709763043994</v>
      </c>
      <c r="T387" s="453">
        <f t="shared" si="664"/>
        <v>35.668208281116151</v>
      </c>
      <c r="U387" s="452">
        <f t="shared" si="664"/>
        <v>45.844422773703975</v>
      </c>
      <c r="V387" s="450">
        <f t="shared" si="664"/>
        <v>35.941003597390008</v>
      </c>
      <c r="W387" s="451">
        <f t="shared" si="664"/>
        <v>36.194933512712943</v>
      </c>
      <c r="X387" s="453">
        <f t="shared" si="664"/>
        <v>35.948315512807071</v>
      </c>
      <c r="Y387" s="452">
        <f t="shared" si="664"/>
        <v>28.666976631283259</v>
      </c>
      <c r="Z387" s="450">
        <f t="shared" si="664"/>
        <v>35.888554531433599</v>
      </c>
      <c r="AA387" s="451">
        <f t="shared" si="664"/>
        <v>42.880490926734282</v>
      </c>
      <c r="AB387" s="453">
        <f t="shared" si="664"/>
        <v>36.061747145585549</v>
      </c>
      <c r="AC387" s="452">
        <f t="shared" si="664"/>
        <v>42.149270323579415</v>
      </c>
      <c r="AD387" s="450">
        <f t="shared" si="664"/>
        <v>30</v>
      </c>
      <c r="AE387" s="451">
        <f t="shared" si="664"/>
        <v>35</v>
      </c>
      <c r="AF387" s="453">
        <f t="shared" si="664"/>
        <v>30.215090827357589</v>
      </c>
      <c r="AG387" s="452">
        <f t="shared" si="664"/>
        <v>55.525712413532155</v>
      </c>
      <c r="AH387" s="450" t="e">
        <f t="shared" ref="AH387:BB387" si="665">+AH355/AH201*100</f>
        <v>#DIV/0!</v>
      </c>
      <c r="AI387" s="451" t="e">
        <f t="shared" si="665"/>
        <v>#DIV/0!</v>
      </c>
      <c r="AJ387" s="453" t="e">
        <f t="shared" si="665"/>
        <v>#DIV/0!</v>
      </c>
      <c r="AK387" s="452" t="e">
        <f t="shared" si="665"/>
        <v>#DIV/0!</v>
      </c>
      <c r="AL387" s="450" t="e">
        <f t="shared" si="665"/>
        <v>#DIV/0!</v>
      </c>
      <c r="AM387" s="450" t="e">
        <f t="shared" si="665"/>
        <v>#DIV/0!</v>
      </c>
      <c r="AN387" s="453" t="e">
        <f t="shared" si="665"/>
        <v>#DIV/0!</v>
      </c>
      <c r="AO387" s="452" t="e">
        <f t="shared" si="665"/>
        <v>#DIV/0!</v>
      </c>
      <c r="AP387" s="450" t="e">
        <f t="shared" si="665"/>
        <v>#DIV/0!</v>
      </c>
      <c r="AQ387" s="451" t="e">
        <f t="shared" si="665"/>
        <v>#DIV/0!</v>
      </c>
      <c r="AR387" s="453" t="e">
        <f t="shared" si="665"/>
        <v>#DIV/0!</v>
      </c>
      <c r="AS387" s="452" t="e">
        <f t="shared" si="665"/>
        <v>#DIV/0!</v>
      </c>
      <c r="AT387" s="450" t="e">
        <f t="shared" si="665"/>
        <v>#DIV/0!</v>
      </c>
      <c r="AU387" s="451" t="e">
        <f t="shared" si="665"/>
        <v>#DIV/0!</v>
      </c>
      <c r="AV387" s="453" t="e">
        <f t="shared" si="665"/>
        <v>#DIV/0!</v>
      </c>
      <c r="AW387" s="452" t="e">
        <f t="shared" si="665"/>
        <v>#DIV/0!</v>
      </c>
      <c r="AX387" s="1061">
        <f t="shared" si="665"/>
        <v>36.461054587189281</v>
      </c>
      <c r="AY387" s="447">
        <f t="shared" si="665"/>
        <v>43.046706707021428</v>
      </c>
      <c r="AZ387" s="447">
        <f t="shared" si="665"/>
        <v>36.703102016163925</v>
      </c>
      <c r="BA387" s="825">
        <f t="shared" si="665"/>
        <v>40.736885298473958</v>
      </c>
      <c r="BB387" s="826">
        <f t="shared" si="665"/>
        <v>37.088387609914832</v>
      </c>
      <c r="BD387" s="446">
        <f t="shared" si="656"/>
        <v>30.215090827357589</v>
      </c>
      <c r="BE387" s="446">
        <f t="shared" si="657"/>
        <v>55.525712413532155</v>
      </c>
      <c r="BF387" s="482"/>
      <c r="BG387" s="482"/>
    </row>
    <row r="388" spans="1:59">
      <c r="A388" s="397" t="s">
        <v>399</v>
      </c>
      <c r="B388" s="450">
        <f t="shared" ref="B388:AG388" si="666">+B356/B202*100</f>
        <v>37.530841003735716</v>
      </c>
      <c r="C388" s="451">
        <f t="shared" si="666"/>
        <v>43.412279343264011</v>
      </c>
      <c r="D388" s="453">
        <f t="shared" si="666"/>
        <v>37.553593891689005</v>
      </c>
      <c r="E388" s="452">
        <f t="shared" si="666"/>
        <v>33.367661599509894</v>
      </c>
      <c r="F388" s="450">
        <f t="shared" si="666"/>
        <v>38.308904728761213</v>
      </c>
      <c r="G388" s="451">
        <f t="shared" si="666"/>
        <v>44.350162306996474</v>
      </c>
      <c r="H388" s="453">
        <f t="shared" si="666"/>
        <v>38.343376169280283</v>
      </c>
      <c r="I388" s="452">
        <f t="shared" si="666"/>
        <v>34.352315637540862</v>
      </c>
      <c r="J388" s="450">
        <f t="shared" si="666"/>
        <v>38.565112178824812</v>
      </c>
      <c r="K388" s="451">
        <f t="shared" si="666"/>
        <v>44.261263377499262</v>
      </c>
      <c r="L388" s="453">
        <f t="shared" si="666"/>
        <v>39.131653235627709</v>
      </c>
      <c r="M388" s="452">
        <f t="shared" si="666"/>
        <v>33.45533207751977</v>
      </c>
      <c r="N388" s="450">
        <f t="shared" si="666"/>
        <v>37.333917581854756</v>
      </c>
      <c r="O388" s="451">
        <f t="shared" si="666"/>
        <v>43.483588642255576</v>
      </c>
      <c r="P388" s="453">
        <f t="shared" si="666"/>
        <v>37.359448942359379</v>
      </c>
      <c r="Q388" s="452">
        <f t="shared" si="666"/>
        <v>40.561722943742922</v>
      </c>
      <c r="R388" s="450">
        <f t="shared" si="666"/>
        <v>34.997864648029868</v>
      </c>
      <c r="S388" s="451">
        <f t="shared" si="666"/>
        <v>43.668480608952216</v>
      </c>
      <c r="T388" s="453">
        <f t="shared" si="666"/>
        <v>35.061472835207269</v>
      </c>
      <c r="U388" s="452">
        <f t="shared" si="666"/>
        <v>38.812448241658529</v>
      </c>
      <c r="V388" s="450">
        <f t="shared" si="666"/>
        <v>34.737773515279272</v>
      </c>
      <c r="W388" s="451">
        <f t="shared" si="666"/>
        <v>43.524244857319353</v>
      </c>
      <c r="X388" s="453">
        <f t="shared" si="666"/>
        <v>35.581055191032803</v>
      </c>
      <c r="Y388" s="452">
        <f t="shared" si="666"/>
        <v>100</v>
      </c>
      <c r="Z388" s="450">
        <f t="shared" si="666"/>
        <v>34.871219712443732</v>
      </c>
      <c r="AA388" s="451">
        <f t="shared" si="666"/>
        <v>45.268017443935307</v>
      </c>
      <c r="AB388" s="453">
        <f t="shared" si="666"/>
        <v>35.028269505357507</v>
      </c>
      <c r="AC388" s="452">
        <f t="shared" si="666"/>
        <v>33.987986099740517</v>
      </c>
      <c r="AD388" s="450">
        <f t="shared" si="666"/>
        <v>35.20392913676735</v>
      </c>
      <c r="AE388" s="451">
        <f t="shared" si="666"/>
        <v>43.182289712235352</v>
      </c>
      <c r="AF388" s="453">
        <f t="shared" si="666"/>
        <v>35.265930912981126</v>
      </c>
      <c r="AG388" s="452">
        <f t="shared" si="666"/>
        <v>42.734161404313156</v>
      </c>
      <c r="AH388" s="450" t="e">
        <f t="shared" ref="AH388:BB388" si="667">+AH356/AH202*100</f>
        <v>#DIV/0!</v>
      </c>
      <c r="AI388" s="451" t="e">
        <f t="shared" si="667"/>
        <v>#DIV/0!</v>
      </c>
      <c r="AJ388" s="453" t="e">
        <f t="shared" si="667"/>
        <v>#DIV/0!</v>
      </c>
      <c r="AK388" s="452" t="e">
        <f t="shared" si="667"/>
        <v>#DIV/0!</v>
      </c>
      <c r="AL388" s="450" t="e">
        <f t="shared" si="667"/>
        <v>#DIV/0!</v>
      </c>
      <c r="AM388" s="450" t="e">
        <f t="shared" si="667"/>
        <v>#DIV/0!</v>
      </c>
      <c r="AN388" s="453" t="e">
        <f t="shared" si="667"/>
        <v>#DIV/0!</v>
      </c>
      <c r="AO388" s="452" t="e">
        <f t="shared" si="667"/>
        <v>#DIV/0!</v>
      </c>
      <c r="AP388" s="450" t="e">
        <f t="shared" si="667"/>
        <v>#DIV/0!</v>
      </c>
      <c r="AQ388" s="451" t="e">
        <f t="shared" si="667"/>
        <v>#DIV/0!</v>
      </c>
      <c r="AR388" s="453" t="e">
        <f t="shared" si="667"/>
        <v>#DIV/0!</v>
      </c>
      <c r="AS388" s="452" t="e">
        <f t="shared" si="667"/>
        <v>#DIV/0!</v>
      </c>
      <c r="AT388" s="450" t="e">
        <f t="shared" si="667"/>
        <v>#DIV/0!</v>
      </c>
      <c r="AU388" s="451" t="e">
        <f t="shared" si="667"/>
        <v>#DIV/0!</v>
      </c>
      <c r="AV388" s="453" t="e">
        <f t="shared" si="667"/>
        <v>#DIV/0!</v>
      </c>
      <c r="AW388" s="452" t="e">
        <f t="shared" si="667"/>
        <v>#DIV/0!</v>
      </c>
      <c r="AX388" s="1061">
        <f t="shared" si="667"/>
        <v>37.144578740811042</v>
      </c>
      <c r="AY388" s="447">
        <f t="shared" si="667"/>
        <v>44.068089890558085</v>
      </c>
      <c r="AZ388" s="447">
        <f t="shared" si="667"/>
        <v>37.327566209880999</v>
      </c>
      <c r="BA388" s="825">
        <f t="shared" si="667"/>
        <v>44.560313865088155</v>
      </c>
      <c r="BB388" s="826">
        <f t="shared" si="667"/>
        <v>39.150659324065948</v>
      </c>
      <c r="BD388" s="446">
        <f t="shared" si="656"/>
        <v>35.265930912981126</v>
      </c>
      <c r="BE388" s="446">
        <f t="shared" si="657"/>
        <v>42.734161404313156</v>
      </c>
    </row>
    <row r="389" spans="1:59">
      <c r="A389" s="397" t="s">
        <v>883</v>
      </c>
      <c r="B389" s="450">
        <f t="shared" ref="B389:AG389" si="668">+B357/B203*100</f>
        <v>38.023649910513399</v>
      </c>
      <c r="C389" s="451">
        <f t="shared" si="668"/>
        <v>44.447428621194931</v>
      </c>
      <c r="D389" s="453">
        <f t="shared" si="668"/>
        <v>38.246015537557021</v>
      </c>
      <c r="E389" s="452">
        <f t="shared" si="668"/>
        <v>47.9793186938982</v>
      </c>
      <c r="F389" s="450">
        <f t="shared" si="668"/>
        <v>39.108709534700573</v>
      </c>
      <c r="G389" s="451">
        <f t="shared" si="668"/>
        <v>44.50749474298582</v>
      </c>
      <c r="H389" s="453">
        <f t="shared" si="668"/>
        <v>39.346241511429312</v>
      </c>
      <c r="I389" s="452">
        <f t="shared" si="668"/>
        <v>47.586453779657475</v>
      </c>
      <c r="J389" s="450">
        <f t="shared" si="668"/>
        <v>38.251591782818537</v>
      </c>
      <c r="K389" s="451">
        <f t="shared" si="668"/>
        <v>44.657918503583346</v>
      </c>
      <c r="L389" s="453">
        <f t="shared" si="668"/>
        <v>38.650257894469483</v>
      </c>
      <c r="M389" s="452">
        <f t="shared" si="668"/>
        <v>47.791953971585613</v>
      </c>
      <c r="N389" s="450">
        <f t="shared" si="668"/>
        <v>87.504179130341853</v>
      </c>
      <c r="O389" s="451">
        <f t="shared" si="668"/>
        <v>92.086425806873422</v>
      </c>
      <c r="P389" s="453">
        <f t="shared" si="668"/>
        <v>87.654445464147827</v>
      </c>
      <c r="Q389" s="452">
        <f t="shared" si="668"/>
        <v>55.879698116050328</v>
      </c>
      <c r="R389" s="450">
        <f t="shared" si="668"/>
        <v>34.802527233454676</v>
      </c>
      <c r="S389" s="451">
        <f t="shared" si="668"/>
        <v>42.874430987556011</v>
      </c>
      <c r="T389" s="453">
        <f t="shared" si="668"/>
        <v>35.118784547612165</v>
      </c>
      <c r="U389" s="452">
        <f t="shared" si="668"/>
        <v>72.361656558688566</v>
      </c>
      <c r="V389" s="450">
        <f t="shared" si="668"/>
        <v>33.020041701195218</v>
      </c>
      <c r="W389" s="451">
        <f t="shared" si="668"/>
        <v>43.186814617625657</v>
      </c>
      <c r="X389" s="453">
        <f t="shared" si="668"/>
        <v>33.533699864426495</v>
      </c>
      <c r="Y389" s="452">
        <f t="shared" si="668"/>
        <v>83.235130857742007</v>
      </c>
      <c r="Z389" s="450">
        <f t="shared" si="668"/>
        <v>32.944321387180707</v>
      </c>
      <c r="AA389" s="451">
        <f t="shared" si="668"/>
        <v>42.286388823820687</v>
      </c>
      <c r="AB389" s="453">
        <f t="shared" si="668"/>
        <v>33.208542479208155</v>
      </c>
      <c r="AC389" s="452">
        <f t="shared" si="668"/>
        <v>93.657531679831123</v>
      </c>
      <c r="AD389" s="450">
        <f t="shared" si="668"/>
        <v>33.473589094840065</v>
      </c>
      <c r="AE389" s="451">
        <f t="shared" si="668"/>
        <v>44.691892530838899</v>
      </c>
      <c r="AF389" s="453">
        <f t="shared" si="668"/>
        <v>33.724402180477362</v>
      </c>
      <c r="AG389" s="452">
        <f t="shared" si="668"/>
        <v>88.103539270807474</v>
      </c>
      <c r="AH389" s="450" t="e">
        <f t="shared" ref="AH389:BB389" si="669">+AH357/AH203*100</f>
        <v>#DIV/0!</v>
      </c>
      <c r="AI389" s="451" t="e">
        <f t="shared" si="669"/>
        <v>#DIV/0!</v>
      </c>
      <c r="AJ389" s="453" t="e">
        <f t="shared" si="669"/>
        <v>#DIV/0!</v>
      </c>
      <c r="AK389" s="452" t="e">
        <f t="shared" si="669"/>
        <v>#DIV/0!</v>
      </c>
      <c r="AL389" s="450" t="e">
        <f t="shared" si="669"/>
        <v>#DIV/0!</v>
      </c>
      <c r="AM389" s="450" t="e">
        <f t="shared" si="669"/>
        <v>#DIV/0!</v>
      </c>
      <c r="AN389" s="453" t="e">
        <f t="shared" si="669"/>
        <v>#DIV/0!</v>
      </c>
      <c r="AO389" s="452" t="e">
        <f t="shared" si="669"/>
        <v>#DIV/0!</v>
      </c>
      <c r="AP389" s="450" t="e">
        <f t="shared" si="669"/>
        <v>#DIV/0!</v>
      </c>
      <c r="AQ389" s="451" t="e">
        <f t="shared" si="669"/>
        <v>#DIV/0!</v>
      </c>
      <c r="AR389" s="453" t="e">
        <f t="shared" si="669"/>
        <v>#DIV/0!</v>
      </c>
      <c r="AS389" s="452" t="e">
        <f t="shared" si="669"/>
        <v>#DIV/0!</v>
      </c>
      <c r="AT389" s="450" t="e">
        <f t="shared" si="669"/>
        <v>#DIV/0!</v>
      </c>
      <c r="AU389" s="451" t="e">
        <f t="shared" si="669"/>
        <v>#DIV/0!</v>
      </c>
      <c r="AV389" s="453" t="e">
        <f t="shared" si="669"/>
        <v>#DIV/0!</v>
      </c>
      <c r="AW389" s="452" t="e">
        <f t="shared" si="669"/>
        <v>#DIV/0!</v>
      </c>
      <c r="AX389" s="1061">
        <f t="shared" si="669"/>
        <v>46.38765555621876</v>
      </c>
      <c r="AY389" s="447">
        <f t="shared" si="669"/>
        <v>51.08385028410266</v>
      </c>
      <c r="AZ389" s="447">
        <f t="shared" si="669"/>
        <v>46.581570618192139</v>
      </c>
      <c r="BA389" s="825">
        <f t="shared" si="669"/>
        <v>57.062052903459858</v>
      </c>
      <c r="BB389" s="826">
        <f t="shared" si="669"/>
        <v>47.031751184215736</v>
      </c>
      <c r="BD389" s="446">
        <f t="shared" si="656"/>
        <v>33.724402180477362</v>
      </c>
      <c r="BE389" s="446">
        <f t="shared" si="657"/>
        <v>88.103539270807474</v>
      </c>
    </row>
    <row r="390" spans="1:59">
      <c r="A390" s="397" t="s">
        <v>884</v>
      </c>
      <c r="B390" s="450">
        <f t="shared" ref="B390:AG390" si="670">+B358/B204*100</f>
        <v>34.696144519658034</v>
      </c>
      <c r="C390" s="451">
        <f t="shared" si="670"/>
        <v>43.43059781538237</v>
      </c>
      <c r="D390" s="453">
        <f t="shared" si="670"/>
        <v>34.997558050729722</v>
      </c>
      <c r="E390" s="452">
        <f t="shared" si="670"/>
        <v>43.721523889084587</v>
      </c>
      <c r="F390" s="450">
        <f t="shared" si="670"/>
        <v>37.044987446794345</v>
      </c>
      <c r="G390" s="451">
        <f t="shared" si="670"/>
        <v>44.313651864157883</v>
      </c>
      <c r="H390" s="453">
        <f t="shared" si="670"/>
        <v>37.405508334326825</v>
      </c>
      <c r="I390" s="452">
        <f t="shared" si="670"/>
        <v>43.96968840820945</v>
      </c>
      <c r="J390" s="450">
        <f t="shared" si="670"/>
        <v>55.440491803251504</v>
      </c>
      <c r="K390" s="451">
        <f t="shared" si="670"/>
        <v>74.041201943629304</v>
      </c>
      <c r="L390" s="453">
        <f t="shared" si="670"/>
        <v>56.271144746820013</v>
      </c>
      <c r="M390" s="452">
        <f t="shared" si="670"/>
        <v>46.088698081558455</v>
      </c>
      <c r="N390" s="450">
        <f t="shared" si="670"/>
        <v>31.785541047756226</v>
      </c>
      <c r="O390" s="451">
        <f t="shared" si="670"/>
        <v>39.125954953313268</v>
      </c>
      <c r="P390" s="453">
        <f t="shared" si="670"/>
        <v>32.096536532957593</v>
      </c>
      <c r="Q390" s="452">
        <f t="shared" si="670"/>
        <v>52.738146272305563</v>
      </c>
      <c r="R390" s="450">
        <f t="shared" si="670"/>
        <v>31.393730477354627</v>
      </c>
      <c r="S390" s="451">
        <f t="shared" si="670"/>
        <v>43.118975845022192</v>
      </c>
      <c r="T390" s="453">
        <f t="shared" si="670"/>
        <v>32.024536628659703</v>
      </c>
      <c r="U390" s="452">
        <f t="shared" si="670"/>
        <v>47.875836807609161</v>
      </c>
      <c r="V390" s="450">
        <f t="shared" si="670"/>
        <v>32.394275448276908</v>
      </c>
      <c r="W390" s="451">
        <f t="shared" si="670"/>
        <v>43.333127001608844</v>
      </c>
      <c r="X390" s="453">
        <f t="shared" si="670"/>
        <v>32.805846053354159</v>
      </c>
      <c r="Y390" s="452">
        <f t="shared" si="670"/>
        <v>45.179914709371225</v>
      </c>
      <c r="Z390" s="450">
        <f t="shared" si="670"/>
        <v>33.12817748790615</v>
      </c>
      <c r="AA390" s="451">
        <f t="shared" si="670"/>
        <v>42.141174077519914</v>
      </c>
      <c r="AB390" s="453">
        <f t="shared" si="670"/>
        <v>33.317599561986249</v>
      </c>
      <c r="AC390" s="452">
        <f t="shared" si="670"/>
        <v>35.621971418559909</v>
      </c>
      <c r="AD390" s="450">
        <f t="shared" si="670"/>
        <v>33.842212418781259</v>
      </c>
      <c r="AE390" s="451">
        <f t="shared" si="670"/>
        <v>43.641279981116497</v>
      </c>
      <c r="AF390" s="453">
        <f t="shared" si="670"/>
        <v>34.098859340379271</v>
      </c>
      <c r="AG390" s="452">
        <f t="shared" si="670"/>
        <v>48.201841718234959</v>
      </c>
      <c r="AH390" s="450" t="e">
        <f t="shared" ref="AH390:BB390" si="671">+AH358/AH204*100</f>
        <v>#DIV/0!</v>
      </c>
      <c r="AI390" s="451" t="e">
        <f t="shared" si="671"/>
        <v>#DIV/0!</v>
      </c>
      <c r="AJ390" s="453" t="e">
        <f t="shared" si="671"/>
        <v>#DIV/0!</v>
      </c>
      <c r="AK390" s="452" t="e">
        <f t="shared" si="671"/>
        <v>#DIV/0!</v>
      </c>
      <c r="AL390" s="450" t="e">
        <f t="shared" si="671"/>
        <v>#DIV/0!</v>
      </c>
      <c r="AM390" s="450" t="e">
        <f t="shared" si="671"/>
        <v>#DIV/0!</v>
      </c>
      <c r="AN390" s="453" t="e">
        <f t="shared" si="671"/>
        <v>#DIV/0!</v>
      </c>
      <c r="AO390" s="452" t="e">
        <f t="shared" si="671"/>
        <v>#DIV/0!</v>
      </c>
      <c r="AP390" s="450" t="e">
        <f t="shared" si="671"/>
        <v>#DIV/0!</v>
      </c>
      <c r="AQ390" s="451" t="e">
        <f t="shared" si="671"/>
        <v>#DIV/0!</v>
      </c>
      <c r="AR390" s="453" t="e">
        <f t="shared" si="671"/>
        <v>#DIV/0!</v>
      </c>
      <c r="AS390" s="452" t="e">
        <f t="shared" si="671"/>
        <v>#DIV/0!</v>
      </c>
      <c r="AT390" s="450" t="e">
        <f t="shared" si="671"/>
        <v>#DIV/0!</v>
      </c>
      <c r="AU390" s="451" t="e">
        <f t="shared" si="671"/>
        <v>#DIV/0!</v>
      </c>
      <c r="AV390" s="453" t="e">
        <f t="shared" si="671"/>
        <v>#DIV/0!</v>
      </c>
      <c r="AW390" s="452" t="e">
        <f t="shared" si="671"/>
        <v>#DIV/0!</v>
      </c>
      <c r="AX390" s="1061">
        <f t="shared" si="671"/>
        <v>37.037861094154422</v>
      </c>
      <c r="AY390" s="447">
        <f t="shared" si="671"/>
        <v>47.441924033245883</v>
      </c>
      <c r="AZ390" s="447">
        <f t="shared" si="671"/>
        <v>37.472717109311361</v>
      </c>
      <c r="BA390" s="825">
        <f t="shared" si="671"/>
        <v>44.535283230893199</v>
      </c>
      <c r="BB390" s="826">
        <f t="shared" si="671"/>
        <v>37.957297439880833</v>
      </c>
      <c r="BD390" s="446">
        <f t="shared" si="656"/>
        <v>34.098859340379271</v>
      </c>
      <c r="BE390" s="446">
        <f t="shared" si="657"/>
        <v>48.201841718234959</v>
      </c>
      <c r="BF390" s="446"/>
    </row>
    <row r="391" spans="1:59" ht="14.4" thickBot="1">
      <c r="A391" s="397" t="s">
        <v>885</v>
      </c>
      <c r="B391" s="450">
        <f t="shared" ref="B391:AG391" si="672">+B359/B205*100</f>
        <v>38.678471785868204</v>
      </c>
      <c r="C391" s="451">
        <f t="shared" si="672"/>
        <v>44.526945536498211</v>
      </c>
      <c r="D391" s="453">
        <f t="shared" si="672"/>
        <v>39.049296779998414</v>
      </c>
      <c r="E391" s="452">
        <f t="shared" si="672"/>
        <v>46.869126090206372</v>
      </c>
      <c r="F391" s="450">
        <f t="shared" si="672"/>
        <v>40.106729589332183</v>
      </c>
      <c r="G391" s="451">
        <f t="shared" si="672"/>
        <v>44.728717673687044</v>
      </c>
      <c r="H391" s="453">
        <f t="shared" si="672"/>
        <v>40.524057124949913</v>
      </c>
      <c r="I391" s="452">
        <f t="shared" si="672"/>
        <v>46.780424036316376</v>
      </c>
      <c r="J391" s="450">
        <f t="shared" si="672"/>
        <v>39.899979362712209</v>
      </c>
      <c r="K391" s="451">
        <f t="shared" si="672"/>
        <v>45.030851791608228</v>
      </c>
      <c r="L391" s="453">
        <f t="shared" si="672"/>
        <v>40.453348677508721</v>
      </c>
      <c r="M391" s="452">
        <f t="shared" si="672"/>
        <v>47.992625754960429</v>
      </c>
      <c r="N391" s="450">
        <f t="shared" si="672"/>
        <v>39.044366031096942</v>
      </c>
      <c r="O391" s="451">
        <f t="shared" si="672"/>
        <v>44.410558224594503</v>
      </c>
      <c r="P391" s="453">
        <f t="shared" si="672"/>
        <v>39.336040285121712</v>
      </c>
      <c r="Q391" s="452">
        <f t="shared" si="672"/>
        <v>52.21840515621011</v>
      </c>
      <c r="R391" s="450">
        <f t="shared" si="672"/>
        <v>36.921052818028066</v>
      </c>
      <c r="S391" s="451">
        <f t="shared" si="672"/>
        <v>43.862387292083064</v>
      </c>
      <c r="T391" s="453">
        <f t="shared" si="672"/>
        <v>37.546282501043031</v>
      </c>
      <c r="U391" s="452">
        <f t="shared" si="672"/>
        <v>61.739717122884741</v>
      </c>
      <c r="V391" s="450">
        <f t="shared" si="672"/>
        <v>34.341722290194014</v>
      </c>
      <c r="W391" s="451">
        <f t="shared" si="672"/>
        <v>43.047450517230196</v>
      </c>
      <c r="X391" s="453">
        <f t="shared" si="672"/>
        <v>34.944892535005408</v>
      </c>
      <c r="Y391" s="452">
        <f t="shared" si="672"/>
        <v>315.40484924008399</v>
      </c>
      <c r="Z391" s="450">
        <f t="shared" si="672"/>
        <v>33.311992985196078</v>
      </c>
      <c r="AA391" s="451">
        <f t="shared" si="672"/>
        <v>43.648167549053987</v>
      </c>
      <c r="AB391" s="453">
        <f t="shared" si="672"/>
        <v>33.96932369953587</v>
      </c>
      <c r="AC391" s="452">
        <f t="shared" si="672"/>
        <v>96.111728054513051</v>
      </c>
      <c r="AD391" s="450">
        <f t="shared" si="672"/>
        <v>32.379374463891288</v>
      </c>
      <c r="AE391" s="451">
        <f t="shared" si="672"/>
        <v>41.93635698771844</v>
      </c>
      <c r="AF391" s="453">
        <f t="shared" si="672"/>
        <v>32.798434431130161</v>
      </c>
      <c r="AG391" s="452">
        <f t="shared" si="672"/>
        <v>103.50279053017036</v>
      </c>
      <c r="AH391" s="450" t="e">
        <f t="shared" ref="AH391:BB391" si="673">+AH359/AH205*100</f>
        <v>#DIV/0!</v>
      </c>
      <c r="AI391" s="451" t="e">
        <f t="shared" si="673"/>
        <v>#DIV/0!</v>
      </c>
      <c r="AJ391" s="453" t="e">
        <f t="shared" si="673"/>
        <v>#DIV/0!</v>
      </c>
      <c r="AK391" s="452" t="e">
        <f t="shared" si="673"/>
        <v>#DIV/0!</v>
      </c>
      <c r="AL391" s="450" t="e">
        <f t="shared" si="673"/>
        <v>#DIV/0!</v>
      </c>
      <c r="AM391" s="450" t="e">
        <f t="shared" si="673"/>
        <v>#DIV/0!</v>
      </c>
      <c r="AN391" s="453" t="e">
        <f t="shared" si="673"/>
        <v>#DIV/0!</v>
      </c>
      <c r="AO391" s="452" t="e">
        <f t="shared" si="673"/>
        <v>#DIV/0!</v>
      </c>
      <c r="AP391" s="450" t="e">
        <f t="shared" si="673"/>
        <v>#DIV/0!</v>
      </c>
      <c r="AQ391" s="451" t="e">
        <f t="shared" si="673"/>
        <v>#DIV/0!</v>
      </c>
      <c r="AR391" s="453" t="e">
        <f t="shared" si="673"/>
        <v>#DIV/0!</v>
      </c>
      <c r="AS391" s="452" t="e">
        <f t="shared" si="673"/>
        <v>#DIV/0!</v>
      </c>
      <c r="AT391" s="450" t="e">
        <f t="shared" si="673"/>
        <v>#DIV/0!</v>
      </c>
      <c r="AU391" s="451" t="e">
        <f t="shared" si="673"/>
        <v>#DIV/0!</v>
      </c>
      <c r="AV391" s="453" t="e">
        <f t="shared" si="673"/>
        <v>#DIV/0!</v>
      </c>
      <c r="AW391" s="452" t="e">
        <f t="shared" si="673"/>
        <v>#DIV/0!</v>
      </c>
      <c r="AX391" s="1061">
        <f t="shared" si="673"/>
        <v>38.334846861751075</v>
      </c>
      <c r="AY391" s="447">
        <f t="shared" si="673"/>
        <v>44.432964523723925</v>
      </c>
      <c r="AZ391" s="447">
        <f t="shared" si="673"/>
        <v>38.807040892129812</v>
      </c>
      <c r="BA391" s="825">
        <f t="shared" si="673"/>
        <v>51.891064162088306</v>
      </c>
      <c r="BB391" s="826">
        <f t="shared" si="673"/>
        <v>39.060734985439176</v>
      </c>
      <c r="BD391" s="446">
        <f t="shared" si="656"/>
        <v>32.798434431130161</v>
      </c>
      <c r="BE391" s="446">
        <f t="shared" si="657"/>
        <v>103.50279053017036</v>
      </c>
      <c r="BF391" s="446"/>
    </row>
    <row r="392" spans="1:59" ht="14.4" thickBot="1">
      <c r="A392" s="433" t="s">
        <v>16</v>
      </c>
      <c r="B392" s="458">
        <f t="shared" ref="B392:AG392" si="674">+B360/B206*100</f>
        <v>38.457633099847456</v>
      </c>
      <c r="C392" s="477">
        <f t="shared" si="674"/>
        <v>44.313759308451104</v>
      </c>
      <c r="D392" s="477">
        <f t="shared" si="674"/>
        <v>38.63586281120795</v>
      </c>
      <c r="E392" s="499">
        <f t="shared" si="674"/>
        <v>39.688486350646642</v>
      </c>
      <c r="F392" s="458">
        <f t="shared" si="674"/>
        <v>39.545159103656367</v>
      </c>
      <c r="G392" s="477">
        <f t="shared" si="674"/>
        <v>44.621224435373385</v>
      </c>
      <c r="H392" s="477">
        <f t="shared" si="674"/>
        <v>39.718492955535247</v>
      </c>
      <c r="I392" s="499">
        <f t="shared" si="674"/>
        <v>40.437136593413776</v>
      </c>
      <c r="J392" s="458">
        <f t="shared" si="674"/>
        <v>40.621851003423366</v>
      </c>
      <c r="K392" s="477">
        <f t="shared" si="674"/>
        <v>45.674647938966345</v>
      </c>
      <c r="L392" s="477">
        <f t="shared" si="674"/>
        <v>41.044611020474193</v>
      </c>
      <c r="M392" s="499">
        <f t="shared" si="674"/>
        <v>42.263664329618237</v>
      </c>
      <c r="N392" s="458">
        <f t="shared" si="674"/>
        <v>41.427576420390075</v>
      </c>
      <c r="O392" s="477">
        <f t="shared" si="674"/>
        <v>47.069128389936644</v>
      </c>
      <c r="P392" s="477">
        <f t="shared" si="674"/>
        <v>41.600477212343016</v>
      </c>
      <c r="Q392" s="499">
        <f t="shared" si="674"/>
        <v>46.227022883673641</v>
      </c>
      <c r="R392" s="458">
        <f t="shared" si="674"/>
        <v>36.071369151925218</v>
      </c>
      <c r="S392" s="477">
        <f t="shared" si="674"/>
        <v>43.573728433465149</v>
      </c>
      <c r="T392" s="477">
        <f t="shared" si="674"/>
        <v>36.319132884561071</v>
      </c>
      <c r="U392" s="499">
        <f t="shared" si="674"/>
        <v>44.351535485075509</v>
      </c>
      <c r="V392" s="458">
        <f t="shared" si="674"/>
        <v>34.595596643227246</v>
      </c>
      <c r="W392" s="477">
        <f t="shared" si="674"/>
        <v>43.401378654855876</v>
      </c>
      <c r="X392" s="477">
        <f t="shared" si="674"/>
        <v>35.27173687162977</v>
      </c>
      <c r="Y392" s="499">
        <f t="shared" si="674"/>
        <v>66.494620072989591</v>
      </c>
      <c r="Z392" s="458">
        <f t="shared" si="674"/>
        <v>34.064971088774008</v>
      </c>
      <c r="AA392" s="477">
        <f t="shared" si="674"/>
        <v>42.618093391194762</v>
      </c>
      <c r="AB392" s="477">
        <f t="shared" si="674"/>
        <v>34.252839117392732</v>
      </c>
      <c r="AC392" s="499">
        <f t="shared" si="674"/>
        <v>41.659025891246301</v>
      </c>
      <c r="AD392" s="458">
        <f t="shared" si="674"/>
        <v>30.485043087011178</v>
      </c>
      <c r="AE392" s="477">
        <f t="shared" si="674"/>
        <v>20.242291691161789</v>
      </c>
      <c r="AF392" s="477">
        <f t="shared" si="674"/>
        <v>30.097336588220859</v>
      </c>
      <c r="AG392" s="499">
        <f t="shared" si="674"/>
        <v>45.371369009609289</v>
      </c>
      <c r="AH392" s="458" t="e">
        <f t="shared" ref="AH392:BB392" si="675">+AH360/AH206*100</f>
        <v>#DIV/0!</v>
      </c>
      <c r="AI392" s="477" t="e">
        <f t="shared" si="675"/>
        <v>#DIV/0!</v>
      </c>
      <c r="AJ392" s="477" t="e">
        <f t="shared" si="675"/>
        <v>#DIV/0!</v>
      </c>
      <c r="AK392" s="499" t="e">
        <f t="shared" si="675"/>
        <v>#DIV/0!</v>
      </c>
      <c r="AL392" s="458" t="e">
        <f t="shared" si="675"/>
        <v>#DIV/0!</v>
      </c>
      <c r="AM392" s="477" t="e">
        <f t="shared" si="675"/>
        <v>#DIV/0!</v>
      </c>
      <c r="AN392" s="477" t="e">
        <f t="shared" si="675"/>
        <v>#DIV/0!</v>
      </c>
      <c r="AO392" s="499" t="e">
        <f t="shared" si="675"/>
        <v>#DIV/0!</v>
      </c>
      <c r="AP392" s="458" t="e">
        <f t="shared" si="675"/>
        <v>#DIV/0!</v>
      </c>
      <c r="AQ392" s="477" t="e">
        <f t="shared" si="675"/>
        <v>#DIV/0!</v>
      </c>
      <c r="AR392" s="477" t="e">
        <f t="shared" si="675"/>
        <v>#DIV/0!</v>
      </c>
      <c r="AS392" s="499" t="e">
        <f t="shared" si="675"/>
        <v>#DIV/0!</v>
      </c>
      <c r="AT392" s="458" t="e">
        <f t="shared" si="675"/>
        <v>#DIV/0!</v>
      </c>
      <c r="AU392" s="477" t="e">
        <f t="shared" si="675"/>
        <v>#DIV/0!</v>
      </c>
      <c r="AV392" s="477" t="e">
        <f t="shared" si="675"/>
        <v>#DIV/0!</v>
      </c>
      <c r="AW392" s="499" t="e">
        <f t="shared" si="675"/>
        <v>#DIV/0!</v>
      </c>
      <c r="AX392" s="1067">
        <f t="shared" si="675"/>
        <v>38.593849356023192</v>
      </c>
      <c r="AY392" s="478">
        <f t="shared" si="675"/>
        <v>44.15987306690608</v>
      </c>
      <c r="AZ392" s="478">
        <f t="shared" si="675"/>
        <v>38.834690399743209</v>
      </c>
      <c r="BA392" s="478">
        <f t="shared" si="675"/>
        <v>44.74953001067594</v>
      </c>
      <c r="BB392" s="831">
        <f t="shared" si="675"/>
        <v>39.303659290340207</v>
      </c>
      <c r="BC392" s="445">
        <f>D392</f>
        <v>38.63586281120795</v>
      </c>
      <c r="BD392" s="446">
        <f t="shared" si="656"/>
        <v>30.097336588220859</v>
      </c>
      <c r="BE392" s="446">
        <f t="shared" si="657"/>
        <v>45.371369009609289</v>
      </c>
    </row>
    <row r="394" spans="1:59" ht="18.600000000000001" thickBot="1">
      <c r="A394" s="394">
        <f>A362</f>
        <v>2024</v>
      </c>
    </row>
    <row r="395" spans="1:59">
      <c r="A395" s="2815" t="str">
        <f>A363</f>
        <v>DD</v>
      </c>
      <c r="B395" s="2827" t="s">
        <v>71</v>
      </c>
      <c r="C395" s="2828"/>
      <c r="D395" s="2828"/>
      <c r="E395" s="3091"/>
      <c r="F395" s="2829" t="s">
        <v>72</v>
      </c>
      <c r="G395" s="2830"/>
      <c r="H395" s="2830"/>
      <c r="I395" s="3095"/>
      <c r="J395" s="2817" t="s">
        <v>73</v>
      </c>
      <c r="K395" s="2818"/>
      <c r="L395" s="2818"/>
      <c r="M395" s="3094"/>
      <c r="N395" s="2819" t="s">
        <v>74</v>
      </c>
      <c r="O395" s="2820"/>
      <c r="P395" s="2820"/>
      <c r="Q395" s="3090"/>
      <c r="R395" s="2821" t="s">
        <v>75</v>
      </c>
      <c r="S395" s="2822"/>
      <c r="T395" s="2822"/>
      <c r="U395" s="3093"/>
      <c r="V395" s="2823" t="s">
        <v>76</v>
      </c>
      <c r="W395" s="2824"/>
      <c r="X395" s="2824"/>
      <c r="Y395" s="3089"/>
      <c r="Z395" s="2827" t="s">
        <v>77</v>
      </c>
      <c r="AA395" s="2828"/>
      <c r="AB395" s="2828"/>
      <c r="AC395" s="3091"/>
      <c r="AD395" s="2829" t="s">
        <v>78</v>
      </c>
      <c r="AE395" s="2830"/>
      <c r="AF395" s="2830"/>
      <c r="AG395" s="3095"/>
      <c r="AH395" s="2817" t="s">
        <v>79</v>
      </c>
      <c r="AI395" s="2818"/>
      <c r="AJ395" s="2818"/>
      <c r="AK395" s="3094"/>
      <c r="AL395" s="2819" t="s">
        <v>80</v>
      </c>
      <c r="AM395" s="2820"/>
      <c r="AN395" s="2820"/>
      <c r="AO395" s="3090"/>
      <c r="AP395" s="2821" t="s">
        <v>81</v>
      </c>
      <c r="AQ395" s="2822"/>
      <c r="AR395" s="2822"/>
      <c r="AS395" s="3093"/>
      <c r="AT395" s="2823" t="s">
        <v>82</v>
      </c>
      <c r="AU395" s="2824"/>
      <c r="AV395" s="2824"/>
      <c r="AW395" s="3089"/>
      <c r="AX395" s="3097" t="s">
        <v>83</v>
      </c>
      <c r="AY395" s="3098"/>
      <c r="AZ395" s="3098"/>
      <c r="BA395" s="3098"/>
      <c r="BB395" s="3099"/>
    </row>
    <row r="396" spans="1:59" ht="14.4" thickBot="1">
      <c r="A396" s="2816"/>
      <c r="B396" s="402" t="s">
        <v>17</v>
      </c>
      <c r="C396" s="403" t="s">
        <v>18</v>
      </c>
      <c r="D396" s="403" t="s">
        <v>56</v>
      </c>
      <c r="E396" s="404" t="s">
        <v>21</v>
      </c>
      <c r="F396" s="402" t="s">
        <v>17</v>
      </c>
      <c r="G396" s="403" t="s">
        <v>18</v>
      </c>
      <c r="H396" s="403" t="s">
        <v>56</v>
      </c>
      <c r="I396" s="404" t="s">
        <v>21</v>
      </c>
      <c r="J396" s="402" t="s">
        <v>17</v>
      </c>
      <c r="K396" s="403" t="s">
        <v>18</v>
      </c>
      <c r="L396" s="403" t="s">
        <v>56</v>
      </c>
      <c r="M396" s="404" t="s">
        <v>21</v>
      </c>
      <c r="N396" s="402" t="s">
        <v>17</v>
      </c>
      <c r="O396" s="403" t="s">
        <v>18</v>
      </c>
      <c r="P396" s="403" t="s">
        <v>56</v>
      </c>
      <c r="Q396" s="404" t="s">
        <v>21</v>
      </c>
      <c r="R396" s="402" t="s">
        <v>17</v>
      </c>
      <c r="S396" s="403" t="s">
        <v>18</v>
      </c>
      <c r="T396" s="403" t="s">
        <v>56</v>
      </c>
      <c r="U396" s="404" t="s">
        <v>21</v>
      </c>
      <c r="V396" s="402" t="s">
        <v>17</v>
      </c>
      <c r="W396" s="403" t="s">
        <v>18</v>
      </c>
      <c r="X396" s="403" t="s">
        <v>56</v>
      </c>
      <c r="Y396" s="404" t="s">
        <v>21</v>
      </c>
      <c r="Z396" s="402" t="s">
        <v>17</v>
      </c>
      <c r="AA396" s="403" t="s">
        <v>18</v>
      </c>
      <c r="AB396" s="403" t="s">
        <v>56</v>
      </c>
      <c r="AC396" s="404" t="s">
        <v>21</v>
      </c>
      <c r="AD396" s="1062" t="s">
        <v>17</v>
      </c>
      <c r="AE396" s="403" t="s">
        <v>18</v>
      </c>
      <c r="AF396" s="403" t="s">
        <v>56</v>
      </c>
      <c r="AG396" s="404" t="s">
        <v>21</v>
      </c>
      <c r="AH396" s="402" t="s">
        <v>17</v>
      </c>
      <c r="AI396" s="403" t="s">
        <v>18</v>
      </c>
      <c r="AJ396" s="403" t="s">
        <v>56</v>
      </c>
      <c r="AK396" s="404" t="s">
        <v>21</v>
      </c>
      <c r="AL396" s="402" t="s">
        <v>17</v>
      </c>
      <c r="AM396" s="403" t="s">
        <v>18</v>
      </c>
      <c r="AN396" s="403" t="s">
        <v>56</v>
      </c>
      <c r="AO396" s="404" t="s">
        <v>21</v>
      </c>
      <c r="AP396" s="402" t="s">
        <v>17</v>
      </c>
      <c r="AQ396" s="403" t="s">
        <v>18</v>
      </c>
      <c r="AR396" s="403" t="s">
        <v>56</v>
      </c>
      <c r="AS396" s="404" t="s">
        <v>21</v>
      </c>
      <c r="AT396" s="402" t="s">
        <v>17</v>
      </c>
      <c r="AU396" s="403" t="s">
        <v>18</v>
      </c>
      <c r="AV396" s="403" t="s">
        <v>56</v>
      </c>
      <c r="AW396" s="404" t="s">
        <v>21</v>
      </c>
      <c r="AX396" s="1057" t="s">
        <v>17</v>
      </c>
      <c r="AY396" s="832" t="s">
        <v>18</v>
      </c>
      <c r="AZ396" s="832" t="s">
        <v>52</v>
      </c>
      <c r="BA396" s="833" t="s">
        <v>21</v>
      </c>
      <c r="BB396" s="834" t="s">
        <v>160</v>
      </c>
      <c r="BD396" s="117" t="s">
        <v>56</v>
      </c>
      <c r="BE396" s="117" t="s">
        <v>21</v>
      </c>
    </row>
    <row r="397" spans="1:59">
      <c r="A397" s="397" t="s">
        <v>6</v>
      </c>
      <c r="B397" s="450">
        <f t="shared" ref="B397:AG397" si="676">+B365/B211*100</f>
        <v>37.902704930823042</v>
      </c>
      <c r="C397" s="451">
        <f t="shared" si="676"/>
        <v>43.545842090979988</v>
      </c>
      <c r="D397" s="453">
        <f t="shared" si="676"/>
        <v>38.025574869300158</v>
      </c>
      <c r="E397" s="452">
        <f t="shared" si="676"/>
        <v>39.267892486981907</v>
      </c>
      <c r="F397" s="450">
        <f t="shared" si="676"/>
        <v>39.213326638222391</v>
      </c>
      <c r="G397" s="451">
        <f t="shared" si="676"/>
        <v>44.525831705897318</v>
      </c>
      <c r="H397" s="453">
        <f t="shared" si="676"/>
        <v>39.333902705273132</v>
      </c>
      <c r="I397" s="452">
        <f t="shared" si="676"/>
        <v>39.202062016505067</v>
      </c>
      <c r="J397" s="450">
        <f t="shared" si="676"/>
        <v>38.257381167967033</v>
      </c>
      <c r="K397" s="451">
        <f t="shared" si="676"/>
        <v>44.12829270013345</v>
      </c>
      <c r="L397" s="453">
        <f t="shared" si="676"/>
        <v>38.552670435013333</v>
      </c>
      <c r="M397" s="452">
        <f t="shared" si="676"/>
        <v>39.395778124376591</v>
      </c>
      <c r="N397" s="450">
        <f t="shared" si="676"/>
        <v>37.387172719194375</v>
      </c>
      <c r="O397" s="451">
        <f t="shared" si="676"/>
        <v>42.981748403867563</v>
      </c>
      <c r="P397" s="453">
        <f t="shared" si="676"/>
        <v>37.491583848284755</v>
      </c>
      <c r="Q397" s="452">
        <f t="shared" si="676"/>
        <v>41.062166493406565</v>
      </c>
      <c r="R397" s="450">
        <f t="shared" si="676"/>
        <v>35.76641721330153</v>
      </c>
      <c r="S397" s="451">
        <f t="shared" si="676"/>
        <v>43.222894554651198</v>
      </c>
      <c r="T397" s="453">
        <f t="shared" si="676"/>
        <v>35.921936983782615</v>
      </c>
      <c r="U397" s="452">
        <f t="shared" si="676"/>
        <v>38.267450748287729</v>
      </c>
      <c r="V397" s="450">
        <f t="shared" si="676"/>
        <v>34.535481380295217</v>
      </c>
      <c r="W397" s="451">
        <f t="shared" si="676"/>
        <v>42.619735238634583</v>
      </c>
      <c r="X397" s="453">
        <f t="shared" si="676"/>
        <v>34.867495131626796</v>
      </c>
      <c r="Y397" s="452">
        <f t="shared" si="676"/>
        <v>39.404690536042466</v>
      </c>
      <c r="Z397" s="450">
        <f t="shared" si="676"/>
        <v>35.021887641847158</v>
      </c>
      <c r="AA397" s="451">
        <f t="shared" si="676"/>
        <v>41.30342749042719</v>
      </c>
      <c r="AB397" s="453">
        <f t="shared" si="676"/>
        <v>35.081172784590834</v>
      </c>
      <c r="AC397" s="452">
        <f t="shared" si="676"/>
        <v>37.236696820645612</v>
      </c>
      <c r="AD397" s="450">
        <f t="shared" si="676"/>
        <v>27.922883403286384</v>
      </c>
      <c r="AE397" s="451">
        <f t="shared" si="676"/>
        <v>36.507132672575153</v>
      </c>
      <c r="AF397" s="453">
        <f t="shared" si="676"/>
        <v>28.035484519805692</v>
      </c>
      <c r="AG397" s="452">
        <f t="shared" si="676"/>
        <v>35.447315657305786</v>
      </c>
      <c r="AH397" s="450" t="e">
        <f t="shared" ref="AH397:BB397" si="677">+AH365/AH211*100</f>
        <v>#DIV/0!</v>
      </c>
      <c r="AI397" s="451" t="e">
        <f t="shared" si="677"/>
        <v>#DIV/0!</v>
      </c>
      <c r="AJ397" s="453" t="e">
        <f t="shared" si="677"/>
        <v>#DIV/0!</v>
      </c>
      <c r="AK397" s="452" t="e">
        <f t="shared" si="677"/>
        <v>#DIV/0!</v>
      </c>
      <c r="AL397" s="450" t="e">
        <f t="shared" si="677"/>
        <v>#DIV/0!</v>
      </c>
      <c r="AM397" s="451" t="e">
        <f t="shared" si="677"/>
        <v>#DIV/0!</v>
      </c>
      <c r="AN397" s="453" t="e">
        <f t="shared" si="677"/>
        <v>#DIV/0!</v>
      </c>
      <c r="AO397" s="452" t="e">
        <f t="shared" si="677"/>
        <v>#DIV/0!</v>
      </c>
      <c r="AP397" s="450" t="e">
        <f t="shared" si="677"/>
        <v>#DIV/0!</v>
      </c>
      <c r="AQ397" s="451" t="e">
        <f t="shared" si="677"/>
        <v>#DIV/0!</v>
      </c>
      <c r="AR397" s="453" t="e">
        <f t="shared" si="677"/>
        <v>#DIV/0!</v>
      </c>
      <c r="AS397" s="452" t="e">
        <f t="shared" si="677"/>
        <v>#DIV/0!</v>
      </c>
      <c r="AT397" s="450" t="e">
        <f t="shared" si="677"/>
        <v>#DIV/0!</v>
      </c>
      <c r="AU397" s="451" t="e">
        <f t="shared" si="677"/>
        <v>#DIV/0!</v>
      </c>
      <c r="AV397" s="453" t="e">
        <f t="shared" si="677"/>
        <v>#DIV/0!</v>
      </c>
      <c r="AW397" s="452" t="e">
        <f t="shared" si="677"/>
        <v>#DIV/0!</v>
      </c>
      <c r="AX397" s="1066">
        <f t="shared" si="677"/>
        <v>37.158035141370483</v>
      </c>
      <c r="AY397" s="822">
        <f t="shared" si="677"/>
        <v>43.564227175604458</v>
      </c>
      <c r="AZ397" s="822">
        <f t="shared" si="677"/>
        <v>37.33063908200171</v>
      </c>
      <c r="BA397" s="825">
        <f t="shared" si="677"/>
        <v>38.442391617431156</v>
      </c>
      <c r="BB397" s="824">
        <f t="shared" si="677"/>
        <v>37.537540464671373</v>
      </c>
      <c r="BD397" s="446">
        <f>AF397</f>
        <v>28.035484519805692</v>
      </c>
      <c r="BE397" s="446">
        <f>AG397</f>
        <v>35.447315657305786</v>
      </c>
    </row>
    <row r="398" spans="1:59">
      <c r="A398" s="397" t="s">
        <v>7</v>
      </c>
      <c r="B398" s="450">
        <f t="shared" ref="B398:AG398" si="678">+B366/B212*100</f>
        <v>38.984297031904362</v>
      </c>
      <c r="C398" s="451">
        <f t="shared" si="678"/>
        <v>44.145158599100526</v>
      </c>
      <c r="D398" s="453">
        <f t="shared" si="678"/>
        <v>39.093122184192161</v>
      </c>
      <c r="E398" s="452">
        <f t="shared" si="678"/>
        <v>46.488758598784948</v>
      </c>
      <c r="F398" s="450">
        <f t="shared" si="678"/>
        <v>39.965917873481416</v>
      </c>
      <c r="G398" s="451">
        <f t="shared" si="678"/>
        <v>44.448707178597573</v>
      </c>
      <c r="H398" s="453">
        <f t="shared" si="678"/>
        <v>40.081733513682408</v>
      </c>
      <c r="I398" s="452">
        <f t="shared" si="678"/>
        <v>48.558923189522339</v>
      </c>
      <c r="J398" s="450">
        <f t="shared" si="678"/>
        <v>39.860296233444004</v>
      </c>
      <c r="K398" s="451">
        <f t="shared" si="678"/>
        <v>44.6558053718854</v>
      </c>
      <c r="L398" s="453">
        <f t="shared" si="678"/>
        <v>40.506712903880569</v>
      </c>
      <c r="M398" s="452">
        <f t="shared" si="678"/>
        <v>49.338750908840403</v>
      </c>
      <c r="N398" s="450">
        <f t="shared" si="678"/>
        <v>38.456712802858831</v>
      </c>
      <c r="O398" s="451">
        <f t="shared" si="678"/>
        <v>44.238567526845692</v>
      </c>
      <c r="P398" s="453">
        <f t="shared" si="678"/>
        <v>38.597533096340406</v>
      </c>
      <c r="Q398" s="452">
        <f t="shared" si="678"/>
        <v>54.711428812236129</v>
      </c>
      <c r="R398" s="450">
        <f t="shared" si="678"/>
        <v>36.297381956140519</v>
      </c>
      <c r="S398" s="451">
        <f t="shared" si="678"/>
        <v>42.881723024503721</v>
      </c>
      <c r="T398" s="453">
        <f t="shared" si="678"/>
        <v>36.452333108713084</v>
      </c>
      <c r="U398" s="452">
        <f t="shared" si="678"/>
        <v>61.658190883045826</v>
      </c>
      <c r="V398" s="450">
        <f t="shared" si="678"/>
        <v>33.529861455610309</v>
      </c>
      <c r="W398" s="451">
        <f t="shared" si="678"/>
        <v>43.305331098874603</v>
      </c>
      <c r="X398" s="453">
        <f t="shared" si="678"/>
        <v>34.905135654323949</v>
      </c>
      <c r="Y398" s="452">
        <f t="shared" si="678"/>
        <v>64.547605190632652</v>
      </c>
      <c r="Z398" s="450">
        <f t="shared" si="678"/>
        <v>34.871311119136692</v>
      </c>
      <c r="AA398" s="451">
        <f t="shared" si="678"/>
        <v>45.831995397845368</v>
      </c>
      <c r="AB398" s="453">
        <f t="shared" si="678"/>
        <v>35.082693242260795</v>
      </c>
      <c r="AC398" s="452">
        <f t="shared" si="678"/>
        <v>63.605071261079374</v>
      </c>
      <c r="AD398" s="450">
        <f t="shared" si="678"/>
        <v>40.712692686419722</v>
      </c>
      <c r="AE398" s="451">
        <f t="shared" si="678"/>
        <v>27.191234738564258</v>
      </c>
      <c r="AF398" s="453">
        <f t="shared" si="678"/>
        <v>40.465794346954127</v>
      </c>
      <c r="AG398" s="452">
        <f t="shared" si="678"/>
        <v>66.053483438236242</v>
      </c>
      <c r="AH398" s="450" t="e">
        <f t="shared" ref="AH398:BB398" si="679">+AH366/AH212*100</f>
        <v>#DIV/0!</v>
      </c>
      <c r="AI398" s="451" t="e">
        <f t="shared" si="679"/>
        <v>#DIV/0!</v>
      </c>
      <c r="AJ398" s="453" t="e">
        <f t="shared" si="679"/>
        <v>#DIV/0!</v>
      </c>
      <c r="AK398" s="452" t="e">
        <f t="shared" si="679"/>
        <v>#DIV/0!</v>
      </c>
      <c r="AL398" s="450" t="e">
        <f t="shared" si="679"/>
        <v>#DIV/0!</v>
      </c>
      <c r="AM398" s="451" t="e">
        <f t="shared" si="679"/>
        <v>#DIV/0!</v>
      </c>
      <c r="AN398" s="453" t="e">
        <f t="shared" si="679"/>
        <v>#DIV/0!</v>
      </c>
      <c r="AO398" s="452" t="e">
        <f t="shared" si="679"/>
        <v>#DIV/0!</v>
      </c>
      <c r="AP398" s="450" t="e">
        <f t="shared" si="679"/>
        <v>#DIV/0!</v>
      </c>
      <c r="AQ398" s="451" t="e">
        <f t="shared" si="679"/>
        <v>#DIV/0!</v>
      </c>
      <c r="AR398" s="453" t="e">
        <f t="shared" si="679"/>
        <v>#DIV/0!</v>
      </c>
      <c r="AS398" s="452" t="e">
        <f t="shared" si="679"/>
        <v>#DIV/0!</v>
      </c>
      <c r="AT398" s="450" t="e">
        <f t="shared" si="679"/>
        <v>#DIV/0!</v>
      </c>
      <c r="AU398" s="451" t="e">
        <f t="shared" si="679"/>
        <v>#DIV/0!</v>
      </c>
      <c r="AV398" s="453" t="e">
        <f t="shared" si="679"/>
        <v>#DIV/0!</v>
      </c>
      <c r="AW398" s="452" t="e">
        <f t="shared" si="679"/>
        <v>#DIV/0!</v>
      </c>
      <c r="AX398" s="1061">
        <f t="shared" si="679"/>
        <v>38.591854721062155</v>
      </c>
      <c r="AY398" s="447">
        <f t="shared" si="679"/>
        <v>44.113323976361073</v>
      </c>
      <c r="AZ398" s="447">
        <f t="shared" si="679"/>
        <v>38.852128952856454</v>
      </c>
      <c r="BA398" s="825">
        <f t="shared" si="679"/>
        <v>53.276047536590298</v>
      </c>
      <c r="BB398" s="826">
        <f t="shared" si="679"/>
        <v>39.538831700955853</v>
      </c>
      <c r="BD398" s="446">
        <f t="shared" ref="BD398:BD407" si="680">AF398</f>
        <v>40.465794346954127</v>
      </c>
      <c r="BE398" s="446">
        <f t="shared" ref="BE398:BE406" si="681">AG398</f>
        <v>66.053483438236242</v>
      </c>
    </row>
    <row r="399" spans="1:59">
      <c r="A399" s="397" t="s">
        <v>8</v>
      </c>
      <c r="B399" s="450">
        <f t="shared" ref="B399:AG399" si="682">+B367/B213*100</f>
        <v>39.504000940715521</v>
      </c>
      <c r="C399" s="451">
        <f t="shared" si="682"/>
        <v>44.630103614367869</v>
      </c>
      <c r="D399" s="453">
        <f t="shared" si="682"/>
        <v>39.757136445854769</v>
      </c>
      <c r="E399" s="452">
        <f t="shared" si="682"/>
        <v>36.048663731135555</v>
      </c>
      <c r="F399" s="450">
        <f t="shared" si="682"/>
        <v>39.96928734766189</v>
      </c>
      <c r="G399" s="451">
        <f t="shared" si="682"/>
        <v>44.967491605833992</v>
      </c>
      <c r="H399" s="453">
        <f t="shared" si="682"/>
        <v>40.189411881051917</v>
      </c>
      <c r="I399" s="452">
        <f t="shared" si="682"/>
        <v>47.693119766903806</v>
      </c>
      <c r="J399" s="450">
        <f t="shared" si="682"/>
        <v>39.530917885252343</v>
      </c>
      <c r="K399" s="451">
        <f t="shared" si="682"/>
        <v>44.906122702432619</v>
      </c>
      <c r="L399" s="453">
        <f t="shared" si="682"/>
        <v>40.007048239200159</v>
      </c>
      <c r="M399" s="452">
        <f t="shared" si="682"/>
        <v>47.008941305540311</v>
      </c>
      <c r="N399" s="450">
        <f t="shared" si="682"/>
        <v>38.891391787225864</v>
      </c>
      <c r="O399" s="451">
        <f t="shared" si="682"/>
        <v>44.634644026153047</v>
      </c>
      <c r="P399" s="453">
        <f t="shared" si="682"/>
        <v>39.161271245112339</v>
      </c>
      <c r="Q399" s="452">
        <f t="shared" si="682"/>
        <v>55.227803703703692</v>
      </c>
      <c r="R399" s="450">
        <f t="shared" si="682"/>
        <v>36.590635138665725</v>
      </c>
      <c r="S399" s="451">
        <f t="shared" si="682"/>
        <v>43.990967297449288</v>
      </c>
      <c r="T399" s="453">
        <f t="shared" si="682"/>
        <v>36.899878239172679</v>
      </c>
      <c r="U399" s="452">
        <f t="shared" si="682"/>
        <v>68.132591340590238</v>
      </c>
      <c r="V399" s="450">
        <f t="shared" si="682"/>
        <v>33.701802235267579</v>
      </c>
      <c r="W399" s="451">
        <f t="shared" si="682"/>
        <v>43.353815317375975</v>
      </c>
      <c r="X399" s="453">
        <f t="shared" si="682"/>
        <v>34.413067486849194</v>
      </c>
      <c r="Y399" s="452">
        <f t="shared" si="682"/>
        <v>129.51115219375191</v>
      </c>
      <c r="Z399" s="450">
        <f t="shared" si="682"/>
        <v>32.730146811868096</v>
      </c>
      <c r="AA399" s="451">
        <f t="shared" si="682"/>
        <v>42.063564648349164</v>
      </c>
      <c r="AB399" s="453">
        <f t="shared" si="682"/>
        <v>32.985233802008757</v>
      </c>
      <c r="AC399" s="452">
        <f t="shared" si="682"/>
        <v>100</v>
      </c>
      <c r="AD399" s="450">
        <f t="shared" si="682"/>
        <v>32.84301809814513</v>
      </c>
      <c r="AE399" s="451">
        <f t="shared" si="682"/>
        <v>44.580293050704952</v>
      </c>
      <c r="AF399" s="453">
        <f t="shared" si="682"/>
        <v>33.130035233726915</v>
      </c>
      <c r="AG399" s="452">
        <f t="shared" si="682"/>
        <v>156.97170111731842</v>
      </c>
      <c r="AH399" s="450" t="e">
        <f t="shared" ref="AH399:BB399" si="683">+AH367/AH213*100</f>
        <v>#DIV/0!</v>
      </c>
      <c r="AI399" s="451" t="e">
        <f t="shared" si="683"/>
        <v>#DIV/0!</v>
      </c>
      <c r="AJ399" s="453" t="e">
        <f t="shared" si="683"/>
        <v>#DIV/0!</v>
      </c>
      <c r="AK399" s="452" t="e">
        <f t="shared" si="683"/>
        <v>#DIV/0!</v>
      </c>
      <c r="AL399" s="450" t="e">
        <f t="shared" si="683"/>
        <v>#DIV/0!</v>
      </c>
      <c r="AM399" s="451" t="e">
        <f t="shared" si="683"/>
        <v>#DIV/0!</v>
      </c>
      <c r="AN399" s="453" t="e">
        <f t="shared" si="683"/>
        <v>#DIV/0!</v>
      </c>
      <c r="AO399" s="452" t="e">
        <f t="shared" si="683"/>
        <v>#DIV/0!</v>
      </c>
      <c r="AP399" s="450" t="e">
        <f t="shared" si="683"/>
        <v>#DIV/0!</v>
      </c>
      <c r="AQ399" s="451" t="e">
        <f t="shared" si="683"/>
        <v>#DIV/0!</v>
      </c>
      <c r="AR399" s="453" t="e">
        <f t="shared" si="683"/>
        <v>#DIV/0!</v>
      </c>
      <c r="AS399" s="452" t="e">
        <f t="shared" si="683"/>
        <v>#DIV/0!</v>
      </c>
      <c r="AT399" s="450" t="e">
        <f t="shared" si="683"/>
        <v>#DIV/0!</v>
      </c>
      <c r="AU399" s="451" t="e">
        <f t="shared" si="683"/>
        <v>#DIV/0!</v>
      </c>
      <c r="AV399" s="453" t="e">
        <f t="shared" si="683"/>
        <v>#DIV/0!</v>
      </c>
      <c r="AW399" s="452" t="e">
        <f t="shared" si="683"/>
        <v>#DIV/0!</v>
      </c>
      <c r="AX399" s="1061">
        <f t="shared" si="683"/>
        <v>38.38968132556252</v>
      </c>
      <c r="AY399" s="447">
        <f t="shared" si="683"/>
        <v>44.55491350993578</v>
      </c>
      <c r="AZ399" s="447">
        <f t="shared" si="683"/>
        <v>38.718908060021846</v>
      </c>
      <c r="BA399" s="825">
        <f t="shared" si="683"/>
        <v>53.633562182008689</v>
      </c>
      <c r="BB399" s="826">
        <f t="shared" si="683"/>
        <v>39.188418623845507</v>
      </c>
      <c r="BD399" s="446">
        <f t="shared" si="680"/>
        <v>33.130035233726915</v>
      </c>
      <c r="BE399" s="446">
        <f t="shared" si="681"/>
        <v>156.97170111731842</v>
      </c>
    </row>
    <row r="400" spans="1:59">
      <c r="A400" s="397" t="s">
        <v>4</v>
      </c>
      <c r="B400" s="450">
        <f t="shared" ref="B400:AG400" si="684">+B368/B214*100</f>
        <v>38.727123259404266</v>
      </c>
      <c r="C400" s="451">
        <f t="shared" si="684"/>
        <v>44.290216749154588</v>
      </c>
      <c r="D400" s="453">
        <f t="shared" si="684"/>
        <v>38.903083475295205</v>
      </c>
      <c r="E400" s="452">
        <f t="shared" si="684"/>
        <v>42.751485407513186</v>
      </c>
      <c r="F400" s="450">
        <f t="shared" si="684"/>
        <v>39.326346989289277</v>
      </c>
      <c r="G400" s="451">
        <f t="shared" si="684"/>
        <v>44.442688823065559</v>
      </c>
      <c r="H400" s="453">
        <f t="shared" si="684"/>
        <v>39.508028513240767</v>
      </c>
      <c r="I400" s="452">
        <f t="shared" si="684"/>
        <v>42.542127065058942</v>
      </c>
      <c r="J400" s="450">
        <f t="shared" si="684"/>
        <v>39.449923859910655</v>
      </c>
      <c r="K400" s="451">
        <f t="shared" si="684"/>
        <v>44.649450970077531</v>
      </c>
      <c r="L400" s="453">
        <f t="shared" si="684"/>
        <v>39.699243301932611</v>
      </c>
      <c r="M400" s="452">
        <f t="shared" si="684"/>
        <v>45.770848258126065</v>
      </c>
      <c r="N400" s="450">
        <f t="shared" si="684"/>
        <v>38.461174054602502</v>
      </c>
      <c r="O400" s="451">
        <f t="shared" si="684"/>
        <v>44.317826690591673</v>
      </c>
      <c r="P400" s="453">
        <f t="shared" si="684"/>
        <v>38.663072659943751</v>
      </c>
      <c r="Q400" s="452">
        <f t="shared" si="684"/>
        <v>47.911323668249295</v>
      </c>
      <c r="R400" s="450">
        <f t="shared" si="684"/>
        <v>36.157505842639111</v>
      </c>
      <c r="S400" s="451">
        <f t="shared" si="684"/>
        <v>43.488009510761529</v>
      </c>
      <c r="T400" s="453">
        <f t="shared" si="684"/>
        <v>36.425609012901376</v>
      </c>
      <c r="U400" s="452">
        <f t="shared" si="684"/>
        <v>55.482960449088537</v>
      </c>
      <c r="V400" s="450">
        <f t="shared" si="684"/>
        <v>34.065462446504327</v>
      </c>
      <c r="W400" s="451">
        <f t="shared" si="684"/>
        <v>43.108133659526196</v>
      </c>
      <c r="X400" s="453">
        <f t="shared" si="684"/>
        <v>34.472337963312469</v>
      </c>
      <c r="Y400" s="452">
        <f t="shared" si="684"/>
        <v>67.400750343104278</v>
      </c>
      <c r="Z400" s="450">
        <f t="shared" si="684"/>
        <v>34.234594048347091</v>
      </c>
      <c r="AA400" s="451">
        <f t="shared" si="684"/>
        <v>43.354024736609823</v>
      </c>
      <c r="AB400" s="453">
        <f t="shared" si="684"/>
        <v>34.660763814351427</v>
      </c>
      <c r="AC400" s="452">
        <f t="shared" si="684"/>
        <v>52.974850228144362</v>
      </c>
      <c r="AD400" s="450">
        <f t="shared" si="684"/>
        <v>35.851657008729184</v>
      </c>
      <c r="AE400" s="451">
        <f t="shared" si="684"/>
        <v>46.299320202382376</v>
      </c>
      <c r="AF400" s="453">
        <f t="shared" si="684"/>
        <v>36.047924037052184</v>
      </c>
      <c r="AG400" s="452">
        <f t="shared" si="684"/>
        <v>69.994145260481901</v>
      </c>
      <c r="AH400" s="450" t="e">
        <f t="shared" ref="AH400:BB400" si="685">+AH368/AH214*100</f>
        <v>#DIV/0!</v>
      </c>
      <c r="AI400" s="451" t="e">
        <f t="shared" si="685"/>
        <v>#DIV/0!</v>
      </c>
      <c r="AJ400" s="453" t="e">
        <f t="shared" si="685"/>
        <v>#DIV/0!</v>
      </c>
      <c r="AK400" s="452" t="e">
        <f t="shared" si="685"/>
        <v>#DIV/0!</v>
      </c>
      <c r="AL400" s="450" t="e">
        <f t="shared" si="685"/>
        <v>#DIV/0!</v>
      </c>
      <c r="AM400" s="451" t="e">
        <f t="shared" si="685"/>
        <v>#DIV/0!</v>
      </c>
      <c r="AN400" s="453" t="e">
        <f t="shared" si="685"/>
        <v>#DIV/0!</v>
      </c>
      <c r="AO400" s="452" t="e">
        <f t="shared" si="685"/>
        <v>#DIV/0!</v>
      </c>
      <c r="AP400" s="450" t="e">
        <f t="shared" si="685"/>
        <v>#DIV/0!</v>
      </c>
      <c r="AQ400" s="451" t="e">
        <f t="shared" si="685"/>
        <v>#DIV/0!</v>
      </c>
      <c r="AR400" s="453" t="e">
        <f t="shared" si="685"/>
        <v>#DIV/0!</v>
      </c>
      <c r="AS400" s="452" t="e">
        <f t="shared" si="685"/>
        <v>#DIV/0!</v>
      </c>
      <c r="AT400" s="450" t="e">
        <f t="shared" si="685"/>
        <v>#DIV/0!</v>
      </c>
      <c r="AU400" s="451" t="e">
        <f t="shared" si="685"/>
        <v>#DIV/0!</v>
      </c>
      <c r="AV400" s="453" t="e">
        <f t="shared" si="685"/>
        <v>#DIV/0!</v>
      </c>
      <c r="AW400" s="452" t="e">
        <f t="shared" si="685"/>
        <v>#DIV/0!</v>
      </c>
      <c r="AX400" s="1061">
        <f t="shared" si="685"/>
        <v>38.137540732585201</v>
      </c>
      <c r="AY400" s="447">
        <f t="shared" si="685"/>
        <v>44.219376448572397</v>
      </c>
      <c r="AZ400" s="447">
        <f t="shared" si="685"/>
        <v>38.366048817185401</v>
      </c>
      <c r="BA400" s="825">
        <f t="shared" si="685"/>
        <v>49.083834854902172</v>
      </c>
      <c r="BB400" s="826">
        <f t="shared" si="685"/>
        <v>38.831363648657792</v>
      </c>
      <c r="BD400" s="446">
        <f t="shared" si="680"/>
        <v>36.047924037052184</v>
      </c>
      <c r="BE400" s="446">
        <f t="shared" si="681"/>
        <v>69.994145260481901</v>
      </c>
    </row>
    <row r="401" spans="1:57">
      <c r="A401" s="397" t="s">
        <v>3</v>
      </c>
      <c r="B401" s="450">
        <f t="shared" ref="B401:AG401" si="686">+B369/B215*100</f>
        <v>40.42331021743319</v>
      </c>
      <c r="C401" s="451">
        <f t="shared" si="686"/>
        <v>45.005222111112772</v>
      </c>
      <c r="D401" s="453">
        <f t="shared" si="686"/>
        <v>40.554507257927177</v>
      </c>
      <c r="E401" s="452">
        <f t="shared" si="686"/>
        <v>39.836431748431359</v>
      </c>
      <c r="F401" s="450">
        <f t="shared" si="686"/>
        <v>41.200139099488972</v>
      </c>
      <c r="G401" s="451">
        <f t="shared" si="686"/>
        <v>45.123163145955111</v>
      </c>
      <c r="H401" s="453">
        <f t="shared" si="686"/>
        <v>41.307286941469684</v>
      </c>
      <c r="I401" s="452">
        <f t="shared" si="686"/>
        <v>40.256054130569261</v>
      </c>
      <c r="J401" s="450">
        <f t="shared" si="686"/>
        <v>40.840261559796048</v>
      </c>
      <c r="K401" s="451">
        <f t="shared" si="686"/>
        <v>45.040561758259919</v>
      </c>
      <c r="L401" s="453">
        <f t="shared" si="686"/>
        <v>41.403231741408717</v>
      </c>
      <c r="M401" s="452">
        <f t="shared" si="686"/>
        <v>41.110950790477723</v>
      </c>
      <c r="N401" s="450">
        <f t="shared" si="686"/>
        <v>40.089426946307327</v>
      </c>
      <c r="O401" s="451">
        <f t="shared" si="686"/>
        <v>44.329874798200905</v>
      </c>
      <c r="P401" s="453">
        <f t="shared" si="686"/>
        <v>40.163961248016491</v>
      </c>
      <c r="Q401" s="452">
        <f t="shared" si="686"/>
        <v>41.743977053997561</v>
      </c>
      <c r="R401" s="450">
        <f t="shared" si="686"/>
        <v>38.114495089117753</v>
      </c>
      <c r="S401" s="451">
        <f t="shared" si="686"/>
        <v>44.514866022674312</v>
      </c>
      <c r="T401" s="453">
        <f t="shared" si="686"/>
        <v>38.291676664304738</v>
      </c>
      <c r="U401" s="452">
        <f t="shared" si="686"/>
        <v>48.06187847086148</v>
      </c>
      <c r="V401" s="450">
        <f t="shared" si="686"/>
        <v>36.004388699698232</v>
      </c>
      <c r="W401" s="451">
        <f t="shared" si="686"/>
        <v>44.351252790128513</v>
      </c>
      <c r="X401" s="453">
        <f t="shared" si="686"/>
        <v>37.24587778418735</v>
      </c>
      <c r="Y401" s="452">
        <f t="shared" si="686"/>
        <v>61.307428345256746</v>
      </c>
      <c r="Z401" s="450">
        <f t="shared" si="686"/>
        <v>33.748160660543967</v>
      </c>
      <c r="AA401" s="451">
        <f t="shared" si="686"/>
        <v>42.674564239018622</v>
      </c>
      <c r="AB401" s="453">
        <f t="shared" si="686"/>
        <v>33.844874594293543</v>
      </c>
      <c r="AC401" s="452">
        <f t="shared" si="686"/>
        <v>51.858096784286865</v>
      </c>
      <c r="AD401" s="450">
        <f t="shared" si="686"/>
        <v>34.328423227348694</v>
      </c>
      <c r="AE401" s="451">
        <f t="shared" si="686"/>
        <v>44.596397355414794</v>
      </c>
      <c r="AF401" s="453">
        <f t="shared" si="686"/>
        <v>34.430033278306702</v>
      </c>
      <c r="AG401" s="452">
        <f t="shared" si="686"/>
        <v>48.798292288033174</v>
      </c>
      <c r="AH401" s="450" t="e">
        <f t="shared" ref="AH401:BB401" si="687">+AH369/AH215*100</f>
        <v>#DIV/0!</v>
      </c>
      <c r="AI401" s="451" t="e">
        <f t="shared" si="687"/>
        <v>#DIV/0!</v>
      </c>
      <c r="AJ401" s="453" t="e">
        <f t="shared" si="687"/>
        <v>#DIV/0!</v>
      </c>
      <c r="AK401" s="452" t="e">
        <f t="shared" si="687"/>
        <v>#DIV/0!</v>
      </c>
      <c r="AL401" s="450" t="e">
        <f t="shared" si="687"/>
        <v>#DIV/0!</v>
      </c>
      <c r="AM401" s="451" t="e">
        <f t="shared" si="687"/>
        <v>#DIV/0!</v>
      </c>
      <c r="AN401" s="453" t="e">
        <f t="shared" si="687"/>
        <v>#DIV/0!</v>
      </c>
      <c r="AO401" s="452" t="e">
        <f t="shared" si="687"/>
        <v>#DIV/0!</v>
      </c>
      <c r="AP401" s="450" t="e">
        <f t="shared" si="687"/>
        <v>#DIV/0!</v>
      </c>
      <c r="AQ401" s="451" t="e">
        <f t="shared" si="687"/>
        <v>#DIV/0!</v>
      </c>
      <c r="AR401" s="453" t="e">
        <f t="shared" si="687"/>
        <v>#DIV/0!</v>
      </c>
      <c r="AS401" s="452" t="e">
        <f t="shared" si="687"/>
        <v>#DIV/0!</v>
      </c>
      <c r="AT401" s="450" t="e">
        <f t="shared" si="687"/>
        <v>#DIV/0!</v>
      </c>
      <c r="AU401" s="451" t="e">
        <f t="shared" si="687"/>
        <v>#DIV/0!</v>
      </c>
      <c r="AV401" s="453" t="e">
        <f t="shared" si="687"/>
        <v>#DIV/0!</v>
      </c>
      <c r="AW401" s="452" t="e">
        <f t="shared" si="687"/>
        <v>#DIV/0!</v>
      </c>
      <c r="AX401" s="1061">
        <f t="shared" si="687"/>
        <v>39.638745125393562</v>
      </c>
      <c r="AY401" s="447">
        <f t="shared" si="687"/>
        <v>44.824189858215945</v>
      </c>
      <c r="AZ401" s="447">
        <f t="shared" si="687"/>
        <v>39.899297232048042</v>
      </c>
      <c r="BA401" s="825">
        <f t="shared" si="687"/>
        <v>43.132847950437217</v>
      </c>
      <c r="BB401" s="826">
        <f t="shared" si="687"/>
        <v>40.021000834600684</v>
      </c>
      <c r="BD401" s="446">
        <f t="shared" si="680"/>
        <v>34.430033278306702</v>
      </c>
      <c r="BE401" s="446">
        <f t="shared" si="681"/>
        <v>48.798292288033174</v>
      </c>
    </row>
    <row r="402" spans="1:57">
      <c r="A402" s="397" t="s">
        <v>397</v>
      </c>
      <c r="B402" s="450">
        <f t="shared" ref="B402:AG402" si="688">+B370/B216*100</f>
        <v>37.243133336470777</v>
      </c>
      <c r="C402" s="451">
        <f t="shared" si="688"/>
        <v>43.907374265553408</v>
      </c>
      <c r="D402" s="453">
        <f t="shared" si="688"/>
        <v>37.499044063294264</v>
      </c>
      <c r="E402" s="452">
        <f t="shared" si="688"/>
        <v>45.952656940859377</v>
      </c>
      <c r="F402" s="450">
        <f t="shared" si="688"/>
        <v>37.809435932219515</v>
      </c>
      <c r="G402" s="451">
        <f t="shared" si="688"/>
        <v>44.548370179645843</v>
      </c>
      <c r="H402" s="453">
        <f t="shared" si="688"/>
        <v>38.080234071375564</v>
      </c>
      <c r="I402" s="452">
        <f t="shared" si="688"/>
        <v>47.166149374412669</v>
      </c>
      <c r="J402" s="450">
        <f t="shared" si="688"/>
        <v>37.87007627003721</v>
      </c>
      <c r="K402" s="451">
        <f t="shared" si="688"/>
        <v>44.337859145105426</v>
      </c>
      <c r="L402" s="453">
        <f t="shared" si="688"/>
        <v>38.11443086135823</v>
      </c>
      <c r="M402" s="452">
        <f t="shared" si="688"/>
        <v>62.909573558614952</v>
      </c>
      <c r="N402" s="450">
        <f t="shared" si="688"/>
        <v>37.417003870793103</v>
      </c>
      <c r="O402" s="451">
        <f t="shared" si="688"/>
        <v>44.252153594388808</v>
      </c>
      <c r="P402" s="453">
        <f t="shared" si="688"/>
        <v>37.724992762756251</v>
      </c>
      <c r="Q402" s="452">
        <f t="shared" si="688"/>
        <v>50.762755233145697</v>
      </c>
      <c r="R402" s="450">
        <f t="shared" si="688"/>
        <v>35.109288357933686</v>
      </c>
      <c r="S402" s="451">
        <f t="shared" si="688"/>
        <v>43.068263328764331</v>
      </c>
      <c r="T402" s="453">
        <f t="shared" si="688"/>
        <v>35.337883358788766</v>
      </c>
      <c r="U402" s="452">
        <f t="shared" si="688"/>
        <v>47.085535618504949</v>
      </c>
      <c r="V402" s="450">
        <f t="shared" si="688"/>
        <v>34.980639874008972</v>
      </c>
      <c r="W402" s="451">
        <f t="shared" si="688"/>
        <v>43.456475476455545</v>
      </c>
      <c r="X402" s="453">
        <f t="shared" si="688"/>
        <v>35.29452568426747</v>
      </c>
      <c r="Y402" s="452">
        <f t="shared" si="688"/>
        <v>49.447969358723029</v>
      </c>
      <c r="Z402" s="450">
        <f t="shared" si="688"/>
        <v>35.655585771094657</v>
      </c>
      <c r="AA402" s="451">
        <f t="shared" si="688"/>
        <v>44.337219837810423</v>
      </c>
      <c r="AB402" s="453">
        <f t="shared" si="688"/>
        <v>36.090498716346715</v>
      </c>
      <c r="AC402" s="452">
        <f t="shared" si="688"/>
        <v>66.035262187864802</v>
      </c>
      <c r="AD402" s="450">
        <f t="shared" si="688"/>
        <v>35.458581587108419</v>
      </c>
      <c r="AE402" s="451">
        <f t="shared" si="688"/>
        <v>27.350713880424166</v>
      </c>
      <c r="AF402" s="453">
        <f t="shared" si="688"/>
        <v>35.257820797566986</v>
      </c>
      <c r="AG402" s="452">
        <f t="shared" si="688"/>
        <v>50.767116252094688</v>
      </c>
      <c r="AH402" s="450" t="e">
        <f t="shared" ref="AH402:BB402" si="689">+AH370/AH216*100</f>
        <v>#DIV/0!</v>
      </c>
      <c r="AI402" s="451" t="e">
        <f t="shared" si="689"/>
        <v>#DIV/0!</v>
      </c>
      <c r="AJ402" s="453" t="e">
        <f t="shared" si="689"/>
        <v>#DIV/0!</v>
      </c>
      <c r="AK402" s="452" t="e">
        <f t="shared" si="689"/>
        <v>#DIV/0!</v>
      </c>
      <c r="AL402" s="450" t="e">
        <f t="shared" si="689"/>
        <v>#DIV/0!</v>
      </c>
      <c r="AM402" s="451" t="e">
        <f t="shared" si="689"/>
        <v>#DIV/0!</v>
      </c>
      <c r="AN402" s="453" t="e">
        <f t="shared" si="689"/>
        <v>#DIV/0!</v>
      </c>
      <c r="AO402" s="452" t="e">
        <f t="shared" si="689"/>
        <v>#DIV/0!</v>
      </c>
      <c r="AP402" s="450" t="e">
        <f t="shared" si="689"/>
        <v>#DIV/0!</v>
      </c>
      <c r="AQ402" s="451" t="e">
        <f t="shared" si="689"/>
        <v>#DIV/0!</v>
      </c>
      <c r="AR402" s="453" t="e">
        <f t="shared" si="689"/>
        <v>#DIV/0!</v>
      </c>
      <c r="AS402" s="452" t="e">
        <f t="shared" si="689"/>
        <v>#DIV/0!</v>
      </c>
      <c r="AT402" s="450" t="e">
        <f t="shared" si="689"/>
        <v>#DIV/0!</v>
      </c>
      <c r="AU402" s="451" t="e">
        <f t="shared" si="689"/>
        <v>#DIV/0!</v>
      </c>
      <c r="AV402" s="453" t="e">
        <f t="shared" si="689"/>
        <v>#DIV/0!</v>
      </c>
      <c r="AW402" s="452" t="e">
        <f t="shared" si="689"/>
        <v>#DIV/0!</v>
      </c>
      <c r="AX402" s="1061">
        <f t="shared" si="689"/>
        <v>36.899674305569164</v>
      </c>
      <c r="AY402" s="447">
        <f t="shared" si="689"/>
        <v>43.627303091806112</v>
      </c>
      <c r="AZ402" s="447">
        <f t="shared" si="689"/>
        <v>37.160172791741999</v>
      </c>
      <c r="BA402" s="825">
        <f t="shared" si="689"/>
        <v>51.191959955070047</v>
      </c>
      <c r="BB402" s="826">
        <f t="shared" si="689"/>
        <v>38.395837129394188</v>
      </c>
      <c r="BD402" s="446">
        <f t="shared" si="680"/>
        <v>35.257820797566986</v>
      </c>
      <c r="BE402" s="446">
        <f t="shared" si="681"/>
        <v>50.767116252094688</v>
      </c>
    </row>
    <row r="403" spans="1:57">
      <c r="A403" s="397" t="s">
        <v>399</v>
      </c>
      <c r="B403" s="450">
        <f t="shared" ref="B403:AG403" si="690">+B371/B217*100</f>
        <v>37.818265195884287</v>
      </c>
      <c r="C403" s="451">
        <f t="shared" si="690"/>
        <v>43.615785601256619</v>
      </c>
      <c r="D403" s="453">
        <f t="shared" si="690"/>
        <v>37.836022898768981</v>
      </c>
      <c r="E403" s="452">
        <f t="shared" si="690"/>
        <v>32.331880238546354</v>
      </c>
      <c r="F403" s="450">
        <f t="shared" si="690"/>
        <v>38.371566345885135</v>
      </c>
      <c r="G403" s="451">
        <f t="shared" si="690"/>
        <v>44.302362324276302</v>
      </c>
      <c r="H403" s="453">
        <f t="shared" si="690"/>
        <v>38.408775748281968</v>
      </c>
      <c r="I403" s="452">
        <f t="shared" si="690"/>
        <v>32.398191956321199</v>
      </c>
      <c r="J403" s="450">
        <f t="shared" si="690"/>
        <v>38.226903858412768</v>
      </c>
      <c r="K403" s="451">
        <f t="shared" si="690"/>
        <v>44.243554788874846</v>
      </c>
      <c r="L403" s="453">
        <f t="shared" si="690"/>
        <v>38.832335906861601</v>
      </c>
      <c r="M403" s="452">
        <f t="shared" si="690"/>
        <v>35.002206577899344</v>
      </c>
      <c r="N403" s="450">
        <f t="shared" si="690"/>
        <v>37.348267994844718</v>
      </c>
      <c r="O403" s="451">
        <f t="shared" si="690"/>
        <v>44.116335634493822</v>
      </c>
      <c r="P403" s="453">
        <f t="shared" si="690"/>
        <v>37.370514738500752</v>
      </c>
      <c r="Q403" s="452">
        <f t="shared" si="690"/>
        <v>32.616447482665443</v>
      </c>
      <c r="R403" s="450">
        <f t="shared" si="690"/>
        <v>35.302296768826508</v>
      </c>
      <c r="S403" s="451">
        <f t="shared" si="690"/>
        <v>43.473329738007052</v>
      </c>
      <c r="T403" s="453">
        <f t="shared" si="690"/>
        <v>35.352409394320709</v>
      </c>
      <c r="U403" s="452">
        <f t="shared" si="690"/>
        <v>34.169654246298599</v>
      </c>
      <c r="V403" s="450">
        <f t="shared" si="690"/>
        <v>34.156281381825067</v>
      </c>
      <c r="W403" s="451">
        <f t="shared" si="690"/>
        <v>43.274188634916406</v>
      </c>
      <c r="X403" s="453">
        <f t="shared" si="690"/>
        <v>34.952806397613919</v>
      </c>
      <c r="Y403" s="452">
        <f t="shared" si="690"/>
        <v>34.083325466950576</v>
      </c>
      <c r="Z403" s="450">
        <f t="shared" si="690"/>
        <v>35.576074254160496</v>
      </c>
      <c r="AA403" s="451">
        <f t="shared" si="690"/>
        <v>44.330236632644592</v>
      </c>
      <c r="AB403" s="453">
        <f t="shared" si="690"/>
        <v>35.606666696075287</v>
      </c>
      <c r="AC403" s="452">
        <f t="shared" si="690"/>
        <v>33.616470597466417</v>
      </c>
      <c r="AD403" s="450">
        <f t="shared" si="690"/>
        <v>36.010451259257003</v>
      </c>
      <c r="AE403" s="451">
        <f t="shared" si="690"/>
        <v>37.984128588314356</v>
      </c>
      <c r="AF403" s="453">
        <f t="shared" si="690"/>
        <v>36.011711942003124</v>
      </c>
      <c r="AG403" s="452">
        <f t="shared" si="690"/>
        <v>39.753608816212726</v>
      </c>
      <c r="AH403" s="450" t="e">
        <f t="shared" ref="AH403:BB403" si="691">+AH371/AH217*100</f>
        <v>#DIV/0!</v>
      </c>
      <c r="AI403" s="451" t="e">
        <f t="shared" si="691"/>
        <v>#DIV/0!</v>
      </c>
      <c r="AJ403" s="453" t="e">
        <f t="shared" si="691"/>
        <v>#DIV/0!</v>
      </c>
      <c r="AK403" s="452" t="e">
        <f t="shared" si="691"/>
        <v>#DIV/0!</v>
      </c>
      <c r="AL403" s="450" t="e">
        <f t="shared" si="691"/>
        <v>#DIV/0!</v>
      </c>
      <c r="AM403" s="451" t="e">
        <f t="shared" si="691"/>
        <v>#DIV/0!</v>
      </c>
      <c r="AN403" s="453" t="e">
        <f t="shared" si="691"/>
        <v>#DIV/0!</v>
      </c>
      <c r="AO403" s="452" t="e">
        <f t="shared" si="691"/>
        <v>#DIV/0!</v>
      </c>
      <c r="AP403" s="450" t="e">
        <f t="shared" si="691"/>
        <v>#DIV/0!</v>
      </c>
      <c r="AQ403" s="451" t="e">
        <f t="shared" si="691"/>
        <v>#DIV/0!</v>
      </c>
      <c r="AR403" s="453" t="e">
        <f t="shared" si="691"/>
        <v>#DIV/0!</v>
      </c>
      <c r="AS403" s="452" t="e">
        <f t="shared" si="691"/>
        <v>#DIV/0!</v>
      </c>
      <c r="AT403" s="450" t="e">
        <f t="shared" si="691"/>
        <v>#DIV/0!</v>
      </c>
      <c r="AU403" s="451" t="e">
        <f t="shared" si="691"/>
        <v>#DIV/0!</v>
      </c>
      <c r="AV403" s="453" t="e">
        <f t="shared" si="691"/>
        <v>#DIV/0!</v>
      </c>
      <c r="AW403" s="452" t="e">
        <f t="shared" si="691"/>
        <v>#DIV/0!</v>
      </c>
      <c r="AX403" s="1061">
        <f t="shared" si="691"/>
        <v>37.22961014460531</v>
      </c>
      <c r="AY403" s="447">
        <f t="shared" si="691"/>
        <v>44.005979660725274</v>
      </c>
      <c r="AZ403" s="447">
        <f t="shared" si="691"/>
        <v>37.388907075545895</v>
      </c>
      <c r="BA403" s="825">
        <f t="shared" si="691"/>
        <v>34.118880850875883</v>
      </c>
      <c r="BB403" s="826">
        <f t="shared" si="691"/>
        <v>36.554556893499928</v>
      </c>
      <c r="BD403" s="446">
        <f t="shared" si="680"/>
        <v>36.011711942003124</v>
      </c>
      <c r="BE403" s="446">
        <f t="shared" si="681"/>
        <v>39.753608816212726</v>
      </c>
    </row>
    <row r="404" spans="1:57">
      <c r="A404" s="397" t="s">
        <v>883</v>
      </c>
      <c r="B404" s="450">
        <f t="shared" ref="B404:AG404" si="692">+B372/B218*100</f>
        <v>38.598337155143938</v>
      </c>
      <c r="C404" s="451">
        <f t="shared" si="692"/>
        <v>44.704059928682483</v>
      </c>
      <c r="D404" s="453">
        <f t="shared" si="692"/>
        <v>38.830380256458049</v>
      </c>
      <c r="E404" s="452">
        <f t="shared" si="692"/>
        <v>45.67462412338736</v>
      </c>
      <c r="F404" s="450">
        <f t="shared" si="692"/>
        <v>39.347808139875355</v>
      </c>
      <c r="G404" s="451">
        <f t="shared" si="692"/>
        <v>44.662136054684872</v>
      </c>
      <c r="H404" s="453">
        <f t="shared" si="692"/>
        <v>39.602790437128412</v>
      </c>
      <c r="I404" s="452">
        <f t="shared" si="692"/>
        <v>48.816128363842296</v>
      </c>
      <c r="J404" s="450">
        <f t="shared" si="692"/>
        <v>38.143563342554735</v>
      </c>
      <c r="K404" s="451">
        <f t="shared" si="692"/>
        <v>44.655806699074482</v>
      </c>
      <c r="L404" s="453">
        <f t="shared" si="692"/>
        <v>38.533818388373795</v>
      </c>
      <c r="M404" s="452">
        <f t="shared" si="692"/>
        <v>56.148959543343388</v>
      </c>
      <c r="N404" s="450">
        <f t="shared" si="692"/>
        <v>37.503369109119376</v>
      </c>
      <c r="O404" s="451">
        <f t="shared" si="692"/>
        <v>44.382704558866237</v>
      </c>
      <c r="P404" s="453">
        <f t="shared" si="692"/>
        <v>37.750213568218292</v>
      </c>
      <c r="Q404" s="452">
        <f t="shared" si="692"/>
        <v>59.346536446490596</v>
      </c>
      <c r="R404" s="450">
        <f t="shared" si="692"/>
        <v>34.841605037549733</v>
      </c>
      <c r="S404" s="451">
        <f t="shared" si="692"/>
        <v>43.325529666201042</v>
      </c>
      <c r="T404" s="453">
        <f t="shared" si="692"/>
        <v>35.216167878218243</v>
      </c>
      <c r="U404" s="452">
        <f t="shared" si="692"/>
        <v>57.882690054574034</v>
      </c>
      <c r="V404" s="450">
        <f t="shared" si="692"/>
        <v>33.02695274283419</v>
      </c>
      <c r="W404" s="451">
        <f t="shared" si="692"/>
        <v>43.532805644276614</v>
      </c>
      <c r="X404" s="453">
        <f t="shared" si="692"/>
        <v>33.512927178521032</v>
      </c>
      <c r="Y404" s="452">
        <f t="shared" si="692"/>
        <v>77.153781097348542</v>
      </c>
      <c r="Z404" s="450">
        <f t="shared" si="692"/>
        <v>33.670336470817418</v>
      </c>
      <c r="AA404" s="451">
        <f t="shared" si="692"/>
        <v>43.936523633565024</v>
      </c>
      <c r="AB404" s="453">
        <f t="shared" si="692"/>
        <v>33.911061862590557</v>
      </c>
      <c r="AC404" s="452">
        <f t="shared" si="692"/>
        <v>100.35350401915962</v>
      </c>
      <c r="AD404" s="450">
        <f t="shared" si="692"/>
        <v>36.447424571127826</v>
      </c>
      <c r="AE404" s="451">
        <f t="shared" si="692"/>
        <v>44.171366597907259</v>
      </c>
      <c r="AF404" s="453">
        <f t="shared" si="692"/>
        <v>36.507226547505226</v>
      </c>
      <c r="AG404" s="452">
        <f t="shared" si="692"/>
        <v>63.625174806877972</v>
      </c>
      <c r="AH404" s="450" t="e">
        <f t="shared" ref="AH404:BB404" si="693">+AH372/AH218*100</f>
        <v>#DIV/0!</v>
      </c>
      <c r="AI404" s="451" t="e">
        <f t="shared" si="693"/>
        <v>#DIV/0!</v>
      </c>
      <c r="AJ404" s="453" t="e">
        <f t="shared" si="693"/>
        <v>#DIV/0!</v>
      </c>
      <c r="AK404" s="452" t="e">
        <f t="shared" si="693"/>
        <v>#DIV/0!</v>
      </c>
      <c r="AL404" s="450" t="e">
        <f t="shared" si="693"/>
        <v>#DIV/0!</v>
      </c>
      <c r="AM404" s="451" t="e">
        <f t="shared" si="693"/>
        <v>#DIV/0!</v>
      </c>
      <c r="AN404" s="453" t="e">
        <f t="shared" si="693"/>
        <v>#DIV/0!</v>
      </c>
      <c r="AO404" s="452" t="e">
        <f t="shared" si="693"/>
        <v>#DIV/0!</v>
      </c>
      <c r="AP404" s="450" t="e">
        <f t="shared" si="693"/>
        <v>#DIV/0!</v>
      </c>
      <c r="AQ404" s="451" t="e">
        <f t="shared" si="693"/>
        <v>#DIV/0!</v>
      </c>
      <c r="AR404" s="453" t="e">
        <f t="shared" si="693"/>
        <v>#DIV/0!</v>
      </c>
      <c r="AS404" s="452" t="e">
        <f t="shared" si="693"/>
        <v>#DIV/0!</v>
      </c>
      <c r="AT404" s="450" t="e">
        <f t="shared" si="693"/>
        <v>#DIV/0!</v>
      </c>
      <c r="AU404" s="451" t="e">
        <f t="shared" si="693"/>
        <v>#DIV/0!</v>
      </c>
      <c r="AV404" s="453" t="e">
        <f t="shared" si="693"/>
        <v>#DIV/0!</v>
      </c>
      <c r="AW404" s="452" t="e">
        <f t="shared" si="693"/>
        <v>#DIV/0!</v>
      </c>
      <c r="AX404" s="1061">
        <f t="shared" si="693"/>
        <v>37.57350247722718</v>
      </c>
      <c r="AY404" s="447">
        <f t="shared" si="693"/>
        <v>44.415116857162559</v>
      </c>
      <c r="AZ404" s="447">
        <f t="shared" si="693"/>
        <v>37.864843920355881</v>
      </c>
      <c r="BA404" s="825">
        <f t="shared" si="693"/>
        <v>55.161624746876527</v>
      </c>
      <c r="BB404" s="826">
        <f t="shared" si="693"/>
        <v>38.465003679155267</v>
      </c>
      <c r="BD404" s="446">
        <f t="shared" si="680"/>
        <v>36.507226547505226</v>
      </c>
      <c r="BE404" s="446">
        <f t="shared" si="681"/>
        <v>63.625174806877972</v>
      </c>
    </row>
    <row r="405" spans="1:57">
      <c r="A405" s="397" t="s">
        <v>884</v>
      </c>
      <c r="B405" s="450">
        <f t="shared" ref="B405:AG405" si="694">+B373/B219*100</f>
        <v>37.185444817353492</v>
      </c>
      <c r="C405" s="451">
        <f t="shared" si="694"/>
        <v>44.143437566867732</v>
      </c>
      <c r="D405" s="453">
        <f t="shared" si="694"/>
        <v>37.4624746866793</v>
      </c>
      <c r="E405" s="452">
        <f t="shared" si="694"/>
        <v>46.882718552205048</v>
      </c>
      <c r="F405" s="450">
        <f t="shared" si="694"/>
        <v>38.461520729992294</v>
      </c>
      <c r="G405" s="451">
        <f t="shared" si="694"/>
        <v>44.578768417336661</v>
      </c>
      <c r="H405" s="453">
        <f t="shared" si="694"/>
        <v>38.76014882640871</v>
      </c>
      <c r="I405" s="452">
        <f t="shared" si="694"/>
        <v>44.813803044868585</v>
      </c>
      <c r="J405" s="450">
        <f t="shared" si="694"/>
        <v>37.86770608941886</v>
      </c>
      <c r="K405" s="451">
        <f t="shared" si="694"/>
        <v>44.667613891859332</v>
      </c>
      <c r="L405" s="453">
        <f t="shared" si="694"/>
        <v>38.238908699790827</v>
      </c>
      <c r="M405" s="452">
        <f t="shared" si="694"/>
        <v>49.78533636848605</v>
      </c>
      <c r="N405" s="450">
        <f t="shared" si="694"/>
        <v>36.915658796280383</v>
      </c>
      <c r="O405" s="451">
        <f t="shared" si="694"/>
        <v>44.360312351039958</v>
      </c>
      <c r="P405" s="453">
        <f t="shared" si="694"/>
        <v>37.251114177896923</v>
      </c>
      <c r="Q405" s="452">
        <f t="shared" si="694"/>
        <v>61.830370553960599</v>
      </c>
      <c r="R405" s="450">
        <f t="shared" si="694"/>
        <v>34.691628783950335</v>
      </c>
      <c r="S405" s="451">
        <f t="shared" si="694"/>
        <v>43.600967307525778</v>
      </c>
      <c r="T405" s="453">
        <f t="shared" si="694"/>
        <v>35.166976979157546</v>
      </c>
      <c r="U405" s="452">
        <f t="shared" si="694"/>
        <v>47.063361719703742</v>
      </c>
      <c r="V405" s="450">
        <f t="shared" si="694"/>
        <v>32.749524004264671</v>
      </c>
      <c r="W405" s="451">
        <f t="shared" si="694"/>
        <v>43.223928297708092</v>
      </c>
      <c r="X405" s="453">
        <f t="shared" si="694"/>
        <v>33.131972562692312</v>
      </c>
      <c r="Y405" s="452">
        <f t="shared" si="694"/>
        <v>54.050818528209689</v>
      </c>
      <c r="Z405" s="450">
        <f t="shared" si="694"/>
        <v>33.645969438855118</v>
      </c>
      <c r="AA405" s="451">
        <f t="shared" si="694"/>
        <v>43.650398753284172</v>
      </c>
      <c r="AB405" s="453">
        <f t="shared" si="694"/>
        <v>34.078148153031421</v>
      </c>
      <c r="AC405" s="452">
        <f t="shared" si="694"/>
        <v>35.74934566445009</v>
      </c>
      <c r="AD405" s="450">
        <f t="shared" si="694"/>
        <v>33.45370848353523</v>
      </c>
      <c r="AE405" s="451">
        <f t="shared" si="694"/>
        <v>44.086432195386507</v>
      </c>
      <c r="AF405" s="453">
        <f t="shared" si="694"/>
        <v>33.772686086596579</v>
      </c>
      <c r="AG405" s="452">
        <f t="shared" si="694"/>
        <v>45.123004043436381</v>
      </c>
      <c r="AH405" s="450" t="e">
        <f t="shared" ref="AH405:BB405" si="695">+AH373/AH219*100</f>
        <v>#DIV/0!</v>
      </c>
      <c r="AI405" s="451" t="e">
        <f t="shared" si="695"/>
        <v>#DIV/0!</v>
      </c>
      <c r="AJ405" s="453" t="e">
        <f t="shared" si="695"/>
        <v>#DIV/0!</v>
      </c>
      <c r="AK405" s="452" t="e">
        <f t="shared" si="695"/>
        <v>#DIV/0!</v>
      </c>
      <c r="AL405" s="450" t="e">
        <f t="shared" si="695"/>
        <v>#DIV/0!</v>
      </c>
      <c r="AM405" s="451" t="e">
        <f t="shared" si="695"/>
        <v>#DIV/0!</v>
      </c>
      <c r="AN405" s="453" t="e">
        <f t="shared" si="695"/>
        <v>#DIV/0!</v>
      </c>
      <c r="AO405" s="452" t="e">
        <f t="shared" si="695"/>
        <v>#DIV/0!</v>
      </c>
      <c r="AP405" s="450" t="e">
        <f t="shared" si="695"/>
        <v>#DIV/0!</v>
      </c>
      <c r="AQ405" s="451" t="e">
        <f t="shared" si="695"/>
        <v>#DIV/0!</v>
      </c>
      <c r="AR405" s="453" t="e">
        <f t="shared" si="695"/>
        <v>#DIV/0!</v>
      </c>
      <c r="AS405" s="452" t="e">
        <f t="shared" si="695"/>
        <v>#DIV/0!</v>
      </c>
      <c r="AT405" s="450" t="e">
        <f t="shared" si="695"/>
        <v>#DIV/0!</v>
      </c>
      <c r="AU405" s="451" t="e">
        <f t="shared" si="695"/>
        <v>#DIV/0!</v>
      </c>
      <c r="AV405" s="453" t="e">
        <f t="shared" si="695"/>
        <v>#DIV/0!</v>
      </c>
      <c r="AW405" s="452" t="e">
        <f t="shared" si="695"/>
        <v>#DIV/0!</v>
      </c>
      <c r="AX405" s="1061">
        <f t="shared" si="695"/>
        <v>36.657942114898063</v>
      </c>
      <c r="AY405" s="447">
        <f t="shared" si="695"/>
        <v>44.240718976313758</v>
      </c>
      <c r="AZ405" s="447">
        <f t="shared" si="695"/>
        <v>37.006327922394497</v>
      </c>
      <c r="BA405" s="825">
        <f t="shared" si="695"/>
        <v>45.9518771699599</v>
      </c>
      <c r="BB405" s="826">
        <f t="shared" si="695"/>
        <v>37.576206795948558</v>
      </c>
      <c r="BD405" s="446">
        <f t="shared" si="680"/>
        <v>33.772686086596579</v>
      </c>
      <c r="BE405" s="446">
        <f t="shared" si="681"/>
        <v>45.123004043436381</v>
      </c>
    </row>
    <row r="406" spans="1:57" ht="14.4" thickBot="1">
      <c r="A406" s="397" t="s">
        <v>885</v>
      </c>
      <c r="B406" s="450">
        <f t="shared" ref="B406:AG406" si="696">+B374/B220*100</f>
        <v>38.716249178866157</v>
      </c>
      <c r="C406" s="451">
        <f t="shared" si="696"/>
        <v>44.650281907048786</v>
      </c>
      <c r="D406" s="453">
        <f t="shared" si="696"/>
        <v>39.108370621994354</v>
      </c>
      <c r="E406" s="452">
        <f t="shared" si="696"/>
        <v>47.401448947069269</v>
      </c>
      <c r="F406" s="450">
        <f t="shared" si="696"/>
        <v>39.972191197464284</v>
      </c>
      <c r="G406" s="451">
        <f t="shared" si="696"/>
        <v>44.731533456895768</v>
      </c>
      <c r="H406" s="453">
        <f t="shared" si="696"/>
        <v>40.385802856938234</v>
      </c>
      <c r="I406" s="452">
        <f t="shared" si="696"/>
        <v>47.910265850911614</v>
      </c>
      <c r="J406" s="450">
        <f t="shared" si="696"/>
        <v>39.892762635196505</v>
      </c>
      <c r="K406" s="451">
        <f t="shared" si="696"/>
        <v>45.018109967008058</v>
      </c>
      <c r="L406" s="453">
        <f t="shared" si="696"/>
        <v>40.407858829833437</v>
      </c>
      <c r="M406" s="452">
        <f t="shared" si="696"/>
        <v>47.609512873946144</v>
      </c>
      <c r="N406" s="450">
        <f t="shared" si="696"/>
        <v>39.079977156976028</v>
      </c>
      <c r="O406" s="451">
        <f t="shared" si="696"/>
        <v>44.612184091926942</v>
      </c>
      <c r="P406" s="453">
        <f t="shared" si="696"/>
        <v>39.410417474006096</v>
      </c>
      <c r="Q406" s="452">
        <f t="shared" si="696"/>
        <v>54.060561803547266</v>
      </c>
      <c r="R406" s="450">
        <f t="shared" si="696"/>
        <v>37.365787013503699</v>
      </c>
      <c r="S406" s="451">
        <f t="shared" si="696"/>
        <v>44.087424110928055</v>
      </c>
      <c r="T406" s="453">
        <f t="shared" si="696"/>
        <v>37.980874250012306</v>
      </c>
      <c r="U406" s="452">
        <f t="shared" si="696"/>
        <v>65.313507248729096</v>
      </c>
      <c r="V406" s="450">
        <f t="shared" si="696"/>
        <v>33.841459286594848</v>
      </c>
      <c r="W406" s="451">
        <f t="shared" si="696"/>
        <v>42.798641855904833</v>
      </c>
      <c r="X406" s="453">
        <f t="shared" si="696"/>
        <v>34.421917137568606</v>
      </c>
      <c r="Y406" s="452">
        <f t="shared" si="696"/>
        <v>83.153574383277146</v>
      </c>
      <c r="Z406" s="450">
        <f t="shared" si="696"/>
        <v>33.713326339471763</v>
      </c>
      <c r="AA406" s="451">
        <f t="shared" si="696"/>
        <v>43.01751337613306</v>
      </c>
      <c r="AB406" s="453">
        <f t="shared" si="696"/>
        <v>34.13406904237128</v>
      </c>
      <c r="AC406" s="452">
        <f t="shared" si="696"/>
        <v>84.073782183113337</v>
      </c>
      <c r="AD406" s="450">
        <f t="shared" si="696"/>
        <v>32.875648831638586</v>
      </c>
      <c r="AE406" s="451">
        <f t="shared" si="696"/>
        <v>43.837470869049845</v>
      </c>
      <c r="AF406" s="453">
        <f t="shared" si="696"/>
        <v>33.251399518566814</v>
      </c>
      <c r="AG406" s="452">
        <f t="shared" si="696"/>
        <v>127.74273675689275</v>
      </c>
      <c r="AH406" s="450" t="e">
        <f t="shared" ref="AH406:BB406" si="697">+AH374/AH220*100</f>
        <v>#DIV/0!</v>
      </c>
      <c r="AI406" s="451" t="e">
        <f t="shared" si="697"/>
        <v>#DIV/0!</v>
      </c>
      <c r="AJ406" s="453" t="e">
        <f t="shared" si="697"/>
        <v>#DIV/0!</v>
      </c>
      <c r="AK406" s="452" t="e">
        <f t="shared" si="697"/>
        <v>#DIV/0!</v>
      </c>
      <c r="AL406" s="450" t="e">
        <f t="shared" si="697"/>
        <v>#DIV/0!</v>
      </c>
      <c r="AM406" s="451" t="e">
        <f t="shared" si="697"/>
        <v>#DIV/0!</v>
      </c>
      <c r="AN406" s="453" t="e">
        <f t="shared" si="697"/>
        <v>#DIV/0!</v>
      </c>
      <c r="AO406" s="452" t="e">
        <f t="shared" si="697"/>
        <v>#DIV/0!</v>
      </c>
      <c r="AP406" s="450" t="e">
        <f t="shared" si="697"/>
        <v>#DIV/0!</v>
      </c>
      <c r="AQ406" s="451" t="e">
        <f t="shared" si="697"/>
        <v>#DIV/0!</v>
      </c>
      <c r="AR406" s="453" t="e">
        <f t="shared" si="697"/>
        <v>#DIV/0!</v>
      </c>
      <c r="AS406" s="452" t="e">
        <f t="shared" si="697"/>
        <v>#DIV/0!</v>
      </c>
      <c r="AT406" s="450" t="e">
        <f t="shared" si="697"/>
        <v>#DIV/0!</v>
      </c>
      <c r="AU406" s="451" t="e">
        <f t="shared" si="697"/>
        <v>#DIV/0!</v>
      </c>
      <c r="AV406" s="453" t="e">
        <f t="shared" si="697"/>
        <v>#DIV/0!</v>
      </c>
      <c r="AW406" s="452" t="e">
        <f t="shared" si="697"/>
        <v>#DIV/0!</v>
      </c>
      <c r="AX406" s="1061">
        <f t="shared" si="697"/>
        <v>38.428742611394718</v>
      </c>
      <c r="AY406" s="447">
        <f t="shared" si="697"/>
        <v>44.526609850424101</v>
      </c>
      <c r="AZ406" s="447">
        <f t="shared" si="697"/>
        <v>38.893888435961173</v>
      </c>
      <c r="BA406" s="825">
        <f t="shared" si="697"/>
        <v>52.885544067243288</v>
      </c>
      <c r="BB406" s="826">
        <f t="shared" si="697"/>
        <v>39.128969332931618</v>
      </c>
      <c r="BD406" s="446">
        <f t="shared" si="680"/>
        <v>33.251399518566814</v>
      </c>
      <c r="BE406" s="446">
        <f t="shared" si="681"/>
        <v>127.74273675689275</v>
      </c>
    </row>
    <row r="407" spans="1:57" ht="14.4" thickBot="1">
      <c r="A407" s="433" t="s">
        <v>16</v>
      </c>
      <c r="B407" s="458">
        <f t="shared" ref="B407:AG407" si="698">+B375/B221*100</f>
        <v>38.823947459542602</v>
      </c>
      <c r="C407" s="477">
        <f t="shared" si="698"/>
        <v>44.442950419752016</v>
      </c>
      <c r="D407" s="477">
        <f t="shared" si="698"/>
        <v>39.002978685073266</v>
      </c>
      <c r="E407" s="499">
        <f t="shared" si="698"/>
        <v>39.5135417074533</v>
      </c>
      <c r="F407" s="458">
        <f t="shared" si="698"/>
        <v>39.617590613306142</v>
      </c>
      <c r="G407" s="477">
        <f t="shared" si="698"/>
        <v>44.688881273858229</v>
      </c>
      <c r="H407" s="477">
        <f t="shared" si="698"/>
        <v>39.793598791822191</v>
      </c>
      <c r="I407" s="499">
        <f t="shared" si="698"/>
        <v>40.341487289738929</v>
      </c>
      <c r="J407" s="458">
        <f t="shared" si="698"/>
        <v>39.254129344848181</v>
      </c>
      <c r="K407" s="477">
        <f t="shared" si="698"/>
        <v>44.734508866377404</v>
      </c>
      <c r="L407" s="477">
        <f t="shared" si="698"/>
        <v>39.717042185424461</v>
      </c>
      <c r="M407" s="499">
        <f t="shared" si="698"/>
        <v>43.054756910624732</v>
      </c>
      <c r="N407" s="458">
        <f t="shared" si="698"/>
        <v>38.413196689046622</v>
      </c>
      <c r="O407" s="477">
        <f t="shared" si="698"/>
        <v>44.322953069506063</v>
      </c>
      <c r="P407" s="477">
        <f t="shared" si="698"/>
        <v>38.594041116544197</v>
      </c>
      <c r="Q407" s="499">
        <f t="shared" si="698"/>
        <v>42.201170522202062</v>
      </c>
      <c r="R407" s="458">
        <f t="shared" si="698"/>
        <v>36.288315798140104</v>
      </c>
      <c r="S407" s="477">
        <f t="shared" si="698"/>
        <v>43.709619626052572</v>
      </c>
      <c r="T407" s="477">
        <f t="shared" si="698"/>
        <v>36.543340521609693</v>
      </c>
      <c r="U407" s="499">
        <f t="shared" si="698"/>
        <v>42.338945369561969</v>
      </c>
      <c r="V407" s="458">
        <f t="shared" si="698"/>
        <v>34.301215556975244</v>
      </c>
      <c r="W407" s="477">
        <f t="shared" si="698"/>
        <v>43.604073515529933</v>
      </c>
      <c r="X407" s="477">
        <f t="shared" si="698"/>
        <v>35.038995227683657</v>
      </c>
      <c r="Y407" s="499">
        <f t="shared" si="698"/>
        <v>45.182192748962478</v>
      </c>
      <c r="Z407" s="458">
        <f t="shared" si="698"/>
        <v>34.274968578207776</v>
      </c>
      <c r="AA407" s="477">
        <f t="shared" si="698"/>
        <v>43.444497388813097</v>
      </c>
      <c r="AB407" s="477">
        <f t="shared" si="698"/>
        <v>34.513849405851147</v>
      </c>
      <c r="AC407" s="499">
        <f t="shared" si="698"/>
        <v>41.058235447839586</v>
      </c>
      <c r="AD407" s="458">
        <f t="shared" si="698"/>
        <v>34.358416362222712</v>
      </c>
      <c r="AE407" s="477">
        <f t="shared" si="698"/>
        <v>40.176250474775344</v>
      </c>
      <c r="AF407" s="477">
        <f t="shared" si="698"/>
        <v>34.454293958832459</v>
      </c>
      <c r="AG407" s="499">
        <f t="shared" si="698"/>
        <v>42.838690140001859</v>
      </c>
      <c r="AH407" s="458" t="e">
        <f t="shared" ref="AH407:BB407" si="699">+AH375/AH221*100</f>
        <v>#DIV/0!</v>
      </c>
      <c r="AI407" s="477" t="e">
        <f t="shared" si="699"/>
        <v>#DIV/0!</v>
      </c>
      <c r="AJ407" s="477" t="e">
        <f t="shared" si="699"/>
        <v>#DIV/0!</v>
      </c>
      <c r="AK407" s="499" t="e">
        <f t="shared" si="699"/>
        <v>#DIV/0!</v>
      </c>
      <c r="AL407" s="458" t="e">
        <f t="shared" si="699"/>
        <v>#DIV/0!</v>
      </c>
      <c r="AM407" s="477" t="e">
        <f t="shared" si="699"/>
        <v>#DIV/0!</v>
      </c>
      <c r="AN407" s="477" t="e">
        <f t="shared" si="699"/>
        <v>#DIV/0!</v>
      </c>
      <c r="AO407" s="499" t="e">
        <f t="shared" si="699"/>
        <v>#DIV/0!</v>
      </c>
      <c r="AP407" s="458" t="e">
        <f t="shared" si="699"/>
        <v>#DIV/0!</v>
      </c>
      <c r="AQ407" s="477" t="e">
        <f t="shared" si="699"/>
        <v>#DIV/0!</v>
      </c>
      <c r="AR407" s="477" t="e">
        <f t="shared" si="699"/>
        <v>#DIV/0!</v>
      </c>
      <c r="AS407" s="499" t="e">
        <f t="shared" si="699"/>
        <v>#DIV/0!</v>
      </c>
      <c r="AT407" s="458" t="e">
        <f t="shared" si="699"/>
        <v>#DIV/0!</v>
      </c>
      <c r="AU407" s="477" t="e">
        <f t="shared" si="699"/>
        <v>#DIV/0!</v>
      </c>
      <c r="AV407" s="477" t="e">
        <f t="shared" si="699"/>
        <v>#DIV/0!</v>
      </c>
      <c r="AW407" s="499" t="e">
        <f t="shared" si="699"/>
        <v>#DIV/0!</v>
      </c>
      <c r="AX407" s="1067">
        <f t="shared" si="699"/>
        <v>38.105009555978889</v>
      </c>
      <c r="AY407" s="478">
        <f t="shared" si="699"/>
        <v>44.337571861108486</v>
      </c>
      <c r="AZ407" s="478">
        <f t="shared" si="699"/>
        <v>38.374855610943307</v>
      </c>
      <c r="BA407" s="478">
        <f t="shared" si="699"/>
        <v>41.750642471103738</v>
      </c>
      <c r="BB407" s="831">
        <f t="shared" si="699"/>
        <v>38.649191826076169</v>
      </c>
      <c r="BC407" s="445">
        <f>D407</f>
        <v>39.002978685073266</v>
      </c>
      <c r="BD407" s="446">
        <f t="shared" si="680"/>
        <v>34.454293958832459</v>
      </c>
      <c r="BE407" s="446">
        <f>AG407</f>
        <v>42.838690140001859</v>
      </c>
    </row>
  </sheetData>
  <mergeCells count="381">
    <mergeCell ref="AP332:AS332"/>
    <mergeCell ref="AT332:AW332"/>
    <mergeCell ref="AX332:BA332"/>
    <mergeCell ref="BR332:BU332"/>
    <mergeCell ref="A332:A333"/>
    <mergeCell ref="B332:E332"/>
    <mergeCell ref="F332:I332"/>
    <mergeCell ref="J332:M332"/>
    <mergeCell ref="N332:Q332"/>
    <mergeCell ref="R332:U332"/>
    <mergeCell ref="V332:Y332"/>
    <mergeCell ref="Z332:AC332"/>
    <mergeCell ref="AD332:AG332"/>
    <mergeCell ref="B317:E317"/>
    <mergeCell ref="F317:I317"/>
    <mergeCell ref="J317:M317"/>
    <mergeCell ref="N317:Q317"/>
    <mergeCell ref="R317:U317"/>
    <mergeCell ref="V317:Y317"/>
    <mergeCell ref="Z317:AC317"/>
    <mergeCell ref="AD317:AG317"/>
    <mergeCell ref="AL332:AO332"/>
    <mergeCell ref="AL317:AO317"/>
    <mergeCell ref="AP317:AS317"/>
    <mergeCell ref="AT317:AW317"/>
    <mergeCell ref="AX317:BA317"/>
    <mergeCell ref="BR317:BU317"/>
    <mergeCell ref="A258:A259"/>
    <mergeCell ref="B258:E258"/>
    <mergeCell ref="F258:I258"/>
    <mergeCell ref="J258:M258"/>
    <mergeCell ref="N258:Q258"/>
    <mergeCell ref="R258:U258"/>
    <mergeCell ref="V258:Y258"/>
    <mergeCell ref="Z258:AC258"/>
    <mergeCell ref="AD258:AG258"/>
    <mergeCell ref="A286:A287"/>
    <mergeCell ref="B286:E286"/>
    <mergeCell ref="F286:I286"/>
    <mergeCell ref="J286:M286"/>
    <mergeCell ref="N286:Q286"/>
    <mergeCell ref="R286:U286"/>
    <mergeCell ref="V286:Y286"/>
    <mergeCell ref="Z286:AC286"/>
    <mergeCell ref="AD286:AG286"/>
    <mergeCell ref="A317:A318"/>
    <mergeCell ref="AP286:AS286"/>
    <mergeCell ref="A380:A381"/>
    <mergeCell ref="B380:E380"/>
    <mergeCell ref="J380:M380"/>
    <mergeCell ref="A395:A396"/>
    <mergeCell ref="B395:E395"/>
    <mergeCell ref="F395:I395"/>
    <mergeCell ref="F380:I380"/>
    <mergeCell ref="J395:M395"/>
    <mergeCell ref="AD395:AG395"/>
    <mergeCell ref="AD380:AG380"/>
    <mergeCell ref="N395:Q395"/>
    <mergeCell ref="R395:U395"/>
    <mergeCell ref="Z395:AC395"/>
    <mergeCell ref="V395:Y395"/>
    <mergeCell ref="N380:Q380"/>
    <mergeCell ref="V380:Y380"/>
    <mergeCell ref="Z380:AC380"/>
    <mergeCell ref="R380:U380"/>
    <mergeCell ref="AX380:BB380"/>
    <mergeCell ref="AT380:AW380"/>
    <mergeCell ref="AP380:AS380"/>
    <mergeCell ref="AL380:AO380"/>
    <mergeCell ref="AX395:BB395"/>
    <mergeCell ref="AT395:AW395"/>
    <mergeCell ref="AP395:AS395"/>
    <mergeCell ref="AX363:BB363"/>
    <mergeCell ref="AH348:AK348"/>
    <mergeCell ref="AT363:AW363"/>
    <mergeCell ref="AT348:AW348"/>
    <mergeCell ref="AP348:AS348"/>
    <mergeCell ref="AL348:AO348"/>
    <mergeCell ref="AP363:AS363"/>
    <mergeCell ref="AL363:AO363"/>
    <mergeCell ref="AH380:AK380"/>
    <mergeCell ref="AH363:AK363"/>
    <mergeCell ref="AL395:AO395"/>
    <mergeCell ref="AH395:AK395"/>
    <mergeCell ref="A348:A349"/>
    <mergeCell ref="N348:Q348"/>
    <mergeCell ref="A363:A364"/>
    <mergeCell ref="J348:M348"/>
    <mergeCell ref="B348:E348"/>
    <mergeCell ref="F348:I348"/>
    <mergeCell ref="B363:E363"/>
    <mergeCell ref="F363:I363"/>
    <mergeCell ref="J363:M363"/>
    <mergeCell ref="R348:U348"/>
    <mergeCell ref="R363:U363"/>
    <mergeCell ref="N363:Q363"/>
    <mergeCell ref="Z226:AC226"/>
    <mergeCell ref="AD241:AG241"/>
    <mergeCell ref="AH226:AK226"/>
    <mergeCell ref="Z241:AC241"/>
    <mergeCell ref="Z209:AC209"/>
    <mergeCell ref="N209:Q209"/>
    <mergeCell ref="V226:Y226"/>
    <mergeCell ref="R226:U226"/>
    <mergeCell ref="V241:Y241"/>
    <mergeCell ref="AD363:AG363"/>
    <mergeCell ref="Z348:AC348"/>
    <mergeCell ref="V348:Y348"/>
    <mergeCell ref="V363:Y363"/>
    <mergeCell ref="AH241:AK241"/>
    <mergeCell ref="Z363:AC363"/>
    <mergeCell ref="AH209:AK209"/>
    <mergeCell ref="AH258:AK258"/>
    <mergeCell ref="AH332:AK332"/>
    <mergeCell ref="AH317:AK317"/>
    <mergeCell ref="N241:Q241"/>
    <mergeCell ref="N226:Q226"/>
    <mergeCell ref="BR226:BU226"/>
    <mergeCell ref="AD348:AG348"/>
    <mergeCell ref="AX348:BB348"/>
    <mergeCell ref="AX209:BB209"/>
    <mergeCell ref="AT209:AW209"/>
    <mergeCell ref="AL226:AO226"/>
    <mergeCell ref="AD209:AG209"/>
    <mergeCell ref="AL209:AO209"/>
    <mergeCell ref="AD226:AG226"/>
    <mergeCell ref="BR241:BU241"/>
    <mergeCell ref="AX226:BA226"/>
    <mergeCell ref="AP241:AS241"/>
    <mergeCell ref="AT241:AW241"/>
    <mergeCell ref="AX241:BA241"/>
    <mergeCell ref="AT226:AW226"/>
    <mergeCell ref="AP226:AS226"/>
    <mergeCell ref="AL241:AO241"/>
    <mergeCell ref="AL258:AO258"/>
    <mergeCell ref="AP258:AS258"/>
    <mergeCell ref="AT258:AW258"/>
    <mergeCell ref="AX258:BB258"/>
    <mergeCell ref="BR258:BU258"/>
    <mergeCell ref="AH286:AK286"/>
    <mergeCell ref="AL286:AO286"/>
    <mergeCell ref="A226:A227"/>
    <mergeCell ref="B226:E226"/>
    <mergeCell ref="F226:I226"/>
    <mergeCell ref="F50:I50"/>
    <mergeCell ref="R209:U209"/>
    <mergeCell ref="J209:M209"/>
    <mergeCell ref="F194:I194"/>
    <mergeCell ref="A50:A51"/>
    <mergeCell ref="B50:E50"/>
    <mergeCell ref="A194:A195"/>
    <mergeCell ref="F209:I209"/>
    <mergeCell ref="A209:A210"/>
    <mergeCell ref="J50:M50"/>
    <mergeCell ref="A67:A68"/>
    <mergeCell ref="B67:E67"/>
    <mergeCell ref="F67:I67"/>
    <mergeCell ref="J67:M67"/>
    <mergeCell ref="N67:Q67"/>
    <mergeCell ref="R67:U67"/>
    <mergeCell ref="A146:A147"/>
    <mergeCell ref="B146:E146"/>
    <mergeCell ref="F146:I146"/>
    <mergeCell ref="J146:M146"/>
    <mergeCell ref="N146:Q146"/>
    <mergeCell ref="Z194:AC194"/>
    <mergeCell ref="AD194:AG194"/>
    <mergeCell ref="AH194:AK194"/>
    <mergeCell ref="B241:E241"/>
    <mergeCell ref="R241:U241"/>
    <mergeCell ref="V194:Y194"/>
    <mergeCell ref="N194:Q194"/>
    <mergeCell ref="B209:E209"/>
    <mergeCell ref="B194:E194"/>
    <mergeCell ref="J226:M226"/>
    <mergeCell ref="J194:M194"/>
    <mergeCell ref="V209:Y209"/>
    <mergeCell ref="R194:U194"/>
    <mergeCell ref="A3:A4"/>
    <mergeCell ref="A35:A36"/>
    <mergeCell ref="A18:A19"/>
    <mergeCell ref="B18:E18"/>
    <mergeCell ref="B3:E3"/>
    <mergeCell ref="B35:E35"/>
    <mergeCell ref="F3:I3"/>
    <mergeCell ref="Z50:AC50"/>
    <mergeCell ref="R3:U3"/>
    <mergeCell ref="F35:I35"/>
    <mergeCell ref="J35:M35"/>
    <mergeCell ref="V18:Y18"/>
    <mergeCell ref="V35:Y35"/>
    <mergeCell ref="F18:I18"/>
    <mergeCell ref="J18:M18"/>
    <mergeCell ref="R18:U18"/>
    <mergeCell ref="J3:M3"/>
    <mergeCell ref="N3:Q3"/>
    <mergeCell ref="N18:Q18"/>
    <mergeCell ref="N35:Q35"/>
    <mergeCell ref="Z3:AC3"/>
    <mergeCell ref="Z35:AC35"/>
    <mergeCell ref="Z18:AC18"/>
    <mergeCell ref="N50:Q50"/>
    <mergeCell ref="V3:Y3"/>
    <mergeCell ref="R35:U35"/>
    <mergeCell ref="AP209:AS209"/>
    <mergeCell ref="AL50:AO50"/>
    <mergeCell ref="AD50:AG50"/>
    <mergeCell ref="AH50:AK50"/>
    <mergeCell ref="AX194:BB194"/>
    <mergeCell ref="BR35:BU35"/>
    <mergeCell ref="BR50:BU50"/>
    <mergeCell ref="AX35:BA35"/>
    <mergeCell ref="AX50:BA50"/>
    <mergeCell ref="AH35:AK35"/>
    <mergeCell ref="AD35:AG35"/>
    <mergeCell ref="AH3:AK3"/>
    <mergeCell ref="AH18:AK18"/>
    <mergeCell ref="AD18:AG18"/>
    <mergeCell ref="AD3:AG3"/>
    <mergeCell ref="V50:Y50"/>
    <mergeCell ref="R50:U50"/>
    <mergeCell ref="BR209:BU209"/>
    <mergeCell ref="AL3:AO3"/>
    <mergeCell ref="AT35:AW35"/>
    <mergeCell ref="AP35:AS35"/>
    <mergeCell ref="AT3:AW3"/>
    <mergeCell ref="AL35:AO35"/>
    <mergeCell ref="AP3:AS3"/>
    <mergeCell ref="AL18:AO18"/>
    <mergeCell ref="AT194:AW194"/>
    <mergeCell ref="AT50:AW50"/>
    <mergeCell ref="AT18:AW18"/>
    <mergeCell ref="AP50:AS50"/>
    <mergeCell ref="AP194:AS194"/>
    <mergeCell ref="AP18:AS18"/>
    <mergeCell ref="AL194:AO194"/>
    <mergeCell ref="AT82:AW82"/>
    <mergeCell ref="AT114:AW114"/>
    <mergeCell ref="AT146:AW146"/>
    <mergeCell ref="AL82:AO82"/>
    <mergeCell ref="AP82:AS82"/>
    <mergeCell ref="AP146:AS146"/>
    <mergeCell ref="AL146:AO146"/>
    <mergeCell ref="V67:Y67"/>
    <mergeCell ref="Z67:AC67"/>
    <mergeCell ref="AD67:AG67"/>
    <mergeCell ref="AH67:AK67"/>
    <mergeCell ref="AL67:AO67"/>
    <mergeCell ref="AP67:AS67"/>
    <mergeCell ref="AT67:AW67"/>
    <mergeCell ref="AX67:BA67"/>
    <mergeCell ref="BR67:BU67"/>
    <mergeCell ref="AX82:BA82"/>
    <mergeCell ref="BR82:BU82"/>
    <mergeCell ref="A99:A100"/>
    <mergeCell ref="B99:E99"/>
    <mergeCell ref="F99:I99"/>
    <mergeCell ref="J99:M99"/>
    <mergeCell ref="N99:Q99"/>
    <mergeCell ref="R99:U99"/>
    <mergeCell ref="V99:Y99"/>
    <mergeCell ref="Z99:AC99"/>
    <mergeCell ref="AD99:AG99"/>
    <mergeCell ref="AH99:AK99"/>
    <mergeCell ref="AL99:AO99"/>
    <mergeCell ref="AP99:AS99"/>
    <mergeCell ref="AT99:AW99"/>
    <mergeCell ref="AX99:BA99"/>
    <mergeCell ref="BR99:BU99"/>
    <mergeCell ref="A82:A83"/>
    <mergeCell ref="B82:E82"/>
    <mergeCell ref="F82:I82"/>
    <mergeCell ref="J82:M82"/>
    <mergeCell ref="N82:Q82"/>
    <mergeCell ref="R82:U82"/>
    <mergeCell ref="AH82:AK82"/>
    <mergeCell ref="V82:Y82"/>
    <mergeCell ref="Z82:AC82"/>
    <mergeCell ref="AD82:AG82"/>
    <mergeCell ref="AH114:AK114"/>
    <mergeCell ref="AL114:AO114"/>
    <mergeCell ref="AP114:AS114"/>
    <mergeCell ref="BR114:BU114"/>
    <mergeCell ref="A131:A132"/>
    <mergeCell ref="B131:E131"/>
    <mergeCell ref="F131:I131"/>
    <mergeCell ref="J131:M131"/>
    <mergeCell ref="N131:Q131"/>
    <mergeCell ref="R131:U131"/>
    <mergeCell ref="V131:Y131"/>
    <mergeCell ref="Z131:AC131"/>
    <mergeCell ref="AD131:AG131"/>
    <mergeCell ref="AH131:AK131"/>
    <mergeCell ref="AL131:AO131"/>
    <mergeCell ref="AP131:AS131"/>
    <mergeCell ref="AT131:AW131"/>
    <mergeCell ref="AX131:BA131"/>
    <mergeCell ref="BR131:BU131"/>
    <mergeCell ref="A114:A115"/>
    <mergeCell ref="B114:E114"/>
    <mergeCell ref="R177:U177"/>
    <mergeCell ref="N177:Q177"/>
    <mergeCell ref="Z177:AC177"/>
    <mergeCell ref="V177:Y177"/>
    <mergeCell ref="V146:Y146"/>
    <mergeCell ref="Z146:AC146"/>
    <mergeCell ref="R146:U146"/>
    <mergeCell ref="F114:I114"/>
    <mergeCell ref="J114:M114"/>
    <mergeCell ref="A177:A178"/>
    <mergeCell ref="BR177:BU177"/>
    <mergeCell ref="AX177:BA177"/>
    <mergeCell ref="J241:M241"/>
    <mergeCell ref="F241:I241"/>
    <mergeCell ref="A241:A242"/>
    <mergeCell ref="AX114:BA114"/>
    <mergeCell ref="AD114:AG114"/>
    <mergeCell ref="AX146:BA146"/>
    <mergeCell ref="BR146:BU146"/>
    <mergeCell ref="AT177:AW177"/>
    <mergeCell ref="AP177:AS177"/>
    <mergeCell ref="AL177:AO177"/>
    <mergeCell ref="AH177:AK177"/>
    <mergeCell ref="AD177:AG177"/>
    <mergeCell ref="AD146:AG146"/>
    <mergeCell ref="N114:Q114"/>
    <mergeCell ref="R114:U114"/>
    <mergeCell ref="V114:Y114"/>
    <mergeCell ref="Z114:AC114"/>
    <mergeCell ref="J177:M177"/>
    <mergeCell ref="F177:I177"/>
    <mergeCell ref="B177:E177"/>
    <mergeCell ref="AH146:AK146"/>
    <mergeCell ref="A162:A163"/>
    <mergeCell ref="BR162:BU162"/>
    <mergeCell ref="AX162:BA162"/>
    <mergeCell ref="AT162:AW162"/>
    <mergeCell ref="AP162:AS162"/>
    <mergeCell ref="AL162:AO162"/>
    <mergeCell ref="AH162:AK162"/>
    <mergeCell ref="AD162:AG162"/>
    <mergeCell ref="Z162:AC162"/>
    <mergeCell ref="V162:Y162"/>
    <mergeCell ref="R162:U162"/>
    <mergeCell ref="N162:Q162"/>
    <mergeCell ref="J162:M162"/>
    <mergeCell ref="F162:I162"/>
    <mergeCell ref="B162:E162"/>
    <mergeCell ref="AT286:AW286"/>
    <mergeCell ref="AX286:BB286"/>
    <mergeCell ref="BR286:BU286"/>
    <mergeCell ref="AH272:AK272"/>
    <mergeCell ref="AL272:AO272"/>
    <mergeCell ref="AP272:AS272"/>
    <mergeCell ref="AT272:AW272"/>
    <mergeCell ref="AX272:BB272"/>
    <mergeCell ref="BR272:BU272"/>
    <mergeCell ref="AH300:AK300"/>
    <mergeCell ref="AL300:AO300"/>
    <mergeCell ref="AP300:AS300"/>
    <mergeCell ref="AT300:AW300"/>
    <mergeCell ref="AX300:BB300"/>
    <mergeCell ref="BR300:BU300"/>
    <mergeCell ref="A272:A273"/>
    <mergeCell ref="B272:E272"/>
    <mergeCell ref="F272:I272"/>
    <mergeCell ref="A300:A301"/>
    <mergeCell ref="B300:E300"/>
    <mergeCell ref="F300:I300"/>
    <mergeCell ref="J300:M300"/>
    <mergeCell ref="N300:Q300"/>
    <mergeCell ref="R300:U300"/>
    <mergeCell ref="V300:Y300"/>
    <mergeCell ref="Z300:AC300"/>
    <mergeCell ref="AD300:AG300"/>
    <mergeCell ref="J272:M272"/>
    <mergeCell ref="N272:Q272"/>
    <mergeCell ref="R272:U272"/>
    <mergeCell ref="V272:Y272"/>
    <mergeCell ref="Z272:AC272"/>
    <mergeCell ref="AD272:AG272"/>
  </mergeCells>
  <phoneticPr fontId="28" type="noConversion"/>
  <pageMargins left="0.78740157480314965" right="0.78740157480314965" top="0.39370078740157483" bottom="0.98425196850393704" header="0.51181102362204722" footer="0.51181102362204722"/>
  <pageSetup paperSize="9" scale="75" orientation="landscape" horizontalDpi="4294967294" verticalDpi="4294967294" r:id="rId1"/>
  <headerFooter alignWithMargins="0"/>
</worksheet>
</file>

<file path=xl/worksheets/sheet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700-000000000000}">
  <sheetPr codeName="Feuil19">
    <tabColor indexed="47"/>
  </sheetPr>
  <dimension ref="A2:R164"/>
  <sheetViews>
    <sheetView showGridLines="0" zoomScale="71" zoomScaleNormal="71" workbookViewId="0">
      <selection activeCell="E13" sqref="E13"/>
    </sheetView>
  </sheetViews>
  <sheetFormatPr baseColWidth="10" defaultColWidth="11.44140625" defaultRowHeight="13.8"/>
  <cols>
    <col min="1" max="1" width="2" style="430" customWidth="1"/>
    <col min="2" max="2" width="15.5546875" style="430" customWidth="1"/>
    <col min="3" max="3" width="17.6640625" style="430" bestFit="1" customWidth="1"/>
    <col min="4" max="4" width="15.109375" style="430" customWidth="1"/>
    <col min="5" max="6" width="14.44140625" style="430" customWidth="1"/>
    <col min="7" max="8" width="11.44140625" style="430" customWidth="1"/>
    <col min="9" max="9" width="8" style="430" customWidth="1"/>
    <col min="10" max="10" width="14.33203125" style="430" customWidth="1"/>
    <col min="11" max="11" width="12.5546875" style="430" customWidth="1"/>
    <col min="12" max="12" width="15.6640625" style="430" customWidth="1"/>
    <col min="13" max="13" width="14.5546875" style="430" customWidth="1"/>
    <col min="14" max="14" width="10.109375" style="430" customWidth="1"/>
    <col min="15" max="15" width="11.88671875" style="430" customWidth="1"/>
    <col min="16" max="16" width="12.44140625" style="430" bestFit="1" customWidth="1"/>
    <col min="17" max="16384" width="11.44140625" style="430"/>
  </cols>
  <sheetData>
    <row r="2" spans="2:17" ht="18">
      <c r="B2" s="666" t="s">
        <v>206</v>
      </c>
    </row>
    <row r="4" spans="2:17" ht="18">
      <c r="B4" s="666" t="s">
        <v>375</v>
      </c>
      <c r="I4" s="666"/>
    </row>
    <row r="5" spans="2:17" ht="18">
      <c r="B5" s="666" t="s">
        <v>331</v>
      </c>
      <c r="I5" s="666"/>
    </row>
    <row r="6" spans="2:17" ht="18">
      <c r="B6" s="3118" t="s">
        <v>330</v>
      </c>
      <c r="C6" s="3118"/>
      <c r="D6" s="3118"/>
      <c r="E6" s="3118"/>
      <c r="F6" s="3118"/>
      <c r="G6" s="3118"/>
      <c r="H6" s="3118"/>
      <c r="J6" s="3118" t="s">
        <v>335</v>
      </c>
      <c r="K6" s="3118"/>
      <c r="L6" s="3118"/>
      <c r="M6" s="3118"/>
      <c r="N6" s="3118"/>
      <c r="O6" s="3118"/>
    </row>
    <row r="7" spans="2:17" ht="27.6">
      <c r="B7" s="107"/>
      <c r="C7" s="107" t="s">
        <v>1090</v>
      </c>
      <c r="D7" s="2745">
        <f>TP_gaz!H3</f>
        <v>45139</v>
      </c>
      <c r="E7" s="2745">
        <f>TP_gaz!I3</f>
        <v>45505</v>
      </c>
      <c r="F7" s="1808" t="s">
        <v>1083</v>
      </c>
      <c r="G7" s="107" t="s">
        <v>1168</v>
      </c>
      <c r="H7" s="107" t="s">
        <v>1169</v>
      </c>
      <c r="J7" s="107"/>
      <c r="K7" s="107" t="s">
        <v>1091</v>
      </c>
      <c r="L7" s="2745">
        <f>D7</f>
        <v>45139</v>
      </c>
      <c r="M7" s="2745">
        <f>E7</f>
        <v>45505</v>
      </c>
      <c r="N7" s="107" t="str">
        <f>G7</f>
        <v>évol° 24/23 (%)</v>
      </c>
      <c r="O7" s="107" t="str">
        <f>H7</f>
        <v>évol° 24/23-mois (%)</v>
      </c>
    </row>
    <row r="8" spans="2:17">
      <c r="B8" s="667" t="s">
        <v>6</v>
      </c>
      <c r="C8" s="792">
        <f>'enc-ag'!D18</f>
        <v>971.47238308999897</v>
      </c>
      <c r="D8" s="1793">
        <f>'enc-ag'!N18</f>
        <v>1757.3251124100002</v>
      </c>
      <c r="E8" s="1793">
        <f>'enc-ag'!H18</f>
        <v>1708.1181099799987</v>
      </c>
      <c r="F8" s="1809"/>
      <c r="G8" s="668">
        <f>((E8-C8)/C8)*100</f>
        <v>75.827757918029832</v>
      </c>
      <c r="H8" s="668">
        <f>((E8-D8)/D8)*100</f>
        <v>-2.8001080780390635</v>
      </c>
      <c r="J8" s="667" t="s">
        <v>6</v>
      </c>
      <c r="K8" s="539">
        <f>'enc-ag'!S18</f>
        <v>38.060062512583357</v>
      </c>
      <c r="L8" s="539">
        <f>'enc-ag'!P18</f>
        <v>65.916006684554887</v>
      </c>
      <c r="M8" s="539">
        <f>'enc-ag'!J18</f>
        <v>78.268756792259808</v>
      </c>
      <c r="N8" s="669">
        <f>M8-K8</f>
        <v>40.20869427967645</v>
      </c>
      <c r="O8" s="669">
        <f>M8-L8</f>
        <v>12.352750107704921</v>
      </c>
      <c r="P8" s="582"/>
      <c r="Q8" s="123"/>
    </row>
    <row r="9" spans="2:17">
      <c r="B9" s="667" t="s">
        <v>7</v>
      </c>
      <c r="C9" s="792">
        <f>'enc-ag'!D29</f>
        <v>331.86796575999972</v>
      </c>
      <c r="D9" s="1793">
        <f>'enc-ag'!N29</f>
        <v>924.79053183999929</v>
      </c>
      <c r="E9" s="1793">
        <f>'enc-ag'!H29</f>
        <v>1007.4219657599996</v>
      </c>
      <c r="F9" s="1809"/>
      <c r="G9" s="668">
        <f t="shared" ref="G9:G18" si="0">((E9-C9)/C9)*100</f>
        <v>203.56107539724007</v>
      </c>
      <c r="H9" s="668">
        <f t="shared" ref="H9:H18" si="1">((E9-D9)/D9)*100</f>
        <v>8.9351513748301006</v>
      </c>
      <c r="J9" s="667" t="s">
        <v>7</v>
      </c>
      <c r="K9" s="539">
        <f>'enc-ag'!S29</f>
        <v>26.415947001993384</v>
      </c>
      <c r="L9" s="539">
        <f>'enc-ag'!P29</f>
        <v>69.869091285481602</v>
      </c>
      <c r="M9" s="539">
        <f>'enc-ag'!J29</f>
        <v>73.418756685622881</v>
      </c>
      <c r="N9" s="669">
        <f>M9-K9</f>
        <v>47.002809683629494</v>
      </c>
      <c r="O9" s="669">
        <f t="shared" ref="O9:O18" si="2">M9-L9</f>
        <v>3.5496654001412793</v>
      </c>
      <c r="P9" s="582"/>
      <c r="Q9" s="123"/>
    </row>
    <row r="10" spans="2:17">
      <c r="B10" s="667" t="s">
        <v>8</v>
      </c>
      <c r="C10" s="792">
        <f>'enc-ag'!D38</f>
        <v>190.56071314000002</v>
      </c>
      <c r="D10" s="1793">
        <f>'enc-ag'!N38</f>
        <v>538.41600132999997</v>
      </c>
      <c r="E10" s="1793">
        <f>'enc-ag'!H38</f>
        <v>484.43871634999994</v>
      </c>
      <c r="F10" s="1809"/>
      <c r="G10" s="668">
        <f t="shared" si="0"/>
        <v>154.21751858899444</v>
      </c>
      <c r="H10" s="668">
        <f t="shared" si="1"/>
        <v>-10.025200745643678</v>
      </c>
      <c r="J10" s="667" t="s">
        <v>8</v>
      </c>
      <c r="K10" s="539">
        <f>'enc-ag'!S38</f>
        <v>15.868687235684222</v>
      </c>
      <c r="L10" s="539">
        <f>'enc-ag'!P38</f>
        <v>42.37646742867684</v>
      </c>
      <c r="M10" s="539">
        <f>'enc-ag'!J38</f>
        <v>39.033092684958021</v>
      </c>
      <c r="N10" s="669">
        <f t="shared" ref="N10:N18" si="3">M10-K10</f>
        <v>23.164405449273801</v>
      </c>
      <c r="O10" s="669">
        <f t="shared" si="2"/>
        <v>-3.3433747437188188</v>
      </c>
      <c r="P10" s="582"/>
      <c r="Q10" s="123"/>
    </row>
    <row r="11" spans="2:17">
      <c r="B11" s="667" t="s">
        <v>4</v>
      </c>
      <c r="C11" s="792">
        <f>'enc-ag'!D56</f>
        <v>855.56430489000024</v>
      </c>
      <c r="D11" s="1793">
        <f>'enc-ag'!N56</f>
        <v>1540.8451230900007</v>
      </c>
      <c r="E11" s="1793">
        <f>'enc-ag'!H56</f>
        <v>1509.8163418000004</v>
      </c>
      <c r="F11" s="1809"/>
      <c r="G11" s="668">
        <f t="shared" si="0"/>
        <v>76.47023527870499</v>
      </c>
      <c r="H11" s="668">
        <f t="shared" si="1"/>
        <v>-2.0137508192760745</v>
      </c>
      <c r="J11" s="667" t="s">
        <v>4</v>
      </c>
      <c r="K11" s="539">
        <f>'enc-ag'!S56</f>
        <v>36.682655652990164</v>
      </c>
      <c r="L11" s="539">
        <f>'enc-ag'!P56</f>
        <v>65.039738696017082</v>
      </c>
      <c r="M11" s="539">
        <f>'enc-ag'!J56</f>
        <v>64.281710301906159</v>
      </c>
      <c r="N11" s="669">
        <f t="shared" si="3"/>
        <v>27.599054648915995</v>
      </c>
      <c r="O11" s="669">
        <f t="shared" si="2"/>
        <v>-0.75802839411092293</v>
      </c>
      <c r="P11" s="582"/>
      <c r="Q11" s="123"/>
    </row>
    <row r="12" spans="2:17">
      <c r="B12" s="667" t="s">
        <v>3</v>
      </c>
      <c r="C12" s="792">
        <f>'enc-ag'!D68</f>
        <v>1615.5716835499991</v>
      </c>
      <c r="D12" s="1793">
        <f>'enc-ag'!N68</f>
        <v>2262.8086117499997</v>
      </c>
      <c r="E12" s="1793">
        <f>'enc-ag'!H68</f>
        <v>2615.5532980599996</v>
      </c>
      <c r="F12" s="1809"/>
      <c r="G12" s="668">
        <f t="shared" si="0"/>
        <v>61.896455891865898</v>
      </c>
      <c r="H12" s="668">
        <f t="shared" si="1"/>
        <v>15.588799003075914</v>
      </c>
      <c r="J12" s="667" t="s">
        <v>3</v>
      </c>
      <c r="K12" s="539">
        <f>'enc-ag'!S68</f>
        <v>109.62226984086729</v>
      </c>
      <c r="L12" s="539">
        <f>'enc-ag'!P68</f>
        <v>143.09706513526322</v>
      </c>
      <c r="M12" s="539">
        <f>'enc-ag'!J68</f>
        <v>157.61925063492012</v>
      </c>
      <c r="N12" s="669">
        <f t="shared" si="3"/>
        <v>47.996980794052831</v>
      </c>
      <c r="O12" s="669">
        <f t="shared" si="2"/>
        <v>14.522185499656899</v>
      </c>
      <c r="P12" s="582"/>
      <c r="Q12" s="123"/>
    </row>
    <row r="13" spans="2:17">
      <c r="B13" s="667" t="s">
        <v>397</v>
      </c>
      <c r="C13" s="792">
        <f>'enc-ag'!D75</f>
        <v>1809.7843905299997</v>
      </c>
      <c r="D13" s="1793">
        <f>'enc-ag'!N75</f>
        <v>1989.009321179999</v>
      </c>
      <c r="E13" s="1793">
        <f>'enc-ag'!H75</f>
        <v>2368.0157871499987</v>
      </c>
      <c r="F13" s="1809"/>
      <c r="G13" s="668">
        <f t="shared" si="0"/>
        <v>30.845187942886369</v>
      </c>
      <c r="H13" s="668">
        <f t="shared" si="1"/>
        <v>19.055037195358665</v>
      </c>
      <c r="J13" s="667" t="s">
        <v>397</v>
      </c>
      <c r="K13" s="539">
        <f>'enc-ag'!S75</f>
        <v>155.65783995746162</v>
      </c>
      <c r="L13" s="539">
        <f>'enc-ag'!P75</f>
        <v>188.00322472641722</v>
      </c>
      <c r="M13" s="539">
        <f>'enc-ag'!J75</f>
        <v>206.58290344736758</v>
      </c>
      <c r="N13" s="669">
        <f t="shared" si="3"/>
        <v>50.925063489905966</v>
      </c>
      <c r="O13" s="669">
        <f t="shared" si="2"/>
        <v>18.579678720950369</v>
      </c>
      <c r="P13" s="582"/>
      <c r="Q13" s="123"/>
    </row>
    <row r="14" spans="2:17">
      <c r="B14" s="667" t="s">
        <v>399</v>
      </c>
      <c r="C14" s="792">
        <f>'enc-ag'!D85</f>
        <v>1200.9662012620001</v>
      </c>
      <c r="D14" s="1793">
        <f>'enc-ag'!N85</f>
        <v>1708.252718082</v>
      </c>
      <c r="E14" s="1793">
        <f>'enc-ag'!H85</f>
        <v>1694.7950696119999</v>
      </c>
      <c r="F14" s="1809"/>
      <c r="G14" s="668">
        <f t="shared" si="0"/>
        <v>41.119297764672659</v>
      </c>
      <c r="H14" s="668">
        <f t="shared" si="1"/>
        <v>-0.78780196440197303</v>
      </c>
      <c r="J14" s="667" t="s">
        <v>399</v>
      </c>
      <c r="K14" s="539">
        <f>'enc-ag'!S85</f>
        <v>66.632520453016383</v>
      </c>
      <c r="L14" s="539">
        <f>'enc-ag'!P85</f>
        <v>101.41916223676577</v>
      </c>
      <c r="M14" s="539">
        <f>'enc-ag'!J85</f>
        <v>98.707330526772878</v>
      </c>
      <c r="N14" s="669">
        <f t="shared" si="3"/>
        <v>32.074810073756495</v>
      </c>
      <c r="O14" s="669">
        <f t="shared" si="2"/>
        <v>-2.711831709992893</v>
      </c>
      <c r="P14" s="582"/>
      <c r="Q14" s="123"/>
    </row>
    <row r="15" spans="2:17">
      <c r="B15" s="667" t="s">
        <v>883</v>
      </c>
      <c r="C15" s="792">
        <f>'enc-ag'!D92</f>
        <v>628.70756117000019</v>
      </c>
      <c r="D15" s="1793">
        <f>'enc-ag'!N92</f>
        <v>1227.7332952271518</v>
      </c>
      <c r="E15" s="1793">
        <f>'enc-ag'!H92</f>
        <v>1398.1632585499999</v>
      </c>
      <c r="F15" s="1809"/>
      <c r="G15" s="668">
        <f t="shared" si="0"/>
        <v>122.3869005087314</v>
      </c>
      <c r="H15" s="668">
        <f>((E15-D15)/D15)*100</f>
        <v>13.881676418274189</v>
      </c>
      <c r="J15" s="667" t="s">
        <v>883</v>
      </c>
      <c r="K15" s="539">
        <f>'enc-ag'!S92</f>
        <v>50.44994251977333</v>
      </c>
      <c r="L15" s="539">
        <f>'enc-ag'!P92</f>
        <v>102.57802397871386</v>
      </c>
      <c r="M15" s="539">
        <f>'enc-ag'!J92</f>
        <v>109.32289008159682</v>
      </c>
      <c r="N15" s="669">
        <f t="shared" si="3"/>
        <v>58.872947561823494</v>
      </c>
      <c r="O15" s="669">
        <f t="shared" si="2"/>
        <v>6.7448661028829662</v>
      </c>
      <c r="P15" s="582"/>
      <c r="Q15" s="123"/>
    </row>
    <row r="16" spans="2:17">
      <c r="B16" s="667" t="s">
        <v>884</v>
      </c>
      <c r="C16" s="792">
        <f>'enc-ag'!D103</f>
        <v>271.01399135999935</v>
      </c>
      <c r="D16" s="1793">
        <f>'enc-ag'!N103</f>
        <v>942.54202729999918</v>
      </c>
      <c r="E16" s="1793">
        <f>'enc-ag'!H103</f>
        <v>956.24476399999935</v>
      </c>
      <c r="F16" s="1809"/>
      <c r="G16" s="668">
        <f t="shared" si="0"/>
        <v>252.83962986611232</v>
      </c>
      <c r="H16" s="668">
        <f t="shared" si="1"/>
        <v>1.4538064407857716</v>
      </c>
      <c r="J16" s="667" t="s">
        <v>884</v>
      </c>
      <c r="K16" s="539">
        <f>'enc-ag'!S103</f>
        <v>17.673426269394874</v>
      </c>
      <c r="L16" s="539">
        <f>'enc-ag'!P103</f>
        <v>64.244729475378421</v>
      </c>
      <c r="M16" s="539">
        <f>'enc-ag'!J103</f>
        <v>60.628102801609423</v>
      </c>
      <c r="N16" s="669">
        <f t="shared" si="3"/>
        <v>42.954676532214549</v>
      </c>
      <c r="O16" s="669">
        <f t="shared" si="2"/>
        <v>-3.616626673768998</v>
      </c>
      <c r="P16" s="582"/>
      <c r="Q16" s="123"/>
    </row>
    <row r="17" spans="2:17" ht="14.4" thickBot="1">
      <c r="B17" s="667" t="s">
        <v>885</v>
      </c>
      <c r="C17" s="792">
        <f>'enc-ag'!D107</f>
        <v>98.097133669999948</v>
      </c>
      <c r="D17" s="1793">
        <f>'enc-ag'!N107</f>
        <v>265.39447605999965</v>
      </c>
      <c r="E17" s="1793">
        <f>'enc-ag'!H107</f>
        <v>257.82361968999976</v>
      </c>
      <c r="F17" s="1809"/>
      <c r="G17" s="668">
        <f t="shared" si="0"/>
        <v>162.82482478776782</v>
      </c>
      <c r="H17" s="668">
        <f t="shared" si="1"/>
        <v>-2.8526804635859451</v>
      </c>
      <c r="J17" s="667" t="s">
        <v>885</v>
      </c>
      <c r="K17" s="539">
        <f>'enc-ag'!S107</f>
        <v>26.385952015249089</v>
      </c>
      <c r="L17" s="539">
        <f>'enc-ag'!P107</f>
        <v>65.635234720695664</v>
      </c>
      <c r="M17" s="539">
        <f>'enc-ag'!J107</f>
        <v>59.926414516024018</v>
      </c>
      <c r="N17" s="669">
        <f t="shared" si="3"/>
        <v>33.540462500774929</v>
      </c>
      <c r="O17" s="669">
        <f t="shared" si="2"/>
        <v>-5.7088202046716461</v>
      </c>
      <c r="P17" s="582"/>
      <c r="Q17" s="123"/>
    </row>
    <row r="18" spans="2:17" ht="14.4" thickBot="1">
      <c r="B18" s="670" t="s">
        <v>16</v>
      </c>
      <c r="C18" s="781">
        <f>SUM(C8:C17)</f>
        <v>7973.6063284219981</v>
      </c>
      <c r="D18" s="749">
        <f>SUM(D8:D17)</f>
        <v>13157.11721826915</v>
      </c>
      <c r="E18" s="749">
        <f>SUM(E8:E17)</f>
        <v>14000.390930951995</v>
      </c>
      <c r="F18" s="749">
        <f>SUM(F8:F17)</f>
        <v>0</v>
      </c>
      <c r="G18" s="672">
        <f t="shared" si="0"/>
        <v>75.584175519770312</v>
      </c>
      <c r="H18" s="673">
        <f t="shared" si="1"/>
        <v>6.4092589485478486</v>
      </c>
      <c r="J18" s="670" t="s">
        <v>16</v>
      </c>
      <c r="K18" s="671">
        <f>'enc-ag'!S109</f>
        <v>53.398647832800727</v>
      </c>
      <c r="L18" s="671">
        <f>'enc-ag'!P109</f>
        <v>80.617468575617522</v>
      </c>
      <c r="M18" s="671">
        <f>'enc-ag'!J109</f>
        <v>93.626454733496757</v>
      </c>
      <c r="N18" s="672">
        <f t="shared" si="3"/>
        <v>40.227806900696031</v>
      </c>
      <c r="O18" s="674">
        <f t="shared" si="2"/>
        <v>13.008986157879235</v>
      </c>
      <c r="Q18" s="123"/>
    </row>
    <row r="19" spans="2:17">
      <c r="B19" s="116"/>
      <c r="C19" s="784">
        <f>C18-'Solde créances_DCM'!C11</f>
        <v>0</v>
      </c>
      <c r="D19" s="123"/>
      <c r="E19" s="563">
        <f>E18-'Solde créances_DCM'!E11</f>
        <v>-123.79869489000521</v>
      </c>
    </row>
    <row r="20" spans="2:17" ht="18">
      <c r="B20" s="666" t="s">
        <v>362</v>
      </c>
      <c r="D20" s="784"/>
      <c r="J20" s="666"/>
    </row>
    <row r="21" spans="2:17" ht="18">
      <c r="B21" s="666" t="s">
        <v>332</v>
      </c>
      <c r="J21" s="666"/>
    </row>
    <row r="22" spans="2:17" ht="18">
      <c r="B22" s="3118" t="s">
        <v>333</v>
      </c>
      <c r="C22" s="3118"/>
      <c r="D22" s="3118"/>
      <c r="E22" s="3118"/>
      <c r="F22" s="3118"/>
      <c r="G22" s="3118"/>
      <c r="H22" s="3118"/>
      <c r="J22" s="3118" t="s">
        <v>338</v>
      </c>
      <c r="K22" s="3118"/>
      <c r="L22" s="3118"/>
      <c r="M22" s="3118"/>
      <c r="N22" s="3118"/>
      <c r="O22" s="3118"/>
      <c r="P22" s="675"/>
    </row>
    <row r="23" spans="2:17" ht="27.6">
      <c r="B23" s="676"/>
      <c r="C23" s="107" t="str">
        <f t="shared" ref="C23:H23" si="4">C7</f>
        <v xml:space="preserve"> Solde au 31/12/ 2023</v>
      </c>
      <c r="D23" s="2745">
        <f t="shared" si="4"/>
        <v>45139</v>
      </c>
      <c r="E23" s="2745">
        <f t="shared" si="4"/>
        <v>45505</v>
      </c>
      <c r="F23" s="107" t="str">
        <f t="shared" si="4"/>
        <v>Objectif 2024</v>
      </c>
      <c r="G23" s="107" t="str">
        <f t="shared" si="4"/>
        <v>évol° 24/23 (%)</v>
      </c>
      <c r="H23" s="107" t="str">
        <f t="shared" si="4"/>
        <v>évol° 24/23-mois (%)</v>
      </c>
      <c r="J23" s="676"/>
      <c r="K23" s="107" t="str">
        <f>K7</f>
        <v>DCC au 31/12/ 2023</v>
      </c>
      <c r="L23" s="2745">
        <f>L7</f>
        <v>45139</v>
      </c>
      <c r="M23" s="2745">
        <f>M7</f>
        <v>45505</v>
      </c>
      <c r="N23" s="107" t="str">
        <f>N7</f>
        <v>évol° 24/23 (%)</v>
      </c>
      <c r="O23" s="107" t="str">
        <f>O7</f>
        <v>évol° 24/23-mois (%)</v>
      </c>
      <c r="P23" s="115"/>
      <c r="Q23" s="123"/>
    </row>
    <row r="24" spans="2:17">
      <c r="B24" s="677" t="s">
        <v>6</v>
      </c>
      <c r="C24" s="1259">
        <f>'calcul-DCC-TX-Encais'!AP4</f>
        <v>776.8180182599998</v>
      </c>
      <c r="D24" s="1259">
        <f>'calcul-DCC-TX-Encais'!D20</f>
        <v>734.34091131000014</v>
      </c>
      <c r="E24" s="792">
        <f>'calcul-DCC-TX-Encais'!AP20</f>
        <v>1109.4241201999994</v>
      </c>
      <c r="F24" s="1811"/>
      <c r="G24" s="678">
        <f>((E24-C24)/C24)*100</f>
        <v>42.816476204427687</v>
      </c>
      <c r="H24" s="668">
        <f>((E24-D24)/D24)*100</f>
        <v>51.077531309114107</v>
      </c>
      <c r="J24" s="677" t="s">
        <v>6</v>
      </c>
      <c r="K24" s="539">
        <v>81.450415707072736</v>
      </c>
      <c r="L24" s="103">
        <f>'calcul-DCC-TX-Encais'!D98</f>
        <v>69.687114993509212</v>
      </c>
      <c r="M24" s="539">
        <f>'calcul-DCC-TX-Encais'!AP98</f>
        <v>119.72313932061486</v>
      </c>
      <c r="N24" s="669">
        <f>M24-K24</f>
        <v>38.272723613542126</v>
      </c>
      <c r="O24" s="669">
        <f>M24-L24</f>
        <v>50.03602432710565</v>
      </c>
      <c r="P24" s="115"/>
    </row>
    <row r="25" spans="2:17">
      <c r="B25" s="677" t="s">
        <v>7</v>
      </c>
      <c r="C25" s="1259">
        <f>'calcul-DCC-TX-Encais'!AP5</f>
        <v>318.04000000000002</v>
      </c>
      <c r="D25" s="1259">
        <f>'calcul-DCC-TX-Encais'!D21</f>
        <v>343.18</v>
      </c>
      <c r="E25" s="792">
        <f>'calcul-DCC-TX-Encais'!AP21</f>
        <v>524.35500000000002</v>
      </c>
      <c r="F25" s="1811"/>
      <c r="G25" s="678">
        <f t="shared" ref="G25:G33" si="5">((E25-C25)/C25)*100</f>
        <v>64.870770972204753</v>
      </c>
      <c r="H25" s="668">
        <f t="shared" ref="H25:H33" si="6">((E25-D25)/D25)*100</f>
        <v>52.792994929774459</v>
      </c>
      <c r="J25" s="677" t="s">
        <v>7</v>
      </c>
      <c r="K25" s="539">
        <v>94.093530515556679</v>
      </c>
      <c r="L25" s="103">
        <f>'calcul-DCC-TX-Encais'!D99</f>
        <v>54.719286618854206</v>
      </c>
      <c r="M25" s="539">
        <f>'calcul-DCC-TX-Encais'!AP99</f>
        <v>143.08877531769241</v>
      </c>
      <c r="N25" s="669">
        <f>M25-K25</f>
        <v>48.99524480213573</v>
      </c>
      <c r="O25" s="669">
        <f t="shared" ref="O25:O33" si="7">M25-L25</f>
        <v>88.369488698838211</v>
      </c>
      <c r="P25" s="115"/>
    </row>
    <row r="26" spans="2:17">
      <c r="B26" s="677" t="s">
        <v>8</v>
      </c>
      <c r="C26" s="1259">
        <f>'calcul-DCC-TX-Encais'!AP6</f>
        <v>238.69598236000002</v>
      </c>
      <c r="D26" s="1259">
        <f>'calcul-DCC-TX-Encais'!D22</f>
        <v>306.63920199</v>
      </c>
      <c r="E26" s="792">
        <f>'calcul-DCC-TX-Encais'!AP22</f>
        <v>495.46004759000004</v>
      </c>
      <c r="F26" s="1811"/>
      <c r="G26" s="678">
        <f t="shared" si="5"/>
        <v>107.56949601386663</v>
      </c>
      <c r="H26" s="668">
        <f t="shared" si="6"/>
        <v>61.577529674812347</v>
      </c>
      <c r="J26" s="677" t="s">
        <v>8</v>
      </c>
      <c r="K26" s="539">
        <v>132.92510548901467</v>
      </c>
      <c r="L26" s="103">
        <f>'calcul-DCC-TX-Encais'!D100</f>
        <v>162.735538109473</v>
      </c>
      <c r="M26" s="539">
        <f>'calcul-DCC-TX-Encais'!AP100</f>
        <v>254.25997579299559</v>
      </c>
      <c r="N26" s="669">
        <f t="shared" ref="N26:N34" si="8">M26-K26</f>
        <v>121.33487030398092</v>
      </c>
      <c r="O26" s="669">
        <f t="shared" si="7"/>
        <v>91.524437683522592</v>
      </c>
      <c r="P26" s="115"/>
    </row>
    <row r="27" spans="2:17">
      <c r="B27" s="677" t="s">
        <v>4</v>
      </c>
      <c r="C27" s="1259">
        <f>'calcul-DCC-TX-Encais'!AP7</f>
        <v>758.28989641999999</v>
      </c>
      <c r="D27" s="1259">
        <f>'calcul-DCC-TX-Encais'!D23</f>
        <v>504.87290181999953</v>
      </c>
      <c r="E27" s="792">
        <f>'calcul-DCC-TX-Encais'!AP23</f>
        <v>1315.9505770800001</v>
      </c>
      <c r="F27" s="1811"/>
      <c r="G27" s="678">
        <f t="shared" si="5"/>
        <v>73.541884613364843</v>
      </c>
      <c r="H27" s="668">
        <f t="shared" si="6"/>
        <v>160.64987293557917</v>
      </c>
      <c r="J27" s="677" t="s">
        <v>4</v>
      </c>
      <c r="K27" s="539">
        <v>157.80758532203808</v>
      </c>
      <c r="L27" s="103">
        <f>'calcul-DCC-TX-Encais'!D101</f>
        <v>104.59730147495317</v>
      </c>
      <c r="M27" s="539">
        <f>'calcul-DCC-TX-Encais'!AP101</f>
        <v>247.07897953069644</v>
      </c>
      <c r="N27" s="669">
        <f t="shared" si="8"/>
        <v>89.271394208658364</v>
      </c>
      <c r="O27" s="669">
        <f t="shared" si="7"/>
        <v>142.48167805574326</v>
      </c>
      <c r="P27" s="115"/>
    </row>
    <row r="28" spans="2:17">
      <c r="B28" s="677" t="s">
        <v>3</v>
      </c>
      <c r="C28" s="1259">
        <f>'calcul-DCC-TX-Encais'!AP8</f>
        <v>363.79899999999998</v>
      </c>
      <c r="D28" s="1259">
        <f>'calcul-DCC-TX-Encais'!D24</f>
        <v>353.13390029999999</v>
      </c>
      <c r="E28" s="792">
        <f>'calcul-DCC-TX-Encais'!AP24</f>
        <v>580.23</v>
      </c>
      <c r="F28" s="1811"/>
      <c r="G28" s="678">
        <f t="shared" si="5"/>
        <v>59.491917240014416</v>
      </c>
      <c r="H28" s="668">
        <f t="shared" si="6"/>
        <v>64.308779051536462</v>
      </c>
      <c r="J28" s="677" t="s">
        <v>3</v>
      </c>
      <c r="K28" s="539">
        <v>114.38295715458942</v>
      </c>
      <c r="L28" s="103">
        <f>'calcul-DCC-TX-Encais'!D102</f>
        <v>126.2245097350133</v>
      </c>
      <c r="M28" s="539">
        <f>'calcul-DCC-TX-Encais'!AP102</f>
        <v>156.98633015584554</v>
      </c>
      <c r="N28" s="669">
        <f t="shared" si="8"/>
        <v>42.603373001256116</v>
      </c>
      <c r="O28" s="669">
        <f t="shared" si="7"/>
        <v>30.761820420832237</v>
      </c>
      <c r="P28" s="115"/>
    </row>
    <row r="29" spans="2:17">
      <c r="B29" s="677" t="s">
        <v>397</v>
      </c>
      <c r="C29" s="1259">
        <f>'calcul-DCC-TX-Encais'!AP9</f>
        <v>331.70199885999972</v>
      </c>
      <c r="D29" s="1259">
        <f>'calcul-DCC-TX-Encais'!D25</f>
        <v>525.37702320999995</v>
      </c>
      <c r="E29" s="792">
        <f>'calcul-DCC-TX-Encais'!AP25</f>
        <v>584.20545579999964</v>
      </c>
      <c r="F29" s="1811"/>
      <c r="G29" s="678">
        <f t="shared" si="5"/>
        <v>76.123586173073733</v>
      </c>
      <c r="H29" s="668">
        <f>((E29-D29)/D29)*100</f>
        <v>11.197374455122528</v>
      </c>
      <c r="J29" s="677" t="s">
        <v>397</v>
      </c>
      <c r="K29" s="539">
        <v>103.29659009932651</v>
      </c>
      <c r="L29" s="103">
        <f>'calcul-DCC-TX-Encais'!D103</f>
        <v>168.26384849206673</v>
      </c>
      <c r="M29" s="539">
        <f>'calcul-DCC-TX-Encais'!AP103</f>
        <v>120.40255054416379</v>
      </c>
      <c r="N29" s="669">
        <f t="shared" si="8"/>
        <v>17.10596044483728</v>
      </c>
      <c r="O29" s="669">
        <f t="shared" si="7"/>
        <v>-47.861297947902941</v>
      </c>
      <c r="P29" s="115"/>
    </row>
    <row r="30" spans="2:17">
      <c r="B30" s="677" t="s">
        <v>399</v>
      </c>
      <c r="C30" s="1259">
        <f>'calcul-DCC-TX-Encais'!AP10</f>
        <v>560.6413426199997</v>
      </c>
      <c r="D30" s="1259">
        <f>'calcul-DCC-TX-Encais'!D26</f>
        <v>597.33677894000004</v>
      </c>
      <c r="E30" s="792">
        <f>'calcul-DCC-TX-Encais'!AP26</f>
        <v>1084.1548809399994</v>
      </c>
      <c r="F30" s="1811"/>
      <c r="G30" s="678">
        <f t="shared" si="5"/>
        <v>93.377619258955534</v>
      </c>
      <c r="H30" s="668">
        <f t="shared" si="6"/>
        <v>81.498096076367361</v>
      </c>
      <c r="J30" s="677" t="s">
        <v>399</v>
      </c>
      <c r="K30" s="539">
        <v>66.104822720462394</v>
      </c>
      <c r="L30" s="103">
        <f>'calcul-DCC-TX-Encais'!D104</f>
        <v>72.174816683685151</v>
      </c>
      <c r="M30" s="539">
        <f>'calcul-DCC-TX-Encais'!AP104</f>
        <v>143.54679843689797</v>
      </c>
      <c r="N30" s="669">
        <f t="shared" si="8"/>
        <v>77.441975716435579</v>
      </c>
      <c r="O30" s="669">
        <f t="shared" si="7"/>
        <v>71.371981753212822</v>
      </c>
      <c r="P30" s="115"/>
    </row>
    <row r="31" spans="2:17">
      <c r="B31" s="677" t="s">
        <v>883</v>
      </c>
      <c r="C31" s="1259">
        <f>'calcul-DCC-TX-Encais'!AP11</f>
        <v>61.87929793</v>
      </c>
      <c r="D31" s="1259">
        <f>'calcul-DCC-TX-Encais'!D27</f>
        <v>126.35862676000001</v>
      </c>
      <c r="E31" s="792">
        <f>'calcul-DCC-TX-Encais'!AP27</f>
        <v>123.11480054000009</v>
      </c>
      <c r="F31" s="1811"/>
      <c r="G31" s="678">
        <f t="shared" si="5"/>
        <v>98.959594983239469</v>
      </c>
      <c r="H31" s="668">
        <f t="shared" si="6"/>
        <v>-2.5671584941810877</v>
      </c>
      <c r="J31" s="677" t="s">
        <v>883</v>
      </c>
      <c r="K31" s="539">
        <v>22.648487874155919</v>
      </c>
      <c r="L31" s="103">
        <f>'calcul-DCC-TX-Encais'!D105</f>
        <v>47.177725864418733</v>
      </c>
      <c r="M31" s="539">
        <f>'calcul-DCC-TX-Encais'!AP105</f>
        <v>43.782341814858604</v>
      </c>
      <c r="N31" s="669">
        <f t="shared" si="8"/>
        <v>21.133853940702686</v>
      </c>
      <c r="O31" s="669">
        <f t="shared" si="7"/>
        <v>-3.3953840495601284</v>
      </c>
      <c r="P31" s="115"/>
    </row>
    <row r="32" spans="2:17">
      <c r="B32" s="677" t="s">
        <v>884</v>
      </c>
      <c r="C32" s="1259">
        <f>'calcul-DCC-TX-Encais'!AP12</f>
        <v>41.458679550001271</v>
      </c>
      <c r="D32" s="1259">
        <f>'calcul-DCC-TX-Encais'!D28</f>
        <v>71.215843890001295</v>
      </c>
      <c r="E32" s="792">
        <f>'calcul-DCC-TX-Encais'!AP28</f>
        <v>50.225951850001231</v>
      </c>
      <c r="F32" s="1812"/>
      <c r="G32" s="1244">
        <f t="shared" si="5"/>
        <v>21.147012869587861</v>
      </c>
      <c r="H32" s="1245">
        <f t="shared" si="6"/>
        <v>-29.473626785102304</v>
      </c>
      <c r="J32" s="677" t="s">
        <v>884</v>
      </c>
      <c r="K32" s="539">
        <v>17.096281286516671</v>
      </c>
      <c r="L32" s="103">
        <f>'calcul-DCC-TX-Encais'!D106</f>
        <v>29.45365773424389</v>
      </c>
      <c r="M32" s="539">
        <f>'calcul-DCC-TX-Encais'!AP106</f>
        <v>19.885322256860842</v>
      </c>
      <c r="N32" s="669">
        <f t="shared" si="8"/>
        <v>2.7890409703441712</v>
      </c>
      <c r="O32" s="669">
        <f t="shared" si="7"/>
        <v>-9.568335477383048</v>
      </c>
      <c r="P32" s="115"/>
    </row>
    <row r="33" spans="2:16" ht="14.4" thickBot="1">
      <c r="B33" s="677" t="s">
        <v>885</v>
      </c>
      <c r="C33" s="1259">
        <f>'calcul-DCC-TX-Encais'!AP13</f>
        <v>3.3366595000000001</v>
      </c>
      <c r="D33" s="1259">
        <f>'calcul-DCC-TX-Encais'!D29</f>
        <v>9.2145063100000009</v>
      </c>
      <c r="E33" s="792">
        <f>'calcul-DCC-TX-Encais'!AP29</f>
        <v>8.5250017400000004</v>
      </c>
      <c r="F33" s="1811"/>
      <c r="G33" s="678">
        <f t="shared" si="5"/>
        <v>155.49510640807071</v>
      </c>
      <c r="H33" s="668">
        <f t="shared" si="6"/>
        <v>-7.4828161900732413</v>
      </c>
      <c r="J33" s="677" t="s">
        <v>885</v>
      </c>
      <c r="K33" s="539">
        <v>10.149241057579582</v>
      </c>
      <c r="L33" s="103">
        <f>'calcul-DCC-TX-Encais'!D107</f>
        <v>26.305239076828695</v>
      </c>
      <c r="M33" s="539">
        <f>'calcul-DCC-TX-Encais'!AP107</f>
        <v>23.730014115359708</v>
      </c>
      <c r="N33" s="669">
        <f t="shared" si="8"/>
        <v>13.580773057780126</v>
      </c>
      <c r="O33" s="669">
        <f t="shared" si="7"/>
        <v>-2.5752249614689866</v>
      </c>
      <c r="P33" s="115"/>
    </row>
    <row r="34" spans="2:16" ht="14.4" thickBot="1">
      <c r="B34" s="670" t="s">
        <v>49</v>
      </c>
      <c r="C34" s="781">
        <f>SUM(C24:C33)</f>
        <v>3454.6608755000007</v>
      </c>
      <c r="D34" s="781">
        <f>SUM(D24:D33)</f>
        <v>3571.6696945300009</v>
      </c>
      <c r="E34" s="781">
        <f>SUM(E24:E33)</f>
        <v>5875.6458357400006</v>
      </c>
      <c r="F34" s="781">
        <f>SUM(F24:F33)</f>
        <v>0</v>
      </c>
      <c r="G34" s="679">
        <f>((E34-C34)/C34)*100</f>
        <v>70.078802159983525</v>
      </c>
      <c r="H34" s="680">
        <f>((E34-D34)/D34)*100</f>
        <v>64.50697679963325</v>
      </c>
      <c r="J34" s="670" t="s">
        <v>49</v>
      </c>
      <c r="K34" s="671">
        <v>86.633028595783259</v>
      </c>
      <c r="L34" s="681">
        <f>'calcul-DCC-TX-Encais'!D108</f>
        <v>82.747968696020365</v>
      </c>
      <c r="M34" s="671">
        <f>'calcul-DCC-TX-Encais'!AP108</f>
        <v>139.88442332698611</v>
      </c>
      <c r="N34" s="682">
        <f t="shared" si="8"/>
        <v>53.251394731202851</v>
      </c>
      <c r="O34" s="674">
        <f>M34-L34</f>
        <v>57.136454630965744</v>
      </c>
    </row>
    <row r="36" spans="2:16">
      <c r="D36" s="123"/>
      <c r="K36" s="123"/>
    </row>
    <row r="37" spans="2:16" ht="18">
      <c r="B37" s="666" t="s">
        <v>376</v>
      </c>
      <c r="I37" s="666"/>
    </row>
    <row r="40" spans="2:16" ht="18">
      <c r="B40" s="3118" t="s">
        <v>337</v>
      </c>
      <c r="C40" s="3118"/>
      <c r="D40" s="3118"/>
      <c r="E40" s="3118"/>
      <c r="F40" s="3118"/>
      <c r="G40" s="3118"/>
      <c r="H40" s="3118"/>
      <c r="I40" s="675"/>
      <c r="J40" s="3118" t="s">
        <v>336</v>
      </c>
      <c r="K40" s="3118"/>
      <c r="L40" s="3118"/>
      <c r="M40" s="3118"/>
      <c r="N40" s="3118"/>
      <c r="O40" s="3118"/>
      <c r="P40" s="675"/>
    </row>
    <row r="41" spans="2:16" ht="27.6">
      <c r="B41" s="676"/>
      <c r="C41" s="107" t="str">
        <f>C23</f>
        <v xml:space="preserve"> Solde au 31/12/ 2023</v>
      </c>
      <c r="D41" s="2745">
        <f>D7</f>
        <v>45139</v>
      </c>
      <c r="E41" s="2745">
        <f>E23</f>
        <v>45505</v>
      </c>
      <c r="F41" s="107" t="str">
        <f>F23</f>
        <v>Objectif 2024</v>
      </c>
      <c r="G41" s="107" t="str">
        <f>G23</f>
        <v>évol° 24/23 (%)</v>
      </c>
      <c r="H41" s="107" t="str">
        <f>H23</f>
        <v>évol° 24/23-mois (%)</v>
      </c>
      <c r="I41" s="115"/>
      <c r="J41" s="107"/>
      <c r="K41" s="107" t="str">
        <f>K23</f>
        <v>DCC au 31/12/ 2023</v>
      </c>
      <c r="L41" s="2745">
        <f>L7</f>
        <v>45139</v>
      </c>
      <c r="M41" s="2745">
        <f>M23</f>
        <v>45505</v>
      </c>
      <c r="N41" s="107" t="str">
        <f>N23</f>
        <v>évol° 24/23 (%)</v>
      </c>
      <c r="O41" s="107" t="str">
        <f>O23</f>
        <v>évol° 24/23-mois (%)</v>
      </c>
    </row>
    <row r="42" spans="2:16">
      <c r="B42" s="677" t="s">
        <v>6</v>
      </c>
      <c r="C42" s="1261">
        <f>'calcul-DCC-TX-Encais'!AQ4</f>
        <v>0.19742166000000724</v>
      </c>
      <c r="D42" s="1261">
        <f>'calcul-DCC-TX-Encais'!E20</f>
        <v>1.6828933700000088</v>
      </c>
      <c r="E42" s="792">
        <f>'calcul-DCC-TX-Encais'!AQ20</f>
        <v>0.98603330000000278</v>
      </c>
      <c r="F42" s="1811"/>
      <c r="G42" s="678">
        <f>((E42-C42)/C42)*100</f>
        <v>399.45548021426151</v>
      </c>
      <c r="H42" s="668">
        <f>((E42-D42)/D42)*100</f>
        <v>-41.408450613837907</v>
      </c>
      <c r="I42" s="684"/>
      <c r="J42" s="667" t="s">
        <v>6</v>
      </c>
      <c r="K42" s="539">
        <v>1.5045968109921444</v>
      </c>
      <c r="L42" s="103">
        <f>'calcul-DCC-TX-Encais'!E98</f>
        <v>10.80735070855763</v>
      </c>
      <c r="M42" s="539">
        <f>'calcul-DCC-TX-Encais'!AQ98</f>
        <v>9.1920316780601343</v>
      </c>
      <c r="N42" s="669">
        <f>M42-K42</f>
        <v>7.6874348670679904</v>
      </c>
      <c r="O42" s="669">
        <f>M42-L42</f>
        <v>-1.6153190304974956</v>
      </c>
      <c r="P42" s="430">
        <f>+E42/C42*100-100-G42</f>
        <v>0</v>
      </c>
    </row>
    <row r="43" spans="2:16">
      <c r="B43" s="677" t="s">
        <v>7</v>
      </c>
      <c r="C43" s="1261">
        <f>'calcul-DCC-TX-Encais'!AQ5</f>
        <v>0.35322000000000114</v>
      </c>
      <c r="D43" s="1261">
        <f>'calcul-DCC-TX-Encais'!E21</f>
        <v>0.99421999999999389</v>
      </c>
      <c r="E43" s="792">
        <f>'calcul-DCC-TX-Encais'!AQ21</f>
        <v>4.7482200000000008</v>
      </c>
      <c r="F43" s="1811"/>
      <c r="G43" s="678">
        <f t="shared" ref="G43:G52" si="9">((E43-C43)/C43)*100</f>
        <v>1244.2670290470487</v>
      </c>
      <c r="H43" s="668">
        <f t="shared" ref="H43:H52" si="10">((E43-D43)/D43)*100</f>
        <v>377.58242642473795</v>
      </c>
      <c r="I43" s="684"/>
      <c r="J43" s="667" t="s">
        <v>7</v>
      </c>
      <c r="K43" s="539">
        <v>1.7638331120195989</v>
      </c>
      <c r="L43" s="103">
        <f>'calcul-DCC-TX-Encais'!E99</f>
        <v>2.744379425764147</v>
      </c>
      <c r="M43" s="539">
        <f>'calcul-DCC-TX-Encais'!AQ99</f>
        <v>18.987566606875443</v>
      </c>
      <c r="N43" s="669">
        <f t="shared" ref="N43:N52" si="11">M43-K43</f>
        <v>17.223733494855843</v>
      </c>
      <c r="O43" s="669">
        <f t="shared" ref="O43:O52" si="12">M43-L43</f>
        <v>16.243187181111296</v>
      </c>
      <c r="P43" s="430">
        <f>+E43/C43*100-100-G43</f>
        <v>0</v>
      </c>
    </row>
    <row r="44" spans="2:16">
      <c r="B44" s="677" t="s">
        <v>8</v>
      </c>
      <c r="C44" s="1261">
        <f>'calcul-DCC-TX-Encais'!AQ6</f>
        <v>3.8824438899999949</v>
      </c>
      <c r="D44" s="1261">
        <f>'calcul-DCC-TX-Encais'!E22</f>
        <v>15.041513070000001</v>
      </c>
      <c r="E44" s="792">
        <f>'calcul-DCC-TX-Encais'!AQ22</f>
        <v>13.566429179999991</v>
      </c>
      <c r="F44" s="1811"/>
      <c r="G44" s="678">
        <f t="shared" si="9"/>
        <v>249.43014153901936</v>
      </c>
      <c r="H44" s="668">
        <f t="shared" si="10"/>
        <v>-9.8067520410698243</v>
      </c>
      <c r="I44" s="684"/>
      <c r="J44" s="667" t="s">
        <v>8</v>
      </c>
      <c r="K44" s="539">
        <v>14.226605146955114</v>
      </c>
      <c r="L44" s="103">
        <f>'calcul-DCC-TX-Encais'!E100</f>
        <v>52.091151516781729</v>
      </c>
      <c r="M44" s="539">
        <f>'calcul-DCC-TX-Encais'!AQ100</f>
        <v>42.627664904010558</v>
      </c>
      <c r="N44" s="669">
        <f t="shared" si="11"/>
        <v>28.401059757055442</v>
      </c>
      <c r="O44" s="669">
        <f t="shared" si="12"/>
        <v>-9.4634866127711703</v>
      </c>
      <c r="P44" s="430">
        <f t="shared" ref="P44:P52" si="13">+E44/C44*100-100-G44</f>
        <v>0</v>
      </c>
    </row>
    <row r="45" spans="2:16">
      <c r="B45" s="677" t="s">
        <v>4</v>
      </c>
      <c r="C45" s="1261">
        <f>'calcul-DCC-TX-Encais'!AQ7</f>
        <v>6.2690328900000019</v>
      </c>
      <c r="D45" s="1261">
        <f>'calcul-DCC-TX-Encais'!E23</f>
        <v>12.984259819999991</v>
      </c>
      <c r="E45" s="792">
        <f>'calcul-DCC-TX-Encais'!AQ23</f>
        <v>8.7440808899999976</v>
      </c>
      <c r="F45" s="1811"/>
      <c r="G45" s="678">
        <f>((E45-C45)/C45)*100</f>
        <v>39.480539397839962</v>
      </c>
      <c r="H45" s="668">
        <f>((E45-D45)/D45)*100</f>
        <v>-32.656300696237892</v>
      </c>
      <c r="I45" s="684"/>
      <c r="J45" s="667" t="s">
        <v>4</v>
      </c>
      <c r="K45" s="539">
        <v>14.531073865648422</v>
      </c>
      <c r="L45" s="103">
        <f>'calcul-DCC-TX-Encais'!E101</f>
        <v>30.762877706260753</v>
      </c>
      <c r="M45" s="539">
        <f>'calcul-DCC-TX-Encais'!AQ101</f>
        <v>19.169304125669932</v>
      </c>
      <c r="N45" s="669">
        <f t="shared" si="11"/>
        <v>4.6382302600215102</v>
      </c>
      <c r="O45" s="669">
        <f t="shared" si="12"/>
        <v>-11.593573580590821</v>
      </c>
      <c r="P45" s="430">
        <f t="shared" si="13"/>
        <v>0</v>
      </c>
    </row>
    <row r="46" spans="2:16">
      <c r="B46" s="677" t="s">
        <v>3</v>
      </c>
      <c r="C46" s="1261">
        <f>'calcul-DCC-TX-Encais'!AQ8</f>
        <v>10.38730266</v>
      </c>
      <c r="D46" s="1261">
        <f>'calcul-DCC-TX-Encais'!E24</f>
        <v>18.221117079999999</v>
      </c>
      <c r="E46" s="792">
        <f>'calcul-DCC-TX-Encais'!AQ24</f>
        <v>17.042999999999999</v>
      </c>
      <c r="F46" s="1811"/>
      <c r="G46" s="678">
        <f t="shared" si="9"/>
        <v>64.075319241732771</v>
      </c>
      <c r="H46" s="668">
        <f t="shared" si="10"/>
        <v>-6.4656687887326827</v>
      </c>
      <c r="I46" s="684"/>
      <c r="J46" s="667" t="s">
        <v>3</v>
      </c>
      <c r="K46" s="539">
        <v>43.586017478480969</v>
      </c>
      <c r="L46" s="103">
        <f>'calcul-DCC-TX-Encais'!E102</f>
        <v>102.88262069992336</v>
      </c>
      <c r="M46" s="539">
        <f>'calcul-DCC-TX-Encais'!AQ102</f>
        <v>78.049086746500507</v>
      </c>
      <c r="N46" s="669">
        <f t="shared" si="11"/>
        <v>34.463069268019538</v>
      </c>
      <c r="O46" s="669">
        <f t="shared" si="12"/>
        <v>-24.833533953422858</v>
      </c>
      <c r="P46" s="430">
        <f t="shared" si="13"/>
        <v>0</v>
      </c>
    </row>
    <row r="47" spans="2:16">
      <c r="B47" s="677" t="s">
        <v>397</v>
      </c>
      <c r="C47" s="1261">
        <f>'calcul-DCC-TX-Encais'!AQ9</f>
        <v>1.3208454765299988</v>
      </c>
      <c r="D47" s="1261">
        <f>'calcul-DCC-TX-Encais'!E25</f>
        <v>1.6504564865299987</v>
      </c>
      <c r="E47" s="792">
        <f>'calcul-DCC-TX-Encais'!AQ25</f>
        <v>1.4198499065299988</v>
      </c>
      <c r="F47" s="1811"/>
      <c r="G47" s="678">
        <f>((E47-C47)/C47)*100</f>
        <v>7.4955346222705073</v>
      </c>
      <c r="H47" s="668">
        <f>((E47-D47)/D47)*100</f>
        <v>-13.97229081057681</v>
      </c>
      <c r="I47" s="684"/>
      <c r="J47" s="667" t="s">
        <v>397</v>
      </c>
      <c r="K47" s="539">
        <v>187.36253531889835</v>
      </c>
      <c r="L47" s="103">
        <f>'calcul-DCC-TX-Encais'!E103</f>
        <v>295.77871459922977</v>
      </c>
      <c r="M47" s="539">
        <f>'calcul-DCC-TX-Encais'!AQ103</f>
        <v>235.74855858250092</v>
      </c>
      <c r="N47" s="669">
        <f t="shared" si="11"/>
        <v>48.386023263602567</v>
      </c>
      <c r="O47" s="669">
        <f t="shared" si="12"/>
        <v>-60.030156016728853</v>
      </c>
      <c r="P47" s="430">
        <f>+E47/C47*100-100-G47</f>
        <v>0</v>
      </c>
    </row>
    <row r="48" spans="2:16">
      <c r="B48" s="677" t="s">
        <v>399</v>
      </c>
      <c r="C48" s="1261">
        <f>'calcul-DCC-TX-Encais'!AQ10</f>
        <v>5.5537689200000022</v>
      </c>
      <c r="D48" s="1261">
        <f>'calcul-DCC-TX-Encais'!E26</f>
        <v>11.433495499999999</v>
      </c>
      <c r="E48" s="792">
        <f>'calcul-DCC-TX-Encais'!AQ26</f>
        <v>16.490000000000016</v>
      </c>
      <c r="F48" s="1811"/>
      <c r="G48" s="678">
        <f t="shared" si="9"/>
        <v>196.91548635768606</v>
      </c>
      <c r="H48" s="668">
        <f t="shared" si="10"/>
        <v>44.225359602406954</v>
      </c>
      <c r="I48" s="684"/>
      <c r="J48" s="667" t="s">
        <v>399</v>
      </c>
      <c r="K48" s="539">
        <v>18.982318221801485</v>
      </c>
      <c r="L48" s="103">
        <f>'calcul-DCC-TX-Encais'!E104</f>
        <v>39.203828887749196</v>
      </c>
      <c r="M48" s="539">
        <f>'calcul-DCC-TX-Encais'!AQ104</f>
        <v>47.879321715480678</v>
      </c>
      <c r="N48" s="669">
        <f t="shared" si="11"/>
        <v>28.897003493679193</v>
      </c>
      <c r="O48" s="669">
        <f t="shared" si="12"/>
        <v>8.6754928277314818</v>
      </c>
      <c r="P48" s="430">
        <f>+E48/C48*100-100-G48</f>
        <v>0</v>
      </c>
    </row>
    <row r="49" spans="1:16">
      <c r="B49" s="677" t="s">
        <v>883</v>
      </c>
      <c r="C49" s="1261">
        <f>'calcul-DCC-TX-Encais'!AQ11</f>
        <v>0.53100018000000004</v>
      </c>
      <c r="D49" s="1261">
        <f>'calcul-DCC-TX-Encais'!E27</f>
        <v>0.55071534000000022</v>
      </c>
      <c r="E49" s="792">
        <f>'calcul-DCC-TX-Encais'!AQ27</f>
        <v>0.72659481999999975</v>
      </c>
      <c r="F49" s="1811"/>
      <c r="G49" s="678">
        <f>((E49-C49)/C49)*100</f>
        <v>36.835136289407608</v>
      </c>
      <c r="H49" s="668">
        <f t="shared" si="10"/>
        <v>31.936550015112974</v>
      </c>
      <c r="I49" s="684"/>
      <c r="J49" s="667" t="s">
        <v>883</v>
      </c>
      <c r="K49" s="539">
        <v>58.250486957105331</v>
      </c>
      <c r="L49" s="103">
        <f>'calcul-DCC-TX-Encais'!E105</f>
        <v>50.66407555012141</v>
      </c>
      <c r="M49" s="539">
        <f>'calcul-DCC-TX-Encais'!AQ105</f>
        <v>78.287020775633437</v>
      </c>
      <c r="N49" s="669">
        <f t="shared" si="11"/>
        <v>20.036533818528106</v>
      </c>
      <c r="O49" s="669">
        <f t="shared" si="12"/>
        <v>27.622945225512026</v>
      </c>
      <c r="P49" s="430">
        <f t="shared" si="13"/>
        <v>0</v>
      </c>
    </row>
    <row r="50" spans="1:16">
      <c r="B50" s="677" t="s">
        <v>884</v>
      </c>
      <c r="C50" s="1261">
        <f>'calcul-DCC-TX-Encais'!AQ12</f>
        <v>3.1588011599999737</v>
      </c>
      <c r="D50" s="1261">
        <f>'calcul-DCC-TX-Encais'!E28</f>
        <v>5.1962285499999563</v>
      </c>
      <c r="E50" s="792">
        <f>'calcul-DCC-TX-Encais'!AQ28</f>
        <v>3.2725944299998666</v>
      </c>
      <c r="F50" s="1811"/>
      <c r="G50" s="678">
        <f t="shared" si="9"/>
        <v>3.6024195331083733</v>
      </c>
      <c r="H50" s="668">
        <f t="shared" si="10"/>
        <v>-37.019813533800502</v>
      </c>
      <c r="I50" s="684"/>
      <c r="J50" s="667" t="s">
        <v>884</v>
      </c>
      <c r="K50" s="539">
        <v>8.3456688636250469</v>
      </c>
      <c r="L50" s="103">
        <f>'calcul-DCC-TX-Encais'!E106</f>
        <v>13.169477772637805</v>
      </c>
      <c r="M50" s="539">
        <f>'calcul-DCC-TX-Encais'!AQ106</f>
        <v>7.9810710707095831</v>
      </c>
      <c r="N50" s="669">
        <f t="shared" si="11"/>
        <v>-0.36459779291546379</v>
      </c>
      <c r="O50" s="669">
        <f t="shared" si="12"/>
        <v>-5.1884067019282218</v>
      </c>
      <c r="P50" s="430">
        <f t="shared" si="13"/>
        <v>0</v>
      </c>
    </row>
    <row r="51" spans="1:16" ht="14.4" thickBot="1">
      <c r="B51" s="677" t="s">
        <v>885</v>
      </c>
      <c r="C51" s="1261">
        <f>'calcul-DCC-TX-Encais'!AQ13</f>
        <v>0</v>
      </c>
      <c r="D51" s="1261">
        <f>'calcul-DCC-TX-Encais'!E29</f>
        <v>2.8229624499999999</v>
      </c>
      <c r="E51" s="792">
        <f>'calcul-DCC-TX-Encais'!AQ29</f>
        <v>2.6162806500000002</v>
      </c>
      <c r="F51" s="1811"/>
      <c r="G51" s="678" t="e">
        <f t="shared" si="9"/>
        <v>#DIV/0!</v>
      </c>
      <c r="H51" s="668">
        <f t="shared" si="10"/>
        <v>-7.3214505563118522</v>
      </c>
      <c r="I51" s="684"/>
      <c r="J51" s="667" t="s">
        <v>885</v>
      </c>
      <c r="K51" s="539">
        <v>0</v>
      </c>
      <c r="L51" s="103">
        <f>'calcul-DCC-TX-Encais'!E107</f>
        <v>26.896304152916606</v>
      </c>
      <c r="M51" s="539">
        <f>'calcul-DCC-TX-Encais'!AQ107</f>
        <v>22.136409084762665</v>
      </c>
      <c r="N51" s="669">
        <f t="shared" si="11"/>
        <v>22.136409084762665</v>
      </c>
      <c r="O51" s="669">
        <f>M51-L51</f>
        <v>-4.7598950681539414</v>
      </c>
      <c r="P51" s="430" t="e">
        <f>+E51/C51*100-100-G51</f>
        <v>#DIV/0!</v>
      </c>
    </row>
    <row r="52" spans="1:16" ht="14.4" thickBot="1">
      <c r="B52" s="670" t="s">
        <v>16</v>
      </c>
      <c r="C52" s="781">
        <f>SUM(C42:C51)</f>
        <v>31.65383683652998</v>
      </c>
      <c r="D52" s="781">
        <f>SUM(D42:D51)</f>
        <v>70.577861666529955</v>
      </c>
      <c r="E52" s="781">
        <f>SUM(E42:E51)</f>
        <v>69.613083176529869</v>
      </c>
      <c r="F52" s="781">
        <f>SUM(F42:F51)</f>
        <v>0</v>
      </c>
      <c r="G52" s="679">
        <f t="shared" si="9"/>
        <v>119.91989007851707</v>
      </c>
      <c r="H52" s="680">
        <f t="shared" si="10"/>
        <v>-1.3669704170955512</v>
      </c>
      <c r="I52" s="685"/>
      <c r="J52" s="670" t="s">
        <v>16</v>
      </c>
      <c r="K52" s="671">
        <v>15.279265821431469</v>
      </c>
      <c r="L52" s="681">
        <f>'calcul-DCC-TX-Encais'!E108</f>
        <v>31.884564575905952</v>
      </c>
      <c r="M52" s="671">
        <f>'calcul-DCC-TX-Encais'!AQ108</f>
        <v>31.104315851025817</v>
      </c>
      <c r="N52" s="682">
        <f t="shared" si="11"/>
        <v>15.825050029594347</v>
      </c>
      <c r="O52" s="674">
        <f t="shared" si="12"/>
        <v>-0.78024872488013486</v>
      </c>
      <c r="P52" s="430">
        <f t="shared" si="13"/>
        <v>0</v>
      </c>
    </row>
    <row r="53" spans="1:16">
      <c r="D53" s="784"/>
      <c r="E53" s="784"/>
      <c r="F53" s="784"/>
      <c r="G53" s="123"/>
    </row>
    <row r="54" spans="1:16">
      <c r="D54" s="123"/>
      <c r="E54" s="123"/>
      <c r="F54" s="123"/>
      <c r="G54" s="123"/>
    </row>
    <row r="55" spans="1:16" ht="18">
      <c r="B55" s="666" t="s">
        <v>377</v>
      </c>
      <c r="J55" s="666"/>
    </row>
    <row r="56" spans="1:16" ht="18">
      <c r="B56" s="666" t="s">
        <v>366</v>
      </c>
      <c r="J56" s="666"/>
    </row>
    <row r="57" spans="1:16" ht="18">
      <c r="B57" s="3118" t="s">
        <v>367</v>
      </c>
      <c r="C57" s="3118"/>
      <c r="D57" s="3118"/>
      <c r="E57" s="3118"/>
      <c r="F57" s="3118"/>
      <c r="G57" s="3118"/>
      <c r="H57" s="3118"/>
      <c r="J57" s="3118" t="s">
        <v>368</v>
      </c>
      <c r="K57" s="3118"/>
      <c r="L57" s="3118"/>
      <c r="M57" s="3118"/>
      <c r="N57" s="3118"/>
      <c r="O57" s="3118"/>
    </row>
    <row r="58" spans="1:16" ht="27.6">
      <c r="B58" s="676"/>
      <c r="C58" s="107" t="str">
        <f t="shared" ref="C58:H58" si="14">C41</f>
        <v xml:space="preserve"> Solde au 31/12/ 2023</v>
      </c>
      <c r="D58" s="2745">
        <f t="shared" si="14"/>
        <v>45139</v>
      </c>
      <c r="E58" s="2745">
        <f t="shared" si="14"/>
        <v>45505</v>
      </c>
      <c r="F58" s="107" t="str">
        <f t="shared" si="14"/>
        <v>Objectif 2024</v>
      </c>
      <c r="G58" s="107" t="str">
        <f t="shared" si="14"/>
        <v>évol° 24/23 (%)</v>
      </c>
      <c r="H58" s="107" t="str">
        <f t="shared" si="14"/>
        <v>évol° 24/23-mois (%)</v>
      </c>
      <c r="J58" s="676"/>
      <c r="K58" s="107" t="str">
        <f>K41</f>
        <v>DCC au 31/12/ 2023</v>
      </c>
      <c r="L58" s="2745">
        <f>L41</f>
        <v>45139</v>
      </c>
      <c r="M58" s="2745">
        <f>M41</f>
        <v>45505</v>
      </c>
      <c r="N58" s="107" t="str">
        <f>N41</f>
        <v>évol° 24/23 (%)</v>
      </c>
      <c r="O58" s="107" t="str">
        <f>O41</f>
        <v>évol° 24/23-mois (%)</v>
      </c>
    </row>
    <row r="59" spans="1:16" ht="15" customHeight="1">
      <c r="A59" s="122"/>
      <c r="B59" s="677" t="s">
        <v>6</v>
      </c>
      <c r="C59" s="1259">
        <f>'calcul-DCC-TX-Encais'!AT4</f>
        <v>472.67187944000005</v>
      </c>
      <c r="D59" s="1259">
        <f>'calcul-DCC-TX-Encais'!H20</f>
        <v>555.55558941000015</v>
      </c>
      <c r="E59" s="792">
        <f>'calcul-DCC-TX-Encais'!AT20</f>
        <v>507.93625065000003</v>
      </c>
      <c r="F59" s="1811"/>
      <c r="G59" s="678">
        <f>((E59-C59)/C59)*100</f>
        <v>7.4606450571545722</v>
      </c>
      <c r="H59" s="668">
        <f>((E59-D59)/D59)*100</f>
        <v>-8.5714804544711427</v>
      </c>
      <c r="J59" s="677" t="s">
        <v>6</v>
      </c>
      <c r="K59" s="539">
        <v>628.13513735785443</v>
      </c>
      <c r="L59" s="103">
        <f>'calcul-DCC-TX-Encais'!H98</f>
        <v>299.23174040887341</v>
      </c>
      <c r="M59" s="539">
        <f>'calcul-DCC-TX-Encais'!AT98</f>
        <v>321.7449175997977</v>
      </c>
      <c r="N59" s="669">
        <f>M59-K59</f>
        <v>-306.39021975805673</v>
      </c>
      <c r="O59" s="669">
        <f>M59-L59</f>
        <v>22.513177190924296</v>
      </c>
    </row>
    <row r="60" spans="1:16">
      <c r="B60" s="677" t="s">
        <v>7</v>
      </c>
      <c r="C60" s="1259">
        <f>'calcul-DCC-TX-Encais'!AT5</f>
        <v>35.567999999999998</v>
      </c>
      <c r="D60" s="1259">
        <f>'calcul-DCC-TX-Encais'!H21</f>
        <v>82.087999999999994</v>
      </c>
      <c r="E60" s="792">
        <f>'calcul-DCC-TX-Encais'!AT21</f>
        <v>78.953000000000003</v>
      </c>
      <c r="F60" s="1811"/>
      <c r="G60" s="678">
        <f t="shared" ref="G60:G68" si="15">((E60-C60)/C60)*100</f>
        <v>121.9776203328835</v>
      </c>
      <c r="H60" s="668">
        <f t="shared" ref="H60:H68" si="16">((E60-D60)/D60)*100</f>
        <v>-3.8190722151836942</v>
      </c>
      <c r="J60" s="677" t="s">
        <v>7</v>
      </c>
      <c r="K60" s="539">
        <v>33.432875795112153</v>
      </c>
      <c r="L60" s="103">
        <f>'calcul-DCC-TX-Encais'!H99</f>
        <v>40.543216199901224</v>
      </c>
      <c r="M60" s="539">
        <f>'calcul-DCC-TX-Encais'!AT99</f>
        <v>68.963260244428469</v>
      </c>
      <c r="N60" s="669">
        <f t="shared" ref="N60:N69" si="17">M60-K60</f>
        <v>35.530384449316315</v>
      </c>
      <c r="O60" s="669">
        <f>M60-L60</f>
        <v>28.420044044527245</v>
      </c>
    </row>
    <row r="61" spans="1:16">
      <c r="B61" s="677" t="s">
        <v>8</v>
      </c>
      <c r="C61" s="1259">
        <f>'calcul-DCC-TX-Encais'!AT6</f>
        <v>37.54416489200009</v>
      </c>
      <c r="D61" s="1259">
        <f>'calcul-DCC-TX-Encais'!H22</f>
        <v>180.81301267999999</v>
      </c>
      <c r="E61" s="792">
        <f>'calcul-DCC-TX-Encais'!AT22</f>
        <v>168.5231826400001</v>
      </c>
      <c r="F61" s="1811"/>
      <c r="G61" s="678">
        <f t="shared" si="15"/>
        <v>348.86650994841818</v>
      </c>
      <c r="H61" s="668">
        <f t="shared" si="16"/>
        <v>-6.7969831694305274</v>
      </c>
      <c r="J61" s="677" t="s">
        <v>8</v>
      </c>
      <c r="K61" s="539">
        <v>50.897986556423689</v>
      </c>
      <c r="L61" s="103">
        <f>'calcul-DCC-TX-Encais'!H100</f>
        <v>151.67923123742023</v>
      </c>
      <c r="M61" s="539">
        <f>'calcul-DCC-TX-Encais'!AT100</f>
        <v>146.75177886024053</v>
      </c>
      <c r="N61" s="669">
        <f t="shared" si="17"/>
        <v>95.853792303816846</v>
      </c>
      <c r="O61" s="669">
        <f t="shared" ref="O61:O69" si="18">M61-L61</f>
        <v>-4.9274523771796908</v>
      </c>
    </row>
    <row r="62" spans="1:16">
      <c r="B62" s="677" t="s">
        <v>4</v>
      </c>
      <c r="C62" s="1259">
        <f>'calcul-DCC-TX-Encais'!AT7</f>
        <v>242.17636372000001</v>
      </c>
      <c r="D62" s="1259">
        <f>'calcul-DCC-TX-Encais'!H23</f>
        <v>361.76035946000002</v>
      </c>
      <c r="E62" s="792">
        <f>'calcul-DCC-TX-Encais'!AT23</f>
        <v>287.96677158</v>
      </c>
      <c r="F62" s="1811"/>
      <c r="G62" s="678">
        <f t="shared" si="15"/>
        <v>18.907876539488402</v>
      </c>
      <c r="H62" s="668">
        <f t="shared" si="16"/>
        <v>-20.398472621530942</v>
      </c>
      <c r="J62" s="677" t="s">
        <v>4</v>
      </c>
      <c r="K62" s="539">
        <v>183.20359908849809</v>
      </c>
      <c r="L62" s="103">
        <f>'calcul-DCC-TX-Encais'!H101</f>
        <v>264.78110498083777</v>
      </c>
      <c r="M62" s="539">
        <f>'calcul-DCC-TX-Encais'!AT101</f>
        <v>234.87305363663663</v>
      </c>
      <c r="N62" s="669">
        <f t="shared" si="17"/>
        <v>51.669454548138532</v>
      </c>
      <c r="O62" s="669">
        <f t="shared" si="18"/>
        <v>-29.908051344201141</v>
      </c>
    </row>
    <row r="63" spans="1:16">
      <c r="B63" s="677" t="s">
        <v>3</v>
      </c>
      <c r="C63" s="1259">
        <f>'calcul-DCC-TX-Encais'!AT8</f>
        <v>295.21300000000002</v>
      </c>
      <c r="D63" s="1259">
        <f>'calcul-DCC-TX-Encais'!H24</f>
        <v>403.90427109000001</v>
      </c>
      <c r="E63" s="792">
        <f>'calcul-DCC-TX-Encais'!AT24</f>
        <v>466.99306151000002</v>
      </c>
      <c r="F63" s="1811"/>
      <c r="G63" s="678">
        <f t="shared" si="15"/>
        <v>58.188515244924844</v>
      </c>
      <c r="H63" s="668">
        <f t="shared" si="16"/>
        <v>15.619738372596274</v>
      </c>
      <c r="J63" s="677" t="s">
        <v>3</v>
      </c>
      <c r="K63" s="539">
        <v>197.54600608078454</v>
      </c>
      <c r="L63" s="103">
        <f>'calcul-DCC-TX-Encais'!H102</f>
        <v>308.98451631720991</v>
      </c>
      <c r="M63" s="539">
        <f>'calcul-DCC-TX-Encais'!AT102</f>
        <v>310.43349335372733</v>
      </c>
      <c r="N63" s="669">
        <f t="shared" si="17"/>
        <v>112.88748727294279</v>
      </c>
      <c r="O63" s="669">
        <f t="shared" si="18"/>
        <v>1.4489770365174195</v>
      </c>
    </row>
    <row r="64" spans="1:16">
      <c r="B64" s="677" t="s">
        <v>397</v>
      </c>
      <c r="C64" s="1259">
        <f>'calcul-DCC-TX-Encais'!AT9</f>
        <v>430.71517616000023</v>
      </c>
      <c r="D64" s="1259">
        <f>'calcul-DCC-TX-Encais'!H25</f>
        <v>431.19723537000021</v>
      </c>
      <c r="E64" s="792">
        <f>'calcul-DCC-TX-Encais'!AT25</f>
        <v>418.78904574000006</v>
      </c>
      <c r="F64" s="1811"/>
      <c r="G64" s="678">
        <f t="shared" si="15"/>
        <v>-2.7689134444545078</v>
      </c>
      <c r="H64" s="668">
        <f t="shared" si="16"/>
        <v>-2.8776134474408157</v>
      </c>
      <c r="J64" s="677" t="s">
        <v>397</v>
      </c>
      <c r="K64" s="539">
        <v>446.20848498723166</v>
      </c>
      <c r="L64" s="103">
        <f>'calcul-DCC-TX-Encais'!H103</f>
        <v>431.40130373841919</v>
      </c>
      <c r="M64" s="539">
        <f>'calcul-DCC-TX-Encais'!AT103</f>
        <v>195.49584069422221</v>
      </c>
      <c r="N64" s="669">
        <f t="shared" si="17"/>
        <v>-250.71264429300945</v>
      </c>
      <c r="O64" s="669">
        <f t="shared" si="18"/>
        <v>-235.90546304419698</v>
      </c>
    </row>
    <row r="65" spans="1:18">
      <c r="B65" s="677" t="s">
        <v>399</v>
      </c>
      <c r="C65" s="1259">
        <f>'calcul-DCC-TX-Encais'!AT10</f>
        <v>257.19442016000107</v>
      </c>
      <c r="D65" s="1259">
        <f>'calcul-DCC-TX-Encais'!H26</f>
        <v>261.66361362999902</v>
      </c>
      <c r="E65" s="792">
        <f>'calcul-DCC-TX-Encais'!AT26</f>
        <v>246.54579957000004</v>
      </c>
      <c r="F65" s="1811"/>
      <c r="G65" s="678">
        <f t="shared" si="15"/>
        <v>-4.1403000047110297</v>
      </c>
      <c r="H65" s="668">
        <f t="shared" si="16"/>
        <v>-5.7775759687306261</v>
      </c>
      <c r="J65" s="677" t="s">
        <v>399</v>
      </c>
      <c r="K65" s="539">
        <v>289.68524557942953</v>
      </c>
      <c r="L65" s="103">
        <f>'calcul-DCC-TX-Encais'!H104</f>
        <v>284.92971166978174</v>
      </c>
      <c r="M65" s="539">
        <f>'calcul-DCC-TX-Encais'!AT104</f>
        <v>305.56855021036063</v>
      </c>
      <c r="N65" s="669">
        <f t="shared" si="17"/>
        <v>15.883304630931093</v>
      </c>
      <c r="O65" s="669">
        <f t="shared" si="18"/>
        <v>20.638838540578888</v>
      </c>
    </row>
    <row r="66" spans="1:18">
      <c r="B66" s="677" t="s">
        <v>883</v>
      </c>
      <c r="C66" s="1259">
        <f>'calcul-DCC-TX-Encais'!AT11</f>
        <v>505.58654729</v>
      </c>
      <c r="D66" s="1259">
        <f>'calcul-DCC-TX-Encais'!H27</f>
        <v>466.07912052</v>
      </c>
      <c r="E66" s="792">
        <f>'calcul-DCC-TX-Encais'!AT27</f>
        <v>730.32995642000003</v>
      </c>
      <c r="F66" s="1811"/>
      <c r="G66" s="678">
        <f t="shared" si="15"/>
        <v>44.452015255281147</v>
      </c>
      <c r="H66" s="668">
        <f t="shared" si="16"/>
        <v>56.696561649270606</v>
      </c>
      <c r="J66" s="677" t="s">
        <v>883</v>
      </c>
      <c r="K66" s="539">
        <v>262.09207324531252</v>
      </c>
      <c r="L66" s="103">
        <f>'calcul-DCC-TX-Encais'!H105</f>
        <v>244.13478635642505</v>
      </c>
      <c r="M66" s="539">
        <f>'calcul-DCC-TX-Encais'!AT105</f>
        <v>360.40336963231317</v>
      </c>
      <c r="N66" s="669">
        <f t="shared" si="17"/>
        <v>98.311296387000652</v>
      </c>
      <c r="O66" s="669">
        <f t="shared" si="18"/>
        <v>116.26858327588812</v>
      </c>
    </row>
    <row r="67" spans="1:18">
      <c r="B67" s="677" t="s">
        <v>884</v>
      </c>
      <c r="C67" s="1259">
        <f>'calcul-DCC-TX-Encais'!AT12</f>
        <v>563.581091499992</v>
      </c>
      <c r="D67" s="1259">
        <f>'calcul-DCC-TX-Encais'!H28</f>
        <v>525.95259169999508</v>
      </c>
      <c r="E67" s="792">
        <f>'calcul-DCC-TX-Encais'!AT28</f>
        <v>813.20476715999098</v>
      </c>
      <c r="F67" s="1811"/>
      <c r="G67" s="678">
        <f t="shared" si="15"/>
        <v>44.2924149558702</v>
      </c>
      <c r="H67" s="668">
        <f t="shared" si="16"/>
        <v>54.615602241170322</v>
      </c>
      <c r="J67" s="677" t="s">
        <v>884</v>
      </c>
      <c r="K67" s="539">
        <v>266.41124706374012</v>
      </c>
      <c r="L67" s="103">
        <f>'calcul-DCC-TX-Encais'!H106</f>
        <v>241.75875987505509</v>
      </c>
      <c r="M67" s="539">
        <f>'calcul-DCC-TX-Encais'!AT106</f>
        <v>374.24691576138895</v>
      </c>
      <c r="N67" s="669">
        <f t="shared" si="17"/>
        <v>107.83566869764883</v>
      </c>
      <c r="O67" s="669">
        <f t="shared" si="18"/>
        <v>132.48815588633386</v>
      </c>
    </row>
    <row r="68" spans="1:18" ht="14.4" thickBot="1">
      <c r="B68" s="677" t="s">
        <v>885</v>
      </c>
      <c r="C68" s="1259">
        <f>'calcul-DCC-TX-Encais'!AT13</f>
        <v>204.24819740999999</v>
      </c>
      <c r="D68" s="1259">
        <f>'calcul-DCC-TX-Encais'!H29</f>
        <v>190.70082451000002</v>
      </c>
      <c r="E68" s="792">
        <f>'calcul-DCC-TX-Encais'!AT29</f>
        <v>305.91603242000002</v>
      </c>
      <c r="F68" s="1811"/>
      <c r="G68" s="678">
        <f t="shared" si="15"/>
        <v>49.776613110526469</v>
      </c>
      <c r="H68" s="668">
        <f t="shared" si="16"/>
        <v>60.416732966961192</v>
      </c>
      <c r="J68" s="677" t="s">
        <v>885</v>
      </c>
      <c r="K68" s="539">
        <v>328.76332077704569</v>
      </c>
      <c r="L68" s="103">
        <f>'calcul-DCC-TX-Encais'!H107</f>
        <v>317.37152154333097</v>
      </c>
      <c r="M68" s="539">
        <f>'calcul-DCC-TX-Encais'!AT107</f>
        <v>529.31857855582416</v>
      </c>
      <c r="N68" s="669">
        <f t="shared" si="17"/>
        <v>200.55525777877847</v>
      </c>
      <c r="O68" s="669">
        <f t="shared" si="18"/>
        <v>211.94705701249319</v>
      </c>
    </row>
    <row r="69" spans="1:18" ht="14.4" thickBot="1">
      <c r="B69" s="670" t="s">
        <v>49</v>
      </c>
      <c r="C69" s="1384">
        <f>SUM(C59:C68)</f>
        <v>3044.4988405719937</v>
      </c>
      <c r="D69" s="1384">
        <f>SUM(D59:D68)</f>
        <v>3459.7146183699947</v>
      </c>
      <c r="E69" s="1384">
        <f>SUM(E59:E68)</f>
        <v>4025.1578676899917</v>
      </c>
      <c r="F69" s="1384">
        <f>SUM(F59:F68)</f>
        <v>0</v>
      </c>
      <c r="G69" s="679">
        <f>((E69-C69)/C69)*100</f>
        <v>32.210852375747791</v>
      </c>
      <c r="H69" s="680">
        <f>((E69-D69)/D69)*100</f>
        <v>16.343638469996094</v>
      </c>
      <c r="J69" s="670" t="s">
        <v>49</v>
      </c>
      <c r="K69" s="681">
        <v>256.07316772649835</v>
      </c>
      <c r="L69" s="681">
        <f>'calcul-DCC-TX-Encais'!H108</f>
        <v>241.09130669822474</v>
      </c>
      <c r="M69" s="681">
        <f>'calcul-DCC-TX-Encais'!AT108</f>
        <v>280.91791953681741</v>
      </c>
      <c r="N69" s="682">
        <f t="shared" si="17"/>
        <v>24.844751810319053</v>
      </c>
      <c r="O69" s="674">
        <f t="shared" si="18"/>
        <v>39.826612838592666</v>
      </c>
    </row>
    <row r="70" spans="1:18">
      <c r="D70" s="784"/>
      <c r="E70" s="784"/>
      <c r="F70" s="784"/>
      <c r="G70" s="784" t="e">
        <f>#REF!-#REF!</f>
        <v>#REF!</v>
      </c>
    </row>
    <row r="72" spans="1:18" ht="18">
      <c r="B72" s="666" t="s">
        <v>371</v>
      </c>
      <c r="J72" s="666"/>
    </row>
    <row r="73" spans="1:18" ht="18">
      <c r="B73" s="666"/>
      <c r="J73" s="666"/>
    </row>
    <row r="74" spans="1:18" ht="18.600000000000001" thickBot="1">
      <c r="B74" s="3118" t="s">
        <v>369</v>
      </c>
      <c r="C74" s="3118"/>
      <c r="D74" s="3118"/>
      <c r="E74" s="3118"/>
      <c r="F74" s="3118"/>
      <c r="G74" s="3118"/>
      <c r="H74" s="3118"/>
      <c r="J74" s="3118" t="s">
        <v>370</v>
      </c>
      <c r="K74" s="3118"/>
      <c r="L74" s="3118"/>
      <c r="M74" s="3118"/>
      <c r="N74" s="3118"/>
      <c r="O74" s="3118"/>
    </row>
    <row r="75" spans="1:18" ht="28.2" thickBot="1">
      <c r="B75" s="676"/>
      <c r="C75" s="107" t="str">
        <f t="shared" ref="C75:H75" si="19">C58</f>
        <v xml:space="preserve"> Solde au 31/12/ 2023</v>
      </c>
      <c r="D75" s="2745">
        <f t="shared" si="19"/>
        <v>45139</v>
      </c>
      <c r="E75" s="2745">
        <f t="shared" si="19"/>
        <v>45505</v>
      </c>
      <c r="F75" s="107" t="str">
        <f t="shared" si="19"/>
        <v>Objectif 2024</v>
      </c>
      <c r="G75" s="107" t="str">
        <f t="shared" si="19"/>
        <v>évol° 24/23 (%)</v>
      </c>
      <c r="H75" s="107" t="str">
        <f t="shared" si="19"/>
        <v>évol° 24/23-mois (%)</v>
      </c>
      <c r="J75" s="676"/>
      <c r="K75" s="107" t="str">
        <f>K58</f>
        <v>DCC au 31/12/ 2023</v>
      </c>
      <c r="L75" s="2745">
        <f>L58</f>
        <v>45139</v>
      </c>
      <c r="M75" s="2745">
        <f>M58</f>
        <v>45505</v>
      </c>
      <c r="N75" s="107" t="str">
        <f>N58</f>
        <v>évol° 24/23 (%)</v>
      </c>
      <c r="O75" s="107" t="str">
        <f>O58</f>
        <v>évol° 24/23-mois (%)</v>
      </c>
      <c r="Q75" s="686"/>
      <c r="R75" s="687"/>
    </row>
    <row r="76" spans="1:18" ht="12.75" customHeight="1">
      <c r="A76" s="122"/>
      <c r="B76" s="677" t="s">
        <v>6</v>
      </c>
      <c r="C76" s="688">
        <f>'calcul-DCC-TX-Encais'!AW4</f>
        <v>2576.8693864199995</v>
      </c>
      <c r="D76" s="688">
        <f>'calcul-DCC-TX-Encais'!K20</f>
        <v>3674.1566937900002</v>
      </c>
      <c r="E76" s="1070">
        <f>'calcul-DCC-TX-Encais'!AW20</f>
        <v>3841.4016144199995</v>
      </c>
      <c r="F76" s="1070"/>
      <c r="G76" s="689">
        <f>((E76-C76)/C76)*100</f>
        <v>49.0724223223744</v>
      </c>
      <c r="H76" s="690">
        <f>((E76-D76)/D76)*100</f>
        <v>4.5519267295451495</v>
      </c>
      <c r="I76" s="1796"/>
      <c r="J76" s="691" t="s">
        <v>6</v>
      </c>
      <c r="K76" s="688">
        <v>62.150602834425769</v>
      </c>
      <c r="L76" s="840">
        <f>'calcul-DCC-TX-Encais'!K98</f>
        <v>90.543269617708035</v>
      </c>
      <c r="M76" s="688">
        <f>'calcul-DCC-TX-Encais'!AW98</f>
        <v>99.979065043834296</v>
      </c>
      <c r="N76" s="692">
        <f>M76-K76</f>
        <v>37.828462209408528</v>
      </c>
      <c r="O76" s="692">
        <f t="shared" ref="O76:O85" si="20">M76-L76</f>
        <v>9.435795426126262</v>
      </c>
      <c r="R76" s="687"/>
    </row>
    <row r="77" spans="1:18">
      <c r="B77" s="677" t="s">
        <v>7</v>
      </c>
      <c r="C77" s="688">
        <f>'calcul-DCC-TX-Encais'!AW5</f>
        <v>869.48409491999973</v>
      </c>
      <c r="D77" s="688">
        <f>'calcul-DCC-TX-Encais'!K21</f>
        <v>1911.2286610000008</v>
      </c>
      <c r="E77" s="1070">
        <f>'calcul-DCC-TX-Encais'!AW21</f>
        <v>1925.5110949199993</v>
      </c>
      <c r="F77" s="1813"/>
      <c r="G77" s="689">
        <f t="shared" ref="G77:G85" si="21">((E77-C77)/C77)*100</f>
        <v>121.45443558656051</v>
      </c>
      <c r="H77" s="690">
        <f t="shared" ref="H77:H85" si="22">((E77-D77)/D77)*100</f>
        <v>0.74729069375328572</v>
      </c>
      <c r="I77" s="223"/>
      <c r="J77" s="691" t="s">
        <v>7</v>
      </c>
      <c r="K77" s="694">
        <v>42.195356412289286</v>
      </c>
      <c r="L77" s="841">
        <f>'calcul-DCC-TX-Encais'!K99</f>
        <v>62.419988218756721</v>
      </c>
      <c r="M77" s="694">
        <f>'calcul-DCC-TX-Encais'!AW99</f>
        <v>84.827222810269546</v>
      </c>
      <c r="N77" s="692">
        <f t="shared" ref="N77:N86" si="23">M77-K77</f>
        <v>42.631866397980261</v>
      </c>
      <c r="O77" s="692">
        <f t="shared" si="20"/>
        <v>22.407234591512825</v>
      </c>
      <c r="R77" s="687"/>
    </row>
    <row r="78" spans="1:18">
      <c r="B78" s="677" t="s">
        <v>8</v>
      </c>
      <c r="C78" s="688">
        <f>'calcul-DCC-TX-Encais'!AW6</f>
        <v>612.62456752200058</v>
      </c>
      <c r="D78" s="688">
        <f>'calcul-DCC-TX-Encais'!K22</f>
        <v>1384.6087756199997</v>
      </c>
      <c r="E78" s="1070">
        <f>'calcul-DCC-TX-Encais'!AW22</f>
        <v>1504.6927980000009</v>
      </c>
      <c r="F78" s="1813"/>
      <c r="G78" s="689">
        <f t="shared" si="21"/>
        <v>145.61417836805319</v>
      </c>
      <c r="H78" s="690">
        <f t="shared" si="22"/>
        <v>8.6727763462448113</v>
      </c>
      <c r="I78" s="223"/>
      <c r="J78" s="691" t="s">
        <v>8</v>
      </c>
      <c r="K78" s="694">
        <v>36.368129228474317</v>
      </c>
      <c r="L78" s="841">
        <f>'calcul-DCC-TX-Encais'!K100</f>
        <v>75.425733313032197</v>
      </c>
      <c r="M78" s="694">
        <f>'calcul-DCC-TX-Encais'!AW100</f>
        <v>81.855017809682494</v>
      </c>
      <c r="N78" s="692">
        <f t="shared" si="23"/>
        <v>45.486888581208177</v>
      </c>
      <c r="O78" s="692">
        <f t="shared" si="20"/>
        <v>6.4292844966502969</v>
      </c>
      <c r="R78" s="687"/>
    </row>
    <row r="79" spans="1:18">
      <c r="B79" s="677" t="s">
        <v>4</v>
      </c>
      <c r="C79" s="688">
        <f>'calcul-DCC-TX-Encais'!AW7</f>
        <v>2245.4848365700004</v>
      </c>
      <c r="D79" s="688">
        <f>'calcul-DCC-TX-Encais'!K23</f>
        <v>2869.1686756099998</v>
      </c>
      <c r="E79" s="1070">
        <f>'calcul-DCC-TX-Encais'!AW23</f>
        <v>3694.7301780400007</v>
      </c>
      <c r="F79" s="1813"/>
      <c r="G79" s="689">
        <f t="shared" si="21"/>
        <v>64.540419862453248</v>
      </c>
      <c r="H79" s="690">
        <f t="shared" si="22"/>
        <v>28.773543690472724</v>
      </c>
      <c r="I79" s="223"/>
      <c r="J79" s="691" t="s">
        <v>4</v>
      </c>
      <c r="K79" s="694">
        <v>69.248174432877121</v>
      </c>
      <c r="L79" s="841">
        <f>'calcul-DCC-TX-Encais'!K101</f>
        <v>87.533243194905126</v>
      </c>
      <c r="M79" s="694">
        <f>'calcul-DCC-TX-Encais'!AW101</f>
        <v>112.21117270486391</v>
      </c>
      <c r="N79" s="692">
        <f t="shared" si="23"/>
        <v>42.962998271986791</v>
      </c>
      <c r="O79" s="692">
        <f t="shared" si="20"/>
        <v>24.677929509958787</v>
      </c>
      <c r="R79" s="687"/>
    </row>
    <row r="80" spans="1:18">
      <c r="B80" s="677" t="s">
        <v>3</v>
      </c>
      <c r="C80" s="688">
        <f>'calcul-DCC-TX-Encais'!AW8</f>
        <v>2849.74285878</v>
      </c>
      <c r="D80" s="688">
        <f>'calcul-DCC-TX-Encais'!K24</f>
        <v>3660.0894230900003</v>
      </c>
      <c r="E80" s="1070">
        <f>'calcul-DCC-TX-Encais'!AW24</f>
        <v>4514.4247141699998</v>
      </c>
      <c r="F80" s="1813"/>
      <c r="G80" s="689">
        <f t="shared" si="21"/>
        <v>58.415160170018453</v>
      </c>
      <c r="H80" s="690">
        <f t="shared" si="22"/>
        <v>23.34192398935253</v>
      </c>
      <c r="I80" s="223"/>
      <c r="J80" s="691" t="s">
        <v>3</v>
      </c>
      <c r="K80" s="694">
        <v>148.5714386186657</v>
      </c>
      <c r="L80" s="841">
        <f>'calcul-DCC-TX-Encais'!K102</f>
        <v>214.19391170977471</v>
      </c>
      <c r="M80" s="694">
        <f>'calcul-DCC-TX-Encais'!AW102</f>
        <v>194.22707062629726</v>
      </c>
      <c r="N80" s="692">
        <f t="shared" si="23"/>
        <v>45.655632007631567</v>
      </c>
      <c r="O80" s="692">
        <f t="shared" si="20"/>
        <v>-19.966841083477448</v>
      </c>
      <c r="R80" s="687"/>
    </row>
    <row r="81" spans="2:18">
      <c r="B81" s="677" t="s">
        <v>397</v>
      </c>
      <c r="C81" s="688">
        <f>'calcul-DCC-TX-Encais'!AW9</f>
        <v>3023.879551566532</v>
      </c>
      <c r="D81" s="688">
        <f>'calcul-DCC-TX-Encais'!K25</f>
        <v>3387.0799383765325</v>
      </c>
      <c r="E81" s="1070">
        <f>'calcul-DCC-TX-Encais'!AW25</f>
        <v>3823.0112935465313</v>
      </c>
      <c r="F81" s="1813"/>
      <c r="G81" s="689">
        <f t="shared" si="21"/>
        <v>26.427366842902394</v>
      </c>
      <c r="H81" s="690">
        <f t="shared" si="22"/>
        <v>12.870418268868667</v>
      </c>
      <c r="I81" s="223"/>
      <c r="J81" s="691" t="s">
        <v>397</v>
      </c>
      <c r="K81" s="694">
        <v>162.57023899355059</v>
      </c>
      <c r="L81" s="841">
        <f>'calcul-DCC-TX-Encais'!K103</f>
        <v>155.5846656819067</v>
      </c>
      <c r="M81" s="694">
        <f>'calcul-DCC-TX-Encais'!AW103</f>
        <v>162.8941624846031</v>
      </c>
      <c r="N81" s="692">
        <f t="shared" si="23"/>
        <v>0.32392349105251128</v>
      </c>
      <c r="O81" s="692">
        <f t="shared" si="20"/>
        <v>7.3094968026964011</v>
      </c>
      <c r="R81" s="687"/>
    </row>
    <row r="82" spans="2:18">
      <c r="B82" s="677" t="s">
        <v>399</v>
      </c>
      <c r="C82" s="688">
        <f>'calcul-DCC-TX-Encais'!AW10</f>
        <v>2616.5441571420047</v>
      </c>
      <c r="D82" s="688">
        <f>'calcul-DCC-TX-Encais'!K26</f>
        <v>3209.2448113320033</v>
      </c>
      <c r="E82" s="1070">
        <f>'calcul-DCC-TX-Encais'!AW26</f>
        <v>3791.6046539620002</v>
      </c>
      <c r="F82" s="1813"/>
      <c r="G82" s="689">
        <f t="shared" si="21"/>
        <v>44.908873164345486</v>
      </c>
      <c r="H82" s="690">
        <f t="shared" si="22"/>
        <v>18.146320298584115</v>
      </c>
      <c r="I82" s="223"/>
      <c r="J82" s="691" t="s">
        <v>399</v>
      </c>
      <c r="K82" s="694">
        <v>82.94751605280571</v>
      </c>
      <c r="L82" s="841">
        <f>'calcul-DCC-TX-Encais'!K104</f>
        <v>103.79783773689978</v>
      </c>
      <c r="M82" s="694">
        <f>'calcul-DCC-TX-Encais'!AW104</f>
        <v>123.97589933042445</v>
      </c>
      <c r="N82" s="692">
        <f t="shared" si="23"/>
        <v>41.028383277618744</v>
      </c>
      <c r="O82" s="692">
        <f t="shared" si="20"/>
        <v>20.178061593524674</v>
      </c>
      <c r="R82" s="687"/>
    </row>
    <row r="83" spans="2:18">
      <c r="B83" s="677" t="s">
        <v>883</v>
      </c>
      <c r="C83" s="688">
        <f>'calcul-DCC-TX-Encais'!AW11</f>
        <v>1400.6780343029995</v>
      </c>
      <c r="D83" s="688">
        <f>'calcul-DCC-TX-Encais'!K27</f>
        <v>2096.3514598701504</v>
      </c>
      <c r="E83" s="1070">
        <f>'calcul-DCC-TX-Encais'!AW27</f>
        <v>2497.1064962729997</v>
      </c>
      <c r="F83" s="1813"/>
      <c r="G83" s="689">
        <f t="shared" si="21"/>
        <v>78.27840767957791</v>
      </c>
      <c r="H83" s="690">
        <f t="shared" si="22"/>
        <v>19.11678666838014</v>
      </c>
      <c r="I83" s="223"/>
      <c r="J83" s="691" t="s">
        <v>883</v>
      </c>
      <c r="K83" s="694">
        <v>54.695526223367935</v>
      </c>
      <c r="L83" s="694">
        <f>'calcul-DCC-TX-Encais'!K105</f>
        <v>81.857767865707771</v>
      </c>
      <c r="M83" s="694">
        <f>'calcul-DCC-TX-Encais'!AW105</f>
        <v>125.83704645595705</v>
      </c>
      <c r="N83" s="692">
        <f t="shared" si="23"/>
        <v>71.141520232589116</v>
      </c>
      <c r="O83" s="692">
        <f t="shared" si="20"/>
        <v>43.97927859024928</v>
      </c>
      <c r="R83" s="687"/>
    </row>
    <row r="84" spans="2:18">
      <c r="B84" s="677" t="s">
        <v>884</v>
      </c>
      <c r="C84" s="688">
        <f>'calcul-DCC-TX-Encais'!AW12</f>
        <v>1179.5690103399945</v>
      </c>
      <c r="D84" s="688">
        <f>'calcul-DCC-TX-Encais'!K28</f>
        <v>1980.1283381899973</v>
      </c>
      <c r="E84" s="1070">
        <f>'calcul-DCC-TX-Encais'!AW28</f>
        <v>2218.5701049099926</v>
      </c>
      <c r="F84" s="1813"/>
      <c r="G84" s="689">
        <f t="shared" si="21"/>
        <v>88.083112175905697</v>
      </c>
      <c r="H84" s="690">
        <f t="shared" si="22"/>
        <v>12.041732958478386</v>
      </c>
      <c r="I84" s="223"/>
      <c r="J84" s="691" t="s">
        <v>884</v>
      </c>
      <c r="K84" s="694">
        <v>37.653232385753803</v>
      </c>
      <c r="L84" s="694">
        <f>'calcul-DCC-TX-Encais'!K106</f>
        <v>69.218514474735201</v>
      </c>
      <c r="M84" s="694">
        <f>'calcul-DCC-TX-Encais'!AW106</f>
        <v>63.278580574584339</v>
      </c>
      <c r="N84" s="692">
        <f t="shared" si="23"/>
        <v>25.625348188830536</v>
      </c>
      <c r="O84" s="692">
        <f t="shared" si="20"/>
        <v>-5.9399339001508622</v>
      </c>
      <c r="R84" s="687"/>
    </row>
    <row r="85" spans="2:18" ht="14.4" thickBot="1">
      <c r="B85" s="677" t="s">
        <v>885</v>
      </c>
      <c r="C85" s="688">
        <f>'calcul-DCC-TX-Encais'!AW13</f>
        <v>375.31983665999996</v>
      </c>
      <c r="D85" s="688">
        <f>'calcul-DCC-TX-Encais'!K29</f>
        <v>565.23343808999971</v>
      </c>
      <c r="E85" s="1070">
        <f>'calcul-DCC-TX-Encais'!AW29</f>
        <v>686.45822381000005</v>
      </c>
      <c r="F85" s="1813"/>
      <c r="G85" s="689">
        <f t="shared" si="21"/>
        <v>82.899531748400108</v>
      </c>
      <c r="H85" s="690">
        <f t="shared" si="22"/>
        <v>21.446853202746691</v>
      </c>
      <c r="I85" s="223"/>
      <c r="J85" s="691" t="s">
        <v>885</v>
      </c>
      <c r="K85" s="694">
        <v>72.29035507713138</v>
      </c>
      <c r="L85" s="694">
        <f>'calcul-DCC-TX-Encais'!K107</f>
        <v>101.43522823232016</v>
      </c>
      <c r="M85" s="694">
        <f>'calcul-DCC-TX-Encais'!AW107</f>
        <v>111.57916755639071</v>
      </c>
      <c r="N85" s="692">
        <f t="shared" si="23"/>
        <v>39.288812479259335</v>
      </c>
      <c r="O85" s="692">
        <f t="shared" si="20"/>
        <v>10.143939324070558</v>
      </c>
      <c r="R85" s="687"/>
    </row>
    <row r="86" spans="2:18" ht="14.4" thickBot="1">
      <c r="B86" s="670" t="s">
        <v>49</v>
      </c>
      <c r="C86" s="695">
        <f>SUM(C76:C85)</f>
        <v>17750.196334223532</v>
      </c>
      <c r="D86" s="695">
        <f>SUM(D76:D85)</f>
        <v>24737.290214968682</v>
      </c>
      <c r="E86" s="696">
        <f>SUM(E76:E85)</f>
        <v>28497.511172051527</v>
      </c>
      <c r="F86" s="696">
        <f>SUM(F76:F85)</f>
        <v>0</v>
      </c>
      <c r="G86" s="697">
        <f>((E86-C86)/C86)*100</f>
        <v>60.547582885640949</v>
      </c>
      <c r="H86" s="698">
        <f>((E86-D86)/D86)*100</f>
        <v>15.200617870455</v>
      </c>
      <c r="I86" s="223"/>
      <c r="J86" s="670" t="s">
        <v>49</v>
      </c>
      <c r="K86" s="695">
        <v>73.108291900704756</v>
      </c>
      <c r="L86" s="695">
        <f>'calcul-DCC-TX-Encais'!K108</f>
        <v>98.203561741737801</v>
      </c>
      <c r="M86" s="695">
        <f>'calcul-DCC-TX-Encais'!AW108</f>
        <v>113.63435578642959</v>
      </c>
      <c r="N86" s="699">
        <f t="shared" si="23"/>
        <v>40.526063885724838</v>
      </c>
      <c r="O86" s="700">
        <f>M86-L86</f>
        <v>15.430794044691794</v>
      </c>
    </row>
    <row r="87" spans="2:18">
      <c r="C87" s="123"/>
      <c r="D87" s="1248"/>
    </row>
    <row r="88" spans="2:18" ht="18">
      <c r="B88" s="666" t="s">
        <v>372</v>
      </c>
      <c r="J88" s="666"/>
    </row>
    <row r="89" spans="2:18" ht="18.600000000000001" thickBot="1">
      <c r="B89" s="666"/>
      <c r="J89" s="666"/>
    </row>
    <row r="90" spans="2:18" ht="18.600000000000001" thickBot="1">
      <c r="B90" s="3118" t="s">
        <v>701</v>
      </c>
      <c r="C90" s="3118"/>
      <c r="D90" s="3118"/>
      <c r="E90" s="3118"/>
      <c r="F90" s="3118"/>
      <c r="G90" s="3118"/>
      <c r="H90" s="3118"/>
      <c r="J90" s="3118" t="s">
        <v>374</v>
      </c>
      <c r="K90" s="3118"/>
      <c r="L90" s="3118"/>
      <c r="M90" s="3118"/>
      <c r="N90" s="3118"/>
      <c r="O90" s="3118"/>
      <c r="R90" s="693"/>
    </row>
    <row r="91" spans="2:18" ht="28.2" thickBot="1">
      <c r="B91" s="676"/>
      <c r="C91" s="107" t="str">
        <f t="shared" ref="C91:H91" si="24">C75</f>
        <v xml:space="preserve"> Solde au 31/12/ 2023</v>
      </c>
      <c r="D91" s="2745">
        <f t="shared" si="24"/>
        <v>45139</v>
      </c>
      <c r="E91" s="2745">
        <f t="shared" si="24"/>
        <v>45505</v>
      </c>
      <c r="F91" s="107" t="str">
        <f t="shared" si="24"/>
        <v>Objectif 2024</v>
      </c>
      <c r="G91" s="107" t="str">
        <f t="shared" si="24"/>
        <v>évol° 24/23 (%)</v>
      </c>
      <c r="H91" s="107" t="str">
        <f t="shared" si="24"/>
        <v>évol° 24/23-mois (%)</v>
      </c>
      <c r="J91" s="676"/>
      <c r="K91" s="107" t="str">
        <f>K75</f>
        <v>DCC au 31/12/ 2023</v>
      </c>
      <c r="L91" s="2745">
        <f>L75</f>
        <v>45139</v>
      </c>
      <c r="M91" s="2745">
        <f>M75</f>
        <v>45505</v>
      </c>
      <c r="N91" s="107" t="str">
        <f>N75</f>
        <v>évol° 24/23 (%)</v>
      </c>
      <c r="O91" s="107" t="str">
        <f>O75</f>
        <v>évol° 24/23-mois (%)</v>
      </c>
      <c r="R91" s="693"/>
    </row>
    <row r="92" spans="2:18" ht="14.4" thickBot="1">
      <c r="B92" s="677" t="s">
        <v>6</v>
      </c>
      <c r="C92" s="1450">
        <f>'calcul-DCC-TX-Encais'!AU4</f>
        <v>326.4879944999999</v>
      </c>
      <c r="D92" s="1451">
        <f>'calcul-DCC-TX-Encais'!I20</f>
        <v>506.02274235999994</v>
      </c>
      <c r="E92" s="1450">
        <f>'calcul-DCC-TX-Encais'!AU20</f>
        <v>487.83031238999985</v>
      </c>
      <c r="F92" s="1450"/>
      <c r="G92" s="689">
        <f>((E92-C92)/C92)*100</f>
        <v>49.417534674464115</v>
      </c>
      <c r="H92" s="690">
        <f>((E92-D92)/D92)*100</f>
        <v>-3.5951803045756083</v>
      </c>
      <c r="I92" s="223"/>
      <c r="J92" s="691" t="s">
        <v>6</v>
      </c>
      <c r="K92" s="688">
        <v>176.15183068471342</v>
      </c>
      <c r="L92" s="841">
        <f>'calcul-DCC-TX-Encais'!I98</f>
        <v>286.2606212780762</v>
      </c>
      <c r="M92" s="688">
        <f>'calcul-DCC-TX-Encais'!AU98</f>
        <v>332.36578073875791</v>
      </c>
      <c r="N92" s="692">
        <f>M92-K92</f>
        <v>156.21395005404449</v>
      </c>
      <c r="O92" s="692">
        <f>M92-L92</f>
        <v>46.105159460681705</v>
      </c>
      <c r="P92" s="784">
        <f>D92+D42</f>
        <v>507.70563572999993</v>
      </c>
      <c r="R92" s="693"/>
    </row>
    <row r="93" spans="2:18" ht="14.4" thickBot="1">
      <c r="B93" s="677" t="s">
        <v>7</v>
      </c>
      <c r="C93" s="1450">
        <f>'calcul-DCC-TX-Encais'!AU5</f>
        <v>36.146229999999981</v>
      </c>
      <c r="D93" s="1451">
        <f>'calcul-DCC-TX-Encais'!I21</f>
        <v>83.91822999999998</v>
      </c>
      <c r="E93" s="1450">
        <f>'calcul-DCC-TX-Encais'!AU21</f>
        <v>40.47622999999998</v>
      </c>
      <c r="F93" s="1814"/>
      <c r="G93" s="689">
        <f t="shared" ref="G93:G101" si="25">((E93-C93)/C93)*100</f>
        <v>11.979119260846845</v>
      </c>
      <c r="H93" s="690">
        <f t="shared" ref="H93:H101" si="26">((E93-D93)/D93)*100</f>
        <v>-51.767059433927542</v>
      </c>
      <c r="I93" s="223"/>
      <c r="J93" s="691" t="s">
        <v>7</v>
      </c>
      <c r="K93" s="694">
        <v>24.873342789573496</v>
      </c>
      <c r="L93" s="841">
        <f>'calcul-DCC-TX-Encais'!I99</f>
        <v>29.590339207575116</v>
      </c>
      <c r="M93" s="694">
        <f>'calcul-DCC-TX-Encais'!AU99</f>
        <v>24.810244956336163</v>
      </c>
      <c r="N93" s="692">
        <f t="shared" ref="N93:N102" si="27">M93-K93</f>
        <v>-6.3097833237332424E-2</v>
      </c>
      <c r="O93" s="692">
        <f t="shared" ref="O93:O102" si="28">M93-L93</f>
        <v>-4.7800942512389533</v>
      </c>
      <c r="R93" s="693"/>
    </row>
    <row r="94" spans="2:18" ht="14.4" thickBot="1">
      <c r="B94" s="677" t="s">
        <v>8</v>
      </c>
      <c r="C94" s="1450">
        <f>'calcul-DCC-TX-Encais'!AU6</f>
        <v>51.125356579999966</v>
      </c>
      <c r="D94" s="1451">
        <f>'calcul-DCC-TX-Encais'!I22</f>
        <v>263.54263537999998</v>
      </c>
      <c r="E94" s="1450">
        <f>'calcul-DCC-TX-Encais'!AU22</f>
        <v>251.78944397999999</v>
      </c>
      <c r="F94" s="1814"/>
      <c r="G94" s="689">
        <f t="shared" si="25"/>
        <v>392.49425495156157</v>
      </c>
      <c r="H94" s="690">
        <f t="shared" si="26"/>
        <v>-4.4596925970073729</v>
      </c>
      <c r="I94" s="223"/>
      <c r="J94" s="691" t="s">
        <v>8</v>
      </c>
      <c r="K94" s="694">
        <v>40.546691536500717</v>
      </c>
      <c r="L94" s="841">
        <f>'calcul-DCC-TX-Encais'!I100</f>
        <v>146.939907321959</v>
      </c>
      <c r="M94" s="694">
        <f>'calcul-DCC-TX-Encais'!AU100</f>
        <v>125.91168616992712</v>
      </c>
      <c r="N94" s="692">
        <f t="shared" si="27"/>
        <v>85.364994633426406</v>
      </c>
      <c r="O94" s="692">
        <f t="shared" si="28"/>
        <v>-21.028221152031875</v>
      </c>
      <c r="R94" s="693"/>
    </row>
    <row r="95" spans="2:18" ht="14.4" thickBot="1">
      <c r="B95" s="677" t="s">
        <v>4</v>
      </c>
      <c r="C95" s="1450">
        <f>'calcul-DCC-TX-Encais'!AU7</f>
        <v>255.56014925000002</v>
      </c>
      <c r="D95" s="1451">
        <f>'calcul-DCC-TX-Encais'!I23</f>
        <v>319.80739289000002</v>
      </c>
      <c r="E95" s="1450">
        <f>'calcul-DCC-TX-Encais'!AU23</f>
        <v>369.43392489999997</v>
      </c>
      <c r="F95" s="1814"/>
      <c r="G95" s="689">
        <f t="shared" si="25"/>
        <v>44.558502561603873</v>
      </c>
      <c r="H95" s="690">
        <f t="shared" si="26"/>
        <v>15.517631272229327</v>
      </c>
      <c r="I95" s="223"/>
      <c r="J95" s="691" t="s">
        <v>4</v>
      </c>
      <c r="K95" s="694">
        <v>132.31554700215767</v>
      </c>
      <c r="L95" s="841">
        <f>'calcul-DCC-TX-Encais'!I101</f>
        <v>178.66212403042266</v>
      </c>
      <c r="M95" s="694">
        <f>'calcul-DCC-TX-Encais'!AU101</f>
        <v>202.44554382051453</v>
      </c>
      <c r="N95" s="692">
        <f t="shared" si="27"/>
        <v>70.129996818356858</v>
      </c>
      <c r="O95" s="692">
        <f t="shared" si="28"/>
        <v>23.78341979009187</v>
      </c>
      <c r="R95" s="693"/>
    </row>
    <row r="96" spans="2:18" ht="14.4" thickBot="1">
      <c r="B96" s="677" t="s">
        <v>3</v>
      </c>
      <c r="C96" s="1450">
        <f>'calcul-DCC-TX-Encais'!AU8</f>
        <v>314.637</v>
      </c>
      <c r="D96" s="1451">
        <f>'calcul-DCC-TX-Encais'!I24</f>
        <v>363.14033562999998</v>
      </c>
      <c r="E96" s="1450">
        <f>'calcul-DCC-TX-Encais'!AU24</f>
        <v>567.69100000000003</v>
      </c>
      <c r="F96" s="1814"/>
      <c r="G96" s="689">
        <f t="shared" si="25"/>
        <v>80.427286047095549</v>
      </c>
      <c r="H96" s="690">
        <f t="shared" si="26"/>
        <v>56.328268798653824</v>
      </c>
      <c r="I96" s="223"/>
      <c r="J96" s="691" t="s">
        <v>3</v>
      </c>
      <c r="K96" s="694">
        <v>246.92174524897905</v>
      </c>
      <c r="L96" s="841">
        <f>'calcul-DCC-TX-Encais'!I102</f>
        <v>316.07094007579508</v>
      </c>
      <c r="M96" s="694">
        <f>'calcul-DCC-TX-Encais'!AU102</f>
        <v>466.7662038410777</v>
      </c>
      <c r="N96" s="692">
        <f t="shared" si="27"/>
        <v>219.84445859209865</v>
      </c>
      <c r="O96" s="692">
        <f t="shared" si="28"/>
        <v>150.69526376528262</v>
      </c>
      <c r="R96" s="693"/>
    </row>
    <row r="97" spans="2:18" ht="14.4" thickBot="1">
      <c r="B97" s="677" t="s">
        <v>397</v>
      </c>
      <c r="C97" s="1450">
        <f>'calcul-DCC-TX-Encais'!AU9</f>
        <v>275.65200451000288</v>
      </c>
      <c r="D97" s="1451">
        <f>'calcul-DCC-TX-Encais'!I25</f>
        <v>272.14329284000286</v>
      </c>
      <c r="E97" s="1450">
        <f>'calcul-DCC-TX-Encais'!AU25</f>
        <v>264.309000090003</v>
      </c>
      <c r="F97" s="1814"/>
      <c r="G97" s="689">
        <f t="shared" si="25"/>
        <v>-4.1149725865999534</v>
      </c>
      <c r="H97" s="690">
        <f t="shared" si="26"/>
        <v>-2.8787381339600975</v>
      </c>
      <c r="I97" s="223"/>
      <c r="J97" s="691" t="s">
        <v>397</v>
      </c>
      <c r="K97" s="694">
        <v>206.66134463961635</v>
      </c>
      <c r="L97" s="841">
        <f>'calcul-DCC-TX-Encais'!I103</f>
        <v>197.66584142643941</v>
      </c>
      <c r="M97" s="694">
        <f>'calcul-DCC-TX-Encais'!AU103</f>
        <v>73.654709143790015</v>
      </c>
      <c r="N97" s="692">
        <f t="shared" si="27"/>
        <v>-133.00663549582634</v>
      </c>
      <c r="O97" s="692">
        <f t="shared" si="28"/>
        <v>-124.0111322826494</v>
      </c>
      <c r="R97" s="693"/>
    </row>
    <row r="98" spans="2:18" ht="14.4" thickBot="1">
      <c r="B98" s="677" t="s">
        <v>399</v>
      </c>
      <c r="C98" s="1450">
        <f>'calcul-DCC-TX-Encais'!AU10</f>
        <v>373.59692632000304</v>
      </c>
      <c r="D98" s="1451">
        <f>'calcul-DCC-TX-Encais'!I26</f>
        <v>375.87884878000398</v>
      </c>
      <c r="E98" s="1450">
        <f>'calcul-DCC-TX-Encais'!AU26</f>
        <v>454.19999999999993</v>
      </c>
      <c r="F98" s="1814"/>
      <c r="G98" s="689">
        <f>((E98-C98)/C98)*100</f>
        <v>21.574876023192076</v>
      </c>
      <c r="H98" s="690">
        <f>((E98-D98)/D98)*100</f>
        <v>20.836807251646157</v>
      </c>
      <c r="I98" s="223"/>
      <c r="J98" s="691" t="s">
        <v>399</v>
      </c>
      <c r="K98" s="694">
        <v>224.58640125954599</v>
      </c>
      <c r="L98" s="841">
        <f>'calcul-DCC-TX-Encais'!I104</f>
        <v>228.31565613847545</v>
      </c>
      <c r="M98" s="694">
        <f>'calcul-DCC-TX-Encais'!AU104</f>
        <v>261.38654175214862</v>
      </c>
      <c r="N98" s="692">
        <f t="shared" si="27"/>
        <v>36.800140492602623</v>
      </c>
      <c r="O98" s="692">
        <f t="shared" si="28"/>
        <v>33.07088561367317</v>
      </c>
      <c r="R98" s="693"/>
    </row>
    <row r="99" spans="2:18" ht="14.4" thickBot="1">
      <c r="B99" s="677" t="s">
        <v>883</v>
      </c>
      <c r="C99" s="1450">
        <f>'calcul-DCC-TX-Encais'!AU11</f>
        <v>200.26177321000014</v>
      </c>
      <c r="D99" s="1451">
        <f>'calcul-DCC-TX-Encais'!I27</f>
        <v>268.08403504</v>
      </c>
      <c r="E99" s="1450">
        <f>'calcul-DCC-TX-Encais'!AU27</f>
        <v>237.30350101000008</v>
      </c>
      <c r="F99" s="1814"/>
      <c r="G99" s="689">
        <f t="shared" si="25"/>
        <v>18.496654257204113</v>
      </c>
      <c r="H99" s="690">
        <f t="shared" si="26"/>
        <v>-11.481673657070724</v>
      </c>
      <c r="I99" s="223"/>
      <c r="J99" s="691" t="s">
        <v>883</v>
      </c>
      <c r="K99" s="694">
        <v>112.50861463085516</v>
      </c>
      <c r="L99" s="841">
        <f>'calcul-DCC-TX-Encais'!I105</f>
        <v>144.68629818103111</v>
      </c>
      <c r="M99" s="694">
        <f>'calcul-DCC-TX-Encais'!AU105</f>
        <v>123.46043862565168</v>
      </c>
      <c r="N99" s="692">
        <f t="shared" si="27"/>
        <v>10.951823994796513</v>
      </c>
      <c r="O99" s="692">
        <f t="shared" si="28"/>
        <v>-21.225859555379429</v>
      </c>
      <c r="R99" s="693"/>
    </row>
    <row r="100" spans="2:18" ht="14.4" thickBot="1">
      <c r="B100" s="677" t="s">
        <v>884</v>
      </c>
      <c r="C100" s="1450">
        <f>'calcul-DCC-TX-Encais'!AU12</f>
        <v>250.99722506000009</v>
      </c>
      <c r="D100" s="1451">
        <f>'calcul-DCC-TX-Encais'!I28</f>
        <v>378.85588472999922</v>
      </c>
      <c r="E100" s="1450">
        <f>'calcul-DCC-TX-Encais'!AU28</f>
        <v>340.8547569199992</v>
      </c>
      <c r="F100" s="1814"/>
      <c r="G100" s="689">
        <f t="shared" si="25"/>
        <v>35.800209280608165</v>
      </c>
      <c r="H100" s="690">
        <f t="shared" si="26"/>
        <v>-10.030496909684388</v>
      </c>
      <c r="I100" s="223"/>
      <c r="J100" s="691" t="s">
        <v>884</v>
      </c>
      <c r="K100" s="694">
        <v>151.42691236202648</v>
      </c>
      <c r="L100" s="841">
        <f>'calcul-DCC-TX-Encais'!I106</f>
        <v>238.85802460944839</v>
      </c>
      <c r="M100" s="694">
        <f>'calcul-DCC-TX-Encais'!AU106</f>
        <v>185.50639415488044</v>
      </c>
      <c r="N100" s="692">
        <f t="shared" si="27"/>
        <v>34.079481792853954</v>
      </c>
      <c r="O100" s="692">
        <f t="shared" si="28"/>
        <v>-53.351630454567953</v>
      </c>
      <c r="R100" s="693"/>
    </row>
    <row r="101" spans="2:18" ht="14.4" thickBot="1">
      <c r="B101" s="677" t="s">
        <v>885</v>
      </c>
      <c r="C101" s="1450">
        <f>'calcul-DCC-TX-Encais'!AU13</f>
        <v>67.178273039999993</v>
      </c>
      <c r="D101" s="1451">
        <f>'calcul-DCC-TX-Encais'!I29</f>
        <v>94.641095719999797</v>
      </c>
      <c r="E101" s="1450">
        <f>'calcul-DCC-TX-Encais'!AU29</f>
        <v>109.11771627</v>
      </c>
      <c r="F101" s="1814"/>
      <c r="G101" s="689">
        <f t="shared" si="25"/>
        <v>62.430070515548955</v>
      </c>
      <c r="H101" s="690">
        <f t="shared" si="26"/>
        <v>15.296336585990064</v>
      </c>
      <c r="I101" s="223"/>
      <c r="J101" s="691" t="s">
        <v>885</v>
      </c>
      <c r="K101" s="694">
        <v>101.77137780297672</v>
      </c>
      <c r="L101" s="841">
        <f>'calcul-DCC-TX-Encais'!I107</f>
        <v>128.31922287789578</v>
      </c>
      <c r="M101" s="694">
        <f>'calcul-DCC-TX-Encais'!AU107</f>
        <v>137.21918924020849</v>
      </c>
      <c r="N101" s="692">
        <f t="shared" si="27"/>
        <v>35.447811437231778</v>
      </c>
      <c r="O101" s="692">
        <f t="shared" si="28"/>
        <v>8.8999663623127105</v>
      </c>
      <c r="R101" s="693"/>
    </row>
    <row r="102" spans="2:18" ht="14.4" thickBot="1">
      <c r="B102" s="670" t="s">
        <v>49</v>
      </c>
      <c r="C102" s="696">
        <f>SUM(C92:C101)</f>
        <v>2151.6429324700057</v>
      </c>
      <c r="D102" s="696">
        <f>SUM(D92:D101)</f>
        <v>2926.0344933700053</v>
      </c>
      <c r="E102" s="696">
        <f>SUM(E92:E101)</f>
        <v>3123.0058855600018</v>
      </c>
      <c r="F102" s="696">
        <f>SUM(F92:F101)</f>
        <v>0</v>
      </c>
      <c r="G102" s="697">
        <f>((E102-C102)/C102)*100</f>
        <v>45.1451743424225</v>
      </c>
      <c r="H102" s="698">
        <f>((E102-D102)/D102)*100</f>
        <v>6.7316838757816022</v>
      </c>
      <c r="I102" s="223"/>
      <c r="J102" s="670" t="s">
        <v>49</v>
      </c>
      <c r="K102" s="695">
        <v>144.71471510944585</v>
      </c>
      <c r="L102" s="695">
        <f>'calcul-DCC-TX-Encais'!I108</f>
        <v>176.95158328548575</v>
      </c>
      <c r="M102" s="695">
        <f>'calcul-DCC-TX-Encais'!AU108</f>
        <v>173.29937183860065</v>
      </c>
      <c r="N102" s="699">
        <f t="shared" si="27"/>
        <v>28.584656729154801</v>
      </c>
      <c r="O102" s="700">
        <f t="shared" si="28"/>
        <v>-3.6522114468851044</v>
      </c>
    </row>
    <row r="103" spans="2:18">
      <c r="D103" s="430">
        <v>183.2</v>
      </c>
    </row>
    <row r="104" spans="2:18" ht="18">
      <c r="B104" s="666" t="s">
        <v>373</v>
      </c>
      <c r="J104" s="666"/>
    </row>
    <row r="105" spans="2:18" ht="18.600000000000001" thickBot="1">
      <c r="B105" s="666"/>
      <c r="J105" s="666"/>
    </row>
    <row r="106" spans="2:18" ht="18.600000000000001" thickBot="1">
      <c r="B106" s="3118" t="s">
        <v>378</v>
      </c>
      <c r="C106" s="3118"/>
      <c r="D106" s="3118"/>
      <c r="E106" s="3118"/>
      <c r="F106" s="3118"/>
      <c r="G106" s="3118"/>
      <c r="H106" s="3118"/>
      <c r="J106" s="3118" t="s">
        <v>379</v>
      </c>
      <c r="K106" s="3118"/>
      <c r="L106" s="3118"/>
      <c r="M106" s="3118"/>
      <c r="N106" s="3118"/>
      <c r="O106" s="3118"/>
      <c r="R106" s="693"/>
    </row>
    <row r="107" spans="2:18" ht="28.2" thickBot="1">
      <c r="B107" s="676"/>
      <c r="C107" s="107" t="str">
        <f t="shared" ref="C107:H107" si="29">C91</f>
        <v xml:space="preserve"> Solde au 31/12/ 2023</v>
      </c>
      <c r="D107" s="2745">
        <f t="shared" si="29"/>
        <v>45139</v>
      </c>
      <c r="E107" s="2745">
        <f t="shared" si="29"/>
        <v>45505</v>
      </c>
      <c r="F107" s="107" t="str">
        <f t="shared" si="29"/>
        <v>Objectif 2024</v>
      </c>
      <c r="G107" s="107" t="str">
        <f t="shared" si="29"/>
        <v>évol° 24/23 (%)</v>
      </c>
      <c r="H107" s="107" t="str">
        <f t="shared" si="29"/>
        <v>évol° 24/23-mois (%)</v>
      </c>
      <c r="J107" s="676"/>
      <c r="K107" s="107" t="str">
        <f>K91</f>
        <v>DCC au 31/12/ 2023</v>
      </c>
      <c r="L107" s="2745">
        <f>L91</f>
        <v>45139</v>
      </c>
      <c r="M107" s="2745">
        <f>M91</f>
        <v>45505</v>
      </c>
      <c r="N107" s="107" t="str">
        <f>N91</f>
        <v>évol° 24/23 (%)</v>
      </c>
      <c r="O107" s="107" t="str">
        <f>O91</f>
        <v>évol° 24/23-mois (%)</v>
      </c>
      <c r="R107" s="693"/>
    </row>
    <row r="108" spans="2:18" ht="14.4" thickBot="1">
      <c r="B108" s="677" t="s">
        <v>6</v>
      </c>
      <c r="C108" s="1450">
        <f>'calcul-DCC-TX-Encais'!AP4+'calcul-DCC-TX-Encais'!AT4</f>
        <v>1249.4898976999998</v>
      </c>
      <c r="D108" s="1452">
        <f>'calcul-DCC-TX-Encais'!D20+'calcul-DCC-TX-Encais'!H20</f>
        <v>1289.8965007200004</v>
      </c>
      <c r="E108" s="1450">
        <f>'calcul-DCC-TX-Encais'!AP20+'calcul-DCC-TX-Encais'!AT20</f>
        <v>1617.3603708499995</v>
      </c>
      <c r="F108" s="1450"/>
      <c r="G108" s="689">
        <f>((E108-C108)/C108)*100</f>
        <v>29.441652455706745</v>
      </c>
      <c r="H108" s="690">
        <f>((E108-D108)/D108)*100</f>
        <v>25.386832970491341</v>
      </c>
      <c r="I108" s="223"/>
      <c r="J108" s="691" t="s">
        <v>6</v>
      </c>
      <c r="K108" s="688">
        <v>100.78888508096937</v>
      </c>
      <c r="L108" s="694">
        <f>'calcul-DCC-TX-Encais'!E114</f>
        <v>104.07181687429845</v>
      </c>
      <c r="M108" s="688">
        <f>'calcul-DCC-TX-Encais'!AQ148</f>
        <v>149.13044359512691</v>
      </c>
      <c r="N108" s="692">
        <f>M108-K108</f>
        <v>48.341558514157541</v>
      </c>
      <c r="O108" s="692">
        <f>M108-L108</f>
        <v>45.058626720828457</v>
      </c>
      <c r="P108" s="119">
        <v>52.428686827435747</v>
      </c>
      <c r="Q108" s="123"/>
      <c r="R108" s="693"/>
    </row>
    <row r="109" spans="2:18" ht="14.4" thickBot="1">
      <c r="B109" s="677" t="s">
        <v>7</v>
      </c>
      <c r="C109" s="1450">
        <f>'calcul-DCC-TX-Encais'!AP5+'calcul-DCC-TX-Encais'!AT5</f>
        <v>353.608</v>
      </c>
      <c r="D109" s="1452">
        <f>'calcul-DCC-TX-Encais'!D21+'calcul-DCC-TX-Encais'!H21</f>
        <v>425.26800000000003</v>
      </c>
      <c r="E109" s="1450">
        <f>'calcul-DCC-TX-Encais'!AP21+'calcul-DCC-TX-Encais'!AT21</f>
        <v>603.30799999999999</v>
      </c>
      <c r="F109" s="1814"/>
      <c r="G109" s="689">
        <f t="shared" ref="G109:G117" si="30">((E109-C109)/C109)*100</f>
        <v>70.614918214520031</v>
      </c>
      <c r="H109" s="690">
        <f t="shared" ref="H109:H117" si="31">((E109-D109)/D109)*100</f>
        <v>41.865364899310542</v>
      </c>
      <c r="I109" s="223"/>
      <c r="J109" s="691" t="s">
        <v>7</v>
      </c>
      <c r="K109" s="694">
        <v>79.67182351408843</v>
      </c>
      <c r="L109" s="694">
        <f>'calcul-DCC-TX-Encais'!E115</f>
        <v>51.25965159946886</v>
      </c>
      <c r="M109" s="694">
        <f>'calcul-DCC-TX-Encais'!AQ149</f>
        <v>125.44352793398386</v>
      </c>
      <c r="N109" s="692">
        <f t="shared" ref="N109:N118" si="32">M109-K109</f>
        <v>45.771704419895428</v>
      </c>
      <c r="O109" s="692">
        <f t="shared" ref="O109:O117" si="33">M109-L109</f>
        <v>74.183876334514991</v>
      </c>
      <c r="P109" s="119">
        <v>63.429513286846863</v>
      </c>
      <c r="Q109" s="123"/>
      <c r="R109" s="693"/>
    </row>
    <row r="110" spans="2:18" ht="14.4" thickBot="1">
      <c r="B110" s="677" t="s">
        <v>8</v>
      </c>
      <c r="C110" s="1450">
        <f>'calcul-DCC-TX-Encais'!AP6+'calcul-DCC-TX-Encais'!AT6</f>
        <v>276.2401472520001</v>
      </c>
      <c r="D110" s="1452">
        <f>'calcul-DCC-TX-Encais'!D22+'calcul-DCC-TX-Encais'!H22</f>
        <v>487.45221466999999</v>
      </c>
      <c r="E110" s="1450">
        <f>'calcul-DCC-TX-Encais'!AP22+'calcul-DCC-TX-Encais'!AT22</f>
        <v>663.98323023000012</v>
      </c>
      <c r="F110" s="1814"/>
      <c r="G110" s="689">
        <f t="shared" si="30"/>
        <v>140.36449329875333</v>
      </c>
      <c r="H110" s="690">
        <f t="shared" si="31"/>
        <v>36.215040212610326</v>
      </c>
      <c r="I110" s="223"/>
      <c r="J110" s="691" t="s">
        <v>8</v>
      </c>
      <c r="K110" s="694">
        <v>88.795152565636869</v>
      </c>
      <c r="L110" s="694">
        <f>'calcul-DCC-TX-Encais'!E116</f>
        <v>158.45126343806839</v>
      </c>
      <c r="M110" s="694">
        <f>'calcul-DCC-TX-Encais'!AQ150</f>
        <v>214.39624663461814</v>
      </c>
      <c r="N110" s="692">
        <f t="shared" si="32"/>
        <v>125.60109406898127</v>
      </c>
      <c r="O110" s="692">
        <f t="shared" si="33"/>
        <v>55.944983196549742</v>
      </c>
      <c r="P110" s="119">
        <v>103.67234578899898</v>
      </c>
      <c r="Q110" s="123"/>
      <c r="R110" s="693"/>
    </row>
    <row r="111" spans="2:18" ht="14.4" thickBot="1">
      <c r="B111" s="677" t="s">
        <v>4</v>
      </c>
      <c r="C111" s="1450">
        <f>'calcul-DCC-TX-Encais'!AP7+'calcul-DCC-TX-Encais'!AT7</f>
        <v>1000.46626014</v>
      </c>
      <c r="D111" s="1452">
        <f>'calcul-DCC-TX-Encais'!D23+'calcul-DCC-TX-Encais'!H23</f>
        <v>866.63326127999949</v>
      </c>
      <c r="E111" s="1450">
        <f>'calcul-DCC-TX-Encais'!AP23+'calcul-DCC-TX-Encais'!AT23</f>
        <v>1603.9173486600002</v>
      </c>
      <c r="F111" s="1814"/>
      <c r="G111" s="689">
        <f t="shared" si="30"/>
        <v>60.316985445921624</v>
      </c>
      <c r="H111" s="690">
        <f t="shared" si="31"/>
        <v>85.074520021427219</v>
      </c>
      <c r="I111" s="223"/>
      <c r="J111" s="691" t="s">
        <v>4</v>
      </c>
      <c r="K111" s="694">
        <v>163.08682077476422</v>
      </c>
      <c r="L111" s="694">
        <f>'calcul-DCC-TX-Encais'!E117</f>
        <v>139.9355797307353</v>
      </c>
      <c r="M111" s="694">
        <f>'calcul-DCC-TX-Encais'!AQ151</f>
        <v>244.79495694627855</v>
      </c>
      <c r="N111" s="692">
        <f t="shared" si="32"/>
        <v>81.708136171514326</v>
      </c>
      <c r="O111" s="692">
        <f t="shared" si="33"/>
        <v>104.85937721554325</v>
      </c>
      <c r="P111" s="119">
        <v>54.469758779692619</v>
      </c>
      <c r="Q111" s="123"/>
      <c r="R111" s="693"/>
    </row>
    <row r="112" spans="2:18" ht="14.4" thickBot="1">
      <c r="B112" s="677" t="s">
        <v>3</v>
      </c>
      <c r="C112" s="1450">
        <f>'calcul-DCC-TX-Encais'!AP8+'calcul-DCC-TX-Encais'!AT8</f>
        <v>659.01199999999994</v>
      </c>
      <c r="D112" s="1452">
        <f>'calcul-DCC-TX-Encais'!D24+'calcul-DCC-TX-Encais'!H24</f>
        <v>757.03817139</v>
      </c>
      <c r="E112" s="1450">
        <f>'calcul-DCC-TX-Encais'!AP24+'calcul-DCC-TX-Encais'!AT24</f>
        <v>1047.22306151</v>
      </c>
      <c r="F112" s="1814"/>
      <c r="G112" s="689">
        <f t="shared" si="30"/>
        <v>58.908041357365285</v>
      </c>
      <c r="H112" s="690">
        <f t="shared" si="31"/>
        <v>38.331606131192913</v>
      </c>
      <c r="I112" s="223"/>
      <c r="J112" s="691" t="s">
        <v>3</v>
      </c>
      <c r="K112" s="694">
        <v>151.59169261691923</v>
      </c>
      <c r="L112" s="694">
        <f>'calcul-DCC-TX-Encais'!E118</f>
        <v>184.42466026195348</v>
      </c>
      <c r="M112" s="694">
        <f>'calcul-DCC-TX-Encais'!AQ152</f>
        <v>201.37433720496097</v>
      </c>
      <c r="N112" s="692">
        <f t="shared" si="32"/>
        <v>49.782644588041734</v>
      </c>
      <c r="O112" s="692">
        <f t="shared" si="33"/>
        <v>16.949676943007489</v>
      </c>
      <c r="P112" s="119">
        <v>137.65211361257602</v>
      </c>
      <c r="Q112" s="123"/>
      <c r="R112" s="693"/>
    </row>
    <row r="113" spans="2:18" ht="14.4" thickBot="1">
      <c r="B113" s="677" t="s">
        <v>397</v>
      </c>
      <c r="C113" s="1450">
        <f>'calcul-DCC-TX-Encais'!AP9+'calcul-DCC-TX-Encais'!AT9</f>
        <v>762.41717501999995</v>
      </c>
      <c r="D113" s="1452">
        <f>'calcul-DCC-TX-Encais'!D25+'calcul-DCC-TX-Encais'!H25</f>
        <v>956.57425858000011</v>
      </c>
      <c r="E113" s="1450">
        <f>'calcul-DCC-TX-Encais'!AP25+'calcul-DCC-TX-Encais'!AT25</f>
        <v>1002.9945015399996</v>
      </c>
      <c r="F113" s="1814"/>
      <c r="G113" s="689">
        <f t="shared" si="30"/>
        <v>31.554552337267168</v>
      </c>
      <c r="H113" s="690">
        <f t="shared" si="31"/>
        <v>4.8527589513969058</v>
      </c>
      <c r="I113" s="223"/>
      <c r="J113" s="691" t="s">
        <v>397</v>
      </c>
      <c r="K113" s="694">
        <v>182.55197025457076</v>
      </c>
      <c r="L113" s="694">
        <f>'calcul-DCC-TX-Encais'!E119</f>
        <v>232.07302871840443</v>
      </c>
      <c r="M113" s="694">
        <f>'calcul-DCC-TX-Encais'!AQ153</f>
        <v>143.40188269902004</v>
      </c>
      <c r="N113" s="692">
        <f t="shared" si="32"/>
        <v>-39.150087555550726</v>
      </c>
      <c r="O113" s="692">
        <f t="shared" si="33"/>
        <v>-88.671146019384395</v>
      </c>
      <c r="P113" s="119">
        <v>105.01707478032746</v>
      </c>
      <c r="Q113" s="123"/>
      <c r="R113" s="693"/>
    </row>
    <row r="114" spans="2:18" ht="14.4" thickBot="1">
      <c r="B114" s="677" t="s">
        <v>399</v>
      </c>
      <c r="C114" s="1450">
        <f>'calcul-DCC-TX-Encais'!AP10+'calcul-DCC-TX-Encais'!AT10</f>
        <v>817.83576278000078</v>
      </c>
      <c r="D114" s="1452">
        <f>'calcul-DCC-TX-Encais'!D26+'calcul-DCC-TX-Encais'!H26</f>
        <v>859.00039256999912</v>
      </c>
      <c r="E114" s="1450">
        <f>'calcul-DCC-TX-Encais'!AP26+'calcul-DCC-TX-Encais'!AT26</f>
        <v>1330.7006805099995</v>
      </c>
      <c r="F114" s="1814"/>
      <c r="G114" s="689">
        <f t="shared" si="30"/>
        <v>62.710013559037804</v>
      </c>
      <c r="H114" s="690">
        <f t="shared" si="31"/>
        <v>54.912697598279848</v>
      </c>
      <c r="I114" s="223"/>
      <c r="J114" s="691" t="s">
        <v>399</v>
      </c>
      <c r="K114" s="694">
        <v>86.557260305264791</v>
      </c>
      <c r="L114" s="694">
        <f>'calcul-DCC-TX-Encais'!E120</f>
        <v>93.424507277773202</v>
      </c>
      <c r="M114" s="694">
        <f>'calcul-DCC-TX-Encais'!AQ154</f>
        <v>159.18488954551287</v>
      </c>
      <c r="N114" s="692">
        <f t="shared" si="32"/>
        <v>72.627629240248083</v>
      </c>
      <c r="O114" s="692">
        <f t="shared" si="33"/>
        <v>65.760382267739672</v>
      </c>
      <c r="P114" s="119">
        <v>100.72550058175247</v>
      </c>
      <c r="Q114" s="123"/>
      <c r="R114" s="693"/>
    </row>
    <row r="115" spans="2:18" ht="14.4" thickBot="1">
      <c r="B115" s="677" t="s">
        <v>883</v>
      </c>
      <c r="C115" s="1450">
        <f>'calcul-DCC-TX-Encais'!AP11+'calcul-DCC-TX-Encais'!AT11</f>
        <v>567.46584522000001</v>
      </c>
      <c r="D115" s="1452">
        <f>'calcul-DCC-TX-Encais'!D27+'calcul-DCC-TX-Encais'!H27</f>
        <v>592.43774728000005</v>
      </c>
      <c r="E115" s="1450">
        <f>'calcul-DCC-TX-Encais'!AP27+'calcul-DCC-TX-Encais'!AT27</f>
        <v>853.44475696000018</v>
      </c>
      <c r="F115" s="1814"/>
      <c r="G115" s="689">
        <f t="shared" si="30"/>
        <v>50.395792830338436</v>
      </c>
      <c r="H115" s="690">
        <f t="shared" si="31"/>
        <v>44.056444897094323</v>
      </c>
      <c r="I115" s="223"/>
      <c r="J115" s="691" t="s">
        <v>883</v>
      </c>
      <c r="K115" s="694">
        <v>110.64839722224082</v>
      </c>
      <c r="L115" s="694">
        <f>'calcul-DCC-TX-Encais'!E121</f>
        <v>129.14289113664483</v>
      </c>
      <c r="M115" s="694">
        <f>'calcul-DCC-TX-Encais'!AQ155</f>
        <v>176.38995845970993</v>
      </c>
      <c r="N115" s="692">
        <f t="shared" si="32"/>
        <v>65.741561237469114</v>
      </c>
      <c r="O115" s="692">
        <f t="shared" si="33"/>
        <v>47.247067323065096</v>
      </c>
      <c r="P115" s="119">
        <v>174.4090086322131</v>
      </c>
      <c r="Q115" s="123"/>
      <c r="R115" s="693"/>
    </row>
    <row r="116" spans="2:18" ht="14.4" thickBot="1">
      <c r="B116" s="677" t="s">
        <v>884</v>
      </c>
      <c r="C116" s="1450">
        <f>'calcul-DCC-TX-Encais'!AP12+'calcul-DCC-TX-Encais'!AT12</f>
        <v>605.03977104999331</v>
      </c>
      <c r="D116" s="1452">
        <f>'calcul-DCC-TX-Encais'!D28+'calcul-DCC-TX-Encais'!H28</f>
        <v>597.16843558999642</v>
      </c>
      <c r="E116" s="1450">
        <f>'calcul-DCC-TX-Encais'!AP28+'calcul-DCC-TX-Encais'!AT28</f>
        <v>863.43071900999223</v>
      </c>
      <c r="F116" s="1814"/>
      <c r="G116" s="689">
        <f t="shared" si="30"/>
        <v>42.706440191788417</v>
      </c>
      <c r="H116" s="690">
        <f t="shared" si="31"/>
        <v>44.587467714520336</v>
      </c>
      <c r="I116" s="223"/>
      <c r="J116" s="691" t="s">
        <v>884</v>
      </c>
      <c r="K116" s="694">
        <v>133.10421924036271</v>
      </c>
      <c r="L116" s="694">
        <f>'calcul-DCC-TX-Encais'!E122</f>
        <v>130.00515383895984</v>
      </c>
      <c r="M116" s="694">
        <f>'calcul-DCC-TX-Encais'!AQ156</f>
        <v>183.75988698562483</v>
      </c>
      <c r="N116" s="692">
        <f t="shared" si="32"/>
        <v>50.655667745262122</v>
      </c>
      <c r="O116" s="692">
        <f t="shared" si="33"/>
        <v>53.754733146664989</v>
      </c>
      <c r="P116" s="119">
        <v>49.37766202524363</v>
      </c>
      <c r="Q116" s="123"/>
      <c r="R116" s="693"/>
    </row>
    <row r="117" spans="2:18" ht="14.4" thickBot="1">
      <c r="B117" s="677" t="s">
        <v>885</v>
      </c>
      <c r="C117" s="1450">
        <f>'calcul-DCC-TX-Encais'!AP13+'calcul-DCC-TX-Encais'!AT13</f>
        <v>207.58485690999998</v>
      </c>
      <c r="D117" s="1452">
        <f>'calcul-DCC-TX-Encais'!D29+'calcul-DCC-TX-Encais'!H29</f>
        <v>199.91533082000001</v>
      </c>
      <c r="E117" s="1450">
        <f>'calcul-DCC-TX-Encais'!AP29+'calcul-DCC-TX-Encais'!AT29</f>
        <v>314.44103416000002</v>
      </c>
      <c r="F117" s="1814"/>
      <c r="G117" s="689">
        <f t="shared" si="30"/>
        <v>51.475901874831045</v>
      </c>
      <c r="H117" s="690">
        <f t="shared" si="31"/>
        <v>57.287103930571881</v>
      </c>
      <c r="I117" s="223"/>
      <c r="J117" s="691" t="s">
        <v>885</v>
      </c>
      <c r="K117" s="694">
        <v>221.63390118995915</v>
      </c>
      <c r="L117" s="694">
        <f>'calcul-DCC-TX-Encais'!E123</f>
        <v>210.17892614153985</v>
      </c>
      <c r="M117" s="694">
        <f>'calcul-DCC-TX-Encais'!AQ157</f>
        <v>335.51368319171434</v>
      </c>
      <c r="N117" s="692">
        <f t="shared" si="32"/>
        <v>113.87978200175519</v>
      </c>
      <c r="O117" s="692">
        <f t="shared" si="33"/>
        <v>125.33475705017449</v>
      </c>
      <c r="P117" s="119">
        <v>112.41638486187107</v>
      </c>
      <c r="Q117" s="123"/>
      <c r="R117" s="693"/>
    </row>
    <row r="118" spans="2:18" ht="14.4" thickBot="1">
      <c r="B118" s="670" t="s">
        <v>49</v>
      </c>
      <c r="C118" s="696">
        <f>SUM(C108:C117)</f>
        <v>6499.1597160719939</v>
      </c>
      <c r="D118" s="696">
        <f>SUM(D108:D117)</f>
        <v>7031.3843128999961</v>
      </c>
      <c r="E118" s="696">
        <f>SUM(E108:E117)</f>
        <v>9900.8037034299905</v>
      </c>
      <c r="F118" s="696">
        <f>SUM(F108:F117)</f>
        <v>0</v>
      </c>
      <c r="G118" s="697">
        <f>((E118-C118)/C118)*100</f>
        <v>52.339750613390144</v>
      </c>
      <c r="H118" s="698">
        <f>((E118-D118)/D118)*100</f>
        <v>40.808740680916394</v>
      </c>
      <c r="I118" s="223"/>
      <c r="J118" s="670" t="s">
        <v>49</v>
      </c>
      <c r="K118" s="695">
        <v>120.0218831146635</v>
      </c>
      <c r="L118" s="695">
        <f>'calcul-DCC-TX-Encais'!E124</f>
        <v>122.2563332127861</v>
      </c>
      <c r="M118" s="695">
        <f>'calcul-DCC-TX-Encais'!AQ158</f>
        <v>175.7575557880904</v>
      </c>
      <c r="N118" s="699">
        <f t="shared" si="32"/>
        <v>55.735672673426905</v>
      </c>
      <c r="O118" s="700">
        <f>M118-L118</f>
        <v>53.501222575304297</v>
      </c>
      <c r="P118" s="430">
        <v>85.169118170622838</v>
      </c>
    </row>
    <row r="119" spans="2:18">
      <c r="E119" s="784">
        <f>E118-'[8]Créanc-agence-compare'!$E$148</f>
        <v>-3324.5671694600114</v>
      </c>
    </row>
    <row r="120" spans="2:18" ht="18">
      <c r="B120" s="3118" t="s">
        <v>702</v>
      </c>
      <c r="C120" s="3118"/>
      <c r="D120" s="3118"/>
      <c r="E120" s="3118"/>
      <c r="F120" s="3118"/>
      <c r="G120" s="3118"/>
      <c r="H120" s="3118"/>
      <c r="J120" s="3118" t="s">
        <v>703</v>
      </c>
      <c r="K120" s="3118"/>
      <c r="L120" s="3118"/>
      <c r="M120" s="3118"/>
      <c r="N120" s="3118"/>
      <c r="O120" s="3118"/>
    </row>
    <row r="121" spans="2:18" ht="27.6">
      <c r="B121" s="676"/>
      <c r="C121" s="107" t="str">
        <f t="shared" ref="C121:H121" si="34">C107</f>
        <v xml:space="preserve"> Solde au 31/12/ 2023</v>
      </c>
      <c r="D121" s="2745">
        <f t="shared" si="34"/>
        <v>45139</v>
      </c>
      <c r="E121" s="2745">
        <f t="shared" si="34"/>
        <v>45505</v>
      </c>
      <c r="F121" s="107" t="str">
        <f t="shared" si="34"/>
        <v>Objectif 2024</v>
      </c>
      <c r="G121" s="107" t="str">
        <f t="shared" si="34"/>
        <v>évol° 24/23 (%)</v>
      </c>
      <c r="H121" s="107" t="str">
        <f t="shared" si="34"/>
        <v>évol° 24/23-mois (%)</v>
      </c>
      <c r="J121" s="676"/>
      <c r="K121" s="107" t="str">
        <f>K107</f>
        <v>DCC au 31/12/ 2023</v>
      </c>
      <c r="L121" s="2745">
        <f>L107</f>
        <v>45139</v>
      </c>
      <c r="M121" s="2745">
        <f>M107</f>
        <v>45505</v>
      </c>
      <c r="N121" s="107" t="str">
        <f>N107</f>
        <v>évol° 24/23 (%)</v>
      </c>
      <c r="O121" s="107" t="str">
        <f>O107</f>
        <v>évol° 24/23-mois (%)</v>
      </c>
    </row>
    <row r="122" spans="2:18">
      <c r="B122" s="677" t="s">
        <v>6</v>
      </c>
      <c r="C122" s="1450">
        <f>'calcul-DCC-TX-Encais'!BH4</f>
        <v>202.65957825999988</v>
      </c>
      <c r="D122" s="1259">
        <f>'calcul-DCC-TX-Encais'!V20</f>
        <v>339.48660998000014</v>
      </c>
      <c r="E122" s="1450">
        <f>'calcul-DCC-TX-Encais'!BH20</f>
        <v>216.8233301999993</v>
      </c>
      <c r="F122" s="1450"/>
      <c r="G122" s="689">
        <f>((E122-C122)/C122)*100</f>
        <v>6.9889378343757329</v>
      </c>
      <c r="H122" s="690">
        <f>((E122-D122)/D122)*100</f>
        <v>-36.131993478984988</v>
      </c>
      <c r="I122" s="223"/>
      <c r="J122" s="691" t="s">
        <v>6</v>
      </c>
      <c r="K122" s="688">
        <v>24.173150097191524</v>
      </c>
      <c r="L122" s="694">
        <f>'calcul-DCC-TX-Encais'!X114</f>
        <v>82.714492678100541</v>
      </c>
      <c r="M122" s="688">
        <f>'calcul-DCC-TX-Encais'!BJ148</f>
        <v>448.28784616999985</v>
      </c>
      <c r="N122" s="692">
        <f>M122-K122</f>
        <v>424.11469607280833</v>
      </c>
      <c r="O122" s="692">
        <f>M122-L122</f>
        <v>365.5733534918993</v>
      </c>
    </row>
    <row r="123" spans="2:18">
      <c r="B123" s="677" t="s">
        <v>7</v>
      </c>
      <c r="C123" s="1450">
        <f>'calcul-DCC-TX-Encais'!BH5</f>
        <v>16.557000000000016</v>
      </c>
      <c r="D123" s="1259">
        <f>'calcul-DCC-TX-Encais'!V21</f>
        <v>41.725999999999999</v>
      </c>
      <c r="E123" s="1450">
        <f>'calcul-DCC-TX-Encais'!BH21</f>
        <v>28.177000000000021</v>
      </c>
      <c r="F123" s="1814"/>
      <c r="G123" s="689">
        <f t="shared" ref="G123:G131" si="35">((E123-C123)/C123)*100</f>
        <v>70.181796219121779</v>
      </c>
      <c r="H123" s="690">
        <f t="shared" ref="H123:H131" si="36">((E123-D123)/D123)*100</f>
        <v>-32.47136078224603</v>
      </c>
      <c r="I123" s="223"/>
      <c r="J123" s="691" t="s">
        <v>7</v>
      </c>
      <c r="K123" s="694">
        <v>6.4488761082212633</v>
      </c>
      <c r="L123" s="694">
        <f>'calcul-DCC-TX-Encais'!X115</f>
        <v>18.429357572390909</v>
      </c>
      <c r="M123" s="688">
        <f>'calcul-DCC-TX-Encais'!BJ149</f>
        <v>45.224449999999983</v>
      </c>
      <c r="N123" s="692">
        <f t="shared" ref="N123:N131" si="37">M123-K123</f>
        <v>38.77557389177872</v>
      </c>
      <c r="O123" s="692">
        <f t="shared" ref="O123:O131" si="38">M123-L123</f>
        <v>26.795092427609074</v>
      </c>
    </row>
    <row r="124" spans="2:18">
      <c r="B124" s="677" t="s">
        <v>8</v>
      </c>
      <c r="C124" s="1450">
        <f>'calcul-DCC-TX-Encais'!BH6</f>
        <v>13.640624703000043</v>
      </c>
      <c r="D124" s="1259">
        <f>'calcul-DCC-TX-Encais'!V22</f>
        <v>26.925256689999969</v>
      </c>
      <c r="E124" s="1450">
        <f>'calcul-DCC-TX-Encais'!BH22</f>
        <v>21.908920250000051</v>
      </c>
      <c r="F124" s="1814"/>
      <c r="G124" s="689">
        <f t="shared" si="35"/>
        <v>60.615226406614099</v>
      </c>
      <c r="H124" s="690">
        <f t="shared" si="36"/>
        <v>-18.630598392263366</v>
      </c>
      <c r="I124" s="223"/>
      <c r="J124" s="691" t="s">
        <v>8</v>
      </c>
      <c r="K124" s="694">
        <v>16.489273032446974</v>
      </c>
      <c r="L124" s="694">
        <f>'calcul-DCC-TX-Encais'!X116</f>
        <v>47.466764692772699</v>
      </c>
      <c r="M124" s="688">
        <f>'calcul-DCC-TX-Encais'!BJ150</f>
        <v>256.41170603</v>
      </c>
      <c r="N124" s="692">
        <f t="shared" si="37"/>
        <v>239.92243299755302</v>
      </c>
      <c r="O124" s="692">
        <f t="shared" si="38"/>
        <v>208.94494133722731</v>
      </c>
    </row>
    <row r="125" spans="2:18">
      <c r="B125" s="677" t="s">
        <v>4</v>
      </c>
      <c r="C125" s="1450">
        <f>'calcul-DCC-TX-Encais'!BH7</f>
        <v>27.77435233999995</v>
      </c>
      <c r="D125" s="1259">
        <f>'calcul-DCC-TX-Encais'!V23</f>
        <v>44.526308119999555</v>
      </c>
      <c r="E125" s="1450">
        <f>'calcul-DCC-TX-Encais'!BH23</f>
        <v>42.104429140000093</v>
      </c>
      <c r="F125" s="1814"/>
      <c r="G125" s="689">
        <f t="shared" si="35"/>
        <v>51.594638912109978</v>
      </c>
      <c r="H125" s="690">
        <f t="shared" si="36"/>
        <v>-5.4392090479912145</v>
      </c>
      <c r="I125" s="223"/>
      <c r="J125" s="691" t="s">
        <v>4</v>
      </c>
      <c r="K125" s="694">
        <v>9.7899638004903906</v>
      </c>
      <c r="L125" s="694">
        <f>'calcul-DCC-TX-Encais'!X117</f>
        <v>87.069539126288802</v>
      </c>
      <c r="M125" s="688">
        <f>'calcul-DCC-TX-Encais'!BJ151</f>
        <v>378.17800578999999</v>
      </c>
      <c r="N125" s="692">
        <f t="shared" si="37"/>
        <v>368.38804198950959</v>
      </c>
      <c r="O125" s="692">
        <f t="shared" si="38"/>
        <v>291.10846666371117</v>
      </c>
    </row>
    <row r="126" spans="2:18">
      <c r="B126" s="677" t="s">
        <v>3</v>
      </c>
      <c r="C126" s="1450">
        <f>'calcul-DCC-TX-Encais'!BH8</f>
        <v>100.11548152</v>
      </c>
      <c r="D126" s="1259">
        <f>'calcul-DCC-TX-Encais'!V24</f>
        <v>166.14708077999998</v>
      </c>
      <c r="E126" s="1450">
        <f>'calcul-DCC-TX-Encais'!BH24</f>
        <v>162.91801486000003</v>
      </c>
      <c r="F126" s="1814"/>
      <c r="G126" s="689">
        <f t="shared" si="35"/>
        <v>62.730091676634444</v>
      </c>
      <c r="H126" s="690">
        <f t="shared" si="36"/>
        <v>-1.9434984381553178</v>
      </c>
      <c r="I126" s="223"/>
      <c r="J126" s="691" t="s">
        <v>3</v>
      </c>
      <c r="K126" s="694">
        <v>31.477559952647617</v>
      </c>
      <c r="L126" s="694">
        <f>'calcul-DCC-TX-Encais'!X118</f>
        <v>138.87216110577324</v>
      </c>
      <c r="M126" s="688">
        <f>'calcul-DCC-TX-Encais'!BJ152</f>
        <v>579.70919847000005</v>
      </c>
      <c r="N126" s="692">
        <f t="shared" si="37"/>
        <v>548.23163851735239</v>
      </c>
      <c r="O126" s="692">
        <f t="shared" si="38"/>
        <v>440.83703736422683</v>
      </c>
    </row>
    <row r="127" spans="2:18">
      <c r="B127" s="677" t="s">
        <v>397</v>
      </c>
      <c r="C127" s="1450">
        <f>'calcul-DCC-TX-Encais'!BH9</f>
        <v>115.54354138999972</v>
      </c>
      <c r="D127" s="1259">
        <f>'calcul-DCC-TX-Encais'!V25</f>
        <v>180.50061337</v>
      </c>
      <c r="E127" s="1450">
        <f>'calcul-DCC-TX-Encais'!BH25</f>
        <v>165.41160579999968</v>
      </c>
      <c r="F127" s="1814"/>
      <c r="G127" s="689">
        <f t="shared" si="35"/>
        <v>43.159542982742636</v>
      </c>
      <c r="H127" s="690">
        <f t="shared" si="36"/>
        <v>-8.3595325734822019</v>
      </c>
      <c r="I127" s="223"/>
      <c r="J127" s="691" t="s">
        <v>397</v>
      </c>
      <c r="K127" s="694">
        <v>35.981856831151738</v>
      </c>
      <c r="L127" s="694">
        <f>'calcul-DCC-TX-Encais'!X119</f>
        <v>146.22893632747687</v>
      </c>
      <c r="M127" s="688">
        <f>'calcul-DCC-TX-Encais'!BJ153</f>
        <v>265.72884999653297</v>
      </c>
      <c r="N127" s="692">
        <f t="shared" si="37"/>
        <v>229.74699316538124</v>
      </c>
      <c r="O127" s="692">
        <f t="shared" si="38"/>
        <v>119.4999136690561</v>
      </c>
    </row>
    <row r="128" spans="2:18">
      <c r="B128" s="677" t="s">
        <v>399</v>
      </c>
      <c r="C128" s="1450">
        <f>'calcul-DCC-TX-Encais'!BH10</f>
        <v>185.31006396999874</v>
      </c>
      <c r="D128" s="1259">
        <f>'calcul-DCC-TX-Encais'!V26</f>
        <v>306.97636126999981</v>
      </c>
      <c r="E128" s="1450">
        <f>'calcul-DCC-TX-Encais'!BH26</f>
        <v>516.60769722999862</v>
      </c>
      <c r="F128" s="1814"/>
      <c r="G128" s="689">
        <f t="shared" si="35"/>
        <v>178.78016237349971</v>
      </c>
      <c r="H128" s="690">
        <f t="shared" si="36"/>
        <v>68.289080987450504</v>
      </c>
      <c r="I128" s="223"/>
      <c r="J128" s="691" t="s">
        <v>399</v>
      </c>
      <c r="K128" s="694">
        <v>22.438382038199702</v>
      </c>
      <c r="L128" s="694">
        <f>'calcul-DCC-TX-Encais'!X120</f>
        <v>65.594227267345843</v>
      </c>
      <c r="M128" s="688">
        <f>'calcul-DCC-TX-Encais'!BJ154</f>
        <v>470.68999999999994</v>
      </c>
      <c r="N128" s="692">
        <f t="shared" si="37"/>
        <v>448.25161796180026</v>
      </c>
      <c r="O128" s="692">
        <f t="shared" si="38"/>
        <v>405.0957727326541</v>
      </c>
    </row>
    <row r="129" spans="2:16">
      <c r="B129" s="677" t="s">
        <v>883</v>
      </c>
      <c r="C129" s="1450">
        <f>'calcul-DCC-TX-Encais'!BH11</f>
        <v>57.859196109999999</v>
      </c>
      <c r="D129" s="1259">
        <f>'calcul-DCC-TX-Encais'!V27</f>
        <v>125.58117384000001</v>
      </c>
      <c r="E129" s="1450">
        <f>'calcul-DCC-TX-Encais'!BH27</f>
        <v>114.61665014000009</v>
      </c>
      <c r="F129" s="1814"/>
      <c r="G129" s="689">
        <f t="shared" si="35"/>
        <v>98.095822005709664</v>
      </c>
      <c r="H129" s="690">
        <f t="shared" si="36"/>
        <v>-8.7310250133268816</v>
      </c>
      <c r="I129" s="223"/>
      <c r="J129" s="691" t="s">
        <v>883</v>
      </c>
      <c r="K129" s="694">
        <v>21.254535445641451</v>
      </c>
      <c r="L129" s="694">
        <f>'calcul-DCC-TX-Encais'!X121</f>
        <v>86.24767371171275</v>
      </c>
      <c r="M129" s="688">
        <f>'calcul-DCC-TX-Encais'!BJ155</f>
        <v>238.03009583000008</v>
      </c>
      <c r="N129" s="692">
        <f t="shared" si="37"/>
        <v>216.77556038435864</v>
      </c>
      <c r="O129" s="692">
        <f t="shared" si="38"/>
        <v>151.78242211828734</v>
      </c>
    </row>
    <row r="130" spans="2:16">
      <c r="B130" s="677" t="s">
        <v>884</v>
      </c>
      <c r="C130" s="1450">
        <f>'calcul-DCC-TX-Encais'!BH12</f>
        <v>25.73064597000117</v>
      </c>
      <c r="D130" s="1259">
        <f>'calcul-DCC-TX-Encais'!V28</f>
        <v>56.720377590001192</v>
      </c>
      <c r="E130" s="1450">
        <f>'calcul-DCC-TX-Encais'!BH28</f>
        <v>31.987954050001118</v>
      </c>
      <c r="F130" s="1814"/>
      <c r="G130" s="689">
        <f t="shared" si="35"/>
        <v>24.318503652396505</v>
      </c>
      <c r="H130" s="690">
        <f t="shared" si="36"/>
        <v>-43.604123581081318</v>
      </c>
      <c r="I130" s="223"/>
      <c r="J130" s="691" t="s">
        <v>884</v>
      </c>
      <c r="K130" s="694">
        <v>10.73337927721677</v>
      </c>
      <c r="L130" s="694">
        <f>'calcul-DCC-TX-Encais'!X122</f>
        <v>87.862938239829631</v>
      </c>
      <c r="M130" s="688">
        <f>'calcul-DCC-TX-Encais'!BJ156</f>
        <v>339.28628486999906</v>
      </c>
      <c r="N130" s="692">
        <f t="shared" si="37"/>
        <v>328.55290559278228</v>
      </c>
      <c r="O130" s="692">
        <f t="shared" si="38"/>
        <v>251.42334663016942</v>
      </c>
    </row>
    <row r="131" spans="2:16" ht="14.4" thickBot="1">
      <c r="B131" s="677" t="s">
        <v>885</v>
      </c>
      <c r="C131" s="1450">
        <f>'calcul-DCC-TX-Encais'!BH13</f>
        <v>3.3366595000000001</v>
      </c>
      <c r="D131" s="1259">
        <f>'calcul-DCC-TX-Encais'!V29</f>
        <v>9.2145063100000009</v>
      </c>
      <c r="E131" s="1450">
        <f>'calcul-DCC-TX-Encais'!BH29</f>
        <v>8.5250017400000004</v>
      </c>
      <c r="F131" s="1814"/>
      <c r="G131" s="689">
        <f t="shared" si="35"/>
        <v>155.49510640807071</v>
      </c>
      <c r="H131" s="690">
        <f t="shared" si="36"/>
        <v>-7.4828161900732413</v>
      </c>
      <c r="I131" s="223"/>
      <c r="J131" s="691" t="s">
        <v>885</v>
      </c>
      <c r="K131" s="694">
        <v>10.149241057579582</v>
      </c>
      <c r="L131" s="694">
        <f>'calcul-DCC-TX-Encais'!X123</f>
        <v>133.19598624006963</v>
      </c>
      <c r="M131" s="688">
        <f>'calcul-DCC-TX-Encais'!BJ157</f>
        <v>111.73399692000001</v>
      </c>
      <c r="N131" s="692">
        <f t="shared" si="37"/>
        <v>101.58475586242042</v>
      </c>
      <c r="O131" s="692">
        <f t="shared" si="38"/>
        <v>-21.46198932006962</v>
      </c>
    </row>
    <row r="132" spans="2:16" ht="14.4" thickBot="1">
      <c r="B132" s="670" t="s">
        <v>49</v>
      </c>
      <c r="C132" s="696">
        <f>SUM(C122:C131)</f>
        <v>748.52714376299957</v>
      </c>
      <c r="D132" s="696">
        <f>SUM(D122:D131)</f>
        <v>1297.8042879500006</v>
      </c>
      <c r="E132" s="696">
        <f>SUM(E122:E131)</f>
        <v>1309.080603409999</v>
      </c>
      <c r="F132" s="696">
        <f>SUM(F122:F131)</f>
        <v>0</v>
      </c>
      <c r="G132" s="697">
        <f>((E132-C132)/C132)*100</f>
        <v>74.887526032654222</v>
      </c>
      <c r="H132" s="698">
        <f>((E132-D132)/D132)*100</f>
        <v>0.8688764218686893</v>
      </c>
      <c r="I132" s="223"/>
      <c r="J132" s="670" t="s">
        <v>49</v>
      </c>
      <c r="K132" s="695">
        <v>21.562756846992965</v>
      </c>
      <c r="L132" s="695">
        <f>'calcul-DCC-TX-Encais'!X124</f>
        <v>80.405441472658069</v>
      </c>
      <c r="M132" s="695">
        <f>'calcul-DCC-TX-Encais'!BJ158</f>
        <v>3133.2804340765319</v>
      </c>
      <c r="N132" s="699">
        <f>M132-K132</f>
        <v>3111.7176772295388</v>
      </c>
      <c r="O132" s="700">
        <f>M132-L132</f>
        <v>3052.874992603874</v>
      </c>
    </row>
    <row r="133" spans="2:16" ht="12.75" customHeight="1"/>
    <row r="134" spans="2:16" ht="18.75" customHeight="1">
      <c r="B134" s="3118" t="s">
        <v>704</v>
      </c>
      <c r="C134" s="3118"/>
      <c r="D134" s="3118"/>
      <c r="E134" s="3118"/>
      <c r="F134" s="3118"/>
      <c r="G134" s="3118"/>
      <c r="H134" s="3118"/>
      <c r="J134" s="3118" t="s">
        <v>705</v>
      </c>
      <c r="K134" s="3118"/>
      <c r="L134" s="3118"/>
      <c r="M134" s="3118"/>
      <c r="N134" s="3118"/>
      <c r="O134" s="3118"/>
      <c r="P134" s="3118"/>
    </row>
    <row r="135" spans="2:16" ht="28.5" customHeight="1">
      <c r="B135" s="676"/>
      <c r="C135" s="107" t="str">
        <f t="shared" ref="C135:H135" si="39">C121</f>
        <v xml:space="preserve"> Solde au 31/12/ 2023</v>
      </c>
      <c r="D135" s="2745">
        <f t="shared" si="39"/>
        <v>45139</v>
      </c>
      <c r="E135" s="2745">
        <f t="shared" si="39"/>
        <v>45505</v>
      </c>
      <c r="F135" s="107" t="str">
        <f t="shared" si="39"/>
        <v>Objectif 2024</v>
      </c>
      <c r="G135" s="107" t="str">
        <f t="shared" si="39"/>
        <v>évol° 24/23 (%)</v>
      </c>
      <c r="H135" s="107" t="str">
        <f t="shared" si="39"/>
        <v>évol° 24/23-mois (%)</v>
      </c>
      <c r="J135" s="676"/>
      <c r="K135" s="107" t="str">
        <f>C135</f>
        <v xml:space="preserve"> Solde au 31/12/ 2023</v>
      </c>
      <c r="L135" s="2745">
        <f>D135</f>
        <v>45139</v>
      </c>
      <c r="M135" s="2745">
        <f>E135</f>
        <v>45505</v>
      </c>
      <c r="N135" s="1810" t="s">
        <v>853</v>
      </c>
      <c r="O135" s="107" t="str">
        <f>G135</f>
        <v>évol° 24/23 (%)</v>
      </c>
      <c r="P135" s="107" t="str">
        <f>H135</f>
        <v>évol° 24/23-mois (%)</v>
      </c>
    </row>
    <row r="136" spans="2:16" ht="12.75" customHeight="1">
      <c r="B136" s="677" t="s">
        <v>6</v>
      </c>
      <c r="C136" s="1070">
        <f>'calcul-DCC-TX-Encais'!AX4</f>
        <v>177.9647588</v>
      </c>
      <c r="D136" s="1259">
        <f>'calcul-DCC-TX-Encais'!L20</f>
        <v>257.36040410999999</v>
      </c>
      <c r="E136" s="1450">
        <f>'calcul-DCC-TX-Encais'!AX20</f>
        <v>307.01675879999999</v>
      </c>
      <c r="F136" s="1450"/>
      <c r="G136" s="689">
        <f>((E136-C136)/C136)*100</f>
        <v>72.515480519955617</v>
      </c>
      <c r="H136" s="690">
        <f>((E136-D136)/D136)*100</f>
        <v>19.294481162213312</v>
      </c>
      <c r="I136" s="223"/>
      <c r="J136" s="691" t="s">
        <v>6</v>
      </c>
      <c r="K136" s="1450">
        <f>'calcul-DCC-TX-Encais'!AY4</f>
        <v>28.899000000000001</v>
      </c>
      <c r="L136" s="1259">
        <f>'calcul-DCC-TX-Encais'!M20</f>
        <v>28.899000000000001</v>
      </c>
      <c r="M136" s="1450">
        <f>'calcul-DCC-TX-Encais'!AY20</f>
        <v>28.899000000000001</v>
      </c>
      <c r="N136" s="1450"/>
      <c r="O136" s="692">
        <f t="shared" ref="O136:O145" si="40">((M136-K136)/K136)*100</f>
        <v>0</v>
      </c>
      <c r="P136" s="692">
        <f t="shared" ref="P136:P145" si="41">((M136-L136)/L136)*100</f>
        <v>0</v>
      </c>
    </row>
    <row r="137" spans="2:16" ht="12.75" customHeight="1">
      <c r="B137" s="677" t="s">
        <v>7</v>
      </c>
      <c r="C137" s="1070">
        <f>'calcul-DCC-TX-Encais'!AX5</f>
        <v>120.79326428999997</v>
      </c>
      <c r="D137" s="1259">
        <f>'calcul-DCC-TX-Encais'!L21</f>
        <v>64.710815079999989</v>
      </c>
      <c r="E137" s="1450">
        <f>'calcul-DCC-TX-Encais'!AX21</f>
        <v>147.11199999999999</v>
      </c>
      <c r="F137" s="1450"/>
      <c r="G137" s="689">
        <f t="shared" ref="G137:G145" si="42">((E137-C137)/C137)*100</f>
        <v>21.788247767536205</v>
      </c>
      <c r="H137" s="690">
        <f>((E137-D137)/D137)*100</f>
        <v>127.33757845289068</v>
      </c>
      <c r="I137" s="223"/>
      <c r="J137" s="691" t="s">
        <v>7</v>
      </c>
      <c r="K137" s="1450">
        <f>'calcul-DCC-TX-Encais'!AY5</f>
        <v>0</v>
      </c>
      <c r="L137" s="1259">
        <f>'calcul-DCC-TX-Encais'!M21</f>
        <v>0</v>
      </c>
      <c r="M137" s="1450">
        <f>'calcul-DCC-TX-Encais'!AY21</f>
        <v>0</v>
      </c>
      <c r="N137" s="1450"/>
      <c r="O137" s="692" t="e">
        <f t="shared" si="40"/>
        <v>#DIV/0!</v>
      </c>
      <c r="P137" s="692" t="e">
        <f t="shared" si="41"/>
        <v>#DIV/0!</v>
      </c>
    </row>
    <row r="138" spans="2:16" ht="12.75" customHeight="1">
      <c r="B138" s="677" t="s">
        <v>8</v>
      </c>
      <c r="C138" s="1070">
        <f>'calcul-DCC-TX-Encais'!AX6</f>
        <v>335.9196585900001</v>
      </c>
      <c r="D138" s="1259">
        <f>'calcul-DCC-TX-Encais'!L22</f>
        <v>250.85398080000002</v>
      </c>
      <c r="E138" s="1450">
        <f>'calcul-DCC-TX-Encais'!AX22</f>
        <v>769.19647291999627</v>
      </c>
      <c r="F138" s="1450"/>
      <c r="G138" s="689">
        <f t="shared" si="42"/>
        <v>128.98227396057916</v>
      </c>
      <c r="H138" s="690">
        <f t="shared" ref="H138:H145" si="43">((E138-D138)/D138)*100</f>
        <v>206.63116067241464</v>
      </c>
      <c r="I138" s="223"/>
      <c r="J138" s="691" t="s">
        <v>8</v>
      </c>
      <c r="K138" s="1450">
        <f>'calcul-DCC-TX-Encais'!AY6</f>
        <v>7.6198801900000008</v>
      </c>
      <c r="L138" s="1259">
        <f>'calcul-DCC-TX-Encais'!M22</f>
        <v>7.6163220899999997</v>
      </c>
      <c r="M138" s="1450">
        <f>'calcul-DCC-TX-Encais'!AY22</f>
        <v>7.6162554299999989</v>
      </c>
      <c r="N138" s="1450"/>
      <c r="O138" s="692">
        <f t="shared" si="40"/>
        <v>-4.7569776815636414E-2</v>
      </c>
      <c r="P138" s="692">
        <f t="shared" si="41"/>
        <v>-8.7522559068629576E-4</v>
      </c>
    </row>
    <row r="139" spans="2:16" ht="12.75" customHeight="1">
      <c r="B139" s="677" t="s">
        <v>4</v>
      </c>
      <c r="C139" s="1070">
        <f>'calcul-DCC-TX-Encais'!AX7</f>
        <v>121.64311872999997</v>
      </c>
      <c r="D139" s="1259">
        <f>'calcul-DCC-TX-Encais'!L23</f>
        <v>71.363574399999962</v>
      </c>
      <c r="E139" s="1450">
        <f>'calcul-DCC-TX-Encais'!AX23</f>
        <v>14.06040285999997</v>
      </c>
      <c r="F139" s="1450"/>
      <c r="G139" s="689">
        <f t="shared" si="42"/>
        <v>-88.441267367364574</v>
      </c>
      <c r="H139" s="690">
        <f t="shared" si="43"/>
        <v>-80.297507547491946</v>
      </c>
      <c r="I139" s="223"/>
      <c r="J139" s="691" t="s">
        <v>4</v>
      </c>
      <c r="K139" s="1450">
        <f>'calcul-DCC-TX-Encais'!AY7</f>
        <v>0</v>
      </c>
      <c r="L139" s="1259">
        <f>'calcul-DCC-TX-Encais'!M23</f>
        <v>0</v>
      </c>
      <c r="M139" s="1450">
        <f>'calcul-DCC-TX-Encais'!AY23</f>
        <v>0</v>
      </c>
      <c r="N139" s="1450"/>
      <c r="O139" s="692" t="e">
        <f t="shared" si="40"/>
        <v>#DIV/0!</v>
      </c>
      <c r="P139" s="692" t="e">
        <f t="shared" si="41"/>
        <v>#DIV/0!</v>
      </c>
    </row>
    <row r="140" spans="2:16" ht="12.75" customHeight="1">
      <c r="B140" s="677" t="s">
        <v>3</v>
      </c>
      <c r="C140" s="1070">
        <f>'calcul-DCC-TX-Encais'!AX8</f>
        <v>2122.5854498799999</v>
      </c>
      <c r="D140" s="1259">
        <f>'calcul-DCC-TX-Encais'!L24</f>
        <v>1224.7550865060002</v>
      </c>
      <c r="E140" s="1450">
        <f>'calcul-DCC-TX-Encais'!AX24</f>
        <v>2149.9924635699986</v>
      </c>
      <c r="F140" s="1450"/>
      <c r="G140" s="689">
        <f t="shared" si="42"/>
        <v>1.2912089683620545</v>
      </c>
      <c r="H140" s="690">
        <f t="shared" si="43"/>
        <v>75.544685403473565</v>
      </c>
      <c r="I140" s="223"/>
      <c r="J140" s="691" t="s">
        <v>3</v>
      </c>
      <c r="K140" s="1450">
        <f>'calcul-DCC-TX-Encais'!AY8</f>
        <v>6.3851093799999994</v>
      </c>
      <c r="L140" s="1259">
        <f>'calcul-DCC-TX-Encais'!M24</f>
        <v>6.7564517099999977</v>
      </c>
      <c r="M140" s="1450">
        <f>'calcul-DCC-TX-Encais'!AY24</f>
        <v>9.834354750000001</v>
      </c>
      <c r="N140" s="1450"/>
      <c r="O140" s="692">
        <f t="shared" si="40"/>
        <v>54.020145383946449</v>
      </c>
      <c r="P140" s="692">
        <f t="shared" si="41"/>
        <v>45.555021660918591</v>
      </c>
    </row>
    <row r="141" spans="2:16" ht="12.75" customHeight="1">
      <c r="B141" s="677" t="s">
        <v>397</v>
      </c>
      <c r="C141" s="1070">
        <f>'calcul-DCC-TX-Encais'!AX9</f>
        <v>177.98392722</v>
      </c>
      <c r="D141" s="1259">
        <f>'calcul-DCC-TX-Encais'!L25</f>
        <v>184.93666813999999</v>
      </c>
      <c r="E141" s="1450">
        <f>'calcul-DCC-TX-Encais'!AX25</f>
        <v>177.98392722</v>
      </c>
      <c r="F141" s="1450"/>
      <c r="G141" s="689">
        <f t="shared" si="42"/>
        <v>0</v>
      </c>
      <c r="H141" s="690">
        <f t="shared" si="43"/>
        <v>-3.7595253499087917</v>
      </c>
      <c r="I141" s="223"/>
      <c r="J141" s="691" t="s">
        <v>397</v>
      </c>
      <c r="K141" s="1450">
        <f>'calcul-DCC-TX-Encais'!AY9</f>
        <v>12.057969999999999</v>
      </c>
      <c r="L141" s="1259">
        <f>'calcul-DCC-TX-Encais'!M25</f>
        <v>12.057969999999999</v>
      </c>
      <c r="M141" s="1450">
        <f>'calcul-DCC-TX-Encais'!AY25</f>
        <v>12.057969999999999</v>
      </c>
      <c r="N141" s="1450"/>
      <c r="O141" s="692">
        <f>((M141-K141)/K141)*100</f>
        <v>0</v>
      </c>
      <c r="P141" s="692">
        <f t="shared" si="41"/>
        <v>0</v>
      </c>
    </row>
    <row r="142" spans="2:16" ht="12.75" customHeight="1">
      <c r="B142" s="677" t="s">
        <v>399</v>
      </c>
      <c r="C142" s="1070">
        <f>'calcul-DCC-TX-Encais'!AX10</f>
        <v>57.204291219999988</v>
      </c>
      <c r="D142" s="1259">
        <f>'calcul-DCC-TX-Encais'!L26</f>
        <v>87.389948289999978</v>
      </c>
      <c r="E142" s="1450">
        <f>'calcul-DCC-TX-Encais'!AX26</f>
        <v>47.659614929999982</v>
      </c>
      <c r="F142" s="1450"/>
      <c r="G142" s="689">
        <f t="shared" si="42"/>
        <v>-16.685245261220818</v>
      </c>
      <c r="H142" s="690">
        <f t="shared" si="43"/>
        <v>-45.463275968714967</v>
      </c>
      <c r="I142" s="223"/>
      <c r="J142" s="691" t="s">
        <v>399</v>
      </c>
      <c r="K142" s="1450">
        <f>'calcul-DCC-TX-Encais'!AY10</f>
        <v>0</v>
      </c>
      <c r="L142" s="1259">
        <f>'calcul-DCC-TX-Encais'!M26</f>
        <v>0</v>
      </c>
      <c r="M142" s="1450">
        <f>'calcul-DCC-TX-Encais'!AY26</f>
        <v>0</v>
      </c>
      <c r="N142" s="1450"/>
      <c r="O142" s="692" t="e">
        <f t="shared" si="40"/>
        <v>#DIV/0!</v>
      </c>
      <c r="P142" s="692" t="e">
        <f t="shared" si="41"/>
        <v>#DIV/0!</v>
      </c>
    </row>
    <row r="143" spans="2:16" ht="12.75" customHeight="1">
      <c r="B143" s="677" t="s">
        <v>883</v>
      </c>
      <c r="C143" s="1070">
        <f>'calcul-DCC-TX-Encais'!AX11</f>
        <v>270.8055054699999</v>
      </c>
      <c r="D143" s="1259">
        <f>'calcul-DCC-TX-Encais'!L27</f>
        <v>214.63989830999998</v>
      </c>
      <c r="E143" s="1450">
        <f>'calcul-DCC-TX-Encais'!AX27</f>
        <v>83.466646409999925</v>
      </c>
      <c r="F143" s="1450"/>
      <c r="G143" s="689">
        <f t="shared" si="42"/>
        <v>-69.178379049148816</v>
      </c>
      <c r="H143" s="690">
        <f t="shared" si="43"/>
        <v>-61.113172775803889</v>
      </c>
      <c r="I143" s="223"/>
      <c r="J143" s="691" t="s">
        <v>883</v>
      </c>
      <c r="K143" s="1450">
        <f>'calcul-DCC-TX-Encais'!AY11</f>
        <v>5.8418729268109892</v>
      </c>
      <c r="L143" s="1259">
        <f>'calcul-DCC-TX-Encais'!M27</f>
        <v>6.2548729268109815</v>
      </c>
      <c r="M143" s="1450">
        <f>'calcul-DCC-TX-Encais'!AY27</f>
        <v>5.8624423068109826</v>
      </c>
      <c r="N143" s="1450"/>
      <c r="O143" s="692">
        <f t="shared" si="40"/>
        <v>0.35210248935048122</v>
      </c>
      <c r="P143" s="692">
        <f t="shared" si="41"/>
        <v>-6.2739982824891367</v>
      </c>
    </row>
    <row r="144" spans="2:16" ht="12.75" customHeight="1">
      <c r="B144" s="677" t="s">
        <v>884</v>
      </c>
      <c r="C144" s="1070">
        <f>'calcul-DCC-TX-Encais'!AX12</f>
        <v>198.33768066299999</v>
      </c>
      <c r="D144" s="1259">
        <f>'calcul-DCC-TX-Encais'!L28</f>
        <v>146.11723602300006</v>
      </c>
      <c r="E144" s="1450">
        <f>'calcul-DCC-TX-Encais'!AX28</f>
        <v>7.3300276100004558</v>
      </c>
      <c r="F144" s="1450"/>
      <c r="G144" s="689">
        <f t="shared" si="42"/>
        <v>-96.304268767539398</v>
      </c>
      <c r="H144" s="690">
        <f t="shared" si="43"/>
        <v>-94.983461356436663</v>
      </c>
      <c r="I144" s="223"/>
      <c r="J144" s="691" t="s">
        <v>884</v>
      </c>
      <c r="K144" s="1450">
        <f>'calcul-DCC-TX-Encais'!AY12</f>
        <v>0.71119624000001935</v>
      </c>
      <c r="L144" s="1259">
        <f>'calcul-DCC-TX-Encais'!M28</f>
        <v>4.3320724400000179</v>
      </c>
      <c r="M144" s="1450">
        <f>'calcul-DCC-TX-Encais'!AY28</f>
        <v>0.15957847000006586</v>
      </c>
      <c r="N144" s="1450"/>
      <c r="O144" s="692">
        <f t="shared" si="40"/>
        <v>-77.561963769653573</v>
      </c>
      <c r="P144" s="692">
        <f t="shared" si="41"/>
        <v>-96.31634807103859</v>
      </c>
    </row>
    <row r="145" spans="2:18" ht="12.75" customHeight="1" thickBot="1">
      <c r="B145" s="677" t="s">
        <v>885</v>
      </c>
      <c r="C145" s="1070">
        <f>'calcul-DCC-TX-Encais'!AX13</f>
        <v>66.37786337</v>
      </c>
      <c r="D145" s="1259">
        <f>'calcul-DCC-TX-Encais'!L29</f>
        <v>88.479080750000094</v>
      </c>
      <c r="E145" s="1450">
        <f>'calcul-DCC-TX-Encais'!AX29</f>
        <v>34.874698299999999</v>
      </c>
      <c r="F145" s="1450"/>
      <c r="G145" s="689">
        <f t="shared" si="42"/>
        <v>-47.46034818023098</v>
      </c>
      <c r="H145" s="690">
        <f t="shared" si="43"/>
        <v>-60.584244315852068</v>
      </c>
      <c r="I145" s="223"/>
      <c r="J145" s="691" t="s">
        <v>885</v>
      </c>
      <c r="K145" s="1450">
        <f>'calcul-DCC-TX-Encais'!AY13</f>
        <v>0.76756930000000001</v>
      </c>
      <c r="L145" s="1259">
        <f>'calcul-DCC-TX-Encais'!M29</f>
        <v>0.76929837999999995</v>
      </c>
      <c r="M145" s="1450">
        <f>'calcul-DCC-TX-Encais'!AY29</f>
        <v>0.76756930000000001</v>
      </c>
      <c r="N145" s="1450"/>
      <c r="O145" s="692">
        <f t="shared" si="40"/>
        <v>0</v>
      </c>
      <c r="P145" s="692">
        <f t="shared" si="41"/>
        <v>-0.22476064488787026</v>
      </c>
    </row>
    <row r="146" spans="2:18" ht="12.75" customHeight="1" thickBot="1">
      <c r="B146" s="670" t="s">
        <v>49</v>
      </c>
      <c r="C146" s="1947">
        <f>SUM(C136:C145)</f>
        <v>3649.6155182329994</v>
      </c>
      <c r="D146" s="696">
        <f>SUM(D136:D145)</f>
        <v>2590.606692409001</v>
      </c>
      <c r="E146" s="696">
        <f>SUM(E136:E145)</f>
        <v>3738.6930126199954</v>
      </c>
      <c r="F146" s="696">
        <f>SUM(F136:F145)</f>
        <v>0</v>
      </c>
      <c r="G146" s="697">
        <f>((E146-C146)/C146)*100</f>
        <v>2.4407363992721032</v>
      </c>
      <c r="H146" s="698">
        <f>((E146-D146)/D146)*100</f>
        <v>44.317276087301032</v>
      </c>
      <c r="I146" s="223"/>
      <c r="J146" s="670" t="s">
        <v>49</v>
      </c>
      <c r="K146" s="696">
        <f>SUM(K136:K145)</f>
        <v>62.282598036811017</v>
      </c>
      <c r="L146" s="696">
        <f>SUM(L136:L145)</f>
        <v>66.685987546810992</v>
      </c>
      <c r="M146" s="696">
        <f>SUM(M136:M145)</f>
        <v>65.197170256811049</v>
      </c>
      <c r="N146" s="696">
        <f>SUM(N136:N145)</f>
        <v>0</v>
      </c>
      <c r="O146" s="699">
        <f>M146-K146</f>
        <v>2.9145722200000321</v>
      </c>
      <c r="P146" s="700">
        <f>((M146-L146)/L146)*100</f>
        <v>-2.2325789041586148</v>
      </c>
    </row>
    <row r="147" spans="2:18" ht="12.75" customHeight="1"/>
    <row r="148" spans="2:18" ht="12.75" customHeight="1" thickBot="1"/>
    <row r="149" spans="2:18" ht="28.5" customHeight="1" thickBot="1">
      <c r="B149" s="1507"/>
      <c r="C149" s="3119" t="str">
        <f>F135</f>
        <v>Objectif 2024</v>
      </c>
      <c r="D149" s="3121" t="s">
        <v>850</v>
      </c>
      <c r="E149" s="3122"/>
      <c r="F149" s="3122"/>
      <c r="G149" s="3122"/>
      <c r="H149" s="3123"/>
      <c r="I149" s="3121" t="s">
        <v>384</v>
      </c>
      <c r="J149" s="3122"/>
      <c r="K149" s="3122"/>
      <c r="L149" s="3122"/>
      <c r="M149" s="3123"/>
      <c r="N149" s="3121" t="s">
        <v>849</v>
      </c>
      <c r="O149" s="3122"/>
      <c r="P149" s="3122"/>
      <c r="Q149" s="3122"/>
      <c r="R149" s="3123"/>
    </row>
    <row r="150" spans="2:18" ht="35.25" customHeight="1">
      <c r="B150" s="1508"/>
      <c r="C150" s="3120"/>
      <c r="D150" s="1939" t="str">
        <f>C135</f>
        <v xml:space="preserve"> Solde au 31/12/ 2023</v>
      </c>
      <c r="E150" s="1941">
        <f>D135</f>
        <v>45139</v>
      </c>
      <c r="F150" s="1941">
        <f>E135</f>
        <v>45505</v>
      </c>
      <c r="G150" s="1952" t="s">
        <v>922</v>
      </c>
      <c r="H150" s="1953" t="s">
        <v>923</v>
      </c>
      <c r="I150" s="1939" t="str">
        <f>D150</f>
        <v xml:space="preserve"> Solde au 31/12/ 2023</v>
      </c>
      <c r="J150" s="1940">
        <f>E150</f>
        <v>45139</v>
      </c>
      <c r="K150" s="1940">
        <f>F150</f>
        <v>45505</v>
      </c>
      <c r="L150" s="1952" t="s">
        <v>922</v>
      </c>
      <c r="M150" s="1953" t="s">
        <v>923</v>
      </c>
      <c r="N150" s="1939" t="str">
        <f>I150</f>
        <v xml:space="preserve"> Solde au 31/12/ 2023</v>
      </c>
      <c r="O150" s="1940">
        <f>J150</f>
        <v>45139</v>
      </c>
      <c r="P150" s="1940">
        <f>K150</f>
        <v>45505</v>
      </c>
      <c r="Q150" s="1952" t="s">
        <v>922</v>
      </c>
      <c r="R150" s="1953" t="s">
        <v>923</v>
      </c>
    </row>
    <row r="151" spans="2:18" ht="12.75" customHeight="1">
      <c r="B151" s="1509" t="s">
        <v>6</v>
      </c>
      <c r="C151" s="1912"/>
      <c r="D151" s="1908">
        <f>'calcul-DCC-TX-Encais'!AR4</f>
        <v>29.221689469999998</v>
      </c>
      <c r="E151" s="1909">
        <f>'calcul-DCC-TX-Encais'!F20</f>
        <v>119.22944493</v>
      </c>
      <c r="F151" s="1909">
        <f>'calcul-DCC-TX-Encais'!AR20</f>
        <v>62.644678620000001</v>
      </c>
      <c r="G151" s="1909">
        <f>((F151-E151)/E151)*100</f>
        <v>-47.458718224530109</v>
      </c>
      <c r="H151" s="1911">
        <f>((F151-D151)/D151)*100</f>
        <v>114.37733326238104</v>
      </c>
      <c r="I151" s="1908">
        <f>'calcul-DCC-TX-Encais'!BC4</f>
        <v>15.324999999999999</v>
      </c>
      <c r="J151" s="1909">
        <f>'calcul-DCC-TX-Encais'!Q20</f>
        <v>77.441922049999988</v>
      </c>
      <c r="K151" s="1909">
        <f>'calcul-DCC-TX-Encais'!BC20</f>
        <v>29.963873100000001</v>
      </c>
      <c r="L151" s="1911">
        <f>((K151-J151)/J151)*100</f>
        <v>-61.307942382093806</v>
      </c>
      <c r="M151" s="1910">
        <f>((K151-I151)/I151)*100</f>
        <v>95.522826101141931</v>
      </c>
      <c r="N151" s="1909">
        <f>(D151-I151)</f>
        <v>13.896689469999998</v>
      </c>
      <c r="O151" s="1909">
        <f t="shared" ref="O151:O161" si="44">E151-J151</f>
        <v>41.787522880000012</v>
      </c>
      <c r="P151" s="1909">
        <f t="shared" ref="P151:P161" si="45">F151-K151</f>
        <v>32.68080552</v>
      </c>
      <c r="Q151" s="1911">
        <f>((P151-O151)/O151)*100</f>
        <v>-21.792910257330885</v>
      </c>
      <c r="R151" s="1910">
        <f>((P151-N151)/N151)*100</f>
        <v>135.16971859053854</v>
      </c>
    </row>
    <row r="152" spans="2:18" ht="12.75" customHeight="1">
      <c r="B152" s="1509" t="s">
        <v>7</v>
      </c>
      <c r="C152" s="1912"/>
      <c r="D152" s="1908">
        <f>'calcul-DCC-TX-Encais'!AR5</f>
        <v>138.3148176</v>
      </c>
      <c r="E152" s="1909">
        <f>'calcul-DCC-TX-Encais'!F21</f>
        <v>415.2198176</v>
      </c>
      <c r="F152" s="1909">
        <f>'calcul-DCC-TX-Encais'!AR21</f>
        <v>260.36281760000003</v>
      </c>
      <c r="G152" s="1909">
        <f t="shared" ref="G152:G160" si="46">((F152-E152)/E152)*100</f>
        <v>-37.295185209387263</v>
      </c>
      <c r="H152" s="1911">
        <f t="shared" ref="H152:H160" si="47">((F152-D152)/D152)*100</f>
        <v>88.239280590281481</v>
      </c>
      <c r="I152" s="1908">
        <f>'calcul-DCC-TX-Encais'!BC5</f>
        <v>124.59984730000002</v>
      </c>
      <c r="J152" s="1909">
        <f>'calcul-DCC-TX-Encais'!Q21</f>
        <v>391.3578473</v>
      </c>
      <c r="K152" s="1909">
        <f>'calcul-DCC-TX-Encais'!BC21</f>
        <v>245.05284730000002</v>
      </c>
      <c r="L152" s="1911">
        <f t="shared" ref="L152:L160" si="48">((K152-J152)/J152)*100</f>
        <v>-37.383944389863771</v>
      </c>
      <c r="M152" s="1910">
        <f>((K152-I152)/I152)*100</f>
        <v>96.671868072185021</v>
      </c>
      <c r="N152" s="1909">
        <f t="shared" ref="N152:N160" si="49">(D152-I152)</f>
        <v>13.714970299999976</v>
      </c>
      <c r="O152" s="1909">
        <f t="shared" si="44"/>
        <v>23.861970299999996</v>
      </c>
      <c r="P152" s="1909">
        <f t="shared" si="45"/>
        <v>15.309970300000003</v>
      </c>
      <c r="Q152" s="1911">
        <f t="shared" ref="Q152:Q160" si="50">((P152-O152)/O152)*100</f>
        <v>-35.839454548311103</v>
      </c>
      <c r="R152" s="1910">
        <f t="shared" ref="R152:R160" si="51">((P152-N152)/N152)*100</f>
        <v>11.62962780896456</v>
      </c>
    </row>
    <row r="153" spans="2:18" ht="15.6">
      <c r="B153" s="1509" t="s">
        <v>8</v>
      </c>
      <c r="C153" s="1912"/>
      <c r="D153" s="1908">
        <f>'calcul-DCC-TX-Encais'!AR6</f>
        <v>12.958085540000001</v>
      </c>
      <c r="E153" s="1909">
        <f>'calcul-DCC-TX-Encais'!F22</f>
        <v>18.899909079999993</v>
      </c>
      <c r="F153" s="1909">
        <f>'calcul-DCC-TX-Encais'!AR22</f>
        <v>16.583006649999994</v>
      </c>
      <c r="G153" s="1909">
        <f t="shared" si="46"/>
        <v>-12.258801987845329</v>
      </c>
      <c r="H153" s="1911">
        <f t="shared" si="47"/>
        <v>27.974202661421799</v>
      </c>
      <c r="I153" s="1908">
        <f>'calcul-DCC-TX-Encais'!BC6</f>
        <v>0</v>
      </c>
      <c r="J153" s="1909">
        <f>'calcul-DCC-TX-Encais'!Q22</f>
        <v>0</v>
      </c>
      <c r="K153" s="1909">
        <f>'calcul-DCC-TX-Encais'!BC22</f>
        <v>0</v>
      </c>
      <c r="L153" s="1911" t="e">
        <f t="shared" si="48"/>
        <v>#DIV/0!</v>
      </c>
      <c r="M153" s="1910" t="e">
        <f t="shared" ref="M153:M160" si="52">((K153-I153)/I153)*100</f>
        <v>#DIV/0!</v>
      </c>
      <c r="N153" s="1909">
        <f t="shared" si="49"/>
        <v>12.958085540000001</v>
      </c>
      <c r="O153" s="1909">
        <f t="shared" si="44"/>
        <v>18.899909079999993</v>
      </c>
      <c r="P153" s="1909">
        <f t="shared" si="45"/>
        <v>16.583006649999994</v>
      </c>
      <c r="Q153" s="1911">
        <f t="shared" si="50"/>
        <v>-12.258801987845329</v>
      </c>
      <c r="R153" s="1910">
        <f t="shared" si="51"/>
        <v>27.974202661421799</v>
      </c>
    </row>
    <row r="154" spans="2:18" ht="15.6">
      <c r="B154" s="1509" t="s">
        <v>4</v>
      </c>
      <c r="C154" s="1912"/>
      <c r="D154" s="1908">
        <f>'calcul-DCC-TX-Encais'!AR7</f>
        <v>0</v>
      </c>
      <c r="E154" s="1909">
        <f>'calcul-DCC-TX-Encais'!F23</f>
        <v>0</v>
      </c>
      <c r="F154" s="1909">
        <f>'calcul-DCC-TX-Encais'!AR23</f>
        <v>23.565210099999998</v>
      </c>
      <c r="G154" s="1909" t="e">
        <f t="shared" si="46"/>
        <v>#DIV/0!</v>
      </c>
      <c r="H154" s="1911" t="e">
        <f t="shared" si="47"/>
        <v>#DIV/0!</v>
      </c>
      <c r="I154" s="1908">
        <f>'calcul-DCC-TX-Encais'!BC7</f>
        <v>0</v>
      </c>
      <c r="J154" s="1909">
        <f>'calcul-DCC-TX-Encais'!Q23</f>
        <v>0</v>
      </c>
      <c r="K154" s="1909">
        <f>'calcul-DCC-TX-Encais'!BC23</f>
        <v>0</v>
      </c>
      <c r="L154" s="1911" t="e">
        <f t="shared" si="48"/>
        <v>#DIV/0!</v>
      </c>
      <c r="M154" s="1910" t="e">
        <f t="shared" si="52"/>
        <v>#DIV/0!</v>
      </c>
      <c r="N154" s="1909">
        <f t="shared" si="49"/>
        <v>0</v>
      </c>
      <c r="O154" s="1909">
        <f t="shared" si="44"/>
        <v>0</v>
      </c>
      <c r="P154" s="1909">
        <f t="shared" si="45"/>
        <v>23.565210099999998</v>
      </c>
      <c r="Q154" s="1911" t="e">
        <f t="shared" si="50"/>
        <v>#DIV/0!</v>
      </c>
      <c r="R154" s="1910" t="e">
        <f t="shared" si="51"/>
        <v>#DIV/0!</v>
      </c>
    </row>
    <row r="155" spans="2:18" ht="15.6">
      <c r="B155" s="1509" t="s">
        <v>764</v>
      </c>
      <c r="C155" s="1912"/>
      <c r="D155" s="1908">
        <f>'calcul-DCC-TX-Encais'!AR8</f>
        <v>14.99511571</v>
      </c>
      <c r="E155" s="1909">
        <f>'calcul-DCC-TX-Encais'!F24</f>
        <v>13.255698430000001</v>
      </c>
      <c r="F155" s="1909">
        <f>'calcul-DCC-TX-Encais'!AR24</f>
        <v>18.47395027</v>
      </c>
      <c r="G155" s="1909">
        <f t="shared" si="46"/>
        <v>39.366102567558173</v>
      </c>
      <c r="H155" s="1911">
        <f t="shared" si="47"/>
        <v>23.199784698426974</v>
      </c>
      <c r="I155" s="1908">
        <f>'calcul-DCC-TX-Encais'!BC8</f>
        <v>0</v>
      </c>
      <c r="J155" s="1909">
        <f>'calcul-DCC-TX-Encais'!Q24</f>
        <v>0</v>
      </c>
      <c r="K155" s="1909">
        <f>'calcul-DCC-TX-Encais'!BC24</f>
        <v>0</v>
      </c>
      <c r="L155" s="1911" t="e">
        <f t="shared" si="48"/>
        <v>#DIV/0!</v>
      </c>
      <c r="M155" s="1910" t="e">
        <f t="shared" si="52"/>
        <v>#DIV/0!</v>
      </c>
      <c r="N155" s="1909">
        <f t="shared" si="49"/>
        <v>14.99511571</v>
      </c>
      <c r="O155" s="1909">
        <f t="shared" si="44"/>
        <v>13.255698430000001</v>
      </c>
      <c r="P155" s="1909">
        <f t="shared" si="45"/>
        <v>18.47395027</v>
      </c>
      <c r="Q155" s="1911">
        <f t="shared" si="50"/>
        <v>39.366102567558173</v>
      </c>
      <c r="R155" s="1910">
        <f t="shared" si="51"/>
        <v>23.199784698426974</v>
      </c>
    </row>
    <row r="156" spans="2:18" ht="15.6">
      <c r="B156" s="1509" t="s">
        <v>397</v>
      </c>
      <c r="C156" s="1912"/>
      <c r="D156" s="1908">
        <f>'calcul-DCC-TX-Encais'!AR9</f>
        <v>174.70513602999966</v>
      </c>
      <c r="E156" s="1909">
        <f>'calcul-DCC-TX-Encais'!F25</f>
        <v>167.70260928999977</v>
      </c>
      <c r="F156" s="1909">
        <f>'calcul-DCC-TX-Encais'!AR25</f>
        <v>186.27215485999966</v>
      </c>
      <c r="G156" s="1909">
        <f t="shared" si="46"/>
        <v>11.072901995155304</v>
      </c>
      <c r="H156" s="1911">
        <f t="shared" si="47"/>
        <v>6.6208808125788314</v>
      </c>
      <c r="I156" s="1908">
        <f>'calcul-DCC-TX-Encais'!BC9</f>
        <v>0</v>
      </c>
      <c r="J156" s="1909">
        <f>'calcul-DCC-TX-Encais'!Q25</f>
        <v>0</v>
      </c>
      <c r="K156" s="1909">
        <f>'calcul-DCC-TX-Encais'!BC25</f>
        <v>0</v>
      </c>
      <c r="L156" s="1911" t="e">
        <f t="shared" si="48"/>
        <v>#DIV/0!</v>
      </c>
      <c r="M156" s="1910" t="e">
        <f t="shared" si="52"/>
        <v>#DIV/0!</v>
      </c>
      <c r="N156" s="1909">
        <f t="shared" si="49"/>
        <v>174.70513602999966</v>
      </c>
      <c r="O156" s="1909">
        <f t="shared" si="44"/>
        <v>167.70260928999977</v>
      </c>
      <c r="P156" s="1909">
        <f t="shared" si="45"/>
        <v>186.27215485999966</v>
      </c>
      <c r="Q156" s="1911">
        <f t="shared" si="50"/>
        <v>11.072901995155304</v>
      </c>
      <c r="R156" s="1910">
        <f t="shared" si="51"/>
        <v>6.6208808125788314</v>
      </c>
    </row>
    <row r="157" spans="2:18" ht="15.6">
      <c r="B157" s="1509" t="s">
        <v>399</v>
      </c>
      <c r="C157" s="1912"/>
      <c r="D157" s="1908">
        <f>'calcul-DCC-TX-Encais'!AR10</f>
        <v>56.895809969999974</v>
      </c>
      <c r="E157" s="1909">
        <f>'calcul-DCC-TX-Encais'!F26</f>
        <v>92.246367250000006</v>
      </c>
      <c r="F157" s="1909">
        <f>'calcul-DCC-TX-Encais'!AR26</f>
        <v>134.61099999999999</v>
      </c>
      <c r="G157" s="1909">
        <f t="shared" si="46"/>
        <v>45.925529658188225</v>
      </c>
      <c r="H157" s="1911">
        <f t="shared" si="47"/>
        <v>136.59211472862006</v>
      </c>
      <c r="I157" s="1908">
        <f>'calcul-DCC-TX-Encais'!BC10</f>
        <v>22.90249283</v>
      </c>
      <c r="J157" s="1909">
        <f>'calcul-DCC-TX-Encais'!Q26</f>
        <v>31.896805980000003</v>
      </c>
      <c r="K157" s="1909">
        <f>'calcul-DCC-TX-Encais'!BC26</f>
        <v>81.298312800000019</v>
      </c>
      <c r="L157" s="1911">
        <f t="shared" si="48"/>
        <v>154.87916517715237</v>
      </c>
      <c r="M157" s="1910">
        <f t="shared" si="52"/>
        <v>254.97582469934136</v>
      </c>
      <c r="N157" s="1909">
        <f t="shared" si="49"/>
        <v>33.993317139999974</v>
      </c>
      <c r="O157" s="1909">
        <f t="shared" si="44"/>
        <v>60.349561270000002</v>
      </c>
      <c r="P157" s="1909">
        <f t="shared" si="45"/>
        <v>53.312687199999971</v>
      </c>
      <c r="Q157" s="1911">
        <f t="shared" si="50"/>
        <v>-11.660190930829664</v>
      </c>
      <c r="R157" s="1910">
        <f t="shared" si="51"/>
        <v>56.832847410666119</v>
      </c>
    </row>
    <row r="158" spans="2:18" ht="15.6">
      <c r="B158" s="1509" t="s">
        <v>883</v>
      </c>
      <c r="C158" s="1912"/>
      <c r="D158" s="1908">
        <f>'calcul-DCC-TX-Encais'!AR11</f>
        <v>2.8275298200000107</v>
      </c>
      <c r="E158" s="1909">
        <f>'calcul-DCC-TX-Encais'!F27</f>
        <v>6.6613422800000031</v>
      </c>
      <c r="F158" s="1909">
        <f>'calcul-DCC-TX-Encais'!AR27</f>
        <v>6.5840602300000137</v>
      </c>
      <c r="G158" s="1909">
        <f t="shared" si="46"/>
        <v>-1.1601573189238565</v>
      </c>
      <c r="H158" s="1911">
        <f t="shared" si="47"/>
        <v>132.85555411047756</v>
      </c>
      <c r="I158" s="1908">
        <f>'calcul-DCC-TX-Encais'!BC11</f>
        <v>0</v>
      </c>
      <c r="J158" s="1909">
        <f>'calcul-DCC-TX-Encais'!Q27</f>
        <v>0</v>
      </c>
      <c r="K158" s="1909">
        <f>'calcul-DCC-TX-Encais'!BC27</f>
        <v>0</v>
      </c>
      <c r="L158" s="1951" t="e">
        <f t="shared" si="48"/>
        <v>#DIV/0!</v>
      </c>
      <c r="M158" s="1910" t="e">
        <f t="shared" si="52"/>
        <v>#DIV/0!</v>
      </c>
      <c r="N158" s="1909">
        <f t="shared" si="49"/>
        <v>2.8275298200000107</v>
      </c>
      <c r="O158" s="1909">
        <f t="shared" si="44"/>
        <v>6.6613422800000031</v>
      </c>
      <c r="P158" s="1909">
        <f t="shared" si="45"/>
        <v>6.5840602300000137</v>
      </c>
      <c r="Q158" s="1911">
        <f t="shared" si="50"/>
        <v>-1.1601573189238565</v>
      </c>
      <c r="R158" s="1910">
        <f t="shared" si="51"/>
        <v>132.85555411047756</v>
      </c>
    </row>
    <row r="159" spans="2:18" ht="15.6">
      <c r="B159" s="1509" t="s">
        <v>884</v>
      </c>
      <c r="C159" s="1912"/>
      <c r="D159" s="1908">
        <f>'calcul-DCC-TX-Encais'!AR12</f>
        <v>22.240932279999949</v>
      </c>
      <c r="E159" s="1909">
        <f>'calcul-DCC-TX-Encais'!F28</f>
        <v>28.991820109999971</v>
      </c>
      <c r="F159" s="1909">
        <f>'calcul-DCC-TX-Encais'!AR28</f>
        <v>27.683548869999942</v>
      </c>
      <c r="G159" s="1909">
        <f t="shared" si="46"/>
        <v>-4.5125529719632</v>
      </c>
      <c r="H159" s="1911">
        <f t="shared" si="47"/>
        <v>24.471171088876702</v>
      </c>
      <c r="I159" s="1908">
        <f>'calcul-DCC-TX-Encais'!BC12</f>
        <v>0</v>
      </c>
      <c r="J159" s="1909">
        <f>'calcul-DCC-TX-Encais'!Q28</f>
        <v>0</v>
      </c>
      <c r="K159" s="1909">
        <f>'calcul-DCC-TX-Encais'!BC28</f>
        <v>0</v>
      </c>
      <c r="L159" s="1951" t="e">
        <f t="shared" si="48"/>
        <v>#DIV/0!</v>
      </c>
      <c r="M159" s="1910" t="e">
        <f t="shared" si="52"/>
        <v>#DIV/0!</v>
      </c>
      <c r="N159" s="1909">
        <f t="shared" si="49"/>
        <v>22.240932279999949</v>
      </c>
      <c r="O159" s="1909">
        <f t="shared" si="44"/>
        <v>28.991820109999971</v>
      </c>
      <c r="P159" s="1909">
        <f t="shared" si="45"/>
        <v>27.683548869999942</v>
      </c>
      <c r="Q159" s="1911">
        <f t="shared" si="50"/>
        <v>-4.5125529719632</v>
      </c>
      <c r="R159" s="1910">
        <f t="shared" si="51"/>
        <v>24.471171088876702</v>
      </c>
    </row>
    <row r="160" spans="2:18" ht="15.6">
      <c r="B160" s="1509" t="s">
        <v>885</v>
      </c>
      <c r="C160" s="1912"/>
      <c r="D160" s="1908">
        <f>'calcul-DCC-TX-Encais'!AR13</f>
        <v>0</v>
      </c>
      <c r="E160" s="1909">
        <f>'calcul-DCC-TX-Encais'!F29</f>
        <v>0</v>
      </c>
      <c r="F160" s="1909">
        <f>'calcul-DCC-TX-Encais'!AR29</f>
        <v>0</v>
      </c>
      <c r="G160" s="1909" t="e">
        <f t="shared" si="46"/>
        <v>#DIV/0!</v>
      </c>
      <c r="H160" s="1911" t="e">
        <f t="shared" si="47"/>
        <v>#DIV/0!</v>
      </c>
      <c r="I160" s="1908">
        <f>'calcul-DCC-TX-Encais'!BC13</f>
        <v>0</v>
      </c>
      <c r="J160" s="1909">
        <f>'calcul-DCC-TX-Encais'!Q29</f>
        <v>0</v>
      </c>
      <c r="K160" s="1909">
        <f>'calcul-DCC-TX-Encais'!BC29</f>
        <v>0</v>
      </c>
      <c r="L160" s="1951" t="e">
        <f t="shared" si="48"/>
        <v>#DIV/0!</v>
      </c>
      <c r="M160" s="1910" t="e">
        <f t="shared" si="52"/>
        <v>#DIV/0!</v>
      </c>
      <c r="N160" s="1909">
        <f t="shared" si="49"/>
        <v>0</v>
      </c>
      <c r="O160" s="1909">
        <f t="shared" si="44"/>
        <v>0</v>
      </c>
      <c r="P160" s="1909">
        <f t="shared" si="45"/>
        <v>0</v>
      </c>
      <c r="Q160" s="1911" t="e">
        <f t="shared" si="50"/>
        <v>#DIV/0!</v>
      </c>
      <c r="R160" s="1910" t="e">
        <f t="shared" si="51"/>
        <v>#DIV/0!</v>
      </c>
    </row>
    <row r="161" spans="2:18" ht="16.2" thickBot="1">
      <c r="B161" s="1799" t="s">
        <v>16</v>
      </c>
      <c r="C161" s="1916">
        <f>SUM(C151:C160)</f>
        <v>0</v>
      </c>
      <c r="D161" s="1913">
        <f>SUM(D151:D160)</f>
        <v>452.15911641999958</v>
      </c>
      <c r="E161" s="1914">
        <f>SUM(E151:E160)</f>
        <v>862.20700896999972</v>
      </c>
      <c r="F161" s="1914">
        <f>SUM(F151:F160)</f>
        <v>736.78042719999962</v>
      </c>
      <c r="G161" s="1915">
        <f>((F161-E161)/E161)*100</f>
        <v>-14.547154043648499</v>
      </c>
      <c r="H161" s="1915">
        <f>((F161-D161)/D161)*100</f>
        <v>62.947157415183518</v>
      </c>
      <c r="I161" s="1913">
        <f>SUM(I151:I160)</f>
        <v>162.82734013000001</v>
      </c>
      <c r="J161" s="1914">
        <f>SUM(J151:J160)</f>
        <v>500.69657533000003</v>
      </c>
      <c r="K161" s="1914">
        <f>SUM(K151:K160)</f>
        <v>356.31503320000007</v>
      </c>
      <c r="L161" s="1915">
        <f>((K161-J161)/J161)*100</f>
        <v>-28.836135345012238</v>
      </c>
      <c r="M161" s="1917">
        <f>((K161-I161)/I161)*100</f>
        <v>118.82997837802979</v>
      </c>
      <c r="N161" s="1913">
        <f>SUM(N151:N160)</f>
        <v>289.33177628999954</v>
      </c>
      <c r="O161" s="1914">
        <f t="shared" si="44"/>
        <v>361.51043363999969</v>
      </c>
      <c r="P161" s="1914">
        <f t="shared" si="45"/>
        <v>380.46539399999955</v>
      </c>
      <c r="Q161" s="1915">
        <f>((P161-O161)/O161)*100</f>
        <v>5.2432678551335092</v>
      </c>
      <c r="R161" s="1917">
        <f>((P161-N161)/N161)*100</f>
        <v>31.497963645256878</v>
      </c>
    </row>
    <row r="162" spans="2:18">
      <c r="G162" s="563"/>
    </row>
    <row r="164" spans="2:18">
      <c r="H164" s="563"/>
    </row>
  </sheetData>
  <mergeCells count="22">
    <mergeCell ref="B120:H120"/>
    <mergeCell ref="J120:O120"/>
    <mergeCell ref="B134:H134"/>
    <mergeCell ref="J134:P134"/>
    <mergeCell ref="C149:C150"/>
    <mergeCell ref="D149:H149"/>
    <mergeCell ref="I149:M149"/>
    <mergeCell ref="N149:R149"/>
    <mergeCell ref="B106:H106"/>
    <mergeCell ref="J106:O106"/>
    <mergeCell ref="B57:H57"/>
    <mergeCell ref="J57:O57"/>
    <mergeCell ref="B74:H74"/>
    <mergeCell ref="J74:O74"/>
    <mergeCell ref="B90:H90"/>
    <mergeCell ref="J90:O90"/>
    <mergeCell ref="B6:H6"/>
    <mergeCell ref="B40:H40"/>
    <mergeCell ref="J6:O6"/>
    <mergeCell ref="J22:O22"/>
    <mergeCell ref="J40:O40"/>
    <mergeCell ref="B22:H22"/>
  </mergeCells>
  <phoneticPr fontId="28" type="noConversion"/>
  <pageMargins left="0.19685039370078741" right="0.15748031496062992" top="0.47244094488188981" bottom="0.27559055118110237" header="0.31496062992125984" footer="0.15748031496062992"/>
  <pageSetup paperSize="9" scale="64" orientation="portrait" horizontalDpi="4294967295" verticalDpi="4294967295" r:id="rId1"/>
  <headerFooter alignWithMargins="0">
    <oddFooter>&amp;Rpage -10-</oddFooter>
  </headerFooter>
</worksheet>
</file>

<file path=xl/worksheets/sheet2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800-000000000000}">
  <sheetPr codeName="Feuil14">
    <tabColor indexed="47"/>
  </sheetPr>
  <dimension ref="B1:K30"/>
  <sheetViews>
    <sheetView showGridLines="0" zoomScaleNormal="100" zoomScaleSheetLayoutView="87" workbookViewId="0">
      <selection activeCell="C15" sqref="C15"/>
    </sheetView>
  </sheetViews>
  <sheetFormatPr baseColWidth="10" defaultColWidth="11.44140625" defaultRowHeight="13.8"/>
  <cols>
    <col min="1" max="1" width="11.44140625" style="77"/>
    <col min="2" max="2" width="15" style="77" customWidth="1"/>
    <col min="3" max="4" width="11.44140625" style="77"/>
    <col min="5" max="5" width="14.109375" style="77" bestFit="1" customWidth="1"/>
    <col min="6" max="9" width="11.44140625" style="77"/>
    <col min="10" max="10" width="12.33203125" style="77" customWidth="1"/>
    <col min="11" max="11" width="5.44140625" style="77" customWidth="1"/>
    <col min="12" max="12" width="14.88671875" style="77" bestFit="1" customWidth="1"/>
    <col min="13" max="16384" width="11.44140625" style="77"/>
  </cols>
  <sheetData>
    <row r="1" spans="2:11" ht="21.6" thickBot="1">
      <c r="C1" s="3124" t="s">
        <v>892</v>
      </c>
      <c r="D1" s="3125"/>
      <c r="E1" s="3125"/>
      <c r="F1" s="3125"/>
      <c r="G1" s="3125"/>
      <c r="H1" s="3125"/>
      <c r="I1" s="3125"/>
    </row>
    <row r="2" spans="2:11" ht="14.4" thickBot="1">
      <c r="C2" s="701" t="s">
        <v>238</v>
      </c>
      <c r="D2" s="702" t="s">
        <v>239</v>
      </c>
      <c r="E2" s="702" t="s">
        <v>240</v>
      </c>
      <c r="F2" s="702" t="s">
        <v>241</v>
      </c>
      <c r="G2" s="702" t="s">
        <v>244</v>
      </c>
      <c r="H2" s="702" t="s">
        <v>242</v>
      </c>
      <c r="I2" s="702" t="s">
        <v>243</v>
      </c>
      <c r="J2" s="703" t="s">
        <v>98</v>
      </c>
    </row>
    <row r="3" spans="2:11">
      <c r="B3" s="704" t="s">
        <v>6</v>
      </c>
      <c r="C3" s="705"/>
      <c r="D3" s="706"/>
      <c r="E3" s="706"/>
      <c r="F3" s="706"/>
      <c r="G3" s="706"/>
      <c r="H3" s="706"/>
      <c r="I3" s="706"/>
      <c r="J3" s="707">
        <f>SUM(C3:I3)</f>
        <v>0</v>
      </c>
    </row>
    <row r="4" spans="2:11">
      <c r="B4" s="708" t="s">
        <v>7</v>
      </c>
      <c r="C4" s="709"/>
      <c r="D4" s="710"/>
      <c r="E4" s="706"/>
      <c r="F4" s="710"/>
      <c r="G4" s="710"/>
      <c r="H4" s="710"/>
      <c r="I4" s="710"/>
      <c r="J4" s="711">
        <f t="shared" ref="J4:J13" si="0">SUM(C4:I4)</f>
        <v>0</v>
      </c>
    </row>
    <row r="5" spans="2:11">
      <c r="B5" s="708" t="s">
        <v>8</v>
      </c>
      <c r="C5" s="712"/>
      <c r="D5" s="713"/>
      <c r="E5" s="706"/>
      <c r="F5" s="713"/>
      <c r="G5" s="713"/>
      <c r="H5" s="713"/>
      <c r="I5" s="713"/>
      <c r="J5" s="711">
        <f t="shared" si="0"/>
        <v>0</v>
      </c>
    </row>
    <row r="6" spans="2:11">
      <c r="B6" s="708" t="s">
        <v>4</v>
      </c>
      <c r="C6" s="712"/>
      <c r="D6" s="713"/>
      <c r="E6" s="706"/>
      <c r="F6" s="713"/>
      <c r="G6" s="713"/>
      <c r="H6" s="713"/>
      <c r="I6" s="713"/>
      <c r="J6" s="711">
        <f>SUM(C6:I6)</f>
        <v>0</v>
      </c>
    </row>
    <row r="7" spans="2:11">
      <c r="B7" s="708" t="s">
        <v>3</v>
      </c>
      <c r="C7" s="714"/>
      <c r="D7" s="715"/>
      <c r="E7" s="706"/>
      <c r="F7" s="715"/>
      <c r="G7" s="715"/>
      <c r="H7" s="715"/>
      <c r="I7" s="715"/>
      <c r="J7" s="711">
        <f t="shared" si="0"/>
        <v>0</v>
      </c>
      <c r="K7" s="716"/>
    </row>
    <row r="8" spans="2:11" hidden="1">
      <c r="B8" s="708" t="s">
        <v>293</v>
      </c>
      <c r="C8" s="717"/>
      <c r="D8" s="718"/>
      <c r="E8" s="706"/>
      <c r="F8" s="718"/>
      <c r="G8" s="718"/>
      <c r="H8" s="718"/>
      <c r="I8" s="718"/>
      <c r="J8" s="711">
        <f t="shared" si="0"/>
        <v>0</v>
      </c>
    </row>
    <row r="9" spans="2:11">
      <c r="B9" s="708" t="s">
        <v>397</v>
      </c>
      <c r="C9" s="714"/>
      <c r="D9" s="715"/>
      <c r="E9" s="706"/>
      <c r="F9" s="715"/>
      <c r="G9" s="715"/>
      <c r="H9" s="715"/>
      <c r="I9" s="715"/>
      <c r="J9" s="711">
        <f t="shared" si="0"/>
        <v>0</v>
      </c>
    </row>
    <row r="10" spans="2:11">
      <c r="B10" s="708" t="s">
        <v>399</v>
      </c>
      <c r="C10" s="714"/>
      <c r="D10" s="715"/>
      <c r="E10" s="706"/>
      <c r="F10" s="715"/>
      <c r="G10" s="715"/>
      <c r="H10" s="715"/>
      <c r="I10" s="715"/>
      <c r="J10" s="711">
        <f t="shared" si="0"/>
        <v>0</v>
      </c>
    </row>
    <row r="11" spans="2:11">
      <c r="B11" s="708" t="s">
        <v>883</v>
      </c>
      <c r="C11" s="714"/>
      <c r="D11" s="715"/>
      <c r="E11" s="706"/>
      <c r="F11" s="715"/>
      <c r="G11" s="715"/>
      <c r="H11" s="715"/>
      <c r="I11" s="719"/>
      <c r="J11" s="711">
        <f t="shared" si="0"/>
        <v>0</v>
      </c>
    </row>
    <row r="12" spans="2:11">
      <c r="B12" s="708" t="s">
        <v>884</v>
      </c>
      <c r="C12" s="720"/>
      <c r="D12" s="721"/>
      <c r="E12" s="706"/>
      <c r="F12" s="721"/>
      <c r="G12" s="721"/>
      <c r="H12" s="721"/>
      <c r="I12" s="722"/>
      <c r="J12" s="711">
        <f t="shared" si="0"/>
        <v>0</v>
      </c>
    </row>
    <row r="13" spans="2:11" ht="14.4" thickBot="1">
      <c r="B13" s="708" t="s">
        <v>885</v>
      </c>
      <c r="C13" s="714"/>
      <c r="D13" s="715"/>
      <c r="E13" s="706"/>
      <c r="F13" s="715"/>
      <c r="G13" s="715"/>
      <c r="H13" s="715"/>
      <c r="I13" s="719"/>
      <c r="J13" s="711">
        <f t="shared" si="0"/>
        <v>0</v>
      </c>
    </row>
    <row r="14" spans="2:11" ht="14.4" thickBot="1">
      <c r="B14" s="723" t="s">
        <v>16</v>
      </c>
      <c r="C14" s="724">
        <f>SUM(C3:C13)</f>
        <v>0</v>
      </c>
      <c r="D14" s="725">
        <f>SUM(D3:D13)</f>
        <v>0</v>
      </c>
      <c r="E14" s="724">
        <v>3551.7</v>
      </c>
      <c r="F14" s="725">
        <f>SUM(F3:F13)</f>
        <v>0</v>
      </c>
      <c r="G14" s="725">
        <f>SUM(G3:G13)</f>
        <v>0</v>
      </c>
      <c r="H14" s="725">
        <f>SUM(H3:H13)</f>
        <v>0</v>
      </c>
      <c r="I14" s="726">
        <f>SUM(I3:I13)</f>
        <v>0</v>
      </c>
      <c r="J14" s="727">
        <f>SUM(J3:J13)</f>
        <v>0</v>
      </c>
      <c r="K14" s="728"/>
    </row>
    <row r="16" spans="2:11">
      <c r="B16" s="729"/>
      <c r="E16" s="730"/>
    </row>
    <row r="17" spans="5:6">
      <c r="E17" s="730"/>
    </row>
    <row r="19" spans="5:6">
      <c r="E19" s="731"/>
    </row>
    <row r="20" spans="5:6">
      <c r="E20" s="731"/>
    </row>
    <row r="22" spans="5:6">
      <c r="F22" s="481"/>
    </row>
    <row r="30" spans="5:6" ht="12.6" customHeight="1"/>
  </sheetData>
  <mergeCells count="1">
    <mergeCell ref="C1:I1"/>
  </mergeCells>
  <phoneticPr fontId="28" type="noConversion"/>
  <pageMargins left="0.78740157480314965" right="0.78740157480314965" top="0.98425196850393704" bottom="0.98425196850393704" header="0.51181102362204722" footer="0.51181102362204722"/>
  <pageSetup paperSize="9" scale="90" orientation="landscape" horizontalDpi="4294967294" verticalDpi="4294967294" r:id="rId1"/>
  <headerFooter alignWithMargins="0"/>
  <drawing r:id="rId2"/>
</worksheet>
</file>

<file path=xl/worksheets/sheet2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900-000000000000}">
  <sheetPr codeName="Feuil13">
    <tabColor indexed="47"/>
  </sheetPr>
  <dimension ref="A2:S128"/>
  <sheetViews>
    <sheetView showGridLines="0" zoomScale="80" zoomScaleNormal="80" zoomScaleSheetLayoutView="100" zoomScalePageLayoutView="70" workbookViewId="0">
      <selection activeCell="P31" sqref="P31"/>
    </sheetView>
  </sheetViews>
  <sheetFormatPr baseColWidth="10" defaultColWidth="11.44140625" defaultRowHeight="13.8"/>
  <cols>
    <col min="1" max="1" width="2" style="430" customWidth="1"/>
    <col min="2" max="2" width="17.88671875" style="430" customWidth="1"/>
    <col min="3" max="3" width="12.6640625" style="430" customWidth="1"/>
    <col min="4" max="4" width="13.44140625" style="430" customWidth="1"/>
    <col min="5" max="5" width="12.44140625" style="430" customWidth="1"/>
    <col min="6" max="6" width="11.44140625" style="430"/>
    <col min="7" max="7" width="12.33203125" style="430" customWidth="1"/>
    <col min="8" max="8" width="12.88671875" style="430" customWidth="1"/>
    <col min="9" max="9" width="14.44140625" style="430" customWidth="1"/>
    <col min="10" max="10" width="12.5546875" style="430" customWidth="1"/>
    <col min="11" max="11" width="14.109375" style="430" customWidth="1"/>
    <col min="12" max="12" width="11.88671875" style="430" customWidth="1"/>
    <col min="13" max="13" width="10.109375" style="430" customWidth="1"/>
    <col min="14" max="14" width="11.88671875" style="430" customWidth="1"/>
    <col min="15" max="15" width="21" style="430" bestFit="1" customWidth="1"/>
    <col min="16" max="16" width="11.5546875" style="430" bestFit="1" customWidth="1"/>
    <col min="17" max="18" width="12.6640625" style="430" bestFit="1" customWidth="1"/>
    <col min="19" max="16384" width="11.44140625" style="430"/>
  </cols>
  <sheetData>
    <row r="2" spans="2:15" ht="18">
      <c r="B2" s="666" t="s">
        <v>206</v>
      </c>
    </row>
    <row r="4" spans="2:15" ht="18">
      <c r="B4" s="666" t="s">
        <v>214</v>
      </c>
      <c r="H4" s="666" t="s">
        <v>210</v>
      </c>
    </row>
    <row r="5" spans="2:15" ht="18">
      <c r="B5" s="666" t="s">
        <v>233</v>
      </c>
      <c r="H5" s="666" t="s">
        <v>211</v>
      </c>
    </row>
    <row r="6" spans="2:15" ht="18.75" customHeight="1">
      <c r="B6" s="3118" t="s">
        <v>188</v>
      </c>
      <c r="C6" s="3118"/>
      <c r="D6" s="3118"/>
      <c r="E6" s="3118"/>
      <c r="F6" s="3118"/>
      <c r="G6" s="3118"/>
      <c r="I6" s="3118" t="s">
        <v>190</v>
      </c>
      <c r="J6" s="3118"/>
      <c r="K6" s="3118"/>
      <c r="L6" s="3118"/>
      <c r="M6" s="3118"/>
      <c r="N6" s="3118"/>
    </row>
    <row r="7" spans="2:15" ht="24" customHeight="1">
      <c r="B7" s="107"/>
      <c r="C7" s="107" t="s">
        <v>1090</v>
      </c>
      <c r="D7" s="2745">
        <f>'Créanc-agence-compare'!D7</f>
        <v>45139</v>
      </c>
      <c r="E7" s="2745">
        <f>'Créanc-agence-compare'!E7</f>
        <v>45505</v>
      </c>
      <c r="F7" s="107" t="s">
        <v>489</v>
      </c>
      <c r="G7" s="107" t="s">
        <v>60</v>
      </c>
      <c r="I7" s="802"/>
      <c r="J7" s="107" t="str">
        <f>C7</f>
        <v xml:space="preserve"> Solde au 31/12/ 2023</v>
      </c>
      <c r="K7" s="2745">
        <f>D7</f>
        <v>45139</v>
      </c>
      <c r="L7" s="2745">
        <f>E7</f>
        <v>45505</v>
      </c>
      <c r="M7" s="107" t="s">
        <v>489</v>
      </c>
      <c r="N7" s="107" t="s">
        <v>60</v>
      </c>
    </row>
    <row r="8" spans="2:15" ht="15.75" customHeight="1">
      <c r="B8" s="677" t="s">
        <v>6</v>
      </c>
      <c r="C8" s="792">
        <f>'calcul-DCC-TX-Encais'!AO4</f>
        <v>971.47238308999999</v>
      </c>
      <c r="D8" s="1958">
        <f>'calcul-DCC-TX-Encais'!C20</f>
        <v>1757.32511241</v>
      </c>
      <c r="E8" s="539">
        <f>'Feuil-saisie'!C25/1000</f>
        <v>1672.5802192600001</v>
      </c>
      <c r="F8" s="668">
        <f>((E8-D8)/D8)*100</f>
        <v>-4.8223799086203503</v>
      </c>
      <c r="G8" s="668">
        <f t="shared" ref="G8:G18" si="0">+E8/$E$19*100</f>
        <v>11.403457341806671</v>
      </c>
      <c r="I8" s="677" t="s">
        <v>6</v>
      </c>
      <c r="J8" s="539">
        <f>'calcul-DCC-TX-Encais'!AQ4+'calcul-DCC-TX-Encais'!AU4</f>
        <v>326.68541615999993</v>
      </c>
      <c r="K8" s="1958">
        <f>'calcul-DCC-TX-Encais'!E20+'calcul-DCC-TX-Encais'!I20</f>
        <v>507.70563572999993</v>
      </c>
      <c r="L8" s="539">
        <f>'Feuil-saisie'!C28/1000</f>
        <v>488.81634568999988</v>
      </c>
      <c r="M8" s="678">
        <f>((L8-K8)/K8)*100</f>
        <v>-3.7205200633316302</v>
      </c>
      <c r="N8" s="668">
        <f t="shared" ref="N8:N17" si="1">(L8/E44)*100</f>
        <v>11.879835456451035</v>
      </c>
    </row>
    <row r="9" spans="2:15">
      <c r="B9" s="677" t="s">
        <v>7</v>
      </c>
      <c r="C9" s="792">
        <f>'calcul-DCC-TX-Encais'!AO5</f>
        <v>341.06182731999979</v>
      </c>
      <c r="D9" s="1958">
        <f>'calcul-DCC-TX-Encais'!C21</f>
        <v>985.82839340000078</v>
      </c>
      <c r="E9" s="539">
        <f>'Feuil-saisie'!C49/1000</f>
        <v>1016.6158273199995</v>
      </c>
      <c r="F9" s="668">
        <f t="shared" ref="F9:F18" si="2">((E9-D9)/D9)*100</f>
        <v>3.1230013383786495</v>
      </c>
      <c r="G9" s="668">
        <f t="shared" si="0"/>
        <v>6.9311684344671818</v>
      </c>
      <c r="I9" s="677" t="s">
        <v>7</v>
      </c>
      <c r="J9" s="539">
        <f>'calcul-DCC-TX-Encais'!AQ5+'calcul-DCC-TX-Encais'!AU5</f>
        <v>36.499449999999982</v>
      </c>
      <c r="K9" s="1958">
        <f>'calcul-DCC-TX-Encais'!E21+'calcul-DCC-TX-Encais'!I21</f>
        <v>84.912449999999978</v>
      </c>
      <c r="L9" s="539">
        <f>'Feuil-saisie'!C52/1000</f>
        <v>45.224449999999983</v>
      </c>
      <c r="M9" s="678">
        <f t="shared" ref="M9:M18" si="3">((L9-K9)/K9)*100</f>
        <v>-46.739906809896553</v>
      </c>
      <c r="N9" s="668">
        <f t="shared" si="1"/>
        <v>2.4954721220772242</v>
      </c>
    </row>
    <row r="10" spans="2:15">
      <c r="B10" s="677" t="s">
        <v>8</v>
      </c>
      <c r="C10" s="792">
        <f>'calcul-DCC-TX-Encais'!AO6</f>
        <v>268.41853426000057</v>
      </c>
      <c r="D10" s="1958">
        <f>'calcul-DCC-TX-Encais'!C22</f>
        <v>599.67250341999988</v>
      </c>
      <c r="E10" s="539">
        <f>'Feuil-saisie'!C72/1000</f>
        <v>558.77068796000083</v>
      </c>
      <c r="F10" s="668">
        <f t="shared" si="2"/>
        <v>-6.8206921655956192</v>
      </c>
      <c r="G10" s="668">
        <f t="shared" si="0"/>
        <v>3.8096335414172025</v>
      </c>
      <c r="I10" s="677" t="s">
        <v>8</v>
      </c>
      <c r="J10" s="539">
        <f>'calcul-DCC-TX-Encais'!AQ6+'calcul-DCC-TX-Encais'!AU6</f>
        <v>55.007800469999964</v>
      </c>
      <c r="K10" s="1958">
        <f>'calcul-DCC-TX-Encais'!E22+'calcul-DCC-TX-Encais'!I22</f>
        <v>278.58414844999999</v>
      </c>
      <c r="L10" s="539">
        <f>'Feuil-saisie'!C75/1000</f>
        <v>265.35587315999999</v>
      </c>
      <c r="M10" s="678">
        <f t="shared" si="3"/>
        <v>-4.7483948256209549</v>
      </c>
      <c r="N10" s="668">
        <f t="shared" si="1"/>
        <v>11.715891861729027</v>
      </c>
    </row>
    <row r="11" spans="2:15">
      <c r="B11" s="677" t="s">
        <v>4</v>
      </c>
      <c r="C11" s="792">
        <f>'calcul-DCC-TX-Encais'!AO7</f>
        <v>983.18939429000045</v>
      </c>
      <c r="D11" s="1958">
        <f>'calcul-DCC-TX-Encais'!C23</f>
        <v>1669.7437616200004</v>
      </c>
      <c r="E11" s="792">
        <f>'Feuil-saisie'!C96/1000</f>
        <v>1689.0696134900004</v>
      </c>
      <c r="F11" s="668">
        <f t="shared" si="2"/>
        <v>1.1574142281118531</v>
      </c>
      <c r="G11" s="668">
        <f t="shared" si="0"/>
        <v>11.51588011324016</v>
      </c>
      <c r="I11" s="677" t="s">
        <v>4</v>
      </c>
      <c r="J11" s="539">
        <f>'calcul-DCC-TX-Encais'!AQ7+'calcul-DCC-TX-Encais'!AU7</f>
        <v>261.82918214</v>
      </c>
      <c r="K11" s="1958">
        <f>'calcul-DCC-TX-Encais'!E23+'calcul-DCC-TX-Encais'!I23</f>
        <v>332.79165270999999</v>
      </c>
      <c r="L11" s="539">
        <f>'Feuil-saisie'!C99/1000</f>
        <v>378.17800578999999</v>
      </c>
      <c r="M11" s="678">
        <f t="shared" si="3"/>
        <v>13.63806835610459</v>
      </c>
      <c r="N11" s="668">
        <f t="shared" si="1"/>
        <v>10.262004836569979</v>
      </c>
    </row>
    <row r="12" spans="2:15" ht="13.5" customHeight="1">
      <c r="B12" s="677" t="s">
        <v>3</v>
      </c>
      <c r="C12" s="792">
        <f>'calcul-DCC-TX-Encais'!AO8</f>
        <v>1850.7114404100003</v>
      </c>
      <c r="D12" s="1958">
        <f>'calcul-DCC-TX-Encais'!C24</f>
        <v>2508.4341005600004</v>
      </c>
      <c r="E12" s="539">
        <f>'Feuil-saisie'!C119/1000</f>
        <v>2863.9937023899997</v>
      </c>
      <c r="F12" s="668">
        <f t="shared" si="2"/>
        <v>14.174564193279851</v>
      </c>
      <c r="G12" s="668">
        <f t="shared" si="0"/>
        <v>19.526375857091523</v>
      </c>
      <c r="I12" s="677" t="s">
        <v>3</v>
      </c>
      <c r="J12" s="539">
        <f>'calcul-DCC-TX-Encais'!AQ8+'calcul-DCC-TX-Encais'!AU8</f>
        <v>325.02430265999999</v>
      </c>
      <c r="K12" s="1958">
        <f>'calcul-DCC-TX-Encais'!E24+'calcul-DCC-TX-Encais'!I24</f>
        <v>381.36145270999998</v>
      </c>
      <c r="L12" s="539">
        <f>'Feuil-saisie'!C122/1000</f>
        <v>584.73400000000004</v>
      </c>
      <c r="M12" s="678">
        <f t="shared" si="3"/>
        <v>53.328029313086176</v>
      </c>
      <c r="N12" s="668">
        <f>(L12/E48)*100</f>
        <v>8.7853596785150554</v>
      </c>
    </row>
    <row r="13" spans="2:15">
      <c r="B13" s="677" t="s">
        <v>397</v>
      </c>
      <c r="C13" s="792">
        <f>'calcul-DCC-TX-Encais'!AO9</f>
        <v>1809.7843905299994</v>
      </c>
      <c r="D13" s="1958">
        <f>'calcul-DCC-TX-Encais'!C25</f>
        <v>1989.0093211799999</v>
      </c>
      <c r="E13" s="539">
        <f>'Feuil-saisie'!C144/1000</f>
        <v>2368.0157871499987</v>
      </c>
      <c r="F13" s="668">
        <f t="shared" si="2"/>
        <v>19.055037195358608</v>
      </c>
      <c r="G13" s="668">
        <f t="shared" si="0"/>
        <v>16.144856134575683</v>
      </c>
      <c r="I13" s="677" t="s">
        <v>397</v>
      </c>
      <c r="J13" s="539">
        <f>'calcul-DCC-TX-Encais'!AQ9+'calcul-DCC-TX-Encais'!AU9</f>
        <v>276.97284998653288</v>
      </c>
      <c r="K13" s="1958">
        <f>'calcul-DCC-TX-Encais'!E25+'calcul-DCC-TX-Encais'!I25</f>
        <v>273.79374932653286</v>
      </c>
      <c r="L13" s="539">
        <f>'Feuil-saisie'!C147/1000</f>
        <v>265.72884999653303</v>
      </c>
      <c r="M13" s="678">
        <f t="shared" si="3"/>
        <v>-2.9456111944986167</v>
      </c>
      <c r="N13" s="668">
        <f t="shared" si="1"/>
        <v>6.9439261745892962</v>
      </c>
    </row>
    <row r="14" spans="2:15">
      <c r="B14" s="801" t="s">
        <v>399</v>
      </c>
      <c r="C14" s="792">
        <f>'calcul-DCC-TX-Encais'!AO10</f>
        <v>1362.6618891520009</v>
      </c>
      <c r="D14" s="1958">
        <f>'calcul-DCC-TX-Encais'!C26</f>
        <v>1870.6857072320004</v>
      </c>
      <c r="E14" s="539">
        <f>'Feuil-saisie'!C167/1000</f>
        <v>1855.6029734520002</v>
      </c>
      <c r="F14" s="668">
        <f t="shared" si="2"/>
        <v>-0.80626765477978724</v>
      </c>
      <c r="G14" s="668">
        <f t="shared" si="0"/>
        <v>12.651285186459665</v>
      </c>
      <c r="I14" s="677" t="s">
        <v>399</v>
      </c>
      <c r="J14" s="539">
        <f>'calcul-DCC-TX-Encais'!AQ10+'calcul-DCC-TX-Encais'!AU10</f>
        <v>379.15069524000302</v>
      </c>
      <c r="K14" s="1958">
        <f>'calcul-DCC-TX-Encais'!E26+'calcul-DCC-TX-Encais'!I26</f>
        <v>387.31234428000397</v>
      </c>
      <c r="L14" s="539">
        <f>'Feuil-saisie'!C170/1000</f>
        <v>470.68999999999994</v>
      </c>
      <c r="M14" s="678">
        <f t="shared" si="3"/>
        <v>21.527239436427269</v>
      </c>
      <c r="N14" s="668">
        <f t="shared" si="1"/>
        <v>12.705372563537519</v>
      </c>
      <c r="O14" s="123"/>
    </row>
    <row r="15" spans="2:15">
      <c r="B15" s="677" t="s">
        <v>883</v>
      </c>
      <c r="C15" s="792">
        <f>'calcul-DCC-TX-Encais'!AO11</f>
        <v>629.59188587299957</v>
      </c>
      <c r="D15" s="1958">
        <f>'calcul-DCC-TX-Encais'!C27</f>
        <v>1228.6176199301503</v>
      </c>
      <c r="E15" s="539">
        <f>'Feuil-saisie'!C190/1000</f>
        <v>1399.0475832529999</v>
      </c>
      <c r="F15" s="668">
        <f t="shared" si="2"/>
        <v>13.871684774676993</v>
      </c>
      <c r="G15" s="668">
        <f t="shared" si="0"/>
        <v>9.5385436531360046</v>
      </c>
      <c r="I15" s="677" t="s">
        <v>883</v>
      </c>
      <c r="J15" s="539">
        <f>'calcul-DCC-TX-Encais'!AQ11+'calcul-DCC-TX-Encais'!AU11</f>
        <v>200.79277339000015</v>
      </c>
      <c r="K15" s="1958">
        <f>'calcul-DCC-TX-Encais'!E27+'calcul-DCC-TX-Encais'!I27</f>
        <v>268.63475038000001</v>
      </c>
      <c r="L15" s="539">
        <f>'Feuil-saisie'!C193/1000</f>
        <v>238.03009583000005</v>
      </c>
      <c r="M15" s="678">
        <f t="shared" si="3"/>
        <v>-11.392664019345167</v>
      </c>
      <c r="N15" s="668">
        <f t="shared" si="1"/>
        <v>9.2265036784301415</v>
      </c>
    </row>
    <row r="16" spans="2:15">
      <c r="B16" s="677" t="s">
        <v>884</v>
      </c>
      <c r="C16" s="792">
        <f>'calcul-DCC-TX-Encais'!AO12</f>
        <v>298.13228079000129</v>
      </c>
      <c r="D16" s="1958">
        <f>'calcul-DCC-TX-Encais'!C28</f>
        <v>969.915969210002</v>
      </c>
      <c r="E16" s="539">
        <f>'Feuil-saisie'!C213/1000</f>
        <v>983.32848568000134</v>
      </c>
      <c r="F16" s="668">
        <f t="shared" si="2"/>
        <v>1.3828534528536371</v>
      </c>
      <c r="G16" s="668">
        <f t="shared" si="0"/>
        <v>6.7042192119170032</v>
      </c>
      <c r="I16" s="677" t="s">
        <v>884</v>
      </c>
      <c r="J16" s="539">
        <f>'calcul-DCC-TX-Encais'!AQ12+'calcul-DCC-TX-Encais'!AU12</f>
        <v>254.15602622000006</v>
      </c>
      <c r="K16" s="1958">
        <f>'calcul-DCC-TX-Encais'!E28+'calcul-DCC-TX-Encais'!I28</f>
        <v>384.05211327999916</v>
      </c>
      <c r="L16" s="539">
        <f>'Feuil-saisie'!C216/1000</f>
        <v>344.12735134999906</v>
      </c>
      <c r="M16" s="678">
        <f t="shared" si="3"/>
        <v>-10.39566260657244</v>
      </c>
      <c r="N16" s="668">
        <f t="shared" si="1"/>
        <v>15.653706462052497</v>
      </c>
    </row>
    <row r="17" spans="2:19" ht="14.4" thickBot="1">
      <c r="B17" s="677" t="s">
        <v>885</v>
      </c>
      <c r="C17" s="792">
        <f>'calcul-DCC-TX-Encais'!AO13</f>
        <v>100.55670670999999</v>
      </c>
      <c r="D17" s="1958">
        <f>'calcul-DCC-TX-Encais'!C29</f>
        <v>267.8540491</v>
      </c>
      <c r="E17" s="539">
        <f>'Feuil-saisie'!C238/1000</f>
        <v>260.28319273</v>
      </c>
      <c r="F17" s="668">
        <f t="shared" si="2"/>
        <v>-2.8264856907851019</v>
      </c>
      <c r="G17" s="668">
        <f t="shared" si="0"/>
        <v>1.7745805258889098</v>
      </c>
      <c r="I17" s="677" t="s">
        <v>885</v>
      </c>
      <c r="J17" s="539">
        <f>'calcul-DCC-TX-Encais'!AQ13+'calcul-DCC-TX-Encais'!AU13</f>
        <v>67.178273039999993</v>
      </c>
      <c r="K17" s="1958">
        <f>'calcul-DCC-TX-Encais'!E29+'calcul-DCC-TX-Encais'!I29</f>
        <v>97.464058169999802</v>
      </c>
      <c r="L17" s="539">
        <f>'Feuil-saisie'!C241/1000</f>
        <v>111.73399692000001</v>
      </c>
      <c r="M17" s="678">
        <f t="shared" si="3"/>
        <v>14.641231873507815</v>
      </c>
      <c r="N17" s="668">
        <f t="shared" si="1"/>
        <v>15.473469170727764</v>
      </c>
    </row>
    <row r="18" spans="2:19" ht="14.4" thickBot="1">
      <c r="B18" s="734" t="s">
        <v>264</v>
      </c>
      <c r="C18" s="1463"/>
      <c r="D18" s="1959"/>
      <c r="E18" s="735"/>
      <c r="F18" s="668" t="e">
        <f t="shared" si="2"/>
        <v>#DIV/0!</v>
      </c>
      <c r="G18" s="668">
        <f t="shared" si="0"/>
        <v>0</v>
      </c>
      <c r="I18" s="670" t="s">
        <v>16</v>
      </c>
      <c r="J18" s="781">
        <f>SUM(J8:J17)</f>
        <v>2183.2967693065357</v>
      </c>
      <c r="K18" s="749">
        <f>SUM(K8:K17)</f>
        <v>2996.6123550365351</v>
      </c>
      <c r="L18" s="671">
        <f>SUM(L8:L17)</f>
        <v>3192.6189687365322</v>
      </c>
      <c r="M18" s="679">
        <f t="shared" si="3"/>
        <v>6.5409399173890614</v>
      </c>
      <c r="N18" s="680">
        <f>(L18/E55)*100</f>
        <v>10.11454874128375</v>
      </c>
    </row>
    <row r="19" spans="2:19" ht="14.4" thickBot="1">
      <c r="B19" s="670" t="s">
        <v>16</v>
      </c>
      <c r="C19" s="781">
        <f>SUM(C8:C18)</f>
        <v>8615.5807324250036</v>
      </c>
      <c r="D19" s="749">
        <f>SUM(D8:D18)</f>
        <v>13847.086538062153</v>
      </c>
      <c r="E19" s="671">
        <f>SUM(E8:E18)</f>
        <v>14667.308072685</v>
      </c>
      <c r="F19" s="672">
        <f>((E19-D19)/D19)*100</f>
        <v>5.9234231863017923</v>
      </c>
      <c r="G19" s="672">
        <f>+E19/E55*100</f>
        <v>46.467556528772768</v>
      </c>
    </row>
    <row r="20" spans="2:19">
      <c r="B20" s="685"/>
      <c r="C20" s="683"/>
      <c r="D20" s="736">
        <v>645.26426300000003</v>
      </c>
      <c r="E20" s="683"/>
      <c r="F20" s="114"/>
      <c r="G20" s="114"/>
      <c r="I20" s="685"/>
      <c r="J20" s="683"/>
      <c r="K20" s="737">
        <v>183.2</v>
      </c>
      <c r="L20" s="683"/>
      <c r="M20" s="204"/>
      <c r="N20" s="114"/>
    </row>
    <row r="21" spans="2:19" ht="18">
      <c r="B21" s="666" t="s">
        <v>212</v>
      </c>
      <c r="E21" s="123"/>
      <c r="I21" s="666" t="s">
        <v>208</v>
      </c>
    </row>
    <row r="22" spans="2:19" ht="18">
      <c r="B22" s="666" t="s">
        <v>213</v>
      </c>
      <c r="I22" s="666" t="s">
        <v>209</v>
      </c>
    </row>
    <row r="23" spans="2:19" ht="18">
      <c r="B23" s="3118" t="s">
        <v>191</v>
      </c>
      <c r="C23" s="3118"/>
      <c r="D23" s="3118"/>
      <c r="E23" s="3118"/>
      <c r="F23" s="3118"/>
      <c r="G23" s="3118"/>
      <c r="I23" s="3118" t="s">
        <v>192</v>
      </c>
      <c r="J23" s="3118"/>
      <c r="K23" s="3118"/>
      <c r="L23" s="3118"/>
      <c r="M23" s="3118"/>
      <c r="N23" s="3118"/>
      <c r="O23" s="3118"/>
      <c r="P23" s="3118"/>
    </row>
    <row r="24" spans="2:19" ht="41.4">
      <c r="B24" s="676"/>
      <c r="C24" s="107" t="str">
        <f>C7</f>
        <v xml:space="preserve"> Solde au 31/12/ 2023</v>
      </c>
      <c r="D24" s="2745">
        <f>D7</f>
        <v>45139</v>
      </c>
      <c r="E24" s="2745">
        <f>E7</f>
        <v>45505</v>
      </c>
      <c r="F24" s="107" t="s">
        <v>489</v>
      </c>
      <c r="G24" s="107" t="s">
        <v>61</v>
      </c>
      <c r="I24" s="107"/>
      <c r="J24" s="107" t="str">
        <f>C24</f>
        <v xml:space="preserve"> Solde au 31/12/ 2023</v>
      </c>
      <c r="K24" s="2745">
        <f>E7</f>
        <v>45505</v>
      </c>
      <c r="L24" s="107" t="s">
        <v>489</v>
      </c>
      <c r="M24" s="107" t="s">
        <v>60</v>
      </c>
      <c r="N24" s="107" t="s">
        <v>316</v>
      </c>
      <c r="O24" s="107" t="s">
        <v>317</v>
      </c>
      <c r="P24" s="2745">
        <f>D24</f>
        <v>45139</v>
      </c>
    </row>
    <row r="25" spans="2:19">
      <c r="B25" s="677" t="s">
        <v>6</v>
      </c>
      <c r="C25" s="792">
        <f>'calcul-DCC-TX-Encais'!AP4+'calcul-DCC-TX-Encais'!AT4</f>
        <v>1249.4898976999998</v>
      </c>
      <c r="D25" s="1958">
        <f>'calcul-DCC-TX-Encais'!D20+'calcul-DCC-TX-Encais'!H20</f>
        <v>1289.8965007200004</v>
      </c>
      <c r="E25" s="539">
        <f>'Feuil-saisie'!C31/1000</f>
        <v>1617.3603708499993</v>
      </c>
      <c r="F25" s="678">
        <f>((E25-D25)/D25)*100</f>
        <v>25.386832970491323</v>
      </c>
      <c r="G25" s="668">
        <f t="shared" ref="G25:G36" si="4">(E25/E44)*100</f>
        <v>39.307145206776362</v>
      </c>
      <c r="I25" s="677" t="s">
        <v>6</v>
      </c>
      <c r="J25" s="792">
        <f>'calcul-DCC-TX-Encais'!AZ4</f>
        <v>206.8637588</v>
      </c>
      <c r="K25" s="539">
        <f>N25+O25</f>
        <v>335.91575879999999</v>
      </c>
      <c r="L25" s="678">
        <f>((K25-P25)/P25)*100</f>
        <v>17.346628259911668</v>
      </c>
      <c r="M25" s="678">
        <f t="shared" ref="M25:M36" si="5">(K25/E44)*100</f>
        <v>8.163851264302215</v>
      </c>
      <c r="N25" s="792">
        <f>'Feuil-saisie'!C41/1000</f>
        <v>307.01675879999999</v>
      </c>
      <c r="O25" s="792">
        <f>'Feuil-saisie'!C42/1000</f>
        <v>28.899000000000001</v>
      </c>
      <c r="P25" s="733">
        <f>'calcul-DCC-TX-Encais'!N20</f>
        <v>286.25940410999999</v>
      </c>
      <c r="Q25" s="2135"/>
      <c r="R25" s="430">
        <v>171.2576321</v>
      </c>
      <c r="S25" s="784">
        <f>K25-R25</f>
        <v>164.6581267</v>
      </c>
    </row>
    <row r="26" spans="2:19">
      <c r="B26" s="677" t="s">
        <v>7</v>
      </c>
      <c r="C26" s="792">
        <f>'calcul-DCC-TX-Encais'!AP5+'calcul-DCC-TX-Encais'!AT5</f>
        <v>353.608</v>
      </c>
      <c r="D26" s="1958">
        <f>'calcul-DCC-TX-Encais'!D21+'calcul-DCC-TX-Encais'!H21</f>
        <v>425.26800000000003</v>
      </c>
      <c r="E26" s="539">
        <f>'Feuil-saisie'!C55/1000</f>
        <v>603.30799999999999</v>
      </c>
      <c r="F26" s="678">
        <f t="shared" ref="F26:F35" si="6">((E26-D26)/D26)*100</f>
        <v>41.865364899310542</v>
      </c>
      <c r="G26" s="668">
        <f t="shared" si="4"/>
        <v>33.290361630183817</v>
      </c>
      <c r="I26" s="677" t="s">
        <v>7</v>
      </c>
      <c r="J26" s="792">
        <f>'calcul-DCC-TX-Encais'!AZ5</f>
        <v>120.79326428999997</v>
      </c>
      <c r="K26" s="539">
        <f t="shared" ref="K26:K34" si="7">N26+O26</f>
        <v>147.11199999999999</v>
      </c>
      <c r="L26" s="678">
        <f t="shared" ref="L26:L35" si="8">((K26-P26)/P26)*100</f>
        <v>127.33757845289068</v>
      </c>
      <c r="M26" s="678">
        <f t="shared" si="5"/>
        <v>8.1175977778176343</v>
      </c>
      <c r="N26" s="792">
        <f>'Feuil-saisie'!C64/1000</f>
        <v>147.11199999999999</v>
      </c>
      <c r="O26" s="792">
        <f>'Feuil-saisie'!C65/1000</f>
        <v>0</v>
      </c>
      <c r="P26" s="733">
        <f>'calcul-DCC-TX-Encais'!N21</f>
        <v>64.710815079999989</v>
      </c>
      <c r="Q26" s="2136"/>
      <c r="R26" s="430">
        <v>112.27897334000001</v>
      </c>
      <c r="S26" s="784">
        <f t="shared" ref="S26:S36" si="9">K26-R26</f>
        <v>34.833026659999987</v>
      </c>
    </row>
    <row r="27" spans="2:19">
      <c r="B27" s="677" t="s">
        <v>8</v>
      </c>
      <c r="C27" s="792">
        <f>'calcul-DCC-TX-Encais'!AP6+'calcul-DCC-TX-Encais'!AT6</f>
        <v>276.2401472520001</v>
      </c>
      <c r="D27" s="1958">
        <f>'calcul-DCC-TX-Encais'!D22+'calcul-DCC-TX-Encais'!H22</f>
        <v>487.45221466999999</v>
      </c>
      <c r="E27" s="539">
        <f>'Feuil-saisie'!C78/1000</f>
        <v>663.98323023000012</v>
      </c>
      <c r="F27" s="678">
        <f t="shared" si="6"/>
        <v>36.215040212610326</v>
      </c>
      <c r="G27" s="668">
        <f t="shared" si="4"/>
        <v>29.315935730903004</v>
      </c>
      <c r="I27" s="677" t="s">
        <v>8</v>
      </c>
      <c r="J27" s="792">
        <f>'calcul-DCC-TX-Encais'!AZ6</f>
        <v>343.5395387800001</v>
      </c>
      <c r="K27" s="539">
        <f t="shared" si="7"/>
        <v>776.81272834999629</v>
      </c>
      <c r="L27" s="678">
        <f t="shared" si="8"/>
        <v>200.54235231836009</v>
      </c>
      <c r="M27" s="678">
        <f t="shared" si="5"/>
        <v>34.297540935435173</v>
      </c>
      <c r="N27" s="792">
        <f>'Feuil-saisie'!C88/1000</f>
        <v>769.19647291999627</v>
      </c>
      <c r="O27" s="792">
        <f>'Feuil-saisie'!C89/1000</f>
        <v>7.6162554299999989</v>
      </c>
      <c r="P27" s="733">
        <f>'calcul-DCC-TX-Encais'!N22</f>
        <v>258.47030289000003</v>
      </c>
      <c r="Q27" s="2136"/>
      <c r="R27" s="430">
        <v>147.90435166</v>
      </c>
      <c r="S27" s="2138">
        <f t="shared" si="9"/>
        <v>628.90837668999632</v>
      </c>
    </row>
    <row r="28" spans="2:19">
      <c r="B28" s="677" t="s">
        <v>4</v>
      </c>
      <c r="C28" s="792">
        <f>'calcul-DCC-TX-Encais'!AP7+'calcul-DCC-TX-Encais'!AT7</f>
        <v>1000.46626014</v>
      </c>
      <c r="D28" s="1958">
        <f>'calcul-DCC-TX-Encais'!D23+'calcul-DCC-TX-Encais'!H23</f>
        <v>866.63326127999949</v>
      </c>
      <c r="E28" s="539">
        <f>'Feuil-saisie'!C102/1000</f>
        <v>1603.9173486600002</v>
      </c>
      <c r="F28" s="678">
        <f t="shared" si="6"/>
        <v>85.074520021427219</v>
      </c>
      <c r="G28" s="668">
        <f t="shared" si="4"/>
        <v>43.522910738884249</v>
      </c>
      <c r="I28" s="677" t="s">
        <v>4</v>
      </c>
      <c r="J28" s="792">
        <f>'calcul-DCC-TX-Encais'!AZ7</f>
        <v>121.64311872999997</v>
      </c>
      <c r="K28" s="539">
        <f t="shared" si="7"/>
        <v>14.06040285999997</v>
      </c>
      <c r="L28" s="678">
        <f t="shared" si="8"/>
        <v>-80.297507547491946</v>
      </c>
      <c r="M28" s="678">
        <f t="shared" si="5"/>
        <v>0.38153440957527363</v>
      </c>
      <c r="N28" s="792">
        <f>'Feuil-saisie'!C111/1000</f>
        <v>14.06040285999997</v>
      </c>
      <c r="O28" s="792">
        <f>'Feuil-saisie'!C112/1000</f>
        <v>0</v>
      </c>
      <c r="P28" s="733">
        <f>'calcul-DCC-TX-Encais'!N23</f>
        <v>71.363574399999962</v>
      </c>
      <c r="Q28" s="2136"/>
      <c r="R28" s="430">
        <v>13.65962169</v>
      </c>
      <c r="S28" s="2138">
        <f t="shared" si="9"/>
        <v>0.40078116999996993</v>
      </c>
    </row>
    <row r="29" spans="2:19">
      <c r="B29" s="677" t="s">
        <v>3</v>
      </c>
      <c r="C29" s="792">
        <f>'calcul-DCC-TX-Encais'!AP8+'calcul-DCC-TX-Encais'!AT8</f>
        <v>659.01199999999994</v>
      </c>
      <c r="D29" s="1958">
        <f>'calcul-DCC-TX-Encais'!D24+'calcul-DCC-TX-Encais'!H24</f>
        <v>757.03817139</v>
      </c>
      <c r="E29" s="539">
        <f>'Feuil-saisie'!C125/1000</f>
        <v>1047.22306151</v>
      </c>
      <c r="F29" s="678">
        <f t="shared" si="6"/>
        <v>38.331606131192913</v>
      </c>
      <c r="G29" s="668">
        <f t="shared" si="4"/>
        <v>15.734045324884555</v>
      </c>
      <c r="I29" s="677" t="s">
        <v>3</v>
      </c>
      <c r="J29" s="792">
        <f>'calcul-DCC-TX-Encais'!AZ8</f>
        <v>2128.9705592599998</v>
      </c>
      <c r="K29" s="539">
        <f t="shared" si="7"/>
        <v>2159.8268183199984</v>
      </c>
      <c r="L29" s="678">
        <f t="shared" si="8"/>
        <v>75.380152868789196</v>
      </c>
      <c r="M29" s="678">
        <f t="shared" si="5"/>
        <v>32.45040555576378</v>
      </c>
      <c r="N29" s="792">
        <f>'Feuil-saisie'!C136/1000</f>
        <v>2149.9924635699986</v>
      </c>
      <c r="O29" s="792">
        <f>'Feuil-saisie'!C137/1000</f>
        <v>9.834354750000001</v>
      </c>
      <c r="P29" s="733">
        <f>'calcul-DCC-TX-Encais'!N24</f>
        <v>1231.5115382160002</v>
      </c>
      <c r="Q29" s="2136"/>
      <c r="R29" s="430">
        <v>281.54432475999999</v>
      </c>
      <c r="S29" s="784">
        <f t="shared" si="9"/>
        <v>1878.2824935599983</v>
      </c>
    </row>
    <row r="30" spans="2:19">
      <c r="B30" s="677" t="s">
        <v>397</v>
      </c>
      <c r="C30" s="792">
        <f>'calcul-DCC-TX-Encais'!AP9+'calcul-DCC-TX-Encais'!AT9</f>
        <v>762.41717501999995</v>
      </c>
      <c r="D30" s="1958">
        <f>'calcul-DCC-TX-Encais'!D25+'calcul-DCC-TX-Encais'!H25</f>
        <v>956.57425858000011</v>
      </c>
      <c r="E30" s="539">
        <f>'Feuil-saisie'!C150/1000</f>
        <v>1002.9945015399998</v>
      </c>
      <c r="F30" s="678">
        <f t="shared" si="6"/>
        <v>4.8527589513969174</v>
      </c>
      <c r="G30" s="668">
        <f t="shared" si="4"/>
        <v>26.209874359910927</v>
      </c>
      <c r="I30" s="677" t="s">
        <v>397</v>
      </c>
      <c r="J30" s="792">
        <f>'calcul-DCC-TX-Encais'!AZ9</f>
        <v>190.04189722000001</v>
      </c>
      <c r="K30" s="539">
        <f t="shared" si="7"/>
        <v>190.04189722000001</v>
      </c>
      <c r="L30" s="678">
        <f t="shared" si="8"/>
        <v>-3.5294061735115996</v>
      </c>
      <c r="M30" s="678">
        <f t="shared" si="5"/>
        <v>4.966103245439041</v>
      </c>
      <c r="N30" s="792">
        <f>'Feuil-saisie'!C159/1000</f>
        <v>177.98392722</v>
      </c>
      <c r="O30" s="792">
        <f>'Feuil-saisie'!C160/1000</f>
        <v>12.057969999999999</v>
      </c>
      <c r="P30" s="733">
        <f>'calcul-DCC-TX-Encais'!N25</f>
        <v>196.99463814000001</v>
      </c>
      <c r="Q30" s="2136"/>
      <c r="R30" s="430">
        <v>22.513745950000001</v>
      </c>
      <c r="S30" s="2138">
        <f t="shared" si="9"/>
        <v>167.52815127000002</v>
      </c>
    </row>
    <row r="31" spans="2:19">
      <c r="B31" s="677" t="s">
        <v>399</v>
      </c>
      <c r="C31" s="792">
        <f>'calcul-DCC-TX-Encais'!AP10+'calcul-DCC-TX-Encais'!AT10</f>
        <v>817.83576278000078</v>
      </c>
      <c r="D31" s="1958">
        <f>'calcul-DCC-TX-Encais'!D26+'calcul-DCC-TX-Encais'!H26</f>
        <v>859.00039256999912</v>
      </c>
      <c r="E31" s="539">
        <f>'Feuil-saisie'!C173/1000</f>
        <v>1330.7006805099993</v>
      </c>
      <c r="F31" s="678">
        <f t="shared" si="6"/>
        <v>54.912697598279827</v>
      </c>
      <c r="G31" s="668">
        <f t="shared" si="4"/>
        <v>35.919709185307639</v>
      </c>
      <c r="I31" s="677" t="s">
        <v>399</v>
      </c>
      <c r="J31" s="792">
        <f>'calcul-DCC-TX-Encais'!AZ10</f>
        <v>57.204291219999988</v>
      </c>
      <c r="K31" s="539">
        <f t="shared" si="7"/>
        <v>47.659614929999982</v>
      </c>
      <c r="L31" s="678">
        <f>((K31-P31)/P31)*100</f>
        <v>-45.463275968714967</v>
      </c>
      <c r="M31" s="678">
        <f t="shared" si="5"/>
        <v>1.2864797720801058</v>
      </c>
      <c r="N31" s="792">
        <f>'Feuil-saisie'!C182/1000</f>
        <v>47.659614929999982</v>
      </c>
      <c r="O31" s="792">
        <f>'Feuil-saisie'!C183/1000</f>
        <v>0</v>
      </c>
      <c r="P31" s="733">
        <f>'calcul-DCC-TX-Encais'!N26</f>
        <v>87.389948289999978</v>
      </c>
      <c r="Q31" s="2135"/>
      <c r="R31" s="430">
        <v>54.695899109999999</v>
      </c>
      <c r="S31" s="2138">
        <f t="shared" si="9"/>
        <v>-7.0362841800000169</v>
      </c>
    </row>
    <row r="32" spans="2:19">
      <c r="B32" s="677" t="s">
        <v>883</v>
      </c>
      <c r="C32" s="792">
        <f>'calcul-DCC-TX-Encais'!AP11+'calcul-DCC-TX-Encais'!AT11</f>
        <v>567.46584522000001</v>
      </c>
      <c r="D32" s="1958">
        <f>'calcul-DCC-TX-Encais'!D27+'calcul-DCC-TX-Encais'!H27</f>
        <v>592.43774728000005</v>
      </c>
      <c r="E32" s="539">
        <f>'Feuil-saisie'!C196/1000</f>
        <v>853.44475696000018</v>
      </c>
      <c r="F32" s="678">
        <f t="shared" si="6"/>
        <v>44.056444897094323</v>
      </c>
      <c r="G32" s="668">
        <f t="shared" si="4"/>
        <v>33.081157918165758</v>
      </c>
      <c r="I32" s="677" t="s">
        <v>883</v>
      </c>
      <c r="J32" s="792">
        <f>'calcul-DCC-TX-Encais'!AZ11</f>
        <v>276.64737839681089</v>
      </c>
      <c r="K32" s="539">
        <f t="shared" si="7"/>
        <v>89.329088716810901</v>
      </c>
      <c r="L32" s="678">
        <f t="shared" si="8"/>
        <v>-59.560342593602925</v>
      </c>
      <c r="M32" s="678">
        <f t="shared" si="5"/>
        <v>3.4625670454088477</v>
      </c>
      <c r="N32" s="792">
        <f>'Feuil-saisie'!C205/1000</f>
        <v>83.466646409999925</v>
      </c>
      <c r="O32" s="792">
        <f>'Feuil-saisie'!C206/1000</f>
        <v>5.8624423068109826</v>
      </c>
      <c r="P32" s="733">
        <f>'calcul-DCC-TX-Encais'!N27</f>
        <v>220.89477123681095</v>
      </c>
      <c r="R32" s="430">
        <v>24.826817999999999</v>
      </c>
      <c r="S32" s="2138">
        <f t="shared" si="9"/>
        <v>64.502270716810898</v>
      </c>
    </row>
    <row r="33" spans="2:19">
      <c r="B33" s="677" t="s">
        <v>884</v>
      </c>
      <c r="C33" s="792">
        <f>'calcul-DCC-TX-Encais'!AP12+'calcul-DCC-TX-Encais'!AT12</f>
        <v>605.03977104999331</v>
      </c>
      <c r="D33" s="1958">
        <f>'calcul-DCC-TX-Encais'!D28+'calcul-DCC-TX-Encais'!H28</f>
        <v>597.16843558999642</v>
      </c>
      <c r="E33" s="539">
        <f>'Feuil-saisie'!C219/1000</f>
        <v>863.43071900999223</v>
      </c>
      <c r="F33" s="678">
        <f t="shared" si="6"/>
        <v>44.587467714520336</v>
      </c>
      <c r="G33" s="668">
        <f t="shared" si="4"/>
        <v>39.275840681303016</v>
      </c>
      <c r="I33" s="677" t="s">
        <v>884</v>
      </c>
      <c r="J33" s="792">
        <f>'calcul-DCC-TX-Encais'!AZ12</f>
        <v>199.04887690300001</v>
      </c>
      <c r="K33" s="539">
        <f t="shared" si="7"/>
        <v>7.489606080000522</v>
      </c>
      <c r="L33" s="678">
        <f t="shared" si="8"/>
        <v>-95.02184080703671</v>
      </c>
      <c r="M33" s="678">
        <f t="shared" si="5"/>
        <v>0.34068810465893867</v>
      </c>
      <c r="N33" s="792">
        <f>'Feuil-saisie'!C230/1000</f>
        <v>7.3300276100004558</v>
      </c>
      <c r="O33" s="792">
        <f>'Feuil-saisie'!C231/1000</f>
        <v>0.15957847000006586</v>
      </c>
      <c r="P33" s="733">
        <f>'calcul-DCC-TX-Encais'!N28</f>
        <v>150.44930846300008</v>
      </c>
      <c r="Q33" s="2136"/>
      <c r="R33" s="430">
        <v>167.50665296</v>
      </c>
      <c r="S33" s="784">
        <f t="shared" si="9"/>
        <v>-160.01704687999947</v>
      </c>
    </row>
    <row r="34" spans="2:19">
      <c r="B34" s="677" t="s">
        <v>885</v>
      </c>
      <c r="C34" s="792">
        <f>'calcul-DCC-TX-Encais'!AP13+'calcul-DCC-TX-Encais'!AT13</f>
        <v>207.58485690999998</v>
      </c>
      <c r="D34" s="1958">
        <f>'calcul-DCC-TX-Encais'!D29+'calcul-DCC-TX-Encais'!H29</f>
        <v>199.91533082000001</v>
      </c>
      <c r="E34" s="539">
        <f>'Feuil-saisie'!C244/1000</f>
        <v>314.44103415999996</v>
      </c>
      <c r="F34" s="678">
        <f t="shared" si="6"/>
        <v>57.28710393057186</v>
      </c>
      <c r="G34" s="668">
        <f t="shared" si="4"/>
        <v>43.54532892589657</v>
      </c>
      <c r="I34" s="677" t="s">
        <v>885</v>
      </c>
      <c r="J34" s="792">
        <f>'calcul-DCC-TX-Encais'!AZ13</f>
        <v>67.145432670000005</v>
      </c>
      <c r="K34" s="539">
        <f t="shared" si="7"/>
        <v>35.642267599999997</v>
      </c>
      <c r="L34" s="678">
        <f t="shared" si="8"/>
        <v>-60.063960883723041</v>
      </c>
      <c r="M34" s="678">
        <f t="shared" si="5"/>
        <v>4.9359151564076074</v>
      </c>
      <c r="N34" s="792">
        <f>'Feuil-saisie'!C253/1000</f>
        <v>34.874698299999999</v>
      </c>
      <c r="O34" s="792">
        <f>'Feuil-saisie'!C254/1000</f>
        <v>0.76756930000000001</v>
      </c>
      <c r="P34" s="733">
        <f>'calcul-DCC-TX-Encais'!N29</f>
        <v>89.248379130000089</v>
      </c>
      <c r="Q34" s="2135"/>
      <c r="R34" s="430">
        <v>54.572361549999997</v>
      </c>
      <c r="S34" s="784">
        <f t="shared" si="9"/>
        <v>-18.93009395</v>
      </c>
    </row>
    <row r="35" spans="2:19" ht="14.4" thickBot="1">
      <c r="B35" s="738" t="s">
        <v>264</v>
      </c>
      <c r="C35" s="1944"/>
      <c r="D35" s="1944"/>
      <c r="E35" s="739"/>
      <c r="F35" s="740" t="e">
        <f t="shared" si="6"/>
        <v>#DIV/0!</v>
      </c>
      <c r="G35" s="741" t="e">
        <f t="shared" si="4"/>
        <v>#DIV/0!</v>
      </c>
      <c r="I35" s="738" t="s">
        <v>264</v>
      </c>
      <c r="J35" s="1944"/>
      <c r="K35" s="742"/>
      <c r="L35" s="678" t="e">
        <f t="shared" si="8"/>
        <v>#DIV/0!</v>
      </c>
      <c r="M35" s="740" t="e">
        <f t="shared" si="5"/>
        <v>#DIV/0!</v>
      </c>
      <c r="N35" s="539"/>
      <c r="O35" s="539"/>
      <c r="P35" s="742"/>
      <c r="R35" s="430">
        <f>Q35/1000000</f>
        <v>0</v>
      </c>
      <c r="S35" s="784">
        <f t="shared" si="9"/>
        <v>0</v>
      </c>
    </row>
    <row r="36" spans="2:19" ht="14.4" thickBot="1">
      <c r="B36" s="670" t="s">
        <v>49</v>
      </c>
      <c r="C36" s="781">
        <f>SUM(C25:C35)</f>
        <v>6499.1597160719939</v>
      </c>
      <c r="D36" s="749">
        <f>SUM(D25:D35)</f>
        <v>7031.3843128999961</v>
      </c>
      <c r="E36" s="671">
        <f>SUM(E25:E35)</f>
        <v>9900.8037034299905</v>
      </c>
      <c r="F36" s="679">
        <f>((E36-D36)/D36)*100</f>
        <v>40.808740680916394</v>
      </c>
      <c r="G36" s="680">
        <f t="shared" si="4"/>
        <v>31.366775245295308</v>
      </c>
      <c r="I36" s="670" t="s">
        <v>16</v>
      </c>
      <c r="J36" s="749">
        <f>SUM(J25:J35)</f>
        <v>3711.8981162698105</v>
      </c>
      <c r="K36" s="1094">
        <f>SUM(K25:K35)</f>
        <v>3803.8901828768066</v>
      </c>
      <c r="L36" s="679">
        <f>((K36-P36)/P36)*100</f>
        <v>43.149085968959319</v>
      </c>
      <c r="M36" s="743">
        <f t="shared" si="5"/>
        <v>12.051119484648183</v>
      </c>
      <c r="N36" s="781">
        <f>SUM(N25:N35)</f>
        <v>3738.6930126199954</v>
      </c>
      <c r="O36" s="671">
        <f>SUM(O25:O35)</f>
        <v>65.197170256811049</v>
      </c>
      <c r="P36" s="781">
        <f>SUM(P25:P35)</f>
        <v>2657.2926799558109</v>
      </c>
      <c r="R36" s="430">
        <f>SUM(R25:R35)</f>
        <v>1050.7603811200001</v>
      </c>
      <c r="S36" s="784">
        <f t="shared" si="9"/>
        <v>2753.1298017568065</v>
      </c>
    </row>
    <row r="37" spans="2:19">
      <c r="C37" s="123"/>
      <c r="D37" s="123">
        <v>368.25299999999999</v>
      </c>
      <c r="E37" s="582">
        <f>E35+E18+K35</f>
        <v>0</v>
      </c>
      <c r="I37" s="744"/>
    </row>
    <row r="38" spans="2:19">
      <c r="D38" s="123"/>
      <c r="J38" s="123"/>
      <c r="O38" s="123" t="e">
        <f>#REF!+#REF!</f>
        <v>#REF!</v>
      </c>
    </row>
    <row r="39" spans="2:19" ht="18" hidden="1">
      <c r="B39" s="666" t="s">
        <v>207</v>
      </c>
      <c r="H39" s="666" t="s">
        <v>250</v>
      </c>
    </row>
    <row r="40" spans="2:19" hidden="1"/>
    <row r="41" spans="2:19" hidden="1"/>
    <row r="42" spans="2:19" ht="18" hidden="1">
      <c r="B42" s="3118" t="s">
        <v>193</v>
      </c>
      <c r="C42" s="3118"/>
      <c r="D42" s="3118"/>
      <c r="E42" s="3118"/>
      <c r="F42" s="3118"/>
      <c r="G42" s="502"/>
      <c r="H42" s="3118" t="s">
        <v>193</v>
      </c>
      <c r="I42" s="3118"/>
      <c r="J42" s="3118"/>
      <c r="K42" s="3118"/>
      <c r="L42" s="3118"/>
      <c r="M42" s="3118"/>
      <c r="N42" s="3118"/>
      <c r="O42" s="3118"/>
    </row>
    <row r="43" spans="2:19" ht="48" hidden="1" customHeight="1">
      <c r="B43" s="107"/>
      <c r="C43" s="107" t="str">
        <f>C24</f>
        <v xml:space="preserve"> Solde au 31/12/ 2023</v>
      </c>
      <c r="D43" s="732">
        <f>D7</f>
        <v>45139</v>
      </c>
      <c r="E43" s="107">
        <f>E24</f>
        <v>45505</v>
      </c>
      <c r="F43" s="107" t="s">
        <v>489</v>
      </c>
      <c r="G43" s="115"/>
      <c r="H43" s="107"/>
      <c r="I43" s="107" t="s">
        <v>251</v>
      </c>
      <c r="J43" s="107" t="s">
        <v>246</v>
      </c>
      <c r="K43" s="107" t="s">
        <v>247</v>
      </c>
      <c r="L43" s="107" t="s">
        <v>257</v>
      </c>
      <c r="M43" s="107" t="s">
        <v>248</v>
      </c>
      <c r="N43" s="745" t="s">
        <v>189</v>
      </c>
      <c r="O43" s="107" t="s">
        <v>249</v>
      </c>
    </row>
    <row r="44" spans="2:19" hidden="1">
      <c r="B44" s="677" t="s">
        <v>6</v>
      </c>
      <c r="C44" s="539">
        <v>1379.6520068900027</v>
      </c>
      <c r="D44" s="733">
        <f t="shared" ref="D44:D53" si="10">D8+K8+D25+P25</f>
        <v>3841.1866529700005</v>
      </c>
      <c r="E44" s="539">
        <f>E8+L8+E25+K25</f>
        <v>4114.672694599999</v>
      </c>
      <c r="F44" s="678">
        <f>((E44-D44)/D44)*100</f>
        <v>7.1198321336074466</v>
      </c>
      <c r="G44" s="204"/>
      <c r="H44" s="677" t="s">
        <v>6</v>
      </c>
      <c r="I44" s="103">
        <f>'Crédit client'!I20-K44</f>
        <v>2782.9903727599994</v>
      </c>
      <c r="J44" s="103">
        <f>'Crédit client'!G35</f>
        <v>995.76656303999994</v>
      </c>
      <c r="K44" s="103">
        <f>'Gros Débit'!E3</f>
        <v>0</v>
      </c>
      <c r="L44" s="103">
        <f t="shared" ref="L44:L53" si="11">+K25</f>
        <v>335.91575879999999</v>
      </c>
      <c r="M44" s="678"/>
      <c r="N44" s="678"/>
      <c r="O44" s="746">
        <f>SUM(I44:N44)</f>
        <v>4114.672694599999</v>
      </c>
      <c r="P44" s="747">
        <f>O44-E44</f>
        <v>0</v>
      </c>
    </row>
    <row r="45" spans="2:19" hidden="1">
      <c r="B45" s="677" t="s">
        <v>7</v>
      </c>
      <c r="C45" s="539">
        <v>621.45100000000002</v>
      </c>
      <c r="D45" s="733">
        <f t="shared" si="10"/>
        <v>1560.7196584800008</v>
      </c>
      <c r="E45" s="539">
        <f t="shared" ref="E45:E53" si="12">E9+L9+E26+K26</f>
        <v>1812.2602773199997</v>
      </c>
      <c r="F45" s="678">
        <f t="shared" ref="F45:F55" si="13">((E45-D45)/D45)*100</f>
        <v>16.116963573392582</v>
      </c>
      <c r="G45" s="204"/>
      <c r="H45" s="677" t="s">
        <v>7</v>
      </c>
      <c r="I45" s="103">
        <f>'Crédit client'!I21-K45</f>
        <v>1545.7190473199994</v>
      </c>
      <c r="J45" s="103">
        <f>'Crédit client'!G36</f>
        <v>119.42922999999999</v>
      </c>
      <c r="K45" s="103">
        <f>'Gros Débit'!E4</f>
        <v>0</v>
      </c>
      <c r="L45" s="103">
        <f t="shared" si="11"/>
        <v>147.11199999999999</v>
      </c>
      <c r="M45" s="678"/>
      <c r="N45" s="678"/>
      <c r="O45" s="746">
        <f>SUM(I45:N45)</f>
        <v>1812.2602773199994</v>
      </c>
      <c r="P45" s="747">
        <f>O45-E45</f>
        <v>0</v>
      </c>
    </row>
    <row r="46" spans="2:19" hidden="1">
      <c r="B46" s="677" t="s">
        <v>8</v>
      </c>
      <c r="C46" s="539">
        <v>993.52259874999959</v>
      </c>
      <c r="D46" s="733">
        <f t="shared" si="10"/>
        <v>1624.1791694299998</v>
      </c>
      <c r="E46" s="539">
        <f t="shared" si="12"/>
        <v>2264.9225196999973</v>
      </c>
      <c r="F46" s="678">
        <f t="shared" si="13"/>
        <v>39.450287402396881</v>
      </c>
      <c r="G46" s="204"/>
      <c r="H46" s="677" t="s">
        <v>8</v>
      </c>
      <c r="I46" s="103">
        <f>'Crédit client'!I22-K46</f>
        <v>1067.797164730001</v>
      </c>
      <c r="J46" s="103">
        <f>'Crédit client'!G37</f>
        <v>420.31262662000006</v>
      </c>
      <c r="K46" s="103">
        <f>'Gros Débit'!E5</f>
        <v>0</v>
      </c>
      <c r="L46" s="103">
        <f t="shared" si="11"/>
        <v>776.81272834999629</v>
      </c>
      <c r="M46" s="678"/>
      <c r="N46" s="678"/>
      <c r="O46" s="746">
        <f t="shared" ref="O46:O53" si="14">SUM(I46:N46)</f>
        <v>2264.9225196999973</v>
      </c>
      <c r="P46" s="747">
        <f t="shared" ref="P46:P53" si="15">O46-E46</f>
        <v>0</v>
      </c>
    </row>
    <row r="47" spans="2:19" hidden="1">
      <c r="B47" s="677" t="s">
        <v>4</v>
      </c>
      <c r="C47" s="539">
        <v>1734.1385575139993</v>
      </c>
      <c r="D47" s="733">
        <f t="shared" si="10"/>
        <v>2940.5322500099996</v>
      </c>
      <c r="E47" s="539">
        <f t="shared" si="12"/>
        <v>3685.2253708000007</v>
      </c>
      <c r="F47" s="678">
        <f t="shared" si="13"/>
        <v>25.325113192942151</v>
      </c>
      <c r="G47" s="204"/>
      <c r="H47" s="677" t="s">
        <v>4</v>
      </c>
      <c r="I47" s="103">
        <f>'Crédit client'!I23-K47</f>
        <v>3013.7642714600006</v>
      </c>
      <c r="J47" s="103">
        <f>'Crédit client'!G38</f>
        <v>657.40069647999997</v>
      </c>
      <c r="K47" s="103">
        <f>'Gros Débit'!E6</f>
        <v>0</v>
      </c>
      <c r="L47" s="103">
        <f t="shared" si="11"/>
        <v>14.06040285999997</v>
      </c>
      <c r="M47" s="678"/>
      <c r="N47" s="678"/>
      <c r="O47" s="746">
        <f t="shared" si="14"/>
        <v>3685.2253708000007</v>
      </c>
      <c r="P47" s="747">
        <f t="shared" si="15"/>
        <v>0</v>
      </c>
    </row>
    <row r="48" spans="2:19" hidden="1">
      <c r="B48" s="677" t="s">
        <v>3</v>
      </c>
      <c r="C48" s="539">
        <v>1617.0628810930007</v>
      </c>
      <c r="D48" s="733">
        <f t="shared" si="10"/>
        <v>4878.3452628760006</v>
      </c>
      <c r="E48" s="539">
        <f t="shared" si="12"/>
        <v>6655.7775822199983</v>
      </c>
      <c r="F48" s="678">
        <f t="shared" si="13"/>
        <v>36.435148058711256</v>
      </c>
      <c r="G48" s="204"/>
      <c r="H48" s="677" t="s">
        <v>3</v>
      </c>
      <c r="I48" s="103">
        <f>'Crédit client'!I24-K48</f>
        <v>3461.2667023899999</v>
      </c>
      <c r="J48" s="103">
        <f>'Crédit client'!G39</f>
        <v>1034.68406151</v>
      </c>
      <c r="K48" s="103">
        <f>'Gros Débit'!E7</f>
        <v>0</v>
      </c>
      <c r="L48" s="103">
        <f t="shared" si="11"/>
        <v>2159.8268183199984</v>
      </c>
      <c r="M48" s="678"/>
      <c r="N48" s="678"/>
      <c r="O48" s="746">
        <f t="shared" si="14"/>
        <v>6655.7775822199983</v>
      </c>
      <c r="P48" s="747">
        <f t="shared" si="15"/>
        <v>0</v>
      </c>
    </row>
    <row r="49" spans="2:17" hidden="1">
      <c r="B49" s="677" t="s">
        <v>397</v>
      </c>
      <c r="C49" s="539">
        <v>1395.7719999999999</v>
      </c>
      <c r="D49" s="733">
        <f t="shared" si="10"/>
        <v>3416.3719672265329</v>
      </c>
      <c r="E49" s="539">
        <f t="shared" si="12"/>
        <v>3826.7810359065315</v>
      </c>
      <c r="F49" s="678">
        <f t="shared" si="13"/>
        <v>12.01300890585329</v>
      </c>
      <c r="G49" s="204"/>
      <c r="H49" s="677" t="s">
        <v>397</v>
      </c>
      <c r="I49" s="103">
        <f>'Crédit client'!I25-K49</f>
        <v>2953.6410928565283</v>
      </c>
      <c r="J49" s="103">
        <f>'Crédit client'!G40</f>
        <v>683.098045830003</v>
      </c>
      <c r="K49" s="103">
        <f>'Gros Débit'!E9</f>
        <v>0</v>
      </c>
      <c r="L49" s="103">
        <f t="shared" si="11"/>
        <v>190.04189722000001</v>
      </c>
      <c r="M49" s="678"/>
      <c r="N49" s="678"/>
      <c r="O49" s="746">
        <f t="shared" si="14"/>
        <v>3826.7810359065311</v>
      </c>
      <c r="P49" s="747">
        <f t="shared" si="15"/>
        <v>0</v>
      </c>
    </row>
    <row r="50" spans="2:17" hidden="1">
      <c r="B50" s="677" t="s">
        <v>399</v>
      </c>
      <c r="C50" s="539">
        <v>1006.6915377499992</v>
      </c>
      <c r="D50" s="733">
        <f t="shared" si="10"/>
        <v>3204.3883923720036</v>
      </c>
      <c r="E50" s="539">
        <f t="shared" si="12"/>
        <v>3704.6532688919992</v>
      </c>
      <c r="F50" s="678">
        <f t="shared" si="13"/>
        <v>15.611867703392893</v>
      </c>
      <c r="G50" s="204"/>
      <c r="H50" s="677" t="s">
        <v>399</v>
      </c>
      <c r="I50" s="103">
        <f>'Crédit client'!I26-K50</f>
        <v>2956.2478543919997</v>
      </c>
      <c r="J50" s="103">
        <f>'Crédit client'!G41</f>
        <v>700.74579956999992</v>
      </c>
      <c r="K50" s="103">
        <f>'Gros Débit'!E10</f>
        <v>0</v>
      </c>
      <c r="L50" s="103">
        <f t="shared" si="11"/>
        <v>47.659614929999982</v>
      </c>
      <c r="M50" s="678"/>
      <c r="N50" s="678"/>
      <c r="O50" s="746">
        <f>SUM(I50:N50)</f>
        <v>3704.6532688919992</v>
      </c>
      <c r="P50" s="747">
        <f t="shared" si="15"/>
        <v>0</v>
      </c>
    </row>
    <row r="51" spans="2:17" hidden="1">
      <c r="B51" s="677" t="s">
        <v>883</v>
      </c>
      <c r="C51" s="539">
        <v>540.66812341699983</v>
      </c>
      <c r="D51" s="733">
        <f t="shared" si="10"/>
        <v>2310.5848888269611</v>
      </c>
      <c r="E51" s="539">
        <f t="shared" si="12"/>
        <v>2579.8515247598111</v>
      </c>
      <c r="F51" s="678">
        <f t="shared" si="13"/>
        <v>11.65361364712947</v>
      </c>
      <c r="G51" s="204"/>
      <c r="H51" s="677" t="s">
        <v>883</v>
      </c>
      <c r="I51" s="103">
        <f>'Crédit client'!I27-K51</f>
        <v>1522.8889786129998</v>
      </c>
      <c r="J51" s="103">
        <f>'Crédit client'!G42</f>
        <v>967.63345743000013</v>
      </c>
      <c r="K51" s="103">
        <f>'Gros Débit'!E11</f>
        <v>0</v>
      </c>
      <c r="L51" s="103">
        <f t="shared" si="11"/>
        <v>89.329088716810901</v>
      </c>
      <c r="M51" s="678"/>
      <c r="N51" s="678"/>
      <c r="O51" s="746">
        <f t="shared" si="14"/>
        <v>2579.8515247598111</v>
      </c>
      <c r="P51" s="747">
        <f t="shared" si="15"/>
        <v>0</v>
      </c>
    </row>
    <row r="52" spans="2:17" hidden="1">
      <c r="B52" s="677" t="s">
        <v>884</v>
      </c>
      <c r="C52" s="539">
        <v>737.4894414000006</v>
      </c>
      <c r="D52" s="733">
        <f t="shared" si="10"/>
        <v>2101.5858265429979</v>
      </c>
      <c r="E52" s="539">
        <f t="shared" si="12"/>
        <v>2198.3761621199933</v>
      </c>
      <c r="F52" s="678">
        <f t="shared" si="13"/>
        <v>4.6055856655738205</v>
      </c>
      <c r="G52" s="204"/>
      <c r="H52" s="677" t="s">
        <v>884</v>
      </c>
      <c r="I52" s="103">
        <f>'Crédit client'!I28-K52</f>
        <v>1036.8270319600024</v>
      </c>
      <c r="J52" s="103">
        <f>'Crédit client'!G43</f>
        <v>1154.0595240799903</v>
      </c>
      <c r="K52" s="103">
        <f>'Gros Débit'!E12</f>
        <v>0</v>
      </c>
      <c r="L52" s="103">
        <f t="shared" si="11"/>
        <v>7.489606080000522</v>
      </c>
      <c r="M52" s="678"/>
      <c r="N52" s="678"/>
      <c r="O52" s="746">
        <f>SUM(I52:N52)</f>
        <v>2198.3761621199933</v>
      </c>
      <c r="P52" s="747">
        <f t="shared" si="15"/>
        <v>0</v>
      </c>
    </row>
    <row r="53" spans="2:17" ht="14.4" hidden="1" thickBot="1">
      <c r="B53" s="677" t="s">
        <v>885</v>
      </c>
      <c r="C53" s="539">
        <v>1361.17974022</v>
      </c>
      <c r="D53" s="733">
        <f t="shared" si="10"/>
        <v>654.48181721999993</v>
      </c>
      <c r="E53" s="539">
        <f t="shared" si="12"/>
        <v>722.1004914099999</v>
      </c>
      <c r="F53" s="678">
        <f t="shared" si="13"/>
        <v>10.331635258748586</v>
      </c>
      <c r="G53" s="204"/>
      <c r="H53" s="677" t="s">
        <v>885</v>
      </c>
      <c r="I53" s="103">
        <f>'Crédit client'!I29-K53</f>
        <v>271.42447512000001</v>
      </c>
      <c r="J53" s="103">
        <f>'Crédit client'!G44</f>
        <v>415.03374869000004</v>
      </c>
      <c r="K53" s="103">
        <f>'Gros Débit'!E13</f>
        <v>0</v>
      </c>
      <c r="L53" s="103">
        <f t="shared" si="11"/>
        <v>35.642267599999997</v>
      </c>
      <c r="M53" s="678"/>
      <c r="N53" s="678"/>
      <c r="O53" s="746">
        <f t="shared" si="14"/>
        <v>722.10049141000002</v>
      </c>
      <c r="P53" s="747">
        <f t="shared" si="15"/>
        <v>0</v>
      </c>
    </row>
    <row r="54" spans="2:17" ht="14.4" hidden="1" thickBot="1">
      <c r="B54" s="738" t="s">
        <v>264</v>
      </c>
      <c r="C54" s="748">
        <f>C18+C35+J35</f>
        <v>0</v>
      </c>
      <c r="D54" s="748">
        <f>D18+D35+K35</f>
        <v>0</v>
      </c>
      <c r="E54" s="748">
        <f>E18+E35+K35</f>
        <v>0</v>
      </c>
      <c r="F54" s="740" t="e">
        <f t="shared" si="13"/>
        <v>#DIV/0!</v>
      </c>
      <c r="H54" s="670" t="s">
        <v>16</v>
      </c>
      <c r="I54" s="671">
        <f>SUM(I44:I53)</f>
        <v>20612.566991601525</v>
      </c>
      <c r="J54" s="671">
        <f>SUM(J44:J53)</f>
        <v>7148.1637532499926</v>
      </c>
      <c r="K54" s="671">
        <f>SUM(K44:K53)</f>
        <v>0</v>
      </c>
      <c r="L54" s="749">
        <f>SUM(L44:L53)</f>
        <v>3803.8901828768066</v>
      </c>
      <c r="M54" s="750"/>
      <c r="N54" s="750">
        <f>E54</f>
        <v>0</v>
      </c>
      <c r="O54" s="750">
        <f>SUM(I54:N54)</f>
        <v>31564.620927728323</v>
      </c>
    </row>
    <row r="55" spans="2:17" ht="14.4" hidden="1" thickBot="1">
      <c r="B55" s="670" t="s">
        <v>16</v>
      </c>
      <c r="C55" s="671">
        <f>SUM(C44:C54)</f>
        <v>11387.627887034003</v>
      </c>
      <c r="D55" s="671">
        <f>SUM(D44:D54)</f>
        <v>26532.375885954494</v>
      </c>
      <c r="E55" s="671">
        <f>SUM(E44:E54)</f>
        <v>31564.620927728327</v>
      </c>
      <c r="F55" s="743">
        <f t="shared" si="13"/>
        <v>18.966432042890528</v>
      </c>
      <c r="H55" s="751" t="s">
        <v>252</v>
      </c>
      <c r="I55" s="752">
        <f t="shared" ref="I55:N55" si="16">(I54/$O$54)*100</f>
        <v>65.302754748098891</v>
      </c>
      <c r="J55" s="752">
        <f t="shared" si="16"/>
        <v>22.646125767252922</v>
      </c>
      <c r="K55" s="752">
        <f t="shared" si="16"/>
        <v>0</v>
      </c>
      <c r="L55" s="752">
        <f t="shared" si="16"/>
        <v>12.051119484648185</v>
      </c>
      <c r="M55" s="753">
        <f t="shared" si="16"/>
        <v>0</v>
      </c>
      <c r="N55" s="753">
        <f t="shared" si="16"/>
        <v>0</v>
      </c>
      <c r="O55" s="754"/>
    </row>
    <row r="56" spans="2:17" ht="18" hidden="1">
      <c r="B56" s="685"/>
      <c r="C56" s="683"/>
      <c r="D56" s="683"/>
      <c r="E56" s="683">
        <f>E55-P36</f>
        <v>28907.328247772515</v>
      </c>
      <c r="F56" s="204"/>
      <c r="G56" s="666"/>
    </row>
    <row r="57" spans="2:17" ht="18" hidden="1">
      <c r="C57" s="683"/>
      <c r="F57" s="123"/>
      <c r="G57" s="666"/>
      <c r="K57" s="582"/>
    </row>
    <row r="58" spans="2:17" hidden="1">
      <c r="G58" s="123" t="e">
        <f>#REF!+#REF!</f>
        <v>#REF!</v>
      </c>
      <c r="H58" s="755"/>
      <c r="I58" s="755"/>
      <c r="J58" s="755"/>
    </row>
    <row r="59" spans="2:17" ht="18" hidden="1">
      <c r="B59" s="666" t="s">
        <v>215</v>
      </c>
    </row>
    <row r="60" spans="2:17" ht="18" hidden="1">
      <c r="B60" s="666" t="s">
        <v>224</v>
      </c>
    </row>
    <row r="61" spans="2:17" ht="38.25" hidden="1" customHeight="1" thickBot="1">
      <c r="B61" s="3126" t="s">
        <v>194</v>
      </c>
      <c r="C61" s="3126"/>
      <c r="D61" s="3126"/>
      <c r="E61" s="3126"/>
      <c r="F61" s="3126"/>
      <c r="G61" s="3126"/>
      <c r="H61" s="3126"/>
      <c r="I61" s="3126"/>
      <c r="J61" s="3126"/>
      <c r="K61" s="3126"/>
      <c r="L61" s="3126"/>
    </row>
    <row r="62" spans="2:17" ht="14.4" hidden="1" thickBot="1">
      <c r="B62" s="3127"/>
      <c r="C62" s="3132" t="str">
        <f>C43</f>
        <v xml:space="preserve"> Solde au 31/12/ 2023</v>
      </c>
      <c r="D62" s="756">
        <f>E43</f>
        <v>45505</v>
      </c>
      <c r="E62" s="757"/>
      <c r="F62" s="757"/>
      <c r="G62" s="758"/>
      <c r="H62" s="3134" t="s">
        <v>38</v>
      </c>
      <c r="I62" s="3129" t="s">
        <v>253</v>
      </c>
      <c r="J62" s="3130"/>
      <c r="K62" s="3130"/>
      <c r="L62" s="3131"/>
    </row>
    <row r="63" spans="2:17" ht="14.4" hidden="1" thickBot="1">
      <c r="B63" s="3128"/>
      <c r="C63" s="3133"/>
      <c r="D63" s="751" t="s">
        <v>17</v>
      </c>
      <c r="E63" s="759" t="s">
        <v>185</v>
      </c>
      <c r="F63" s="759" t="s">
        <v>23</v>
      </c>
      <c r="G63" s="760" t="s">
        <v>20</v>
      </c>
      <c r="H63" s="3135"/>
      <c r="I63" s="751" t="s">
        <v>17</v>
      </c>
      <c r="J63" s="759" t="s">
        <v>185</v>
      </c>
      <c r="K63" s="759" t="s">
        <v>23</v>
      </c>
      <c r="L63" s="760" t="s">
        <v>20</v>
      </c>
      <c r="N63" s="761" t="s">
        <v>260</v>
      </c>
    </row>
    <row r="64" spans="2:17" hidden="1">
      <c r="B64" s="677" t="s">
        <v>6</v>
      </c>
      <c r="C64" s="762">
        <v>732.92210538999689</v>
      </c>
      <c r="D64" s="523">
        <f t="shared" ref="D64:D73" si="17">E8</f>
        <v>1672.5802192600001</v>
      </c>
      <c r="E64" s="99">
        <f>'Crédit client'!G20</f>
        <v>0.98603330000000278</v>
      </c>
      <c r="F64" s="99">
        <f>'Crédit client'!H20</f>
        <v>1109.4241201999994</v>
      </c>
      <c r="G64" s="763">
        <f>SUM(D64:F64)</f>
        <v>2782.9903727599994</v>
      </c>
      <c r="H64" s="764">
        <f t="shared" ref="H64:H74" si="18">((G64-C64)/C64)*100</f>
        <v>279.71161632232884</v>
      </c>
      <c r="I64" s="765">
        <f t="shared" ref="I64:I73" si="19">G8</f>
        <v>11.403457341806671</v>
      </c>
      <c r="J64" s="766">
        <f t="shared" ref="J64:J73" si="20">(E64/E44)*100</f>
        <v>2.3963833169380642E-2</v>
      </c>
      <c r="K64" s="766">
        <f t="shared" ref="K64:K73" si="21">(F64/E44)*100</f>
        <v>26.962633544485371</v>
      </c>
      <c r="L64" s="767">
        <f t="shared" ref="L64:L73" si="22">(G64/E44)*100</f>
        <v>67.635765450125135</v>
      </c>
      <c r="N64" s="768">
        <f t="shared" ref="N64:N73" si="23">+K44</f>
        <v>0</v>
      </c>
      <c r="O64" s="769">
        <f>M65+K25</f>
        <v>4114.672694599999</v>
      </c>
      <c r="P64" s="769">
        <f t="shared" ref="P64:P73" si="24">O64-N64</f>
        <v>4114.672694599999</v>
      </c>
      <c r="Q64" s="770" t="s">
        <v>6</v>
      </c>
    </row>
    <row r="65" spans="2:17" hidden="1">
      <c r="B65" s="677" t="s">
        <v>7</v>
      </c>
      <c r="C65" s="762">
        <v>336.56399999999996</v>
      </c>
      <c r="D65" s="108">
        <f t="shared" si="17"/>
        <v>1016.6158273199995</v>
      </c>
      <c r="E65" s="103">
        <f>'Crédit client'!G21</f>
        <v>4.7482200000000008</v>
      </c>
      <c r="F65" s="103">
        <f>'Crédit client'!H21</f>
        <v>524.35500000000002</v>
      </c>
      <c r="G65" s="771">
        <f t="shared" ref="G65:G73" si="25">SUM(D65:F65)</f>
        <v>1545.7190473199994</v>
      </c>
      <c r="H65" s="772">
        <f t="shared" si="18"/>
        <v>359.26452244446813</v>
      </c>
      <c r="I65" s="773">
        <f t="shared" si="19"/>
        <v>6.9311684344671818</v>
      </c>
      <c r="J65" s="774">
        <f t="shared" si="20"/>
        <v>0.26200541166314956</v>
      </c>
      <c r="K65" s="774">
        <f t="shared" si="21"/>
        <v>28.933757836121909</v>
      </c>
      <c r="L65" s="775">
        <f t="shared" si="22"/>
        <v>85.292331717706361</v>
      </c>
      <c r="M65" s="769">
        <f>G64+F83</f>
        <v>3778.7569357999992</v>
      </c>
      <c r="N65" s="768">
        <f t="shared" si="23"/>
        <v>0</v>
      </c>
      <c r="O65" s="769">
        <f>M66+K26</f>
        <v>1812.2602773199994</v>
      </c>
      <c r="P65" s="769">
        <f t="shared" si="24"/>
        <v>1812.2602773199994</v>
      </c>
      <c r="Q65" s="770" t="s">
        <v>7</v>
      </c>
    </row>
    <row r="66" spans="2:17" hidden="1">
      <c r="B66" s="677" t="s">
        <v>8</v>
      </c>
      <c r="C66" s="762">
        <v>279.27026535000027</v>
      </c>
      <c r="D66" s="108">
        <f t="shared" si="17"/>
        <v>558.77068796000083</v>
      </c>
      <c r="E66" s="103">
        <f>'Crédit client'!G22</f>
        <v>13.566429179999991</v>
      </c>
      <c r="F66" s="103">
        <f>'Crédit client'!H22</f>
        <v>495.46004759000004</v>
      </c>
      <c r="G66" s="771">
        <f t="shared" si="25"/>
        <v>1067.797164730001</v>
      </c>
      <c r="H66" s="772">
        <f t="shared" si="18"/>
        <v>282.35261580453823</v>
      </c>
      <c r="I66" s="773">
        <f t="shared" si="19"/>
        <v>3.8096335414172025</v>
      </c>
      <c r="J66" s="774">
        <f t="shared" si="20"/>
        <v>0.59897983538072408</v>
      </c>
      <c r="K66" s="774">
        <f t="shared" si="21"/>
        <v>21.875364092173307</v>
      </c>
      <c r="L66" s="775">
        <f t="shared" si="22"/>
        <v>47.144975399486825</v>
      </c>
      <c r="M66" s="769">
        <f>G65+F84</f>
        <v>1665.1482773199994</v>
      </c>
      <c r="N66" s="768">
        <f t="shared" si="23"/>
        <v>0</v>
      </c>
      <c r="O66" s="769">
        <f>M67+K27</f>
        <v>2264.9225196999973</v>
      </c>
      <c r="P66" s="769">
        <f t="shared" si="24"/>
        <v>2264.9225196999973</v>
      </c>
      <c r="Q66" s="770" t="s">
        <v>8</v>
      </c>
    </row>
    <row r="67" spans="2:17" hidden="1">
      <c r="B67" s="677" t="s">
        <v>4</v>
      </c>
      <c r="C67" s="762">
        <v>588.40827259000002</v>
      </c>
      <c r="D67" s="108">
        <f t="shared" si="17"/>
        <v>1689.0696134900004</v>
      </c>
      <c r="E67" s="103">
        <f>'Crédit client'!G23</f>
        <v>8.7440808899999976</v>
      </c>
      <c r="F67" s="103">
        <f>'Crédit client'!H23</f>
        <v>1315.9505770800001</v>
      </c>
      <c r="G67" s="771">
        <f t="shared" si="25"/>
        <v>3013.7642714600006</v>
      </c>
      <c r="H67" s="772">
        <f t="shared" si="18"/>
        <v>412.18931001671638</v>
      </c>
      <c r="I67" s="773">
        <f t="shared" si="19"/>
        <v>11.51588011324016</v>
      </c>
      <c r="J67" s="774">
        <f t="shared" si="20"/>
        <v>0.23727397947718468</v>
      </c>
      <c r="K67" s="774">
        <f t="shared" si="21"/>
        <v>35.708822247534059</v>
      </c>
      <c r="L67" s="775">
        <f t="shared" si="22"/>
        <v>81.779646241981737</v>
      </c>
      <c r="M67" s="769">
        <f>G66+F85</f>
        <v>1488.1097913500012</v>
      </c>
      <c r="N67" s="768">
        <f t="shared" si="23"/>
        <v>0</v>
      </c>
      <c r="O67" s="769">
        <f>M68+K28</f>
        <v>3685.2253708000007</v>
      </c>
      <c r="P67" s="769">
        <f t="shared" si="24"/>
        <v>3685.2253708000007</v>
      </c>
      <c r="Q67" s="770" t="s">
        <v>4</v>
      </c>
    </row>
    <row r="68" spans="2:17" hidden="1">
      <c r="B68" s="677" t="s">
        <v>3</v>
      </c>
      <c r="C68" s="762">
        <v>1112.0279510600001</v>
      </c>
      <c r="D68" s="108">
        <f t="shared" si="17"/>
        <v>2863.9937023899997</v>
      </c>
      <c r="E68" s="103">
        <f>'Crédit client'!G24</f>
        <v>17.042999999999999</v>
      </c>
      <c r="F68" s="103">
        <f>'Crédit client'!H24</f>
        <v>580.23</v>
      </c>
      <c r="G68" s="771">
        <f t="shared" si="25"/>
        <v>3461.2667023899999</v>
      </c>
      <c r="H68" s="772">
        <f t="shared" si="18"/>
        <v>211.25716751010387</v>
      </c>
      <c r="I68" s="773">
        <f t="shared" si="19"/>
        <v>19.526375857091523</v>
      </c>
      <c r="J68" s="774">
        <f t="shared" si="20"/>
        <v>0.25606324414337472</v>
      </c>
      <c r="K68" s="774">
        <f t="shared" si="21"/>
        <v>8.7176891479968521</v>
      </c>
      <c r="L68" s="775">
        <f t="shared" si="22"/>
        <v>52.003941832976828</v>
      </c>
      <c r="M68" s="769">
        <f>G67+F86</f>
        <v>3671.1649679400007</v>
      </c>
      <c r="N68" s="768">
        <f t="shared" si="23"/>
        <v>0</v>
      </c>
      <c r="O68" s="769" t="e">
        <f>#REF!+K29</f>
        <v>#REF!</v>
      </c>
      <c r="P68" s="769" t="e">
        <f t="shared" si="24"/>
        <v>#REF!</v>
      </c>
      <c r="Q68" s="770" t="s">
        <v>3</v>
      </c>
    </row>
    <row r="69" spans="2:17" hidden="1">
      <c r="B69" s="677" t="s">
        <v>397</v>
      </c>
      <c r="C69" s="762">
        <v>945.46100000000001</v>
      </c>
      <c r="D69" s="108">
        <f t="shared" si="17"/>
        <v>2368.0157871499987</v>
      </c>
      <c r="E69" s="103">
        <f>'Crédit client'!G25</f>
        <v>1.4198499065299988</v>
      </c>
      <c r="F69" s="103">
        <f>'Crédit client'!H25</f>
        <v>584.20545579999964</v>
      </c>
      <c r="G69" s="771">
        <f t="shared" si="25"/>
        <v>2953.6410928565283</v>
      </c>
      <c r="H69" s="772">
        <f t="shared" si="18"/>
        <v>212.4022136139437</v>
      </c>
      <c r="I69" s="773">
        <f t="shared" si="19"/>
        <v>16.144856134575683</v>
      </c>
      <c r="J69" s="774">
        <f t="shared" si="20"/>
        <v>3.7102982721185361E-2</v>
      </c>
      <c r="K69" s="774">
        <f t="shared" si="21"/>
        <v>15.266236827203425</v>
      </c>
      <c r="L69" s="775">
        <f t="shared" si="22"/>
        <v>77.183436029985344</v>
      </c>
      <c r="M69" s="769" t="e">
        <f>#REF!+#REF!</f>
        <v>#REF!</v>
      </c>
      <c r="N69" s="768">
        <f t="shared" si="23"/>
        <v>0</v>
      </c>
      <c r="O69" s="769">
        <f>M70+K30</f>
        <v>3826.7810359065311</v>
      </c>
      <c r="P69" s="769">
        <f t="shared" si="24"/>
        <v>3826.7810359065311</v>
      </c>
      <c r="Q69" s="770" t="s">
        <v>9</v>
      </c>
    </row>
    <row r="70" spans="2:17" hidden="1">
      <c r="B70" s="677" t="s">
        <v>399</v>
      </c>
      <c r="C70" s="762">
        <v>388.05372390399975</v>
      </c>
      <c r="D70" s="108">
        <f t="shared" si="17"/>
        <v>1855.6029734520002</v>
      </c>
      <c r="E70" s="103">
        <f>'Crédit client'!G26</f>
        <v>16.490000000000016</v>
      </c>
      <c r="F70" s="103">
        <f>'Crédit client'!H26</f>
        <v>1084.1548809399994</v>
      </c>
      <c r="G70" s="771">
        <f t="shared" si="25"/>
        <v>2956.2478543919997</v>
      </c>
      <c r="H70" s="772">
        <f t="shared" si="18"/>
        <v>661.81406652944361</v>
      </c>
      <c r="I70" s="773">
        <f t="shared" si="19"/>
        <v>12.651285186459665</v>
      </c>
      <c r="J70" s="774">
        <f t="shared" si="20"/>
        <v>0.44511588003300245</v>
      </c>
      <c r="K70" s="774">
        <f t="shared" si="21"/>
        <v>29.264678830908576</v>
      </c>
      <c r="L70" s="775">
        <f t="shared" si="22"/>
        <v>79.798233190016305</v>
      </c>
      <c r="M70" s="769">
        <f>G69+F88</f>
        <v>3636.7391386865311</v>
      </c>
      <c r="N70" s="768">
        <f t="shared" si="23"/>
        <v>0</v>
      </c>
      <c r="O70" s="769">
        <f>M71+K31</f>
        <v>3704.6532688919992</v>
      </c>
      <c r="P70" s="769">
        <f t="shared" si="24"/>
        <v>3704.6532688919992</v>
      </c>
      <c r="Q70" s="770" t="s">
        <v>5</v>
      </c>
    </row>
    <row r="71" spans="2:17" hidden="1">
      <c r="B71" s="677" t="s">
        <v>883</v>
      </c>
      <c r="C71" s="762">
        <v>308.72451392702004</v>
      </c>
      <c r="D71" s="108">
        <f t="shared" si="17"/>
        <v>1399.0475832529999</v>
      </c>
      <c r="E71" s="103">
        <f>'Crédit client'!H27</f>
        <v>123.11480054000009</v>
      </c>
      <c r="F71" s="103">
        <f>'Crédit client'!D27</f>
        <v>683.30964702000006</v>
      </c>
      <c r="G71" s="771">
        <f t="shared" si="25"/>
        <v>2205.4720308129999</v>
      </c>
      <c r="H71" s="772">
        <f t="shared" si="18"/>
        <v>614.38189431706598</v>
      </c>
      <c r="I71" s="773">
        <f t="shared" si="19"/>
        <v>9.5385436531360046</v>
      </c>
      <c r="J71" s="774">
        <f t="shared" si="20"/>
        <v>4.7721661250045111</v>
      </c>
      <c r="K71" s="774">
        <f t="shared" si="21"/>
        <v>26.486394292928058</v>
      </c>
      <c r="L71" s="775">
        <f t="shared" si="22"/>
        <v>85.488331775927819</v>
      </c>
      <c r="M71" s="769">
        <f>G70+F89</f>
        <v>3656.9936539619994</v>
      </c>
      <c r="N71" s="768">
        <f t="shared" si="23"/>
        <v>0</v>
      </c>
      <c r="O71" s="769">
        <f>M72+K32</f>
        <v>3262.4345769598108</v>
      </c>
      <c r="P71" s="769">
        <f t="shared" si="24"/>
        <v>3262.4345769598108</v>
      </c>
      <c r="Q71" s="770" t="s">
        <v>11</v>
      </c>
    </row>
    <row r="72" spans="2:17" hidden="1">
      <c r="B72" s="677" t="s">
        <v>884</v>
      </c>
      <c r="C72" s="762">
        <v>493.77480000000099</v>
      </c>
      <c r="D72" s="108">
        <f t="shared" si="17"/>
        <v>983.32848568000134</v>
      </c>
      <c r="E72" s="103">
        <f>'Crédit client'!G28</f>
        <v>3.2725944299998666</v>
      </c>
      <c r="F72" s="103">
        <f>'Crédit client'!H28</f>
        <v>50.225951850001231</v>
      </c>
      <c r="G72" s="771">
        <f t="shared" si="25"/>
        <v>1036.8270319600024</v>
      </c>
      <c r="H72" s="772">
        <f t="shared" si="18"/>
        <v>109.97973812353328</v>
      </c>
      <c r="I72" s="773">
        <f t="shared" si="19"/>
        <v>6.7042192119170032</v>
      </c>
      <c r="J72" s="774">
        <f t="shared" si="20"/>
        <v>0.14886417012655179</v>
      </c>
      <c r="K72" s="774">
        <f t="shared" si="21"/>
        <v>2.2846841553069828</v>
      </c>
      <c r="L72" s="775">
        <f t="shared" si="22"/>
        <v>47.163313077419076</v>
      </c>
      <c r="M72" s="769">
        <f>G71+F90</f>
        <v>3173.1054882429999</v>
      </c>
      <c r="N72" s="768">
        <f t="shared" si="23"/>
        <v>0</v>
      </c>
      <c r="O72" s="769">
        <f>M73+K33</f>
        <v>2198.3761621199933</v>
      </c>
      <c r="P72" s="769">
        <f t="shared" si="24"/>
        <v>2198.3761621199933</v>
      </c>
      <c r="Q72" s="770" t="s">
        <v>10</v>
      </c>
    </row>
    <row r="73" spans="2:17" ht="14.4" hidden="1" thickBot="1">
      <c r="B73" s="677" t="s">
        <v>885</v>
      </c>
      <c r="C73" s="762">
        <v>539.55341519999979</v>
      </c>
      <c r="D73" s="108">
        <f t="shared" si="17"/>
        <v>260.28319273</v>
      </c>
      <c r="E73" s="103">
        <f>'Crédit client'!G29</f>
        <v>2.6162806500000002</v>
      </c>
      <c r="F73" s="103">
        <f>'Crédit client'!H29</f>
        <v>8.5250017400000004</v>
      </c>
      <c r="G73" s="771">
        <f t="shared" si="25"/>
        <v>271.42447512000001</v>
      </c>
      <c r="H73" s="772">
        <f t="shared" si="18"/>
        <v>-49.694605302537227</v>
      </c>
      <c r="I73" s="773">
        <f t="shared" si="19"/>
        <v>1.7745805258889098</v>
      </c>
      <c r="J73" s="774">
        <f t="shared" si="20"/>
        <v>0.36231531222079</v>
      </c>
      <c r="K73" s="774">
        <f t="shared" si="21"/>
        <v>1.1805838441341827</v>
      </c>
      <c r="L73" s="775">
        <f t="shared" si="22"/>
        <v>37.588185903323044</v>
      </c>
      <c r="M73" s="769">
        <f>G72+F91</f>
        <v>2190.8865560399927</v>
      </c>
      <c r="N73" s="768">
        <f t="shared" si="23"/>
        <v>0</v>
      </c>
      <c r="O73" s="769" t="e">
        <f>#REF!+K34</f>
        <v>#REF!</v>
      </c>
      <c r="P73" s="769" t="e">
        <f t="shared" si="24"/>
        <v>#REF!</v>
      </c>
      <c r="Q73" s="770" t="s">
        <v>12</v>
      </c>
    </row>
    <row r="74" spans="2:17" ht="14.4" hidden="1" thickBot="1">
      <c r="B74" s="776" t="s">
        <v>49</v>
      </c>
      <c r="C74" s="777">
        <f>SUM(C64:C73)</f>
        <v>5724.7600474210176</v>
      </c>
      <c r="D74" s="543">
        <f>SUM(D64:D73)</f>
        <v>14667.308072685</v>
      </c>
      <c r="E74" s="543">
        <f>SUM(E64:E73)</f>
        <v>192.00128889652993</v>
      </c>
      <c r="F74" s="671">
        <f>SUM(F64:F73)</f>
        <v>6435.8406822200004</v>
      </c>
      <c r="G74" s="778">
        <f>SUM(G64:G73)</f>
        <v>21295.150043801528</v>
      </c>
      <c r="H74" s="779">
        <f t="shared" si="18"/>
        <v>271.98327733220731</v>
      </c>
      <c r="I74" s="780">
        <f>G19</f>
        <v>46.467556528772768</v>
      </c>
      <c r="J74" s="781">
        <f>(E74/E55)*100</f>
        <v>0.60828004028986782</v>
      </c>
      <c r="K74" s="781">
        <f>(F74/E55)*100</f>
        <v>20.389412237694124</v>
      </c>
      <c r="L74" s="782">
        <f>(G74/E55)*100</f>
        <v>67.465248806756748</v>
      </c>
      <c r="M74" s="769" t="e">
        <f>#REF!+#REF!</f>
        <v>#REF!</v>
      </c>
      <c r="N74" s="783">
        <f>SUM(N64:N73)</f>
        <v>0</v>
      </c>
      <c r="O74" s="770">
        <v>513.4</v>
      </c>
      <c r="P74" s="769">
        <f>O74-N74</f>
        <v>513.4</v>
      </c>
      <c r="Q74" s="770"/>
    </row>
    <row r="75" spans="2:17" ht="15.6" hidden="1">
      <c r="B75" s="122"/>
      <c r="C75" s="123"/>
      <c r="K75" s="784"/>
      <c r="M75" s="769">
        <f>G74+F93</f>
        <v>28443.31379705152</v>
      </c>
      <c r="N75" s="770"/>
      <c r="O75" s="769">
        <f>M76+K36</f>
        <v>32760.603979928328</v>
      </c>
      <c r="P75" s="770"/>
      <c r="Q75" s="770"/>
    </row>
    <row r="76" spans="2:17" ht="15.6" hidden="1">
      <c r="B76" s="122"/>
      <c r="C76" s="123"/>
      <c r="M76" s="769">
        <f>M75+N74+O74</f>
        <v>28956.713797051521</v>
      </c>
      <c r="N76" s="770"/>
      <c r="O76" s="770"/>
      <c r="P76" s="770"/>
      <c r="Q76" s="770"/>
    </row>
    <row r="77" spans="2:17" ht="15.6" hidden="1">
      <c r="B77" s="122"/>
      <c r="H77" s="123"/>
      <c r="I77" s="123"/>
      <c r="M77" s="770"/>
      <c r="N77" s="770"/>
      <c r="O77" s="770"/>
      <c r="P77" s="770"/>
      <c r="Q77" s="770"/>
    </row>
    <row r="78" spans="2:17" ht="18" hidden="1">
      <c r="B78" s="666" t="s">
        <v>225</v>
      </c>
      <c r="M78" s="770"/>
    </row>
    <row r="79" spans="2:17" ht="15.6" hidden="1">
      <c r="B79" s="122"/>
    </row>
    <row r="80" spans="2:17" ht="57" hidden="1" customHeight="1" thickBot="1">
      <c r="B80" s="3126" t="s">
        <v>195</v>
      </c>
      <c r="C80" s="3126"/>
      <c r="D80" s="3126"/>
      <c r="E80" s="3126"/>
      <c r="F80" s="3126"/>
      <c r="G80" s="3126"/>
      <c r="H80" s="3126"/>
      <c r="I80" s="3126"/>
      <c r="J80" s="3126"/>
    </row>
    <row r="81" spans="2:10" hidden="1">
      <c r="B81" s="3127"/>
      <c r="C81" s="3132" t="s">
        <v>558</v>
      </c>
      <c r="D81" s="3138">
        <f>D62</f>
        <v>45505</v>
      </c>
      <c r="E81" s="3139"/>
      <c r="F81" s="3140"/>
      <c r="G81" s="3134" t="s">
        <v>38</v>
      </c>
      <c r="H81" s="3138" t="s">
        <v>254</v>
      </c>
      <c r="I81" s="3139"/>
      <c r="J81" s="3140"/>
    </row>
    <row r="82" spans="2:10" ht="14.4" hidden="1" thickBot="1">
      <c r="B82" s="3128"/>
      <c r="C82" s="3133"/>
      <c r="D82" s="565" t="s">
        <v>226</v>
      </c>
      <c r="E82" s="566" t="s">
        <v>255</v>
      </c>
      <c r="F82" s="94" t="s">
        <v>20</v>
      </c>
      <c r="G82" s="3135"/>
      <c r="H82" s="565" t="s">
        <v>226</v>
      </c>
      <c r="I82" s="566" t="s">
        <v>255</v>
      </c>
      <c r="J82" s="94" t="s">
        <v>20</v>
      </c>
    </row>
    <row r="83" spans="2:10" hidden="1">
      <c r="B83" s="677" t="s">
        <v>6</v>
      </c>
      <c r="C83" s="785">
        <v>599.40658255000039</v>
      </c>
      <c r="D83" s="523">
        <f>'Crédit client'!E35</f>
        <v>487.83031238999985</v>
      </c>
      <c r="E83" s="99">
        <f>'Crédit client'!F35</f>
        <v>507.93625065000003</v>
      </c>
      <c r="F83" s="786">
        <f>E83+D83</f>
        <v>995.76656303999994</v>
      </c>
      <c r="G83" s="764">
        <f t="shared" ref="G83:G93" si="26">((F83-C83)/C83)*100</f>
        <v>66.125396688805395</v>
      </c>
      <c r="H83" s="787">
        <f t="shared" ref="H83:H92" si="27">(D83/E44)*100</f>
        <v>11.855871623281654</v>
      </c>
      <c r="I83" s="788">
        <f t="shared" ref="I83:I92" si="28">(E83/E44)*100</f>
        <v>12.344511662290996</v>
      </c>
      <c r="J83" s="789">
        <f t="shared" ref="J83:J92" si="29">(F83/E44)*100</f>
        <v>24.200383285572649</v>
      </c>
    </row>
    <row r="84" spans="2:10" hidden="1">
      <c r="B84" s="677" t="s">
        <v>7</v>
      </c>
      <c r="C84" s="762">
        <v>178.81700000000001</v>
      </c>
      <c r="D84" s="108">
        <f>'Crédit client'!E36</f>
        <v>40.47622999999998</v>
      </c>
      <c r="E84" s="103">
        <f>'Crédit client'!F36</f>
        <v>78.953000000000003</v>
      </c>
      <c r="F84" s="790">
        <f t="shared" ref="F84:F92" si="30">E84+D84</f>
        <v>119.42922999999999</v>
      </c>
      <c r="G84" s="772">
        <f t="shared" si="26"/>
        <v>-33.211478774389469</v>
      </c>
      <c r="H84" s="791">
        <f t="shared" si="27"/>
        <v>2.2334667104140742</v>
      </c>
      <c r="I84" s="792">
        <f t="shared" si="28"/>
        <v>4.3566037940619102</v>
      </c>
      <c r="J84" s="793">
        <f t="shared" si="29"/>
        <v>6.5900705044759853</v>
      </c>
    </row>
    <row r="85" spans="2:10" hidden="1">
      <c r="B85" s="677" t="s">
        <v>8</v>
      </c>
      <c r="C85" s="762">
        <v>429.21172429000006</v>
      </c>
      <c r="D85" s="108">
        <f>'Crédit client'!E37</f>
        <v>251.78944397999999</v>
      </c>
      <c r="E85" s="103">
        <f>'Crédit client'!F37</f>
        <v>168.5231826400001</v>
      </c>
      <c r="F85" s="790">
        <f t="shared" si="30"/>
        <v>420.31262662000006</v>
      </c>
      <c r="G85" s="772">
        <f t="shared" si="26"/>
        <v>-2.0733584770362103</v>
      </c>
      <c r="H85" s="791">
        <f t="shared" si="27"/>
        <v>11.116912026348302</v>
      </c>
      <c r="I85" s="792">
        <f t="shared" si="28"/>
        <v>7.4405716387296996</v>
      </c>
      <c r="J85" s="793">
        <f t="shared" si="29"/>
        <v>18.557483665077999</v>
      </c>
    </row>
    <row r="86" spans="2:10" hidden="1">
      <c r="B86" s="677" t="s">
        <v>4</v>
      </c>
      <c r="C86" s="762">
        <v>456.15960988900036</v>
      </c>
      <c r="D86" s="108">
        <f>'Crédit client'!E38</f>
        <v>369.43392489999997</v>
      </c>
      <c r="E86" s="103">
        <f>'Crédit client'!F38</f>
        <v>287.96677158</v>
      </c>
      <c r="F86" s="790">
        <f t="shared" si="30"/>
        <v>657.40069647999997</v>
      </c>
      <c r="G86" s="772">
        <f t="shared" si="26"/>
        <v>44.116375546701434</v>
      </c>
      <c r="H86" s="791">
        <f t="shared" si="27"/>
        <v>10.024730857092793</v>
      </c>
      <c r="I86" s="792">
        <f t="shared" si="28"/>
        <v>7.8140884913501836</v>
      </c>
      <c r="J86" s="793">
        <f t="shared" si="29"/>
        <v>17.838819348442978</v>
      </c>
    </row>
    <row r="87" spans="2:10" hidden="1">
      <c r="B87" s="677" t="s">
        <v>3</v>
      </c>
      <c r="C87" s="762">
        <v>415.69600000000003</v>
      </c>
      <c r="D87" s="108">
        <f>'Crédit client'!E39</f>
        <v>567.69100000000003</v>
      </c>
      <c r="E87" s="103">
        <f>'Crédit client'!F39</f>
        <v>466.99306151000002</v>
      </c>
      <c r="F87" s="790">
        <f t="shared" si="30"/>
        <v>1034.68406151</v>
      </c>
      <c r="G87" s="772">
        <f t="shared" si="26"/>
        <v>148.90402157105191</v>
      </c>
      <c r="H87" s="791">
        <f t="shared" si="27"/>
        <v>8.5292964343716822</v>
      </c>
      <c r="I87" s="792">
        <f t="shared" si="28"/>
        <v>7.0163561768877063</v>
      </c>
      <c r="J87" s="793">
        <f t="shared" si="29"/>
        <v>15.545652611259387</v>
      </c>
    </row>
    <row r="88" spans="2:10" hidden="1">
      <c r="B88" s="677" t="s">
        <v>397</v>
      </c>
      <c r="C88" s="762">
        <v>404.767</v>
      </c>
      <c r="D88" s="108">
        <f>'Crédit client'!E40</f>
        <v>264.309000090003</v>
      </c>
      <c r="E88" s="103">
        <f>'Crédit client'!F40</f>
        <v>418.78904574000006</v>
      </c>
      <c r="F88" s="790">
        <f t="shared" si="30"/>
        <v>683.098045830003</v>
      </c>
      <c r="G88" s="772">
        <f t="shared" si="26"/>
        <v>68.763275126184453</v>
      </c>
      <c r="H88" s="791">
        <f t="shared" si="27"/>
        <v>6.90682319186811</v>
      </c>
      <c r="I88" s="792">
        <f t="shared" si="28"/>
        <v>10.9436375327075</v>
      </c>
      <c r="J88" s="793">
        <f t="shared" si="29"/>
        <v>17.850460724575608</v>
      </c>
    </row>
    <row r="89" spans="2:10" hidden="1">
      <c r="B89" s="677" t="s">
        <v>399</v>
      </c>
      <c r="C89" s="762">
        <v>471.73419481000002</v>
      </c>
      <c r="D89" s="108">
        <f>'Crédit client'!E41</f>
        <v>454.19999999999993</v>
      </c>
      <c r="E89" s="103">
        <f>'Crédit client'!F41</f>
        <v>246.54579957000004</v>
      </c>
      <c r="F89" s="790">
        <f t="shared" si="30"/>
        <v>700.74579956999992</v>
      </c>
      <c r="G89" s="772">
        <f t="shared" si="26"/>
        <v>48.546746722958829</v>
      </c>
      <c r="H89" s="791">
        <f t="shared" si="27"/>
        <v>12.260256683504519</v>
      </c>
      <c r="I89" s="792">
        <f t="shared" si="28"/>
        <v>6.6550303543990719</v>
      </c>
      <c r="J89" s="793">
        <f t="shared" si="29"/>
        <v>18.915287037903589</v>
      </c>
    </row>
    <row r="90" spans="2:10" hidden="1">
      <c r="B90" s="677" t="s">
        <v>883</v>
      </c>
      <c r="C90" s="762">
        <v>281.60949894000004</v>
      </c>
      <c r="D90" s="108">
        <f>'Crédit client'!E42</f>
        <v>237.30350101000008</v>
      </c>
      <c r="E90" s="103">
        <f>'Crédit client'!F42</f>
        <v>730.32995642000003</v>
      </c>
      <c r="F90" s="790">
        <f t="shared" si="30"/>
        <v>967.63345743000013</v>
      </c>
      <c r="G90" s="772">
        <f t="shared" si="26"/>
        <v>243.60824513102267</v>
      </c>
      <c r="H90" s="791">
        <f t="shared" si="27"/>
        <v>9.1983394676983767</v>
      </c>
      <c r="I90" s="792">
        <f t="shared" si="28"/>
        <v>28.308991793161237</v>
      </c>
      <c r="J90" s="793">
        <f t="shared" si="29"/>
        <v>37.507331260859615</v>
      </c>
    </row>
    <row r="91" spans="2:10" hidden="1">
      <c r="B91" s="677" t="s">
        <v>884</v>
      </c>
      <c r="C91" s="762">
        <v>273.73955999999998</v>
      </c>
      <c r="D91" s="108">
        <f>'Crédit client'!E43</f>
        <v>340.8547569199992</v>
      </c>
      <c r="E91" s="103">
        <f>'Crédit client'!F43</f>
        <v>813.20476715999098</v>
      </c>
      <c r="F91" s="790">
        <f t="shared" si="30"/>
        <v>1154.0595240799903</v>
      </c>
      <c r="G91" s="772">
        <f t="shared" si="26"/>
        <v>321.59033355646159</v>
      </c>
      <c r="H91" s="791">
        <f t="shared" si="27"/>
        <v>15.504842291925947</v>
      </c>
      <c r="I91" s="792">
        <f t="shared" si="28"/>
        <v>36.991156525996033</v>
      </c>
      <c r="J91" s="793">
        <f t="shared" si="29"/>
        <v>52.495998817921986</v>
      </c>
    </row>
    <row r="92" spans="2:10" ht="14.4" hidden="1" thickBot="1">
      <c r="B92" s="677" t="s">
        <v>885</v>
      </c>
      <c r="C92" s="762">
        <v>301.61078894999991</v>
      </c>
      <c r="D92" s="108">
        <f>'Crédit client'!E44</f>
        <v>109.11771627</v>
      </c>
      <c r="E92" s="103">
        <f>'Crédit client'!F44</f>
        <v>305.91603242000002</v>
      </c>
      <c r="F92" s="790">
        <f t="shared" si="30"/>
        <v>415.03374869000004</v>
      </c>
      <c r="G92" s="772">
        <f t="shared" si="26"/>
        <v>37.605736895175532</v>
      </c>
      <c r="H92" s="791">
        <f t="shared" si="27"/>
        <v>15.11115385850697</v>
      </c>
      <c r="I92" s="792">
        <f t="shared" si="28"/>
        <v>42.364745081762393</v>
      </c>
      <c r="J92" s="793">
        <f t="shared" si="29"/>
        <v>57.475898940269367</v>
      </c>
    </row>
    <row r="93" spans="2:10" ht="14.4" hidden="1" thickBot="1">
      <c r="B93" s="776" t="s">
        <v>49</v>
      </c>
      <c r="C93" s="777">
        <f>SUM(C83:C92)</f>
        <v>3812.7519594290006</v>
      </c>
      <c r="D93" s="543">
        <f>SUM(D83:D92)</f>
        <v>3123.0058855600018</v>
      </c>
      <c r="E93" s="671">
        <f>SUM(E83:E92)</f>
        <v>4025.1578676899917</v>
      </c>
      <c r="F93" s="778">
        <f>SUM(F83:F92)</f>
        <v>7148.1637532499926</v>
      </c>
      <c r="G93" s="794">
        <f t="shared" si="26"/>
        <v>87.480429603411821</v>
      </c>
      <c r="H93" s="795">
        <f>(D93/E55)*100</f>
        <v>9.8940072580328664</v>
      </c>
      <c r="I93" s="781">
        <f>(E93/E55)*100</f>
        <v>12.752118509220056</v>
      </c>
      <c r="J93" s="782">
        <f>(F93/E55)*100</f>
        <v>22.646125767252919</v>
      </c>
    </row>
    <row r="94" spans="2:10" ht="15.6" hidden="1">
      <c r="B94" s="122"/>
      <c r="C94" s="123"/>
    </row>
    <row r="95" spans="2:10" ht="15.6" hidden="1">
      <c r="B95" s="122"/>
      <c r="F95" s="123"/>
    </row>
    <row r="96" spans="2:10" ht="15.6" hidden="1">
      <c r="B96" s="122"/>
    </row>
    <row r="97" spans="2:14" hidden="1">
      <c r="B97" s="116"/>
      <c r="C97" s="121"/>
      <c r="D97" s="121"/>
      <c r="E97" s="796"/>
      <c r="F97" s="121"/>
      <c r="G97" s="121"/>
      <c r="H97" s="121"/>
    </row>
    <row r="98" spans="2:14" hidden="1">
      <c r="B98" s="116"/>
      <c r="C98" s="121"/>
      <c r="D98" s="121"/>
      <c r="E98" s="796"/>
      <c r="F98" s="121"/>
      <c r="G98" s="121"/>
      <c r="H98" s="121"/>
    </row>
    <row r="99" spans="2:14" ht="18" hidden="1">
      <c r="E99" s="666" t="s">
        <v>232</v>
      </c>
      <c r="F99" s="121"/>
      <c r="G99" s="121"/>
      <c r="H99" s="796"/>
      <c r="I99" s="121"/>
      <c r="J99" s="121"/>
      <c r="K99" s="121"/>
    </row>
    <row r="100" spans="2:14" hidden="1">
      <c r="E100" s="116"/>
      <c r="F100" s="121"/>
      <c r="G100" s="121"/>
      <c r="H100" s="796"/>
      <c r="I100" s="121"/>
      <c r="J100" s="121"/>
      <c r="K100" s="121"/>
    </row>
    <row r="101" spans="2:14" ht="18" hidden="1">
      <c r="E101" s="502"/>
      <c r="F101" s="3136" t="s">
        <v>660</v>
      </c>
      <c r="G101" s="3136" t="s">
        <v>740</v>
      </c>
      <c r="H101" s="3136" t="s">
        <v>739</v>
      </c>
      <c r="I101" s="3136">
        <f>D81</f>
        <v>45505</v>
      </c>
      <c r="J101" s="107" t="s">
        <v>38</v>
      </c>
      <c r="K101" s="107" t="s">
        <v>38</v>
      </c>
      <c r="L101" s="121"/>
      <c r="M101" s="121"/>
      <c r="N101" s="121"/>
    </row>
    <row r="102" spans="2:14" hidden="1">
      <c r="E102" s="115"/>
      <c r="F102" s="3137"/>
      <c r="G102" s="3136"/>
      <c r="H102" s="3136"/>
      <c r="I102" s="3136"/>
      <c r="J102" s="1386" t="s">
        <v>734</v>
      </c>
      <c r="K102" s="1386" t="s">
        <v>175</v>
      </c>
      <c r="L102" s="121"/>
      <c r="M102" s="121"/>
      <c r="N102" s="121"/>
    </row>
    <row r="103" spans="2:14" hidden="1">
      <c r="E103" s="797" t="s">
        <v>6</v>
      </c>
      <c r="F103" s="668">
        <v>46.997</v>
      </c>
      <c r="G103" s="668"/>
      <c r="H103" s="668"/>
      <c r="I103" s="690"/>
      <c r="J103" s="678">
        <f>((I103-F103)/F103)*100</f>
        <v>-100</v>
      </c>
      <c r="K103" s="678" t="e">
        <f>((I103-H103)/H103)*100</f>
        <v>#DIV/0!</v>
      </c>
      <c r="L103" s="123"/>
      <c r="M103" s="121"/>
      <c r="N103" s="121"/>
    </row>
    <row r="104" spans="2:14" hidden="1">
      <c r="E104" s="797" t="s">
        <v>7</v>
      </c>
      <c r="F104" s="668">
        <v>34.89</v>
      </c>
      <c r="G104" s="668"/>
      <c r="H104" s="668"/>
      <c r="I104" s="690"/>
      <c r="J104" s="678">
        <f t="shared" ref="J104:J118" si="31">((I104-F104)/F104)*100</f>
        <v>-100</v>
      </c>
      <c r="K104" s="678" t="e">
        <f t="shared" ref="K104:K118" si="32">((I104-H104)/H104)*100</f>
        <v>#DIV/0!</v>
      </c>
      <c r="L104" s="123"/>
      <c r="M104" s="121"/>
      <c r="N104" s="121"/>
    </row>
    <row r="105" spans="2:14" hidden="1">
      <c r="E105" s="797" t="s">
        <v>8</v>
      </c>
      <c r="F105" s="668">
        <v>48.56</v>
      </c>
      <c r="G105" s="668"/>
      <c r="H105" s="668"/>
      <c r="I105" s="690"/>
      <c r="J105" s="678">
        <f t="shared" si="31"/>
        <v>-100</v>
      </c>
      <c r="K105" s="678" t="e">
        <f t="shared" si="32"/>
        <v>#DIV/0!</v>
      </c>
      <c r="L105" s="123"/>
      <c r="M105" s="121"/>
      <c r="N105" s="121"/>
    </row>
    <row r="106" spans="2:14" hidden="1">
      <c r="E106" s="797" t="s">
        <v>4</v>
      </c>
      <c r="F106" s="690">
        <v>29.837</v>
      </c>
      <c r="G106" s="690"/>
      <c r="H106" s="690"/>
      <c r="I106" s="690"/>
      <c r="J106" s="678">
        <f t="shared" si="31"/>
        <v>-100</v>
      </c>
      <c r="K106" s="678" t="e">
        <f t="shared" si="32"/>
        <v>#DIV/0!</v>
      </c>
      <c r="L106" s="123"/>
      <c r="M106" s="121"/>
      <c r="N106" s="121"/>
    </row>
    <row r="107" spans="2:14" hidden="1">
      <c r="E107" s="797" t="s">
        <v>3</v>
      </c>
      <c r="F107" s="690">
        <v>71.161000000000001</v>
      </c>
      <c r="G107" s="690"/>
      <c r="H107" s="690"/>
      <c r="I107" s="690"/>
      <c r="J107" s="678">
        <f t="shared" si="31"/>
        <v>-100</v>
      </c>
      <c r="K107" s="678" t="e">
        <f t="shared" si="32"/>
        <v>#DIV/0!</v>
      </c>
      <c r="L107" s="123"/>
      <c r="M107" s="121"/>
      <c r="N107" s="121"/>
    </row>
    <row r="108" spans="2:14" ht="15" hidden="1" customHeight="1">
      <c r="E108" s="797" t="s">
        <v>13</v>
      </c>
      <c r="F108" s="690"/>
      <c r="G108" s="690"/>
      <c r="H108" s="690"/>
      <c r="I108" s="690"/>
      <c r="J108" s="678" t="e">
        <f t="shared" si="31"/>
        <v>#DIV/0!</v>
      </c>
      <c r="K108" s="678" t="e">
        <f t="shared" si="32"/>
        <v>#DIV/0!</v>
      </c>
      <c r="L108" s="798"/>
      <c r="M108" s="121"/>
      <c r="N108" s="121"/>
    </row>
    <row r="109" spans="2:14" hidden="1">
      <c r="E109" s="797" t="s">
        <v>9</v>
      </c>
      <c r="F109" s="690">
        <v>87.790999999999997</v>
      </c>
      <c r="G109" s="690"/>
      <c r="H109" s="690"/>
      <c r="I109" s="690"/>
      <c r="J109" s="678">
        <f t="shared" si="31"/>
        <v>-100</v>
      </c>
      <c r="K109" s="678" t="e">
        <f t="shared" si="32"/>
        <v>#DIV/0!</v>
      </c>
      <c r="L109" s="123"/>
      <c r="M109" s="121"/>
      <c r="N109" s="121"/>
    </row>
    <row r="110" spans="2:14" hidden="1">
      <c r="E110" s="797" t="s">
        <v>5</v>
      </c>
      <c r="F110" s="690">
        <v>126.416</v>
      </c>
      <c r="G110" s="690"/>
      <c r="H110" s="690"/>
      <c r="I110" s="690"/>
      <c r="J110" s="678">
        <f t="shared" si="31"/>
        <v>-100</v>
      </c>
      <c r="K110" s="678" t="e">
        <f t="shared" si="32"/>
        <v>#DIV/0!</v>
      </c>
      <c r="L110" s="123"/>
      <c r="M110" s="121"/>
      <c r="N110" s="121"/>
    </row>
    <row r="111" spans="2:14" hidden="1">
      <c r="E111" s="797" t="s">
        <v>11</v>
      </c>
      <c r="F111" s="690">
        <v>128.518</v>
      </c>
      <c r="G111" s="690"/>
      <c r="H111" s="690"/>
      <c r="I111" s="690"/>
      <c r="J111" s="678">
        <f t="shared" si="31"/>
        <v>-100</v>
      </c>
      <c r="K111" s="678" t="e">
        <f t="shared" si="32"/>
        <v>#DIV/0!</v>
      </c>
      <c r="L111" s="123"/>
      <c r="M111" s="121"/>
      <c r="N111" s="121"/>
    </row>
    <row r="112" spans="2:14" hidden="1">
      <c r="E112" s="797" t="s">
        <v>10</v>
      </c>
      <c r="F112" s="690">
        <v>29.606000000000002</v>
      </c>
      <c r="G112" s="690"/>
      <c r="H112" s="690"/>
      <c r="I112" s="690"/>
      <c r="J112" s="678">
        <f t="shared" si="31"/>
        <v>-100</v>
      </c>
      <c r="K112" s="678" t="e">
        <f t="shared" si="32"/>
        <v>#DIV/0!</v>
      </c>
    </row>
    <row r="113" spans="1:12" hidden="1">
      <c r="E113" s="797" t="s">
        <v>12</v>
      </c>
      <c r="F113" s="690">
        <v>113.249</v>
      </c>
      <c r="G113" s="690"/>
      <c r="H113" s="690"/>
      <c r="I113" s="1250"/>
      <c r="J113" s="678">
        <f t="shared" si="31"/>
        <v>-100</v>
      </c>
      <c r="K113" s="678" t="e">
        <f t="shared" si="32"/>
        <v>#DIV/0!</v>
      </c>
      <c r="L113" s="123"/>
    </row>
    <row r="114" spans="1:12" hidden="1">
      <c r="E114" s="797" t="s">
        <v>563</v>
      </c>
      <c r="F114" s="690">
        <v>50.537999999999997</v>
      </c>
      <c r="G114" s="690"/>
      <c r="H114" s="690"/>
      <c r="I114" s="690"/>
      <c r="J114" s="678">
        <f t="shared" si="31"/>
        <v>-100</v>
      </c>
      <c r="K114" s="678" t="e">
        <f t="shared" si="32"/>
        <v>#DIV/0!</v>
      </c>
      <c r="L114" s="123"/>
    </row>
    <row r="115" spans="1:12" hidden="1">
      <c r="E115" s="797" t="s">
        <v>48</v>
      </c>
      <c r="F115" s="690">
        <v>25.896000000000001</v>
      </c>
      <c r="G115" s="690"/>
      <c r="H115" s="690"/>
      <c r="I115" s="690"/>
      <c r="J115" s="678">
        <f t="shared" si="31"/>
        <v>-100</v>
      </c>
      <c r="K115" s="678" t="e">
        <f t="shared" si="32"/>
        <v>#DIV/0!</v>
      </c>
      <c r="L115" s="123"/>
    </row>
    <row r="116" spans="1:12" hidden="1">
      <c r="E116" s="797" t="s">
        <v>397</v>
      </c>
      <c r="F116" s="690">
        <v>69.736999999999995</v>
      </c>
      <c r="G116" s="690"/>
      <c r="H116" s="690"/>
      <c r="I116" s="690"/>
      <c r="J116" s="678">
        <f t="shared" si="31"/>
        <v>-100</v>
      </c>
      <c r="K116" s="678" t="e">
        <f t="shared" si="32"/>
        <v>#DIV/0!</v>
      </c>
      <c r="L116" s="123"/>
    </row>
    <row r="117" spans="1:12" hidden="1">
      <c r="E117" s="797" t="s">
        <v>399</v>
      </c>
      <c r="F117" s="690">
        <v>43.670999999999999</v>
      </c>
      <c r="G117" s="690"/>
      <c r="H117" s="690"/>
      <c r="I117" s="690"/>
      <c r="J117" s="678">
        <f t="shared" si="31"/>
        <v>-100</v>
      </c>
      <c r="K117" s="678" t="e">
        <f t="shared" si="32"/>
        <v>#DIV/0!</v>
      </c>
      <c r="L117" s="123"/>
    </row>
    <row r="118" spans="1:12" hidden="1">
      <c r="E118" s="799" t="s">
        <v>49</v>
      </c>
      <c r="F118" s="800">
        <f>SUM(F103:F117)</f>
        <v>906.86699999999996</v>
      </c>
      <c r="G118" s="800">
        <f>SUM(G103:G117)</f>
        <v>0</v>
      </c>
      <c r="H118" s="800">
        <f>SUM(H103:H117)</f>
        <v>0</v>
      </c>
      <c r="I118" s="800">
        <f>SUM(I103:I117)</f>
        <v>0</v>
      </c>
      <c r="J118" s="800">
        <f t="shared" si="31"/>
        <v>-100</v>
      </c>
      <c r="K118" s="800" t="e">
        <f t="shared" si="32"/>
        <v>#DIV/0!</v>
      </c>
      <c r="L118" s="123"/>
    </row>
    <row r="119" spans="1:12" hidden="1">
      <c r="D119" s="123"/>
      <c r="E119" s="123"/>
      <c r="F119" s="123"/>
    </row>
    <row r="120" spans="1:12" ht="14.25" hidden="1" customHeight="1">
      <c r="D120" s="123"/>
      <c r="E120" s="123"/>
      <c r="F120" s="123"/>
      <c r="I120" s="3049" t="s">
        <v>29</v>
      </c>
      <c r="J120" s="3049"/>
    </row>
    <row r="121" spans="1:12" hidden="1">
      <c r="D121" s="123"/>
      <c r="E121" s="123"/>
      <c r="F121" s="123"/>
    </row>
    <row r="122" spans="1:12" hidden="1">
      <c r="D122" s="123"/>
      <c r="E122" s="123"/>
      <c r="F122" s="123"/>
    </row>
    <row r="123" spans="1:12" hidden="1">
      <c r="D123" s="123"/>
      <c r="E123" s="123"/>
      <c r="F123" s="123"/>
    </row>
    <row r="124" spans="1:12" hidden="1">
      <c r="D124" s="123"/>
      <c r="E124" s="123"/>
      <c r="F124" s="123"/>
    </row>
    <row r="125" spans="1:12">
      <c r="D125" s="123"/>
      <c r="E125" s="123"/>
      <c r="F125" s="123"/>
    </row>
    <row r="126" spans="1:12">
      <c r="D126" s="123"/>
      <c r="E126" s="123"/>
      <c r="F126" s="123"/>
    </row>
    <row r="127" spans="1:12" ht="15.6">
      <c r="A127" s="122"/>
      <c r="D127" s="123"/>
      <c r="E127" s="123"/>
      <c r="F127" s="123"/>
    </row>
    <row r="128" spans="1:12">
      <c r="D128" s="123"/>
      <c r="E128" s="123"/>
      <c r="F128" s="123"/>
    </row>
  </sheetData>
  <mergeCells count="22">
    <mergeCell ref="I120:J120"/>
    <mergeCell ref="C81:C82"/>
    <mergeCell ref="G81:G82"/>
    <mergeCell ref="I101:I102"/>
    <mergeCell ref="F101:F102"/>
    <mergeCell ref="D81:F81"/>
    <mergeCell ref="H81:J81"/>
    <mergeCell ref="G101:G102"/>
    <mergeCell ref="H101:H102"/>
    <mergeCell ref="I23:P23"/>
    <mergeCell ref="H42:O42"/>
    <mergeCell ref="B6:G6"/>
    <mergeCell ref="B42:F42"/>
    <mergeCell ref="B23:G23"/>
    <mergeCell ref="I6:N6"/>
    <mergeCell ref="B61:L61"/>
    <mergeCell ref="B81:B82"/>
    <mergeCell ref="I62:L62"/>
    <mergeCell ref="C62:C63"/>
    <mergeCell ref="H62:H63"/>
    <mergeCell ref="B62:B63"/>
    <mergeCell ref="B80:J80"/>
  </mergeCells>
  <phoneticPr fontId="28" type="noConversion"/>
  <hyperlinks>
    <hyperlink ref="I120" location="'tableau de bord'!F4" display="Retour" xr:uid="{00000000-0004-0000-1900-000000000000}"/>
    <hyperlink ref="I120:J120" location="'tableau de bord'!C25" display="Retour" xr:uid="{00000000-0004-0000-1900-000001000000}"/>
  </hyperlinks>
  <pageMargins left="0.19" right="0.16" top="1.17" bottom="1.72" header="0.33" footer="0.43"/>
  <pageSetup paperSize="9" scale="65" orientation="portrait" r:id="rId1"/>
  <headerFooter alignWithMargins="0">
    <oddHeader>&amp;L&amp;"Times New Roman,Gras"&amp;12SDC_SPADCMD/EC&amp;C&amp;"Times New Roman,Gras"&amp;20Pramètre Créances&amp;G</oddHeader>
    <oddFooter>&amp;Rpage -10-</oddFooter>
  </headerFooter>
  <legacyDrawingHF r:id="rId2"/>
</worksheet>
</file>

<file path=xl/worksheets/sheet2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A00-000000000000}">
  <sheetPr codeName="Feuil9">
    <tabColor indexed="47"/>
  </sheetPr>
  <dimension ref="A1:IU157"/>
  <sheetViews>
    <sheetView showGridLines="0" showOutlineSymbols="0" zoomScale="70" zoomScaleNormal="70" workbookViewId="0">
      <selection activeCell="K83" sqref="K83"/>
    </sheetView>
  </sheetViews>
  <sheetFormatPr baseColWidth="10" defaultColWidth="11.44140625" defaultRowHeight="13.8"/>
  <cols>
    <col min="1" max="1" width="14.5546875" style="87" customWidth="1"/>
    <col min="2" max="2" width="12.33203125" style="87" customWidth="1"/>
    <col min="3" max="3" width="11.5546875" style="87" customWidth="1"/>
    <col min="4" max="4" width="12.33203125" style="87" customWidth="1"/>
    <col min="5" max="5" width="11" style="87" bestFit="1" customWidth="1"/>
    <col min="6" max="6" width="14.33203125" style="87" customWidth="1"/>
    <col min="7" max="7" width="9.33203125" style="87" customWidth="1"/>
    <col min="8" max="8" width="10" style="87" customWidth="1"/>
    <col min="9" max="9" width="11.5546875" style="87" bestFit="1" customWidth="1"/>
    <col min="10" max="10" width="13.5546875" style="87" customWidth="1"/>
    <col min="11" max="11" width="13.109375" style="87" bestFit="1" customWidth="1"/>
    <col min="12" max="12" width="13.44140625" style="87" customWidth="1"/>
    <col min="13" max="13" width="11.6640625" style="87" bestFit="1" customWidth="1"/>
    <col min="14" max="14" width="13.109375" style="87" bestFit="1" customWidth="1"/>
    <col min="15" max="15" width="9.33203125" style="87" customWidth="1"/>
    <col min="16" max="16" width="11.33203125" style="87" customWidth="1"/>
    <col min="17" max="17" width="11.5546875" style="87" bestFit="1" customWidth="1"/>
    <col min="18" max="18" width="14.6640625" style="87" bestFit="1" customWidth="1"/>
    <col min="19" max="19" width="13.5546875" style="87" customWidth="1"/>
    <col min="20" max="20" width="15.33203125" style="87" customWidth="1"/>
    <col min="21" max="21" width="14.6640625" style="87" customWidth="1"/>
    <col min="22" max="22" width="12.109375" style="599" customWidth="1"/>
    <col min="23" max="23" width="10.5546875" style="87" customWidth="1"/>
    <col min="24" max="24" width="10.88671875" style="87" customWidth="1"/>
    <col min="25" max="25" width="11" style="87" customWidth="1"/>
    <col min="26" max="26" width="10.6640625" style="87" customWidth="1"/>
    <col min="27" max="27" width="12.6640625" style="87" customWidth="1"/>
    <col min="28" max="28" width="6" style="87" customWidth="1"/>
    <col min="29" max="29" width="11.109375" style="87" customWidth="1"/>
    <col min="30" max="30" width="11" style="87" customWidth="1"/>
    <col min="31" max="31" width="11.33203125" style="87" customWidth="1"/>
    <col min="32" max="32" width="11" style="87" customWidth="1"/>
    <col min="33" max="33" width="11.5546875" style="87" bestFit="1" customWidth="1"/>
    <col min="34" max="34" width="6" style="87" customWidth="1"/>
    <col min="35" max="35" width="11.109375" style="87" customWidth="1"/>
    <col min="36" max="37" width="11" style="87" customWidth="1"/>
    <col min="38" max="38" width="10.6640625" style="87" customWidth="1"/>
    <col min="39" max="39" width="10.88671875" style="87" customWidth="1"/>
    <col min="40" max="40" width="6" style="87" customWidth="1"/>
    <col min="41" max="44" width="10.88671875" style="87" customWidth="1"/>
    <col min="45" max="45" width="11" style="87" customWidth="1"/>
    <col min="46" max="46" width="6" style="87" customWidth="1"/>
    <col min="47" max="47" width="10.6640625" style="87" customWidth="1"/>
    <col min="48" max="51" width="11" style="87" customWidth="1"/>
    <col min="52" max="52" width="6" style="87" customWidth="1"/>
    <col min="53" max="53" width="7.88671875" style="87" customWidth="1"/>
    <col min="54" max="54" width="11.109375" style="87" customWidth="1"/>
    <col min="55" max="55" width="10.88671875" style="87" customWidth="1"/>
    <col min="56" max="56" width="11" style="87" customWidth="1"/>
    <col min="57" max="57" width="10.109375" style="87" bestFit="1" customWidth="1"/>
    <col min="58" max="58" width="6" style="87" customWidth="1"/>
    <col min="59" max="59" width="10.33203125" style="87" customWidth="1"/>
    <col min="60" max="60" width="11" style="87" customWidth="1"/>
    <col min="61" max="61" width="10.6640625" style="87" customWidth="1"/>
    <col min="62" max="62" width="10.88671875" style="87" customWidth="1"/>
    <col min="63" max="63" width="11" style="87" customWidth="1"/>
    <col min="64" max="64" width="7.88671875" style="87" customWidth="1"/>
    <col min="65" max="67" width="11" style="87" customWidth="1"/>
    <col min="68" max="68" width="11.109375" style="87" customWidth="1"/>
    <col min="69" max="69" width="11.88671875" style="87" bestFit="1" customWidth="1"/>
    <col min="70" max="70" width="6" style="87" customWidth="1"/>
    <col min="71" max="73" width="11" style="87" customWidth="1"/>
    <col min="74" max="74" width="11.109375" style="87" customWidth="1"/>
    <col min="75" max="75" width="11.88671875" style="87" bestFit="1" customWidth="1"/>
    <col min="76" max="76" width="8.109375" style="87" bestFit="1" customWidth="1"/>
    <col min="77" max="79" width="11" style="87" customWidth="1"/>
    <col min="80" max="81" width="11.109375" style="87" customWidth="1"/>
    <col min="82" max="82" width="6" style="87" customWidth="1"/>
    <col min="83" max="85" width="11" style="87" customWidth="1"/>
    <col min="86" max="87" width="11.109375" style="87" customWidth="1"/>
    <col min="88" max="88" width="6" style="87" customWidth="1"/>
    <col min="89" max="90" width="11" style="87" customWidth="1"/>
    <col min="91" max="91" width="11.109375" style="87" customWidth="1"/>
    <col min="92" max="93" width="11" style="87" customWidth="1"/>
    <col min="94" max="94" width="6" style="87" customWidth="1"/>
    <col min="95" max="96" width="11" style="87" customWidth="1"/>
    <col min="97" max="97" width="11.109375" style="87" customWidth="1"/>
    <col min="98" max="99" width="11" style="87" customWidth="1"/>
    <col min="100" max="100" width="6" style="87" customWidth="1"/>
    <col min="101" max="102" width="11" style="87" customWidth="1"/>
    <col min="103" max="104" width="11.109375" style="87" customWidth="1"/>
    <col min="105" max="105" width="11" style="87" customWidth="1"/>
    <col min="106" max="106" width="6" style="87" customWidth="1"/>
    <col min="107" max="110" width="11.109375" style="87" customWidth="1"/>
    <col min="111" max="111" width="11" style="87" customWidth="1"/>
    <col min="112" max="112" width="6" style="87" customWidth="1"/>
    <col min="113" max="113" width="11.109375" style="87" customWidth="1"/>
    <col min="114" max="115" width="11.44140625" style="87"/>
    <col min="116" max="119" width="11.109375" style="87" customWidth="1"/>
    <col min="120" max="121" width="11.44140625" style="87"/>
    <col min="122" max="123" width="11.109375" style="87" customWidth="1"/>
    <col min="124" max="124" width="6.33203125" style="87" customWidth="1"/>
    <col min="125" max="125" width="11.109375" style="87" customWidth="1"/>
    <col min="126" max="127" width="11.44140625" style="87"/>
    <col min="128" max="129" width="11.109375" style="87" customWidth="1"/>
    <col min="130" max="130" width="6.33203125" style="87" customWidth="1"/>
    <col min="131" max="131" width="11.109375" style="87" customWidth="1"/>
    <col min="132" max="133" width="11.44140625" style="87"/>
    <col min="134" max="135" width="11.109375" style="87" customWidth="1"/>
    <col min="136" max="142" width="9.5546875" style="87" customWidth="1"/>
    <col min="143" max="143" width="12.6640625" style="87" customWidth="1"/>
    <col min="144" max="144" width="12.109375" style="87" customWidth="1"/>
    <col min="145" max="145" width="11.6640625" style="87" customWidth="1"/>
    <col min="146" max="146" width="12" style="87" customWidth="1"/>
    <col min="147" max="147" width="12.5546875" style="87" customWidth="1"/>
    <col min="148" max="148" width="9.5546875" style="87" customWidth="1"/>
    <col min="149" max="149" width="12.6640625" style="87" customWidth="1"/>
    <col min="150" max="150" width="12" style="87" customWidth="1"/>
    <col min="151" max="151" width="11.109375" style="87" customWidth="1"/>
    <col min="152" max="153" width="10.5546875" style="87" customWidth="1"/>
    <col min="154" max="154" width="9.5546875" style="87" customWidth="1"/>
    <col min="155" max="155" width="12.6640625" style="87" customWidth="1"/>
    <col min="156" max="156" width="12" style="87" customWidth="1"/>
    <col min="157" max="157" width="11.109375" style="87" customWidth="1"/>
    <col min="158" max="159" width="10.5546875" style="87" customWidth="1"/>
    <col min="160" max="160" width="9.5546875" style="87" customWidth="1"/>
    <col min="161" max="161" width="12.6640625" style="87" customWidth="1"/>
    <col min="162" max="162" width="12" style="87" customWidth="1"/>
    <col min="163" max="163" width="11.33203125" style="87" customWidth="1"/>
    <col min="164" max="164" width="12.33203125" style="87" bestFit="1" customWidth="1"/>
    <col min="165" max="165" width="11.6640625" style="87" customWidth="1"/>
    <col min="166" max="172" width="9.5546875" style="87" customWidth="1"/>
    <col min="173" max="173" width="11.33203125" style="87" bestFit="1" customWidth="1"/>
    <col min="174" max="174" width="13.6640625" style="87" bestFit="1" customWidth="1"/>
    <col min="175" max="175" width="11.6640625" style="87" bestFit="1" customWidth="1"/>
    <col min="176" max="179" width="9.5546875" style="87" customWidth="1"/>
    <col min="180" max="180" width="11.44140625" style="87"/>
    <col min="181" max="182" width="9.5546875" style="87" customWidth="1"/>
    <col min="183" max="183" width="12.5546875" style="87" bestFit="1" customWidth="1"/>
    <col min="184" max="185" width="9.5546875" style="87" customWidth="1"/>
    <col min="186" max="186" width="11.44140625" style="87"/>
    <col min="187" max="188" width="9.5546875" style="87" customWidth="1"/>
    <col min="189" max="189" width="12.5546875" style="87" bestFit="1" customWidth="1"/>
    <col min="190" max="203" width="9.5546875" style="87" customWidth="1"/>
    <col min="204" max="204" width="11.44140625" style="87"/>
    <col min="205" max="206" width="9.5546875" style="87" customWidth="1"/>
    <col min="207" max="207" width="12.5546875" style="87" bestFit="1" customWidth="1"/>
    <col min="208" max="210" width="9.5546875" style="87" customWidth="1"/>
    <col min="211" max="211" width="11.44140625" style="87"/>
    <col min="212" max="213" width="9.5546875" style="87" customWidth="1"/>
    <col min="214" max="214" width="12.5546875" style="87" bestFit="1" customWidth="1"/>
    <col min="215" max="215" width="9.5546875" style="87" customWidth="1"/>
    <col min="216" max="222" width="9.5546875" style="177" customWidth="1"/>
    <col min="223" max="245" width="9.5546875" style="87" customWidth="1"/>
    <col min="246" max="16384" width="11.44140625" style="87"/>
  </cols>
  <sheetData>
    <row r="1" spans="1:255" ht="54" customHeight="1" thickBot="1">
      <c r="A1" s="3160" t="s">
        <v>54</v>
      </c>
      <c r="B1" s="3161"/>
      <c r="C1" s="3161"/>
      <c r="D1" s="3161"/>
      <c r="E1" s="3161"/>
      <c r="F1" s="3161"/>
      <c r="G1" s="3161"/>
      <c r="H1" s="3161"/>
      <c r="I1" s="3161"/>
      <c r="J1" s="3161"/>
      <c r="K1" s="3161"/>
      <c r="L1" s="3161"/>
      <c r="M1" s="3161"/>
      <c r="N1" s="87" t="s">
        <v>284</v>
      </c>
      <c r="O1" s="87">
        <v>31</v>
      </c>
      <c r="Q1" s="3144"/>
      <c r="R1" s="3145"/>
      <c r="S1" s="3145"/>
      <c r="T1" s="3145"/>
      <c r="U1" s="3146"/>
      <c r="V1" s="500"/>
      <c r="W1" s="3144"/>
      <c r="X1" s="3145"/>
      <c r="Y1" s="3145"/>
      <c r="Z1" s="3145"/>
      <c r="AA1" s="3146"/>
      <c r="AB1" s="500"/>
      <c r="AC1" s="3144"/>
      <c r="AD1" s="3145"/>
      <c r="AE1" s="3145"/>
      <c r="AF1" s="3145"/>
      <c r="AG1" s="3146"/>
      <c r="AH1" s="500"/>
      <c r="AI1" s="3144"/>
      <c r="AJ1" s="3145"/>
      <c r="AK1" s="3145"/>
      <c r="AL1" s="3145"/>
      <c r="AM1" s="3146"/>
      <c r="AN1" s="500"/>
      <c r="AO1" s="3144"/>
      <c r="AP1" s="3145"/>
      <c r="AQ1" s="3145"/>
      <c r="AR1" s="3145"/>
      <c r="AS1" s="3146"/>
      <c r="AT1" s="500"/>
      <c r="AU1" s="3144"/>
      <c r="AV1" s="3145"/>
      <c r="AW1" s="3145"/>
      <c r="AX1" s="3145"/>
      <c r="AY1" s="3146"/>
      <c r="AZ1" s="500"/>
      <c r="BA1" s="3144"/>
      <c r="BB1" s="3145"/>
      <c r="BC1" s="3145"/>
      <c r="BD1" s="3145"/>
      <c r="BE1" s="3146"/>
      <c r="BG1" s="3144"/>
      <c r="BH1" s="3145"/>
      <c r="BI1" s="3145"/>
      <c r="BJ1" s="3145"/>
      <c r="BK1" s="3146"/>
      <c r="BM1" s="3144"/>
      <c r="BN1" s="3145"/>
      <c r="BO1" s="3145"/>
      <c r="BP1" s="3145"/>
      <c r="BQ1" s="3146"/>
      <c r="BS1" s="3156"/>
      <c r="BT1" s="3157"/>
      <c r="BU1" s="3157"/>
      <c r="BV1" s="3157"/>
      <c r="BW1" s="3158"/>
      <c r="BY1" s="3156"/>
      <c r="BZ1" s="3157"/>
      <c r="CA1" s="3157"/>
      <c r="CB1" s="3157"/>
      <c r="CC1" s="3158"/>
      <c r="CE1" s="3144"/>
      <c r="CF1" s="3145"/>
      <c r="CG1" s="3145"/>
      <c r="CH1" s="3145"/>
      <c r="CI1" s="3146"/>
      <c r="CK1" s="501"/>
      <c r="CL1" s="501"/>
      <c r="CM1" s="501"/>
      <c r="CN1" s="501"/>
      <c r="CO1" s="501"/>
      <c r="CQ1" s="501"/>
      <c r="CR1" s="501"/>
      <c r="CS1" s="501"/>
      <c r="CT1" s="501"/>
      <c r="CU1" s="501"/>
      <c r="CW1" s="501"/>
      <c r="CX1" s="501"/>
      <c r="CY1" s="501"/>
      <c r="CZ1" s="501"/>
      <c r="DA1" s="501"/>
      <c r="DC1" s="501"/>
      <c r="DD1" s="501"/>
      <c r="DE1" s="501"/>
      <c r="DF1" s="501"/>
      <c r="DG1" s="501"/>
      <c r="DI1" s="501"/>
      <c r="DJ1" s="501"/>
      <c r="DK1" s="501"/>
      <c r="DL1" s="501"/>
      <c r="DM1" s="501"/>
      <c r="DO1" s="501"/>
      <c r="DP1" s="501"/>
      <c r="DQ1" s="501"/>
      <c r="DR1" s="501"/>
      <c r="DS1" s="501"/>
      <c r="DT1" s="501"/>
      <c r="DU1" s="501"/>
      <c r="DV1" s="501"/>
      <c r="DW1" s="501"/>
      <c r="DX1" s="501"/>
      <c r="DY1" s="501"/>
      <c r="EA1" s="501"/>
      <c r="EB1" s="501"/>
      <c r="EC1" s="501"/>
      <c r="ED1" s="501"/>
      <c r="EE1" s="501"/>
      <c r="EG1" s="501"/>
      <c r="EH1" s="501"/>
      <c r="EI1" s="501"/>
      <c r="EJ1" s="501"/>
      <c r="EK1" s="501"/>
      <c r="EM1" s="501"/>
      <c r="EN1" s="501"/>
      <c r="EO1" s="501"/>
      <c r="EP1" s="501"/>
      <c r="EQ1" s="501"/>
      <c r="ES1" s="3155"/>
      <c r="ET1" s="3154"/>
      <c r="EU1" s="3154"/>
      <c r="EV1" s="3154"/>
      <c r="EW1" s="3154"/>
      <c r="EY1" s="3155"/>
      <c r="EZ1" s="3154"/>
      <c r="FA1" s="3154"/>
      <c r="FB1" s="3154"/>
      <c r="FC1" s="3154"/>
      <c r="FE1" s="3155"/>
      <c r="FF1" s="3154"/>
      <c r="FG1" s="3154"/>
      <c r="FH1" s="3154"/>
      <c r="FI1" s="3154"/>
      <c r="FK1" s="3154"/>
      <c r="FL1" s="3154"/>
      <c r="FM1" s="3154"/>
      <c r="FN1" s="3154"/>
      <c r="FO1" s="3154"/>
      <c r="FQ1" s="3154"/>
      <c r="FR1" s="3154"/>
      <c r="FS1" s="3154"/>
      <c r="FT1" s="3154"/>
      <c r="FU1" s="3154"/>
      <c r="FW1" s="3154"/>
      <c r="FX1" s="3154"/>
      <c r="FY1" s="3154"/>
      <c r="FZ1" s="3154"/>
      <c r="GA1" s="3154"/>
      <c r="GC1" s="3154"/>
      <c r="GD1" s="3154"/>
      <c r="GE1" s="3154"/>
      <c r="GF1" s="3154"/>
      <c r="GG1" s="3154"/>
      <c r="GH1" s="502"/>
      <c r="GI1" s="3154"/>
      <c r="GJ1" s="3154"/>
      <c r="GK1" s="3154"/>
      <c r="GL1" s="3154"/>
      <c r="GM1" s="3154"/>
      <c r="GN1" s="502"/>
      <c r="GO1" s="3170"/>
      <c r="GP1" s="3170"/>
      <c r="GQ1" s="3170"/>
      <c r="GR1" s="3170"/>
      <c r="GS1" s="3170"/>
      <c r="GT1" s="503"/>
      <c r="GU1" s="3170"/>
      <c r="GV1" s="3170"/>
      <c r="GW1" s="3170"/>
      <c r="GX1" s="3170"/>
      <c r="GY1" s="3170"/>
      <c r="GZ1" s="503"/>
      <c r="HA1" s="3170"/>
      <c r="HB1" s="3170"/>
      <c r="HC1" s="3170"/>
      <c r="HD1" s="3170"/>
      <c r="HE1" s="3170"/>
      <c r="HF1" s="503"/>
      <c r="HG1" s="3170"/>
      <c r="HH1" s="3170"/>
      <c r="HI1" s="3170"/>
      <c r="HJ1" s="3170"/>
      <c r="HK1" s="3170"/>
      <c r="HL1" s="503"/>
      <c r="HM1" s="3170"/>
      <c r="HN1" s="3170"/>
      <c r="HO1" s="3170"/>
      <c r="HP1" s="3170"/>
      <c r="HQ1" s="3170"/>
      <c r="HR1" s="503"/>
      <c r="HS1" s="3170"/>
      <c r="HT1" s="3170"/>
      <c r="HU1" s="3170"/>
      <c r="HV1" s="3170"/>
      <c r="HW1" s="3170"/>
      <c r="HX1" s="503"/>
      <c r="HY1" s="3170"/>
      <c r="HZ1" s="3170"/>
      <c r="IA1" s="3170"/>
      <c r="IB1" s="3170"/>
      <c r="IC1" s="3170"/>
      <c r="ID1" s="503"/>
      <c r="IE1" s="3170"/>
      <c r="IF1" s="3170"/>
      <c r="IG1" s="3170"/>
      <c r="IH1" s="3170"/>
      <c r="II1" s="3170"/>
      <c r="IJ1" s="503"/>
      <c r="IK1" s="3170"/>
      <c r="IL1" s="3170"/>
      <c r="IM1" s="3170"/>
      <c r="IN1" s="3170"/>
      <c r="IO1" s="3170"/>
      <c r="IP1" s="503"/>
      <c r="IQ1" s="3170"/>
      <c r="IR1" s="3170"/>
      <c r="IS1" s="3170"/>
      <c r="IT1" s="3170"/>
      <c r="IU1" s="3170"/>
    </row>
    <row r="2" spans="1:255" ht="12.75" customHeight="1">
      <c r="A2" s="504" t="s">
        <v>308</v>
      </c>
      <c r="B2" s="3162" t="s">
        <v>17</v>
      </c>
      <c r="C2" s="3163"/>
      <c r="D2" s="3164"/>
      <c r="E2" s="3162" t="s">
        <v>18</v>
      </c>
      <c r="F2" s="3163"/>
      <c r="G2" s="3164"/>
      <c r="H2" s="3162" t="s">
        <v>23</v>
      </c>
      <c r="I2" s="3163"/>
      <c r="J2" s="3164"/>
      <c r="K2" s="3162" t="s">
        <v>142</v>
      </c>
      <c r="L2" s="3163"/>
      <c r="M2" s="3164"/>
      <c r="N2" s="87" t="s">
        <v>285</v>
      </c>
      <c r="O2" s="87">
        <v>28</v>
      </c>
      <c r="Q2" s="504" t="s">
        <v>308</v>
      </c>
      <c r="R2" s="3147" t="s">
        <v>17</v>
      </c>
      <c r="S2" s="3149" t="s">
        <v>18</v>
      </c>
      <c r="T2" s="3149" t="s">
        <v>23</v>
      </c>
      <c r="U2" s="3151" t="s">
        <v>283</v>
      </c>
      <c r="V2" s="505"/>
      <c r="W2" s="504" t="s">
        <v>308</v>
      </c>
      <c r="X2" s="3147" t="s">
        <v>17</v>
      </c>
      <c r="Y2" s="3149" t="s">
        <v>18</v>
      </c>
      <c r="Z2" s="3149" t="s">
        <v>23</v>
      </c>
      <c r="AA2" s="3151" t="s">
        <v>283</v>
      </c>
      <c r="AB2" s="505"/>
      <c r="AC2" s="504" t="s">
        <v>308</v>
      </c>
      <c r="AD2" s="506" t="s">
        <v>17</v>
      </c>
      <c r="AE2" s="507" t="s">
        <v>18</v>
      </c>
      <c r="AF2" s="507" t="s">
        <v>23</v>
      </c>
      <c r="AG2" s="508" t="s">
        <v>283</v>
      </c>
      <c r="AH2" s="505"/>
      <c r="AI2" s="504" t="s">
        <v>308</v>
      </c>
      <c r="AJ2" s="506" t="s">
        <v>17</v>
      </c>
      <c r="AK2" s="507" t="s">
        <v>18</v>
      </c>
      <c r="AL2" s="507" t="s">
        <v>23</v>
      </c>
      <c r="AM2" s="508" t="s">
        <v>283</v>
      </c>
      <c r="AN2" s="505"/>
      <c r="AO2" s="504" t="s">
        <v>308</v>
      </c>
      <c r="AP2" s="506" t="s">
        <v>17</v>
      </c>
      <c r="AQ2" s="507" t="s">
        <v>18</v>
      </c>
      <c r="AR2" s="507" t="s">
        <v>23</v>
      </c>
      <c r="AS2" s="508" t="s">
        <v>283</v>
      </c>
      <c r="AT2" s="505"/>
      <c r="AU2" s="504" t="s">
        <v>308</v>
      </c>
      <c r="AV2" s="506" t="s">
        <v>17</v>
      </c>
      <c r="AW2" s="507" t="s">
        <v>18</v>
      </c>
      <c r="AX2" s="507" t="s">
        <v>23</v>
      </c>
      <c r="AY2" s="508" t="s">
        <v>283</v>
      </c>
      <c r="AZ2" s="505"/>
      <c r="BA2" s="504" t="s">
        <v>308</v>
      </c>
      <c r="BB2" s="506" t="s">
        <v>17</v>
      </c>
      <c r="BC2" s="507" t="s">
        <v>18</v>
      </c>
      <c r="BD2" s="507" t="s">
        <v>23</v>
      </c>
      <c r="BE2" s="508" t="s">
        <v>283</v>
      </c>
      <c r="BG2" s="93" t="s">
        <v>308</v>
      </c>
      <c r="BH2" s="506" t="s">
        <v>17</v>
      </c>
      <c r="BI2" s="507" t="s">
        <v>18</v>
      </c>
      <c r="BJ2" s="507" t="s">
        <v>23</v>
      </c>
      <c r="BK2" s="508" t="s">
        <v>283</v>
      </c>
      <c r="BM2" s="93" t="s">
        <v>308</v>
      </c>
      <c r="BN2" s="506" t="s">
        <v>17</v>
      </c>
      <c r="BO2" s="507" t="s">
        <v>18</v>
      </c>
      <c r="BP2" s="507" t="s">
        <v>23</v>
      </c>
      <c r="BQ2" s="508" t="s">
        <v>283</v>
      </c>
      <c r="BS2" s="93" t="s">
        <v>308</v>
      </c>
      <c r="BT2" s="506" t="s">
        <v>17</v>
      </c>
      <c r="BU2" s="507" t="s">
        <v>18</v>
      </c>
      <c r="BV2" s="507" t="s">
        <v>23</v>
      </c>
      <c r="BW2" s="508" t="s">
        <v>283</v>
      </c>
      <c r="BY2" s="93" t="s">
        <v>308</v>
      </c>
      <c r="BZ2" s="506" t="s">
        <v>17</v>
      </c>
      <c r="CA2" s="507" t="s">
        <v>18</v>
      </c>
      <c r="CB2" s="507" t="s">
        <v>23</v>
      </c>
      <c r="CC2" s="508" t="s">
        <v>283</v>
      </c>
      <c r="CE2" s="93" t="s">
        <v>308</v>
      </c>
      <c r="CF2" s="506" t="s">
        <v>17</v>
      </c>
      <c r="CG2" s="507" t="s">
        <v>18</v>
      </c>
      <c r="CH2" s="507" t="s">
        <v>23</v>
      </c>
      <c r="CI2" s="508" t="s">
        <v>283</v>
      </c>
      <c r="CK2" s="115"/>
      <c r="CL2" s="115"/>
      <c r="CM2" s="115"/>
      <c r="CN2" s="115"/>
      <c r="CO2" s="115"/>
      <c r="CQ2" s="115"/>
      <c r="CR2" s="115"/>
      <c r="CS2" s="115"/>
      <c r="CT2" s="115"/>
      <c r="CU2" s="115"/>
      <c r="CW2" s="115"/>
      <c r="CX2" s="115"/>
      <c r="CY2" s="115"/>
      <c r="CZ2" s="115"/>
      <c r="DA2" s="115"/>
      <c r="DC2" s="115"/>
      <c r="DD2" s="115"/>
      <c r="DE2" s="115"/>
      <c r="DF2" s="115"/>
      <c r="DG2" s="115"/>
      <c r="DI2" s="115"/>
      <c r="DJ2" s="115"/>
      <c r="DK2" s="115"/>
      <c r="DL2" s="115"/>
      <c r="DM2" s="115"/>
      <c r="DO2" s="115"/>
      <c r="DP2" s="115"/>
      <c r="DQ2" s="115"/>
      <c r="DR2" s="115"/>
      <c r="DS2" s="115"/>
      <c r="DT2" s="115"/>
      <c r="DU2" s="115"/>
      <c r="DV2" s="115"/>
      <c r="DW2" s="115"/>
      <c r="DX2" s="115"/>
      <c r="DY2" s="115"/>
      <c r="EA2" s="115"/>
      <c r="EB2" s="115"/>
      <c r="EC2" s="115"/>
      <c r="ED2" s="115"/>
      <c r="EE2" s="115"/>
      <c r="EG2" s="115"/>
      <c r="EH2" s="115"/>
      <c r="EI2" s="115"/>
      <c r="EJ2" s="115"/>
      <c r="EK2" s="115"/>
      <c r="EM2" s="115"/>
      <c r="EN2" s="115"/>
      <c r="EO2" s="115"/>
      <c r="EQ2" s="115"/>
      <c r="ES2" s="3153"/>
      <c r="ET2" s="3153"/>
      <c r="EU2" s="3153"/>
      <c r="EV2" s="3153"/>
      <c r="EW2" s="3153"/>
      <c r="EY2" s="3153"/>
      <c r="EZ2" s="3153"/>
      <c r="FA2" s="3153"/>
      <c r="FB2" s="3153"/>
      <c r="FC2" s="3153"/>
      <c r="FE2" s="3153"/>
      <c r="FF2" s="3153"/>
      <c r="FG2" s="3153"/>
      <c r="FH2" s="3153"/>
      <c r="FI2" s="3153"/>
      <c r="FK2" s="3153"/>
      <c r="FL2" s="3153"/>
      <c r="FM2" s="3153"/>
      <c r="FN2" s="3153"/>
      <c r="FO2" s="3153"/>
      <c r="FQ2" s="3153"/>
      <c r="FR2" s="3153"/>
      <c r="FS2" s="3153"/>
      <c r="FT2" s="3153"/>
      <c r="FU2" s="3153"/>
      <c r="FW2" s="3153"/>
      <c r="FX2" s="3153"/>
      <c r="FY2" s="3153"/>
      <c r="FZ2" s="3153"/>
      <c r="GA2" s="3153"/>
      <c r="GC2" s="3153"/>
      <c r="GD2" s="3153"/>
      <c r="GE2" s="3153"/>
      <c r="GF2" s="3153"/>
      <c r="GG2" s="3153"/>
      <c r="GH2" s="115"/>
      <c r="GI2" s="3153"/>
      <c r="GJ2" s="3153"/>
      <c r="GK2" s="3153"/>
      <c r="GL2" s="3153"/>
      <c r="GM2" s="3153"/>
      <c r="GN2" s="115"/>
      <c r="GO2" s="3159"/>
      <c r="GP2" s="3159"/>
      <c r="GQ2" s="3159"/>
      <c r="GR2" s="3159"/>
      <c r="GS2" s="3159"/>
      <c r="GT2" s="509"/>
      <c r="GU2" s="3159"/>
      <c r="GV2" s="3159"/>
      <c r="GW2" s="3159"/>
      <c r="GX2" s="3159"/>
      <c r="GY2" s="3159"/>
      <c r="GZ2" s="509"/>
      <c r="HA2" s="3159"/>
      <c r="HB2" s="3159"/>
      <c r="HC2" s="3159"/>
      <c r="HD2" s="3159"/>
      <c r="HE2" s="3159"/>
      <c r="HF2" s="509"/>
      <c r="HG2" s="3159"/>
      <c r="HH2" s="3159"/>
      <c r="HI2" s="3159"/>
      <c r="HJ2" s="3159"/>
      <c r="HK2" s="3159"/>
      <c r="HL2" s="509"/>
      <c r="HM2" s="3159"/>
      <c r="HN2" s="3159"/>
      <c r="HO2" s="3159"/>
      <c r="HP2" s="3159"/>
      <c r="HQ2" s="3159"/>
      <c r="HR2" s="509"/>
      <c r="HS2" s="3159"/>
      <c r="HT2" s="3159"/>
      <c r="HU2" s="3159"/>
      <c r="HV2" s="3159"/>
      <c r="HW2" s="3159"/>
      <c r="HX2" s="509"/>
      <c r="HY2" s="3159"/>
      <c r="HZ2" s="3159"/>
      <c r="IA2" s="3159"/>
      <c r="IB2" s="3159"/>
      <c r="IC2" s="3159"/>
      <c r="ID2" s="509"/>
      <c r="IE2" s="3159"/>
      <c r="IF2" s="3159"/>
      <c r="IG2" s="3159"/>
      <c r="IH2" s="3159"/>
      <c r="II2" s="3159"/>
      <c r="IJ2" s="509"/>
      <c r="IK2" s="3159"/>
      <c r="IL2" s="3159"/>
      <c r="IM2" s="3159"/>
      <c r="IN2" s="3159"/>
      <c r="IO2" s="3159"/>
      <c r="IP2" s="509"/>
      <c r="IQ2" s="3159"/>
      <c r="IR2" s="3159"/>
      <c r="IS2" s="3159"/>
      <c r="IT2" s="3159"/>
      <c r="IU2" s="3159"/>
    </row>
    <row r="3" spans="1:255" ht="12.75" customHeight="1">
      <c r="A3" s="510"/>
      <c r="B3" s="3168" t="s">
        <v>1</v>
      </c>
      <c r="C3" s="3136"/>
      <c r="D3" s="3169"/>
      <c r="E3" s="3168" t="s">
        <v>1</v>
      </c>
      <c r="F3" s="3136"/>
      <c r="G3" s="3169"/>
      <c r="H3" s="3168" t="s">
        <v>1</v>
      </c>
      <c r="I3" s="3136"/>
      <c r="J3" s="3169"/>
      <c r="K3" s="3168" t="s">
        <v>1</v>
      </c>
      <c r="L3" s="3136"/>
      <c r="M3" s="3169"/>
      <c r="N3" s="87" t="s">
        <v>263</v>
      </c>
      <c r="O3" s="87">
        <v>31</v>
      </c>
      <c r="Q3" s="510"/>
      <c r="R3" s="3148"/>
      <c r="S3" s="3150"/>
      <c r="T3" s="3150"/>
      <c r="U3" s="3152"/>
      <c r="V3" s="505"/>
      <c r="W3" s="510"/>
      <c r="X3" s="3148"/>
      <c r="Y3" s="3150"/>
      <c r="Z3" s="3150"/>
      <c r="AA3" s="3152"/>
      <c r="AB3" s="505"/>
      <c r="AC3" s="510"/>
      <c r="AD3" s="512"/>
      <c r="AE3" s="513"/>
      <c r="AF3" s="513"/>
      <c r="AG3" s="514"/>
      <c r="AH3" s="505"/>
      <c r="AI3" s="510"/>
      <c r="AJ3" s="512"/>
      <c r="AK3" s="513"/>
      <c r="AL3" s="513"/>
      <c r="AM3" s="514"/>
      <c r="AN3" s="505"/>
      <c r="AO3" s="510"/>
      <c r="AP3" s="512"/>
      <c r="AQ3" s="513"/>
      <c r="AR3" s="513"/>
      <c r="AS3" s="514"/>
      <c r="AT3" s="505"/>
      <c r="AU3" s="510"/>
      <c r="AV3" s="512"/>
      <c r="AW3" s="513"/>
      <c r="AX3" s="513"/>
      <c r="AY3" s="514"/>
      <c r="AZ3" s="505"/>
      <c r="BA3" s="510"/>
      <c r="BB3" s="512"/>
      <c r="BC3" s="513"/>
      <c r="BD3" s="513"/>
      <c r="BE3" s="514"/>
      <c r="BG3" s="511"/>
      <c r="BH3" s="512"/>
      <c r="BI3" s="513"/>
      <c r="BJ3" s="513"/>
      <c r="BK3" s="514"/>
      <c r="BM3" s="511"/>
      <c r="BN3" s="512"/>
      <c r="BO3" s="513"/>
      <c r="BP3" s="513"/>
      <c r="BQ3" s="514"/>
      <c r="BS3" s="511"/>
      <c r="BT3" s="512"/>
      <c r="BU3" s="513"/>
      <c r="BV3" s="513"/>
      <c r="BW3" s="514"/>
      <c r="BY3" s="511"/>
      <c r="BZ3" s="512"/>
      <c r="CA3" s="513"/>
      <c r="CB3" s="513"/>
      <c r="CC3" s="514"/>
      <c r="CE3" s="511"/>
      <c r="CF3" s="512"/>
      <c r="CG3" s="513"/>
      <c r="CH3" s="513"/>
      <c r="CI3" s="514"/>
      <c r="CK3" s="115"/>
      <c r="CL3" s="115"/>
      <c r="CM3" s="115"/>
      <c r="CN3" s="115"/>
      <c r="CO3" s="115"/>
      <c r="CQ3" s="115"/>
      <c r="CR3" s="115"/>
      <c r="CS3" s="115"/>
      <c r="CT3" s="115"/>
      <c r="CU3" s="115"/>
      <c r="CW3" s="115"/>
      <c r="CX3" s="115"/>
      <c r="CY3" s="115"/>
      <c r="CZ3" s="115"/>
      <c r="DA3" s="115"/>
      <c r="DC3" s="115"/>
      <c r="DD3" s="115"/>
      <c r="DE3" s="115"/>
      <c r="DF3" s="115"/>
      <c r="DG3" s="115"/>
      <c r="DI3" s="115"/>
      <c r="DJ3" s="115"/>
      <c r="DK3" s="115"/>
      <c r="DL3" s="115"/>
      <c r="DM3" s="115"/>
      <c r="DO3" s="115"/>
      <c r="DP3" s="115"/>
      <c r="DQ3" s="115"/>
      <c r="DR3" s="115"/>
      <c r="DS3" s="115"/>
      <c r="DT3" s="115"/>
      <c r="DU3" s="115"/>
      <c r="DV3" s="115"/>
      <c r="DW3" s="115"/>
      <c r="DX3" s="115"/>
      <c r="DY3" s="115"/>
      <c r="EA3" s="115"/>
      <c r="EB3" s="115"/>
      <c r="EC3" s="115"/>
      <c r="ED3" s="115"/>
      <c r="EE3" s="115"/>
      <c r="EG3" s="115"/>
      <c r="EH3" s="115"/>
      <c r="EI3" s="115"/>
      <c r="EJ3" s="115"/>
      <c r="EK3" s="115"/>
      <c r="EM3" s="115"/>
      <c r="EN3" s="115"/>
      <c r="EO3" s="115"/>
      <c r="EQ3" s="115"/>
      <c r="ES3" s="3153"/>
      <c r="ET3" s="3153"/>
      <c r="EU3" s="3153"/>
      <c r="EV3" s="3153"/>
      <c r="EW3" s="3153"/>
      <c r="EY3" s="3153"/>
      <c r="EZ3" s="3153"/>
      <c r="FA3" s="3153"/>
      <c r="FB3" s="3153"/>
      <c r="FC3" s="3153"/>
      <c r="FE3" s="3153"/>
      <c r="FF3" s="3153"/>
      <c r="FG3" s="3153"/>
      <c r="FH3" s="3153"/>
      <c r="FI3" s="3153"/>
      <c r="FK3" s="3153"/>
      <c r="FL3" s="3153"/>
      <c r="FM3" s="3153"/>
      <c r="FN3" s="3153"/>
      <c r="FO3" s="3153"/>
      <c r="FQ3" s="3153"/>
      <c r="FR3" s="3153"/>
      <c r="FS3" s="3153"/>
      <c r="FT3" s="3153"/>
      <c r="FU3" s="3153"/>
      <c r="FW3" s="3153"/>
      <c r="FX3" s="3153"/>
      <c r="FY3" s="3153"/>
      <c r="FZ3" s="3153"/>
      <c r="GA3" s="3153"/>
      <c r="GC3" s="3153"/>
      <c r="GD3" s="3153"/>
      <c r="GE3" s="3153"/>
      <c r="GF3" s="3153"/>
      <c r="GG3" s="3153"/>
      <c r="GH3" s="115"/>
      <c r="GI3" s="3153"/>
      <c r="GJ3" s="3153"/>
      <c r="GK3" s="3153"/>
      <c r="GL3" s="3153"/>
      <c r="GM3" s="3153"/>
      <c r="GN3" s="115"/>
      <c r="GO3" s="3159"/>
      <c r="GP3" s="3159"/>
      <c r="GQ3" s="3159"/>
      <c r="GR3" s="3159"/>
      <c r="GS3" s="3159"/>
      <c r="GT3" s="509"/>
      <c r="GU3" s="3159"/>
      <c r="GV3" s="3159"/>
      <c r="GW3" s="3159"/>
      <c r="GX3" s="3159"/>
      <c r="GY3" s="3159"/>
      <c r="GZ3" s="509"/>
      <c r="HA3" s="3159"/>
      <c r="HB3" s="3159"/>
      <c r="HC3" s="3159"/>
      <c r="HD3" s="3159"/>
      <c r="HE3" s="3159"/>
      <c r="HF3" s="509"/>
      <c r="HG3" s="3159"/>
      <c r="HH3" s="3159"/>
      <c r="HI3" s="3159"/>
      <c r="HJ3" s="3159"/>
      <c r="HK3" s="3159"/>
      <c r="HL3" s="509"/>
      <c r="HM3" s="3159"/>
      <c r="HN3" s="3159"/>
      <c r="HO3" s="3159"/>
      <c r="HP3" s="3159"/>
      <c r="HQ3" s="3159"/>
      <c r="HR3" s="509"/>
      <c r="HS3" s="3159"/>
      <c r="HT3" s="3159"/>
      <c r="HU3" s="3159"/>
      <c r="HV3" s="3159"/>
      <c r="HW3" s="3159"/>
      <c r="HX3" s="509"/>
      <c r="HY3" s="3159"/>
      <c r="HZ3" s="3159"/>
      <c r="IA3" s="3159"/>
      <c r="IB3" s="3159"/>
      <c r="IC3" s="3159"/>
      <c r="ID3" s="509"/>
      <c r="IE3" s="3159"/>
      <c r="IF3" s="3159"/>
      <c r="IG3" s="3159"/>
      <c r="IH3" s="3159"/>
      <c r="II3" s="3159"/>
      <c r="IJ3" s="509"/>
      <c r="IK3" s="3159"/>
      <c r="IL3" s="3159"/>
      <c r="IM3" s="3159"/>
      <c r="IN3" s="3159"/>
      <c r="IO3" s="3159"/>
      <c r="IP3" s="509"/>
      <c r="IQ3" s="3159"/>
      <c r="IR3" s="3159"/>
      <c r="IS3" s="3159"/>
      <c r="IT3" s="3159"/>
      <c r="IU3" s="3159"/>
    </row>
    <row r="4" spans="1:255" ht="31.5" customHeight="1" thickBot="1">
      <c r="A4" s="515"/>
      <c r="B4" s="516">
        <v>44927</v>
      </c>
      <c r="C4" s="517">
        <v>45292</v>
      </c>
      <c r="D4" s="518" t="s">
        <v>170</v>
      </c>
      <c r="E4" s="516">
        <f>B4</f>
        <v>44927</v>
      </c>
      <c r="F4" s="517">
        <f>C4</f>
        <v>45292</v>
      </c>
      <c r="G4" s="518" t="s">
        <v>170</v>
      </c>
      <c r="H4" s="516">
        <f>B4</f>
        <v>44927</v>
      </c>
      <c r="I4" s="517">
        <f>C4</f>
        <v>45292</v>
      </c>
      <c r="J4" s="518" t="s">
        <v>170</v>
      </c>
      <c r="K4" s="516">
        <f>B4</f>
        <v>44927</v>
      </c>
      <c r="L4" s="517">
        <f>C4</f>
        <v>45292</v>
      </c>
      <c r="M4" s="518" t="s">
        <v>163</v>
      </c>
      <c r="N4" s="87" t="s">
        <v>286</v>
      </c>
      <c r="O4" s="87">
        <v>30</v>
      </c>
      <c r="Q4" s="515"/>
      <c r="R4" s="516">
        <v>45261</v>
      </c>
      <c r="S4" s="517">
        <f>R4</f>
        <v>45261</v>
      </c>
      <c r="T4" s="517">
        <f>S4</f>
        <v>45261</v>
      </c>
      <c r="U4" s="518">
        <f>T4</f>
        <v>45261</v>
      </c>
      <c r="V4" s="519"/>
      <c r="W4" s="515"/>
      <c r="X4" s="516">
        <v>45231</v>
      </c>
      <c r="Y4" s="517">
        <f>X4</f>
        <v>45231</v>
      </c>
      <c r="Z4" s="517">
        <f>Y4</f>
        <v>45231</v>
      </c>
      <c r="AA4" s="518">
        <f>Z4</f>
        <v>45231</v>
      </c>
      <c r="AB4" s="519"/>
      <c r="AC4" s="515"/>
      <c r="AD4" s="516">
        <v>45200</v>
      </c>
      <c r="AE4" s="516">
        <v>45200</v>
      </c>
      <c r="AF4" s="516">
        <v>45200</v>
      </c>
      <c r="AG4" s="516">
        <v>45200</v>
      </c>
      <c r="AH4" s="519"/>
      <c r="AI4" s="515"/>
      <c r="AJ4" s="516">
        <v>45170</v>
      </c>
      <c r="AK4" s="517">
        <v>45170</v>
      </c>
      <c r="AL4" s="517">
        <v>45170</v>
      </c>
      <c r="AM4" s="518">
        <v>45170</v>
      </c>
      <c r="AN4" s="519"/>
      <c r="AO4" s="515"/>
      <c r="AP4" s="516">
        <v>45139</v>
      </c>
      <c r="AQ4" s="517">
        <v>45139</v>
      </c>
      <c r="AR4" s="517">
        <v>45139</v>
      </c>
      <c r="AS4" s="518">
        <v>45139</v>
      </c>
      <c r="AT4" s="519"/>
      <c r="AU4" s="515"/>
      <c r="AV4" s="516">
        <v>45108</v>
      </c>
      <c r="AW4" s="517">
        <v>45108</v>
      </c>
      <c r="AX4" s="517">
        <v>45108</v>
      </c>
      <c r="AY4" s="518">
        <v>45108</v>
      </c>
      <c r="AZ4" s="519"/>
      <c r="BA4" s="515"/>
      <c r="BB4" s="516">
        <v>45078</v>
      </c>
      <c r="BC4" s="517">
        <v>45078</v>
      </c>
      <c r="BD4" s="517">
        <v>45078</v>
      </c>
      <c r="BE4" s="518">
        <v>45078</v>
      </c>
      <c r="BG4" s="514"/>
      <c r="BH4" s="516">
        <v>45047</v>
      </c>
      <c r="BI4" s="517">
        <v>45047</v>
      </c>
      <c r="BJ4" s="517">
        <v>45047</v>
      </c>
      <c r="BK4" s="518">
        <v>45047</v>
      </c>
      <c r="BM4" s="514"/>
      <c r="BN4" s="516">
        <v>45017</v>
      </c>
      <c r="BO4" s="517">
        <v>45017</v>
      </c>
      <c r="BP4" s="517">
        <v>45017</v>
      </c>
      <c r="BQ4" s="518">
        <v>45017</v>
      </c>
      <c r="BS4" s="514"/>
      <c r="BT4" s="516">
        <v>44986</v>
      </c>
      <c r="BU4" s="517">
        <v>44986</v>
      </c>
      <c r="BV4" s="517">
        <v>44986</v>
      </c>
      <c r="BW4" s="518">
        <v>44986</v>
      </c>
      <c r="BY4" s="514"/>
      <c r="BZ4" s="516">
        <v>44958</v>
      </c>
      <c r="CA4" s="517">
        <v>44958</v>
      </c>
      <c r="CB4" s="517">
        <v>44958</v>
      </c>
      <c r="CC4" s="518">
        <v>44958</v>
      </c>
      <c r="CE4" s="514"/>
      <c r="CF4" s="516">
        <v>44927</v>
      </c>
      <c r="CG4" s="517">
        <v>44927</v>
      </c>
      <c r="CH4" s="517">
        <v>44927</v>
      </c>
      <c r="CI4" s="517">
        <v>44927</v>
      </c>
      <c r="CK4" s="115"/>
      <c r="CL4" s="520"/>
      <c r="CM4" s="520"/>
      <c r="CN4" s="520"/>
      <c r="CO4" s="520"/>
      <c r="CQ4" s="115"/>
      <c r="CR4" s="520"/>
      <c r="CS4" s="520"/>
      <c r="CT4" s="520"/>
      <c r="CU4" s="520"/>
      <c r="CW4" s="115"/>
      <c r="CX4" s="520"/>
      <c r="CY4" s="520"/>
      <c r="CZ4" s="520"/>
      <c r="DA4" s="520"/>
      <c r="DC4" s="115"/>
      <c r="DD4" s="520"/>
      <c r="DE4" s="520"/>
      <c r="DF4" s="520"/>
      <c r="DG4" s="520"/>
      <c r="DI4" s="115"/>
      <c r="DJ4" s="520"/>
      <c r="DK4" s="520"/>
      <c r="DL4" s="520"/>
      <c r="DM4" s="520"/>
      <c r="DO4" s="115"/>
      <c r="DP4" s="520"/>
      <c r="DQ4" s="520"/>
      <c r="DR4" s="520"/>
      <c r="DS4" s="520"/>
      <c r="DT4" s="520"/>
      <c r="DU4" s="115"/>
      <c r="DV4" s="520"/>
      <c r="DW4" s="520"/>
      <c r="DX4" s="520"/>
      <c r="DY4" s="520"/>
      <c r="EA4" s="115"/>
      <c r="EB4" s="520"/>
      <c r="EC4" s="520"/>
      <c r="ED4" s="520"/>
      <c r="EE4" s="520"/>
      <c r="EG4" s="115"/>
      <c r="EH4" s="520"/>
      <c r="EI4" s="520"/>
      <c r="EJ4" s="520"/>
      <c r="EK4" s="520"/>
      <c r="EM4" s="520"/>
      <c r="EN4" s="520"/>
      <c r="EO4" s="520"/>
      <c r="EQ4" s="520"/>
      <c r="ES4" s="3153"/>
      <c r="ET4" s="520"/>
      <c r="EU4" s="520"/>
      <c r="EV4" s="520"/>
      <c r="EW4" s="520"/>
      <c r="EY4" s="3153"/>
      <c r="EZ4" s="520"/>
      <c r="FA4" s="520"/>
      <c r="FB4" s="520"/>
      <c r="FC4" s="520"/>
      <c r="FE4" s="3153"/>
      <c r="FF4" s="520"/>
      <c r="FG4" s="520"/>
      <c r="FH4" s="520"/>
      <c r="FI4" s="520"/>
      <c r="FK4" s="3153"/>
      <c r="FL4" s="520"/>
      <c r="FM4" s="520"/>
      <c r="FN4" s="520"/>
      <c r="FO4" s="520"/>
      <c r="FQ4" s="3153"/>
      <c r="FR4" s="520"/>
      <c r="FS4" s="520"/>
      <c r="FT4" s="520"/>
      <c r="FU4" s="520"/>
      <c r="FW4" s="3153"/>
      <c r="FX4" s="520"/>
      <c r="FY4" s="520"/>
      <c r="FZ4" s="520"/>
      <c r="GA4" s="520"/>
      <c r="GC4" s="3153"/>
      <c r="GD4" s="520"/>
      <c r="GE4" s="520"/>
      <c r="GF4" s="520"/>
      <c r="GG4" s="520"/>
      <c r="GH4" s="520"/>
      <c r="GI4" s="3153"/>
      <c r="GJ4" s="520"/>
      <c r="GK4" s="520"/>
      <c r="GL4" s="520"/>
      <c r="GM4" s="520"/>
      <c r="GN4" s="520"/>
      <c r="GO4" s="3159"/>
      <c r="GP4" s="521"/>
      <c r="GQ4" s="521"/>
      <c r="GR4" s="521"/>
      <c r="GS4" s="521"/>
      <c r="GT4" s="521"/>
      <c r="GU4" s="3159"/>
      <c r="GV4" s="521"/>
      <c r="GW4" s="521"/>
      <c r="GX4" s="521"/>
      <c r="GY4" s="521"/>
      <c r="GZ4" s="521"/>
      <c r="HA4" s="3159"/>
      <c r="HB4" s="521"/>
      <c r="HC4" s="521"/>
      <c r="HD4" s="521"/>
      <c r="HE4" s="521"/>
      <c r="HF4" s="521"/>
      <c r="HG4" s="3159"/>
      <c r="HH4" s="521"/>
      <c r="HI4" s="521"/>
      <c r="HJ4" s="521"/>
      <c r="HK4" s="521"/>
      <c r="HL4" s="521"/>
      <c r="HM4" s="3159"/>
      <c r="HN4" s="521"/>
      <c r="HO4" s="521"/>
      <c r="HP4" s="521"/>
      <c r="HQ4" s="521"/>
      <c r="HR4" s="521"/>
      <c r="HS4" s="3159"/>
      <c r="HT4" s="521"/>
      <c r="HU4" s="521"/>
      <c r="HV4" s="521"/>
      <c r="HW4" s="521"/>
      <c r="HX4" s="521"/>
      <c r="HY4" s="3159"/>
      <c r="HZ4" s="521"/>
      <c r="IA4" s="521"/>
      <c r="IB4" s="521"/>
      <c r="IC4" s="521"/>
      <c r="ID4" s="521"/>
      <c r="IE4" s="3159"/>
      <c r="IF4" s="521"/>
      <c r="IG4" s="521"/>
      <c r="IH4" s="521"/>
      <c r="II4" s="521"/>
      <c r="IJ4" s="521"/>
      <c r="IK4" s="3159"/>
      <c r="IL4" s="521"/>
      <c r="IM4" s="521"/>
      <c r="IN4" s="521"/>
      <c r="IO4" s="521"/>
      <c r="IP4" s="521"/>
      <c r="IQ4" s="3159"/>
      <c r="IR4" s="521"/>
      <c r="IS4" s="521"/>
      <c r="IT4" s="521"/>
      <c r="IU4" s="521"/>
    </row>
    <row r="5" spans="1:255" ht="13.5" customHeight="1">
      <c r="A5" s="522" t="s">
        <v>68</v>
      </c>
      <c r="B5" s="523">
        <v>76.936670675422164</v>
      </c>
      <c r="C5" s="99">
        <f>+Créanc!E8/(R5/$O$14)</f>
        <v>107.61126635129746</v>
      </c>
      <c r="D5" s="524">
        <f t="shared" ref="D5:D14" si="0">C5-B5</f>
        <v>30.674595675875295</v>
      </c>
      <c r="E5" s="99">
        <v>429.84567585009893</v>
      </c>
      <c r="F5" s="99">
        <f>+Créanc!L8/(S5/$O$14)</f>
        <v>466.17153659015577</v>
      </c>
      <c r="G5" s="524">
        <f>F5-E5</f>
        <v>36.325860740056839</v>
      </c>
      <c r="H5" s="523">
        <v>159.17021038296252</v>
      </c>
      <c r="I5" s="99">
        <f>Créanc!E25/(T5/$O$14)</f>
        <v>224.00251815728936</v>
      </c>
      <c r="J5" s="524">
        <f>I5-H5</f>
        <v>64.832307774326836</v>
      </c>
      <c r="K5" s="525">
        <v>118.69603793393227</v>
      </c>
      <c r="L5" s="526">
        <f>(Créanc!E44-Créanc!K25)/(U5/$O$14)</f>
        <v>158.6936055216614</v>
      </c>
      <c r="M5" s="527">
        <f>L5-K5</f>
        <v>39.997567587729122</v>
      </c>
      <c r="N5" s="87" t="s">
        <v>196</v>
      </c>
      <c r="O5" s="87">
        <v>31</v>
      </c>
      <c r="Q5" s="528" t="s">
        <v>68</v>
      </c>
      <c r="R5" s="1847">
        <f>'calcul-DCC-TX-Encais'!AO83</f>
        <v>5673.1214186899997</v>
      </c>
      <c r="S5" s="1848">
        <f>'calcul-DCC-TX-Encais'!AQ83+'calcul-DCC-TX-Encais'!AU83</f>
        <v>382.73028740000007</v>
      </c>
      <c r="T5" s="1848">
        <f>'calcul-DCC-TX-Encais'!AP83+'calcul-DCC-TX-Encais'!AT83</f>
        <v>2635.4013348445001</v>
      </c>
      <c r="U5" s="1849">
        <f>SUM(R5:T5)</f>
        <v>8691.2530409344999</v>
      </c>
      <c r="V5" s="530"/>
      <c r="W5" s="528" t="s">
        <v>68</v>
      </c>
      <c r="X5" s="1847">
        <v>8252.0806852700007</v>
      </c>
      <c r="Y5" s="1848">
        <v>653.40270136999993</v>
      </c>
      <c r="Z5" s="1848">
        <v>4139.5001654199996</v>
      </c>
      <c r="AA5" s="1849">
        <v>13044.983552059999</v>
      </c>
      <c r="AB5" s="530"/>
      <c r="AC5" s="528" t="s">
        <v>68</v>
      </c>
      <c r="AD5" s="1847">
        <v>7545.2431610500007</v>
      </c>
      <c r="AE5" s="1848">
        <v>558.47203788000002</v>
      </c>
      <c r="AF5" s="1848">
        <v>3763.02994029</v>
      </c>
      <c r="AG5" s="1849">
        <v>11866.745139220002</v>
      </c>
      <c r="AH5" s="530"/>
      <c r="AI5" s="528" t="s">
        <v>68</v>
      </c>
      <c r="AJ5" s="1847">
        <v>6698.6186371500007</v>
      </c>
      <c r="AK5" s="1848">
        <v>558.47203788000002</v>
      </c>
      <c r="AL5" s="1848">
        <v>3376.4774248699996</v>
      </c>
      <c r="AM5" s="1849">
        <v>10633.5680999</v>
      </c>
      <c r="AN5" s="530"/>
      <c r="AO5" s="528" t="s">
        <v>68</v>
      </c>
      <c r="AP5" s="1847">
        <v>5667.1541244600003</v>
      </c>
      <c r="AQ5" s="1848">
        <v>467.39031254999992</v>
      </c>
      <c r="AR5" s="1848">
        <v>3011.8129873100002</v>
      </c>
      <c r="AS5" s="1849">
        <v>9146.3574243200001</v>
      </c>
      <c r="AT5" s="530"/>
      <c r="AU5" s="528" t="s">
        <v>68</v>
      </c>
      <c r="AV5" s="1847">
        <v>5464.7352920999992</v>
      </c>
      <c r="AW5" s="1848">
        <v>442.61635469999999</v>
      </c>
      <c r="AX5" s="1848">
        <v>1598.8253886600003</v>
      </c>
      <c r="AY5" s="1849">
        <v>7506.1770354599994</v>
      </c>
      <c r="AZ5" s="530"/>
      <c r="BA5" s="528" t="s">
        <v>68</v>
      </c>
      <c r="BB5" s="1252">
        <v>3693.8831212000009</v>
      </c>
      <c r="BC5" s="1253">
        <v>368.16790613999996</v>
      </c>
      <c r="BD5" s="1254">
        <v>2119.4795723499997</v>
      </c>
      <c r="BE5" s="1255">
        <v>6181.5305996900006</v>
      </c>
      <c r="BG5" s="528" t="s">
        <v>68</v>
      </c>
      <c r="BH5" s="1252">
        <v>3236.7082491000006</v>
      </c>
      <c r="BI5" s="1253">
        <v>294.95682841999997</v>
      </c>
      <c r="BJ5" s="1254">
        <v>1742.8979440299997</v>
      </c>
      <c r="BK5" s="1255">
        <v>5274.5630215500005</v>
      </c>
      <c r="BM5" s="528" t="s">
        <v>68</v>
      </c>
      <c r="BN5" s="1252">
        <v>2683.4686541800006</v>
      </c>
      <c r="BO5" s="1253">
        <v>297.75806293999995</v>
      </c>
      <c r="BP5" s="1254">
        <v>1581.7080284399999</v>
      </c>
      <c r="BQ5" s="1255">
        <v>4562.93474556</v>
      </c>
      <c r="BS5" s="528" t="s">
        <v>68</v>
      </c>
      <c r="BT5" s="97">
        <v>2037.3522500500003</v>
      </c>
      <c r="BU5" s="98">
        <v>200.92239311999998</v>
      </c>
      <c r="BV5" s="526">
        <v>1076.47107491</v>
      </c>
      <c r="BW5" s="529">
        <v>3314.7457180800002</v>
      </c>
      <c r="BY5" s="528" t="s">
        <v>68</v>
      </c>
      <c r="BZ5" s="97">
        <v>1380.1981447900002</v>
      </c>
      <c r="CA5" s="98">
        <v>106.20300078</v>
      </c>
      <c r="CB5" s="526">
        <v>716.42606892000003</v>
      </c>
      <c r="CC5" s="529">
        <v>2202.8272144900002</v>
      </c>
      <c r="CE5" s="528" t="s">
        <v>68</v>
      </c>
      <c r="CF5" s="97">
        <v>100.06879896</v>
      </c>
      <c r="CG5" s="98">
        <v>4803.5267409200005</v>
      </c>
      <c r="CH5" s="526">
        <v>231.57796718000003</v>
      </c>
      <c r="CI5" s="529">
        <v>5135.1735070600007</v>
      </c>
      <c r="CK5" s="86"/>
      <c r="CL5" s="531"/>
      <c r="CM5" s="531"/>
      <c r="CN5" s="531"/>
      <c r="CO5" s="531"/>
      <c r="CQ5" s="86"/>
      <c r="CR5" s="531"/>
      <c r="CS5" s="531"/>
      <c r="CT5" s="531"/>
      <c r="CU5" s="531"/>
      <c r="CW5" s="86"/>
      <c r="CX5" s="531"/>
      <c r="CY5" s="531"/>
      <c r="CZ5" s="531"/>
      <c r="DA5" s="531"/>
      <c r="DC5" s="86"/>
      <c r="DD5" s="531"/>
      <c r="DE5" s="531"/>
      <c r="DF5" s="531"/>
      <c r="DG5" s="531"/>
      <c r="DI5" s="86"/>
      <c r="DJ5" s="531"/>
      <c r="DK5" s="531"/>
      <c r="DL5" s="531"/>
      <c r="DM5" s="531"/>
      <c r="DO5" s="86"/>
      <c r="DP5" s="531"/>
      <c r="DQ5" s="531"/>
      <c r="DR5" s="531"/>
      <c r="DS5" s="531"/>
      <c r="DT5" s="531"/>
      <c r="DU5" s="86"/>
      <c r="DV5" s="531"/>
      <c r="DW5" s="531"/>
      <c r="DX5" s="531"/>
      <c r="DY5" s="531"/>
      <c r="EA5" s="86"/>
      <c r="EB5" s="531"/>
      <c r="EC5" s="531"/>
      <c r="ED5" s="531"/>
      <c r="EE5" s="531"/>
      <c r="EG5" s="86"/>
      <c r="EH5" s="531"/>
      <c r="EI5" s="531"/>
      <c r="EJ5" s="531"/>
      <c r="EK5" s="531"/>
      <c r="EM5" s="531"/>
      <c r="EN5" s="531"/>
      <c r="EO5" s="531"/>
      <c r="EP5" s="531"/>
      <c r="EQ5" s="531"/>
      <c r="ES5" s="86"/>
      <c r="ET5" s="531"/>
      <c r="EU5" s="531"/>
      <c r="EV5" s="531"/>
      <c r="EW5" s="531"/>
      <c r="EY5" s="86"/>
      <c r="EZ5" s="531"/>
      <c r="FA5" s="531"/>
      <c r="FB5" s="531"/>
      <c r="FC5" s="531"/>
      <c r="FE5" s="86"/>
      <c r="FF5" s="531"/>
      <c r="FG5" s="531"/>
      <c r="FH5" s="531"/>
      <c r="FI5" s="531"/>
      <c r="FK5" s="86"/>
      <c r="FL5" s="531"/>
      <c r="FM5" s="531"/>
      <c r="FN5" s="531"/>
      <c r="FO5" s="531"/>
      <c r="FQ5" s="86"/>
      <c r="FR5" s="531"/>
      <c r="FS5" s="531"/>
      <c r="FT5" s="531"/>
      <c r="FU5" s="531"/>
      <c r="FW5" s="86"/>
      <c r="FX5" s="531"/>
      <c r="FY5" s="531"/>
      <c r="FZ5" s="531"/>
      <c r="GA5" s="531"/>
      <c r="GC5" s="86"/>
      <c r="GD5" s="531"/>
      <c r="GE5" s="531"/>
      <c r="GF5" s="531"/>
      <c r="GG5" s="531"/>
      <c r="GH5" s="531"/>
      <c r="GI5" s="86"/>
      <c r="GJ5" s="531"/>
      <c r="GK5" s="531"/>
      <c r="GL5" s="531"/>
      <c r="GM5" s="531"/>
      <c r="GN5" s="531"/>
      <c r="GO5" s="197"/>
      <c r="GP5" s="532"/>
      <c r="GQ5" s="532"/>
      <c r="GR5" s="532"/>
      <c r="GS5" s="532"/>
      <c r="GT5" s="532"/>
      <c r="GU5" s="197"/>
      <c r="GV5" s="532"/>
      <c r="GW5" s="532"/>
      <c r="GX5" s="532"/>
      <c r="GY5" s="532"/>
      <c r="GZ5" s="532"/>
      <c r="HA5" s="197"/>
      <c r="HB5" s="532"/>
      <c r="HC5" s="532"/>
      <c r="HD5" s="532"/>
      <c r="HE5" s="532"/>
      <c r="HF5" s="532"/>
      <c r="HG5" s="197"/>
      <c r="HH5" s="532"/>
      <c r="HI5" s="532"/>
      <c r="HJ5" s="532"/>
      <c r="HK5" s="532"/>
      <c r="HL5" s="532"/>
      <c r="HM5" s="197"/>
      <c r="HN5" s="532"/>
      <c r="HO5" s="532"/>
      <c r="HP5" s="532"/>
      <c r="HQ5" s="532"/>
      <c r="HR5" s="532"/>
      <c r="HS5" s="197"/>
      <c r="HT5" s="532"/>
      <c r="HU5" s="532"/>
      <c r="HV5" s="532"/>
      <c r="HW5" s="532"/>
      <c r="HX5" s="532"/>
      <c r="HY5" s="197"/>
      <c r="HZ5" s="532"/>
      <c r="IA5" s="532"/>
      <c r="IB5" s="532"/>
      <c r="IC5" s="532"/>
      <c r="ID5" s="532"/>
      <c r="IE5" s="197"/>
      <c r="IF5" s="532"/>
      <c r="IG5" s="532"/>
      <c r="IH5" s="532"/>
      <c r="II5" s="532"/>
      <c r="IJ5" s="532"/>
      <c r="IK5" s="197"/>
      <c r="IL5" s="532"/>
      <c r="IM5" s="532"/>
      <c r="IN5" s="532"/>
      <c r="IO5" s="532"/>
      <c r="IP5" s="532"/>
      <c r="IQ5" s="197"/>
      <c r="IR5" s="532"/>
      <c r="IS5" s="532"/>
      <c r="IT5" s="532"/>
      <c r="IU5" s="532"/>
    </row>
    <row r="6" spans="1:255" ht="12.6" customHeight="1">
      <c r="A6" s="522" t="s">
        <v>7</v>
      </c>
      <c r="B6" s="108">
        <v>71.959227583540425</v>
      </c>
      <c r="C6" s="99">
        <f>+Créanc!E9/(R6/$O$14)</f>
        <v>110.77757565796658</v>
      </c>
      <c r="D6" s="104">
        <f t="shared" si="0"/>
        <v>38.818348074426154</v>
      </c>
      <c r="E6" s="99">
        <v>96.834921447595292</v>
      </c>
      <c r="F6" s="99">
        <f>+Créanc!L9/(S6/$O$14)</f>
        <v>36.103988910882414</v>
      </c>
      <c r="G6" s="104">
        <f t="shared" ref="G6:G14" si="1">F6-E6</f>
        <v>-60.730932536712878</v>
      </c>
      <c r="H6" s="108">
        <v>225.33113666102292</v>
      </c>
      <c r="I6" s="99">
        <f>Créanc!E26/(T6/$O$14)</f>
        <v>188.423406155984</v>
      </c>
      <c r="J6" s="104">
        <f t="shared" ref="J6:J15" si="2">I6-H6</f>
        <v>-36.907730505038927</v>
      </c>
      <c r="K6" s="108">
        <v>106.27868746483337</v>
      </c>
      <c r="L6" s="99">
        <f>(Créanc!E45-Créanc!K26)/(U6/$O$14)</f>
        <v>122.15371783165881</v>
      </c>
      <c r="M6" s="524">
        <f t="shared" ref="M6:M14" si="3">L6-K6</f>
        <v>15.875030366825442</v>
      </c>
      <c r="N6" s="87" t="s">
        <v>197</v>
      </c>
      <c r="O6" s="87">
        <v>30</v>
      </c>
      <c r="Q6" s="528" t="s">
        <v>7</v>
      </c>
      <c r="R6" s="1850">
        <f>'calcul-DCC-TX-Encais'!AO84</f>
        <v>3349.6379999999999</v>
      </c>
      <c r="S6" s="1851">
        <f>'calcul-DCC-TX-Encais'!AQ84+'calcul-DCC-TX-Encais'!AU84</f>
        <v>457.20499999999998</v>
      </c>
      <c r="T6" s="1851">
        <f>'calcul-DCC-TX-Encais'!AP84+'calcul-DCC-TX-Encais'!AT84</f>
        <v>1168.684</v>
      </c>
      <c r="U6" s="1849">
        <f t="shared" ref="U6:U14" si="4">SUM(R6:T6)</f>
        <v>4975.527</v>
      </c>
      <c r="V6" s="530"/>
      <c r="W6" s="528" t="s">
        <v>7</v>
      </c>
      <c r="X6" s="1850">
        <v>5744.9022994299994</v>
      </c>
      <c r="Y6" s="1851">
        <v>580.31200000000001</v>
      </c>
      <c r="Z6" s="1851">
        <v>1485.039</v>
      </c>
      <c r="AA6" s="1849">
        <v>7810.2532994299991</v>
      </c>
      <c r="AB6" s="530"/>
      <c r="AC6" s="528" t="s">
        <v>7</v>
      </c>
      <c r="AD6" s="1850">
        <v>5234.3403569299999</v>
      </c>
      <c r="AE6" s="1851">
        <v>552.18799999999999</v>
      </c>
      <c r="AF6" s="1851">
        <v>1351.8789999999999</v>
      </c>
      <c r="AG6" s="1849">
        <v>7138.4073569299999</v>
      </c>
      <c r="AH6" s="530"/>
      <c r="AI6" s="528" t="s">
        <v>7</v>
      </c>
      <c r="AJ6" s="1850">
        <v>4722.7228072999997</v>
      </c>
      <c r="AK6" s="1851">
        <v>458.21100000000001</v>
      </c>
      <c r="AL6" s="1851">
        <v>1207.577</v>
      </c>
      <c r="AM6" s="1849">
        <v>6388.5108073000001</v>
      </c>
      <c r="AN6" s="530"/>
      <c r="AO6" s="528" t="s">
        <v>7</v>
      </c>
      <c r="AP6" s="1850">
        <v>4210.1472747799999</v>
      </c>
      <c r="AQ6" s="1851">
        <v>777.18105000000003</v>
      </c>
      <c r="AR6" s="1851">
        <v>2016.0129999999999</v>
      </c>
      <c r="AS6" s="1849">
        <v>7003.3413247799999</v>
      </c>
      <c r="AT6" s="530"/>
      <c r="AU6" s="528" t="s">
        <v>7</v>
      </c>
      <c r="AV6" s="1850">
        <v>5370.4435712700006</v>
      </c>
      <c r="AW6" s="1851">
        <v>403.37504999999999</v>
      </c>
      <c r="AX6" s="1851">
        <v>925.69599999999991</v>
      </c>
      <c r="AY6" s="1849">
        <v>6699.5146212700001</v>
      </c>
      <c r="AZ6" s="530"/>
      <c r="BA6" s="528" t="s">
        <v>7</v>
      </c>
      <c r="BB6" s="1256">
        <v>3179.4061100899994</v>
      </c>
      <c r="BC6" s="1257">
        <v>580.72205000000008</v>
      </c>
      <c r="BD6" s="1661">
        <v>1448.0170000000001</v>
      </c>
      <c r="BE6" s="1255">
        <v>5208.1451600899991</v>
      </c>
      <c r="BG6" s="528" t="s">
        <v>7</v>
      </c>
      <c r="BH6" s="1256">
        <v>2661.3301455099995</v>
      </c>
      <c r="BI6" s="1257">
        <v>527.87204999999994</v>
      </c>
      <c r="BJ6" s="1257">
        <v>1200.5</v>
      </c>
      <c r="BK6" s="1255">
        <v>4389.702195509999</v>
      </c>
      <c r="BM6" s="528" t="s">
        <v>7</v>
      </c>
      <c r="BN6" s="1256">
        <v>2134.64599155</v>
      </c>
      <c r="BO6" s="1257">
        <v>458.96804999999995</v>
      </c>
      <c r="BP6" s="1257">
        <v>946.54899999999998</v>
      </c>
      <c r="BQ6" s="1255">
        <v>3540.1630415499999</v>
      </c>
      <c r="BS6" s="528" t="s">
        <v>7</v>
      </c>
      <c r="BT6" s="533">
        <v>1603.2193505799999</v>
      </c>
      <c r="BU6" s="534">
        <v>154.23999999999998</v>
      </c>
      <c r="BV6" s="534">
        <v>398.45599999999996</v>
      </c>
      <c r="BW6" s="529">
        <v>2155.91535058</v>
      </c>
      <c r="BY6" s="528" t="s">
        <v>7</v>
      </c>
      <c r="BZ6" s="533">
        <v>927.61650781000003</v>
      </c>
      <c r="CA6" s="534">
        <v>153.066</v>
      </c>
      <c r="CB6" s="534">
        <v>403.82899999999995</v>
      </c>
      <c r="CC6" s="529">
        <v>1484.51150781</v>
      </c>
      <c r="CE6" s="528" t="s">
        <v>7</v>
      </c>
      <c r="CF6" s="533">
        <v>135.09200000000001</v>
      </c>
      <c r="CG6" s="534">
        <v>3239.0577671000001</v>
      </c>
      <c r="CH6" s="534">
        <v>242.44900000000001</v>
      </c>
      <c r="CI6" s="529">
        <v>3616.5987671000003</v>
      </c>
      <c r="CK6" s="86"/>
      <c r="CL6" s="531"/>
      <c r="CM6" s="531"/>
      <c r="CN6" s="531"/>
      <c r="CO6" s="531"/>
      <c r="CQ6" s="86"/>
      <c r="CR6" s="531"/>
      <c r="CS6" s="531"/>
      <c r="CT6" s="531"/>
      <c r="CU6" s="531"/>
      <c r="CW6" s="86"/>
      <c r="CX6" s="531"/>
      <c r="CY6" s="531"/>
      <c r="CZ6" s="531"/>
      <c r="DA6" s="531"/>
      <c r="DC6" s="86"/>
      <c r="DD6" s="531"/>
      <c r="DE6" s="531"/>
      <c r="DF6" s="531"/>
      <c r="DG6" s="531"/>
      <c r="DI6" s="86"/>
      <c r="DJ6" s="531"/>
      <c r="DK6" s="531"/>
      <c r="DL6" s="531"/>
      <c r="DM6" s="531"/>
      <c r="DO6" s="86"/>
      <c r="DP6" s="531"/>
      <c r="DQ6" s="531"/>
      <c r="DR6" s="531"/>
      <c r="DS6" s="531"/>
      <c r="DT6" s="531"/>
      <c r="DU6" s="86"/>
      <c r="DV6" s="531"/>
      <c r="DW6" s="531"/>
      <c r="DX6" s="531"/>
      <c r="DY6" s="531"/>
      <c r="EA6" s="86"/>
      <c r="EB6" s="531"/>
      <c r="EC6" s="531"/>
      <c r="ED6" s="531"/>
      <c r="EE6" s="531"/>
      <c r="EG6" s="86"/>
      <c r="EH6" s="531"/>
      <c r="EI6" s="531"/>
      <c r="EJ6" s="531"/>
      <c r="EK6" s="531"/>
      <c r="EM6" s="531"/>
      <c r="EN6" s="531"/>
      <c r="EO6" s="531"/>
      <c r="EP6" s="531"/>
      <c r="EQ6" s="531"/>
      <c r="ES6" s="86"/>
      <c r="ET6" s="531"/>
      <c r="EU6" s="531"/>
      <c r="EV6" s="531"/>
      <c r="EW6" s="531"/>
      <c r="EY6" s="86"/>
      <c r="EZ6" s="531"/>
      <c r="FA6" s="531"/>
      <c r="FB6" s="531"/>
      <c r="FC6" s="531"/>
      <c r="FE6" s="86"/>
      <c r="FF6" s="531"/>
      <c r="FG6" s="531"/>
      <c r="FH6" s="531"/>
      <c r="FI6" s="531"/>
      <c r="FK6" s="86"/>
      <c r="FL6" s="531"/>
      <c r="FM6" s="531"/>
      <c r="FN6" s="531"/>
      <c r="FO6" s="531"/>
      <c r="FQ6" s="86"/>
      <c r="FR6" s="531"/>
      <c r="FS6" s="531"/>
      <c r="FT6" s="531"/>
      <c r="FU6" s="531"/>
      <c r="FW6" s="86"/>
      <c r="FX6" s="531"/>
      <c r="FY6" s="531"/>
      <c r="FZ6" s="531"/>
      <c r="GA6" s="531"/>
      <c r="GC6" s="86"/>
      <c r="GD6" s="531"/>
      <c r="GE6" s="531"/>
      <c r="GF6" s="531"/>
      <c r="GG6" s="531"/>
      <c r="GH6" s="531"/>
      <c r="GI6" s="86"/>
      <c r="GJ6" s="531"/>
      <c r="GK6" s="531"/>
      <c r="GL6" s="531"/>
      <c r="GM6" s="531"/>
      <c r="GN6" s="531"/>
      <c r="GO6" s="197"/>
      <c r="GP6" s="532"/>
      <c r="GQ6" s="532"/>
      <c r="GR6" s="532"/>
      <c r="GS6" s="532"/>
      <c r="GT6" s="532"/>
      <c r="GU6" s="197"/>
      <c r="GV6" s="532"/>
      <c r="GW6" s="532"/>
      <c r="GX6" s="532"/>
      <c r="GY6" s="532"/>
      <c r="GZ6" s="532"/>
      <c r="HA6" s="197"/>
      <c r="HB6" s="532"/>
      <c r="HC6" s="532"/>
      <c r="HD6" s="532"/>
      <c r="HE6" s="532"/>
      <c r="HF6" s="532"/>
      <c r="HG6" s="197"/>
      <c r="HH6" s="532"/>
      <c r="HI6" s="532"/>
      <c r="HJ6" s="532"/>
      <c r="HK6" s="532"/>
      <c r="HL6" s="532"/>
      <c r="HM6" s="197"/>
      <c r="HN6" s="532"/>
      <c r="HO6" s="532"/>
      <c r="HP6" s="532"/>
      <c r="HQ6" s="532"/>
      <c r="HR6" s="532"/>
      <c r="HS6" s="197"/>
      <c r="HT6" s="532"/>
      <c r="HU6" s="532"/>
      <c r="HV6" s="532"/>
      <c r="HW6" s="532"/>
      <c r="HX6" s="532"/>
      <c r="HY6" s="197"/>
      <c r="HZ6" s="532"/>
      <c r="IA6" s="532"/>
      <c r="IB6" s="532"/>
      <c r="IC6" s="532"/>
      <c r="ID6" s="532"/>
      <c r="IE6" s="197"/>
      <c r="IF6" s="532"/>
      <c r="IG6" s="532"/>
      <c r="IH6" s="532"/>
      <c r="II6" s="532"/>
      <c r="IJ6" s="532"/>
      <c r="IK6" s="197"/>
      <c r="IL6" s="532"/>
      <c r="IM6" s="532"/>
      <c r="IN6" s="532"/>
      <c r="IO6" s="532"/>
      <c r="IP6" s="532"/>
      <c r="IQ6" s="197"/>
      <c r="IR6" s="532"/>
      <c r="IS6" s="532"/>
      <c r="IT6" s="532"/>
      <c r="IU6" s="532"/>
    </row>
    <row r="7" spans="1:255" ht="12.75" customHeight="1">
      <c r="A7" s="522" t="s">
        <v>8</v>
      </c>
      <c r="B7" s="108">
        <v>53.419096013957123</v>
      </c>
      <c r="C7" s="99">
        <f>+Créanc!E10/(R7/$O$14)</f>
        <v>67.626097263440144</v>
      </c>
      <c r="D7" s="104">
        <f t="shared" si="0"/>
        <v>14.207001249483021</v>
      </c>
      <c r="E7" s="99">
        <v>209.42052267210815</v>
      </c>
      <c r="F7" s="99">
        <f>+Créanc!L10/(S7/$O$14)</f>
        <v>171.95101411142133</v>
      </c>
      <c r="G7" s="104">
        <f t="shared" si="1"/>
        <v>-37.469508560686819</v>
      </c>
      <c r="H7" s="108">
        <v>377.06937599508956</v>
      </c>
      <c r="I7" s="99">
        <f>Créanc!E27/(T7/$O$14)</f>
        <v>322.03551449232759</v>
      </c>
      <c r="J7" s="104">
        <f t="shared" si="2"/>
        <v>-55.033861502761965</v>
      </c>
      <c r="K7" s="108">
        <v>131.43288959091316</v>
      </c>
      <c r="L7" s="99">
        <f>(Créanc!E46-Créanc!K27)/(U7/$O$14)</f>
        <v>125.39172601725146</v>
      </c>
      <c r="M7" s="524">
        <f t="shared" si="3"/>
        <v>-6.0411635736617058</v>
      </c>
      <c r="N7" s="87" t="s">
        <v>287</v>
      </c>
      <c r="O7" s="87">
        <v>31</v>
      </c>
      <c r="Q7" s="528" t="s">
        <v>8</v>
      </c>
      <c r="R7" s="1850">
        <f>'calcul-DCC-TX-Encais'!AO85</f>
        <v>3015.8667934200002</v>
      </c>
      <c r="S7" s="1851">
        <f>'calcul-DCC-TX-Encais'!AQ85+'calcul-DCC-TX-Encais'!AU85</f>
        <v>563.27026742999999</v>
      </c>
      <c r="T7" s="1851">
        <f>'calcul-DCC-TX-Encais'!AP85+'calcul-DCC-TX-Encais'!AT85</f>
        <v>752.56879483000012</v>
      </c>
      <c r="U7" s="1849">
        <f t="shared" si="4"/>
        <v>4331.7058556800002</v>
      </c>
      <c r="V7" s="530"/>
      <c r="W7" s="528" t="s">
        <v>8</v>
      </c>
      <c r="X7" s="1850">
        <v>4047.4518502000005</v>
      </c>
      <c r="Y7" s="1851">
        <v>659.36253270622649</v>
      </c>
      <c r="Z7" s="1851">
        <v>1050.0520136300001</v>
      </c>
      <c r="AA7" s="1849">
        <v>5756.8663965362275</v>
      </c>
      <c r="AB7" s="530"/>
      <c r="AC7" s="528" t="s">
        <v>8</v>
      </c>
      <c r="AD7" s="1850">
        <v>3571.1878419200002</v>
      </c>
      <c r="AE7" s="1851">
        <v>558.88366454000004</v>
      </c>
      <c r="AF7" s="1851">
        <v>949.24444918999995</v>
      </c>
      <c r="AG7" s="1849">
        <v>5079.3159556499995</v>
      </c>
      <c r="AH7" s="530"/>
      <c r="AI7" s="528" t="s">
        <v>8</v>
      </c>
      <c r="AJ7" s="1850">
        <v>3220.49154176</v>
      </c>
      <c r="AK7" s="1851">
        <v>524.08585994000009</v>
      </c>
      <c r="AL7" s="1851">
        <v>864.16740607999986</v>
      </c>
      <c r="AM7" s="1849">
        <v>4608.74480778</v>
      </c>
      <c r="AN7" s="530"/>
      <c r="AO7" s="528" t="s">
        <v>8</v>
      </c>
      <c r="AP7" s="1850">
        <v>3087.44678974</v>
      </c>
      <c r="AQ7" s="1851">
        <v>505.99742688000003</v>
      </c>
      <c r="AR7" s="1851">
        <v>747.55407811000009</v>
      </c>
      <c r="AS7" s="1849">
        <v>4340.9982947300005</v>
      </c>
      <c r="AT7" s="530"/>
      <c r="AU7" s="528" t="s">
        <v>8</v>
      </c>
      <c r="AV7" s="1850">
        <v>2469.5747619499998</v>
      </c>
      <c r="AW7" s="1851">
        <v>467.45129131000004</v>
      </c>
      <c r="AX7" s="1851">
        <v>641.60344181999994</v>
      </c>
      <c r="AY7" s="1849">
        <v>3578.6294950800002</v>
      </c>
      <c r="AZ7" s="530"/>
      <c r="BA7" s="528" t="s">
        <v>8</v>
      </c>
      <c r="BB7" s="1256">
        <v>2080.46746811</v>
      </c>
      <c r="BC7" s="1257">
        <v>367.44635443999999</v>
      </c>
      <c r="BD7" s="1257">
        <v>561.76896657999998</v>
      </c>
      <c r="BE7" s="1255">
        <v>3009.6827891299999</v>
      </c>
      <c r="BG7" s="528" t="s">
        <v>8</v>
      </c>
      <c r="BH7" s="1256">
        <v>1820.5429569399998</v>
      </c>
      <c r="BI7" s="1257">
        <v>291.10683324000001</v>
      </c>
      <c r="BJ7" s="1257">
        <v>479.34626810999998</v>
      </c>
      <c r="BK7" s="1255">
        <v>2590.9960582899998</v>
      </c>
      <c r="BM7" s="528" t="s">
        <v>8</v>
      </c>
      <c r="BN7" s="1256">
        <v>1521.6599425699999</v>
      </c>
      <c r="BO7" s="1257">
        <v>247.31125623999998</v>
      </c>
      <c r="BP7" s="1257">
        <v>393.54183095000002</v>
      </c>
      <c r="BQ7" s="1255">
        <v>2162.5130297599999</v>
      </c>
      <c r="BS7" s="528" t="s">
        <v>8</v>
      </c>
      <c r="BT7" s="533">
        <v>1118.2710310500001</v>
      </c>
      <c r="BU7" s="534">
        <v>198.96592823999998</v>
      </c>
      <c r="BV7" s="534">
        <v>308.23240498999996</v>
      </c>
      <c r="BW7" s="529">
        <v>1625.4693642800003</v>
      </c>
      <c r="BY7" s="528" t="s">
        <v>8</v>
      </c>
      <c r="BZ7" s="533">
        <v>805.51951285999996</v>
      </c>
      <c r="CA7" s="534">
        <v>103.75513642</v>
      </c>
      <c r="CB7" s="534">
        <v>201.28195987000001</v>
      </c>
      <c r="CC7" s="529">
        <v>1110.55660915</v>
      </c>
      <c r="CE7" s="528" t="s">
        <v>8</v>
      </c>
      <c r="CF7" s="533">
        <v>91.199757199999993</v>
      </c>
      <c r="CG7" s="534">
        <v>2330.195633564349</v>
      </c>
      <c r="CH7" s="534">
        <v>222.22652863000002</v>
      </c>
      <c r="CI7" s="529">
        <v>2643.6219193943489</v>
      </c>
      <c r="CK7" s="86"/>
      <c r="CL7" s="531"/>
      <c r="CM7" s="531"/>
      <c r="CN7" s="531"/>
      <c r="CO7" s="531"/>
      <c r="CQ7" s="86"/>
      <c r="CR7" s="531"/>
      <c r="CS7" s="531"/>
      <c r="CT7" s="531"/>
      <c r="CU7" s="531"/>
      <c r="CW7" s="86"/>
      <c r="CX7" s="531"/>
      <c r="CY7" s="531"/>
      <c r="CZ7" s="531"/>
      <c r="DA7" s="531"/>
      <c r="DC7" s="86"/>
      <c r="DD7" s="531"/>
      <c r="DE7" s="531"/>
      <c r="DF7" s="531"/>
      <c r="DG7" s="531"/>
      <c r="DI7" s="86"/>
      <c r="DJ7" s="531"/>
      <c r="DK7" s="531"/>
      <c r="DL7" s="531"/>
      <c r="DM7" s="531"/>
      <c r="DO7" s="86"/>
      <c r="DP7" s="531"/>
      <c r="DQ7" s="531"/>
      <c r="DR7" s="531"/>
      <c r="DS7" s="531"/>
      <c r="DT7" s="531"/>
      <c r="DU7" s="86"/>
      <c r="DV7" s="531"/>
      <c r="DW7" s="531"/>
      <c r="DX7" s="531"/>
      <c r="DY7" s="531"/>
      <c r="EA7" s="86"/>
      <c r="EB7" s="531"/>
      <c r="EC7" s="531"/>
      <c r="ED7" s="531"/>
      <c r="EE7" s="531"/>
      <c r="EG7" s="86"/>
      <c r="EH7" s="531"/>
      <c r="EI7" s="531"/>
      <c r="EJ7" s="531"/>
      <c r="EK7" s="531"/>
      <c r="EM7" s="531"/>
      <c r="EN7" s="531"/>
      <c r="EO7" s="531"/>
      <c r="EP7" s="531"/>
      <c r="EQ7" s="531"/>
      <c r="ES7" s="86"/>
      <c r="ET7" s="531"/>
      <c r="EU7" s="531"/>
      <c r="EV7" s="531"/>
      <c r="EW7" s="531"/>
      <c r="EY7" s="86"/>
      <c r="EZ7" s="531"/>
      <c r="FA7" s="531"/>
      <c r="FB7" s="531"/>
      <c r="FC7" s="531"/>
      <c r="FE7" s="86"/>
      <c r="FF7" s="531"/>
      <c r="FG7" s="531"/>
      <c r="FH7" s="531"/>
      <c r="FI7" s="531"/>
      <c r="FK7" s="86"/>
      <c r="FL7" s="531"/>
      <c r="FM7" s="531"/>
      <c r="FN7" s="531"/>
      <c r="FO7" s="531"/>
      <c r="FQ7" s="86"/>
      <c r="FR7" s="531"/>
      <c r="FS7" s="531"/>
      <c r="FT7" s="531"/>
      <c r="FU7" s="531"/>
      <c r="FW7" s="86"/>
      <c r="FX7" s="531"/>
      <c r="FY7" s="531"/>
      <c r="FZ7" s="531"/>
      <c r="GA7" s="531"/>
      <c r="GC7" s="86"/>
      <c r="GD7" s="531"/>
      <c r="GE7" s="531"/>
      <c r="GF7" s="531"/>
      <c r="GG7" s="531"/>
      <c r="GH7" s="531"/>
      <c r="GI7" s="86"/>
      <c r="GJ7" s="531"/>
      <c r="GK7" s="531"/>
      <c r="GL7" s="531"/>
      <c r="GM7" s="531"/>
      <c r="GN7" s="531"/>
      <c r="GO7" s="197"/>
      <c r="GP7" s="532"/>
      <c r="GQ7" s="532"/>
      <c r="GR7" s="532"/>
      <c r="GS7" s="532"/>
      <c r="GT7" s="532"/>
      <c r="GU7" s="197"/>
      <c r="GV7" s="532"/>
      <c r="GW7" s="532"/>
      <c r="GX7" s="532"/>
      <c r="GY7" s="532"/>
      <c r="GZ7" s="532"/>
      <c r="HA7" s="197"/>
      <c r="HB7" s="532"/>
      <c r="HC7" s="532"/>
      <c r="HD7" s="532"/>
      <c r="HE7" s="532"/>
      <c r="HF7" s="532"/>
      <c r="HG7" s="197"/>
      <c r="HH7" s="532"/>
      <c r="HI7" s="532"/>
      <c r="HJ7" s="532"/>
      <c r="HK7" s="532"/>
      <c r="HL7" s="532"/>
      <c r="HM7" s="197"/>
      <c r="HN7" s="532"/>
      <c r="HO7" s="532"/>
      <c r="HP7" s="532"/>
      <c r="HQ7" s="532"/>
      <c r="HR7" s="532"/>
      <c r="HS7" s="197"/>
      <c r="HT7" s="532"/>
      <c r="HU7" s="532"/>
      <c r="HV7" s="532"/>
      <c r="HW7" s="532"/>
      <c r="HX7" s="532"/>
      <c r="HY7" s="197"/>
      <c r="HZ7" s="532"/>
      <c r="IA7" s="532"/>
      <c r="IB7" s="532"/>
      <c r="IC7" s="532"/>
      <c r="ID7" s="532"/>
      <c r="IE7" s="197"/>
      <c r="IF7" s="532"/>
      <c r="IG7" s="532"/>
      <c r="IH7" s="532"/>
      <c r="II7" s="532"/>
      <c r="IJ7" s="532"/>
      <c r="IK7" s="197"/>
      <c r="IL7" s="532"/>
      <c r="IM7" s="532"/>
      <c r="IN7" s="532"/>
      <c r="IO7" s="532"/>
      <c r="IP7" s="532"/>
      <c r="IQ7" s="197"/>
      <c r="IR7" s="532"/>
      <c r="IS7" s="532"/>
      <c r="IT7" s="532"/>
      <c r="IU7" s="532"/>
    </row>
    <row r="8" spans="1:255" ht="13.5" customHeight="1">
      <c r="A8" s="522" t="s">
        <v>4</v>
      </c>
      <c r="B8" s="108">
        <v>55.7014500760639</v>
      </c>
      <c r="C8" s="99">
        <f>+Créanc!E11/(R8/$O$14)</f>
        <v>108.23788172774501</v>
      </c>
      <c r="D8" s="104">
        <f t="shared" si="0"/>
        <v>52.536431651681106</v>
      </c>
      <c r="E8" s="99">
        <v>319.5978057086557</v>
      </c>
      <c r="F8" s="99">
        <f>+Créanc!L11/(S8/$O$14)</f>
        <v>249.03273638861558</v>
      </c>
      <c r="G8" s="104">
        <f t="shared" si="1"/>
        <v>-70.565069320040124</v>
      </c>
      <c r="H8" s="108">
        <v>569.18134054456948</v>
      </c>
      <c r="I8" s="99">
        <f>Créanc!E28/(T8/$O$14)</f>
        <v>367.69612874646782</v>
      </c>
      <c r="J8" s="104">
        <f t="shared" si="2"/>
        <v>-201.48521179810166</v>
      </c>
      <c r="K8" s="108">
        <v>171.35789136534899</v>
      </c>
      <c r="L8" s="99">
        <f>(Créanc!E47-Créanc!K28)/(U8/$O$14)</f>
        <v>170.8645350090255</v>
      </c>
      <c r="M8" s="524">
        <f t="shared" si="3"/>
        <v>-0.4933563563234884</v>
      </c>
      <c r="N8" s="87" t="s">
        <v>78</v>
      </c>
      <c r="O8" s="87">
        <v>31</v>
      </c>
      <c r="Q8" s="528" t="s">
        <v>4</v>
      </c>
      <c r="R8" s="1850">
        <f>'calcul-DCC-TX-Encais'!AO86</f>
        <v>5695.8839094299992</v>
      </c>
      <c r="S8" s="1851">
        <f>'calcul-DCC-TX-Encais'!AQ86+'calcul-DCC-TX-Encais'!AU86</f>
        <v>554.28444515000001</v>
      </c>
      <c r="T8" s="1851">
        <f>'calcul-DCC-TX-Encais'!AP86+'calcul-DCC-TX-Encais'!AT86</f>
        <v>1592.1566382999999</v>
      </c>
      <c r="U8" s="1849">
        <f t="shared" si="4"/>
        <v>7842.3249928799987</v>
      </c>
      <c r="V8" s="530"/>
      <c r="W8" s="528" t="s">
        <v>4</v>
      </c>
      <c r="X8" s="1850">
        <v>7358.3005835299991</v>
      </c>
      <c r="Y8" s="1851">
        <v>663.93191118000004</v>
      </c>
      <c r="Z8" s="1851">
        <v>1883.4525753099997</v>
      </c>
      <c r="AA8" s="1849">
        <v>9905.6850700199975</v>
      </c>
      <c r="AB8" s="530"/>
      <c r="AC8" s="528" t="s">
        <v>4</v>
      </c>
      <c r="AD8" s="1850">
        <v>6567.8975645699993</v>
      </c>
      <c r="AE8" s="1851">
        <v>607.80225633000009</v>
      </c>
      <c r="AF8" s="1851">
        <v>1697.7964671700001</v>
      </c>
      <c r="AG8" s="1849">
        <v>8873.4962880700004</v>
      </c>
      <c r="AH8" s="530"/>
      <c r="AI8" s="528" t="s">
        <v>4</v>
      </c>
      <c r="AJ8" s="1850">
        <v>5803.9966802399995</v>
      </c>
      <c r="AK8" s="1851">
        <v>538.06122435999998</v>
      </c>
      <c r="AL8" s="1851">
        <v>1507.9849461499998</v>
      </c>
      <c r="AM8" s="1849">
        <v>7850.0428507499992</v>
      </c>
      <c r="AN8" s="530"/>
      <c r="AO8" s="528" t="s">
        <v>4</v>
      </c>
      <c r="AP8" s="1850">
        <v>5770.3340075799997</v>
      </c>
      <c r="AQ8" s="1851">
        <v>537.53734869000004</v>
      </c>
      <c r="AR8" s="1851">
        <v>1504.9202132599999</v>
      </c>
      <c r="AS8" s="1849">
        <v>7812.7915695299998</v>
      </c>
      <c r="AT8" s="530"/>
      <c r="AU8" s="528" t="s">
        <v>4</v>
      </c>
      <c r="AV8" s="1850">
        <v>4867.0278833299999</v>
      </c>
      <c r="AW8" s="1851">
        <v>500.73065630999997</v>
      </c>
      <c r="AX8" s="1851">
        <v>1281.8910590100002</v>
      </c>
      <c r="AY8" s="1849">
        <v>6649.6495986500004</v>
      </c>
      <c r="AZ8" s="530"/>
      <c r="BA8" s="528" t="s">
        <v>4</v>
      </c>
      <c r="BB8" s="1256">
        <v>4158.602736150001</v>
      </c>
      <c r="BC8" s="1257">
        <v>428.40712610999998</v>
      </c>
      <c r="BD8" s="1257">
        <v>1111.34297971</v>
      </c>
      <c r="BE8" s="1255">
        <v>5698.3528419700006</v>
      </c>
      <c r="BG8" s="528" t="s">
        <v>4</v>
      </c>
      <c r="BH8" s="1256">
        <v>3703.7098578900004</v>
      </c>
      <c r="BI8" s="1257">
        <v>365.06320660999995</v>
      </c>
      <c r="BJ8" s="1257">
        <v>913.67253196999991</v>
      </c>
      <c r="BK8" s="1255">
        <v>4982.4455964700001</v>
      </c>
      <c r="BM8" s="528" t="s">
        <v>4</v>
      </c>
      <c r="BN8" s="1256">
        <v>3136.7118126100004</v>
      </c>
      <c r="BO8" s="1257">
        <v>305.00817454999998</v>
      </c>
      <c r="BP8" s="1257">
        <v>734.41255926999997</v>
      </c>
      <c r="BQ8" s="1255">
        <v>4176.1325464300007</v>
      </c>
      <c r="BS8" s="528" t="s">
        <v>4</v>
      </c>
      <c r="BT8" s="533">
        <v>2347.4180067400002</v>
      </c>
      <c r="BU8" s="534">
        <v>235.76003501000002</v>
      </c>
      <c r="BV8" s="534">
        <v>551.8134252399999</v>
      </c>
      <c r="BW8" s="529">
        <v>3134.9914669900004</v>
      </c>
      <c r="BY8" s="528" t="s">
        <v>4</v>
      </c>
      <c r="BZ8" s="533">
        <v>767.2779018</v>
      </c>
      <c r="CA8" s="534">
        <v>139.28182937</v>
      </c>
      <c r="CB8" s="534">
        <v>358.16606024999999</v>
      </c>
      <c r="CC8" s="529">
        <v>1264.72579142</v>
      </c>
      <c r="CE8" s="528" t="s">
        <v>4</v>
      </c>
      <c r="CF8" s="533">
        <v>115.21755539999999</v>
      </c>
      <c r="CG8" s="534">
        <v>2615.8985562399998</v>
      </c>
      <c r="CH8" s="534">
        <v>206.03135946</v>
      </c>
      <c r="CI8" s="529">
        <v>2937.1474711000001</v>
      </c>
      <c r="CK8" s="86"/>
      <c r="CL8" s="531"/>
      <c r="CM8" s="531"/>
      <c r="CN8" s="531"/>
      <c r="CO8" s="531"/>
      <c r="CQ8" s="86"/>
      <c r="CR8" s="531"/>
      <c r="CS8" s="531"/>
      <c r="CT8" s="531"/>
      <c r="CU8" s="531"/>
      <c r="CW8" s="86"/>
      <c r="CX8" s="531"/>
      <c r="CY8" s="531"/>
      <c r="CZ8" s="531"/>
      <c r="DA8" s="531"/>
      <c r="DC8" s="86"/>
      <c r="DD8" s="531"/>
      <c r="DE8" s="531"/>
      <c r="DF8" s="531"/>
      <c r="DG8" s="531"/>
      <c r="DI8" s="86"/>
      <c r="DJ8" s="531"/>
      <c r="DK8" s="531"/>
      <c r="DL8" s="531"/>
      <c r="DM8" s="531"/>
      <c r="DO8" s="86"/>
      <c r="DP8" s="531"/>
      <c r="DQ8" s="531"/>
      <c r="DR8" s="531"/>
      <c r="DS8" s="531"/>
      <c r="DT8" s="531"/>
      <c r="DU8" s="86"/>
      <c r="DV8" s="531"/>
      <c r="DW8" s="531"/>
      <c r="DX8" s="531"/>
      <c r="DY8" s="531"/>
      <c r="EA8" s="86"/>
      <c r="EB8" s="531"/>
      <c r="EC8" s="531"/>
      <c r="ED8" s="531"/>
      <c r="EE8" s="531"/>
      <c r="EG8" s="86"/>
      <c r="EH8" s="531"/>
      <c r="EI8" s="531"/>
      <c r="EJ8" s="531"/>
      <c r="EK8" s="531"/>
      <c r="EM8" s="531"/>
      <c r="EN8" s="531"/>
      <c r="EO8" s="531"/>
      <c r="EP8" s="531"/>
      <c r="EQ8" s="531"/>
      <c r="ES8" s="86"/>
      <c r="ET8" s="531"/>
      <c r="EU8" s="531"/>
      <c r="EV8" s="531"/>
      <c r="EW8" s="531"/>
      <c r="EY8" s="86"/>
      <c r="EZ8" s="531"/>
      <c r="FA8" s="531"/>
      <c r="FB8" s="531"/>
      <c r="FC8" s="531"/>
      <c r="FE8" s="86"/>
      <c r="FF8" s="531"/>
      <c r="FG8" s="531"/>
      <c r="FH8" s="531"/>
      <c r="FI8" s="531"/>
      <c r="FK8" s="86"/>
      <c r="FL8" s="531"/>
      <c r="FM8" s="531"/>
      <c r="FN8" s="531"/>
      <c r="FO8" s="531"/>
      <c r="FQ8" s="86"/>
      <c r="FR8" s="531"/>
      <c r="FS8" s="531"/>
      <c r="FT8" s="531"/>
      <c r="FU8" s="531"/>
      <c r="FW8" s="86"/>
      <c r="FX8" s="531"/>
      <c r="FY8" s="531"/>
      <c r="FZ8" s="531"/>
      <c r="GA8" s="531"/>
      <c r="GC8" s="86"/>
      <c r="GD8" s="531"/>
      <c r="GE8" s="531"/>
      <c r="GF8" s="531"/>
      <c r="GG8" s="531"/>
      <c r="GH8" s="531"/>
      <c r="GI8" s="86"/>
      <c r="GJ8" s="531"/>
      <c r="GK8" s="531"/>
      <c r="GL8" s="531"/>
      <c r="GM8" s="531"/>
      <c r="GN8" s="531"/>
      <c r="GO8" s="197"/>
      <c r="GP8" s="532"/>
      <c r="GQ8" s="532"/>
      <c r="GR8" s="532"/>
      <c r="GS8" s="532"/>
      <c r="GT8" s="532"/>
      <c r="GU8" s="197"/>
      <c r="GV8" s="532"/>
      <c r="GW8" s="532"/>
      <c r="GX8" s="532"/>
      <c r="GY8" s="532"/>
      <c r="GZ8" s="532"/>
      <c r="HA8" s="197"/>
      <c r="HB8" s="532"/>
      <c r="HC8" s="532"/>
      <c r="HD8" s="532"/>
      <c r="HE8" s="532"/>
      <c r="HF8" s="532"/>
      <c r="HG8" s="197"/>
      <c r="HH8" s="532"/>
      <c r="HI8" s="532"/>
      <c r="HJ8" s="532"/>
      <c r="HK8" s="532"/>
      <c r="HL8" s="532"/>
      <c r="HM8" s="197"/>
      <c r="HN8" s="532"/>
      <c r="HO8" s="532"/>
      <c r="HP8" s="532"/>
      <c r="HQ8" s="532"/>
      <c r="HR8" s="532"/>
      <c r="HS8" s="197"/>
      <c r="HT8" s="532"/>
      <c r="HU8" s="532"/>
      <c r="HV8" s="532"/>
      <c r="HW8" s="532"/>
      <c r="HX8" s="532"/>
      <c r="HY8" s="197"/>
      <c r="HZ8" s="532"/>
      <c r="IA8" s="532"/>
      <c r="IB8" s="532"/>
      <c r="IC8" s="532"/>
      <c r="ID8" s="532"/>
      <c r="IE8" s="197"/>
      <c r="IF8" s="532"/>
      <c r="IG8" s="532"/>
      <c r="IH8" s="532"/>
      <c r="II8" s="532"/>
      <c r="IJ8" s="532"/>
      <c r="IK8" s="197"/>
      <c r="IL8" s="532"/>
      <c r="IM8" s="532"/>
      <c r="IN8" s="532"/>
      <c r="IO8" s="532"/>
      <c r="IP8" s="532"/>
      <c r="IQ8" s="197"/>
      <c r="IR8" s="532"/>
      <c r="IS8" s="532"/>
      <c r="IT8" s="532"/>
      <c r="IU8" s="532"/>
    </row>
    <row r="9" spans="1:255" ht="13.5" customHeight="1">
      <c r="A9" s="535" t="s">
        <v>3</v>
      </c>
      <c r="B9" s="108">
        <v>153.64798323918217</v>
      </c>
      <c r="C9" s="99">
        <f>+Créanc!E12/(R9/$O$14)</f>
        <v>260.12055186483286</v>
      </c>
      <c r="D9" s="104">
        <f t="shared" si="0"/>
        <v>106.47256862565069</v>
      </c>
      <c r="E9" s="99">
        <v>454.44398511521416</v>
      </c>
      <c r="F9" s="99">
        <f>+Créanc!L12/(S9/$O$14)</f>
        <v>612.2361802697003</v>
      </c>
      <c r="G9" s="104">
        <f t="shared" si="1"/>
        <v>157.79219515448614</v>
      </c>
      <c r="H9" s="108">
        <v>334.26189605329211</v>
      </c>
      <c r="I9" s="99">
        <f>Créanc!E29/(T9/$O$14)</f>
        <v>302.47585629551747</v>
      </c>
      <c r="J9" s="104">
        <f t="shared" si="2"/>
        <v>-31.786039757774631</v>
      </c>
      <c r="K9" s="108">
        <v>213.57822291530934</v>
      </c>
      <c r="L9" s="99">
        <f>(Créanc!E48-Créanc!K29)/(U9/$O$14)</f>
        <v>291.42435485832726</v>
      </c>
      <c r="M9" s="524">
        <f t="shared" si="3"/>
        <v>77.846131943017923</v>
      </c>
      <c r="N9" s="87" t="s">
        <v>290</v>
      </c>
      <c r="O9" s="87">
        <v>30</v>
      </c>
      <c r="Q9" s="535" t="s">
        <v>3</v>
      </c>
      <c r="R9" s="1850">
        <f>'calcul-DCC-TX-Encais'!AO87</f>
        <v>4018.7432091700002</v>
      </c>
      <c r="S9" s="1851">
        <f>'calcul-DCC-TX-Encais'!AQ87+'calcul-DCC-TX-Encais'!AU87</f>
        <v>348.60388340000003</v>
      </c>
      <c r="T9" s="1851">
        <f>'calcul-DCC-TX-Encais'!AP87+'calcul-DCC-TX-Encais'!AT87</f>
        <v>1263.6923228599999</v>
      </c>
      <c r="U9" s="1849">
        <f t="shared" si="4"/>
        <v>5631.0394154300002</v>
      </c>
      <c r="V9" s="530"/>
      <c r="W9" s="535" t="s">
        <v>3</v>
      </c>
      <c r="X9" s="1850">
        <v>4341.9795991699993</v>
      </c>
      <c r="Y9" s="1851">
        <v>548.48292291000007</v>
      </c>
      <c r="Z9" s="1851">
        <v>1430.8617308300002</v>
      </c>
      <c r="AA9" s="1849">
        <v>6321.3242529099989</v>
      </c>
      <c r="AB9" s="530"/>
      <c r="AC9" s="535" t="s">
        <v>3</v>
      </c>
      <c r="AD9" s="1850">
        <v>3508.2464284399994</v>
      </c>
      <c r="AE9" s="1851">
        <v>499.93767776999999</v>
      </c>
      <c r="AF9" s="1851">
        <v>1141.9307800700001</v>
      </c>
      <c r="AG9" s="1849">
        <v>5150.1148862799992</v>
      </c>
      <c r="AH9" s="530"/>
      <c r="AI9" s="535" t="s">
        <v>3</v>
      </c>
      <c r="AJ9" s="1850">
        <v>4190.9345473900003</v>
      </c>
      <c r="AK9" s="1851">
        <v>430.57957268000001</v>
      </c>
      <c r="AL9" s="1851">
        <v>1272.69875757</v>
      </c>
      <c r="AM9" s="1849">
        <v>5894.2128776400004</v>
      </c>
      <c r="AN9" s="530"/>
      <c r="AO9" s="535" t="s">
        <v>3</v>
      </c>
      <c r="AP9" s="1850">
        <v>2815.2221692399999</v>
      </c>
      <c r="AQ9" s="1851">
        <v>322.22437431000003</v>
      </c>
      <c r="AR9" s="1851">
        <v>997.48198200000002</v>
      </c>
      <c r="AS9" s="1849">
        <v>4134.9285255499999</v>
      </c>
      <c r="AT9" s="530"/>
      <c r="AU9" s="535" t="s">
        <v>3</v>
      </c>
      <c r="AV9" s="1850">
        <v>3029.9467575900007</v>
      </c>
      <c r="AW9" s="1851">
        <v>390.26119332999997</v>
      </c>
      <c r="AX9" s="1851">
        <v>955.50862884999992</v>
      </c>
      <c r="AY9" s="1849">
        <v>4375.7165797700009</v>
      </c>
      <c r="AZ9" s="530"/>
      <c r="BA9" s="535" t="s">
        <v>3</v>
      </c>
      <c r="BB9" s="1256">
        <v>2420.7196303599999</v>
      </c>
      <c r="BC9" s="1257">
        <v>296.79966284</v>
      </c>
      <c r="BD9" s="1661">
        <v>680.66355366000005</v>
      </c>
      <c r="BE9" s="1255">
        <v>3398.1828468600002</v>
      </c>
      <c r="BG9" s="535" t="s">
        <v>3</v>
      </c>
      <c r="BH9" s="1256">
        <v>2127.5560627</v>
      </c>
      <c r="BI9" s="1257">
        <v>227.81878911999999</v>
      </c>
      <c r="BJ9" s="1257">
        <v>548.42075704000001</v>
      </c>
      <c r="BK9" s="1255">
        <v>2903.7956088599999</v>
      </c>
      <c r="BM9" s="535" t="s">
        <v>3</v>
      </c>
      <c r="BN9" s="1256">
        <v>2240.7681551699998</v>
      </c>
      <c r="BO9" s="1257">
        <v>227.81878911999999</v>
      </c>
      <c r="BP9" s="1257">
        <v>544.40317042000004</v>
      </c>
      <c r="BQ9" s="1255">
        <v>3012.9901147099999</v>
      </c>
      <c r="BS9" s="535" t="s">
        <v>3</v>
      </c>
      <c r="BT9" s="533">
        <v>1824.3701169299998</v>
      </c>
      <c r="BU9" s="534">
        <v>109.72483889</v>
      </c>
      <c r="BV9" s="534">
        <v>421.01067982999996</v>
      </c>
      <c r="BW9" s="529">
        <v>2355.1056356499998</v>
      </c>
      <c r="BY9" s="535" t="s">
        <v>3</v>
      </c>
      <c r="BZ9" s="533">
        <v>1216.2467449299997</v>
      </c>
      <c r="CA9" s="534">
        <v>73.149892890000004</v>
      </c>
      <c r="CB9" s="534">
        <v>280.67378782999998</v>
      </c>
      <c r="CC9" s="529">
        <v>1570.0704256499998</v>
      </c>
      <c r="CE9" s="535" t="s">
        <v>3</v>
      </c>
      <c r="CF9" s="533">
        <v>66.98705271</v>
      </c>
      <c r="CG9" s="534">
        <v>3453.6650726799999</v>
      </c>
      <c r="CH9" s="534">
        <v>487.30924871000002</v>
      </c>
      <c r="CI9" s="529">
        <v>4007.9613741000003</v>
      </c>
      <c r="CL9" s="531"/>
      <c r="CM9" s="531"/>
      <c r="CN9" s="531"/>
      <c r="CO9" s="531"/>
      <c r="CR9" s="531"/>
      <c r="CS9" s="531"/>
      <c r="CT9" s="531"/>
      <c r="CU9" s="531"/>
      <c r="CX9" s="531"/>
      <c r="CY9" s="531"/>
      <c r="CZ9" s="531"/>
      <c r="DA9" s="531"/>
      <c r="DD9" s="531"/>
      <c r="DE9" s="531"/>
      <c r="DF9" s="531"/>
      <c r="DG9" s="531"/>
      <c r="DJ9" s="531"/>
      <c r="DK9" s="531"/>
      <c r="DL9" s="531"/>
      <c r="DM9" s="531"/>
      <c r="DP9" s="531"/>
      <c r="DQ9" s="531"/>
      <c r="DR9" s="531"/>
      <c r="DS9" s="531"/>
      <c r="DT9" s="531"/>
      <c r="DV9" s="531"/>
      <c r="DW9" s="531"/>
      <c r="DX9" s="531"/>
      <c r="DY9" s="531"/>
      <c r="EB9" s="531"/>
      <c r="EC9" s="531"/>
      <c r="ED9" s="531"/>
      <c r="EE9" s="531"/>
      <c r="EH9" s="531"/>
      <c r="EI9" s="531"/>
      <c r="EJ9" s="531"/>
      <c r="EK9" s="531"/>
      <c r="EM9" s="531"/>
      <c r="EN9" s="531"/>
      <c r="EO9" s="531"/>
      <c r="EP9" s="531"/>
      <c r="EQ9" s="531"/>
      <c r="ET9" s="531"/>
      <c r="EU9" s="531"/>
      <c r="EV9" s="531"/>
      <c r="EW9" s="531"/>
      <c r="EZ9" s="531"/>
      <c r="FA9" s="531"/>
      <c r="FB9" s="531"/>
      <c r="FC9" s="531"/>
      <c r="FF9" s="531"/>
      <c r="FG9" s="531"/>
      <c r="FH9" s="531"/>
      <c r="FI9" s="531"/>
      <c r="FL9" s="531"/>
      <c r="FM9" s="531"/>
      <c r="FN9" s="531"/>
      <c r="FO9" s="531"/>
      <c r="FR9" s="531"/>
      <c r="FS9" s="531"/>
      <c r="FT9" s="531"/>
      <c r="FU9" s="531"/>
      <c r="FX9" s="531"/>
      <c r="FY9" s="531"/>
      <c r="FZ9" s="531"/>
      <c r="GA9" s="531"/>
      <c r="GD9" s="531"/>
      <c r="GE9" s="531"/>
      <c r="GF9" s="531"/>
      <c r="GG9" s="531"/>
      <c r="GH9" s="531"/>
      <c r="GJ9" s="531"/>
      <c r="GK9" s="531"/>
      <c r="GL9" s="531"/>
      <c r="GM9" s="531"/>
      <c r="GN9" s="531"/>
      <c r="GO9" s="197"/>
      <c r="GP9" s="532"/>
      <c r="GQ9" s="532"/>
      <c r="GR9" s="532"/>
      <c r="GS9" s="532"/>
      <c r="GT9" s="532"/>
      <c r="GU9" s="197"/>
      <c r="GV9" s="532"/>
      <c r="GW9" s="532"/>
      <c r="GX9" s="532"/>
      <c r="GY9" s="532"/>
      <c r="GZ9" s="532"/>
      <c r="HA9" s="197"/>
      <c r="HB9" s="532"/>
      <c r="HC9" s="532"/>
      <c r="HD9" s="532"/>
      <c r="HE9" s="532"/>
      <c r="HF9" s="532"/>
      <c r="HG9" s="197"/>
      <c r="HH9" s="532"/>
      <c r="HI9" s="532"/>
      <c r="HJ9" s="532"/>
      <c r="HK9" s="532"/>
      <c r="HL9" s="532"/>
      <c r="HM9" s="197"/>
      <c r="HN9" s="532"/>
      <c r="HO9" s="532"/>
      <c r="HP9" s="532"/>
      <c r="HQ9" s="532"/>
      <c r="HR9" s="532"/>
      <c r="HS9" s="197"/>
      <c r="HT9" s="532"/>
      <c r="HU9" s="532"/>
      <c r="HV9" s="532"/>
      <c r="HW9" s="532"/>
      <c r="HX9" s="532"/>
      <c r="HY9" s="197"/>
      <c r="HZ9" s="532"/>
      <c r="IA9" s="532"/>
      <c r="IB9" s="532"/>
      <c r="IC9" s="532"/>
      <c r="ID9" s="532"/>
      <c r="IE9" s="197"/>
      <c r="IF9" s="532"/>
      <c r="IG9" s="532"/>
      <c r="IH9" s="532"/>
      <c r="II9" s="532"/>
      <c r="IJ9" s="532"/>
      <c r="IK9" s="197"/>
      <c r="IL9" s="532"/>
      <c r="IM9" s="532"/>
      <c r="IN9" s="532"/>
      <c r="IO9" s="532"/>
      <c r="IP9" s="532"/>
      <c r="IQ9" s="197"/>
      <c r="IR9" s="532"/>
      <c r="IS9" s="532"/>
      <c r="IT9" s="532"/>
      <c r="IU9" s="532"/>
    </row>
    <row r="10" spans="1:255" ht="15" customHeight="1">
      <c r="A10" s="528" t="s">
        <v>397</v>
      </c>
      <c r="B10" s="101">
        <v>122.45992196686896</v>
      </c>
      <c r="C10" s="99">
        <f>+Créanc!E13/(R10/$O$14)</f>
        <v>310.29942287361797</v>
      </c>
      <c r="D10" s="536">
        <f t="shared" si="0"/>
        <v>187.83950090674901</v>
      </c>
      <c r="E10" s="99">
        <v>679.45428080568809</v>
      </c>
      <c r="F10" s="99">
        <f>+Créanc!L13/(S10/$O$14)</f>
        <v>111.04156648514233</v>
      </c>
      <c r="G10" s="536">
        <f t="shared" si="1"/>
        <v>-568.41271432054577</v>
      </c>
      <c r="H10" s="101">
        <v>187.12341897642881</v>
      </c>
      <c r="I10" s="99">
        <f>Créanc!E30/(T10/$O$14)</f>
        <v>215.39788965079143</v>
      </c>
      <c r="J10" s="536">
        <f t="shared" si="2"/>
        <v>28.274470674362618</v>
      </c>
      <c r="K10" s="101">
        <v>164.52587827321457</v>
      </c>
      <c r="L10" s="99">
        <f>(Créanc!E49-Créanc!K30)/(U10/$O$14)</f>
        <v>247.71874461010967</v>
      </c>
      <c r="M10" s="524">
        <f t="shared" si="3"/>
        <v>83.192866336895094</v>
      </c>
      <c r="N10" s="87" t="s">
        <v>874</v>
      </c>
      <c r="O10" s="87">
        <v>31</v>
      </c>
      <c r="Q10" s="522" t="s">
        <v>397</v>
      </c>
      <c r="R10" s="1850">
        <f>'calcul-DCC-TX-Encais'!AO88</f>
        <v>2785.4572022899997</v>
      </c>
      <c r="S10" s="1851">
        <f>'calcul-DCC-TX-Encais'!AQ88+'calcul-DCC-TX-Encais'!AU88</f>
        <v>873.46597601999997</v>
      </c>
      <c r="T10" s="1851">
        <f>'calcul-DCC-TX-Encais'!AP88+'calcul-DCC-TX-Encais'!AT88</f>
        <v>1699.6127197699998</v>
      </c>
      <c r="U10" s="1849">
        <f t="shared" si="4"/>
        <v>5358.5358980799992</v>
      </c>
      <c r="V10" s="530"/>
      <c r="W10" s="522" t="s">
        <v>397</v>
      </c>
      <c r="X10" s="1850">
        <v>4008.6209281799997</v>
      </c>
      <c r="Y10" s="1851">
        <v>451.36331060999998</v>
      </c>
      <c r="Z10" s="1851">
        <v>1404.95269809</v>
      </c>
      <c r="AA10" s="1849">
        <v>5864.9369368799998</v>
      </c>
      <c r="AB10" s="530"/>
      <c r="AC10" s="522" t="s">
        <v>397</v>
      </c>
      <c r="AD10" s="1850">
        <v>4266.6024219000792</v>
      </c>
      <c r="AE10" s="1851">
        <v>408.68781739000002</v>
      </c>
      <c r="AF10" s="1851">
        <v>1271.8653047699997</v>
      </c>
      <c r="AG10" s="1849">
        <v>5947.1555440600796</v>
      </c>
      <c r="AH10" s="530"/>
      <c r="AI10" s="522" t="s">
        <v>397</v>
      </c>
      <c r="AJ10" s="1850">
        <v>4266.6024219000792</v>
      </c>
      <c r="AK10" s="1851">
        <v>371.72326307999998</v>
      </c>
      <c r="AL10" s="1851">
        <v>1140.58765619</v>
      </c>
      <c r="AM10" s="1849">
        <v>5778.9133411700786</v>
      </c>
      <c r="AN10" s="530"/>
      <c r="AO10" s="522" t="s">
        <v>397</v>
      </c>
      <c r="AP10" s="1850">
        <v>3591.1749278600328</v>
      </c>
      <c r="AQ10" s="1851">
        <v>335.91461493999998</v>
      </c>
      <c r="AR10" s="1851">
        <v>1001.6137856199999</v>
      </c>
      <c r="AS10" s="1849">
        <v>4928.7033284200324</v>
      </c>
      <c r="AT10" s="530"/>
      <c r="AU10" s="522" t="s">
        <v>397</v>
      </c>
      <c r="AV10" s="1850">
        <v>2202.4861129000005</v>
      </c>
      <c r="AW10" s="1851">
        <v>268.37331462999998</v>
      </c>
      <c r="AX10" s="1851">
        <v>735.98048320999999</v>
      </c>
      <c r="AY10" s="1849">
        <v>3206.8399107400005</v>
      </c>
      <c r="AZ10" s="530"/>
      <c r="BA10" s="522" t="s">
        <v>397</v>
      </c>
      <c r="BB10" s="1256">
        <v>2577.3132630500154</v>
      </c>
      <c r="BC10" s="1257">
        <v>267.71415761000003</v>
      </c>
      <c r="BD10" s="1257">
        <v>735.98048320999987</v>
      </c>
      <c r="BE10" s="1255">
        <v>3581.0079038700151</v>
      </c>
      <c r="BG10" s="522" t="s">
        <v>397</v>
      </c>
      <c r="BH10" s="1256">
        <v>2577.3132630500154</v>
      </c>
      <c r="BI10" s="1257">
        <v>231.27128661</v>
      </c>
      <c r="BJ10" s="1257">
        <v>614.96764156999996</v>
      </c>
      <c r="BK10" s="1255">
        <v>3423.5521912300155</v>
      </c>
      <c r="BM10" s="522" t="s">
        <v>397</v>
      </c>
      <c r="BN10" s="1256">
        <v>2162.9484886200194</v>
      </c>
      <c r="BO10" s="1257">
        <v>182.11592879000003</v>
      </c>
      <c r="BP10" s="1257">
        <v>499.35887786000001</v>
      </c>
      <c r="BQ10" s="1255">
        <v>2844.4232952700195</v>
      </c>
      <c r="BS10" s="522" t="s">
        <v>397</v>
      </c>
      <c r="BT10" s="533">
        <v>1621.7988437600279</v>
      </c>
      <c r="BU10" s="534">
        <v>132.16612471000002</v>
      </c>
      <c r="BV10" s="534">
        <v>380.66613947000002</v>
      </c>
      <c r="BW10" s="529">
        <v>2134.631107940028</v>
      </c>
      <c r="BY10" s="522" t="s">
        <v>397</v>
      </c>
      <c r="BZ10" s="533">
        <v>688.48323308999989</v>
      </c>
      <c r="CA10" s="534">
        <v>82.268206070000019</v>
      </c>
      <c r="CB10" s="534">
        <v>259.13386432999999</v>
      </c>
      <c r="CC10" s="529">
        <v>1029.8853034899998</v>
      </c>
      <c r="CE10" s="522" t="s">
        <v>397</v>
      </c>
      <c r="CF10" s="533">
        <v>82.005401710000015</v>
      </c>
      <c r="CG10" s="534">
        <v>2241.20507026</v>
      </c>
      <c r="CH10" s="534">
        <v>152.78362402000002</v>
      </c>
      <c r="CI10" s="529">
        <v>2475.99409599</v>
      </c>
      <c r="CK10" s="86"/>
      <c r="CL10" s="531"/>
      <c r="CM10" s="531"/>
      <c r="CN10" s="531"/>
      <c r="CO10" s="531"/>
      <c r="CQ10" s="86"/>
      <c r="CR10" s="531"/>
      <c r="CS10" s="531"/>
      <c r="CT10" s="531"/>
      <c r="CU10" s="531"/>
      <c r="CW10" s="86"/>
      <c r="CX10" s="531"/>
      <c r="CY10" s="531"/>
      <c r="CZ10" s="531"/>
      <c r="DA10" s="531"/>
      <c r="DC10" s="86"/>
      <c r="DD10" s="531"/>
      <c r="DE10" s="531"/>
      <c r="DF10" s="531"/>
      <c r="DG10" s="531"/>
      <c r="DI10" s="86"/>
      <c r="DJ10" s="531"/>
      <c r="DK10" s="531"/>
      <c r="DL10" s="531"/>
      <c r="DM10" s="531"/>
      <c r="DO10" s="86"/>
      <c r="DP10" s="531"/>
      <c r="DQ10" s="531"/>
      <c r="DR10" s="531"/>
      <c r="DS10" s="531"/>
      <c r="DT10" s="531"/>
      <c r="DU10" s="86"/>
      <c r="DV10" s="531"/>
      <c r="DW10" s="531"/>
      <c r="DX10" s="531"/>
      <c r="DY10" s="531"/>
      <c r="EA10" s="86"/>
      <c r="EB10" s="531"/>
      <c r="EC10" s="531"/>
      <c r="ED10" s="531"/>
      <c r="EE10" s="531"/>
      <c r="EG10" s="86"/>
      <c r="EH10" s="531"/>
      <c r="EI10" s="531"/>
      <c r="EJ10" s="531"/>
      <c r="EK10" s="531"/>
      <c r="EM10" s="531"/>
      <c r="EN10" s="531"/>
      <c r="EO10" s="531"/>
      <c r="EP10" s="531"/>
      <c r="EQ10" s="531"/>
      <c r="ES10" s="86"/>
      <c r="ET10" s="531"/>
      <c r="EU10" s="531"/>
      <c r="EV10" s="531"/>
      <c r="EW10" s="531"/>
      <c r="EY10" s="86"/>
      <c r="EZ10" s="531"/>
      <c r="FA10" s="531"/>
      <c r="FB10" s="531"/>
      <c r="FC10" s="531"/>
      <c r="FE10" s="86"/>
      <c r="FF10" s="531"/>
      <c r="FG10" s="531"/>
      <c r="FH10" s="531"/>
      <c r="FI10" s="531"/>
      <c r="FK10" s="86"/>
      <c r="FL10" s="531"/>
      <c r="FM10" s="531"/>
      <c r="FN10" s="531"/>
      <c r="FO10" s="531"/>
      <c r="FQ10" s="86"/>
      <c r="FR10" s="531"/>
      <c r="FS10" s="531"/>
      <c r="FT10" s="531"/>
      <c r="FU10" s="531"/>
      <c r="FW10" s="86"/>
      <c r="FX10" s="531"/>
      <c r="FY10" s="531"/>
      <c r="FZ10" s="531"/>
      <c r="GA10" s="531"/>
      <c r="GC10" s="86"/>
      <c r="GD10" s="531"/>
      <c r="GE10" s="531"/>
      <c r="GF10" s="531"/>
      <c r="GG10" s="531"/>
      <c r="GH10" s="531"/>
      <c r="GI10" s="86"/>
      <c r="GJ10" s="531"/>
      <c r="GK10" s="531"/>
      <c r="GL10" s="531"/>
      <c r="GM10" s="531"/>
      <c r="GN10" s="531"/>
      <c r="GO10" s="197"/>
      <c r="GP10" s="532"/>
      <c r="GQ10" s="532"/>
      <c r="GR10" s="532"/>
      <c r="GS10" s="532"/>
      <c r="GT10" s="532"/>
      <c r="GU10" s="197"/>
      <c r="GV10" s="532"/>
      <c r="GW10" s="532"/>
      <c r="GX10" s="532"/>
      <c r="GY10" s="532"/>
      <c r="GZ10" s="532"/>
      <c r="HA10" s="197"/>
      <c r="HB10" s="532"/>
      <c r="HC10" s="532"/>
      <c r="HD10" s="532"/>
      <c r="HE10" s="532"/>
      <c r="HF10" s="532"/>
      <c r="HG10" s="197"/>
      <c r="HH10" s="532"/>
      <c r="HI10" s="532"/>
      <c r="HJ10" s="532"/>
      <c r="HK10" s="532"/>
      <c r="HL10" s="532"/>
      <c r="HM10" s="197"/>
      <c r="HN10" s="532"/>
      <c r="HO10" s="532"/>
      <c r="HP10" s="532"/>
      <c r="HQ10" s="532"/>
      <c r="HR10" s="532"/>
      <c r="HS10" s="197"/>
      <c r="HT10" s="532"/>
      <c r="HU10" s="532"/>
      <c r="HV10" s="532"/>
      <c r="HW10" s="532"/>
      <c r="HX10" s="532"/>
      <c r="HY10" s="197"/>
      <c r="HZ10" s="532"/>
      <c r="IA10" s="532"/>
      <c r="IB10" s="532"/>
      <c r="IC10" s="532"/>
      <c r="ID10" s="532"/>
      <c r="IE10" s="197"/>
      <c r="IF10" s="532"/>
      <c r="IG10" s="532"/>
      <c r="IH10" s="532"/>
      <c r="II10" s="532"/>
      <c r="IJ10" s="532"/>
      <c r="IK10" s="197"/>
      <c r="IL10" s="532"/>
      <c r="IM10" s="532"/>
      <c r="IN10" s="532"/>
      <c r="IO10" s="532"/>
      <c r="IP10" s="532"/>
      <c r="IQ10" s="197"/>
      <c r="IR10" s="532"/>
      <c r="IS10" s="532"/>
      <c r="IT10" s="532"/>
      <c r="IU10" s="532"/>
    </row>
    <row r="11" spans="1:255" ht="15" customHeight="1">
      <c r="A11" s="528" t="s">
        <v>399</v>
      </c>
      <c r="B11" s="101">
        <v>113.50832548776881</v>
      </c>
      <c r="C11" s="99">
        <f>+Créanc!E14/(R11/$O$14)</f>
        <v>160.53176455605262</v>
      </c>
      <c r="D11" s="536">
        <f>C11-B11</f>
        <v>47.023439068283807</v>
      </c>
      <c r="E11" s="99">
        <v>517.63663530620511</v>
      </c>
      <c r="F11" s="99">
        <f>+Créanc!L14/(S11/$O$14)</f>
        <v>339.56857734497237</v>
      </c>
      <c r="G11" s="536">
        <f t="shared" si="1"/>
        <v>-178.06805796123274</v>
      </c>
      <c r="H11" s="101">
        <v>119.75384609176827</v>
      </c>
      <c r="I11" s="99">
        <f>Créanc!E31/(T11/$O$14)</f>
        <v>239.10487524326001</v>
      </c>
      <c r="J11" s="536">
        <f t="shared" si="2"/>
        <v>119.35102915149174</v>
      </c>
      <c r="K11" s="101">
        <v>140.32920585481972</v>
      </c>
      <c r="L11" s="99">
        <f>(Créanc!E50-Créanc!K31)/(U11/$O$14)</f>
        <v>197.562284851778</v>
      </c>
      <c r="M11" s="524">
        <f t="shared" si="3"/>
        <v>57.233078996958284</v>
      </c>
      <c r="N11" s="87" t="s">
        <v>875</v>
      </c>
      <c r="O11" s="87">
        <v>30</v>
      </c>
      <c r="Q11" s="528" t="s">
        <v>399</v>
      </c>
      <c r="R11" s="1850">
        <f>'calcul-DCC-TX-Encais'!AO89</f>
        <v>4219.0720770000007</v>
      </c>
      <c r="S11" s="1851">
        <f>'calcul-DCC-TX-Encais'!AQ89+'calcul-DCC-TX-Encais'!AU89</f>
        <v>505.94154307000002</v>
      </c>
      <c r="T11" s="1851">
        <f>'calcul-DCC-TX-Encais'!AP89+'calcul-DCC-TX-Encais'!AT89</f>
        <v>2031.3502511899997</v>
      </c>
      <c r="U11" s="1849">
        <f t="shared" si="4"/>
        <v>6756.3638712600005</v>
      </c>
      <c r="V11" s="530"/>
      <c r="W11" s="528" t="s">
        <v>399</v>
      </c>
      <c r="X11" s="1850">
        <v>6207.5937421801009</v>
      </c>
      <c r="Y11" s="1851">
        <v>678.61483682999994</v>
      </c>
      <c r="Z11" s="1851">
        <v>3100.3527204899997</v>
      </c>
      <c r="AA11" s="1849">
        <v>9986.5612995001011</v>
      </c>
      <c r="AB11" s="530"/>
      <c r="AC11" s="528" t="s">
        <v>399</v>
      </c>
      <c r="AD11" s="1850">
        <v>5697.8976519144999</v>
      </c>
      <c r="AE11" s="1851">
        <v>656.60120746999996</v>
      </c>
      <c r="AF11" s="1851">
        <v>2814.1460315299996</v>
      </c>
      <c r="AG11" s="1849">
        <v>9168.6448909145001</v>
      </c>
      <c r="AH11" s="530"/>
      <c r="AI11" s="528" t="s">
        <v>399</v>
      </c>
      <c r="AJ11" s="1850">
        <v>4930.453159992001</v>
      </c>
      <c r="AK11" s="1851">
        <v>491.14315027999993</v>
      </c>
      <c r="AL11" s="1851">
        <v>2530.0134994699993</v>
      </c>
      <c r="AM11" s="1849">
        <v>7951.6098097419999</v>
      </c>
      <c r="AN11" s="530"/>
      <c r="AO11" s="528" t="s">
        <v>399</v>
      </c>
      <c r="AP11" s="1850">
        <v>4343.8219666655004</v>
      </c>
      <c r="AQ11" s="1851">
        <v>470.92294621999997</v>
      </c>
      <c r="AR11" s="1851">
        <v>2234.2862860799996</v>
      </c>
      <c r="AS11" s="1849">
        <v>7049.0311989655002</v>
      </c>
      <c r="AT11" s="530"/>
      <c r="AU11" s="528" t="s">
        <v>399</v>
      </c>
      <c r="AV11" s="1850">
        <v>3401.4335319100001</v>
      </c>
      <c r="AW11" s="1851">
        <v>461.02444686000001</v>
      </c>
      <c r="AX11" s="1851">
        <v>1745.9928416299999</v>
      </c>
      <c r="AY11" s="1849">
        <v>5608.4508203999994</v>
      </c>
      <c r="AZ11" s="530"/>
      <c r="BA11" s="528" t="s">
        <v>399</v>
      </c>
      <c r="BB11" s="1256">
        <v>3053.5391304707005</v>
      </c>
      <c r="BC11" s="1257">
        <v>340.91143139999997</v>
      </c>
      <c r="BD11" s="1257">
        <v>1648.3320405199997</v>
      </c>
      <c r="BE11" s="1255">
        <v>5042.7826023907</v>
      </c>
      <c r="BG11" s="528" t="s">
        <v>399</v>
      </c>
      <c r="BH11" s="1256">
        <v>2605.5954844145003</v>
      </c>
      <c r="BI11" s="1257">
        <v>324.56254964999994</v>
      </c>
      <c r="BJ11" s="1257">
        <v>1384.0085475299998</v>
      </c>
      <c r="BK11" s="1255">
        <v>4314.1665815944998</v>
      </c>
      <c r="BM11" s="528" t="s">
        <v>399</v>
      </c>
      <c r="BN11" s="1256">
        <v>2216.8423617342005</v>
      </c>
      <c r="BO11" s="1257">
        <v>314.06930605999997</v>
      </c>
      <c r="BP11" s="1257">
        <v>771.15253244999974</v>
      </c>
      <c r="BQ11" s="1255">
        <v>3302.0642002442005</v>
      </c>
      <c r="BS11" s="528" t="s">
        <v>399</v>
      </c>
      <c r="BT11" s="533">
        <v>1123.9766157992999</v>
      </c>
      <c r="BU11" s="534">
        <v>142.00424165000004</v>
      </c>
      <c r="BV11" s="534">
        <v>517.55058144999998</v>
      </c>
      <c r="BW11" s="529">
        <v>1783.5314388992999</v>
      </c>
      <c r="BY11" s="528" t="s">
        <v>399</v>
      </c>
      <c r="BZ11" s="533">
        <v>1123.9766157992999</v>
      </c>
      <c r="CA11" s="534">
        <v>142.00424165000004</v>
      </c>
      <c r="CB11" s="534">
        <v>517.55058144999998</v>
      </c>
      <c r="CC11" s="529">
        <v>1783.5314388992999</v>
      </c>
      <c r="CE11" s="528" t="s">
        <v>399</v>
      </c>
      <c r="CF11" s="533">
        <v>120.7571042900001</v>
      </c>
      <c r="CG11" s="534">
        <v>3911.2341260384956</v>
      </c>
      <c r="CH11" s="534">
        <v>290.38681646000009</v>
      </c>
      <c r="CI11" s="529">
        <v>4322.3780467884953</v>
      </c>
      <c r="CK11" s="86"/>
      <c r="CL11" s="531"/>
      <c r="CM11" s="531"/>
      <c r="CN11" s="531"/>
      <c r="CO11" s="531"/>
      <c r="CQ11" s="86"/>
      <c r="CR11" s="531"/>
      <c r="CS11" s="531"/>
      <c r="CT11" s="531"/>
      <c r="CU11" s="531"/>
      <c r="CW11" s="86"/>
      <c r="CX11" s="531"/>
      <c r="CY11" s="531"/>
      <c r="CZ11" s="531"/>
      <c r="DA11" s="531"/>
      <c r="DC11" s="86"/>
      <c r="DD11" s="531"/>
      <c r="DE11" s="531"/>
      <c r="DF11" s="531"/>
      <c r="DG11" s="531"/>
      <c r="DI11" s="86"/>
      <c r="DJ11" s="531"/>
      <c r="DK11" s="531"/>
      <c r="DL11" s="531"/>
      <c r="DM11" s="531"/>
      <c r="DO11" s="86"/>
      <c r="DP11" s="531"/>
      <c r="DQ11" s="531"/>
      <c r="DR11" s="531"/>
      <c r="DS11" s="531"/>
      <c r="DT11" s="531"/>
      <c r="DU11" s="86"/>
      <c r="DV11" s="531"/>
      <c r="DW11" s="531"/>
      <c r="DX11" s="531"/>
      <c r="DY11" s="531"/>
      <c r="EA11" s="86"/>
      <c r="EB11" s="531"/>
      <c r="EC11" s="531"/>
      <c r="ED11" s="531"/>
      <c r="EE11" s="531"/>
      <c r="EG11" s="86"/>
      <c r="EH11" s="531"/>
      <c r="EI11" s="531"/>
      <c r="EJ11" s="531"/>
      <c r="EK11" s="531"/>
      <c r="EM11" s="531"/>
      <c r="EN11" s="531"/>
      <c r="EO11" s="531"/>
      <c r="EP11" s="531"/>
      <c r="EQ11" s="531"/>
      <c r="ES11" s="86"/>
      <c r="ET11" s="531"/>
      <c r="EU11" s="531"/>
      <c r="EV11" s="531"/>
      <c r="EW11" s="531"/>
      <c r="EY11" s="86"/>
      <c r="EZ11" s="531"/>
      <c r="FA11" s="531"/>
      <c r="FB11" s="531"/>
      <c r="FC11" s="531"/>
      <c r="FE11" s="86"/>
      <c r="FF11" s="531"/>
      <c r="FG11" s="531"/>
      <c r="FH11" s="531"/>
      <c r="FI11" s="531"/>
      <c r="FK11" s="86"/>
      <c r="FL11" s="531"/>
      <c r="FM11" s="531"/>
      <c r="FN11" s="531"/>
      <c r="FO11" s="531"/>
      <c r="FQ11" s="86"/>
      <c r="FR11" s="531"/>
      <c r="FS11" s="531"/>
      <c r="FT11" s="531"/>
      <c r="FU11" s="531"/>
      <c r="FW11" s="86"/>
      <c r="FX11" s="531"/>
      <c r="FY11" s="531"/>
      <c r="FZ11" s="531"/>
      <c r="GA11" s="531"/>
      <c r="GC11" s="86"/>
      <c r="GD11" s="531"/>
      <c r="GE11" s="531"/>
      <c r="GF11" s="531"/>
      <c r="GG11" s="531"/>
      <c r="GH11" s="531"/>
      <c r="GI11" s="86"/>
      <c r="GJ11" s="531"/>
      <c r="GK11" s="531"/>
      <c r="GL11" s="531"/>
      <c r="GM11" s="531"/>
      <c r="GN11" s="531"/>
      <c r="GO11" s="197"/>
      <c r="GP11" s="532"/>
      <c r="GQ11" s="532"/>
      <c r="GR11" s="532"/>
      <c r="GS11" s="532"/>
      <c r="GT11" s="532"/>
      <c r="GU11" s="197"/>
      <c r="GV11" s="532"/>
      <c r="GW11" s="532"/>
      <c r="GX11" s="532"/>
      <c r="GY11" s="532"/>
      <c r="GZ11" s="532"/>
      <c r="HA11" s="197"/>
      <c r="HB11" s="532"/>
      <c r="HC11" s="532"/>
      <c r="HD11" s="532"/>
      <c r="HE11" s="532"/>
      <c r="HF11" s="532"/>
      <c r="HG11" s="197"/>
      <c r="HH11" s="532"/>
      <c r="HI11" s="532"/>
      <c r="HJ11" s="532"/>
      <c r="HK11" s="532"/>
      <c r="HL11" s="532"/>
      <c r="HM11" s="197"/>
      <c r="HN11" s="532"/>
      <c r="HO11" s="532"/>
      <c r="HP11" s="532"/>
      <c r="HQ11" s="532"/>
      <c r="HR11" s="532"/>
      <c r="HS11" s="197"/>
      <c r="HT11" s="532"/>
      <c r="HU11" s="532"/>
      <c r="HV11" s="532"/>
      <c r="HW11" s="532"/>
      <c r="HX11" s="532"/>
      <c r="HY11" s="197"/>
      <c r="HZ11" s="532"/>
      <c r="IA11" s="532"/>
      <c r="IB11" s="532"/>
      <c r="IC11" s="532"/>
      <c r="ID11" s="532"/>
      <c r="IE11" s="197"/>
      <c r="IF11" s="532"/>
      <c r="IG11" s="532"/>
      <c r="IH11" s="532"/>
      <c r="II11" s="532"/>
      <c r="IJ11" s="532"/>
      <c r="IK11" s="197"/>
      <c r="IL11" s="532"/>
      <c r="IM11" s="532"/>
      <c r="IN11" s="532"/>
      <c r="IO11" s="532"/>
      <c r="IP11" s="532"/>
      <c r="IQ11" s="197"/>
      <c r="IR11" s="532"/>
      <c r="IS11" s="532"/>
      <c r="IT11" s="532"/>
      <c r="IU11" s="532"/>
    </row>
    <row r="12" spans="1:255" ht="13.5" customHeight="1">
      <c r="A12" s="522" t="s">
        <v>883</v>
      </c>
      <c r="B12" s="108">
        <v>93.636610204177671</v>
      </c>
      <c r="C12" s="99">
        <f>+Créanc!E15/(R12/$O$14)</f>
        <v>164.31314011751053</v>
      </c>
      <c r="D12" s="104">
        <f t="shared" si="0"/>
        <v>70.676529913332857</v>
      </c>
      <c r="E12" s="99">
        <v>159.7708366972976</v>
      </c>
      <c r="F12" s="99">
        <f>+Créanc!L15/(S12/$O$14)</f>
        <v>185.11862710264393</v>
      </c>
      <c r="G12" s="104">
        <f t="shared" si="1"/>
        <v>25.347790405346331</v>
      </c>
      <c r="H12" s="108">
        <v>380.10064693355463</v>
      </c>
      <c r="I12" s="99">
        <f>Créanc!E32/(T12/$O$14)</f>
        <v>264.94787999092227</v>
      </c>
      <c r="J12" s="104">
        <f>I12-H12</f>
        <v>-115.15276694263235</v>
      </c>
      <c r="K12" s="108">
        <v>167.95745298020159</v>
      </c>
      <c r="L12" s="99">
        <f>(Créanc!E51-Créanc!K32)/(U12/$O$14)</f>
        <v>191.26196544416521</v>
      </c>
      <c r="M12" s="524">
        <f t="shared" si="3"/>
        <v>23.304512463963619</v>
      </c>
      <c r="N12" s="87" t="s">
        <v>876</v>
      </c>
      <c r="O12" s="87">
        <v>31</v>
      </c>
      <c r="Q12" s="528" t="s">
        <v>883</v>
      </c>
      <c r="R12" s="1850">
        <f>'calcul-DCC-TX-Encais'!AO90</f>
        <v>3107.79994541</v>
      </c>
      <c r="S12" s="1851">
        <f>'calcul-DCC-TX-Encais'!AQ90+'calcul-DCC-TX-Encais'!AU90</f>
        <v>469.32600105</v>
      </c>
      <c r="T12" s="1851">
        <f>'calcul-DCC-TX-Encais'!AP90+'calcul-DCC-TX-Encais'!AT90</f>
        <v>1175.7306240800001</v>
      </c>
      <c r="U12" s="1849">
        <f t="shared" si="4"/>
        <v>4752.8565705399997</v>
      </c>
      <c r="V12" s="530"/>
      <c r="W12" s="528" t="s">
        <v>883</v>
      </c>
      <c r="X12" s="1850">
        <v>6594.9559734000377</v>
      </c>
      <c r="Y12" s="1851">
        <v>607.78034253999954</v>
      </c>
      <c r="Z12" s="1851">
        <v>1550.9848974899994</v>
      </c>
      <c r="AA12" s="1849">
        <v>8753.7212134300371</v>
      </c>
      <c r="AB12" s="530"/>
      <c r="AC12" s="528" t="s">
        <v>883</v>
      </c>
      <c r="AD12" s="1850">
        <v>6077.7763222000203</v>
      </c>
      <c r="AE12" s="1851">
        <v>553.92204813999956</v>
      </c>
      <c r="AF12" s="1851">
        <v>1413.2958197799994</v>
      </c>
      <c r="AG12" s="1849">
        <v>8044.99419012002</v>
      </c>
      <c r="AH12" s="530"/>
      <c r="AI12" s="528" t="s">
        <v>883</v>
      </c>
      <c r="AJ12" s="1850">
        <v>5252.7650949700428</v>
      </c>
      <c r="AK12" s="1851">
        <v>506.78875483999957</v>
      </c>
      <c r="AL12" s="1851">
        <v>1262.1464160199994</v>
      </c>
      <c r="AM12" s="1849">
        <v>7021.7002658300416</v>
      </c>
      <c r="AN12" s="530"/>
      <c r="AO12" s="528" t="s">
        <v>883</v>
      </c>
      <c r="AP12" s="1850">
        <v>4589.6713460400306</v>
      </c>
      <c r="AQ12" s="1851">
        <v>452.88734993999964</v>
      </c>
      <c r="AR12" s="1851">
        <v>1114.7525916599996</v>
      </c>
      <c r="AS12" s="1849">
        <v>6157.3112876400301</v>
      </c>
      <c r="AT12" s="530"/>
      <c r="AU12" s="528" t="s">
        <v>883</v>
      </c>
      <c r="AV12" s="1850">
        <v>2278.57897121</v>
      </c>
      <c r="AW12" s="1851">
        <v>389.29452741</v>
      </c>
      <c r="AX12" s="1851">
        <v>907.64908464999985</v>
      </c>
      <c r="AY12" s="1849">
        <v>3575.5225832699998</v>
      </c>
      <c r="AZ12" s="530"/>
      <c r="BA12" s="528" t="s">
        <v>883</v>
      </c>
      <c r="BB12" s="1256">
        <v>2904.8446138500335</v>
      </c>
      <c r="BC12" s="1257">
        <v>346.23553243999964</v>
      </c>
      <c r="BD12" s="1257">
        <v>776.57511340999986</v>
      </c>
      <c r="BE12" s="1255">
        <v>4027.6552597000327</v>
      </c>
      <c r="BG12" s="528" t="s">
        <v>883</v>
      </c>
      <c r="BH12" s="1256">
        <v>2560.5675383400335</v>
      </c>
      <c r="BI12" s="1257">
        <v>294.30527643999966</v>
      </c>
      <c r="BJ12" s="1257">
        <v>640.10475548999989</v>
      </c>
      <c r="BK12" s="1255">
        <v>3494.9775702700326</v>
      </c>
      <c r="BM12" s="528" t="s">
        <v>883</v>
      </c>
      <c r="BN12" s="1256">
        <v>2126.4469544000335</v>
      </c>
      <c r="BO12" s="1257">
        <v>242.59988243999967</v>
      </c>
      <c r="BP12" s="1257">
        <v>507.41518693999978</v>
      </c>
      <c r="BQ12" s="1255">
        <v>2876.4620237800332</v>
      </c>
      <c r="BS12" s="528" t="s">
        <v>883</v>
      </c>
      <c r="BT12" s="533">
        <v>1582.7915458000339</v>
      </c>
      <c r="BU12" s="534">
        <v>187.82460727999964</v>
      </c>
      <c r="BV12" s="534">
        <v>373.85197631999984</v>
      </c>
      <c r="BW12" s="529">
        <v>2144.4681294000334</v>
      </c>
      <c r="BY12" s="528" t="s">
        <v>883</v>
      </c>
      <c r="BZ12" s="533">
        <v>1191.946903700024</v>
      </c>
      <c r="CA12" s="534">
        <v>131.27342397999965</v>
      </c>
      <c r="CB12" s="534">
        <v>247.55330866999989</v>
      </c>
      <c r="CC12" s="529">
        <v>1570.7736363500237</v>
      </c>
      <c r="CE12" s="528" t="s">
        <v>883</v>
      </c>
      <c r="CF12" s="533">
        <v>130.76601536219965</v>
      </c>
      <c r="CG12" s="534">
        <v>3274.9598572315463</v>
      </c>
      <c r="CH12" s="534">
        <v>350.99467756219963</v>
      </c>
      <c r="CI12" s="529">
        <v>3756.7205501559456</v>
      </c>
      <c r="CK12" s="86"/>
      <c r="CL12" s="531"/>
      <c r="CM12" s="531"/>
      <c r="CN12" s="531"/>
      <c r="CO12" s="531"/>
      <c r="CQ12" s="86"/>
      <c r="CR12" s="531"/>
      <c r="CS12" s="531"/>
      <c r="CT12" s="531"/>
      <c r="CU12" s="531"/>
      <c r="CW12" s="86"/>
      <c r="CX12" s="531"/>
      <c r="CY12" s="531"/>
      <c r="CZ12" s="531"/>
      <c r="DA12" s="531"/>
      <c r="DC12" s="86"/>
      <c r="DD12" s="531"/>
      <c r="DE12" s="531"/>
      <c r="DF12" s="531"/>
      <c r="DG12" s="531"/>
      <c r="DI12" s="86"/>
      <c r="DJ12" s="531"/>
      <c r="DK12" s="531"/>
      <c r="DL12" s="531"/>
      <c r="DM12" s="531"/>
      <c r="DO12" s="86"/>
      <c r="DP12" s="531"/>
      <c r="DQ12" s="531"/>
      <c r="DR12" s="531"/>
      <c r="DS12" s="531"/>
      <c r="DT12" s="531"/>
      <c r="DU12" s="86"/>
      <c r="DV12" s="531"/>
      <c r="DW12" s="531"/>
      <c r="DX12" s="531"/>
      <c r="DY12" s="531"/>
      <c r="EA12" s="86"/>
      <c r="EB12" s="531"/>
      <c r="EC12" s="531"/>
      <c r="ED12" s="531"/>
      <c r="EE12" s="531"/>
      <c r="EG12" s="86"/>
      <c r="EH12" s="531"/>
      <c r="EI12" s="531"/>
      <c r="EJ12" s="531"/>
      <c r="EK12" s="531"/>
      <c r="EM12" s="531"/>
      <c r="EN12" s="531"/>
      <c r="EO12" s="531"/>
      <c r="EP12" s="531"/>
      <c r="EQ12" s="531"/>
      <c r="ES12" s="86"/>
      <c r="ET12" s="531"/>
      <c r="EU12" s="531"/>
      <c r="EV12" s="531"/>
      <c r="EW12" s="531"/>
      <c r="EY12" s="86"/>
      <c r="EZ12" s="531"/>
      <c r="FA12" s="531"/>
      <c r="FB12" s="531"/>
      <c r="FC12" s="531"/>
      <c r="FE12" s="86"/>
      <c r="FF12" s="531"/>
      <c r="FG12" s="531"/>
      <c r="FH12" s="531"/>
      <c r="FI12" s="531"/>
      <c r="FK12" s="86"/>
      <c r="FL12" s="531"/>
      <c r="FM12" s="531"/>
      <c r="FN12" s="531"/>
      <c r="FO12" s="531"/>
      <c r="FQ12" s="86"/>
      <c r="FR12" s="531"/>
      <c r="FS12" s="531"/>
      <c r="FT12" s="531"/>
      <c r="FU12" s="531"/>
      <c r="FW12" s="86"/>
      <c r="FX12" s="531"/>
      <c r="FY12" s="531"/>
      <c r="FZ12" s="531"/>
      <c r="GA12" s="531"/>
      <c r="GC12" s="86"/>
      <c r="GD12" s="531"/>
      <c r="GE12" s="531"/>
      <c r="GF12" s="531"/>
      <c r="GG12" s="531"/>
      <c r="GH12" s="531"/>
      <c r="GI12" s="86"/>
      <c r="GJ12" s="531"/>
      <c r="GK12" s="531"/>
      <c r="GL12" s="531"/>
      <c r="GM12" s="531"/>
      <c r="GN12" s="531"/>
      <c r="GO12" s="197"/>
      <c r="GP12" s="532"/>
      <c r="GQ12" s="532"/>
      <c r="GR12" s="532"/>
      <c r="GS12" s="532"/>
      <c r="GT12" s="532"/>
      <c r="GU12" s="197"/>
      <c r="GV12" s="532"/>
      <c r="GW12" s="532"/>
      <c r="GX12" s="532"/>
      <c r="GY12" s="532"/>
      <c r="GZ12" s="532"/>
      <c r="HA12" s="197"/>
      <c r="HB12" s="532"/>
      <c r="HC12" s="532"/>
      <c r="HD12" s="532"/>
      <c r="HE12" s="532"/>
      <c r="HF12" s="532"/>
      <c r="HG12" s="197"/>
      <c r="HH12" s="532"/>
      <c r="HI12" s="532"/>
      <c r="HJ12" s="532"/>
      <c r="HK12" s="532"/>
      <c r="HL12" s="532"/>
      <c r="HM12" s="197"/>
      <c r="HN12" s="532"/>
      <c r="HO12" s="532"/>
      <c r="HP12" s="532"/>
      <c r="HQ12" s="532"/>
      <c r="HR12" s="532"/>
      <c r="HS12" s="197"/>
      <c r="HT12" s="532"/>
      <c r="HU12" s="532"/>
      <c r="HV12" s="532"/>
      <c r="HW12" s="532"/>
      <c r="HX12" s="532"/>
      <c r="HY12" s="197"/>
      <c r="HZ12" s="532"/>
      <c r="IA12" s="532"/>
      <c r="IB12" s="532"/>
      <c r="IC12" s="532"/>
      <c r="ID12" s="532"/>
      <c r="IE12" s="197"/>
      <c r="IF12" s="532"/>
      <c r="IG12" s="532"/>
      <c r="IH12" s="532"/>
      <c r="II12" s="532"/>
      <c r="IJ12" s="532"/>
      <c r="IK12" s="197"/>
      <c r="IL12" s="532"/>
      <c r="IM12" s="532"/>
      <c r="IN12" s="532"/>
      <c r="IO12" s="532"/>
      <c r="IP12" s="532"/>
      <c r="IQ12" s="197"/>
      <c r="IR12" s="532"/>
      <c r="IS12" s="532"/>
      <c r="IT12" s="532"/>
      <c r="IU12" s="532"/>
    </row>
    <row r="13" spans="1:255" ht="12.75" customHeight="1">
      <c r="A13" s="522" t="s">
        <v>884</v>
      </c>
      <c r="B13" s="101">
        <v>50.98047928765164</v>
      </c>
      <c r="C13" s="99">
        <f>+Créanc!E16/(R13/$O$14)</f>
        <v>68.099228913042737</v>
      </c>
      <c r="D13" s="536">
        <f t="shared" si="0"/>
        <v>17.118749625391096</v>
      </c>
      <c r="E13" s="99">
        <v>289.42995550231876</v>
      </c>
      <c r="F13" s="99">
        <f>+Créanc!L16/(S13/$O$14)</f>
        <v>229.99122910959125</v>
      </c>
      <c r="G13" s="536">
        <f t="shared" si="1"/>
        <v>-59.438726392727517</v>
      </c>
      <c r="H13" s="101">
        <v>390.98328098623915</v>
      </c>
      <c r="I13" s="99">
        <f>Créanc!E33/(T13/$O$14)</f>
        <v>276.01793724178214</v>
      </c>
      <c r="J13" s="536">
        <f t="shared" si="2"/>
        <v>-114.96534374445702</v>
      </c>
      <c r="K13" s="101">
        <v>137.97524328131828</v>
      </c>
      <c r="L13" s="99">
        <f>(Créanc!E52-Créanc!K33)/(U13/$O$14)</f>
        <v>114.92226577369478</v>
      </c>
      <c r="M13" s="524">
        <f t="shared" si="3"/>
        <v>-23.05297750762351</v>
      </c>
      <c r="O13" s="87">
        <f>SUM(O1:O12)</f>
        <v>365</v>
      </c>
      <c r="Q13" s="528" t="s">
        <v>884</v>
      </c>
      <c r="R13" s="1850">
        <f>'calcul-DCC-TX-Encais'!AO91</f>
        <v>5270.4693283899896</v>
      </c>
      <c r="S13" s="1851">
        <f>'calcul-DCC-TX-Encais'!AQ91+'calcul-DCC-TX-Encais'!AU91</f>
        <v>546.13597105000008</v>
      </c>
      <c r="T13" s="1851">
        <f>'calcul-DCC-TX-Encais'!AP91+'calcul-DCC-TX-Encais'!AT91</f>
        <v>1141.7816377730001</v>
      </c>
      <c r="U13" s="1849">
        <f t="shared" si="4"/>
        <v>6958.3869372129902</v>
      </c>
      <c r="V13" s="530"/>
      <c r="W13" s="528" t="s">
        <v>884</v>
      </c>
      <c r="X13" s="1850">
        <v>6010.9846617500389</v>
      </c>
      <c r="Y13" s="1851">
        <v>974.32120817999726</v>
      </c>
      <c r="Z13" s="1851">
        <v>1529.9957764999999</v>
      </c>
      <c r="AA13" s="1849">
        <v>8515.3016464300363</v>
      </c>
      <c r="AB13" s="530"/>
      <c r="AC13" s="528" t="s">
        <v>884</v>
      </c>
      <c r="AD13" s="1850">
        <v>5324.9580388600425</v>
      </c>
      <c r="AE13" s="1851">
        <v>854.93610076999721</v>
      </c>
      <c r="AF13" s="1851">
        <v>1398.8224509900001</v>
      </c>
      <c r="AG13" s="1849">
        <v>7578.7165906200398</v>
      </c>
      <c r="AH13" s="530"/>
      <c r="AI13" s="528" t="s">
        <v>884</v>
      </c>
      <c r="AJ13" s="1850">
        <v>4656.7484811900422</v>
      </c>
      <c r="AK13" s="1851">
        <v>799.94794663999733</v>
      </c>
      <c r="AL13" s="1851">
        <v>1258.34758289</v>
      </c>
      <c r="AM13" s="1849">
        <v>6715.0440107200393</v>
      </c>
      <c r="AN13" s="530"/>
      <c r="AO13" s="528" t="s">
        <v>884</v>
      </c>
      <c r="AP13" s="1850">
        <v>3726.9351409400001</v>
      </c>
      <c r="AQ13" s="1851">
        <v>481.30507196999997</v>
      </c>
      <c r="AR13" s="1851">
        <v>1116.2013625099999</v>
      </c>
      <c r="AS13" s="1849">
        <v>5324.4415754199999</v>
      </c>
      <c r="AT13" s="530"/>
      <c r="AU13" s="528" t="s">
        <v>884</v>
      </c>
      <c r="AV13" s="1850">
        <v>2829.6962759600001</v>
      </c>
      <c r="AW13" s="1851">
        <v>427.76238199000011</v>
      </c>
      <c r="AX13" s="1851">
        <v>684.87216257</v>
      </c>
      <c r="AY13" s="1849">
        <v>3942.3308205200001</v>
      </c>
      <c r="AZ13" s="530"/>
      <c r="BA13" s="528" t="s">
        <v>884</v>
      </c>
      <c r="BB13" s="1256">
        <v>2287.0170614900003</v>
      </c>
      <c r="BC13" s="1257">
        <v>363.40681309999991</v>
      </c>
      <c r="BD13" s="1257">
        <v>774.96509120999997</v>
      </c>
      <c r="BE13" s="1255">
        <v>3425.3889658000003</v>
      </c>
      <c r="BG13" s="528" t="s">
        <v>884</v>
      </c>
      <c r="BH13" s="1256">
        <v>2007.8110356400002</v>
      </c>
      <c r="BI13" s="1257">
        <v>305.23689792999994</v>
      </c>
      <c r="BJ13" s="1257">
        <v>633.77365650000002</v>
      </c>
      <c r="BK13" s="1255">
        <v>2946.8215900700002</v>
      </c>
      <c r="BM13" s="528" t="s">
        <v>884</v>
      </c>
      <c r="BN13" s="1256">
        <v>1658.5822001400002</v>
      </c>
      <c r="BO13" s="1257">
        <v>251.70104378999997</v>
      </c>
      <c r="BP13" s="1257">
        <v>501.29846619</v>
      </c>
      <c r="BQ13" s="1255">
        <v>2411.58171012</v>
      </c>
      <c r="BS13" s="528" t="s">
        <v>884</v>
      </c>
      <c r="BT13" s="533">
        <v>1219.72879676</v>
      </c>
      <c r="BU13" s="534">
        <v>196.47871601999998</v>
      </c>
      <c r="BV13" s="534">
        <v>377.04196985999999</v>
      </c>
      <c r="BW13" s="529">
        <v>1793.2494826399998</v>
      </c>
      <c r="BY13" s="528" t="s">
        <v>884</v>
      </c>
      <c r="BZ13" s="533">
        <v>893.60380336999992</v>
      </c>
      <c r="CA13" s="534">
        <v>119.00549742000001</v>
      </c>
      <c r="CB13" s="534">
        <v>251.73708771</v>
      </c>
      <c r="CC13" s="529">
        <v>1264.3463884999999</v>
      </c>
      <c r="CE13" s="528" t="s">
        <v>884</v>
      </c>
      <c r="CF13" s="533">
        <v>95.502276320000007</v>
      </c>
      <c r="CG13" s="534">
        <v>3356.3326383199997</v>
      </c>
      <c r="CH13" s="534">
        <v>287.65142051000004</v>
      </c>
      <c r="CI13" s="529">
        <v>3739.4863351499998</v>
      </c>
      <c r="CK13" s="86"/>
      <c r="CL13" s="531"/>
      <c r="CM13" s="537"/>
      <c r="CN13" s="531"/>
      <c r="CO13" s="531"/>
      <c r="CQ13" s="86"/>
      <c r="CR13" s="531"/>
      <c r="CS13" s="537"/>
      <c r="CT13" s="531"/>
      <c r="CU13" s="531"/>
      <c r="CW13" s="86"/>
      <c r="CX13" s="531"/>
      <c r="CY13" s="537"/>
      <c r="CZ13" s="531"/>
      <c r="DA13" s="531"/>
      <c r="DC13" s="86"/>
      <c r="DD13" s="531"/>
      <c r="DE13" s="537"/>
      <c r="DF13" s="531"/>
      <c r="DG13" s="531"/>
      <c r="DI13" s="86"/>
      <c r="DJ13" s="531"/>
      <c r="DK13" s="537"/>
      <c r="DL13" s="531"/>
      <c r="DM13" s="531"/>
      <c r="DO13" s="86"/>
      <c r="DP13" s="531"/>
      <c r="DQ13" s="537"/>
      <c r="DR13" s="531"/>
      <c r="DS13" s="531"/>
      <c r="DT13" s="531"/>
      <c r="DU13" s="86"/>
      <c r="DV13" s="531"/>
      <c r="DW13" s="537"/>
      <c r="DX13" s="531"/>
      <c r="DY13" s="531"/>
      <c r="EA13" s="86"/>
      <c r="EB13" s="531"/>
      <c r="EC13" s="537"/>
      <c r="ED13" s="531"/>
      <c r="EE13" s="531"/>
      <c r="EG13" s="86"/>
      <c r="EH13" s="531"/>
      <c r="EI13" s="537"/>
      <c r="EJ13" s="531"/>
      <c r="EK13" s="531"/>
      <c r="EM13" s="531"/>
      <c r="EN13" s="531"/>
      <c r="EO13" s="531"/>
      <c r="EP13" s="531"/>
      <c r="EQ13" s="531"/>
      <c r="ES13" s="86"/>
      <c r="ET13" s="531"/>
      <c r="EU13" s="531"/>
      <c r="EV13" s="531"/>
      <c r="EW13" s="531"/>
      <c r="EY13" s="86"/>
      <c r="EZ13" s="531"/>
      <c r="FA13" s="531"/>
      <c r="FB13" s="531"/>
      <c r="FC13" s="531"/>
      <c r="FE13" s="86"/>
      <c r="FF13" s="531"/>
      <c r="FG13" s="531"/>
      <c r="FH13" s="531"/>
      <c r="FI13" s="531"/>
      <c r="FK13" s="86"/>
      <c r="FL13" s="531"/>
      <c r="FM13" s="531"/>
      <c r="FN13" s="531"/>
      <c r="FO13" s="531"/>
      <c r="FQ13" s="86"/>
      <c r="FR13" s="531"/>
      <c r="FS13" s="531"/>
      <c r="FT13" s="531"/>
      <c r="FU13" s="531"/>
      <c r="FW13" s="86"/>
      <c r="FX13" s="531"/>
      <c r="FY13" s="531"/>
      <c r="FZ13" s="531"/>
      <c r="GA13" s="531"/>
      <c r="GC13" s="86"/>
      <c r="GD13" s="531"/>
      <c r="GE13" s="531"/>
      <c r="GF13" s="531"/>
      <c r="GG13" s="531"/>
      <c r="GH13" s="531"/>
      <c r="GI13" s="86"/>
      <c r="GJ13" s="531"/>
      <c r="GK13" s="531"/>
      <c r="GL13" s="531"/>
      <c r="GM13" s="531"/>
      <c r="GN13" s="531"/>
      <c r="GO13" s="197"/>
      <c r="GP13" s="532"/>
      <c r="GQ13" s="532"/>
      <c r="GR13" s="532"/>
      <c r="GS13" s="532"/>
      <c r="GT13" s="532"/>
      <c r="GU13" s="197"/>
      <c r="GV13" s="532"/>
      <c r="GW13" s="532"/>
      <c r="GX13" s="532"/>
      <c r="GY13" s="532"/>
      <c r="GZ13" s="532"/>
      <c r="HA13" s="197"/>
      <c r="HB13" s="532"/>
      <c r="HC13" s="532"/>
      <c r="HD13" s="532"/>
      <c r="HE13" s="532"/>
      <c r="HF13" s="532"/>
      <c r="HG13" s="197"/>
      <c r="HH13" s="532"/>
      <c r="HI13" s="532"/>
      <c r="HJ13" s="532"/>
      <c r="HK13" s="532"/>
      <c r="HL13" s="532"/>
      <c r="HM13" s="197"/>
      <c r="HN13" s="532"/>
      <c r="HO13" s="532"/>
      <c r="HP13" s="532"/>
      <c r="HQ13" s="532"/>
      <c r="HR13" s="532"/>
      <c r="HS13" s="197"/>
      <c r="HT13" s="532"/>
      <c r="HU13" s="532"/>
      <c r="HV13" s="532"/>
      <c r="HW13" s="532"/>
      <c r="HX13" s="532"/>
      <c r="HY13" s="197"/>
      <c r="HZ13" s="532"/>
      <c r="IA13" s="532"/>
      <c r="IB13" s="532"/>
      <c r="IC13" s="532"/>
      <c r="ID13" s="532"/>
      <c r="IE13" s="197"/>
      <c r="IF13" s="532"/>
      <c r="IG13" s="532"/>
      <c r="IH13" s="532"/>
      <c r="II13" s="532"/>
      <c r="IJ13" s="532"/>
      <c r="IK13" s="197"/>
      <c r="IL13" s="532"/>
      <c r="IM13" s="532"/>
      <c r="IN13" s="532"/>
      <c r="IO13" s="532"/>
      <c r="IP13" s="532"/>
      <c r="IQ13" s="197"/>
      <c r="IR13" s="532"/>
      <c r="IS13" s="532"/>
      <c r="IT13" s="532"/>
      <c r="IU13" s="532"/>
    </row>
    <row r="14" spans="1:255" ht="12.75" customHeight="1" thickBot="1">
      <c r="A14" s="522" t="s">
        <v>885</v>
      </c>
      <c r="B14" s="101">
        <v>62.482708205026036</v>
      </c>
      <c r="C14" s="99">
        <f>+Créanc!E17/(R14/$O$14)</f>
        <v>91.600386942907491</v>
      </c>
      <c r="D14" s="536">
        <f t="shared" si="0"/>
        <v>29.117678737881455</v>
      </c>
      <c r="E14" s="99">
        <v>128.5395083979397</v>
      </c>
      <c r="F14" s="99">
        <f>+Créanc!L17/(S14/$O$14)</f>
        <v>183.74376522193987</v>
      </c>
      <c r="G14" s="536">
        <f t="shared" si="1"/>
        <v>55.204256824000169</v>
      </c>
      <c r="H14" s="101">
        <v>1067.8951504539168</v>
      </c>
      <c r="I14" s="99">
        <f>Créanc!E34/(T14/$O$14)</f>
        <v>503.96088216039379</v>
      </c>
      <c r="J14" s="536">
        <f t="shared" si="2"/>
        <v>-563.93426829352302</v>
      </c>
      <c r="K14" s="101">
        <v>261.47900637385402</v>
      </c>
      <c r="L14" s="99">
        <f>(Créanc!E53-Créanc!K34)/(U14/$O$14)</f>
        <v>168.51622743871559</v>
      </c>
      <c r="M14" s="524">
        <f t="shared" si="3"/>
        <v>-92.962778935138431</v>
      </c>
      <c r="O14" s="538">
        <f>SUM(O1:O12)</f>
        <v>365</v>
      </c>
      <c r="P14" s="538"/>
      <c r="Q14" s="528" t="s">
        <v>885</v>
      </c>
      <c r="R14" s="1850">
        <f>'calcul-DCC-TX-Encais'!AO92</f>
        <v>1037.1502623199999</v>
      </c>
      <c r="S14" s="1873">
        <f>'calcul-DCC-TX-Encais'!AQ92+'calcul-DCC-TX-Encais'!AU92</f>
        <v>221.95533452000001</v>
      </c>
      <c r="T14" s="1851">
        <f>'calcul-DCC-TX-Encais'!AP92+'calcul-DCC-TX-Encais'!AT92</f>
        <v>227.73786920999999</v>
      </c>
      <c r="U14" s="1849">
        <f t="shared" si="4"/>
        <v>1486.8434660499997</v>
      </c>
      <c r="V14" s="530"/>
      <c r="W14" s="528" t="s">
        <v>885</v>
      </c>
      <c r="X14" s="1850">
        <v>1183.6988864</v>
      </c>
      <c r="Y14" s="1873">
        <v>267.45040881</v>
      </c>
      <c r="Z14" s="1851">
        <v>310.53866789</v>
      </c>
      <c r="AA14" s="1849">
        <v>1761.6879630999999</v>
      </c>
      <c r="AB14" s="530"/>
      <c r="AC14" s="528" t="s">
        <v>885</v>
      </c>
      <c r="AD14" s="1850">
        <v>1095.75591876</v>
      </c>
      <c r="AE14" s="1873">
        <v>245.7389191</v>
      </c>
      <c r="AF14" s="1851">
        <v>282.87431519</v>
      </c>
      <c r="AG14" s="1849">
        <v>1624.36915305</v>
      </c>
      <c r="AH14" s="530"/>
      <c r="AI14" s="528" t="s">
        <v>885</v>
      </c>
      <c r="AJ14" s="1850">
        <v>986.88995924000017</v>
      </c>
      <c r="AK14" s="1873">
        <v>227.36858608999998</v>
      </c>
      <c r="AL14" s="1851">
        <v>257.07868474000003</v>
      </c>
      <c r="AM14" s="1849">
        <v>1471.33723007</v>
      </c>
      <c r="AN14" s="530"/>
      <c r="AO14" s="528" t="s">
        <v>885</v>
      </c>
      <c r="AP14" s="1850">
        <v>910.30812613000012</v>
      </c>
      <c r="AQ14" s="1873">
        <v>204.72784991999998</v>
      </c>
      <c r="AR14" s="1851">
        <v>231.13366445</v>
      </c>
      <c r="AS14" s="1849">
        <v>1346.1696405</v>
      </c>
      <c r="AT14" s="530"/>
      <c r="AU14" s="528" t="s">
        <v>885</v>
      </c>
      <c r="AV14" s="1850">
        <v>854.21614639999996</v>
      </c>
      <c r="AW14" s="1873">
        <v>179.1307127</v>
      </c>
      <c r="AX14" s="1851">
        <v>217.7946522500001</v>
      </c>
      <c r="AY14" s="1849">
        <v>1251.1415113500002</v>
      </c>
      <c r="AZ14" s="530"/>
      <c r="BA14" s="528" t="s">
        <v>885</v>
      </c>
      <c r="BB14" s="1258">
        <v>678.70136760000003</v>
      </c>
      <c r="BC14" s="1259">
        <v>165.63660221999999</v>
      </c>
      <c r="BD14" s="1257">
        <v>173.97391647000001</v>
      </c>
      <c r="BE14" s="1255">
        <v>1018.3118862900001</v>
      </c>
      <c r="BF14" s="538"/>
      <c r="BG14" s="528" t="s">
        <v>885</v>
      </c>
      <c r="BH14" s="1258">
        <v>598.43064359999994</v>
      </c>
      <c r="BI14" s="1259">
        <v>145.47168536000001</v>
      </c>
      <c r="BJ14" s="1257">
        <v>146.44176119000002</v>
      </c>
      <c r="BK14" s="1255">
        <v>890.34409015000006</v>
      </c>
      <c r="BL14" s="538"/>
      <c r="BM14" s="528" t="s">
        <v>885</v>
      </c>
      <c r="BN14" s="1258">
        <v>492.82540096999998</v>
      </c>
      <c r="BO14" s="1259">
        <v>121.33586163000001</v>
      </c>
      <c r="BP14" s="1257">
        <v>117.74105227999999</v>
      </c>
      <c r="BQ14" s="1255">
        <v>731.90231487999995</v>
      </c>
      <c r="BR14" s="538"/>
      <c r="BS14" s="528" t="s">
        <v>885</v>
      </c>
      <c r="BT14" s="523">
        <v>395.03074015999999</v>
      </c>
      <c r="BU14" s="99">
        <v>96.75822328000001</v>
      </c>
      <c r="BV14" s="534">
        <v>90.56908378</v>
      </c>
      <c r="BW14" s="529">
        <v>582.35804722</v>
      </c>
      <c r="BX14" s="538"/>
      <c r="BY14" s="528" t="s">
        <v>885</v>
      </c>
      <c r="BZ14" s="523">
        <v>290.63740028000001</v>
      </c>
      <c r="CA14" s="99">
        <v>62.280987509999996</v>
      </c>
      <c r="CB14" s="534">
        <v>61.269230280000002</v>
      </c>
      <c r="CC14" s="529">
        <v>414.18761806999998</v>
      </c>
      <c r="CD14" s="538"/>
      <c r="CE14" s="528" t="s">
        <v>885</v>
      </c>
      <c r="CF14" s="523">
        <v>56.278405469999996</v>
      </c>
      <c r="CG14" s="99">
        <v>872.31290532999992</v>
      </c>
      <c r="CH14" s="534">
        <v>138.48125779</v>
      </c>
      <c r="CI14" s="529">
        <v>1067.0725685899999</v>
      </c>
      <c r="CJ14" s="538"/>
      <c r="CK14" s="86"/>
      <c r="CL14" s="531"/>
      <c r="CM14" s="531"/>
      <c r="CN14" s="531"/>
      <c r="CO14" s="531"/>
      <c r="CP14" s="538"/>
      <c r="CQ14" s="86"/>
      <c r="CR14" s="531"/>
      <c r="CS14" s="531"/>
      <c r="CT14" s="531"/>
      <c r="CU14" s="531"/>
      <c r="CV14" s="538"/>
      <c r="CW14" s="86"/>
      <c r="CX14" s="531"/>
      <c r="CY14" s="531"/>
      <c r="CZ14" s="531"/>
      <c r="DA14" s="531"/>
      <c r="DB14" s="538"/>
      <c r="DC14" s="86"/>
      <c r="DD14" s="531"/>
      <c r="DE14" s="531"/>
      <c r="DF14" s="531"/>
      <c r="DG14" s="531"/>
      <c r="DH14" s="538"/>
      <c r="DI14" s="86"/>
      <c r="DJ14" s="531"/>
      <c r="DK14" s="531"/>
      <c r="DL14" s="531"/>
      <c r="DM14" s="531"/>
      <c r="DN14" s="538"/>
      <c r="DO14" s="86"/>
      <c r="DP14" s="531"/>
      <c r="DQ14" s="531"/>
      <c r="DR14" s="531"/>
      <c r="DS14" s="531"/>
      <c r="DT14" s="531"/>
      <c r="DU14" s="86"/>
      <c r="DV14" s="531"/>
      <c r="DW14" s="531"/>
      <c r="DX14" s="531"/>
      <c r="DY14" s="531"/>
      <c r="DZ14" s="538"/>
      <c r="EA14" s="86"/>
      <c r="EB14" s="531"/>
      <c r="EC14" s="531"/>
      <c r="ED14" s="531"/>
      <c r="EE14" s="531"/>
      <c r="EF14" s="538"/>
      <c r="EG14" s="86"/>
      <c r="EH14" s="531"/>
      <c r="EI14" s="531"/>
      <c r="EJ14" s="531"/>
      <c r="EK14" s="531"/>
      <c r="EL14" s="538"/>
      <c r="EM14" s="531"/>
      <c r="EN14" s="531"/>
      <c r="EO14" s="531"/>
      <c r="EP14" s="531"/>
      <c r="EQ14" s="531"/>
      <c r="ER14" s="538"/>
      <c r="ES14" s="86"/>
      <c r="ET14" s="531"/>
      <c r="EU14" s="531"/>
      <c r="EV14" s="531"/>
      <c r="EW14" s="531"/>
      <c r="EX14" s="538"/>
      <c r="EY14" s="86"/>
      <c r="EZ14" s="531"/>
      <c r="FA14" s="531"/>
      <c r="FB14" s="531"/>
      <c r="FC14" s="531"/>
      <c r="FD14" s="538"/>
      <c r="FE14" s="86"/>
      <c r="FF14" s="531"/>
      <c r="FG14" s="531"/>
      <c r="FH14" s="531"/>
      <c r="FI14" s="531"/>
      <c r="FJ14" s="538"/>
      <c r="FK14" s="86"/>
      <c r="FL14" s="531"/>
      <c r="FM14" s="531"/>
      <c r="FN14" s="531"/>
      <c r="FO14" s="531"/>
      <c r="FP14" s="538"/>
      <c r="FQ14" s="86"/>
      <c r="FR14" s="531"/>
      <c r="FS14" s="531"/>
      <c r="FT14" s="531"/>
      <c r="FU14" s="531"/>
      <c r="FV14" s="538"/>
      <c r="FW14" s="86"/>
      <c r="FX14" s="531"/>
      <c r="FY14" s="531"/>
      <c r="FZ14" s="531"/>
      <c r="GA14" s="531"/>
      <c r="GB14" s="538"/>
      <c r="GC14" s="86"/>
      <c r="GD14" s="531"/>
      <c r="GE14" s="531"/>
      <c r="GF14" s="531"/>
      <c r="GG14" s="531"/>
      <c r="GH14" s="531"/>
      <c r="GI14" s="86"/>
      <c r="GJ14" s="531"/>
      <c r="GK14" s="531"/>
      <c r="GL14" s="531"/>
      <c r="GM14" s="531"/>
      <c r="GN14" s="531"/>
      <c r="GO14" s="197"/>
      <c r="GP14" s="532"/>
      <c r="GQ14" s="532"/>
      <c r="GR14" s="532"/>
      <c r="GS14" s="532"/>
      <c r="GT14" s="532"/>
      <c r="GU14" s="197"/>
      <c r="GV14" s="532"/>
      <c r="GW14" s="532"/>
      <c r="GX14" s="532"/>
      <c r="GY14" s="532"/>
      <c r="GZ14" s="532"/>
      <c r="HA14" s="197"/>
      <c r="HB14" s="532"/>
      <c r="HC14" s="532"/>
      <c r="HD14" s="532"/>
      <c r="HE14" s="532"/>
      <c r="HF14" s="532"/>
      <c r="HG14" s="197"/>
      <c r="HH14" s="532"/>
      <c r="HI14" s="532"/>
      <c r="HJ14" s="532"/>
      <c r="HK14" s="532"/>
      <c r="HL14" s="532"/>
      <c r="HM14" s="197"/>
      <c r="HN14" s="532"/>
      <c r="HO14" s="532"/>
      <c r="HP14" s="532"/>
      <c r="HQ14" s="532"/>
      <c r="HR14" s="532"/>
      <c r="HS14" s="197"/>
      <c r="HT14" s="532"/>
      <c r="HU14" s="532"/>
      <c r="HV14" s="532"/>
      <c r="HW14" s="532"/>
      <c r="HX14" s="532"/>
      <c r="HY14" s="197"/>
      <c r="HZ14" s="532"/>
      <c r="IA14" s="532"/>
      <c r="IB14" s="532"/>
      <c r="IC14" s="532"/>
      <c r="ID14" s="532"/>
      <c r="IE14" s="197"/>
      <c r="IF14" s="532"/>
      <c r="IG14" s="532"/>
      <c r="IH14" s="532"/>
      <c r="II14" s="532"/>
      <c r="IJ14" s="532"/>
      <c r="IK14" s="197"/>
      <c r="IL14" s="532"/>
      <c r="IM14" s="532"/>
      <c r="IN14" s="532"/>
      <c r="IO14" s="532"/>
      <c r="IP14" s="532"/>
      <c r="IQ14" s="197"/>
      <c r="IR14" s="532"/>
      <c r="IS14" s="532"/>
      <c r="IT14" s="532"/>
      <c r="IU14" s="532"/>
    </row>
    <row r="15" spans="1:255" ht="14.4" thickBot="1">
      <c r="A15" s="540" t="s">
        <v>16</v>
      </c>
      <c r="B15" s="542">
        <v>86.471556295808355</v>
      </c>
      <c r="C15" s="542">
        <f>+Créanc!E19/(R15/$O$14)</f>
        <v>140.24412796279324</v>
      </c>
      <c r="D15" s="541">
        <f>C15-B15</f>
        <v>53.772571666984888</v>
      </c>
      <c r="E15" s="542">
        <v>326.2997241831784</v>
      </c>
      <c r="F15" s="542">
        <f>+Créanc!L18/(S15/$O$14)</f>
        <v>236.71037294138878</v>
      </c>
      <c r="G15" s="541">
        <f>F15-E15</f>
        <v>-89.589351241789615</v>
      </c>
      <c r="H15" s="542">
        <v>296.90199432750308</v>
      </c>
      <c r="I15" s="542">
        <f>Créanc!E36/(T15/$O$14)</f>
        <v>263.99797474342785</v>
      </c>
      <c r="J15" s="541">
        <f t="shared" si="2"/>
        <v>-32.904019584075229</v>
      </c>
      <c r="K15" s="542">
        <v>152.19197345579997</v>
      </c>
      <c r="L15" s="542">
        <f>(Créanc!E55-Créanc!K36)/(U15/$O$14)</f>
        <v>178.43965482006504</v>
      </c>
      <c r="M15" s="541">
        <f>L15-K15</f>
        <v>26.247681364265077</v>
      </c>
      <c r="Q15" s="540" t="s">
        <v>16</v>
      </c>
      <c r="R15" s="544">
        <f>SUM(R5:R14)</f>
        <v>38173.202146119984</v>
      </c>
      <c r="S15" s="545">
        <f>SUM(S5:S14)</f>
        <v>4922.9187090900004</v>
      </c>
      <c r="T15" s="545">
        <f>SUM(T5:T14)</f>
        <v>13688.716192857501</v>
      </c>
      <c r="U15" s="1312">
        <f>SUM(U5:U14)</f>
        <v>56784.837048067493</v>
      </c>
      <c r="V15" s="530"/>
      <c r="W15" s="540" t="s">
        <v>16</v>
      </c>
      <c r="X15" s="544">
        <f>SUM(X5:X14)</f>
        <v>53750.569209510169</v>
      </c>
      <c r="Y15" s="545">
        <f>SUM(Y5:Y14)</f>
        <v>6085.0221751362242</v>
      </c>
      <c r="Z15" s="545">
        <f>SUM(Z5:Z14)</f>
        <v>17885.730245649997</v>
      </c>
      <c r="AA15" s="1312">
        <f>SUM(AA5:AA14)</f>
        <v>77721.321630296385</v>
      </c>
      <c r="AB15" s="530"/>
      <c r="AC15" s="540" t="s">
        <v>16</v>
      </c>
      <c r="AD15" s="544">
        <f>SUM(AD5:AD14)</f>
        <v>48889.90570654464</v>
      </c>
      <c r="AE15" s="545">
        <f>SUM(AE5:AE14)</f>
        <v>5497.169729389997</v>
      </c>
      <c r="AF15" s="545">
        <f>SUM(AF5:AF14)</f>
        <v>16084.884558979998</v>
      </c>
      <c r="AG15" s="1312">
        <f>SUM(AG5:AG14)</f>
        <v>70471.95999491465</v>
      </c>
      <c r="AH15" s="530"/>
      <c r="AI15" s="540" t="s">
        <v>16</v>
      </c>
      <c r="AJ15" s="544">
        <f>SUM(AJ5:AJ14)</f>
        <v>44730.223331132162</v>
      </c>
      <c r="AK15" s="545">
        <f>SUM(AK5:AK14)</f>
        <v>4906.3813957899965</v>
      </c>
      <c r="AL15" s="545">
        <f>SUM(AL5:AL14)</f>
        <v>14677.079373979997</v>
      </c>
      <c r="AM15" s="1312">
        <f>SUM(AM5:AM14)</f>
        <v>64313.684100902166</v>
      </c>
      <c r="AN15" s="547"/>
      <c r="AO15" s="540" t="s">
        <v>16</v>
      </c>
      <c r="AP15" s="544">
        <f>SUM(AP5:AP14)</f>
        <v>38712.215873435562</v>
      </c>
      <c r="AQ15" s="545">
        <f>SUM(AQ5:AQ14)</f>
        <v>4556.0883454199993</v>
      </c>
      <c r="AR15" s="545">
        <f>SUM(AR5:AR14)</f>
        <v>13975.769950999998</v>
      </c>
      <c r="AS15" s="1312">
        <f>SUM(AS5:AS14)</f>
        <v>57244.074169855565</v>
      </c>
      <c r="AT15" s="547"/>
      <c r="AU15" s="540" t="s">
        <v>16</v>
      </c>
      <c r="AV15" s="544">
        <f>SUM(AV5:AV14)</f>
        <v>32768.139304620003</v>
      </c>
      <c r="AW15" s="545">
        <f>SUM(AW5:AW14)</f>
        <v>3930.0199292400002</v>
      </c>
      <c r="AX15" s="545">
        <f>SUM(AX5:AX14)</f>
        <v>9695.8137426499998</v>
      </c>
      <c r="AY15" s="1312">
        <f>SUM(AY5:AY14)</f>
        <v>46393.972976509998</v>
      </c>
      <c r="AZ15" s="547"/>
      <c r="BA15" s="540" t="s">
        <v>16</v>
      </c>
      <c r="BB15" s="544">
        <f>SUM(BB5:BB14)</f>
        <v>27034.494502370751</v>
      </c>
      <c r="BC15" s="545">
        <f>SUM(BC5:BC14)</f>
        <v>3525.4476362999999</v>
      </c>
      <c r="BD15" s="545">
        <f>SUM(BD5:BD14)</f>
        <v>10031.098717119999</v>
      </c>
      <c r="BE15" s="1312">
        <f>SUM(BE5:BE14)</f>
        <v>40591.040855790743</v>
      </c>
      <c r="BG15" s="540" t="s">
        <v>16</v>
      </c>
      <c r="BH15" s="544">
        <f>SUM(BH5:BH14)</f>
        <v>23899.56523718455</v>
      </c>
      <c r="BI15" s="545">
        <f>SUM(BI5:BI14)</f>
        <v>3007.6654033799991</v>
      </c>
      <c r="BJ15" s="545">
        <f>SUM(BJ5:BJ14)</f>
        <v>8304.1338634299991</v>
      </c>
      <c r="BK15" s="546">
        <f>SUM(BK5:BK14)</f>
        <v>35211.364503994548</v>
      </c>
      <c r="BM15" s="540" t="s">
        <v>16</v>
      </c>
      <c r="BN15" s="544">
        <f>SUM(BN5:BN14)</f>
        <v>20374.899961944255</v>
      </c>
      <c r="BO15" s="545">
        <f>SUM(BO5:BO14)</f>
        <v>2648.6863555599994</v>
      </c>
      <c r="BP15" s="545">
        <f>SUM(BP5:BP14)</f>
        <v>6597.5807047999997</v>
      </c>
      <c r="BQ15" s="545">
        <f>SUM(BQ5:BQ14)</f>
        <v>29621.167022304257</v>
      </c>
      <c r="BS15" s="540" t="s">
        <v>16</v>
      </c>
      <c r="BT15" s="544">
        <f>SUM(BT5:BT14)</f>
        <v>14873.95729762936</v>
      </c>
      <c r="BU15" s="545">
        <f>SUM(BU5:BU14)</f>
        <v>1654.8451081999997</v>
      </c>
      <c r="BV15" s="545">
        <f>SUM(BV5:BV14)</f>
        <v>4495.6633358500003</v>
      </c>
      <c r="BW15" s="546">
        <f>SUM(BW5:BW14)</f>
        <v>21024.46574167936</v>
      </c>
      <c r="BY15" s="540" t="s">
        <v>16</v>
      </c>
      <c r="BZ15" s="544">
        <f>SUM(BZ5:BZ14)</f>
        <v>9285.5067684293244</v>
      </c>
      <c r="CA15" s="545">
        <f>SUM(CA5:CA14)</f>
        <v>1112.2882160899997</v>
      </c>
      <c r="CB15" s="545">
        <f>SUM(CB5:CB14)</f>
        <v>3297.62094931</v>
      </c>
      <c r="CC15" s="546">
        <f>SUM(CC5:CC14)</f>
        <v>13695.415933829323</v>
      </c>
      <c r="CE15" s="540" t="s">
        <v>16</v>
      </c>
      <c r="CF15" s="544">
        <f>SUM(CF5:CF14)</f>
        <v>993.87436742219984</v>
      </c>
      <c r="CG15" s="545">
        <f>SUM(CG5:CG14)</f>
        <v>30098.388367684387</v>
      </c>
      <c r="CH15" s="545">
        <f>SUM(CH5:CH14)</f>
        <v>2609.8919003221999</v>
      </c>
      <c r="CI15" s="546">
        <f>SUM(CI5:CI14)</f>
        <v>33702.154635428786</v>
      </c>
      <c r="CK15" s="115"/>
      <c r="CL15" s="548"/>
      <c r="CM15" s="548"/>
      <c r="CN15" s="548"/>
      <c r="CO15" s="548"/>
      <c r="CQ15" s="115"/>
      <c r="CR15" s="548"/>
      <c r="CS15" s="548"/>
      <c r="CT15" s="548"/>
      <c r="CU15" s="548"/>
      <c r="CW15" s="115"/>
      <c r="CX15" s="548"/>
      <c r="CY15" s="548"/>
      <c r="CZ15" s="548"/>
      <c r="DA15" s="548"/>
      <c r="DC15" s="115"/>
      <c r="DD15" s="548"/>
      <c r="DE15" s="548"/>
      <c r="DF15" s="548"/>
      <c r="DG15" s="548"/>
      <c r="DI15" s="115"/>
      <c r="DJ15" s="548"/>
      <c r="DK15" s="548"/>
      <c r="DL15" s="548"/>
      <c r="DM15" s="548"/>
      <c r="DO15" s="115"/>
      <c r="DP15" s="548"/>
      <c r="DQ15" s="548"/>
      <c r="DR15" s="548"/>
      <c r="DS15" s="548"/>
      <c r="DT15" s="548"/>
      <c r="DU15" s="115"/>
      <c r="DV15" s="548"/>
      <c r="DW15" s="548"/>
      <c r="DX15" s="548"/>
      <c r="DY15" s="548"/>
      <c r="EA15" s="115"/>
      <c r="EB15" s="548"/>
      <c r="EC15" s="548"/>
      <c r="ED15" s="548"/>
      <c r="EE15" s="548"/>
      <c r="EG15" s="115"/>
      <c r="EH15" s="548"/>
      <c r="EI15" s="548"/>
      <c r="EJ15" s="548"/>
      <c r="EK15" s="548"/>
      <c r="EM15" s="548"/>
      <c r="EN15" s="548"/>
      <c r="EO15" s="548"/>
      <c r="EP15" s="531"/>
      <c r="EQ15" s="531"/>
      <c r="ES15" s="115"/>
      <c r="ET15" s="548"/>
      <c r="EU15" s="548"/>
      <c r="EV15" s="548"/>
      <c r="EW15" s="548"/>
      <c r="EY15" s="115"/>
      <c r="EZ15" s="548"/>
      <c r="FA15" s="548"/>
      <c r="FB15" s="548"/>
      <c r="FC15" s="548"/>
      <c r="FE15" s="115"/>
      <c r="FF15" s="548"/>
      <c r="FG15" s="548"/>
      <c r="FH15" s="548"/>
      <c r="FI15" s="548"/>
      <c r="FK15" s="115"/>
      <c r="FL15" s="548"/>
      <c r="FM15" s="548"/>
      <c r="FN15" s="548"/>
      <c r="FO15" s="548"/>
      <c r="FQ15" s="115"/>
      <c r="FR15" s="548"/>
      <c r="FS15" s="548"/>
      <c r="FT15" s="548"/>
      <c r="FU15" s="548"/>
      <c r="FW15" s="115"/>
      <c r="FX15" s="548"/>
      <c r="FY15" s="548"/>
      <c r="FZ15" s="548"/>
      <c r="GA15" s="548"/>
      <c r="GC15" s="115"/>
      <c r="GD15" s="548"/>
      <c r="GE15" s="548"/>
      <c r="GF15" s="548"/>
      <c r="GG15" s="548"/>
      <c r="GH15" s="548"/>
      <c r="GI15" s="115"/>
      <c r="GJ15" s="548"/>
      <c r="GK15" s="548"/>
      <c r="GL15" s="548"/>
      <c r="GM15" s="548"/>
      <c r="GN15" s="548"/>
      <c r="GO15" s="509"/>
      <c r="GP15" s="549"/>
      <c r="GQ15" s="549"/>
      <c r="GR15" s="549"/>
      <c r="GS15" s="549"/>
      <c r="GT15" s="549"/>
      <c r="GU15" s="509"/>
      <c r="GV15" s="549"/>
      <c r="GW15" s="549"/>
      <c r="GX15" s="549"/>
      <c r="GY15" s="549"/>
      <c r="GZ15" s="549"/>
      <c r="HA15" s="509"/>
      <c r="HB15" s="549"/>
      <c r="HC15" s="549"/>
      <c r="HD15" s="549"/>
      <c r="HE15" s="549"/>
      <c r="HF15" s="549"/>
      <c r="HG15" s="509"/>
      <c r="HH15" s="549"/>
      <c r="HI15" s="549"/>
      <c r="HJ15" s="549"/>
      <c r="HK15" s="549"/>
      <c r="HL15" s="549"/>
      <c r="HM15" s="509"/>
      <c r="HN15" s="549"/>
      <c r="HO15" s="549"/>
      <c r="HP15" s="549"/>
      <c r="HQ15" s="549"/>
      <c r="HR15" s="549"/>
      <c r="HS15" s="509"/>
      <c r="HT15" s="549"/>
      <c r="HU15" s="549"/>
      <c r="HV15" s="549"/>
      <c r="HW15" s="549"/>
      <c r="HX15" s="549"/>
      <c r="HY15" s="509"/>
      <c r="HZ15" s="549"/>
      <c r="IA15" s="549"/>
      <c r="IB15" s="549"/>
      <c r="IC15" s="549"/>
      <c r="ID15" s="549"/>
      <c r="IE15" s="509"/>
      <c r="IF15" s="549"/>
      <c r="IG15" s="549"/>
      <c r="IH15" s="549"/>
      <c r="II15" s="549"/>
      <c r="IJ15" s="549"/>
      <c r="IK15" s="509"/>
      <c r="IL15" s="549"/>
      <c r="IM15" s="549"/>
      <c r="IN15" s="549"/>
      <c r="IO15" s="549"/>
      <c r="IP15" s="549"/>
      <c r="IQ15" s="509"/>
      <c r="IR15" s="549"/>
      <c r="IS15" s="549"/>
      <c r="IT15" s="549"/>
      <c r="IU15" s="549"/>
    </row>
    <row r="16" spans="1:255" ht="25.5" customHeight="1">
      <c r="A16" s="3165"/>
      <c r="B16" s="3165"/>
      <c r="C16" s="3165"/>
      <c r="D16" s="3165"/>
      <c r="E16" s="3165"/>
      <c r="F16" s="3165"/>
      <c r="G16" s="3165"/>
      <c r="H16" s="3165"/>
      <c r="I16" s="3165"/>
      <c r="J16" s="3165"/>
      <c r="K16" s="3166" t="s">
        <v>164</v>
      </c>
      <c r="L16" s="3166"/>
      <c r="M16" s="3166"/>
      <c r="N16" s="202">
        <f>170/57</f>
        <v>2.9824561403508771</v>
      </c>
      <c r="Q16" s="538" t="s">
        <v>288</v>
      </c>
      <c r="R16" s="550">
        <f>R15-X15</f>
        <v>-15577.367063390186</v>
      </c>
      <c r="S16" s="550">
        <f>S15-Y15</f>
        <v>-1162.1034660462237</v>
      </c>
      <c r="T16" s="550">
        <f>T15-Z15</f>
        <v>-4197.0140527924959</v>
      </c>
      <c r="U16" s="550">
        <f>U15-AA15</f>
        <v>-20936.484582228892</v>
      </c>
      <c r="V16" s="551"/>
      <c r="W16" s="538" t="s">
        <v>288</v>
      </c>
      <c r="X16" s="550">
        <f>X15-AD15</f>
        <v>4860.6635029655299</v>
      </c>
      <c r="Y16" s="550">
        <f>Y15-AE15</f>
        <v>587.8524457462272</v>
      </c>
      <c r="Z16" s="550">
        <f>Z15-AF15</f>
        <v>1800.845686669998</v>
      </c>
      <c r="AA16" s="550">
        <f>AA15-AG15</f>
        <v>7249.3616353817342</v>
      </c>
      <c r="AB16" s="551"/>
      <c r="AC16" s="538" t="s">
        <v>288</v>
      </c>
      <c r="AD16" s="550">
        <f>AD15-AJ15</f>
        <v>4159.682375412478</v>
      </c>
      <c r="AE16" s="550">
        <f>AE15-AK15</f>
        <v>590.78833360000044</v>
      </c>
      <c r="AF16" s="550">
        <f>AF15-AL15</f>
        <v>1407.8051850000011</v>
      </c>
      <c r="AG16" s="550">
        <f>AG15-AM15</f>
        <v>6158.2758940124841</v>
      </c>
      <c r="AI16" s="538" t="s">
        <v>288</v>
      </c>
      <c r="AJ16" s="550">
        <f>AJ15-AP15</f>
        <v>6018.0074576965999</v>
      </c>
      <c r="AK16" s="550">
        <f>AK15-AQ15</f>
        <v>350.29305036999722</v>
      </c>
      <c r="AL16" s="550">
        <f>AL15-AR15</f>
        <v>701.309422979999</v>
      </c>
      <c r="AM16" s="550">
        <f>AM15-AS15</f>
        <v>7069.6099310466016</v>
      </c>
      <c r="AO16" s="538" t="s">
        <v>288</v>
      </c>
      <c r="AP16" s="550">
        <f>AP15-AV15</f>
        <v>5944.0765688155589</v>
      </c>
      <c r="AQ16" s="550">
        <f>AQ15-AW15</f>
        <v>626.06841617999908</v>
      </c>
      <c r="AR16" s="550">
        <f>AR15-AX15</f>
        <v>4279.9562083499986</v>
      </c>
      <c r="AS16" s="550">
        <f>AS15-AY15</f>
        <v>10850.101193345567</v>
      </c>
      <c r="AU16" s="538" t="s">
        <v>288</v>
      </c>
      <c r="AV16" s="550">
        <f>AV15-BB15</f>
        <v>5733.6448022492514</v>
      </c>
      <c r="AW16" s="550">
        <f>AW15-BC15</f>
        <v>404.57229294000035</v>
      </c>
      <c r="AX16" s="550">
        <f>AX15-BD15</f>
        <v>-335.28497446999972</v>
      </c>
      <c r="AY16" s="550">
        <f>AY15-BE15</f>
        <v>5802.9321207192552</v>
      </c>
      <c r="BA16" s="538" t="s">
        <v>288</v>
      </c>
      <c r="BB16" s="550">
        <f>BB15-BH15</f>
        <v>3134.9292651862015</v>
      </c>
      <c r="BC16" s="550">
        <f>BC15-BI15</f>
        <v>517.78223292000075</v>
      </c>
      <c r="BD16" s="550">
        <f>BD15-BJ15</f>
        <v>1726.9648536900004</v>
      </c>
      <c r="BE16" s="550">
        <f>BE15-BK15</f>
        <v>5379.6763517961954</v>
      </c>
      <c r="BG16" s="538" t="s">
        <v>288</v>
      </c>
      <c r="BH16" s="550">
        <f>BH15-BN15</f>
        <v>3524.6652752402952</v>
      </c>
      <c r="BI16" s="550">
        <f>BI15-BO15</f>
        <v>358.97904781999978</v>
      </c>
      <c r="BJ16" s="550">
        <f>BJ15-BP15</f>
        <v>1706.5531586299994</v>
      </c>
      <c r="BK16" s="550">
        <f>BK15-BQ15</f>
        <v>5590.1974816902912</v>
      </c>
      <c r="BM16" s="538" t="s">
        <v>288</v>
      </c>
      <c r="BN16" s="550">
        <f>BN15-BT15</f>
        <v>5500.9426643148945</v>
      </c>
      <c r="BO16" s="550">
        <f>BO15-BU15</f>
        <v>993.84124735999967</v>
      </c>
      <c r="BP16" s="550">
        <f>BP15-BV15</f>
        <v>2101.9173689499994</v>
      </c>
      <c r="BQ16" s="550">
        <f>BQ15-BW15</f>
        <v>8596.7012806248968</v>
      </c>
      <c r="BS16" s="538" t="s">
        <v>288</v>
      </c>
      <c r="BT16" s="550">
        <f>BT15-BZ15</f>
        <v>5588.4505292000358</v>
      </c>
      <c r="BU16" s="550">
        <f>BU15-CA15</f>
        <v>542.55689211000004</v>
      </c>
      <c r="BV16" s="550">
        <f>BV15-CB15</f>
        <v>1198.0423865400003</v>
      </c>
      <c r="BW16" s="550">
        <f>BW15-CC15</f>
        <v>7329.0498078500368</v>
      </c>
      <c r="BY16" s="538" t="s">
        <v>288</v>
      </c>
      <c r="BZ16" s="550">
        <f>BZ15-CF15</f>
        <v>8291.6324010071239</v>
      </c>
      <c r="CA16" s="550">
        <f>CA15-CG15</f>
        <v>-28986.100151594386</v>
      </c>
      <c r="CB16" s="550">
        <f>CB15-CH15</f>
        <v>687.72904898780007</v>
      </c>
      <c r="CC16" s="550">
        <f>CC15-CI15</f>
        <v>-20006.738701599461</v>
      </c>
      <c r="CE16" s="538" t="s">
        <v>288</v>
      </c>
      <c r="CF16" s="550">
        <f>CF15-CL15</f>
        <v>993.87436742219984</v>
      </c>
      <c r="CG16" s="550">
        <f>CG15-CM15</f>
        <v>30098.388367684387</v>
      </c>
      <c r="CH16" s="550">
        <f>CH15-CN15</f>
        <v>2609.8919003221999</v>
      </c>
      <c r="CI16" s="550">
        <f>CI15-CO15</f>
        <v>33702.154635428786</v>
      </c>
      <c r="CK16" s="538"/>
      <c r="CL16" s="550"/>
      <c r="CM16" s="550"/>
      <c r="CN16" s="550"/>
      <c r="CO16" s="550"/>
      <c r="CQ16" s="538"/>
      <c r="CR16" s="550"/>
      <c r="CS16" s="550"/>
      <c r="CT16" s="550"/>
      <c r="CU16" s="550"/>
      <c r="CW16" s="538"/>
      <c r="CX16" s="550"/>
      <c r="CY16" s="550"/>
      <c r="CZ16" s="550"/>
      <c r="DA16" s="550"/>
      <c r="DC16" s="538"/>
      <c r="DD16" s="550"/>
      <c r="DE16" s="550"/>
      <c r="DF16" s="550"/>
      <c r="DG16" s="550"/>
      <c r="DI16" s="538"/>
      <c r="DJ16" s="550"/>
      <c r="DK16" s="550"/>
      <c r="DL16" s="550"/>
      <c r="DM16" s="550"/>
      <c r="DN16" s="550"/>
      <c r="DO16" s="538"/>
      <c r="DP16" s="550"/>
      <c r="DQ16" s="550"/>
      <c r="DR16" s="550"/>
      <c r="DS16" s="550"/>
      <c r="DU16" s="538"/>
      <c r="DV16" s="550"/>
      <c r="DW16" s="550"/>
      <c r="DX16" s="550"/>
      <c r="DY16" s="550"/>
      <c r="EA16" s="538"/>
      <c r="EB16" s="550"/>
      <c r="EC16" s="550"/>
      <c r="ED16" s="550"/>
      <c r="EE16" s="550"/>
      <c r="EG16" s="538"/>
      <c r="EH16" s="550"/>
      <c r="EI16" s="550"/>
      <c r="EJ16" s="550"/>
      <c r="EK16" s="550"/>
      <c r="EM16" s="538"/>
      <c r="EN16" s="550"/>
      <c r="EO16" s="550"/>
      <c r="EP16" s="550"/>
      <c r="EQ16" s="550"/>
      <c r="ES16" s="538"/>
      <c r="ET16" s="550"/>
      <c r="EU16" s="550"/>
      <c r="EV16" s="550"/>
      <c r="EW16" s="550"/>
      <c r="EY16" s="538"/>
      <c r="EZ16" s="550"/>
      <c r="FA16" s="550"/>
      <c r="FB16" s="550"/>
      <c r="FC16" s="550"/>
      <c r="FE16" s="538"/>
      <c r="FF16" s="550"/>
      <c r="FG16" s="550"/>
      <c r="FH16" s="550"/>
      <c r="FI16" s="550"/>
      <c r="FK16" s="538"/>
      <c r="FL16" s="550"/>
      <c r="FM16" s="550"/>
      <c r="FN16" s="550"/>
      <c r="FO16" s="550"/>
      <c r="FQ16" s="538"/>
      <c r="FR16" s="550"/>
      <c r="FS16" s="550"/>
      <c r="FT16" s="550"/>
      <c r="FU16" s="550"/>
      <c r="FW16" s="538"/>
      <c r="FX16" s="550"/>
      <c r="FY16" s="550"/>
      <c r="FZ16" s="550"/>
      <c r="GA16" s="550"/>
      <c r="GC16" s="538"/>
      <c r="GD16" s="550"/>
      <c r="GE16" s="550"/>
      <c r="GF16" s="550"/>
      <c r="GG16" s="550"/>
      <c r="GH16" s="550"/>
      <c r="GI16" s="538"/>
      <c r="GJ16" s="550"/>
      <c r="GK16" s="550"/>
      <c r="GL16" s="550"/>
      <c r="GM16" s="550"/>
      <c r="GN16" s="550"/>
      <c r="GO16" s="552"/>
      <c r="GP16" s="553"/>
      <c r="GQ16" s="553"/>
      <c r="GR16" s="553"/>
      <c r="GS16" s="553"/>
      <c r="GT16" s="553"/>
      <c r="GU16" s="552"/>
      <c r="GV16" s="553"/>
      <c r="GW16" s="553"/>
      <c r="GX16" s="553"/>
      <c r="GY16" s="553"/>
      <c r="GZ16" s="553"/>
      <c r="HA16" s="552"/>
      <c r="HB16" s="553"/>
      <c r="HC16" s="553"/>
      <c r="HD16" s="553"/>
      <c r="HE16" s="553"/>
      <c r="HF16" s="553"/>
      <c r="HG16" s="552"/>
      <c r="HH16" s="553"/>
      <c r="HI16" s="553"/>
      <c r="HJ16" s="553"/>
      <c r="HK16" s="553"/>
      <c r="HL16" s="553"/>
      <c r="HM16" s="552"/>
      <c r="HN16" s="553"/>
      <c r="HO16" s="553"/>
      <c r="HP16" s="553"/>
      <c r="HQ16" s="553"/>
      <c r="HR16" s="553"/>
      <c r="HS16" s="553"/>
      <c r="HT16" s="553"/>
      <c r="HU16" s="553"/>
      <c r="HV16" s="553"/>
      <c r="HW16" s="553"/>
      <c r="HX16" s="553"/>
      <c r="HY16" s="552"/>
      <c r="HZ16" s="553"/>
      <c r="IA16" s="553"/>
      <c r="IB16" s="553"/>
      <c r="IC16" s="553"/>
      <c r="ID16" s="553"/>
      <c r="IE16" s="552"/>
      <c r="IF16" s="553"/>
      <c r="IG16" s="553"/>
      <c r="IH16" s="553"/>
      <c r="II16" s="553"/>
      <c r="IJ16" s="553"/>
      <c r="IK16" s="552"/>
      <c r="IL16" s="553"/>
      <c r="IM16" s="553"/>
      <c r="IN16" s="553"/>
      <c r="IO16" s="553"/>
      <c r="IP16" s="553"/>
      <c r="IQ16" s="552"/>
      <c r="IR16" s="553"/>
      <c r="IS16" s="553"/>
      <c r="IT16" s="553"/>
      <c r="IU16" s="553"/>
    </row>
    <row r="17" spans="1:245" s="430" customFormat="1" ht="27.75" customHeight="1" thickBot="1">
      <c r="A17" s="3160" t="s">
        <v>475</v>
      </c>
      <c r="B17" s="3161"/>
      <c r="C17" s="3161"/>
      <c r="D17" s="3161"/>
      <c r="E17" s="3161"/>
      <c r="F17" s="3161"/>
      <c r="G17" s="3161"/>
      <c r="H17" s="3161"/>
      <c r="I17" s="3161"/>
      <c r="J17" s="3161"/>
      <c r="K17" s="3161"/>
      <c r="L17" s="3161"/>
      <c r="M17" s="3161"/>
      <c r="O17" s="202"/>
      <c r="P17" s="202"/>
      <c r="Q17" s="202"/>
      <c r="R17" s="202"/>
      <c r="S17" s="202"/>
      <c r="T17" s="202"/>
      <c r="U17" s="202"/>
      <c r="V17" s="554"/>
      <c r="W17" s="202"/>
      <c r="X17" s="1501">
        <f>X5-AD5</f>
        <v>706.83752421999998</v>
      </c>
      <c r="Y17" s="1501">
        <f>Y5-AE5</f>
        <v>94.930663489999915</v>
      </c>
      <c r="Z17" s="1501">
        <f>Z5-AF5</f>
        <v>376.47022512999956</v>
      </c>
      <c r="AA17" s="1501">
        <f>AA5-AG5</f>
        <v>1178.2384128399972</v>
      </c>
      <c r="AB17" s="202"/>
      <c r="AC17" s="1846">
        <f>X17+X5</f>
        <v>8958.9182094900007</v>
      </c>
      <c r="AD17" s="1846">
        <f>Y17+Y5</f>
        <v>748.33336485999985</v>
      </c>
      <c r="AE17" s="1846">
        <f>Z17+Z5</f>
        <v>4515.9703905499991</v>
      </c>
      <c r="AF17" s="1846">
        <f>AA17+AA5</f>
        <v>14223.221964899996</v>
      </c>
      <c r="AG17" s="202"/>
      <c r="AH17" s="202"/>
      <c r="AI17" s="202"/>
      <c r="AJ17" s="202"/>
      <c r="AK17" s="202"/>
      <c r="AL17" s="202"/>
      <c r="AM17" s="202"/>
      <c r="AN17" s="202"/>
      <c r="AO17" s="202"/>
      <c r="AP17" s="556">
        <f>AJ7/AP7</f>
        <v>1.0430921603125682</v>
      </c>
      <c r="AQ17" s="202"/>
      <c r="AR17" s="202"/>
      <c r="AS17" s="202"/>
      <c r="AT17" s="202"/>
      <c r="AU17" s="202"/>
      <c r="AV17" s="202">
        <v>2723.3809999999999</v>
      </c>
      <c r="AW17" s="202">
        <v>455.96300000000002</v>
      </c>
      <c r="AX17" s="202">
        <v>709.98500000000001</v>
      </c>
      <c r="AY17" s="202">
        <v>3889.3290000000002</v>
      </c>
      <c r="AZ17" s="202"/>
      <c r="BA17" s="202"/>
      <c r="BB17" s="202"/>
      <c r="BC17" s="202"/>
      <c r="BD17" s="202"/>
      <c r="BE17" s="202"/>
      <c r="BF17" s="202"/>
      <c r="BG17" s="202"/>
      <c r="BH17" s="202"/>
      <c r="BI17" s="202"/>
      <c r="BJ17" s="202"/>
      <c r="BK17" s="202"/>
      <c r="BL17" s="202"/>
      <c r="BM17" s="202"/>
      <c r="BN17" s="557"/>
      <c r="BO17" s="558"/>
      <c r="BP17" s="202"/>
      <c r="BQ17" s="202"/>
      <c r="BR17" s="202"/>
      <c r="BS17" s="202"/>
      <c r="BT17" s="557"/>
      <c r="BU17" s="558"/>
      <c r="BV17" s="202"/>
      <c r="BW17" s="202"/>
      <c r="BX17" s="202"/>
      <c r="BY17" s="202"/>
      <c r="BZ17" s="557"/>
      <c r="CA17" s="202"/>
      <c r="CB17" s="202"/>
      <c r="CC17" s="202"/>
      <c r="CD17" s="202"/>
      <c r="CE17" s="202"/>
      <c r="CF17" s="557"/>
      <c r="CG17" s="202"/>
      <c r="CH17" s="202"/>
      <c r="CI17" s="202"/>
      <c r="CJ17" s="202"/>
      <c r="CK17" s="202"/>
      <c r="CL17" s="202"/>
      <c r="CM17" s="202"/>
      <c r="CN17" s="202"/>
      <c r="CO17" s="202"/>
      <c r="CP17" s="202"/>
      <c r="CQ17" s="202"/>
      <c r="CR17" s="202"/>
      <c r="CS17" s="202"/>
      <c r="CT17" s="202"/>
      <c r="CU17" s="202"/>
      <c r="CV17" s="202"/>
      <c r="CW17" s="202"/>
      <c r="CX17" s="202"/>
      <c r="CY17" s="202"/>
      <c r="CZ17" s="202"/>
      <c r="DA17" s="202"/>
      <c r="DB17" s="202"/>
      <c r="DC17" s="202"/>
      <c r="DD17" s="202"/>
      <c r="DE17" s="202"/>
      <c r="DF17" s="202"/>
      <c r="DG17" s="202"/>
      <c r="DH17" s="202"/>
      <c r="DI17" s="202"/>
      <c r="DJ17" s="202"/>
      <c r="DK17" s="202"/>
      <c r="DL17" s="555"/>
      <c r="DM17" s="202"/>
      <c r="DN17" s="202"/>
      <c r="DO17" s="202"/>
      <c r="DP17" s="202"/>
      <c r="DQ17" s="202"/>
      <c r="DR17" s="555"/>
      <c r="DS17" s="202"/>
      <c r="DT17" s="202"/>
      <c r="DU17" s="202"/>
      <c r="DV17" s="202"/>
      <c r="DW17" s="202"/>
      <c r="DX17" s="555"/>
      <c r="DY17" s="202"/>
      <c r="DZ17" s="202"/>
      <c r="EA17" s="202"/>
      <c r="EB17" s="202"/>
      <c r="EC17" s="202"/>
      <c r="ED17" s="555"/>
      <c r="EE17" s="202"/>
      <c r="EF17" s="202"/>
      <c r="EG17" s="202"/>
      <c r="EH17" s="202"/>
      <c r="EI17" s="202"/>
      <c r="EJ17" s="202"/>
      <c r="EK17" s="202"/>
      <c r="EL17" s="202"/>
      <c r="EM17" s="202"/>
      <c r="EN17" s="202"/>
      <c r="EO17" s="202"/>
      <c r="EP17" s="202"/>
      <c r="EQ17" s="202"/>
      <c r="ER17" s="202"/>
      <c r="ES17" s="202"/>
      <c r="ET17" s="202"/>
      <c r="EU17" s="202"/>
      <c r="EV17" s="202"/>
      <c r="EW17" s="202"/>
      <c r="EX17" s="202"/>
      <c r="EY17" s="202"/>
      <c r="EZ17" s="202"/>
      <c r="FA17" s="202"/>
      <c r="FB17" s="202"/>
      <c r="FC17" s="202"/>
      <c r="FD17" s="202"/>
      <c r="FE17" s="202"/>
      <c r="FF17" s="202"/>
      <c r="FG17" s="202"/>
      <c r="FH17" s="202"/>
      <c r="FI17" s="202"/>
      <c r="FJ17" s="202"/>
      <c r="FK17" s="202"/>
      <c r="FL17" s="202"/>
      <c r="FM17" s="202"/>
      <c r="FN17" s="202"/>
      <c r="FO17" s="202"/>
      <c r="FP17" s="202"/>
      <c r="FQ17" s="202"/>
      <c r="FR17" s="202"/>
      <c r="FS17" s="202"/>
      <c r="FT17" s="202"/>
      <c r="FU17" s="202"/>
      <c r="FV17" s="202"/>
      <c r="FW17" s="202"/>
      <c r="FX17" s="202"/>
      <c r="FY17" s="202"/>
      <c r="FZ17" s="202"/>
      <c r="GA17" s="202"/>
      <c r="GB17" s="202"/>
      <c r="GC17" s="202"/>
      <c r="GD17" s="202"/>
      <c r="GE17" s="202"/>
      <c r="GF17" s="202"/>
      <c r="GG17" s="202"/>
      <c r="GH17" s="202"/>
      <c r="GI17" s="202"/>
      <c r="GJ17" s="202"/>
      <c r="GK17" s="202"/>
      <c r="GL17" s="202"/>
      <c r="GM17" s="202"/>
      <c r="GN17" s="202"/>
      <c r="GO17" s="202"/>
      <c r="GP17" s="202"/>
      <c r="GQ17" s="202"/>
      <c r="GR17" s="202"/>
      <c r="GS17" s="202"/>
      <c r="GT17" s="202"/>
      <c r="GU17" s="202"/>
      <c r="GV17" s="202"/>
      <c r="GW17" s="202"/>
      <c r="GX17" s="202"/>
      <c r="GY17" s="202"/>
      <c r="GZ17" s="202"/>
      <c r="HA17" s="202"/>
      <c r="HB17" s="202"/>
      <c r="HC17" s="202"/>
      <c r="HD17" s="202"/>
      <c r="HE17" s="202"/>
      <c r="HF17" s="202"/>
      <c r="HG17" s="202"/>
      <c r="HH17" s="174"/>
      <c r="HI17" s="174"/>
      <c r="HJ17" s="174"/>
      <c r="HK17" s="174"/>
      <c r="HL17" s="174"/>
      <c r="HM17" s="174"/>
      <c r="HN17" s="174"/>
      <c r="HO17" s="202"/>
      <c r="HP17" s="202"/>
      <c r="HQ17" s="202"/>
      <c r="HR17" s="202"/>
      <c r="HS17" s="202"/>
      <c r="HT17" s="202"/>
      <c r="HU17" s="202"/>
      <c r="HV17" s="202"/>
      <c r="HW17" s="202"/>
      <c r="HX17" s="202"/>
      <c r="HY17" s="202"/>
      <c r="HZ17" s="202"/>
      <c r="IA17" s="202"/>
      <c r="IB17" s="202"/>
      <c r="IC17" s="202"/>
      <c r="ID17" s="202"/>
      <c r="IE17" s="202"/>
      <c r="IF17" s="202"/>
      <c r="IG17" s="202"/>
      <c r="IH17" s="202"/>
      <c r="II17" s="202"/>
      <c r="IJ17" s="202"/>
      <c r="IK17" s="202"/>
    </row>
    <row r="18" spans="1:245" s="430" customFormat="1" ht="12.75" customHeight="1">
      <c r="A18" s="3167"/>
      <c r="B18" s="3162" t="s">
        <v>183</v>
      </c>
      <c r="C18" s="3163"/>
      <c r="D18" s="3163"/>
      <c r="E18" s="3164"/>
      <c r="F18" s="3162" t="s">
        <v>256</v>
      </c>
      <c r="G18" s="3163"/>
      <c r="H18" s="3163"/>
      <c r="I18" s="3164"/>
      <c r="J18" s="3162" t="s">
        <v>184</v>
      </c>
      <c r="K18" s="3163"/>
      <c r="L18" s="3163"/>
      <c r="M18" s="3164"/>
      <c r="Q18" s="202"/>
      <c r="R18" s="202"/>
      <c r="S18" s="202"/>
      <c r="T18" s="202"/>
      <c r="U18" s="202"/>
      <c r="V18" s="845"/>
      <c r="X18" s="1501"/>
      <c r="Y18" s="1501"/>
      <c r="Z18" s="1501"/>
      <c r="AA18" s="1501"/>
      <c r="AC18" s="1846"/>
      <c r="AD18" s="1846"/>
      <c r="AE18" s="1846"/>
      <c r="AF18" s="1846"/>
      <c r="AP18" s="430">
        <f>AJ7*AP17</f>
        <v>3359.2694795627922</v>
      </c>
      <c r="AQ18" s="430">
        <f>AK7*AP17</f>
        <v>546.66985183408474</v>
      </c>
      <c r="AR18" s="430">
        <f>AL7*AP17</f>
        <v>901.40624647969548</v>
      </c>
      <c r="AV18" s="430">
        <v>1.0966610508064476</v>
      </c>
      <c r="AW18" s="430">
        <v>1.0560098751885887</v>
      </c>
      <c r="AX18" s="430">
        <v>1.0654086229943978</v>
      </c>
      <c r="AY18" s="430">
        <v>1.0862042607644922</v>
      </c>
      <c r="BN18" s="558"/>
      <c r="BT18" s="558"/>
      <c r="CL18" s="559"/>
      <c r="CN18" s="555"/>
      <c r="CR18" s="559"/>
      <c r="CT18" s="555"/>
      <c r="DD18" s="561"/>
      <c r="DE18" s="559"/>
      <c r="DJ18" s="556"/>
      <c r="DK18" s="562"/>
      <c r="DL18" s="563"/>
      <c r="DM18" s="123"/>
      <c r="DN18" s="123"/>
      <c r="DP18" s="556"/>
      <c r="DQ18" s="562"/>
      <c r="DR18" s="563"/>
      <c r="DS18" s="123"/>
      <c r="DV18" s="556"/>
      <c r="DW18" s="562"/>
      <c r="DX18" s="563"/>
      <c r="DY18" s="123"/>
      <c r="EB18" s="556"/>
      <c r="EC18" s="562"/>
      <c r="ED18" s="563"/>
      <c r="EE18" s="123"/>
      <c r="GA18" s="123"/>
      <c r="GG18" s="123"/>
      <c r="GY18" s="123"/>
      <c r="HF18" s="123"/>
      <c r="HH18" s="564"/>
      <c r="HI18" s="564"/>
      <c r="HJ18" s="564"/>
      <c r="HK18" s="564"/>
      <c r="HL18" s="564"/>
      <c r="HM18" s="564"/>
      <c r="HN18" s="564"/>
      <c r="HX18" s="123"/>
    </row>
    <row r="19" spans="1:245" s="430" customFormat="1" ht="28.2" thickBot="1">
      <c r="A19" s="3167"/>
      <c r="B19" s="565" t="s">
        <v>17</v>
      </c>
      <c r="C19" s="566" t="s">
        <v>236</v>
      </c>
      <c r="D19" s="566" t="s">
        <v>186</v>
      </c>
      <c r="E19" s="94" t="s">
        <v>98</v>
      </c>
      <c r="F19" s="565" t="s">
        <v>17</v>
      </c>
      <c r="G19" s="566" t="str">
        <f>C19</f>
        <v xml:space="preserve">FRM   </v>
      </c>
      <c r="H19" s="566" t="s">
        <v>186</v>
      </c>
      <c r="I19" s="94" t="s">
        <v>98</v>
      </c>
      <c r="J19" s="565" t="s">
        <v>17</v>
      </c>
      <c r="K19" s="566" t="s">
        <v>185</v>
      </c>
      <c r="L19" s="566" t="s">
        <v>186</v>
      </c>
      <c r="M19" s="94" t="s">
        <v>98</v>
      </c>
      <c r="Q19" s="202"/>
      <c r="R19" s="202"/>
      <c r="S19" s="202"/>
      <c r="T19" s="202"/>
      <c r="U19" s="202"/>
      <c r="V19" s="560"/>
      <c r="X19" s="1501"/>
      <c r="Y19" s="1501"/>
      <c r="Z19" s="1501"/>
      <c r="AA19" s="1501"/>
      <c r="AC19" s="1846"/>
      <c r="AD19" s="1846"/>
      <c r="AE19" s="1846"/>
      <c r="AF19" s="1846"/>
      <c r="AJ19" s="555"/>
      <c r="AV19" s="430">
        <f>AV17*AV18</f>
        <v>2986.6258692063138</v>
      </c>
      <c r="AW19" s="430">
        <f>AW17*AW18</f>
        <v>481.50143072061451</v>
      </c>
      <c r="AX19" s="430">
        <f>AX17*AX18</f>
        <v>756.42414119667751</v>
      </c>
      <c r="AY19" s="430">
        <f>AY17*AY18</f>
        <v>4224.6057313149022</v>
      </c>
      <c r="BH19" s="558"/>
      <c r="BN19" s="555"/>
      <c r="BT19" s="555"/>
      <c r="BZ19" s="555"/>
      <c r="CF19" s="555"/>
      <c r="CL19" s="559"/>
      <c r="CR19" s="559"/>
      <c r="DF19" s="555"/>
      <c r="DJ19" s="563"/>
      <c r="DK19" s="556"/>
      <c r="DL19" s="563"/>
      <c r="DP19" s="563"/>
      <c r="DQ19" s="556"/>
      <c r="DR19" s="563"/>
      <c r="DV19" s="563"/>
      <c r="DW19" s="556"/>
      <c r="DX19" s="563"/>
      <c r="EB19" s="563"/>
      <c r="EC19" s="556"/>
      <c r="ED19" s="563"/>
      <c r="FR19" s="563"/>
      <c r="FS19" s="563"/>
      <c r="GU19" s="123"/>
      <c r="GW19" s="123"/>
      <c r="GX19" s="123"/>
      <c r="GY19" s="123"/>
      <c r="GZ19" s="123"/>
      <c r="HC19" s="123"/>
      <c r="HD19" s="123"/>
      <c r="HE19" s="123"/>
      <c r="HF19" s="123"/>
      <c r="HH19" s="564"/>
      <c r="HI19" s="564"/>
      <c r="HJ19" s="564"/>
      <c r="HK19" s="567"/>
      <c r="HL19" s="567"/>
      <c r="HM19" s="564"/>
      <c r="HN19" s="564"/>
    </row>
    <row r="20" spans="1:245" s="430" customFormat="1" ht="15" customHeight="1">
      <c r="A20" s="1320" t="s">
        <v>6</v>
      </c>
      <c r="B20" s="568">
        <f>'Feuil-saisie'!E25/1000</f>
        <v>819.05180683999993</v>
      </c>
      <c r="C20" s="99">
        <f>'Feuil-saisie'!E30/1000</f>
        <v>34.802887499999997</v>
      </c>
      <c r="D20" s="99">
        <f>'Feuil-saisie'!E33/1000</f>
        <v>2353.5463584299996</v>
      </c>
      <c r="E20" s="569">
        <f>D20+C20+B20</f>
        <v>3207.4010527699993</v>
      </c>
      <c r="F20" s="568">
        <f>Créanc!E8</f>
        <v>1672.5802192600001</v>
      </c>
      <c r="G20" s="99">
        <f>'Feuil-saisie'!C30/1000</f>
        <v>0.98603330000000278</v>
      </c>
      <c r="H20" s="99">
        <f>'Feuil-saisie'!C33/1000</f>
        <v>1109.4241201999994</v>
      </c>
      <c r="I20" s="569">
        <f>SUM(F20:H20)</f>
        <v>2782.9903727599994</v>
      </c>
      <c r="J20" s="570">
        <f>(F20*$O$14)/B20</f>
        <v>745.36405991856668</v>
      </c>
      <c r="K20" s="571">
        <f t="shared" ref="K20:K30" si="5">(G20*$O$14)/C20</f>
        <v>10.341157885247339</v>
      </c>
      <c r="L20" s="571">
        <f t="shared" ref="L20:L30" si="6">(H20*$O$14)/D20</f>
        <v>172.05516365657078</v>
      </c>
      <c r="M20" s="572">
        <f t="shared" ref="M20:M30" si="7">(I20*$O$14)/E20</f>
        <v>316.70236099103806</v>
      </c>
      <c r="Q20" s="202"/>
      <c r="R20" s="202"/>
      <c r="S20" s="202"/>
      <c r="T20" s="202"/>
      <c r="U20" s="202"/>
      <c r="V20" s="560"/>
      <c r="X20" s="1501"/>
      <c r="Y20" s="1501"/>
      <c r="Z20" s="1501"/>
      <c r="AA20" s="1501"/>
      <c r="AC20" s="1846"/>
      <c r="AD20" s="1846"/>
      <c r="AE20" s="1846"/>
      <c r="AF20" s="1846"/>
      <c r="FR20" s="123"/>
      <c r="FS20" s="123"/>
      <c r="HH20" s="564"/>
      <c r="HI20" s="564"/>
      <c r="HJ20" s="564"/>
      <c r="HK20" s="564"/>
      <c r="HL20" s="564"/>
      <c r="HM20" s="564"/>
      <c r="HN20" s="564"/>
    </row>
    <row r="21" spans="1:245" s="430" customFormat="1" ht="13.5" customHeight="1">
      <c r="A21" s="1320" t="s">
        <v>7</v>
      </c>
      <c r="B21" s="568">
        <f>'Feuil-saisie'!E49/1000</f>
        <v>3334.346</v>
      </c>
      <c r="C21" s="103">
        <f>'Feuil-saisie'!E54/1000</f>
        <v>60.767000000000003</v>
      </c>
      <c r="D21" s="103">
        <f>'Feuil-saisie'!E57/1000</f>
        <v>889.67600000000004</v>
      </c>
      <c r="E21" s="573">
        <f t="shared" ref="E21:E29" si="8">D21+C21+B21</f>
        <v>4284.7889999999998</v>
      </c>
      <c r="F21" s="568">
        <f>Créanc!E9</f>
        <v>1016.6158273199995</v>
      </c>
      <c r="G21" s="103">
        <f>'Feuil-saisie'!C54/1000</f>
        <v>4.7482200000000008</v>
      </c>
      <c r="H21" s="103">
        <f>'Feuil-saisie'!C57/1000</f>
        <v>524.35500000000002</v>
      </c>
      <c r="I21" s="573">
        <f t="shared" ref="I21:I29" si="9">F21+G21+H21</f>
        <v>1545.7190473199994</v>
      </c>
      <c r="J21" s="570">
        <f>(F21*$O$14)/B21</f>
        <v>111.28562451881113</v>
      </c>
      <c r="K21" s="571">
        <f t="shared" si="5"/>
        <v>28.520418977405502</v>
      </c>
      <c r="L21" s="571">
        <f t="shared" si="6"/>
        <v>215.12278065273202</v>
      </c>
      <c r="M21" s="572">
        <f t="shared" si="7"/>
        <v>131.67216688425026</v>
      </c>
      <c r="Q21" s="202"/>
      <c r="R21" s="202"/>
      <c r="S21" s="202"/>
      <c r="T21" s="202"/>
      <c r="U21" s="202"/>
      <c r="V21" s="560"/>
      <c r="X21" s="1501"/>
      <c r="Y21" s="1501"/>
      <c r="Z21" s="1501"/>
      <c r="AA21" s="1501"/>
      <c r="AC21" s="1846"/>
      <c r="AD21" s="1846"/>
      <c r="AE21" s="1846"/>
      <c r="AF21" s="1846"/>
      <c r="FR21" s="563"/>
      <c r="FS21" s="123"/>
      <c r="FX21" s="574"/>
      <c r="FY21" s="574"/>
      <c r="FZ21" s="574"/>
      <c r="GA21" s="574"/>
      <c r="GE21" s="563"/>
      <c r="GW21" s="563"/>
      <c r="HD21" s="563"/>
      <c r="HH21" s="564"/>
      <c r="HI21" s="564"/>
      <c r="HJ21" s="564"/>
      <c r="HK21" s="564"/>
      <c r="HL21" s="564"/>
      <c r="HM21" s="564"/>
      <c r="HN21" s="564"/>
      <c r="IK21" s="430">
        <v>140.11019137</v>
      </c>
    </row>
    <row r="22" spans="1:245" s="430" customFormat="1">
      <c r="A22" s="1320" t="s">
        <v>8</v>
      </c>
      <c r="B22" s="568">
        <f>'Feuil-saisie'!E72/1000</f>
        <v>3015.8667934200002</v>
      </c>
      <c r="C22" s="103">
        <f>'Feuil-saisie'!E77/1000</f>
        <v>77.335746590000014</v>
      </c>
      <c r="D22" s="103">
        <f>'Feuil-saisie'!E80/1000</f>
        <v>473.51845759000003</v>
      </c>
      <c r="E22" s="573">
        <f t="shared" si="8"/>
        <v>3566.7209976000004</v>
      </c>
      <c r="F22" s="568">
        <f>Créanc!E10</f>
        <v>558.77068796000083</v>
      </c>
      <c r="G22" s="103">
        <f>'Feuil-saisie'!C77/1000</f>
        <v>13.566429179999991</v>
      </c>
      <c r="H22" s="103">
        <f>'Feuil-saisie'!C80/1000</f>
        <v>495.46004759000004</v>
      </c>
      <c r="I22" s="573">
        <f t="shared" si="9"/>
        <v>1067.797164730001</v>
      </c>
      <c r="J22" s="570">
        <f t="shared" ref="J22:J30" si="10">(F22*$O$14)/B22</f>
        <v>67.626097263440158</v>
      </c>
      <c r="K22" s="571">
        <f t="shared" si="5"/>
        <v>64.029208600674295</v>
      </c>
      <c r="L22" s="571">
        <f t="shared" si="6"/>
        <v>381.91313236396456</v>
      </c>
      <c r="M22" s="572">
        <f t="shared" si="7"/>
        <v>109.27290511052176</v>
      </c>
      <c r="Q22" s="202"/>
      <c r="R22" s="202"/>
      <c r="S22" s="202"/>
      <c r="T22" s="202"/>
      <c r="U22" s="202"/>
      <c r="V22" s="560"/>
      <c r="X22" s="1501"/>
      <c r="Y22" s="1501"/>
      <c r="Z22" s="1501"/>
      <c r="AA22" s="1501"/>
      <c r="AC22" s="1846"/>
      <c r="AD22" s="1846"/>
      <c r="AE22" s="1846"/>
      <c r="AF22" s="1846"/>
      <c r="FR22" s="563"/>
      <c r="FX22" s="574"/>
      <c r="FY22" s="574"/>
      <c r="FZ22" s="574"/>
      <c r="GA22" s="574"/>
      <c r="HH22" s="564"/>
      <c r="HI22" s="564"/>
      <c r="HJ22" s="564"/>
      <c r="HK22" s="564"/>
      <c r="HL22" s="564"/>
      <c r="HM22" s="564"/>
      <c r="HN22" s="564"/>
      <c r="IK22" s="430">
        <v>312.25632300000001</v>
      </c>
    </row>
    <row r="23" spans="1:245" s="430" customFormat="1">
      <c r="A23" s="1320" t="s">
        <v>4</v>
      </c>
      <c r="B23" s="568">
        <f>'Feuil-saisie'!E96/1000</f>
        <v>5707.4612566200003</v>
      </c>
      <c r="C23" s="103">
        <f>'Feuil-saisie'!E101/1000</f>
        <v>108.34977238</v>
      </c>
      <c r="D23" s="103">
        <f>'Feuil-saisie'!E104/1000</f>
        <v>1253.5834664700001</v>
      </c>
      <c r="E23" s="573">
        <f>D23+C23+B23</f>
        <v>7069.39449547</v>
      </c>
      <c r="F23" s="568">
        <f>Créanc!E11</f>
        <v>1689.0696134900004</v>
      </c>
      <c r="G23" s="103">
        <f>'Feuil-saisie'!C101/1000</f>
        <v>8.7440808899999976</v>
      </c>
      <c r="H23" s="103">
        <f>'Feuil-saisie'!C104/1000</f>
        <v>1315.9505770800001</v>
      </c>
      <c r="I23" s="573">
        <f t="shared" si="9"/>
        <v>3013.7642714600006</v>
      </c>
      <c r="J23" s="570">
        <f t="shared" si="10"/>
        <v>108.01832569757154</v>
      </c>
      <c r="K23" s="571">
        <f t="shared" si="5"/>
        <v>29.45635652705004</v>
      </c>
      <c r="L23" s="571">
        <f t="shared" si="6"/>
        <v>383.1591381679209</v>
      </c>
      <c r="M23" s="572">
        <f t="shared" si="7"/>
        <v>155.60370266333067</v>
      </c>
      <c r="Q23" s="202"/>
      <c r="R23" s="202"/>
      <c r="S23" s="202"/>
      <c r="T23" s="202"/>
      <c r="U23" s="202"/>
      <c r="X23" s="1501"/>
      <c r="Y23" s="1501"/>
      <c r="Z23" s="1501"/>
      <c r="AA23" s="1501"/>
      <c r="AC23" s="1846"/>
      <c r="AD23" s="1846"/>
      <c r="AE23" s="1846"/>
      <c r="AF23" s="1846"/>
      <c r="FR23" s="563"/>
      <c r="FX23" s="574"/>
      <c r="FY23" s="574"/>
      <c r="FZ23" s="574"/>
      <c r="GA23" s="574"/>
      <c r="HH23" s="564"/>
      <c r="HI23" s="564"/>
      <c r="HJ23" s="564"/>
      <c r="HK23" s="564"/>
      <c r="HL23" s="564"/>
      <c r="HM23" s="564"/>
      <c r="HN23" s="564"/>
      <c r="IK23" s="430">
        <v>464.74055112000002</v>
      </c>
    </row>
    <row r="24" spans="1:245" s="430" customFormat="1">
      <c r="A24" s="1320" t="s">
        <v>3</v>
      </c>
      <c r="B24" s="568">
        <f>'Feuil-saisie'!E119/1000</f>
        <v>4032.371990529999</v>
      </c>
      <c r="C24" s="103">
        <f>'Feuil-saisie'!E124/1000</f>
        <v>66.377835829999995</v>
      </c>
      <c r="D24" s="103">
        <f>'Feuil-saisie'!E127/1000</f>
        <v>864.75968512999998</v>
      </c>
      <c r="E24" s="573">
        <f>D24+C24+B24</f>
        <v>4963.5095114899987</v>
      </c>
      <c r="F24" s="568">
        <f>Créanc!E12</f>
        <v>2863.9937023899997</v>
      </c>
      <c r="G24" s="103">
        <f>'Feuil-saisie'!C124/1000</f>
        <v>17.042999999999999</v>
      </c>
      <c r="H24" s="103">
        <f>'Feuil-saisie'!C127/1000</f>
        <v>580.23</v>
      </c>
      <c r="I24" s="573">
        <f t="shared" si="9"/>
        <v>3461.2667023899999</v>
      </c>
      <c r="J24" s="570">
        <f t="shared" si="10"/>
        <v>259.2413854246002</v>
      </c>
      <c r="K24" s="571">
        <f t="shared" si="5"/>
        <v>93.71644800128459</v>
      </c>
      <c r="L24" s="571">
        <f t="shared" si="6"/>
        <v>244.90497607802146</v>
      </c>
      <c r="M24" s="572">
        <f t="shared" si="7"/>
        <v>254.53005448016165</v>
      </c>
      <c r="Q24" s="202"/>
      <c r="R24" s="202"/>
      <c r="S24" s="202"/>
      <c r="T24" s="202"/>
      <c r="U24" s="202"/>
      <c r="X24" s="1501"/>
      <c r="Y24" s="1501"/>
      <c r="Z24" s="1501"/>
      <c r="AA24" s="1501"/>
      <c r="AC24" s="1846"/>
      <c r="AD24" s="1846"/>
      <c r="AE24" s="1846"/>
      <c r="AF24" s="1846"/>
      <c r="FR24" s="563"/>
      <c r="FT24" s="123"/>
      <c r="FX24" s="574"/>
      <c r="FY24" s="574"/>
      <c r="FZ24" s="574"/>
      <c r="GA24" s="574"/>
      <c r="HH24" s="564"/>
      <c r="HI24" s="564"/>
      <c r="HJ24" s="564"/>
      <c r="HK24" s="564"/>
      <c r="HL24" s="564"/>
      <c r="HM24" s="564"/>
      <c r="HN24" s="564"/>
      <c r="IK24" s="430">
        <v>583.23190724000006</v>
      </c>
    </row>
    <row r="25" spans="1:245" s="430" customFormat="1">
      <c r="A25" s="1320" t="s">
        <v>397</v>
      </c>
      <c r="B25" s="568">
        <f>'Feuil-saisie'!E144/1000</f>
        <v>2785.4572022899997</v>
      </c>
      <c r="C25" s="103">
        <f>'Feuil-saisie'!E149/1000</f>
        <v>1.4635233799999998</v>
      </c>
      <c r="D25" s="103">
        <f>'Feuil-saisie'!E152/1000</f>
        <v>1179.06078499</v>
      </c>
      <c r="E25" s="573">
        <f t="shared" si="8"/>
        <v>3965.9815106599999</v>
      </c>
      <c r="F25" s="568">
        <f>Créanc!E13</f>
        <v>2368.0157871499987</v>
      </c>
      <c r="G25" s="103">
        <f>'Feuil-saisie'!C149/1000</f>
        <v>1.4198499065299988</v>
      </c>
      <c r="H25" s="103">
        <f>'Feuil-saisie'!C152/1000</f>
        <v>584.20545579999964</v>
      </c>
      <c r="I25" s="573">
        <f t="shared" si="9"/>
        <v>2953.6410928565283</v>
      </c>
      <c r="J25" s="570">
        <f t="shared" si="10"/>
        <v>310.29942287361797</v>
      </c>
      <c r="K25" s="571">
        <f>(G25*$O$14)/C25</f>
        <v>354.10791721239849</v>
      </c>
      <c r="L25" s="571">
        <f t="shared" si="6"/>
        <v>180.85156768979334</v>
      </c>
      <c r="M25" s="572">
        <f t="shared" si="7"/>
        <v>271.8315746038927</v>
      </c>
      <c r="Q25" s="202"/>
      <c r="R25" s="202"/>
      <c r="S25" s="202"/>
      <c r="T25" s="202"/>
      <c r="U25" s="202"/>
      <c r="X25" s="1501"/>
      <c r="Y25" s="1501"/>
      <c r="Z25" s="1501"/>
      <c r="AA25" s="1501"/>
      <c r="AC25" s="1846"/>
      <c r="AD25" s="1846"/>
      <c r="AE25" s="1846"/>
      <c r="AF25" s="1846"/>
      <c r="FX25" s="574"/>
      <c r="FY25" s="574"/>
      <c r="FZ25" s="574"/>
      <c r="GA25" s="574"/>
      <c r="HH25" s="564"/>
      <c r="HI25" s="564"/>
      <c r="HJ25" s="564"/>
      <c r="HK25" s="564"/>
      <c r="HL25" s="564"/>
      <c r="HM25" s="564"/>
      <c r="HN25" s="564"/>
      <c r="IK25" s="430">
        <v>820.76878999999997</v>
      </c>
    </row>
    <row r="26" spans="1:245" s="430" customFormat="1">
      <c r="A26" s="1320" t="s">
        <v>399</v>
      </c>
      <c r="B26" s="568">
        <f>'Feuil-saisie'!E167/1000</f>
        <v>4219.0720770000007</v>
      </c>
      <c r="C26" s="103">
        <f>'Feuil-saisie'!E172/1000</f>
        <v>85.617947150000006</v>
      </c>
      <c r="D26" s="103">
        <f>'Feuil-saisie'!E175/1000</f>
        <v>2115.8122200599996</v>
      </c>
      <c r="E26" s="573">
        <f t="shared" si="8"/>
        <v>6420.5022442099998</v>
      </c>
      <c r="F26" s="568">
        <f>Créanc!E14</f>
        <v>1855.6029734520002</v>
      </c>
      <c r="G26" s="103">
        <f>'Feuil-saisie'!C172/1000</f>
        <v>16.490000000000016</v>
      </c>
      <c r="H26" s="103">
        <f>'Feuil-saisie'!C175/1000</f>
        <v>1084.1548809399994</v>
      </c>
      <c r="I26" s="573">
        <f t="shared" si="9"/>
        <v>2956.2478543919997</v>
      </c>
      <c r="J26" s="570">
        <f t="shared" si="10"/>
        <v>160.53176455605262</v>
      </c>
      <c r="K26" s="571">
        <f t="shared" si="5"/>
        <v>70.298929142217887</v>
      </c>
      <c r="L26" s="571">
        <f t="shared" si="6"/>
        <v>187.02819077766654</v>
      </c>
      <c r="M26" s="572">
        <f t="shared" si="7"/>
        <v>168.06013389780341</v>
      </c>
      <c r="Q26" s="202"/>
      <c r="R26" s="202"/>
      <c r="S26" s="202"/>
      <c r="T26" s="202"/>
      <c r="U26" s="202"/>
      <c r="X26" s="1501"/>
      <c r="Y26" s="1501"/>
      <c r="Z26" s="1501"/>
      <c r="AA26" s="1501"/>
      <c r="AC26" s="1846"/>
      <c r="AD26" s="1846"/>
      <c r="AE26" s="1846"/>
      <c r="AF26" s="1846"/>
      <c r="FX26" s="574"/>
      <c r="FY26" s="574"/>
      <c r="FZ26" s="574"/>
      <c r="GA26" s="574"/>
      <c r="HH26" s="564"/>
      <c r="HI26" s="564"/>
      <c r="HJ26" s="564"/>
      <c r="HK26" s="564"/>
      <c r="HL26" s="564"/>
      <c r="HM26" s="564"/>
      <c r="HN26" s="564"/>
      <c r="IK26" s="430">
        <v>1028.505429</v>
      </c>
    </row>
    <row r="27" spans="1:245" s="430" customFormat="1" ht="12.75" customHeight="1">
      <c r="A27" s="1320" t="s">
        <v>883</v>
      </c>
      <c r="B27" s="568">
        <f>'Feuil-saisie'!E190/1000</f>
        <v>3107.79994541</v>
      </c>
      <c r="C27" s="1261">
        <f>'Feuil-saisie'!E195/1000</f>
        <v>2.2553232899999998</v>
      </c>
      <c r="D27" s="103">
        <f>'Feuil-saisie'!E198/1000</f>
        <v>683.30964702000006</v>
      </c>
      <c r="E27" s="575">
        <f t="shared" si="8"/>
        <v>3793.3649157199998</v>
      </c>
      <c r="F27" s="568">
        <f>Créanc!E15</f>
        <v>1399.0475832529999</v>
      </c>
      <c r="G27" s="1261">
        <f>'Feuil-saisie'!C195/1000</f>
        <v>0.72659481999999975</v>
      </c>
      <c r="H27" s="103">
        <f>'Feuil-saisie'!C198/1000</f>
        <v>123.11480054000009</v>
      </c>
      <c r="I27" s="573">
        <f t="shared" si="9"/>
        <v>1522.8889786129998</v>
      </c>
      <c r="J27" s="570">
        <f t="shared" si="10"/>
        <v>164.31314011751056</v>
      </c>
      <c r="K27" s="571">
        <f t="shared" si="5"/>
        <v>117.59161556833828</v>
      </c>
      <c r="L27" s="571">
        <f t="shared" si="6"/>
        <v>65.763599845363743</v>
      </c>
      <c r="M27" s="572">
        <f t="shared" si="7"/>
        <v>146.53335219352104</v>
      </c>
      <c r="Q27" s="202"/>
      <c r="R27" s="202"/>
      <c r="S27" s="202"/>
      <c r="T27" s="202"/>
      <c r="U27" s="202"/>
      <c r="X27" s="1501"/>
      <c r="Y27" s="1501"/>
      <c r="Z27" s="1501"/>
      <c r="AA27" s="1501"/>
      <c r="AC27" s="1846"/>
      <c r="AD27" s="1846"/>
      <c r="AE27" s="1846"/>
      <c r="AF27" s="1846"/>
      <c r="FX27" s="574"/>
      <c r="FY27" s="574"/>
      <c r="FZ27" s="574"/>
      <c r="GA27" s="574"/>
      <c r="HH27" s="564"/>
      <c r="HI27" s="564"/>
      <c r="HJ27" s="564"/>
      <c r="HK27" s="564"/>
      <c r="HL27" s="564"/>
      <c r="HM27" s="564"/>
      <c r="HN27" s="564"/>
      <c r="IK27" s="430">
        <v>1250.006785</v>
      </c>
    </row>
    <row r="28" spans="1:245" s="430" customFormat="1">
      <c r="A28" s="1320" t="s">
        <v>884</v>
      </c>
      <c r="B28" s="568">
        <f>'Feuil-saisie'!E213/1000</f>
        <v>3832.6694538400016</v>
      </c>
      <c r="C28" s="103">
        <f>'Feuil-saisie'!E218/1000</f>
        <v>93.597648419999899</v>
      </c>
      <c r="D28" s="103">
        <f>'Feuil-saisie'!E221/1000</f>
        <v>582.77813362999996</v>
      </c>
      <c r="E28" s="573">
        <f>D28+C28+B28</f>
        <v>4509.0452358900011</v>
      </c>
      <c r="F28" s="568">
        <f>Créanc!E16</f>
        <v>983.32848568000134</v>
      </c>
      <c r="G28" s="103">
        <f>'Feuil-saisie'!C218/1000</f>
        <v>3.2725944299998666</v>
      </c>
      <c r="H28" s="103">
        <f>'Feuil-saisie'!C221/1000</f>
        <v>50.225951850001231</v>
      </c>
      <c r="I28" s="573">
        <f>F28+G28+H28</f>
        <v>1036.8270319600024</v>
      </c>
      <c r="J28" s="570">
        <f t="shared" si="10"/>
        <v>93.646191406774975</v>
      </c>
      <c r="K28" s="571">
        <f t="shared" si="5"/>
        <v>12.762040362273799</v>
      </c>
      <c r="L28" s="571">
        <f t="shared" si="6"/>
        <v>31.457035477740753</v>
      </c>
      <c r="M28" s="572">
        <f t="shared" si="7"/>
        <v>83.929489917992257</v>
      </c>
      <c r="Q28" s="202"/>
      <c r="R28" s="202"/>
      <c r="S28" s="202"/>
      <c r="T28" s="202"/>
      <c r="U28" s="202"/>
      <c r="X28" s="1501"/>
      <c r="Y28" s="1501"/>
      <c r="Z28" s="1501"/>
      <c r="AA28" s="1501"/>
      <c r="AC28" s="1846"/>
      <c r="AD28" s="1846"/>
      <c r="AE28" s="1846"/>
      <c r="AF28" s="1846"/>
      <c r="FX28" s="574"/>
      <c r="FY28" s="574"/>
      <c r="FZ28" s="574"/>
      <c r="GA28" s="574"/>
      <c r="HH28" s="564"/>
      <c r="HI28" s="564"/>
      <c r="HJ28" s="564"/>
      <c r="HK28" s="564"/>
      <c r="HL28" s="564"/>
      <c r="HM28" s="564"/>
      <c r="HN28" s="564"/>
      <c r="IK28" s="430">
        <v>1461.2555206899997</v>
      </c>
    </row>
    <row r="29" spans="1:245" s="430" customFormat="1" ht="12.75" customHeight="1">
      <c r="A29" s="1320" t="s">
        <v>885</v>
      </c>
      <c r="B29" s="568">
        <f>'Feuil-saisie'!E238/1000</f>
        <v>1045.4651060800002</v>
      </c>
      <c r="C29" s="1261">
        <f>'Feuil-saisie'!E243/1000</f>
        <v>27.527057769999999</v>
      </c>
      <c r="D29" s="103">
        <f>'Feuil-saisie'!E246/1000</f>
        <v>78.132987240000006</v>
      </c>
      <c r="E29" s="573">
        <f t="shared" si="8"/>
        <v>1151.1251510900001</v>
      </c>
      <c r="F29" s="568">
        <f>Créanc!E17</f>
        <v>260.28319273</v>
      </c>
      <c r="G29" s="1261">
        <f>'Feuil-saisie'!C243/1000</f>
        <v>2.6162806500000002</v>
      </c>
      <c r="H29" s="103">
        <f>'Feuil-saisie'!C246/1000</f>
        <v>8.5250017400000004</v>
      </c>
      <c r="I29" s="573">
        <f t="shared" si="9"/>
        <v>271.42447512000001</v>
      </c>
      <c r="J29" s="570">
        <f t="shared" si="10"/>
        <v>90.871866305196633</v>
      </c>
      <c r="K29" s="571">
        <f t="shared" si="5"/>
        <v>34.691046359874015</v>
      </c>
      <c r="L29" s="571">
        <f t="shared" si="6"/>
        <v>39.824736580748706</v>
      </c>
      <c r="M29" s="572">
        <f t="shared" si="7"/>
        <v>86.063564265788742</v>
      </c>
      <c r="Q29" s="202"/>
      <c r="R29" s="202"/>
      <c r="S29" s="202"/>
      <c r="T29" s="202"/>
      <c r="U29" s="202"/>
      <c r="X29" s="1501"/>
      <c r="Y29" s="1501"/>
      <c r="Z29" s="1501"/>
      <c r="AA29" s="1501"/>
      <c r="AC29" s="1846"/>
      <c r="AD29" s="1846"/>
      <c r="AE29" s="1846"/>
      <c r="AF29" s="1846"/>
      <c r="FX29" s="574"/>
      <c r="FY29" s="574"/>
      <c r="FZ29" s="574"/>
      <c r="GA29" s="574"/>
      <c r="HH29" s="564"/>
      <c r="HI29" s="564"/>
      <c r="HJ29" s="564"/>
      <c r="HK29" s="564"/>
      <c r="HL29" s="564"/>
      <c r="HM29" s="564"/>
      <c r="HN29" s="564"/>
      <c r="IK29" s="430">
        <v>1661.221722</v>
      </c>
    </row>
    <row r="30" spans="1:245" s="430" customFormat="1" ht="14.4" thickBot="1">
      <c r="A30" s="576" t="s">
        <v>49</v>
      </c>
      <c r="B30" s="577">
        <f t="shared" ref="B30:I30" si="11">SUM(B20:B29)</f>
        <v>31899.56163203</v>
      </c>
      <c r="C30" s="578">
        <f t="shared" si="11"/>
        <v>558.0947423099999</v>
      </c>
      <c r="D30" s="578">
        <f t="shared" si="11"/>
        <v>10474.177740559999</v>
      </c>
      <c r="E30" s="579">
        <f t="shared" si="11"/>
        <v>42931.83411489999</v>
      </c>
      <c r="F30" s="577">
        <f t="shared" si="11"/>
        <v>14667.308072685</v>
      </c>
      <c r="G30" s="578">
        <f>SUM(G20:G29)</f>
        <v>69.613083176529869</v>
      </c>
      <c r="H30" s="578">
        <f t="shared" si="11"/>
        <v>5875.6458357400006</v>
      </c>
      <c r="I30" s="579">
        <f t="shared" si="11"/>
        <v>20612.566991601525</v>
      </c>
      <c r="J30" s="544">
        <f t="shared" si="10"/>
        <v>167.8257371773588</v>
      </c>
      <c r="K30" s="545">
        <f t="shared" si="5"/>
        <v>45.527709604043928</v>
      </c>
      <c r="L30" s="545">
        <f t="shared" si="6"/>
        <v>204.75218037787846</v>
      </c>
      <c r="M30" s="546">
        <f t="shared" si="7"/>
        <v>175.24494601835352</v>
      </c>
      <c r="Q30" s="202"/>
      <c r="R30" s="202"/>
      <c r="S30" s="202"/>
      <c r="T30" s="202"/>
      <c r="U30" s="202"/>
      <c r="FX30" s="574"/>
      <c r="FY30" s="574"/>
      <c r="FZ30" s="574"/>
      <c r="GA30" s="574"/>
      <c r="HH30" s="564"/>
      <c r="HI30" s="564"/>
      <c r="HJ30" s="564"/>
      <c r="HK30" s="564"/>
      <c r="HL30" s="564"/>
      <c r="HM30" s="564"/>
      <c r="HN30" s="564"/>
    </row>
    <row r="31" spans="1:245" s="430" customFormat="1">
      <c r="G31" s="123"/>
      <c r="H31" s="123"/>
      <c r="I31" s="123"/>
      <c r="M31" s="123"/>
      <c r="Q31" s="202"/>
      <c r="R31" s="202"/>
      <c r="S31" s="202"/>
      <c r="T31" s="202"/>
      <c r="U31" s="202"/>
      <c r="FX31" s="574"/>
      <c r="FY31" s="574"/>
      <c r="FZ31" s="574"/>
      <c r="GA31" s="574"/>
      <c r="HH31" s="564"/>
      <c r="HI31" s="564"/>
      <c r="HJ31" s="564"/>
      <c r="HK31" s="564"/>
      <c r="HL31" s="564"/>
      <c r="HM31" s="564"/>
      <c r="HN31" s="564"/>
    </row>
    <row r="32" spans="1:245" s="430" customFormat="1" ht="18.600000000000001" thickBot="1">
      <c r="A32" s="3160" t="s">
        <v>476</v>
      </c>
      <c r="B32" s="3161"/>
      <c r="C32" s="3161"/>
      <c r="D32" s="3161"/>
      <c r="E32" s="3161"/>
      <c r="F32" s="3161"/>
      <c r="G32" s="3161"/>
      <c r="H32" s="3161"/>
      <c r="I32" s="3161"/>
      <c r="J32" s="3161"/>
      <c r="L32" s="580"/>
      <c r="Q32" s="202"/>
      <c r="R32" s="202"/>
      <c r="S32" s="202"/>
      <c r="T32" s="202"/>
      <c r="U32" s="202"/>
      <c r="HH32" s="564"/>
      <c r="HI32" s="564"/>
      <c r="HJ32" s="564"/>
      <c r="HK32" s="564"/>
      <c r="HL32" s="564"/>
      <c r="HM32" s="564"/>
      <c r="HN32" s="564"/>
    </row>
    <row r="33" spans="1:245" s="430" customFormat="1">
      <c r="A33" s="3167"/>
      <c r="B33" s="3162" t="s">
        <v>183</v>
      </c>
      <c r="C33" s="3163"/>
      <c r="D33" s="3164"/>
      <c r="E33" s="3162" t="s">
        <v>256</v>
      </c>
      <c r="F33" s="3163"/>
      <c r="G33" s="3164"/>
      <c r="H33" s="3162" t="s">
        <v>184</v>
      </c>
      <c r="I33" s="3163"/>
      <c r="J33" s="3164"/>
      <c r="K33" s="123"/>
      <c r="L33" s="580"/>
      <c r="Q33" s="202"/>
      <c r="R33" s="202"/>
      <c r="S33" s="202"/>
      <c r="T33" s="202"/>
      <c r="U33" s="202"/>
      <c r="HH33" s="564"/>
      <c r="HI33" s="564"/>
      <c r="HJ33" s="564"/>
      <c r="HK33" s="564"/>
      <c r="HL33" s="564"/>
      <c r="HM33" s="564"/>
      <c r="HN33" s="564"/>
    </row>
    <row r="34" spans="1:245" s="430" customFormat="1" ht="28.2" thickBot="1">
      <c r="A34" s="3167"/>
      <c r="B34" s="565" t="s">
        <v>226</v>
      </c>
      <c r="C34" s="566" t="s">
        <v>187</v>
      </c>
      <c r="D34" s="94" t="s">
        <v>98</v>
      </c>
      <c r="E34" s="565" t="s">
        <v>234</v>
      </c>
      <c r="F34" s="566" t="s">
        <v>187</v>
      </c>
      <c r="G34" s="94" t="s">
        <v>98</v>
      </c>
      <c r="H34" s="565" t="s">
        <v>18</v>
      </c>
      <c r="I34" s="566" t="s">
        <v>187</v>
      </c>
      <c r="J34" s="94" t="s">
        <v>98</v>
      </c>
      <c r="L34" s="580"/>
      <c r="Q34" s="202"/>
      <c r="R34" s="202"/>
      <c r="S34" s="202"/>
      <c r="T34" s="202"/>
      <c r="U34" s="202"/>
      <c r="HH34" s="564"/>
      <c r="HI34" s="564"/>
      <c r="HJ34" s="564"/>
      <c r="HK34" s="564"/>
      <c r="HL34" s="564"/>
      <c r="HM34" s="564"/>
      <c r="HN34" s="564"/>
    </row>
    <row r="35" spans="1:245" s="430" customFormat="1" ht="12.75" customHeight="1">
      <c r="A35" s="1320" t="s">
        <v>6</v>
      </c>
      <c r="B35" s="523">
        <f>'Feuil-saisie'!E29/1000</f>
        <v>474.05019561</v>
      </c>
      <c r="C35" s="99">
        <f>'Feuil-saisie'!E32/1000</f>
        <v>274.66260957999998</v>
      </c>
      <c r="D35" s="569">
        <f>C35+B35</f>
        <v>748.71280518999993</v>
      </c>
      <c r="E35" s="523">
        <f>'Feuil-saisie'!C29/1000</f>
        <v>487.83031238999985</v>
      </c>
      <c r="F35" s="99">
        <f>'Feuil-saisie'!C32/1000</f>
        <v>507.93625065000003</v>
      </c>
      <c r="G35" s="569">
        <f t="shared" ref="G35:G44" si="12">F35+E35</f>
        <v>995.76656303999994</v>
      </c>
      <c r="H35" s="570">
        <f t="shared" ref="H35:H45" si="13">(E35*$O$14)/B35</f>
        <v>375.6101477676383</v>
      </c>
      <c r="I35" s="571">
        <f t="shared" ref="I35:I45" si="14">(F35*$O$14)/C35</f>
        <v>674.9980704353942</v>
      </c>
      <c r="J35" s="572">
        <f t="shared" ref="J35:J45" si="15">(G35*$O$14)/D35</f>
        <v>485.43953434503698</v>
      </c>
      <c r="K35" s="123"/>
      <c r="L35" s="580"/>
      <c r="M35" s="119"/>
      <c r="Q35" s="202"/>
      <c r="R35" s="202"/>
      <c r="S35" s="202"/>
      <c r="T35" s="202"/>
      <c r="U35" s="202"/>
      <c r="W35" s="123"/>
      <c r="X35" s="123"/>
      <c r="Y35" s="123"/>
      <c r="Z35" s="123"/>
      <c r="AA35" s="123"/>
      <c r="AB35" s="123"/>
      <c r="AC35" s="123"/>
      <c r="AD35" s="123"/>
      <c r="AE35" s="123"/>
      <c r="AF35" s="123"/>
      <c r="AG35" s="123"/>
      <c r="AH35" s="123"/>
      <c r="AI35" s="123"/>
      <c r="AJ35" s="123"/>
      <c r="AK35" s="123"/>
      <c r="AL35" s="123"/>
      <c r="AM35" s="123"/>
      <c r="AN35" s="123"/>
      <c r="AO35" s="123"/>
      <c r="AP35" s="123"/>
      <c r="AQ35" s="123"/>
      <c r="AR35" s="123"/>
      <c r="AS35" s="123"/>
      <c r="AT35" s="123"/>
      <c r="AU35" s="123"/>
      <c r="AV35" s="123"/>
      <c r="AW35" s="123"/>
      <c r="AX35" s="123"/>
      <c r="AY35" s="123"/>
      <c r="AZ35" s="123"/>
      <c r="BA35" s="123"/>
      <c r="BB35" s="123"/>
      <c r="BC35" s="123"/>
      <c r="BD35" s="123"/>
      <c r="BE35" s="123"/>
      <c r="BF35" s="123"/>
      <c r="BG35" s="123"/>
      <c r="BH35" s="123"/>
      <c r="BI35" s="123"/>
      <c r="BJ35" s="123"/>
      <c r="BK35" s="123"/>
      <c r="BL35" s="123"/>
      <c r="BM35" s="123"/>
      <c r="BN35" s="123"/>
      <c r="BO35" s="123"/>
      <c r="BP35" s="123"/>
      <c r="BQ35" s="123"/>
      <c r="BR35" s="123"/>
      <c r="BS35" s="123"/>
      <c r="BT35" s="123"/>
      <c r="BU35" s="123"/>
      <c r="BV35" s="123"/>
      <c r="BW35" s="123"/>
      <c r="BX35" s="123"/>
      <c r="BY35" s="123"/>
      <c r="BZ35" s="123"/>
      <c r="CA35" s="123"/>
      <c r="CB35" s="123"/>
      <c r="CC35" s="123"/>
      <c r="CD35" s="123"/>
      <c r="CE35" s="123"/>
      <c r="CF35" s="123"/>
      <c r="CG35" s="123"/>
      <c r="CH35" s="123"/>
      <c r="CI35" s="123"/>
      <c r="CJ35" s="123"/>
      <c r="CK35" s="123"/>
      <c r="CL35" s="123"/>
      <c r="CM35" s="123"/>
      <c r="CN35" s="123"/>
      <c r="CO35" s="123"/>
      <c r="CP35" s="123"/>
      <c r="CQ35" s="123"/>
      <c r="CR35" s="123"/>
      <c r="CS35" s="123"/>
      <c r="CT35" s="123"/>
      <c r="CU35" s="123"/>
      <c r="CV35" s="123"/>
      <c r="CW35" s="123"/>
      <c r="CX35" s="123"/>
      <c r="CY35" s="123"/>
      <c r="CZ35" s="123"/>
      <c r="DA35" s="123"/>
      <c r="DB35" s="123"/>
      <c r="DC35" s="123"/>
      <c r="DD35" s="123"/>
      <c r="DE35" s="123"/>
      <c r="DF35" s="123"/>
      <c r="DG35" s="123"/>
      <c r="DH35" s="123"/>
      <c r="DI35" s="123"/>
      <c r="DJ35" s="123"/>
      <c r="DK35" s="123"/>
      <c r="DL35" s="123"/>
      <c r="DM35" s="123"/>
      <c r="DN35" s="123"/>
      <c r="DO35" s="123"/>
      <c r="DP35" s="123"/>
      <c r="DQ35" s="123"/>
      <c r="DR35" s="123"/>
      <c r="DS35" s="123"/>
      <c r="DT35" s="123"/>
      <c r="DU35" s="123"/>
      <c r="DV35" s="123"/>
      <c r="DW35" s="123"/>
      <c r="DX35" s="123"/>
      <c r="DY35" s="123"/>
      <c r="DZ35" s="123"/>
      <c r="EA35" s="123"/>
      <c r="EB35" s="123"/>
      <c r="EC35" s="123"/>
      <c r="ED35" s="123"/>
      <c r="EE35" s="123"/>
      <c r="EF35" s="123"/>
      <c r="EG35" s="123"/>
      <c r="EH35" s="123"/>
      <c r="EI35" s="123"/>
      <c r="EJ35" s="123"/>
      <c r="EK35" s="123"/>
      <c r="EL35" s="123"/>
      <c r="EM35" s="123"/>
      <c r="EN35" s="123"/>
      <c r="EO35" s="123"/>
      <c r="EP35" s="123"/>
      <c r="EQ35" s="123"/>
      <c r="ER35" s="123"/>
      <c r="ES35" s="123"/>
      <c r="ET35" s="123"/>
      <c r="EU35" s="123"/>
      <c r="EV35" s="123"/>
      <c r="EW35" s="123"/>
      <c r="EX35" s="123"/>
      <c r="EY35" s="123"/>
      <c r="EZ35" s="123"/>
      <c r="FA35" s="123"/>
      <c r="FB35" s="123"/>
      <c r="FC35" s="123"/>
      <c r="FD35" s="123"/>
      <c r="FE35" s="123"/>
      <c r="FF35" s="123"/>
      <c r="FG35" s="123"/>
      <c r="FH35" s="123"/>
      <c r="FI35" s="123"/>
      <c r="FJ35" s="123"/>
      <c r="FK35" s="123"/>
      <c r="FL35" s="123"/>
      <c r="FM35" s="123"/>
      <c r="FN35" s="123"/>
      <c r="FO35" s="123"/>
      <c r="FP35" s="123"/>
      <c r="FQ35" s="123"/>
      <c r="FR35" s="123"/>
      <c r="FS35" s="123"/>
      <c r="FT35" s="123"/>
      <c r="FU35" s="123"/>
      <c r="FV35" s="123"/>
      <c r="FW35" s="123"/>
      <c r="FX35" s="123"/>
      <c r="FY35" s="123"/>
      <c r="FZ35" s="123"/>
      <c r="GA35" s="123"/>
      <c r="GB35" s="123"/>
      <c r="GC35" s="123"/>
      <c r="GD35" s="123"/>
      <c r="GE35" s="123"/>
      <c r="GF35" s="123"/>
      <c r="GG35" s="123"/>
      <c r="GH35" s="123"/>
      <c r="GI35" s="123"/>
      <c r="GJ35" s="123"/>
      <c r="GK35" s="123"/>
      <c r="GL35" s="123"/>
      <c r="GM35" s="123"/>
      <c r="GN35" s="123"/>
      <c r="GO35" s="123"/>
      <c r="GP35" s="123"/>
      <c r="GQ35" s="123"/>
      <c r="GR35" s="123"/>
      <c r="GS35" s="123"/>
      <c r="GT35" s="123"/>
      <c r="GU35" s="123"/>
      <c r="GV35" s="123"/>
      <c r="GW35" s="123"/>
      <c r="GX35" s="123"/>
      <c r="GY35" s="123"/>
      <c r="GZ35" s="123"/>
      <c r="HA35" s="123"/>
      <c r="HB35" s="123"/>
      <c r="HC35" s="123"/>
      <c r="HD35" s="123"/>
      <c r="HE35" s="123"/>
      <c r="HF35" s="123"/>
      <c r="HG35" s="123"/>
      <c r="HH35" s="567"/>
      <c r="HI35" s="567"/>
      <c r="HJ35" s="567"/>
      <c r="HK35" s="567"/>
      <c r="HL35" s="567"/>
      <c r="HM35" s="567"/>
      <c r="HN35" s="567"/>
      <c r="HO35" s="123"/>
      <c r="HP35" s="123"/>
      <c r="HQ35" s="123"/>
      <c r="HR35" s="123"/>
      <c r="HS35" s="123"/>
      <c r="HT35" s="123"/>
      <c r="HU35" s="123"/>
      <c r="HV35" s="123"/>
      <c r="HW35" s="123"/>
      <c r="HX35" s="123"/>
      <c r="HY35" s="123"/>
      <c r="HZ35" s="123"/>
      <c r="IA35" s="123"/>
      <c r="IB35" s="123"/>
      <c r="IC35" s="123"/>
      <c r="ID35" s="123"/>
      <c r="IE35" s="123"/>
      <c r="IF35" s="123"/>
      <c r="IG35" s="123"/>
      <c r="IH35" s="123"/>
      <c r="II35" s="123"/>
      <c r="IJ35" s="123"/>
      <c r="IK35" s="123"/>
    </row>
    <row r="36" spans="1:245" s="430" customFormat="1">
      <c r="A36" s="1320" t="s">
        <v>7</v>
      </c>
      <c r="B36" s="1496">
        <f>'Feuil-saisie'!E53/1000</f>
        <v>422.60899999999998</v>
      </c>
      <c r="C36" s="1497">
        <f>'Feuil-saisie'!E56/1000</f>
        <v>278.00700000000001</v>
      </c>
      <c r="D36" s="573">
        <f t="shared" ref="D36:D44" si="16">C36+B36</f>
        <v>700.61599999999999</v>
      </c>
      <c r="E36" s="108">
        <f>'Feuil-saisie'!C53/1000</f>
        <v>40.47622999999998</v>
      </c>
      <c r="F36" s="103">
        <f>'Feuil-saisie'!C56/1000</f>
        <v>78.953000000000003</v>
      </c>
      <c r="G36" s="573">
        <f t="shared" si="12"/>
        <v>119.42922999999999</v>
      </c>
      <c r="H36" s="570">
        <f t="shared" si="13"/>
        <v>34.958611742769307</v>
      </c>
      <c r="I36" s="571">
        <f t="shared" si="14"/>
        <v>103.65870283841774</v>
      </c>
      <c r="J36" s="572">
        <f t="shared" si="15"/>
        <v>62.219060012902929</v>
      </c>
      <c r="K36" s="123"/>
      <c r="L36" s="580"/>
      <c r="M36" s="119"/>
      <c r="Q36" s="202"/>
      <c r="R36" s="202"/>
      <c r="S36" s="202"/>
      <c r="T36" s="202"/>
      <c r="U36" s="202"/>
      <c r="W36" s="123"/>
      <c r="X36" s="123"/>
      <c r="Y36" s="123"/>
      <c r="Z36" s="123"/>
      <c r="AA36" s="123"/>
      <c r="AB36" s="123"/>
      <c r="AC36" s="123"/>
      <c r="AD36" s="123"/>
      <c r="AE36" s="123"/>
      <c r="AF36" s="123"/>
      <c r="AG36" s="123"/>
      <c r="AH36" s="123"/>
      <c r="AI36" s="123"/>
      <c r="AJ36" s="123"/>
      <c r="AK36" s="123"/>
      <c r="AL36" s="123"/>
      <c r="AM36" s="123"/>
      <c r="AN36" s="123"/>
      <c r="AO36" s="123"/>
      <c r="AP36" s="123"/>
      <c r="AQ36" s="123"/>
      <c r="AR36" s="123"/>
      <c r="AS36" s="123"/>
      <c r="AT36" s="123"/>
      <c r="AU36" s="123"/>
      <c r="AV36" s="123"/>
      <c r="AW36" s="123"/>
      <c r="AX36" s="123"/>
      <c r="AY36" s="123"/>
      <c r="AZ36" s="123"/>
      <c r="BA36" s="123"/>
      <c r="BB36" s="123"/>
      <c r="BC36" s="123"/>
      <c r="BD36" s="123"/>
      <c r="BE36" s="123"/>
      <c r="BF36" s="123"/>
      <c r="BG36" s="123"/>
      <c r="BH36" s="123"/>
      <c r="BI36" s="123"/>
      <c r="BJ36" s="123"/>
      <c r="BK36" s="123"/>
      <c r="BL36" s="123"/>
      <c r="BM36" s="123"/>
      <c r="BN36" s="123"/>
      <c r="BO36" s="123"/>
      <c r="BP36" s="123"/>
      <c r="BQ36" s="123"/>
      <c r="BR36" s="123"/>
      <c r="BS36" s="123"/>
      <c r="BT36" s="123"/>
      <c r="BU36" s="123"/>
      <c r="BV36" s="123"/>
      <c r="BW36" s="123"/>
      <c r="BX36" s="123"/>
      <c r="BY36" s="123"/>
      <c r="BZ36" s="123"/>
      <c r="CA36" s="123"/>
      <c r="CB36" s="123"/>
      <c r="CC36" s="123"/>
      <c r="CD36" s="123"/>
      <c r="CE36" s="123"/>
      <c r="CF36" s="123"/>
      <c r="CG36" s="123"/>
      <c r="CH36" s="123"/>
      <c r="CI36" s="123"/>
      <c r="CJ36" s="123"/>
      <c r="CK36" s="123"/>
      <c r="CL36" s="123"/>
      <c r="CM36" s="123"/>
      <c r="CN36" s="123"/>
      <c r="CO36" s="123"/>
      <c r="CP36" s="123"/>
      <c r="CQ36" s="123"/>
      <c r="CR36" s="123"/>
      <c r="CS36" s="123"/>
      <c r="CT36" s="123"/>
      <c r="CU36" s="123"/>
      <c r="CV36" s="123"/>
      <c r="CW36" s="123"/>
      <c r="CX36" s="123"/>
      <c r="CY36" s="123"/>
      <c r="CZ36" s="123"/>
      <c r="DA36" s="123"/>
      <c r="DB36" s="123"/>
      <c r="DC36" s="123"/>
      <c r="DD36" s="123"/>
      <c r="DE36" s="123"/>
      <c r="DF36" s="123"/>
      <c r="DG36" s="123"/>
      <c r="DH36" s="123"/>
      <c r="DI36" s="123"/>
      <c r="DJ36" s="123"/>
      <c r="DK36" s="123"/>
      <c r="DL36" s="123"/>
      <c r="DM36" s="123"/>
      <c r="DN36" s="123"/>
      <c r="DO36" s="123"/>
      <c r="DP36" s="123"/>
      <c r="DQ36" s="123"/>
      <c r="DR36" s="123"/>
      <c r="DS36" s="123"/>
      <c r="DT36" s="123"/>
      <c r="DU36" s="123"/>
      <c r="DV36" s="123"/>
      <c r="DW36" s="123"/>
      <c r="DX36" s="123"/>
      <c r="DY36" s="123"/>
      <c r="DZ36" s="123"/>
      <c r="EA36" s="123"/>
      <c r="EB36" s="123"/>
      <c r="EC36" s="123"/>
      <c r="ED36" s="123"/>
      <c r="EE36" s="123"/>
      <c r="EF36" s="123"/>
      <c r="EG36" s="123"/>
      <c r="EH36" s="123"/>
      <c r="EI36" s="123"/>
      <c r="EJ36" s="123"/>
      <c r="EK36" s="123"/>
      <c r="EL36" s="123"/>
      <c r="EM36" s="123"/>
      <c r="EN36" s="123"/>
      <c r="EO36" s="123"/>
      <c r="EP36" s="123"/>
      <c r="EQ36" s="123"/>
      <c r="ER36" s="123"/>
      <c r="ES36" s="123"/>
      <c r="ET36" s="123"/>
      <c r="EU36" s="123"/>
      <c r="EV36" s="123"/>
      <c r="EW36" s="123"/>
      <c r="EX36" s="123"/>
      <c r="EY36" s="123"/>
      <c r="EZ36" s="123"/>
      <c r="FA36" s="123"/>
      <c r="FB36" s="123"/>
      <c r="FC36" s="123"/>
      <c r="FD36" s="123"/>
      <c r="FE36" s="123"/>
      <c r="FF36" s="123"/>
      <c r="FG36" s="123"/>
      <c r="FH36" s="123"/>
      <c r="FI36" s="123"/>
      <c r="FJ36" s="123"/>
      <c r="FK36" s="123"/>
      <c r="FL36" s="123"/>
      <c r="FM36" s="123"/>
      <c r="FN36" s="123"/>
      <c r="FO36" s="123"/>
      <c r="FP36" s="123"/>
      <c r="FQ36" s="123"/>
      <c r="FR36" s="123"/>
      <c r="FS36" s="123"/>
      <c r="FT36" s="123"/>
      <c r="FU36" s="123"/>
      <c r="FV36" s="123"/>
      <c r="FW36" s="123"/>
      <c r="FX36" s="123"/>
      <c r="FY36" s="123"/>
      <c r="FZ36" s="123"/>
      <c r="GA36" s="123"/>
      <c r="GB36" s="123"/>
      <c r="GC36" s="123"/>
      <c r="GD36" s="123"/>
      <c r="GE36" s="123"/>
      <c r="GF36" s="123"/>
      <c r="GG36" s="123"/>
      <c r="GH36" s="123"/>
      <c r="GI36" s="123"/>
      <c r="GJ36" s="123"/>
      <c r="GK36" s="123"/>
      <c r="GL36" s="123"/>
      <c r="GM36" s="123"/>
      <c r="GN36" s="123"/>
      <c r="GO36" s="123"/>
      <c r="GP36" s="123"/>
      <c r="GQ36" s="123"/>
      <c r="GR36" s="123"/>
      <c r="GS36" s="123"/>
      <c r="GT36" s="123"/>
      <c r="GU36" s="123"/>
      <c r="GV36" s="123"/>
      <c r="GW36" s="123"/>
      <c r="GX36" s="123"/>
      <c r="GY36" s="123"/>
      <c r="GZ36" s="123"/>
      <c r="HA36" s="123"/>
      <c r="HB36" s="123"/>
      <c r="HC36" s="123"/>
      <c r="HD36" s="123"/>
      <c r="HE36" s="123"/>
      <c r="HF36" s="123"/>
      <c r="HG36" s="123"/>
      <c r="HH36" s="567"/>
      <c r="HI36" s="567"/>
      <c r="HJ36" s="567"/>
      <c r="HK36" s="567"/>
      <c r="HL36" s="567"/>
      <c r="HM36" s="567"/>
      <c r="HN36" s="567"/>
      <c r="HO36" s="123"/>
      <c r="HP36" s="123"/>
      <c r="HQ36" s="123"/>
      <c r="HR36" s="123"/>
      <c r="HS36" s="123"/>
      <c r="HT36" s="123"/>
      <c r="HU36" s="123"/>
      <c r="HV36" s="123"/>
      <c r="HW36" s="123"/>
      <c r="HX36" s="123"/>
      <c r="HY36" s="123"/>
      <c r="HZ36" s="123"/>
      <c r="IA36" s="123"/>
      <c r="IB36" s="123"/>
      <c r="IC36" s="123"/>
      <c r="ID36" s="123"/>
      <c r="IE36" s="123"/>
      <c r="IF36" s="123"/>
      <c r="IG36" s="123"/>
      <c r="IH36" s="123"/>
      <c r="II36" s="123"/>
      <c r="IJ36" s="123"/>
      <c r="IK36" s="123"/>
    </row>
    <row r="37" spans="1:245" s="430" customFormat="1">
      <c r="A37" s="1320" t="s">
        <v>8</v>
      </c>
      <c r="B37" s="1496">
        <f>'Feuil-saisie'!E76/1000</f>
        <v>485.93452084</v>
      </c>
      <c r="C37" s="1497">
        <f>'Feuil-saisie'!E79/1000</f>
        <v>279.05033724000003</v>
      </c>
      <c r="D37" s="573">
        <f t="shared" si="16"/>
        <v>764.98485808000009</v>
      </c>
      <c r="E37" s="108">
        <f>'Feuil-saisie'!C76/1000</f>
        <v>251.78944397999999</v>
      </c>
      <c r="F37" s="103">
        <f>'Feuil-saisie'!C79/1000</f>
        <v>168.5231826400001</v>
      </c>
      <c r="G37" s="573">
        <f t="shared" si="12"/>
        <v>420.31262662000006</v>
      </c>
      <c r="H37" s="570">
        <f t="shared" si="13"/>
        <v>189.12660679845021</v>
      </c>
      <c r="I37" s="571">
        <f t="shared" si="14"/>
        <v>220.42962668307732</v>
      </c>
      <c r="J37" s="572">
        <f t="shared" si="15"/>
        <v>200.54528804837648</v>
      </c>
      <c r="K37" s="123"/>
      <c r="L37" s="123"/>
      <c r="M37" s="119"/>
      <c r="Q37" s="202"/>
      <c r="R37" s="202"/>
      <c r="S37" s="202"/>
      <c r="T37" s="202"/>
      <c r="U37" s="202"/>
      <c r="W37" s="123"/>
      <c r="X37" s="123"/>
      <c r="Y37" s="123"/>
      <c r="Z37" s="123"/>
      <c r="AA37" s="123"/>
      <c r="AB37" s="123"/>
      <c r="AC37" s="123"/>
      <c r="AD37" s="123"/>
      <c r="AE37" s="123"/>
      <c r="AF37" s="123"/>
      <c r="AG37" s="123"/>
      <c r="AH37" s="123"/>
      <c r="AI37" s="123"/>
      <c r="AJ37" s="123"/>
      <c r="AK37" s="123"/>
      <c r="AL37" s="123"/>
      <c r="AM37" s="123"/>
      <c r="AN37" s="123"/>
      <c r="AO37" s="123"/>
      <c r="AP37" s="123"/>
      <c r="AQ37" s="123"/>
      <c r="AR37" s="123"/>
      <c r="AS37" s="123"/>
      <c r="AT37" s="123"/>
      <c r="AU37" s="123"/>
      <c r="AV37" s="123"/>
      <c r="AW37" s="123"/>
      <c r="AX37" s="123"/>
      <c r="AY37" s="123"/>
      <c r="AZ37" s="123"/>
      <c r="BA37" s="123"/>
      <c r="BB37" s="123"/>
      <c r="BC37" s="123"/>
      <c r="BD37" s="123"/>
      <c r="BE37" s="123"/>
      <c r="BF37" s="123"/>
      <c r="BG37" s="123"/>
      <c r="BH37" s="123"/>
      <c r="BI37" s="123"/>
      <c r="BJ37" s="123"/>
      <c r="BK37" s="123"/>
      <c r="BL37" s="123"/>
      <c r="BM37" s="123"/>
      <c r="BN37" s="123"/>
      <c r="BO37" s="123"/>
      <c r="BP37" s="123"/>
      <c r="BQ37" s="123"/>
      <c r="BR37" s="123"/>
      <c r="BS37" s="123"/>
      <c r="BT37" s="123"/>
      <c r="BU37" s="123"/>
      <c r="BV37" s="123"/>
      <c r="BW37" s="123"/>
      <c r="BX37" s="123"/>
      <c r="BY37" s="123"/>
      <c r="BZ37" s="123"/>
      <c r="CA37" s="123"/>
      <c r="CB37" s="123"/>
      <c r="CC37" s="123"/>
      <c r="CD37" s="123"/>
      <c r="CE37" s="123"/>
      <c r="CF37" s="123"/>
      <c r="CG37" s="123"/>
      <c r="CH37" s="123"/>
      <c r="CI37" s="123"/>
      <c r="CJ37" s="123"/>
      <c r="CK37" s="123"/>
      <c r="CL37" s="123"/>
      <c r="CM37" s="123"/>
      <c r="CN37" s="123"/>
      <c r="CO37" s="123"/>
      <c r="CP37" s="123"/>
      <c r="CQ37" s="123"/>
      <c r="CR37" s="123"/>
      <c r="CS37" s="123"/>
      <c r="CT37" s="123"/>
      <c r="CU37" s="123"/>
      <c r="CV37" s="123"/>
      <c r="CW37" s="123"/>
      <c r="CX37" s="123"/>
      <c r="CY37" s="123"/>
      <c r="CZ37" s="123"/>
      <c r="DA37" s="123"/>
      <c r="DB37" s="123"/>
      <c r="DC37" s="123"/>
      <c r="DD37" s="123"/>
      <c r="DE37" s="123"/>
      <c r="DF37" s="123"/>
      <c r="DG37" s="123"/>
      <c r="DH37" s="123"/>
      <c r="DI37" s="123"/>
      <c r="DJ37" s="123"/>
      <c r="DK37" s="123"/>
      <c r="DL37" s="123"/>
      <c r="DM37" s="123"/>
      <c r="DN37" s="123"/>
      <c r="DO37" s="123"/>
      <c r="DP37" s="123"/>
      <c r="DQ37" s="123"/>
      <c r="DR37" s="123"/>
      <c r="DS37" s="123"/>
      <c r="DT37" s="123"/>
      <c r="DU37" s="123"/>
      <c r="DV37" s="123"/>
      <c r="DW37" s="123"/>
      <c r="DX37" s="123"/>
      <c r="DY37" s="123"/>
      <c r="DZ37" s="123"/>
      <c r="EA37" s="123"/>
      <c r="EB37" s="123"/>
      <c r="EC37" s="123"/>
      <c r="ED37" s="123"/>
      <c r="EE37" s="123"/>
      <c r="EF37" s="123"/>
      <c r="EG37" s="123"/>
      <c r="EH37" s="123"/>
      <c r="EI37" s="123"/>
      <c r="EJ37" s="123"/>
      <c r="EK37" s="123"/>
      <c r="EL37" s="123"/>
      <c r="EM37" s="123"/>
      <c r="EN37" s="123"/>
      <c r="EO37" s="123"/>
      <c r="EP37" s="123"/>
      <c r="EQ37" s="123"/>
      <c r="ER37" s="123"/>
      <c r="ES37" s="123"/>
      <c r="ET37" s="123"/>
      <c r="EU37" s="123"/>
      <c r="EV37" s="123"/>
      <c r="EW37" s="123"/>
      <c r="EX37" s="123"/>
      <c r="EY37" s="123"/>
      <c r="EZ37" s="123"/>
      <c r="FA37" s="123"/>
      <c r="FB37" s="123"/>
      <c r="FC37" s="123"/>
      <c r="FD37" s="123"/>
      <c r="FE37" s="123"/>
      <c r="FF37" s="123"/>
      <c r="FG37" s="123"/>
      <c r="FH37" s="123"/>
      <c r="FI37" s="123"/>
      <c r="FJ37" s="123"/>
      <c r="FK37" s="123"/>
      <c r="FL37" s="123"/>
      <c r="FM37" s="123"/>
      <c r="FN37" s="123"/>
      <c r="FO37" s="123"/>
      <c r="FP37" s="123"/>
      <c r="FQ37" s="123"/>
      <c r="FR37" s="123"/>
      <c r="FS37" s="123"/>
      <c r="FT37" s="123"/>
      <c r="FU37" s="123"/>
      <c r="FV37" s="123"/>
      <c r="FW37" s="123"/>
      <c r="FX37" s="123"/>
      <c r="FY37" s="123"/>
      <c r="FZ37" s="123"/>
      <c r="GA37" s="123"/>
      <c r="GB37" s="123"/>
      <c r="GC37" s="123"/>
      <c r="GD37" s="123"/>
      <c r="GE37" s="123"/>
      <c r="GF37" s="123"/>
      <c r="GG37" s="123"/>
      <c r="GH37" s="123"/>
      <c r="GI37" s="123"/>
      <c r="GJ37" s="123"/>
      <c r="GK37" s="123"/>
      <c r="GL37" s="123"/>
      <c r="GM37" s="123"/>
      <c r="GN37" s="123"/>
      <c r="GO37" s="123"/>
      <c r="GP37" s="123"/>
      <c r="GQ37" s="123"/>
      <c r="GR37" s="123"/>
      <c r="GS37" s="123"/>
      <c r="GT37" s="123"/>
      <c r="GU37" s="123"/>
      <c r="GV37" s="123"/>
      <c r="GW37" s="123"/>
      <c r="GX37" s="123"/>
      <c r="GY37" s="123"/>
      <c r="GZ37" s="123"/>
      <c r="HA37" s="123"/>
      <c r="HB37" s="123"/>
      <c r="HC37" s="123"/>
      <c r="HD37" s="123"/>
      <c r="HE37" s="123"/>
      <c r="HF37" s="123"/>
      <c r="HG37" s="123"/>
      <c r="HH37" s="567"/>
      <c r="HI37" s="567"/>
      <c r="HJ37" s="567"/>
      <c r="HK37" s="567"/>
      <c r="HL37" s="567"/>
      <c r="HM37" s="567"/>
      <c r="HN37" s="567"/>
      <c r="HO37" s="123"/>
      <c r="HP37" s="123"/>
      <c r="HQ37" s="123"/>
      <c r="HR37" s="123"/>
      <c r="HS37" s="123"/>
      <c r="HT37" s="123"/>
      <c r="HU37" s="123"/>
      <c r="HV37" s="123"/>
      <c r="HW37" s="123"/>
      <c r="HX37" s="123"/>
      <c r="HY37" s="123"/>
      <c r="HZ37" s="123"/>
      <c r="IA37" s="123"/>
      <c r="IB37" s="123"/>
      <c r="IC37" s="123"/>
      <c r="ID37" s="123"/>
      <c r="IE37" s="123"/>
      <c r="IF37" s="123"/>
      <c r="IG37" s="123"/>
      <c r="IH37" s="123"/>
      <c r="II37" s="123"/>
      <c r="IJ37" s="123"/>
      <c r="IK37" s="123"/>
    </row>
    <row r="38" spans="1:245" s="430" customFormat="1">
      <c r="A38" s="1320" t="s">
        <v>4</v>
      </c>
      <c r="B38" s="1496">
        <f>'Feuil-saisie'!E100/1000</f>
        <v>527.40870188999986</v>
      </c>
      <c r="C38" s="1497">
        <f>'Feuil-saisie'!E103/1000</f>
        <v>297.91491843</v>
      </c>
      <c r="D38" s="573">
        <f t="shared" si="16"/>
        <v>825.32362031999992</v>
      </c>
      <c r="E38" s="108">
        <f>'Feuil-saisie'!C100/1000</f>
        <v>369.43392489999997</v>
      </c>
      <c r="F38" s="103">
        <f>'Feuil-saisie'!C103/1000</f>
        <v>287.96677158</v>
      </c>
      <c r="G38" s="573">
        <f t="shared" si="12"/>
        <v>657.40069647999997</v>
      </c>
      <c r="H38" s="570">
        <f t="shared" si="13"/>
        <v>255.67151642602948</v>
      </c>
      <c r="I38" s="571">
        <f t="shared" si="14"/>
        <v>352.8117093988256</v>
      </c>
      <c r="J38" s="572">
        <f t="shared" si="15"/>
        <v>290.73595897105736</v>
      </c>
      <c r="K38" s="123"/>
      <c r="L38" s="123"/>
      <c r="M38" s="119"/>
      <c r="Q38" s="202"/>
      <c r="R38" s="202"/>
      <c r="S38" s="202"/>
      <c r="T38" s="202"/>
      <c r="U38" s="202"/>
      <c r="W38" s="123"/>
      <c r="X38" s="123"/>
      <c r="Y38" s="123"/>
      <c r="Z38" s="123"/>
      <c r="AA38" s="123"/>
      <c r="AB38" s="123"/>
      <c r="AC38" s="123"/>
      <c r="AD38" s="123"/>
      <c r="AE38" s="123"/>
      <c r="AF38" s="123"/>
      <c r="AG38" s="123"/>
      <c r="AH38" s="123"/>
      <c r="AI38" s="123"/>
      <c r="AJ38" s="123"/>
      <c r="AK38" s="123"/>
      <c r="AL38" s="123"/>
      <c r="AM38" s="123"/>
      <c r="AN38" s="123"/>
      <c r="AO38" s="123"/>
      <c r="AP38" s="123"/>
      <c r="AQ38" s="123"/>
      <c r="AR38" s="123"/>
      <c r="AS38" s="123"/>
      <c r="AT38" s="123"/>
      <c r="AU38" s="123"/>
      <c r="AV38" s="123"/>
      <c r="AW38" s="123"/>
      <c r="AX38" s="123"/>
      <c r="AY38" s="123"/>
      <c r="AZ38" s="123"/>
      <c r="BA38" s="123"/>
      <c r="BB38" s="123"/>
      <c r="BC38" s="123"/>
      <c r="BD38" s="123"/>
      <c r="BE38" s="123"/>
      <c r="BF38" s="123"/>
      <c r="BG38" s="123"/>
      <c r="BH38" s="123"/>
      <c r="BI38" s="123"/>
      <c r="BJ38" s="123"/>
      <c r="BK38" s="123"/>
      <c r="BL38" s="123"/>
      <c r="BM38" s="123"/>
      <c r="BN38" s="123"/>
      <c r="BO38" s="123"/>
      <c r="BP38" s="123"/>
      <c r="BQ38" s="123"/>
      <c r="BR38" s="123"/>
      <c r="BS38" s="123"/>
      <c r="BT38" s="123"/>
      <c r="BU38" s="123"/>
      <c r="BV38" s="123"/>
      <c r="BW38" s="123"/>
      <c r="BX38" s="123"/>
      <c r="BY38" s="123"/>
      <c r="BZ38" s="123"/>
      <c r="CA38" s="123"/>
      <c r="CB38" s="123"/>
      <c r="CC38" s="123"/>
      <c r="CD38" s="123"/>
      <c r="CE38" s="123"/>
      <c r="CF38" s="123"/>
      <c r="CG38" s="123"/>
      <c r="CH38" s="123"/>
      <c r="CI38" s="123"/>
      <c r="CJ38" s="123"/>
      <c r="CK38" s="123"/>
      <c r="CL38" s="123"/>
      <c r="CM38" s="123"/>
      <c r="CN38" s="123"/>
      <c r="CO38" s="123"/>
      <c r="CP38" s="123"/>
      <c r="CQ38" s="123"/>
      <c r="CR38" s="123"/>
      <c r="CS38" s="123"/>
      <c r="CT38" s="123"/>
      <c r="CU38" s="123"/>
      <c r="CV38" s="123"/>
      <c r="CW38" s="123"/>
      <c r="CX38" s="123"/>
      <c r="CY38" s="123"/>
      <c r="CZ38" s="123"/>
      <c r="DA38" s="123"/>
      <c r="DB38" s="123"/>
      <c r="DC38" s="123"/>
      <c r="DD38" s="123"/>
      <c r="DE38" s="123"/>
      <c r="DF38" s="123"/>
      <c r="DG38" s="123"/>
      <c r="DH38" s="123"/>
      <c r="DI38" s="123"/>
      <c r="DJ38" s="123"/>
      <c r="DK38" s="123"/>
      <c r="DL38" s="123"/>
      <c r="DM38" s="123"/>
      <c r="DN38" s="123"/>
      <c r="DO38" s="123"/>
      <c r="DP38" s="123"/>
      <c r="DQ38" s="123"/>
      <c r="DR38" s="123"/>
      <c r="DS38" s="123"/>
      <c r="DT38" s="123"/>
      <c r="DU38" s="123"/>
      <c r="DV38" s="123"/>
      <c r="DW38" s="123"/>
      <c r="DX38" s="123"/>
      <c r="DY38" s="123"/>
      <c r="DZ38" s="123"/>
      <c r="EA38" s="123"/>
      <c r="EB38" s="123"/>
      <c r="EC38" s="123"/>
      <c r="ED38" s="123"/>
      <c r="EE38" s="123"/>
      <c r="EF38" s="123"/>
      <c r="EG38" s="123"/>
      <c r="EH38" s="123"/>
      <c r="EI38" s="123"/>
      <c r="EJ38" s="123"/>
      <c r="EK38" s="123"/>
      <c r="EL38" s="123"/>
      <c r="EM38" s="123"/>
      <c r="EN38" s="123"/>
      <c r="EO38" s="123"/>
      <c r="EP38" s="123"/>
      <c r="EQ38" s="123"/>
      <c r="ER38" s="123"/>
      <c r="ES38" s="123"/>
      <c r="ET38" s="123"/>
      <c r="EU38" s="123"/>
      <c r="EV38" s="123"/>
      <c r="EW38" s="123"/>
      <c r="EX38" s="123"/>
      <c r="EY38" s="123"/>
      <c r="EZ38" s="123"/>
      <c r="FA38" s="123"/>
      <c r="FB38" s="123"/>
      <c r="FC38" s="123"/>
      <c r="FD38" s="123"/>
      <c r="FE38" s="123"/>
      <c r="FF38" s="123"/>
      <c r="FG38" s="123"/>
      <c r="FH38" s="123"/>
      <c r="FI38" s="123"/>
      <c r="FJ38" s="123"/>
      <c r="FK38" s="123"/>
      <c r="FL38" s="123"/>
      <c r="FM38" s="123"/>
      <c r="FN38" s="123"/>
      <c r="FO38" s="123"/>
      <c r="FP38" s="123"/>
      <c r="FQ38" s="123"/>
      <c r="FR38" s="123"/>
      <c r="FS38" s="123"/>
      <c r="FT38" s="123"/>
      <c r="FU38" s="123"/>
      <c r="FV38" s="123"/>
      <c r="FW38" s="123"/>
      <c r="FX38" s="123"/>
      <c r="FY38" s="123"/>
      <c r="FZ38" s="123"/>
      <c r="GA38" s="123"/>
      <c r="GB38" s="123"/>
      <c r="GC38" s="123"/>
      <c r="GD38" s="123"/>
      <c r="GE38" s="123"/>
      <c r="GF38" s="123"/>
      <c r="GG38" s="123"/>
      <c r="GH38" s="123"/>
      <c r="GI38" s="123"/>
      <c r="GJ38" s="123"/>
      <c r="GK38" s="123"/>
      <c r="GL38" s="123"/>
      <c r="GM38" s="123"/>
      <c r="GN38" s="123"/>
      <c r="GO38" s="123"/>
      <c r="GP38" s="123"/>
      <c r="GQ38" s="123"/>
      <c r="GR38" s="123"/>
      <c r="GS38" s="123"/>
      <c r="GT38" s="123"/>
      <c r="GU38" s="123"/>
      <c r="GV38" s="123"/>
      <c r="GW38" s="123"/>
      <c r="GX38" s="123"/>
      <c r="GY38" s="123"/>
      <c r="GZ38" s="123"/>
      <c r="HA38" s="123"/>
      <c r="HB38" s="123"/>
      <c r="HC38" s="123"/>
      <c r="HD38" s="123"/>
      <c r="HE38" s="123"/>
      <c r="HF38" s="123"/>
      <c r="HG38" s="123"/>
      <c r="HH38" s="567"/>
      <c r="HI38" s="567"/>
      <c r="HJ38" s="567"/>
      <c r="HK38" s="567"/>
      <c r="HL38" s="567"/>
      <c r="HM38" s="567"/>
      <c r="HN38" s="567"/>
      <c r="HO38" s="123"/>
      <c r="HP38" s="123"/>
      <c r="HQ38" s="123"/>
      <c r="HR38" s="123"/>
      <c r="HS38" s="123"/>
      <c r="HT38" s="123"/>
      <c r="HU38" s="123"/>
      <c r="HV38" s="123"/>
      <c r="HW38" s="123"/>
      <c r="HX38" s="123"/>
      <c r="HY38" s="123"/>
      <c r="HZ38" s="123"/>
      <c r="IA38" s="123"/>
      <c r="IB38" s="123"/>
      <c r="IC38" s="123"/>
      <c r="ID38" s="123"/>
      <c r="IE38" s="123"/>
      <c r="IF38" s="123"/>
      <c r="IG38" s="123"/>
      <c r="IH38" s="123"/>
      <c r="II38" s="123"/>
      <c r="IJ38" s="123"/>
      <c r="IK38" s="123"/>
    </row>
    <row r="39" spans="1:245" s="430" customFormat="1">
      <c r="A39" s="1320" t="s">
        <v>3</v>
      </c>
      <c r="B39" s="1496">
        <f>'Feuil-saisie'!E123/1000</f>
        <v>356.20024509000007</v>
      </c>
      <c r="C39" s="1497">
        <f>'Feuil-saisie'!E126/1000</f>
        <v>394.66815853999998</v>
      </c>
      <c r="D39" s="573">
        <f t="shared" si="16"/>
        <v>750.8684036300001</v>
      </c>
      <c r="E39" s="108">
        <f>'Feuil-saisie'!C123/1000</f>
        <v>567.69100000000003</v>
      </c>
      <c r="F39" s="103">
        <f>'Feuil-saisie'!C126/1000</f>
        <v>466.99306151000002</v>
      </c>
      <c r="G39" s="573">
        <f t="shared" si="12"/>
        <v>1034.68406151</v>
      </c>
      <c r="H39" s="570">
        <f t="shared" si="13"/>
        <v>581.71553180050614</v>
      </c>
      <c r="I39" s="571">
        <f t="shared" si="14"/>
        <v>431.88806536029301</v>
      </c>
      <c r="J39" s="572">
        <f t="shared" si="15"/>
        <v>502.96387572761228</v>
      </c>
      <c r="K39" s="123"/>
      <c r="L39" s="123"/>
      <c r="M39" s="119"/>
      <c r="Q39" s="202"/>
      <c r="R39" s="202"/>
      <c r="S39" s="202"/>
      <c r="T39" s="202"/>
      <c r="U39" s="202"/>
      <c r="W39" s="123"/>
      <c r="X39" s="123"/>
      <c r="Y39" s="123"/>
      <c r="Z39" s="123"/>
      <c r="AA39" s="123"/>
      <c r="AB39" s="123"/>
      <c r="AC39" s="123"/>
      <c r="AD39" s="123"/>
      <c r="AE39" s="123"/>
      <c r="AF39" s="123"/>
      <c r="AG39" s="123"/>
      <c r="AH39" s="123"/>
      <c r="AI39" s="123"/>
      <c r="AJ39" s="123"/>
      <c r="AK39" s="123"/>
      <c r="AL39" s="123"/>
      <c r="AM39" s="123"/>
      <c r="AN39" s="123"/>
      <c r="AO39" s="123"/>
      <c r="AP39" s="123"/>
      <c r="AQ39" s="123"/>
      <c r="AR39" s="123"/>
      <c r="AS39" s="123"/>
      <c r="AT39" s="123"/>
      <c r="AU39" s="123"/>
      <c r="AV39" s="123"/>
      <c r="AW39" s="123"/>
      <c r="AX39" s="123"/>
      <c r="AY39" s="123"/>
      <c r="AZ39" s="123"/>
      <c r="BA39" s="123"/>
      <c r="BB39" s="123"/>
      <c r="BC39" s="123"/>
      <c r="BD39" s="123"/>
      <c r="BE39" s="123"/>
      <c r="BF39" s="123"/>
      <c r="BG39" s="123"/>
      <c r="BH39" s="123"/>
      <c r="BI39" s="123"/>
      <c r="BJ39" s="123"/>
      <c r="BK39" s="123"/>
      <c r="BL39" s="123"/>
      <c r="BM39" s="123"/>
      <c r="BN39" s="123"/>
      <c r="BO39" s="123"/>
      <c r="BP39" s="123"/>
      <c r="BQ39" s="123"/>
      <c r="BR39" s="123"/>
      <c r="BS39" s="123"/>
      <c r="BT39" s="123"/>
      <c r="BU39" s="123"/>
      <c r="BV39" s="123"/>
      <c r="BW39" s="123"/>
      <c r="BX39" s="123"/>
      <c r="BY39" s="123"/>
      <c r="BZ39" s="123"/>
      <c r="CA39" s="123"/>
      <c r="CB39" s="123"/>
      <c r="CC39" s="123"/>
      <c r="CD39" s="123"/>
      <c r="CE39" s="123"/>
      <c r="CF39" s="123"/>
      <c r="CG39" s="123"/>
      <c r="CH39" s="123"/>
      <c r="CI39" s="123"/>
      <c r="CJ39" s="123"/>
      <c r="CK39" s="123"/>
      <c r="CL39" s="123"/>
      <c r="CM39" s="123"/>
      <c r="CN39" s="123"/>
      <c r="CO39" s="123"/>
      <c r="CP39" s="123"/>
      <c r="CQ39" s="123"/>
      <c r="CR39" s="123"/>
      <c r="CS39" s="123"/>
      <c r="CT39" s="123"/>
      <c r="CU39" s="123"/>
      <c r="CV39" s="123"/>
      <c r="CW39" s="123"/>
      <c r="CX39" s="123"/>
      <c r="CY39" s="123"/>
      <c r="CZ39" s="123"/>
      <c r="DA39" s="123"/>
      <c r="DB39" s="123"/>
      <c r="DC39" s="123"/>
      <c r="DD39" s="123"/>
      <c r="DE39" s="123"/>
      <c r="DF39" s="123"/>
      <c r="DG39" s="123"/>
      <c r="DH39" s="123"/>
      <c r="DI39" s="123"/>
      <c r="DJ39" s="123"/>
      <c r="DK39" s="123"/>
      <c r="DL39" s="123"/>
      <c r="DM39" s="123"/>
      <c r="DN39" s="123"/>
      <c r="DO39" s="123"/>
      <c r="DP39" s="123"/>
      <c r="DQ39" s="123"/>
      <c r="DR39" s="123"/>
      <c r="DS39" s="123"/>
      <c r="DT39" s="123"/>
      <c r="DU39" s="123"/>
      <c r="DV39" s="123"/>
      <c r="DW39" s="123"/>
      <c r="DX39" s="123"/>
      <c r="DY39" s="123"/>
      <c r="DZ39" s="123"/>
      <c r="EA39" s="123"/>
      <c r="EB39" s="123"/>
      <c r="EC39" s="123"/>
      <c r="ED39" s="123"/>
      <c r="EE39" s="123"/>
      <c r="EF39" s="123"/>
      <c r="EG39" s="123"/>
      <c r="EH39" s="123"/>
      <c r="EI39" s="123"/>
      <c r="EJ39" s="123"/>
      <c r="EK39" s="123"/>
      <c r="EL39" s="123"/>
      <c r="EM39" s="123"/>
      <c r="EN39" s="123"/>
      <c r="EO39" s="123"/>
      <c r="EP39" s="123"/>
      <c r="EQ39" s="123"/>
      <c r="ER39" s="123"/>
      <c r="ES39" s="123"/>
      <c r="ET39" s="123"/>
      <c r="EU39" s="123"/>
      <c r="EV39" s="123"/>
      <c r="EW39" s="123"/>
      <c r="EX39" s="123"/>
      <c r="EY39" s="123"/>
      <c r="EZ39" s="123"/>
      <c r="FA39" s="123"/>
      <c r="FB39" s="123"/>
      <c r="FC39" s="123"/>
      <c r="FD39" s="123"/>
      <c r="FE39" s="123"/>
      <c r="FF39" s="123"/>
      <c r="FG39" s="123"/>
      <c r="FH39" s="123"/>
      <c r="FI39" s="123"/>
      <c r="FJ39" s="123"/>
      <c r="FK39" s="123"/>
      <c r="FL39" s="123"/>
      <c r="FM39" s="123"/>
      <c r="FN39" s="123"/>
      <c r="FO39" s="123"/>
      <c r="FP39" s="123"/>
      <c r="FQ39" s="123"/>
      <c r="FR39" s="123"/>
      <c r="FS39" s="123"/>
      <c r="FT39" s="123"/>
      <c r="FU39" s="123"/>
      <c r="FV39" s="123"/>
      <c r="FW39" s="123"/>
      <c r="FX39" s="123"/>
      <c r="FY39" s="123"/>
      <c r="FZ39" s="123"/>
      <c r="GA39" s="123"/>
      <c r="GB39" s="123"/>
      <c r="GC39" s="123"/>
      <c r="GD39" s="123"/>
      <c r="GE39" s="123"/>
      <c r="GF39" s="123"/>
      <c r="GG39" s="123"/>
      <c r="GH39" s="123"/>
      <c r="GI39" s="123"/>
      <c r="GJ39" s="123"/>
      <c r="GK39" s="123"/>
      <c r="GL39" s="123"/>
      <c r="GM39" s="123"/>
      <c r="GN39" s="123"/>
      <c r="GO39" s="123"/>
      <c r="GP39" s="123"/>
      <c r="GQ39" s="123"/>
      <c r="GR39" s="123"/>
      <c r="GS39" s="123"/>
      <c r="GT39" s="123"/>
      <c r="GU39" s="123"/>
      <c r="GV39" s="123"/>
      <c r="GW39" s="123"/>
      <c r="GX39" s="123"/>
      <c r="GY39" s="123"/>
      <c r="GZ39" s="123"/>
      <c r="HA39" s="123"/>
      <c r="HB39" s="123"/>
      <c r="HC39" s="123"/>
      <c r="HD39" s="123"/>
      <c r="HE39" s="123"/>
      <c r="HF39" s="123"/>
      <c r="HG39" s="123"/>
      <c r="HH39" s="567"/>
      <c r="HI39" s="567"/>
      <c r="HJ39" s="567"/>
      <c r="HK39" s="567"/>
      <c r="HL39" s="567"/>
      <c r="HM39" s="567"/>
      <c r="HN39" s="567"/>
      <c r="HO39" s="123"/>
      <c r="HP39" s="123"/>
      <c r="HQ39" s="123"/>
      <c r="HR39" s="123"/>
      <c r="HS39" s="123"/>
      <c r="HT39" s="123"/>
      <c r="HU39" s="123"/>
      <c r="HV39" s="123"/>
      <c r="HW39" s="123"/>
      <c r="HX39" s="123"/>
      <c r="HY39" s="123"/>
      <c r="HZ39" s="123"/>
      <c r="IA39" s="123"/>
      <c r="IB39" s="123"/>
      <c r="IC39" s="123"/>
      <c r="ID39" s="123"/>
      <c r="IE39" s="123"/>
      <c r="IF39" s="123"/>
      <c r="IG39" s="123"/>
      <c r="IH39" s="123"/>
      <c r="II39" s="123"/>
      <c r="IJ39" s="123"/>
      <c r="IK39" s="123"/>
    </row>
    <row r="40" spans="1:245" s="430" customFormat="1">
      <c r="A40" s="1320" t="s">
        <v>397</v>
      </c>
      <c r="B40" s="1496">
        <f>'Feuil-saisie'!E148/1000</f>
        <v>872.00245264</v>
      </c>
      <c r="C40" s="1497">
        <f>'Feuil-saisie'!E151/1000</f>
        <v>520.5519347799999</v>
      </c>
      <c r="D40" s="573">
        <f t="shared" si="16"/>
        <v>1392.5543874199998</v>
      </c>
      <c r="E40" s="108">
        <f>'Feuil-saisie'!C148/1000</f>
        <v>264.309000090003</v>
      </c>
      <c r="F40" s="103">
        <f>'Feuil-saisie'!C151/1000</f>
        <v>418.78904574000006</v>
      </c>
      <c r="G40" s="573">
        <f t="shared" si="12"/>
        <v>683.098045830003</v>
      </c>
      <c r="H40" s="570">
        <f t="shared" si="13"/>
        <v>110.63361661515785</v>
      </c>
      <c r="I40" s="571">
        <f t="shared" si="14"/>
        <v>293.64601585757657</v>
      </c>
      <c r="J40" s="572">
        <f t="shared" si="15"/>
        <v>179.04563655132267</v>
      </c>
      <c r="K40" s="123"/>
      <c r="L40" s="123"/>
      <c r="M40" s="119"/>
      <c r="Q40" s="202"/>
      <c r="R40" s="202"/>
      <c r="S40" s="202"/>
      <c r="T40" s="202"/>
      <c r="U40" s="202"/>
      <c r="W40" s="123"/>
      <c r="X40" s="123"/>
      <c r="Y40" s="123"/>
      <c r="Z40" s="123"/>
      <c r="AA40" s="123"/>
      <c r="AB40" s="123"/>
      <c r="AC40" s="123"/>
      <c r="AD40" s="123"/>
      <c r="AE40" s="123"/>
      <c r="AF40" s="123"/>
      <c r="AG40" s="123"/>
      <c r="AH40" s="123"/>
      <c r="AI40" s="123"/>
      <c r="AJ40" s="123"/>
      <c r="AK40" s="123"/>
      <c r="AL40" s="123"/>
      <c r="AM40" s="123"/>
      <c r="AN40" s="123"/>
      <c r="AO40" s="123"/>
      <c r="AP40" s="123"/>
      <c r="AQ40" s="123"/>
      <c r="AR40" s="123"/>
      <c r="AS40" s="123"/>
      <c r="AT40" s="123"/>
      <c r="AU40" s="123"/>
      <c r="AV40" s="123"/>
      <c r="AW40" s="123"/>
      <c r="AX40" s="123"/>
      <c r="AY40" s="123"/>
      <c r="AZ40" s="123"/>
      <c r="BA40" s="123"/>
      <c r="BB40" s="123"/>
      <c r="BC40" s="123"/>
      <c r="BD40" s="123"/>
      <c r="BE40" s="123"/>
      <c r="BF40" s="123"/>
      <c r="BG40" s="123"/>
      <c r="BH40" s="123"/>
      <c r="BI40" s="123"/>
      <c r="BJ40" s="123"/>
      <c r="BK40" s="123"/>
      <c r="BL40" s="123"/>
      <c r="BM40" s="123"/>
      <c r="BN40" s="123"/>
      <c r="BO40" s="123"/>
      <c r="BP40" s="123"/>
      <c r="BQ40" s="123"/>
      <c r="BR40" s="123"/>
      <c r="BS40" s="123"/>
      <c r="BT40" s="123"/>
      <c r="BU40" s="123"/>
      <c r="BV40" s="123"/>
      <c r="BW40" s="123"/>
      <c r="BX40" s="123"/>
      <c r="BY40" s="123"/>
      <c r="BZ40" s="123"/>
      <c r="CA40" s="123"/>
      <c r="CB40" s="123"/>
      <c r="CC40" s="123"/>
      <c r="CD40" s="123"/>
      <c r="CE40" s="123"/>
      <c r="CF40" s="123"/>
      <c r="CG40" s="123"/>
      <c r="CH40" s="123"/>
      <c r="CI40" s="123"/>
      <c r="CJ40" s="123"/>
      <c r="CK40" s="123"/>
      <c r="CL40" s="123"/>
      <c r="CM40" s="123"/>
      <c r="CN40" s="123"/>
      <c r="CO40" s="123"/>
      <c r="CP40" s="123"/>
      <c r="CQ40" s="123"/>
      <c r="CR40" s="123"/>
      <c r="CS40" s="123"/>
      <c r="CT40" s="123"/>
      <c r="CU40" s="123"/>
      <c r="CV40" s="123"/>
      <c r="CW40" s="123"/>
      <c r="CX40" s="123"/>
      <c r="CY40" s="123"/>
      <c r="CZ40" s="123"/>
      <c r="DA40" s="123"/>
      <c r="DB40" s="123"/>
      <c r="DC40" s="123"/>
      <c r="DD40" s="123"/>
      <c r="DE40" s="123"/>
      <c r="DF40" s="123"/>
      <c r="DG40" s="123"/>
      <c r="DH40" s="123"/>
      <c r="DI40" s="123"/>
      <c r="DJ40" s="123"/>
      <c r="DK40" s="123"/>
      <c r="DL40" s="123"/>
      <c r="DM40" s="123"/>
      <c r="DN40" s="123"/>
      <c r="DO40" s="123"/>
      <c r="DP40" s="123"/>
      <c r="DQ40" s="123"/>
      <c r="DR40" s="123"/>
      <c r="DS40" s="123"/>
      <c r="DT40" s="123"/>
      <c r="DU40" s="123"/>
      <c r="DV40" s="123"/>
      <c r="DW40" s="123"/>
      <c r="DX40" s="123"/>
      <c r="DY40" s="123"/>
      <c r="DZ40" s="123"/>
      <c r="EA40" s="123"/>
      <c r="EB40" s="123"/>
      <c r="EC40" s="123"/>
      <c r="ED40" s="123"/>
      <c r="EE40" s="123"/>
      <c r="EF40" s="123"/>
      <c r="EG40" s="123"/>
      <c r="EH40" s="123"/>
      <c r="EI40" s="123"/>
      <c r="EJ40" s="123"/>
      <c r="EK40" s="123"/>
      <c r="EL40" s="123"/>
      <c r="EM40" s="123"/>
      <c r="EN40" s="123"/>
      <c r="EO40" s="123"/>
      <c r="EP40" s="123"/>
      <c r="EQ40" s="123"/>
      <c r="ER40" s="123"/>
      <c r="ES40" s="123"/>
      <c r="ET40" s="123"/>
      <c r="EU40" s="123"/>
      <c r="EV40" s="123"/>
      <c r="EW40" s="123"/>
      <c r="EX40" s="123"/>
      <c r="EY40" s="123"/>
      <c r="EZ40" s="123"/>
      <c r="FA40" s="123"/>
      <c r="FB40" s="123"/>
      <c r="FC40" s="123"/>
      <c r="FD40" s="123"/>
      <c r="FE40" s="123"/>
      <c r="FF40" s="123"/>
      <c r="FG40" s="123"/>
      <c r="FH40" s="123"/>
      <c r="FI40" s="123"/>
      <c r="FJ40" s="123"/>
      <c r="FK40" s="123"/>
      <c r="FL40" s="123"/>
      <c r="FM40" s="123"/>
      <c r="FN40" s="123"/>
      <c r="FO40" s="123"/>
      <c r="FP40" s="123"/>
      <c r="FQ40" s="123"/>
      <c r="FR40" s="123"/>
      <c r="FS40" s="123"/>
      <c r="FT40" s="123"/>
      <c r="FU40" s="123"/>
      <c r="FV40" s="123"/>
      <c r="FW40" s="123"/>
      <c r="FX40" s="123"/>
      <c r="FY40" s="123"/>
      <c r="FZ40" s="123"/>
      <c r="GA40" s="123"/>
      <c r="GB40" s="123"/>
      <c r="GC40" s="123"/>
      <c r="GD40" s="123"/>
      <c r="GE40" s="123"/>
      <c r="GF40" s="123"/>
      <c r="GG40" s="123"/>
      <c r="GH40" s="123"/>
      <c r="GI40" s="123"/>
      <c r="GJ40" s="123"/>
      <c r="GK40" s="123"/>
      <c r="GL40" s="123"/>
      <c r="GM40" s="123"/>
      <c r="GN40" s="123"/>
      <c r="GO40" s="123"/>
      <c r="GP40" s="123"/>
      <c r="GQ40" s="123"/>
      <c r="GR40" s="123"/>
      <c r="GS40" s="123"/>
      <c r="GT40" s="123"/>
      <c r="GU40" s="123"/>
      <c r="GV40" s="123"/>
      <c r="GW40" s="123"/>
      <c r="GX40" s="123"/>
      <c r="GY40" s="123"/>
      <c r="GZ40" s="123"/>
      <c r="HA40" s="123"/>
      <c r="HB40" s="123"/>
      <c r="HC40" s="123"/>
      <c r="HD40" s="123"/>
      <c r="HE40" s="123"/>
      <c r="HF40" s="123"/>
      <c r="HG40" s="123"/>
      <c r="HH40" s="567"/>
      <c r="HI40" s="567"/>
      <c r="HJ40" s="567"/>
      <c r="HK40" s="567"/>
      <c r="HL40" s="567"/>
      <c r="HM40" s="567"/>
      <c r="HN40" s="567"/>
      <c r="HO40" s="123"/>
      <c r="HP40" s="123"/>
      <c r="HQ40" s="123"/>
      <c r="HR40" s="123"/>
      <c r="HS40" s="123"/>
      <c r="HT40" s="123"/>
      <c r="HU40" s="123"/>
      <c r="HV40" s="123"/>
      <c r="HW40" s="123"/>
      <c r="HX40" s="123"/>
      <c r="HY40" s="123"/>
      <c r="HZ40" s="123"/>
      <c r="IA40" s="123"/>
      <c r="IB40" s="123"/>
      <c r="IC40" s="123"/>
      <c r="ID40" s="123"/>
      <c r="IE40" s="123"/>
      <c r="IF40" s="123"/>
      <c r="IG40" s="123"/>
      <c r="IH40" s="123"/>
      <c r="II40" s="123"/>
      <c r="IJ40" s="123"/>
      <c r="IK40" s="123"/>
    </row>
    <row r="41" spans="1:245" s="430" customFormat="1">
      <c r="A41" s="1320" t="s">
        <v>399</v>
      </c>
      <c r="B41" s="1496">
        <f>'Feuil-saisie'!E171/1000</f>
        <v>422.25050785000002</v>
      </c>
      <c r="C41" s="1497">
        <f>'Feuil-saisie'!E174/1000</f>
        <v>223.23055876999999</v>
      </c>
      <c r="D41" s="573">
        <f t="shared" si="16"/>
        <v>645.48106661999998</v>
      </c>
      <c r="E41" s="108">
        <f>'Feuil-saisie'!C171/1000</f>
        <v>454.19999999999993</v>
      </c>
      <c r="F41" s="103">
        <f>'Feuil-saisie'!C174/1000</f>
        <v>246.54579957000004</v>
      </c>
      <c r="G41" s="573">
        <f>F41+E41</f>
        <v>700.74579956999992</v>
      </c>
      <c r="H41" s="570">
        <f t="shared" si="13"/>
        <v>392.6176450186594</v>
      </c>
      <c r="I41" s="571">
        <f t="shared" si="14"/>
        <v>403.12230251489962</v>
      </c>
      <c r="J41" s="572">
        <f t="shared" si="15"/>
        <v>396.25053323775518</v>
      </c>
      <c r="K41" s="123"/>
      <c r="L41" s="123"/>
      <c r="M41" s="119"/>
      <c r="N41" s="123"/>
      <c r="O41" s="123"/>
      <c r="P41" s="123"/>
      <c r="Q41" s="202"/>
      <c r="R41" s="202"/>
      <c r="S41" s="202"/>
      <c r="T41" s="202"/>
      <c r="U41" s="202"/>
      <c r="V41" s="581"/>
      <c r="W41" s="123"/>
      <c r="X41" s="123"/>
      <c r="Y41" s="123"/>
      <c r="Z41" s="123"/>
      <c r="AA41" s="123"/>
      <c r="AB41" s="123"/>
      <c r="AC41" s="123"/>
      <c r="AD41" s="123"/>
      <c r="AE41" s="123"/>
      <c r="AF41" s="123"/>
      <c r="AG41" s="123"/>
      <c r="AH41" s="123"/>
      <c r="AI41" s="123"/>
      <c r="AJ41" s="123"/>
      <c r="AK41" s="123"/>
      <c r="AL41" s="123"/>
      <c r="AM41" s="123"/>
      <c r="AN41" s="123"/>
      <c r="AO41" s="123"/>
      <c r="AP41" s="123"/>
      <c r="AQ41" s="123"/>
      <c r="AR41" s="123"/>
      <c r="AS41" s="123"/>
      <c r="AT41" s="123"/>
      <c r="AU41" s="123"/>
      <c r="AV41" s="123"/>
      <c r="AW41" s="123"/>
      <c r="AX41" s="123"/>
      <c r="AY41" s="123"/>
      <c r="AZ41" s="123"/>
      <c r="BA41" s="123"/>
      <c r="BB41" s="123"/>
      <c r="BC41" s="123"/>
      <c r="BD41" s="123"/>
      <c r="BE41" s="123"/>
      <c r="BF41" s="123"/>
      <c r="BG41" s="123"/>
      <c r="BH41" s="123"/>
      <c r="BI41" s="123"/>
      <c r="BJ41" s="123"/>
      <c r="BK41" s="123"/>
      <c r="BL41" s="123"/>
      <c r="BM41" s="123"/>
      <c r="BN41" s="123"/>
      <c r="BO41" s="123"/>
      <c r="BP41" s="123"/>
      <c r="BQ41" s="123"/>
      <c r="BR41" s="123"/>
      <c r="BS41" s="123"/>
      <c r="BT41" s="123"/>
      <c r="BU41" s="123"/>
      <c r="BV41" s="123"/>
      <c r="BW41" s="123"/>
      <c r="BX41" s="123"/>
      <c r="BY41" s="123"/>
      <c r="BZ41" s="123"/>
      <c r="CA41" s="123"/>
      <c r="CB41" s="123"/>
      <c r="CC41" s="123"/>
      <c r="CD41" s="123"/>
      <c r="CE41" s="123"/>
      <c r="CF41" s="123"/>
      <c r="CG41" s="123"/>
      <c r="CH41" s="123"/>
      <c r="CI41" s="123"/>
      <c r="CJ41" s="123"/>
      <c r="CK41" s="123"/>
      <c r="CL41" s="123"/>
      <c r="CM41" s="123"/>
      <c r="CN41" s="123"/>
      <c r="CO41" s="123"/>
      <c r="CP41" s="123"/>
      <c r="CQ41" s="123"/>
      <c r="CR41" s="123"/>
      <c r="CS41" s="123"/>
      <c r="CT41" s="123"/>
      <c r="CU41" s="123"/>
      <c r="CV41" s="123"/>
      <c r="CW41" s="123"/>
      <c r="CX41" s="123"/>
      <c r="CY41" s="123"/>
      <c r="CZ41" s="123"/>
      <c r="DA41" s="123"/>
      <c r="DB41" s="123"/>
      <c r="DC41" s="123"/>
      <c r="DD41" s="123"/>
      <c r="DE41" s="123"/>
      <c r="DF41" s="123"/>
      <c r="DG41" s="123"/>
      <c r="DH41" s="123"/>
      <c r="DI41" s="123"/>
      <c r="DJ41" s="123"/>
      <c r="DK41" s="123"/>
      <c r="DL41" s="123"/>
      <c r="DM41" s="123"/>
      <c r="DN41" s="123"/>
      <c r="DO41" s="123"/>
      <c r="DP41" s="123"/>
      <c r="DQ41" s="123"/>
      <c r="DR41" s="123"/>
      <c r="DS41" s="123"/>
      <c r="DT41" s="123"/>
      <c r="DU41" s="123"/>
      <c r="DV41" s="123"/>
      <c r="DW41" s="123"/>
      <c r="DX41" s="123"/>
      <c r="DY41" s="123"/>
      <c r="DZ41" s="123"/>
      <c r="EA41" s="123"/>
      <c r="EB41" s="123"/>
      <c r="EC41" s="123"/>
      <c r="ED41" s="123"/>
      <c r="EE41" s="123"/>
      <c r="EF41" s="123"/>
      <c r="EG41" s="123"/>
      <c r="EH41" s="123"/>
      <c r="EI41" s="123"/>
      <c r="EJ41" s="123"/>
      <c r="EK41" s="123"/>
      <c r="EL41" s="123"/>
      <c r="EM41" s="123"/>
      <c r="EN41" s="123"/>
      <c r="EO41" s="123"/>
      <c r="EP41" s="123"/>
      <c r="EQ41" s="123"/>
      <c r="ER41" s="123"/>
      <c r="ES41" s="123"/>
      <c r="ET41" s="123"/>
      <c r="EU41" s="123"/>
      <c r="EV41" s="123"/>
      <c r="EW41" s="123"/>
      <c r="EX41" s="123"/>
      <c r="EY41" s="123"/>
      <c r="EZ41" s="123"/>
      <c r="FA41" s="123"/>
      <c r="FB41" s="123"/>
      <c r="FC41" s="123"/>
      <c r="FD41" s="123"/>
      <c r="FE41" s="123"/>
      <c r="FF41" s="123"/>
      <c r="FG41" s="123"/>
      <c r="FH41" s="123"/>
      <c r="FI41" s="123"/>
      <c r="FJ41" s="123"/>
      <c r="FK41" s="123"/>
      <c r="FL41" s="123"/>
      <c r="FM41" s="123"/>
      <c r="FN41" s="123"/>
      <c r="FO41" s="123"/>
      <c r="FP41" s="123"/>
      <c r="FQ41" s="123"/>
      <c r="FR41" s="123"/>
      <c r="FS41" s="123"/>
      <c r="FT41" s="123"/>
      <c r="FU41" s="123"/>
      <c r="FV41" s="123"/>
      <c r="FW41" s="123"/>
      <c r="FX41" s="123"/>
      <c r="FY41" s="123"/>
      <c r="FZ41" s="123"/>
      <c r="GA41" s="123"/>
      <c r="GB41" s="123"/>
      <c r="GC41" s="123"/>
      <c r="GD41" s="123"/>
      <c r="GE41" s="123"/>
      <c r="GF41" s="123"/>
      <c r="GG41" s="123"/>
      <c r="GH41" s="123"/>
      <c r="GI41" s="123"/>
      <c r="GJ41" s="123"/>
      <c r="GK41" s="123"/>
      <c r="GL41" s="123"/>
      <c r="GM41" s="123"/>
      <c r="GN41" s="123"/>
      <c r="GO41" s="123"/>
      <c r="GP41" s="123"/>
      <c r="GQ41" s="123"/>
      <c r="GR41" s="123"/>
      <c r="GS41" s="123"/>
      <c r="GT41" s="123"/>
      <c r="GU41" s="123"/>
      <c r="GV41" s="123"/>
      <c r="GW41" s="123"/>
      <c r="GX41" s="123"/>
      <c r="GY41" s="123"/>
      <c r="GZ41" s="123"/>
      <c r="HA41" s="123"/>
      <c r="HB41" s="123"/>
      <c r="HC41" s="123"/>
      <c r="HD41" s="123"/>
      <c r="HE41" s="123"/>
      <c r="HF41" s="123"/>
      <c r="HG41" s="123"/>
      <c r="HH41" s="567"/>
      <c r="HI41" s="567"/>
      <c r="HJ41" s="567"/>
      <c r="HK41" s="567"/>
      <c r="HL41" s="567"/>
      <c r="HM41" s="567"/>
      <c r="HN41" s="567"/>
      <c r="HO41" s="123"/>
      <c r="HP41" s="123"/>
      <c r="HQ41" s="123"/>
      <c r="HR41" s="123"/>
      <c r="HS41" s="123"/>
      <c r="HT41" s="123"/>
      <c r="HU41" s="123"/>
      <c r="HV41" s="123"/>
      <c r="HW41" s="123"/>
      <c r="HX41" s="123"/>
      <c r="HY41" s="123"/>
      <c r="HZ41" s="123"/>
      <c r="IA41" s="123"/>
      <c r="IB41" s="123"/>
      <c r="IC41" s="123"/>
      <c r="ID41" s="123"/>
      <c r="IE41" s="123"/>
      <c r="IF41" s="123"/>
      <c r="IG41" s="123"/>
      <c r="IH41" s="123"/>
      <c r="II41" s="123"/>
      <c r="IJ41" s="123"/>
      <c r="IK41" s="123"/>
    </row>
    <row r="42" spans="1:245" s="430" customFormat="1">
      <c r="A42" s="1320" t="s">
        <v>883</v>
      </c>
      <c r="B42" s="1496">
        <f>'Feuil-saisie'!E194/1000</f>
        <v>467.07067776000002</v>
      </c>
      <c r="C42" s="1497">
        <f>'Feuil-saisie'!E197/1000</f>
        <v>492.4209770600001</v>
      </c>
      <c r="D42" s="575">
        <f t="shared" si="16"/>
        <v>959.49165482000012</v>
      </c>
      <c r="E42" s="108">
        <f>'Feuil-saisie'!C194/1000</f>
        <v>237.30350101000008</v>
      </c>
      <c r="F42" s="103">
        <f>'Feuil-saisie'!C197/1000</f>
        <v>730.32995642000003</v>
      </c>
      <c r="G42" s="573">
        <f t="shared" si="12"/>
        <v>967.63345743000013</v>
      </c>
      <c r="H42" s="570">
        <f t="shared" si="13"/>
        <v>185.44469176281012</v>
      </c>
      <c r="I42" s="571">
        <f t="shared" si="14"/>
        <v>541.34662516787773</v>
      </c>
      <c r="J42" s="572">
        <f t="shared" si="15"/>
        <v>368.0972212605721</v>
      </c>
      <c r="K42" s="123"/>
      <c r="L42" s="119"/>
      <c r="M42" s="582"/>
      <c r="N42" s="123"/>
      <c r="O42" s="123"/>
      <c r="P42" s="123"/>
      <c r="Q42" s="202"/>
      <c r="R42" s="202"/>
      <c r="S42" s="202"/>
      <c r="T42" s="202"/>
      <c r="U42" s="202"/>
      <c r="V42" s="581"/>
      <c r="W42" s="123"/>
      <c r="X42" s="123"/>
      <c r="Y42" s="123"/>
      <c r="Z42" s="123"/>
      <c r="AA42" s="123"/>
      <c r="AB42" s="123"/>
      <c r="AC42" s="123"/>
      <c r="AD42" s="123"/>
      <c r="AE42" s="123"/>
      <c r="AF42" s="123"/>
      <c r="AG42" s="123"/>
      <c r="AH42" s="123"/>
      <c r="AI42" s="123"/>
      <c r="AJ42" s="123"/>
      <c r="AK42" s="123"/>
      <c r="AL42" s="123"/>
      <c r="AM42" s="123"/>
      <c r="AN42" s="123"/>
      <c r="AO42" s="123"/>
      <c r="AP42" s="123"/>
      <c r="AQ42" s="123"/>
      <c r="AR42" s="123"/>
      <c r="AS42" s="123"/>
      <c r="AT42" s="123"/>
      <c r="AU42" s="123"/>
      <c r="AV42" s="123"/>
      <c r="AW42" s="123"/>
      <c r="AX42" s="123"/>
      <c r="AY42" s="123"/>
      <c r="AZ42" s="123"/>
      <c r="BA42" s="123"/>
      <c r="BB42" s="123"/>
      <c r="BC42" s="123"/>
      <c r="BD42" s="123"/>
      <c r="BE42" s="123"/>
      <c r="BF42" s="123"/>
      <c r="BG42" s="123"/>
      <c r="BH42" s="123"/>
      <c r="BI42" s="123"/>
      <c r="BJ42" s="123"/>
      <c r="BK42" s="123"/>
      <c r="BL42" s="123"/>
      <c r="BM42" s="123"/>
      <c r="BN42" s="123"/>
      <c r="BO42" s="123"/>
      <c r="BP42" s="123"/>
      <c r="BQ42" s="123"/>
      <c r="BR42" s="123"/>
      <c r="BS42" s="123"/>
      <c r="BT42" s="123"/>
      <c r="BU42" s="123"/>
      <c r="BV42" s="123"/>
      <c r="BW42" s="123"/>
      <c r="BX42" s="123"/>
      <c r="BY42" s="123"/>
      <c r="BZ42" s="123"/>
      <c r="CA42" s="123"/>
      <c r="CB42" s="123"/>
      <c r="CC42" s="123"/>
      <c r="CD42" s="123"/>
      <c r="CE42" s="123"/>
      <c r="CF42" s="123"/>
      <c r="CG42" s="123"/>
      <c r="CH42" s="123"/>
      <c r="CI42" s="123"/>
      <c r="CJ42" s="123"/>
      <c r="CK42" s="123"/>
      <c r="CL42" s="123"/>
      <c r="CM42" s="123"/>
      <c r="CN42" s="123"/>
      <c r="CO42" s="123"/>
      <c r="CP42" s="123"/>
      <c r="CQ42" s="123"/>
      <c r="CR42" s="123"/>
      <c r="CS42" s="123"/>
      <c r="CT42" s="123"/>
      <c r="CU42" s="123"/>
      <c r="CV42" s="123"/>
      <c r="CW42" s="123"/>
      <c r="CX42" s="123"/>
      <c r="CY42" s="123"/>
      <c r="CZ42" s="123"/>
      <c r="DA42" s="123"/>
      <c r="DB42" s="123"/>
      <c r="DC42" s="123"/>
      <c r="DD42" s="123"/>
      <c r="DE42" s="123"/>
      <c r="DF42" s="123"/>
      <c r="DG42" s="123"/>
      <c r="DH42" s="123"/>
      <c r="DI42" s="123"/>
      <c r="DJ42" s="123"/>
      <c r="DK42" s="123"/>
      <c r="DL42" s="123"/>
      <c r="DM42" s="123"/>
      <c r="DN42" s="123"/>
      <c r="DO42" s="123"/>
      <c r="DP42" s="123"/>
      <c r="DQ42" s="123"/>
      <c r="DR42" s="123"/>
      <c r="DS42" s="123"/>
      <c r="DT42" s="123"/>
      <c r="DU42" s="123"/>
      <c r="DV42" s="123"/>
      <c r="DW42" s="123"/>
      <c r="DX42" s="123"/>
      <c r="DY42" s="123"/>
      <c r="DZ42" s="123"/>
      <c r="EA42" s="123"/>
      <c r="EB42" s="123"/>
      <c r="EC42" s="123"/>
      <c r="ED42" s="123"/>
      <c r="EE42" s="123"/>
      <c r="EF42" s="123"/>
      <c r="EG42" s="123"/>
      <c r="EH42" s="123"/>
      <c r="EI42" s="123"/>
      <c r="EJ42" s="123"/>
      <c r="EK42" s="123"/>
      <c r="EL42" s="123"/>
      <c r="EM42" s="123"/>
      <c r="EN42" s="123"/>
      <c r="EO42" s="123"/>
      <c r="EP42" s="123"/>
      <c r="EQ42" s="123"/>
      <c r="ER42" s="123"/>
      <c r="ES42" s="123"/>
      <c r="ET42" s="123"/>
      <c r="EU42" s="123"/>
      <c r="EV42" s="123"/>
      <c r="EW42" s="123"/>
      <c r="EX42" s="123"/>
      <c r="EY42" s="123"/>
      <c r="EZ42" s="123"/>
      <c r="FA42" s="123"/>
      <c r="FB42" s="123"/>
      <c r="FC42" s="123"/>
      <c r="FD42" s="123"/>
      <c r="FE42" s="123"/>
      <c r="FF42" s="123"/>
      <c r="FG42" s="123"/>
      <c r="FH42" s="123"/>
      <c r="FI42" s="123"/>
      <c r="FJ42" s="123"/>
      <c r="FK42" s="123"/>
      <c r="FL42" s="123"/>
      <c r="FM42" s="123"/>
      <c r="FN42" s="123"/>
      <c r="FO42" s="123"/>
      <c r="FP42" s="123"/>
      <c r="FQ42" s="123"/>
      <c r="FR42" s="123"/>
      <c r="FS42" s="123"/>
      <c r="FT42" s="123"/>
      <c r="FU42" s="123"/>
      <c r="FV42" s="123"/>
      <c r="FW42" s="123"/>
      <c r="FX42" s="123"/>
      <c r="FY42" s="123"/>
      <c r="FZ42" s="123"/>
      <c r="GA42" s="123"/>
      <c r="GB42" s="123"/>
      <c r="GC42" s="123"/>
      <c r="GD42" s="123"/>
      <c r="GE42" s="123"/>
      <c r="GF42" s="123"/>
      <c r="GG42" s="123"/>
      <c r="GH42" s="123"/>
      <c r="GI42" s="123"/>
      <c r="GJ42" s="123"/>
      <c r="GK42" s="123"/>
      <c r="GL42" s="123"/>
      <c r="GM42" s="123"/>
      <c r="GN42" s="123"/>
      <c r="GO42" s="123"/>
      <c r="GP42" s="123"/>
      <c r="GQ42" s="123"/>
      <c r="GR42" s="123"/>
      <c r="GS42" s="123"/>
      <c r="GT42" s="123"/>
      <c r="GU42" s="123"/>
      <c r="GV42" s="123"/>
      <c r="GW42" s="123"/>
      <c r="GX42" s="123"/>
      <c r="GY42" s="123"/>
      <c r="GZ42" s="123"/>
      <c r="HA42" s="123"/>
      <c r="HB42" s="123"/>
      <c r="HC42" s="123"/>
      <c r="HD42" s="123"/>
      <c r="HE42" s="123"/>
      <c r="HF42" s="123"/>
      <c r="HG42" s="123"/>
      <c r="HH42" s="567"/>
      <c r="HI42" s="567"/>
      <c r="HJ42" s="567"/>
      <c r="HK42" s="567"/>
      <c r="HL42" s="567"/>
      <c r="HM42" s="567"/>
      <c r="HN42" s="567"/>
      <c r="HO42" s="123"/>
      <c r="HP42" s="123"/>
      <c r="HQ42" s="123"/>
      <c r="HR42" s="123"/>
      <c r="HS42" s="123"/>
      <c r="HT42" s="123"/>
      <c r="HU42" s="123"/>
      <c r="HV42" s="123"/>
      <c r="HW42" s="123"/>
      <c r="HX42" s="123"/>
      <c r="HY42" s="123"/>
      <c r="HZ42" s="123"/>
      <c r="IA42" s="123"/>
      <c r="IB42" s="123"/>
      <c r="IC42" s="123"/>
      <c r="ID42" s="123"/>
      <c r="IE42" s="123"/>
      <c r="IF42" s="123"/>
      <c r="IG42" s="123"/>
      <c r="IH42" s="123"/>
      <c r="II42" s="123"/>
      <c r="IJ42" s="123"/>
      <c r="IK42" s="123"/>
    </row>
    <row r="43" spans="1:245" s="430" customFormat="1">
      <c r="A43" s="1320" t="s">
        <v>884</v>
      </c>
      <c r="B43" s="1496">
        <f>'Feuil-saisie'!E217/1000</f>
        <v>457.05520014999905</v>
      </c>
      <c r="C43" s="1497">
        <f>'Feuil-saisie'!E220/1000</f>
        <v>519.67400056999895</v>
      </c>
      <c r="D43" s="573">
        <f t="shared" si="16"/>
        <v>976.72920071999806</v>
      </c>
      <c r="E43" s="108">
        <f>'Feuil-saisie'!C217/1000</f>
        <v>340.8547569199992</v>
      </c>
      <c r="F43" s="103">
        <f>'Feuil-saisie'!C220/1000</f>
        <v>813.20476715999098</v>
      </c>
      <c r="G43" s="573">
        <f t="shared" si="12"/>
        <v>1154.0595240799903</v>
      </c>
      <c r="H43" s="570">
        <f t="shared" si="13"/>
        <v>272.20341489380155</v>
      </c>
      <c r="I43" s="571">
        <f t="shared" si="14"/>
        <v>571.16526839486505</v>
      </c>
      <c r="J43" s="572">
        <f t="shared" si="15"/>
        <v>431.26766966594687</v>
      </c>
      <c r="K43" s="123"/>
      <c r="L43" s="119"/>
      <c r="M43" s="582"/>
      <c r="N43" s="123"/>
      <c r="O43" s="123"/>
      <c r="P43" s="123"/>
      <c r="Q43" s="202"/>
      <c r="R43" s="202"/>
      <c r="S43" s="202"/>
      <c r="T43" s="202"/>
      <c r="U43" s="202"/>
      <c r="V43" s="581"/>
      <c r="W43" s="123"/>
      <c r="X43" s="123"/>
      <c r="Y43" s="123"/>
      <c r="Z43" s="123"/>
      <c r="AA43" s="123"/>
      <c r="AB43" s="123"/>
      <c r="AC43" s="123"/>
      <c r="AD43" s="123"/>
      <c r="AE43" s="123"/>
      <c r="AF43" s="123"/>
      <c r="AG43" s="123"/>
      <c r="AH43" s="123"/>
      <c r="AI43" s="123"/>
      <c r="AJ43" s="123"/>
      <c r="AK43" s="123"/>
      <c r="AL43" s="123"/>
      <c r="AM43" s="123"/>
      <c r="AN43" s="123"/>
      <c r="AO43" s="123"/>
      <c r="AP43" s="123"/>
      <c r="AQ43" s="123"/>
      <c r="AR43" s="123"/>
      <c r="AS43" s="123"/>
      <c r="AT43" s="123"/>
      <c r="AU43" s="123"/>
      <c r="AV43" s="123"/>
      <c r="AW43" s="123"/>
      <c r="AX43" s="123"/>
      <c r="AY43" s="123"/>
      <c r="AZ43" s="123"/>
      <c r="BA43" s="123"/>
      <c r="BB43" s="123"/>
      <c r="BC43" s="123"/>
      <c r="BD43" s="123"/>
      <c r="BE43" s="123"/>
      <c r="BF43" s="123"/>
      <c r="BG43" s="123"/>
      <c r="BH43" s="123"/>
      <c r="BI43" s="123"/>
      <c r="BJ43" s="123"/>
      <c r="BK43" s="123"/>
      <c r="BL43" s="123"/>
      <c r="BM43" s="123"/>
      <c r="BN43" s="123"/>
      <c r="BO43" s="123"/>
      <c r="BP43" s="123"/>
      <c r="BQ43" s="123"/>
      <c r="BR43" s="123"/>
      <c r="BS43" s="123"/>
      <c r="BT43" s="123"/>
      <c r="BU43" s="123"/>
      <c r="BV43" s="123"/>
      <c r="BW43" s="123"/>
      <c r="BX43" s="123"/>
      <c r="BY43" s="123"/>
      <c r="BZ43" s="123"/>
      <c r="CA43" s="123"/>
      <c r="CB43" s="123"/>
      <c r="CC43" s="123"/>
      <c r="CD43" s="123"/>
      <c r="CE43" s="123"/>
      <c r="CF43" s="123"/>
      <c r="CG43" s="123"/>
      <c r="CH43" s="123"/>
      <c r="CI43" s="123"/>
      <c r="CJ43" s="123"/>
      <c r="CK43" s="123"/>
      <c r="CL43" s="123"/>
      <c r="CM43" s="123"/>
      <c r="CN43" s="123"/>
      <c r="CO43" s="123"/>
      <c r="CP43" s="123"/>
      <c r="CQ43" s="123"/>
      <c r="CR43" s="123"/>
      <c r="CS43" s="123"/>
      <c r="CT43" s="123"/>
      <c r="CU43" s="123"/>
      <c r="CV43" s="123"/>
      <c r="CW43" s="123"/>
      <c r="CX43" s="123"/>
      <c r="CY43" s="123"/>
      <c r="CZ43" s="123"/>
      <c r="DA43" s="123"/>
      <c r="DB43" s="123"/>
      <c r="DC43" s="123"/>
      <c r="DD43" s="123"/>
      <c r="DE43" s="123"/>
      <c r="DF43" s="123"/>
      <c r="DG43" s="123"/>
      <c r="DH43" s="123"/>
      <c r="DI43" s="123"/>
      <c r="DJ43" s="123"/>
      <c r="DK43" s="123"/>
      <c r="DL43" s="123"/>
      <c r="DM43" s="123"/>
      <c r="DN43" s="123"/>
      <c r="DO43" s="123"/>
      <c r="DP43" s="123"/>
      <c r="DQ43" s="123"/>
      <c r="DR43" s="123"/>
      <c r="DS43" s="123"/>
      <c r="DT43" s="123"/>
      <c r="DU43" s="123"/>
      <c r="DV43" s="123"/>
      <c r="DW43" s="123"/>
      <c r="DX43" s="123"/>
      <c r="DY43" s="123"/>
      <c r="DZ43" s="123"/>
      <c r="EA43" s="123"/>
      <c r="EB43" s="123"/>
      <c r="EC43" s="123"/>
      <c r="ED43" s="123"/>
      <c r="EE43" s="123"/>
      <c r="EF43" s="123"/>
      <c r="EG43" s="123"/>
      <c r="EH43" s="123"/>
      <c r="EI43" s="123"/>
      <c r="EJ43" s="123"/>
      <c r="EK43" s="123"/>
      <c r="EL43" s="123"/>
      <c r="EM43" s="123"/>
      <c r="EN43" s="123"/>
      <c r="EO43" s="123"/>
      <c r="EP43" s="123"/>
      <c r="EQ43" s="123"/>
      <c r="ER43" s="123"/>
      <c r="ES43" s="123"/>
      <c r="ET43" s="123"/>
      <c r="EU43" s="123"/>
      <c r="EV43" s="123"/>
      <c r="EW43" s="123"/>
      <c r="EX43" s="123"/>
      <c r="EY43" s="123"/>
      <c r="EZ43" s="123"/>
      <c r="FA43" s="123"/>
      <c r="FB43" s="123"/>
      <c r="FC43" s="123"/>
      <c r="FD43" s="123"/>
      <c r="FE43" s="123"/>
      <c r="FF43" s="123"/>
      <c r="FG43" s="123"/>
      <c r="FH43" s="123"/>
      <c r="FI43" s="123"/>
      <c r="FJ43" s="123"/>
      <c r="FK43" s="123"/>
      <c r="FL43" s="123"/>
      <c r="FM43" s="123"/>
      <c r="FN43" s="123"/>
      <c r="FO43" s="123"/>
      <c r="FP43" s="123"/>
      <c r="FQ43" s="123"/>
      <c r="FR43" s="123"/>
      <c r="FS43" s="123"/>
      <c r="FT43" s="123"/>
      <c r="FU43" s="123"/>
      <c r="FV43" s="123"/>
      <c r="FW43" s="123"/>
      <c r="FX43" s="123"/>
      <c r="FY43" s="123"/>
      <c r="FZ43" s="123"/>
      <c r="GA43" s="123"/>
      <c r="GB43" s="123"/>
      <c r="GC43" s="123"/>
      <c r="GD43" s="123"/>
      <c r="GE43" s="123"/>
      <c r="GF43" s="123"/>
      <c r="GG43" s="123"/>
      <c r="GH43" s="123"/>
      <c r="GI43" s="123"/>
      <c r="GJ43" s="123"/>
      <c r="GK43" s="123"/>
      <c r="GL43" s="123"/>
      <c r="GM43" s="123"/>
      <c r="GN43" s="123"/>
      <c r="GO43" s="123"/>
      <c r="GP43" s="123"/>
      <c r="GQ43" s="123"/>
      <c r="GR43" s="123"/>
      <c r="GS43" s="123"/>
      <c r="GT43" s="123"/>
      <c r="GU43" s="123"/>
      <c r="GV43" s="123"/>
      <c r="GW43" s="123"/>
      <c r="GX43" s="123"/>
      <c r="GY43" s="123"/>
      <c r="GZ43" s="123"/>
      <c r="HA43" s="123"/>
      <c r="HB43" s="123"/>
      <c r="HC43" s="123"/>
      <c r="HD43" s="123"/>
      <c r="HE43" s="123"/>
      <c r="HF43" s="123"/>
      <c r="HG43" s="123"/>
      <c r="HH43" s="567"/>
      <c r="HI43" s="567"/>
      <c r="HJ43" s="567"/>
      <c r="HK43" s="567"/>
      <c r="HL43" s="567"/>
      <c r="HM43" s="567"/>
      <c r="HN43" s="567"/>
      <c r="HO43" s="123"/>
      <c r="HP43" s="123"/>
      <c r="HQ43" s="123"/>
      <c r="HR43" s="123"/>
      <c r="HS43" s="123"/>
      <c r="HT43" s="123"/>
      <c r="HU43" s="123"/>
      <c r="HV43" s="123"/>
      <c r="HW43" s="123"/>
      <c r="HX43" s="123"/>
      <c r="HY43" s="123"/>
      <c r="HZ43" s="123"/>
      <c r="IA43" s="123"/>
      <c r="IB43" s="123"/>
      <c r="IC43" s="123"/>
      <c r="ID43" s="123"/>
      <c r="IE43" s="123"/>
      <c r="IF43" s="123"/>
      <c r="IG43" s="123"/>
      <c r="IH43" s="123"/>
      <c r="II43" s="123"/>
      <c r="IJ43" s="123"/>
      <c r="IK43" s="123"/>
    </row>
    <row r="44" spans="1:245" s="430" customFormat="1" ht="12.75" customHeight="1">
      <c r="A44" s="1320" t="s">
        <v>885</v>
      </c>
      <c r="B44" s="1496">
        <f>'Feuil-saisie'!E242/1000</f>
        <v>202.63729847000002</v>
      </c>
      <c r="C44" s="1497">
        <f>'Feuil-saisie'!E245/1000</f>
        <v>159.13555543000012</v>
      </c>
      <c r="D44" s="573">
        <f t="shared" si="16"/>
        <v>361.77285390000014</v>
      </c>
      <c r="E44" s="108">
        <f>'Feuil-saisie'!C242/1000</f>
        <v>109.11771627</v>
      </c>
      <c r="F44" s="103">
        <f>'Feuil-saisie'!C245/1000</f>
        <v>305.91603242000002</v>
      </c>
      <c r="G44" s="573">
        <f t="shared" si="12"/>
        <v>415.03374869000004</v>
      </c>
      <c r="H44" s="570">
        <f t="shared" si="13"/>
        <v>196.54805279812018</v>
      </c>
      <c r="I44" s="571">
        <f t="shared" si="14"/>
        <v>701.66187268197427</v>
      </c>
      <c r="J44" s="572">
        <f t="shared" si="15"/>
        <v>418.73600144062647</v>
      </c>
      <c r="K44" s="123"/>
      <c r="L44" s="119"/>
      <c r="M44" s="582"/>
      <c r="N44" s="123"/>
      <c r="O44" s="123"/>
      <c r="P44" s="123"/>
      <c r="Q44" s="202"/>
      <c r="R44" s="202"/>
      <c r="S44" s="202"/>
      <c r="T44" s="202"/>
      <c r="U44" s="202"/>
      <c r="V44" s="581"/>
      <c r="W44" s="123"/>
      <c r="X44" s="123"/>
      <c r="Y44" s="123"/>
      <c r="Z44" s="123"/>
      <c r="AA44" s="123"/>
      <c r="AB44" s="123"/>
      <c r="AC44" s="123"/>
      <c r="AD44" s="123"/>
      <c r="AE44" s="123"/>
      <c r="AF44" s="123"/>
      <c r="AG44" s="123"/>
      <c r="AH44" s="123"/>
      <c r="AI44" s="123"/>
      <c r="AJ44" s="123"/>
      <c r="AK44" s="123"/>
      <c r="AL44" s="123"/>
      <c r="AM44" s="123"/>
      <c r="AN44" s="123"/>
      <c r="AO44" s="123"/>
      <c r="AP44" s="123"/>
      <c r="AQ44" s="123"/>
      <c r="AR44" s="123"/>
      <c r="AS44" s="123"/>
      <c r="AT44" s="123"/>
      <c r="AU44" s="123"/>
      <c r="AV44" s="123"/>
      <c r="AW44" s="123"/>
      <c r="AX44" s="123"/>
      <c r="AY44" s="123"/>
      <c r="AZ44" s="123"/>
      <c r="BA44" s="123"/>
      <c r="BB44" s="123"/>
      <c r="BC44" s="123"/>
      <c r="BD44" s="123"/>
      <c r="BE44" s="123"/>
      <c r="BF44" s="123"/>
      <c r="BG44" s="123"/>
      <c r="BH44" s="123"/>
      <c r="BI44" s="123"/>
      <c r="BJ44" s="123"/>
      <c r="BK44" s="123"/>
      <c r="BL44" s="123"/>
      <c r="BM44" s="123"/>
      <c r="BN44" s="123"/>
      <c r="BO44" s="123"/>
      <c r="BP44" s="123"/>
      <c r="BQ44" s="123"/>
      <c r="BR44" s="123"/>
      <c r="BS44" s="123"/>
      <c r="BT44" s="123"/>
      <c r="BU44" s="123"/>
      <c r="BV44" s="123"/>
      <c r="BW44" s="123"/>
      <c r="BX44" s="123"/>
      <c r="BY44" s="123"/>
      <c r="BZ44" s="123"/>
      <c r="CA44" s="123"/>
      <c r="CB44" s="123"/>
      <c r="CC44" s="123"/>
      <c r="CD44" s="123"/>
      <c r="CE44" s="123"/>
      <c r="CF44" s="123"/>
      <c r="CG44" s="123"/>
      <c r="CH44" s="123"/>
      <c r="CI44" s="123"/>
      <c r="CJ44" s="123"/>
      <c r="CK44" s="123"/>
      <c r="CL44" s="123"/>
      <c r="CM44" s="123"/>
      <c r="CN44" s="123"/>
      <c r="CO44" s="123"/>
      <c r="CP44" s="123"/>
      <c r="CQ44" s="123"/>
      <c r="CR44" s="123"/>
      <c r="CS44" s="123"/>
      <c r="CT44" s="123"/>
      <c r="CU44" s="123"/>
      <c r="CV44" s="123"/>
      <c r="CW44" s="123"/>
      <c r="CX44" s="123"/>
      <c r="CY44" s="123"/>
      <c r="CZ44" s="123"/>
      <c r="DA44" s="123"/>
      <c r="DB44" s="123"/>
      <c r="DC44" s="123"/>
      <c r="DD44" s="123"/>
      <c r="DE44" s="123"/>
      <c r="DF44" s="123"/>
      <c r="DG44" s="123"/>
      <c r="DH44" s="123"/>
      <c r="DI44" s="123"/>
      <c r="DJ44" s="123"/>
      <c r="DK44" s="123"/>
      <c r="DL44" s="123"/>
      <c r="DM44" s="123"/>
      <c r="DN44" s="123"/>
      <c r="DO44" s="123"/>
      <c r="DP44" s="123"/>
      <c r="DQ44" s="123"/>
      <c r="DR44" s="123"/>
      <c r="DS44" s="123"/>
      <c r="DT44" s="123"/>
      <c r="DU44" s="123"/>
      <c r="DV44" s="123"/>
      <c r="DW44" s="123"/>
      <c r="DX44" s="123"/>
      <c r="DY44" s="123"/>
      <c r="DZ44" s="123"/>
      <c r="EA44" s="123"/>
      <c r="EB44" s="123"/>
      <c r="EC44" s="123"/>
      <c r="ED44" s="123"/>
      <c r="EE44" s="123"/>
      <c r="EF44" s="123"/>
      <c r="EG44" s="123"/>
      <c r="EH44" s="123"/>
      <c r="EI44" s="123"/>
      <c r="EJ44" s="123"/>
      <c r="EK44" s="123"/>
      <c r="EL44" s="123"/>
      <c r="EM44" s="123"/>
      <c r="EN44" s="123"/>
      <c r="EO44" s="123"/>
      <c r="EP44" s="123"/>
      <c r="EQ44" s="123"/>
      <c r="ER44" s="123"/>
      <c r="ES44" s="123"/>
      <c r="ET44" s="123"/>
      <c r="EU44" s="123"/>
      <c r="EV44" s="123"/>
      <c r="EW44" s="123"/>
      <c r="EX44" s="123"/>
      <c r="EY44" s="123"/>
      <c r="EZ44" s="123"/>
      <c r="FA44" s="123"/>
      <c r="FB44" s="123"/>
      <c r="FC44" s="123"/>
      <c r="FD44" s="123"/>
      <c r="FE44" s="123"/>
      <c r="FF44" s="123"/>
      <c r="FG44" s="123"/>
      <c r="FH44" s="123"/>
      <c r="FI44" s="123"/>
      <c r="FJ44" s="123"/>
      <c r="FK44" s="123"/>
      <c r="FL44" s="123"/>
      <c r="FM44" s="123"/>
      <c r="FN44" s="123"/>
      <c r="FO44" s="123"/>
      <c r="FP44" s="123"/>
      <c r="FQ44" s="123"/>
      <c r="FR44" s="123"/>
      <c r="FS44" s="123"/>
      <c r="FT44" s="123"/>
      <c r="FU44" s="123"/>
      <c r="FV44" s="123"/>
      <c r="FW44" s="123"/>
      <c r="FX44" s="123"/>
      <c r="FY44" s="123"/>
      <c r="FZ44" s="123"/>
      <c r="GA44" s="123"/>
      <c r="GB44" s="123"/>
      <c r="GC44" s="123"/>
      <c r="GD44" s="123"/>
      <c r="GE44" s="123"/>
      <c r="GF44" s="123"/>
      <c r="GG44" s="123"/>
      <c r="GH44" s="123"/>
      <c r="GI44" s="123"/>
      <c r="GJ44" s="123"/>
      <c r="GK44" s="123"/>
      <c r="GL44" s="123"/>
      <c r="GM44" s="123"/>
      <c r="GN44" s="123"/>
      <c r="GO44" s="123"/>
      <c r="GP44" s="123"/>
      <c r="GQ44" s="123"/>
      <c r="GR44" s="123"/>
      <c r="GS44" s="123"/>
      <c r="GT44" s="123"/>
      <c r="GU44" s="123"/>
      <c r="GV44" s="123"/>
      <c r="GW44" s="123"/>
      <c r="GX44" s="123"/>
      <c r="GY44" s="123"/>
      <c r="GZ44" s="123"/>
      <c r="HA44" s="123"/>
      <c r="HB44" s="123"/>
      <c r="HC44" s="123"/>
      <c r="HD44" s="123"/>
      <c r="HE44" s="123"/>
      <c r="HF44" s="123"/>
      <c r="HG44" s="123"/>
      <c r="HH44" s="567"/>
      <c r="HI44" s="567"/>
      <c r="HJ44" s="567"/>
      <c r="HK44" s="567"/>
      <c r="HL44" s="567"/>
      <c r="HM44" s="567"/>
      <c r="HN44" s="567"/>
      <c r="HO44" s="123"/>
      <c r="HP44" s="123"/>
      <c r="HQ44" s="123"/>
      <c r="HR44" s="123"/>
      <c r="HS44" s="123"/>
      <c r="HT44" s="123"/>
      <c r="HU44" s="123"/>
      <c r="HV44" s="123"/>
      <c r="HW44" s="123"/>
      <c r="HX44" s="123"/>
      <c r="HY44" s="123"/>
      <c r="HZ44" s="123"/>
      <c r="IA44" s="123"/>
      <c r="IB44" s="123"/>
      <c r="IC44" s="123"/>
      <c r="ID44" s="123"/>
      <c r="IE44" s="123"/>
      <c r="IF44" s="123"/>
      <c r="IG44" s="123"/>
      <c r="IH44" s="123"/>
      <c r="II44" s="123"/>
      <c r="IJ44" s="123"/>
      <c r="IK44" s="123"/>
    </row>
    <row r="45" spans="1:245" s="430" customFormat="1" ht="14.4" thickBot="1">
      <c r="A45" s="576" t="s">
        <v>49</v>
      </c>
      <c r="B45" s="1498">
        <f t="shared" ref="B45:G45" si="17">SUM(B35:B44)</f>
        <v>4687.2188002999992</v>
      </c>
      <c r="C45" s="1499">
        <f t="shared" si="17"/>
        <v>3439.3160503999989</v>
      </c>
      <c r="D45" s="579">
        <f t="shared" si="17"/>
        <v>8126.5348506999981</v>
      </c>
      <c r="E45" s="1379">
        <f t="shared" si="17"/>
        <v>3123.0058855600018</v>
      </c>
      <c r="F45" s="578">
        <f t="shared" si="17"/>
        <v>4025.1578676899917</v>
      </c>
      <c r="G45" s="579">
        <f t="shared" si="17"/>
        <v>7148.1637532499926</v>
      </c>
      <c r="H45" s="544">
        <f t="shared" si="13"/>
        <v>243.19264723815391</v>
      </c>
      <c r="I45" s="545">
        <f t="shared" si="14"/>
        <v>427.17290303575857</v>
      </c>
      <c r="J45" s="546">
        <f t="shared" si="15"/>
        <v>321.05686099549649</v>
      </c>
      <c r="K45" s="123"/>
      <c r="L45" s="119"/>
      <c r="M45" s="582"/>
      <c r="N45" s="123"/>
      <c r="Q45" s="202"/>
      <c r="R45" s="202"/>
      <c r="S45" s="202"/>
      <c r="T45" s="202"/>
      <c r="U45" s="202"/>
      <c r="V45" s="560"/>
      <c r="HH45" s="564"/>
      <c r="HI45" s="564"/>
      <c r="HJ45" s="564"/>
      <c r="HK45" s="564"/>
      <c r="HL45" s="564"/>
      <c r="HM45" s="564"/>
      <c r="HN45" s="564"/>
    </row>
    <row r="46" spans="1:245" ht="25.5" customHeight="1">
      <c r="I46" s="583"/>
      <c r="J46" s="583"/>
      <c r="K46" s="583"/>
      <c r="L46" s="583"/>
      <c r="M46" s="583"/>
      <c r="N46" s="583"/>
      <c r="O46" s="430"/>
      <c r="P46" s="430"/>
      <c r="Q46" s="202"/>
      <c r="R46" s="202"/>
      <c r="S46" s="202"/>
      <c r="T46" s="202"/>
      <c r="U46" s="202"/>
      <c r="V46" s="560"/>
      <c r="W46" s="430"/>
      <c r="X46" s="430"/>
      <c r="Y46" s="430"/>
      <c r="Z46" s="430"/>
      <c r="AA46" s="430"/>
      <c r="AB46" s="430"/>
      <c r="AC46" s="430"/>
      <c r="AD46" s="430"/>
      <c r="AE46" s="430"/>
      <c r="AF46" s="430"/>
      <c r="AG46" s="430"/>
      <c r="AH46" s="430"/>
      <c r="AI46" s="430"/>
      <c r="AJ46" s="430"/>
      <c r="AK46" s="430"/>
      <c r="AL46" s="430"/>
      <c r="AM46" s="430"/>
      <c r="AN46" s="430"/>
      <c r="AO46" s="430"/>
      <c r="AP46" s="430"/>
      <c r="AQ46" s="430"/>
      <c r="AR46" s="430"/>
      <c r="AS46" s="430"/>
      <c r="AT46" s="430"/>
      <c r="AU46" s="430"/>
      <c r="AV46" s="430"/>
      <c r="AW46" s="430"/>
      <c r="AX46" s="430"/>
      <c r="AY46" s="430"/>
      <c r="AZ46" s="430"/>
      <c r="BA46" s="430"/>
      <c r="BB46" s="430"/>
      <c r="BC46" s="430"/>
      <c r="BD46" s="430"/>
      <c r="BE46" s="430"/>
      <c r="BF46" s="430"/>
      <c r="BG46" s="430"/>
      <c r="BH46" s="430"/>
      <c r="BI46" s="430"/>
      <c r="BJ46" s="430"/>
      <c r="BK46" s="430"/>
      <c r="BL46" s="430"/>
      <c r="BM46" s="430"/>
      <c r="BN46" s="430"/>
      <c r="BO46" s="430"/>
      <c r="BP46" s="430"/>
      <c r="BQ46" s="430"/>
      <c r="BR46" s="430"/>
      <c r="BS46" s="430"/>
      <c r="BT46" s="430"/>
      <c r="BU46" s="430"/>
      <c r="BV46" s="430"/>
      <c r="BW46" s="430"/>
      <c r="BX46" s="430"/>
      <c r="BY46" s="430"/>
      <c r="BZ46" s="430"/>
      <c r="CA46" s="430"/>
      <c r="CB46" s="430"/>
      <c r="CC46" s="430"/>
      <c r="CD46" s="430"/>
      <c r="CE46" s="430"/>
      <c r="CF46" s="430"/>
      <c r="CG46" s="430"/>
      <c r="CH46" s="430"/>
      <c r="CI46" s="430"/>
      <c r="CJ46" s="430"/>
      <c r="CK46" s="430"/>
      <c r="CL46" s="430"/>
      <c r="CM46" s="430"/>
      <c r="CN46" s="430"/>
      <c r="CO46" s="430"/>
      <c r="CP46" s="430"/>
      <c r="CQ46" s="430"/>
      <c r="CR46" s="430"/>
      <c r="CS46" s="430"/>
      <c r="CT46" s="430"/>
      <c r="CU46" s="430"/>
      <c r="CV46" s="430"/>
      <c r="CW46" s="430"/>
      <c r="CX46" s="430"/>
      <c r="CY46" s="430"/>
      <c r="CZ46" s="430"/>
      <c r="DA46" s="430"/>
      <c r="DB46" s="430"/>
      <c r="DC46" s="430"/>
      <c r="DD46" s="430"/>
      <c r="DE46" s="430"/>
      <c r="DF46" s="430"/>
      <c r="DG46" s="430"/>
      <c r="DH46" s="430"/>
      <c r="DI46" s="430"/>
      <c r="DJ46" s="430"/>
      <c r="DK46" s="430"/>
      <c r="DL46" s="430"/>
      <c r="DM46" s="430"/>
      <c r="DN46" s="430"/>
      <c r="DO46" s="430"/>
      <c r="DP46" s="430"/>
      <c r="DQ46" s="430"/>
      <c r="DR46" s="430"/>
      <c r="DS46" s="430"/>
      <c r="DT46" s="430"/>
      <c r="DU46" s="430"/>
      <c r="DV46" s="430"/>
      <c r="DW46" s="430"/>
      <c r="DX46" s="430"/>
      <c r="DY46" s="430"/>
      <c r="DZ46" s="430"/>
      <c r="EA46" s="430"/>
      <c r="EB46" s="430"/>
      <c r="EC46" s="430"/>
      <c r="ED46" s="430"/>
      <c r="EE46" s="430"/>
      <c r="EF46" s="430"/>
      <c r="EG46" s="430"/>
      <c r="EH46" s="430"/>
      <c r="EI46" s="430"/>
      <c r="EJ46" s="430"/>
      <c r="EK46" s="430"/>
      <c r="EL46" s="430"/>
      <c r="EM46" s="430"/>
      <c r="EN46" s="430"/>
      <c r="EO46" s="430"/>
      <c r="EP46" s="430"/>
      <c r="EQ46" s="430"/>
      <c r="ER46" s="430"/>
      <c r="ES46" s="430"/>
      <c r="ET46" s="430"/>
      <c r="EU46" s="430"/>
      <c r="EV46" s="430"/>
      <c r="EW46" s="430"/>
      <c r="EX46" s="430"/>
      <c r="EY46" s="430"/>
      <c r="EZ46" s="430"/>
      <c r="FA46" s="430"/>
      <c r="FB46" s="430"/>
      <c r="FC46" s="430"/>
      <c r="FD46" s="430"/>
      <c r="FE46" s="430"/>
      <c r="FF46" s="430"/>
      <c r="FG46" s="430"/>
      <c r="FH46" s="430"/>
      <c r="FI46" s="430"/>
      <c r="FJ46" s="430"/>
      <c r="FK46" s="430"/>
      <c r="FL46" s="430"/>
      <c r="FM46" s="430"/>
      <c r="FN46" s="430"/>
      <c r="FO46" s="430"/>
      <c r="FP46" s="430"/>
      <c r="FQ46" s="430"/>
      <c r="FR46" s="430"/>
      <c r="FS46" s="430"/>
      <c r="FT46" s="430"/>
      <c r="FU46" s="430"/>
      <c r="FV46" s="430"/>
      <c r="FW46" s="430"/>
      <c r="FX46" s="430"/>
      <c r="FY46" s="430"/>
      <c r="FZ46" s="430"/>
      <c r="GA46" s="430"/>
      <c r="GB46" s="430"/>
      <c r="GC46" s="430"/>
      <c r="GD46" s="430"/>
      <c r="GE46" s="430"/>
      <c r="GF46" s="430"/>
      <c r="GG46" s="430"/>
      <c r="GH46" s="430"/>
      <c r="GI46" s="430"/>
      <c r="GJ46" s="430"/>
      <c r="GK46" s="430"/>
      <c r="GL46" s="430"/>
      <c r="GM46" s="430"/>
      <c r="GN46" s="430"/>
      <c r="GO46" s="430"/>
      <c r="GP46" s="430"/>
      <c r="GQ46" s="430"/>
      <c r="GR46" s="430"/>
      <c r="GS46" s="430"/>
      <c r="GT46" s="430"/>
      <c r="GU46" s="430"/>
      <c r="GV46" s="430"/>
      <c r="GW46" s="430"/>
      <c r="GX46" s="430"/>
      <c r="GY46" s="430"/>
      <c r="GZ46" s="430"/>
      <c r="HA46" s="430"/>
      <c r="HB46" s="430"/>
      <c r="HC46" s="430"/>
      <c r="HD46" s="430"/>
      <c r="HE46" s="430"/>
      <c r="HF46" s="430"/>
      <c r="HG46" s="430"/>
      <c r="HH46" s="564"/>
      <c r="HI46" s="564"/>
      <c r="HJ46" s="564"/>
      <c r="HK46" s="564"/>
      <c r="HL46" s="564"/>
      <c r="HM46" s="564"/>
      <c r="HN46" s="564"/>
      <c r="HO46" s="430"/>
      <c r="HP46" s="430"/>
      <c r="HQ46" s="430"/>
      <c r="HR46" s="430"/>
      <c r="HS46" s="430"/>
      <c r="HT46" s="430"/>
      <c r="HU46" s="430"/>
      <c r="HV46" s="430"/>
      <c r="HW46" s="430"/>
      <c r="HX46" s="430"/>
      <c r="HY46" s="430"/>
      <c r="HZ46" s="430"/>
      <c r="IA46" s="430"/>
      <c r="IB46" s="430"/>
      <c r="IC46" s="430"/>
      <c r="ID46" s="430"/>
      <c r="IE46" s="430"/>
      <c r="IF46" s="430"/>
      <c r="IG46" s="430"/>
      <c r="IH46" s="430"/>
      <c r="II46" s="430"/>
      <c r="IJ46" s="430"/>
      <c r="IK46" s="430"/>
    </row>
    <row r="47" spans="1:245" s="86" customFormat="1" ht="25.5" customHeight="1">
      <c r="I47" s="584"/>
      <c r="J47" s="584"/>
      <c r="K47" s="584"/>
      <c r="L47" s="584"/>
      <c r="M47" s="584"/>
      <c r="N47" s="584"/>
      <c r="O47" s="583"/>
      <c r="P47" s="583"/>
      <c r="Q47" s="202"/>
      <c r="R47" s="202"/>
      <c r="S47" s="202"/>
      <c r="T47" s="202"/>
      <c r="U47" s="202"/>
      <c r="V47" s="585"/>
      <c r="W47" s="583"/>
      <c r="X47" s="583"/>
      <c r="Y47" s="583"/>
      <c r="Z47" s="583"/>
      <c r="AA47" s="583"/>
      <c r="AB47" s="583"/>
      <c r="AC47" s="583"/>
      <c r="AD47" s="583"/>
      <c r="AE47" s="583"/>
      <c r="AF47" s="583"/>
      <c r="AG47" s="583"/>
      <c r="AH47" s="583"/>
      <c r="AI47" s="583"/>
      <c r="AJ47" s="583"/>
      <c r="AK47" s="583"/>
      <c r="AL47" s="583"/>
      <c r="AM47" s="583"/>
      <c r="AN47" s="583"/>
      <c r="AO47" s="583"/>
      <c r="AP47" s="583"/>
      <c r="AQ47" s="583"/>
      <c r="AR47" s="583"/>
      <c r="AS47" s="583"/>
      <c r="AT47" s="583"/>
      <c r="AU47" s="583"/>
      <c r="AV47" s="583"/>
      <c r="AW47" s="583"/>
      <c r="AX47" s="583"/>
      <c r="AY47" s="583"/>
      <c r="AZ47" s="583"/>
      <c r="BA47" s="583"/>
      <c r="BB47" s="583"/>
      <c r="BC47" s="583"/>
      <c r="BD47" s="583"/>
      <c r="BE47" s="583"/>
      <c r="BF47" s="583"/>
      <c r="BG47" s="583"/>
      <c r="BH47" s="583"/>
      <c r="BI47" s="583"/>
      <c r="BJ47" s="583"/>
      <c r="BK47" s="583"/>
      <c r="BL47" s="583"/>
      <c r="BM47" s="583"/>
      <c r="BN47" s="583"/>
      <c r="BO47" s="583"/>
      <c r="BP47" s="583"/>
      <c r="BQ47" s="583"/>
      <c r="BR47" s="583"/>
      <c r="BS47" s="583"/>
      <c r="BT47" s="583"/>
      <c r="BU47" s="583"/>
      <c r="BV47" s="583"/>
      <c r="BW47" s="583"/>
      <c r="BX47" s="583"/>
      <c r="BY47" s="583"/>
      <c r="BZ47" s="583"/>
      <c r="CA47" s="583"/>
      <c r="CB47" s="583"/>
      <c r="CC47" s="583"/>
      <c r="CD47" s="583"/>
      <c r="CE47" s="583"/>
      <c r="CF47" s="583"/>
      <c r="CG47" s="583"/>
      <c r="CH47" s="583"/>
      <c r="CI47" s="583"/>
      <c r="CJ47" s="583"/>
      <c r="CK47" s="583"/>
      <c r="CL47" s="583"/>
      <c r="CM47" s="583"/>
      <c r="CN47" s="583"/>
      <c r="CO47" s="583"/>
      <c r="CP47" s="583"/>
      <c r="CQ47" s="583"/>
      <c r="CR47" s="583"/>
      <c r="CS47" s="583"/>
      <c r="CT47" s="583"/>
      <c r="CU47" s="583"/>
      <c r="CV47" s="583"/>
      <c r="CW47" s="583"/>
      <c r="CX47" s="583"/>
      <c r="CY47" s="583"/>
      <c r="CZ47" s="583"/>
      <c r="DA47" s="583"/>
      <c r="DB47" s="583"/>
      <c r="DC47" s="583"/>
      <c r="DD47" s="583"/>
      <c r="DE47" s="583"/>
      <c r="DF47" s="583"/>
      <c r="DG47" s="583"/>
      <c r="DH47" s="583"/>
      <c r="DI47" s="583"/>
      <c r="DJ47" s="583"/>
      <c r="DK47" s="583"/>
      <c r="DL47" s="583"/>
      <c r="DM47" s="583"/>
      <c r="DN47" s="583"/>
      <c r="DO47" s="583"/>
      <c r="DP47" s="583"/>
      <c r="DQ47" s="583"/>
      <c r="DR47" s="583"/>
      <c r="DS47" s="583"/>
      <c r="DT47" s="583"/>
      <c r="DU47" s="583"/>
      <c r="DV47" s="583"/>
      <c r="DW47" s="583"/>
      <c r="DX47" s="583"/>
      <c r="DY47" s="583"/>
      <c r="DZ47" s="583"/>
      <c r="EA47" s="583"/>
      <c r="EB47" s="583"/>
      <c r="EC47" s="583"/>
      <c r="ED47" s="583"/>
      <c r="EE47" s="583"/>
      <c r="EF47" s="583"/>
      <c r="EG47" s="583"/>
      <c r="EH47" s="583"/>
      <c r="EI47" s="583"/>
      <c r="EJ47" s="583"/>
      <c r="EK47" s="583"/>
      <c r="EL47" s="583"/>
      <c r="EM47" s="583"/>
      <c r="EN47" s="583"/>
      <c r="EO47" s="583"/>
      <c r="EP47" s="583"/>
      <c r="EQ47" s="583"/>
      <c r="ER47" s="583"/>
      <c r="ES47" s="583"/>
      <c r="ET47" s="583"/>
      <c r="EU47" s="583"/>
      <c r="EV47" s="583"/>
      <c r="EW47" s="583"/>
      <c r="EX47" s="583"/>
      <c r="EY47" s="583"/>
      <c r="EZ47" s="583"/>
      <c r="FA47" s="583"/>
      <c r="FB47" s="583"/>
      <c r="FC47" s="583"/>
      <c r="FD47" s="583"/>
      <c r="FE47" s="583"/>
      <c r="FF47" s="583"/>
      <c r="FG47" s="583"/>
      <c r="FH47" s="583"/>
      <c r="FI47" s="583"/>
      <c r="FJ47" s="583"/>
      <c r="FK47" s="583"/>
      <c r="FL47" s="583"/>
      <c r="FM47" s="583"/>
      <c r="FN47" s="583"/>
      <c r="FO47" s="583"/>
      <c r="FP47" s="583"/>
      <c r="FQ47" s="583"/>
      <c r="FR47" s="583"/>
      <c r="FS47" s="583"/>
      <c r="FT47" s="583"/>
      <c r="FU47" s="583"/>
      <c r="FV47" s="583"/>
      <c r="FW47" s="583"/>
      <c r="FX47" s="583"/>
      <c r="FY47" s="583"/>
      <c r="FZ47" s="583"/>
      <c r="GA47" s="583"/>
      <c r="GB47" s="583"/>
      <c r="GC47" s="583"/>
      <c r="GD47" s="583"/>
      <c r="GE47" s="583"/>
      <c r="GF47" s="583"/>
      <c r="GG47" s="583"/>
      <c r="GH47" s="583"/>
      <c r="GI47" s="583"/>
      <c r="GJ47" s="583"/>
      <c r="GK47" s="583"/>
      <c r="GL47" s="583"/>
      <c r="GM47" s="583"/>
      <c r="GN47" s="583"/>
      <c r="GO47" s="583"/>
      <c r="GP47" s="583"/>
      <c r="GQ47" s="583"/>
      <c r="GR47" s="583"/>
      <c r="GS47" s="583"/>
      <c r="GT47" s="583"/>
      <c r="GU47" s="583"/>
      <c r="GV47" s="583"/>
      <c r="GW47" s="583"/>
      <c r="GX47" s="583"/>
      <c r="GY47" s="583"/>
      <c r="GZ47" s="583"/>
      <c r="HA47" s="583"/>
      <c r="HB47" s="583"/>
      <c r="HC47" s="583"/>
      <c r="HD47" s="583"/>
      <c r="HE47" s="583"/>
      <c r="HF47" s="583"/>
      <c r="HG47" s="583"/>
      <c r="HH47" s="586"/>
      <c r="HI47" s="586"/>
      <c r="HJ47" s="586"/>
      <c r="HK47" s="586"/>
      <c r="HL47" s="586"/>
      <c r="HM47" s="586"/>
      <c r="HN47" s="586"/>
      <c r="HO47" s="583"/>
      <c r="HP47" s="583"/>
      <c r="HQ47" s="583"/>
      <c r="HR47" s="583"/>
      <c r="HS47" s="583"/>
      <c r="HT47" s="583"/>
      <c r="HU47" s="583"/>
      <c r="HV47" s="583"/>
      <c r="HW47" s="583"/>
      <c r="HX47" s="583"/>
      <c r="HY47" s="583"/>
      <c r="HZ47" s="583"/>
      <c r="IA47" s="583"/>
      <c r="IB47" s="583"/>
      <c r="IC47" s="583"/>
      <c r="ID47" s="583"/>
      <c r="IE47" s="583"/>
      <c r="IF47" s="583"/>
      <c r="IG47" s="583"/>
      <c r="IH47" s="583"/>
      <c r="II47" s="583"/>
      <c r="IJ47" s="583"/>
      <c r="IK47" s="583"/>
    </row>
    <row r="48" spans="1:245" s="86" customFormat="1" ht="15" customHeight="1">
      <c r="O48" s="584"/>
      <c r="P48" s="584"/>
      <c r="Q48" s="202"/>
      <c r="R48" s="202"/>
      <c r="S48" s="202"/>
      <c r="T48" s="202"/>
      <c r="U48" s="202"/>
      <c r="V48" s="587"/>
      <c r="W48" s="584"/>
      <c r="X48" s="584"/>
      <c r="Y48" s="584"/>
      <c r="Z48" s="584"/>
      <c r="AA48" s="584"/>
      <c r="AB48" s="584"/>
      <c r="AC48" s="584"/>
      <c r="AD48" s="584"/>
      <c r="AE48" s="584"/>
      <c r="AF48" s="584"/>
      <c r="AG48" s="584"/>
      <c r="AH48" s="584"/>
      <c r="AI48" s="584"/>
      <c r="AJ48" s="584"/>
      <c r="AK48" s="584"/>
      <c r="AL48" s="584"/>
      <c r="AM48" s="584"/>
      <c r="AN48" s="584"/>
      <c r="AO48" s="584"/>
      <c r="AP48" s="584"/>
      <c r="AQ48" s="584"/>
      <c r="AR48" s="584"/>
      <c r="AS48" s="584"/>
      <c r="AT48" s="584"/>
      <c r="AU48" s="584"/>
      <c r="AV48" s="584"/>
      <c r="AW48" s="584"/>
      <c r="AX48" s="584"/>
      <c r="AY48" s="584"/>
      <c r="AZ48" s="584"/>
      <c r="BA48" s="584"/>
      <c r="BB48" s="584"/>
      <c r="BC48" s="584"/>
      <c r="BD48" s="584"/>
      <c r="BE48" s="584"/>
      <c r="BF48" s="584"/>
      <c r="BG48" s="584"/>
      <c r="BH48" s="584"/>
      <c r="BI48" s="584"/>
      <c r="BJ48" s="584"/>
      <c r="BK48" s="584"/>
      <c r="BL48" s="584"/>
      <c r="BM48" s="584"/>
      <c r="BN48" s="584"/>
      <c r="BO48" s="584"/>
      <c r="BP48" s="584"/>
      <c r="BQ48" s="584"/>
      <c r="BR48" s="584"/>
      <c r="BS48" s="584"/>
      <c r="BT48" s="584"/>
      <c r="BU48" s="584"/>
      <c r="BV48" s="584"/>
      <c r="BW48" s="584"/>
      <c r="BX48" s="584"/>
      <c r="BY48" s="584"/>
      <c r="BZ48" s="584"/>
      <c r="CA48" s="584"/>
      <c r="CB48" s="584"/>
      <c r="CC48" s="584"/>
      <c r="CD48" s="584"/>
      <c r="CE48" s="584"/>
      <c r="CF48" s="584"/>
      <c r="CG48" s="584"/>
      <c r="CH48" s="584"/>
      <c r="CI48" s="584"/>
      <c r="CJ48" s="584"/>
      <c r="CK48" s="584"/>
      <c r="CL48" s="584"/>
      <c r="CM48" s="584"/>
      <c r="CN48" s="584"/>
      <c r="CO48" s="584"/>
      <c r="CP48" s="584"/>
      <c r="CQ48" s="584"/>
      <c r="CR48" s="584"/>
      <c r="CS48" s="584"/>
      <c r="CT48" s="584"/>
      <c r="CU48" s="584"/>
      <c r="CV48" s="584"/>
      <c r="CW48" s="584"/>
      <c r="CX48" s="584"/>
      <c r="CY48" s="584"/>
      <c r="CZ48" s="584"/>
      <c r="DA48" s="584"/>
      <c r="DB48" s="584"/>
      <c r="DC48" s="584"/>
      <c r="DD48" s="584"/>
      <c r="DE48" s="584"/>
      <c r="DF48" s="584"/>
      <c r="DG48" s="584"/>
      <c r="DH48" s="584"/>
      <c r="DI48" s="584"/>
      <c r="DJ48" s="584"/>
      <c r="DK48" s="584"/>
      <c r="DL48" s="584"/>
      <c r="DM48" s="584"/>
      <c r="DN48" s="584"/>
      <c r="DO48" s="584"/>
      <c r="DP48" s="584"/>
      <c r="DQ48" s="584"/>
      <c r="DR48" s="584"/>
      <c r="DS48" s="584"/>
      <c r="DT48" s="584"/>
      <c r="DU48" s="584"/>
      <c r="DV48" s="584"/>
      <c r="DW48" s="584"/>
      <c r="DX48" s="584"/>
      <c r="DY48" s="584"/>
      <c r="DZ48" s="584"/>
      <c r="EA48" s="584"/>
      <c r="EB48" s="584"/>
      <c r="EC48" s="584"/>
      <c r="ED48" s="584"/>
      <c r="EE48" s="584"/>
      <c r="EF48" s="584"/>
      <c r="EG48" s="584"/>
      <c r="EH48" s="584"/>
      <c r="EI48" s="584"/>
      <c r="EJ48" s="584"/>
      <c r="EK48" s="584"/>
      <c r="EL48" s="584"/>
      <c r="EM48" s="584"/>
      <c r="EN48" s="584"/>
      <c r="EO48" s="584"/>
      <c r="EP48" s="584"/>
      <c r="EQ48" s="584"/>
      <c r="ER48" s="584"/>
      <c r="ES48" s="584"/>
      <c r="ET48" s="584"/>
      <c r="EU48" s="584"/>
      <c r="EV48" s="584"/>
      <c r="EW48" s="584"/>
      <c r="EX48" s="584"/>
      <c r="EY48" s="584"/>
      <c r="EZ48" s="584"/>
      <c r="FA48" s="584"/>
      <c r="FB48" s="584"/>
      <c r="FC48" s="584"/>
      <c r="FD48" s="584"/>
      <c r="FE48" s="584"/>
      <c r="FF48" s="584"/>
      <c r="FG48" s="584"/>
      <c r="FH48" s="584"/>
      <c r="FI48" s="584"/>
      <c r="FJ48" s="584"/>
      <c r="FK48" s="584"/>
      <c r="FL48" s="584"/>
      <c r="FM48" s="584"/>
      <c r="FN48" s="584"/>
      <c r="FO48" s="584"/>
      <c r="FP48" s="584"/>
      <c r="FQ48" s="584"/>
      <c r="FR48" s="584"/>
      <c r="FS48" s="584"/>
      <c r="FT48" s="584"/>
      <c r="FU48" s="584"/>
      <c r="FV48" s="584"/>
      <c r="FW48" s="584"/>
      <c r="FX48" s="584"/>
      <c r="FY48" s="584"/>
      <c r="FZ48" s="584"/>
      <c r="GA48" s="584"/>
      <c r="GB48" s="584"/>
      <c r="GC48" s="584"/>
      <c r="GD48" s="584"/>
      <c r="GE48" s="584"/>
      <c r="GF48" s="584"/>
      <c r="GG48" s="584"/>
      <c r="GH48" s="584"/>
      <c r="GI48" s="584"/>
      <c r="GJ48" s="584"/>
      <c r="GK48" s="584"/>
      <c r="GL48" s="584"/>
      <c r="GM48" s="584"/>
      <c r="GN48" s="584"/>
      <c r="GO48" s="584"/>
      <c r="GP48" s="584"/>
      <c r="GQ48" s="584"/>
      <c r="GR48" s="584"/>
      <c r="GS48" s="584"/>
      <c r="GT48" s="584"/>
      <c r="GU48" s="584"/>
      <c r="GV48" s="584"/>
      <c r="GW48" s="584"/>
      <c r="GX48" s="584"/>
      <c r="GY48" s="584"/>
      <c r="GZ48" s="584"/>
      <c r="HA48" s="584"/>
      <c r="HB48" s="584"/>
      <c r="HC48" s="584"/>
      <c r="HD48" s="584"/>
      <c r="HE48" s="584"/>
      <c r="HF48" s="584"/>
      <c r="HG48" s="584"/>
      <c r="HH48" s="588"/>
      <c r="HI48" s="588"/>
      <c r="HJ48" s="588"/>
      <c r="HK48" s="588"/>
      <c r="HL48" s="588"/>
      <c r="HM48" s="588"/>
      <c r="HN48" s="588"/>
      <c r="HO48" s="584"/>
      <c r="HP48" s="584"/>
      <c r="HQ48" s="584"/>
      <c r="HR48" s="584"/>
      <c r="HS48" s="584"/>
      <c r="HT48" s="584"/>
      <c r="HU48" s="584"/>
      <c r="HV48" s="584"/>
      <c r="HW48" s="584"/>
      <c r="HX48" s="584"/>
      <c r="HY48" s="584"/>
      <c r="HZ48" s="584"/>
      <c r="IA48" s="584"/>
      <c r="IB48" s="584"/>
      <c r="IC48" s="584"/>
      <c r="ID48" s="584"/>
      <c r="IE48" s="584"/>
      <c r="IF48" s="584"/>
      <c r="IG48" s="584"/>
      <c r="IH48" s="584"/>
      <c r="II48" s="584"/>
      <c r="IJ48" s="584"/>
      <c r="IK48" s="584"/>
    </row>
    <row r="49" spans="1:245" s="86" customFormat="1">
      <c r="V49" s="589"/>
      <c r="HH49" s="197"/>
      <c r="HI49" s="197"/>
      <c r="HJ49" s="197"/>
      <c r="HK49" s="197"/>
      <c r="HL49" s="197"/>
      <c r="HM49" s="197"/>
      <c r="HN49" s="197"/>
    </row>
    <row r="50" spans="1:245" s="118" customFormat="1">
      <c r="O50" s="118" t="s">
        <v>397</v>
      </c>
      <c r="V50" s="590"/>
      <c r="BM50" s="118" t="s">
        <v>399</v>
      </c>
      <c r="BN50" s="86"/>
      <c r="BO50" s="86"/>
      <c r="BP50" s="86"/>
      <c r="BQ50" s="86"/>
      <c r="BR50" s="86"/>
      <c r="BS50" s="118" t="s">
        <v>399</v>
      </c>
      <c r="BT50" s="86"/>
      <c r="BU50" s="86"/>
      <c r="BV50" s="86"/>
      <c r="BW50" s="86"/>
      <c r="BX50" s="86"/>
      <c r="BY50" s="86"/>
      <c r="BZ50" s="86"/>
      <c r="CA50" s="86"/>
      <c r="CB50" s="86"/>
      <c r="CC50" s="86"/>
      <c r="CD50" s="86"/>
      <c r="CE50" s="86"/>
      <c r="CF50" s="86"/>
      <c r="CG50" s="86"/>
      <c r="CH50" s="86"/>
      <c r="CI50" s="86"/>
      <c r="CJ50" s="86"/>
      <c r="CK50" s="86"/>
      <c r="CL50" s="86"/>
      <c r="CM50" s="86"/>
      <c r="CN50" s="86"/>
      <c r="CO50" s="86"/>
      <c r="CP50" s="86"/>
      <c r="CQ50" s="86"/>
      <c r="CR50" s="86"/>
      <c r="CS50" s="86"/>
      <c r="CT50" s="86"/>
      <c r="CU50" s="86"/>
      <c r="CV50" s="86"/>
      <c r="CW50" s="86"/>
      <c r="CX50" s="86"/>
      <c r="CY50" s="86"/>
      <c r="CZ50" s="86"/>
      <c r="DA50" s="86"/>
      <c r="DB50" s="86"/>
      <c r="DC50" s="86"/>
      <c r="DD50" s="86"/>
      <c r="DE50" s="86"/>
      <c r="DF50" s="86"/>
      <c r="DG50" s="86"/>
      <c r="DH50" s="86"/>
      <c r="DI50" s="86"/>
      <c r="DJ50" s="86"/>
      <c r="DK50" s="86"/>
      <c r="DL50" s="86"/>
      <c r="DM50" s="86"/>
      <c r="DN50" s="86"/>
      <c r="DO50" s="86"/>
      <c r="DP50" s="86"/>
      <c r="DQ50" s="86"/>
      <c r="DR50" s="86"/>
      <c r="DS50" s="86"/>
      <c r="DT50" s="86"/>
      <c r="DU50" s="86"/>
      <c r="DV50" s="86"/>
      <c r="DW50" s="86"/>
      <c r="DX50" s="86"/>
      <c r="DY50" s="86"/>
      <c r="DZ50" s="86"/>
      <c r="EA50" s="86"/>
      <c r="EB50" s="86"/>
      <c r="EC50" s="86"/>
      <c r="ED50" s="86"/>
      <c r="EE50" s="86"/>
      <c r="EF50" s="86"/>
      <c r="EG50" s="86"/>
      <c r="EH50" s="86"/>
      <c r="EI50" s="86"/>
      <c r="EJ50" s="86"/>
      <c r="EK50" s="86"/>
      <c r="EL50" s="86"/>
      <c r="EM50" s="86"/>
      <c r="EN50" s="86"/>
      <c r="EO50" s="86"/>
      <c r="EP50" s="86"/>
      <c r="EQ50" s="86"/>
      <c r="ER50" s="86"/>
      <c r="ES50" s="86"/>
      <c r="ET50" s="86"/>
      <c r="EU50" s="86"/>
      <c r="EV50" s="86"/>
      <c r="EW50" s="86"/>
      <c r="EX50" s="86"/>
      <c r="EY50" s="86"/>
      <c r="EZ50" s="86"/>
      <c r="FA50" s="86"/>
      <c r="FB50" s="86"/>
      <c r="FC50" s="86"/>
      <c r="FD50" s="86"/>
      <c r="FE50" s="86"/>
      <c r="FF50" s="86"/>
      <c r="FG50" s="86"/>
      <c r="FH50" s="86"/>
      <c r="FI50" s="86"/>
      <c r="FJ50" s="86"/>
      <c r="FK50" s="86"/>
      <c r="FL50" s="86"/>
      <c r="FM50" s="86"/>
      <c r="FN50" s="86"/>
      <c r="FO50" s="86"/>
      <c r="FP50" s="86"/>
      <c r="FQ50" s="86"/>
      <c r="FR50" s="86"/>
      <c r="FS50" s="86"/>
      <c r="FT50" s="86"/>
      <c r="FU50" s="86"/>
      <c r="FV50" s="86"/>
      <c r="FW50" s="86"/>
      <c r="FX50" s="86"/>
      <c r="FY50" s="86"/>
      <c r="FZ50" s="86"/>
      <c r="GA50" s="86"/>
      <c r="GB50" s="86"/>
      <c r="GC50" s="86"/>
      <c r="GD50" s="86"/>
      <c r="GE50" s="86"/>
      <c r="GF50" s="86"/>
      <c r="GG50" s="86"/>
      <c r="GH50" s="86"/>
      <c r="GI50" s="86"/>
      <c r="GJ50" s="86"/>
      <c r="GK50" s="86"/>
      <c r="GL50" s="86"/>
      <c r="GM50" s="86"/>
      <c r="GN50" s="86"/>
      <c r="GO50" s="86"/>
      <c r="GP50" s="86"/>
      <c r="GQ50" s="86"/>
      <c r="GR50" s="86"/>
      <c r="GS50" s="86"/>
      <c r="GT50" s="86"/>
      <c r="GU50" s="86"/>
      <c r="GV50" s="86"/>
      <c r="GW50" s="86"/>
      <c r="GX50" s="86"/>
      <c r="GY50" s="86"/>
      <c r="GZ50" s="86"/>
      <c r="HA50" s="86"/>
      <c r="HB50" s="86"/>
      <c r="HC50" s="86"/>
      <c r="HD50" s="86"/>
      <c r="HE50" s="86"/>
      <c r="HF50" s="86"/>
      <c r="HG50" s="86"/>
      <c r="HH50" s="197"/>
      <c r="HI50" s="197"/>
      <c r="HJ50" s="197"/>
      <c r="HK50" s="197"/>
      <c r="HL50" s="197"/>
      <c r="HM50" s="197"/>
      <c r="HN50" s="197"/>
      <c r="HO50" s="86"/>
      <c r="HP50" s="86"/>
      <c r="HQ50" s="86"/>
      <c r="HR50" s="86"/>
      <c r="HS50" s="86"/>
      <c r="HT50" s="86"/>
      <c r="HU50" s="86"/>
      <c r="HV50" s="86"/>
      <c r="HW50" s="86"/>
      <c r="HX50" s="86"/>
      <c r="HY50" s="86"/>
      <c r="HZ50" s="86"/>
      <c r="IA50" s="86"/>
      <c r="IB50" s="86"/>
      <c r="IC50" s="86"/>
      <c r="ID50" s="86"/>
      <c r="IE50" s="86"/>
      <c r="IF50" s="86"/>
      <c r="IG50" s="86"/>
      <c r="IH50" s="86"/>
      <c r="II50" s="86"/>
      <c r="IJ50" s="86"/>
      <c r="IK50" s="86"/>
    </row>
    <row r="51" spans="1:245" s="118" customFormat="1" ht="25.5" customHeight="1">
      <c r="A51" s="118" t="s">
        <v>35</v>
      </c>
      <c r="O51" s="118">
        <v>90</v>
      </c>
      <c r="V51" s="590"/>
      <c r="BM51" s="118">
        <v>90</v>
      </c>
      <c r="BN51" s="86"/>
      <c r="BO51" s="86"/>
      <c r="BP51" s="86"/>
      <c r="BQ51" s="86"/>
      <c r="BR51" s="86"/>
      <c r="BS51" s="118">
        <v>90</v>
      </c>
      <c r="BT51" s="86"/>
      <c r="BU51" s="86"/>
      <c r="BV51" s="86"/>
      <c r="BW51" s="86"/>
      <c r="BX51" s="86"/>
      <c r="BY51" s="86"/>
      <c r="BZ51" s="86"/>
      <c r="CA51" s="86"/>
      <c r="CB51" s="86"/>
      <c r="CC51" s="86"/>
      <c r="CD51" s="86"/>
      <c r="CE51" s="86"/>
      <c r="CF51" s="86"/>
      <c r="CG51" s="86"/>
      <c r="CH51" s="86"/>
      <c r="CI51" s="86"/>
      <c r="CJ51" s="86"/>
      <c r="CK51" s="86"/>
      <c r="CL51" s="86"/>
      <c r="CM51" s="86"/>
      <c r="HH51" s="124"/>
      <c r="HI51" s="124"/>
      <c r="HJ51" s="124"/>
      <c r="HK51" s="124"/>
      <c r="HL51" s="124"/>
      <c r="HM51" s="124"/>
      <c r="HN51" s="124"/>
    </row>
    <row r="52" spans="1:245" s="118" customFormat="1">
      <c r="A52" s="118" t="s">
        <v>55</v>
      </c>
      <c r="B52" s="591">
        <f>L5</f>
        <v>158.6936055216614</v>
      </c>
      <c r="C52" s="591">
        <f>L6</f>
        <v>122.15371783165881</v>
      </c>
      <c r="D52" s="591">
        <f>L7</f>
        <v>125.39172601725146</v>
      </c>
      <c r="E52" s="591">
        <f>L8</f>
        <v>170.8645350090255</v>
      </c>
      <c r="F52" s="591">
        <f>L9</f>
        <v>291.42435485832726</v>
      </c>
      <c r="G52" s="591" t="e">
        <f>#REF!</f>
        <v>#REF!</v>
      </c>
      <c r="H52" s="591">
        <f>L10</f>
        <v>247.71874461010967</v>
      </c>
      <c r="I52" s="591">
        <f>L11</f>
        <v>197.562284851778</v>
      </c>
      <c r="J52" s="591">
        <f>L12</f>
        <v>191.26196544416521</v>
      </c>
      <c r="K52" s="591">
        <f>L13</f>
        <v>114.92226577369478</v>
      </c>
      <c r="L52" s="591">
        <f>L14</f>
        <v>168.51622743871559</v>
      </c>
      <c r="M52" s="591" t="e">
        <f>#REF!</f>
        <v>#REF!</v>
      </c>
      <c r="N52" s="591" t="e">
        <f>#REF!</f>
        <v>#REF!</v>
      </c>
      <c r="O52" s="591" t="e">
        <f>#REF!</f>
        <v>#REF!</v>
      </c>
      <c r="P52" s="591"/>
      <c r="Q52" s="591"/>
      <c r="R52" s="591"/>
      <c r="S52" s="591"/>
      <c r="T52" s="591"/>
      <c r="U52" s="591"/>
      <c r="V52" s="592"/>
      <c r="W52" s="591"/>
      <c r="X52" s="591"/>
      <c r="Y52" s="591"/>
      <c r="Z52" s="591"/>
      <c r="AA52" s="591"/>
      <c r="AB52" s="591"/>
      <c r="AC52" s="591"/>
      <c r="AD52" s="591"/>
      <c r="AE52" s="591"/>
      <c r="AF52" s="591"/>
      <c r="AG52" s="591"/>
      <c r="AH52" s="591"/>
      <c r="AI52" s="591"/>
      <c r="AJ52" s="591"/>
      <c r="AK52" s="591"/>
      <c r="AL52" s="591"/>
      <c r="AM52" s="591"/>
      <c r="AN52" s="591"/>
      <c r="AO52" s="591"/>
      <c r="AP52" s="591"/>
      <c r="AQ52" s="591"/>
      <c r="AR52" s="591"/>
      <c r="AS52" s="591"/>
      <c r="AT52" s="591"/>
      <c r="AU52" s="591"/>
      <c r="AV52" s="591"/>
      <c r="AW52" s="591"/>
      <c r="AX52" s="591"/>
      <c r="AY52" s="591"/>
      <c r="AZ52" s="591"/>
      <c r="BA52" s="591"/>
      <c r="BB52" s="591"/>
      <c r="BC52" s="591"/>
      <c r="BD52" s="591"/>
      <c r="BE52" s="591"/>
      <c r="BF52" s="591"/>
      <c r="BG52" s="591"/>
      <c r="BH52" s="591"/>
      <c r="BI52" s="591"/>
      <c r="BJ52" s="591"/>
      <c r="BK52" s="591"/>
      <c r="BL52" s="591"/>
      <c r="BM52" s="591" t="e">
        <f>#REF!</f>
        <v>#REF!</v>
      </c>
      <c r="BN52" s="86"/>
      <c r="BO52" s="86"/>
      <c r="BP52" s="86"/>
      <c r="BQ52" s="86"/>
      <c r="BR52" s="86"/>
      <c r="BS52" s="591" t="e">
        <f>#REF!</f>
        <v>#REF!</v>
      </c>
      <c r="BT52" s="86"/>
      <c r="BU52" s="86"/>
      <c r="BV52" s="86"/>
      <c r="BW52" s="86"/>
      <c r="BX52" s="86"/>
      <c r="BY52" s="86"/>
      <c r="BZ52" s="86"/>
      <c r="CA52" s="86"/>
      <c r="CB52" s="86"/>
      <c r="CC52" s="86"/>
      <c r="CD52" s="86"/>
      <c r="CE52" s="86"/>
      <c r="CF52" s="86"/>
      <c r="CG52" s="86"/>
      <c r="CH52" s="86"/>
      <c r="CI52" s="86"/>
      <c r="CJ52" s="86"/>
      <c r="CK52" s="86"/>
      <c r="CL52" s="86"/>
      <c r="CM52" s="86"/>
      <c r="HH52" s="124"/>
      <c r="HI52" s="124"/>
      <c r="HJ52" s="124"/>
      <c r="HK52" s="124"/>
      <c r="HL52" s="124"/>
      <c r="HM52" s="124"/>
      <c r="HN52" s="124"/>
    </row>
    <row r="53" spans="1:245" s="118" customFormat="1" ht="27.6">
      <c r="A53" s="118" t="s">
        <v>63</v>
      </c>
      <c r="B53" s="591">
        <f t="shared" ref="B53:N53" si="18">B52-B51</f>
        <v>158.6936055216614</v>
      </c>
      <c r="C53" s="591">
        <f t="shared" si="18"/>
        <v>122.15371783165881</v>
      </c>
      <c r="D53" s="591">
        <f t="shared" si="18"/>
        <v>125.39172601725146</v>
      </c>
      <c r="E53" s="591">
        <f t="shared" si="18"/>
        <v>170.8645350090255</v>
      </c>
      <c r="F53" s="591">
        <f t="shared" si="18"/>
        <v>291.42435485832726</v>
      </c>
      <c r="G53" s="591" t="e">
        <f t="shared" si="18"/>
        <v>#REF!</v>
      </c>
      <c r="H53" s="591">
        <f t="shared" si="18"/>
        <v>247.71874461010967</v>
      </c>
      <c r="I53" s="591">
        <f t="shared" si="18"/>
        <v>197.562284851778</v>
      </c>
      <c r="J53" s="591">
        <f t="shared" si="18"/>
        <v>191.26196544416521</v>
      </c>
      <c r="K53" s="591">
        <f t="shared" si="18"/>
        <v>114.92226577369478</v>
      </c>
      <c r="L53" s="591">
        <f t="shared" si="18"/>
        <v>168.51622743871559</v>
      </c>
      <c r="M53" s="591" t="e">
        <f t="shared" si="18"/>
        <v>#REF!</v>
      </c>
      <c r="N53" s="591" t="e">
        <f t="shared" si="18"/>
        <v>#REF!</v>
      </c>
      <c r="O53" s="591" t="e">
        <f>O52-O51</f>
        <v>#REF!</v>
      </c>
      <c r="P53" s="591"/>
      <c r="Q53" s="591"/>
      <c r="R53" s="591"/>
      <c r="S53" s="591"/>
      <c r="T53" s="591"/>
      <c r="U53" s="591"/>
      <c r="V53" s="592"/>
      <c r="W53" s="591"/>
      <c r="X53" s="591"/>
      <c r="Y53" s="591"/>
      <c r="Z53" s="591"/>
      <c r="AA53" s="591"/>
      <c r="AB53" s="591"/>
      <c r="AC53" s="591"/>
      <c r="AD53" s="591"/>
      <c r="AE53" s="591"/>
      <c r="AF53" s="591"/>
      <c r="AG53" s="591"/>
      <c r="AH53" s="591"/>
      <c r="AI53" s="591"/>
      <c r="AJ53" s="591"/>
      <c r="AK53" s="591"/>
      <c r="AL53" s="591"/>
      <c r="AM53" s="591"/>
      <c r="AN53" s="591"/>
      <c r="AO53" s="591"/>
      <c r="AP53" s="591"/>
      <c r="AQ53" s="591"/>
      <c r="AR53" s="591"/>
      <c r="AS53" s="591"/>
      <c r="AT53" s="591"/>
      <c r="AU53" s="591"/>
      <c r="AV53" s="591"/>
      <c r="AW53" s="591"/>
      <c r="AX53" s="591"/>
      <c r="AY53" s="591"/>
      <c r="AZ53" s="591"/>
      <c r="BA53" s="591"/>
      <c r="BB53" s="591"/>
      <c r="BC53" s="591"/>
      <c r="BD53" s="591"/>
      <c r="BE53" s="591"/>
      <c r="BF53" s="591"/>
      <c r="BG53" s="591"/>
      <c r="BH53" s="591"/>
      <c r="BI53" s="591"/>
      <c r="BJ53" s="591"/>
      <c r="BK53" s="591"/>
      <c r="BL53" s="591"/>
      <c r="BM53" s="591" t="e">
        <f>BM52-BM51</f>
        <v>#REF!</v>
      </c>
      <c r="BN53" s="86"/>
      <c r="BO53" s="86"/>
      <c r="BP53" s="86"/>
      <c r="BQ53" s="86"/>
      <c r="BR53" s="86"/>
      <c r="BS53" s="591" t="e">
        <f>BS52-BS51</f>
        <v>#REF!</v>
      </c>
      <c r="BT53" s="86"/>
      <c r="BU53" s="86"/>
      <c r="BV53" s="86"/>
      <c r="BW53" s="86"/>
      <c r="BX53" s="86"/>
      <c r="BY53" s="86"/>
      <c r="BZ53" s="86"/>
      <c r="CA53" s="86"/>
      <c r="CB53" s="86"/>
      <c r="CC53" s="86"/>
      <c r="CD53" s="86"/>
      <c r="CE53" s="86"/>
      <c r="CF53" s="86"/>
      <c r="CG53" s="86"/>
      <c r="CH53" s="86"/>
      <c r="CI53" s="86"/>
      <c r="CJ53" s="86"/>
      <c r="CK53" s="86"/>
      <c r="CL53" s="86"/>
      <c r="CM53" s="86"/>
      <c r="HH53" s="124"/>
      <c r="HI53" s="124"/>
      <c r="HJ53" s="124"/>
      <c r="HK53" s="124"/>
      <c r="HL53" s="124"/>
      <c r="HM53" s="124"/>
      <c r="HN53" s="124"/>
    </row>
    <row r="54" spans="1:245" s="86" customFormat="1" ht="15" customHeight="1">
      <c r="V54" s="589"/>
      <c r="CN54" s="118"/>
      <c r="CO54" s="118"/>
      <c r="CP54" s="118"/>
      <c r="CQ54" s="118"/>
      <c r="CR54" s="118"/>
      <c r="CS54" s="118"/>
      <c r="CT54" s="118"/>
      <c r="CU54" s="118"/>
      <c r="CV54" s="118"/>
      <c r="CW54" s="118"/>
      <c r="CX54" s="118"/>
      <c r="CY54" s="118"/>
      <c r="CZ54" s="118"/>
      <c r="DA54" s="118"/>
      <c r="DB54" s="118"/>
      <c r="DC54" s="118"/>
      <c r="DD54" s="118"/>
      <c r="DE54" s="118"/>
      <c r="DF54" s="118"/>
      <c r="DG54" s="118"/>
      <c r="DH54" s="118"/>
      <c r="DI54" s="118"/>
      <c r="DJ54" s="118"/>
      <c r="DK54" s="118"/>
      <c r="DL54" s="118"/>
      <c r="DM54" s="118"/>
      <c r="DN54" s="118"/>
      <c r="DO54" s="118"/>
      <c r="DP54" s="118"/>
      <c r="DQ54" s="118"/>
      <c r="DR54" s="118"/>
      <c r="DS54" s="118"/>
      <c r="DT54" s="118"/>
      <c r="DU54" s="118"/>
      <c r="DV54" s="118"/>
      <c r="DW54" s="118"/>
      <c r="DX54" s="118"/>
      <c r="DY54" s="118"/>
      <c r="DZ54" s="118"/>
      <c r="EA54" s="118"/>
      <c r="EB54" s="118"/>
      <c r="EC54" s="118"/>
      <c r="ED54" s="118"/>
      <c r="EE54" s="118"/>
      <c r="EF54" s="118"/>
      <c r="EG54" s="118"/>
      <c r="EH54" s="118"/>
      <c r="EI54" s="118"/>
      <c r="EJ54" s="118"/>
      <c r="EK54" s="118"/>
      <c r="EL54" s="118"/>
      <c r="EM54" s="118"/>
      <c r="EN54" s="118"/>
      <c r="EO54" s="118"/>
      <c r="EP54" s="118"/>
      <c r="EQ54" s="118"/>
      <c r="ER54" s="118"/>
      <c r="ES54" s="118"/>
      <c r="ET54" s="118"/>
      <c r="EU54" s="118"/>
      <c r="EV54" s="118"/>
      <c r="EW54" s="118"/>
      <c r="EX54" s="118"/>
      <c r="EY54" s="118"/>
      <c r="EZ54" s="118"/>
      <c r="FA54" s="118"/>
      <c r="FB54" s="118"/>
      <c r="FC54" s="118"/>
      <c r="FD54" s="118"/>
      <c r="FE54" s="118"/>
      <c r="FF54" s="118"/>
      <c r="FG54" s="118"/>
      <c r="FH54" s="118"/>
      <c r="FI54" s="118"/>
      <c r="FJ54" s="118"/>
      <c r="FK54" s="118"/>
      <c r="FL54" s="118"/>
      <c r="FM54" s="118"/>
      <c r="FN54" s="118"/>
      <c r="FO54" s="118"/>
      <c r="FP54" s="118"/>
      <c r="FQ54" s="118"/>
      <c r="FR54" s="118"/>
      <c r="FS54" s="118"/>
      <c r="FT54" s="118"/>
      <c r="FU54" s="118"/>
      <c r="FV54" s="118"/>
      <c r="FW54" s="118"/>
      <c r="FX54" s="118"/>
      <c r="FY54" s="118"/>
      <c r="FZ54" s="118"/>
      <c r="GA54" s="118"/>
      <c r="GB54" s="118"/>
      <c r="GC54" s="118"/>
      <c r="GD54" s="118"/>
      <c r="GE54" s="118"/>
      <c r="GF54" s="118"/>
      <c r="GG54" s="118"/>
      <c r="GH54" s="118"/>
      <c r="GI54" s="118"/>
      <c r="GJ54" s="118"/>
      <c r="GK54" s="118"/>
      <c r="GL54" s="118"/>
      <c r="GM54" s="118"/>
      <c r="GN54" s="118"/>
      <c r="GO54" s="118"/>
      <c r="GP54" s="118"/>
      <c r="GQ54" s="118"/>
      <c r="GR54" s="118"/>
      <c r="GS54" s="118"/>
      <c r="GT54" s="118"/>
      <c r="GU54" s="118"/>
      <c r="GV54" s="118"/>
      <c r="GW54" s="118"/>
      <c r="GX54" s="118"/>
      <c r="GY54" s="118"/>
      <c r="GZ54" s="118"/>
      <c r="HA54" s="118"/>
      <c r="HB54" s="118"/>
      <c r="HC54" s="118"/>
      <c r="HD54" s="118"/>
      <c r="HE54" s="118"/>
      <c r="HF54" s="118"/>
      <c r="HG54" s="118"/>
      <c r="HH54" s="124"/>
      <c r="HI54" s="124"/>
      <c r="HJ54" s="124"/>
      <c r="HK54" s="124"/>
      <c r="HL54" s="124"/>
      <c r="HM54" s="124"/>
      <c r="HN54" s="124"/>
      <c r="HO54" s="118"/>
      <c r="HP54" s="118"/>
      <c r="HQ54" s="118"/>
      <c r="HR54" s="118"/>
      <c r="HS54" s="118"/>
      <c r="HT54" s="118"/>
      <c r="HU54" s="118"/>
      <c r="HV54" s="118"/>
      <c r="HW54" s="118"/>
      <c r="HX54" s="118"/>
      <c r="HY54" s="118"/>
      <c r="HZ54" s="118"/>
      <c r="IA54" s="118"/>
      <c r="IB54" s="118"/>
      <c r="IC54" s="118"/>
      <c r="ID54" s="118"/>
      <c r="IE54" s="118"/>
      <c r="IF54" s="118"/>
      <c r="IG54" s="118"/>
      <c r="IH54" s="118"/>
      <c r="II54" s="118"/>
      <c r="IJ54" s="118"/>
      <c r="IK54" s="118"/>
    </row>
    <row r="55" spans="1:245" s="118" customFormat="1">
      <c r="A55" s="86"/>
      <c r="B55" s="86"/>
      <c r="C55" s="86"/>
      <c r="D55" s="86"/>
      <c r="E55" s="86"/>
      <c r="F55" s="86"/>
      <c r="G55" s="86"/>
      <c r="H55" s="86"/>
      <c r="I55" s="86"/>
      <c r="J55" s="86"/>
      <c r="K55" s="86"/>
      <c r="L55" s="86"/>
      <c r="M55" s="86"/>
      <c r="N55" s="86"/>
      <c r="O55" s="86"/>
      <c r="P55" s="86"/>
      <c r="Q55" s="86"/>
      <c r="R55" s="86"/>
      <c r="S55" s="86"/>
      <c r="T55" s="86"/>
      <c r="U55" s="86"/>
      <c r="V55" s="589"/>
      <c r="W55" s="86"/>
      <c r="X55" s="86"/>
      <c r="Y55" s="86"/>
      <c r="Z55" s="86"/>
      <c r="AA55" s="86"/>
      <c r="AB55" s="86"/>
      <c r="AC55" s="86"/>
      <c r="AD55" s="86"/>
      <c r="AE55" s="86"/>
      <c r="AF55" s="86"/>
      <c r="AG55" s="86"/>
      <c r="AH55" s="86"/>
      <c r="AI55" s="86"/>
      <c r="AJ55" s="86"/>
      <c r="AK55" s="86"/>
      <c r="AL55" s="86"/>
      <c r="AM55" s="86"/>
      <c r="AN55" s="86"/>
      <c r="AO55" s="86"/>
      <c r="AP55" s="86"/>
      <c r="AQ55" s="86"/>
      <c r="AR55" s="86"/>
      <c r="AS55" s="86"/>
      <c r="AT55" s="86"/>
      <c r="AU55" s="86"/>
      <c r="AV55" s="86"/>
      <c r="AW55" s="86"/>
      <c r="AX55" s="86"/>
      <c r="AY55" s="86"/>
      <c r="AZ55" s="86"/>
      <c r="BA55" s="86"/>
      <c r="BB55" s="86"/>
      <c r="BC55" s="86"/>
      <c r="BD55" s="86"/>
      <c r="BE55" s="86"/>
      <c r="BF55" s="86"/>
      <c r="BG55" s="86"/>
      <c r="BH55" s="86"/>
      <c r="BI55" s="86"/>
      <c r="BJ55" s="86"/>
      <c r="BK55" s="86"/>
      <c r="BL55" s="86"/>
      <c r="BM55" s="86"/>
      <c r="BN55" s="86"/>
      <c r="BO55" s="86"/>
      <c r="BP55" s="86"/>
      <c r="BQ55" s="86"/>
      <c r="BR55" s="86"/>
      <c r="BS55" s="86"/>
      <c r="BT55" s="86"/>
      <c r="BU55" s="86"/>
      <c r="BV55" s="86"/>
      <c r="BW55" s="86"/>
      <c r="BX55" s="86"/>
      <c r="BY55" s="86"/>
      <c r="BZ55" s="86"/>
      <c r="CA55" s="86"/>
      <c r="CB55" s="86"/>
      <c r="CC55" s="86"/>
      <c r="CD55" s="86"/>
      <c r="CE55" s="86"/>
      <c r="CF55" s="86"/>
      <c r="CG55" s="86"/>
      <c r="CH55" s="86"/>
      <c r="CI55" s="86"/>
      <c r="CJ55" s="86"/>
      <c r="CK55" s="86"/>
      <c r="CL55" s="86"/>
      <c r="CM55" s="86"/>
      <c r="CN55" s="86"/>
      <c r="CO55" s="86"/>
      <c r="CP55" s="86"/>
      <c r="CQ55" s="86"/>
      <c r="CR55" s="86"/>
      <c r="CS55" s="86"/>
      <c r="CT55" s="86"/>
      <c r="CU55" s="86"/>
      <c r="CV55" s="86"/>
      <c r="CW55" s="86"/>
      <c r="CX55" s="86"/>
      <c r="CY55" s="86"/>
      <c r="CZ55" s="86"/>
      <c r="DA55" s="86"/>
      <c r="DB55" s="86"/>
      <c r="DC55" s="86"/>
      <c r="DD55" s="86"/>
      <c r="DE55" s="86"/>
      <c r="DF55" s="86"/>
      <c r="DG55" s="86"/>
      <c r="DH55" s="86"/>
      <c r="DI55" s="86"/>
      <c r="DJ55" s="86"/>
      <c r="DK55" s="86"/>
      <c r="DL55" s="86"/>
      <c r="DM55" s="86"/>
      <c r="DN55" s="86"/>
      <c r="DO55" s="86"/>
      <c r="DP55" s="86"/>
      <c r="DQ55" s="86"/>
      <c r="DR55" s="86"/>
      <c r="DS55" s="86"/>
      <c r="DT55" s="86"/>
      <c r="DU55" s="86"/>
      <c r="DV55" s="86"/>
      <c r="DW55" s="86"/>
      <c r="DX55" s="86"/>
      <c r="DY55" s="86"/>
      <c r="DZ55" s="86"/>
      <c r="EA55" s="86"/>
      <c r="EB55" s="86"/>
      <c r="EC55" s="86"/>
      <c r="ED55" s="86"/>
      <c r="EE55" s="86"/>
      <c r="EF55" s="86"/>
      <c r="EG55" s="86"/>
      <c r="EH55" s="86"/>
      <c r="EI55" s="86"/>
      <c r="EJ55" s="86"/>
      <c r="EK55" s="86"/>
      <c r="EL55" s="86"/>
      <c r="EM55" s="86"/>
      <c r="EN55" s="86"/>
      <c r="EO55" s="86"/>
      <c r="EP55" s="86"/>
      <c r="EQ55" s="86"/>
      <c r="ER55" s="86"/>
      <c r="ES55" s="86"/>
      <c r="ET55" s="86"/>
      <c r="EU55" s="86"/>
      <c r="EV55" s="86"/>
      <c r="EW55" s="86"/>
      <c r="EX55" s="86"/>
      <c r="EY55" s="86"/>
      <c r="EZ55" s="86"/>
      <c r="FA55" s="86"/>
      <c r="FB55" s="86"/>
      <c r="FC55" s="86"/>
      <c r="FD55" s="86"/>
      <c r="FE55" s="86"/>
      <c r="FF55" s="86"/>
      <c r="FG55" s="86"/>
      <c r="FH55" s="86"/>
      <c r="FI55" s="86"/>
      <c r="FJ55" s="86"/>
      <c r="FK55" s="86"/>
      <c r="FL55" s="86"/>
      <c r="FM55" s="86"/>
      <c r="FN55" s="86"/>
      <c r="FO55" s="86"/>
      <c r="FP55" s="86"/>
      <c r="FQ55" s="86"/>
      <c r="FR55" s="86"/>
      <c r="FS55" s="86"/>
      <c r="FT55" s="86"/>
      <c r="FU55" s="86"/>
      <c r="FV55" s="86"/>
      <c r="FW55" s="86"/>
      <c r="FX55" s="86"/>
      <c r="FY55" s="86"/>
      <c r="FZ55" s="86"/>
      <c r="GA55" s="86"/>
      <c r="GB55" s="86"/>
      <c r="GC55" s="86"/>
      <c r="GD55" s="86"/>
      <c r="GE55" s="86"/>
      <c r="GF55" s="86"/>
      <c r="GG55" s="86"/>
      <c r="GH55" s="86"/>
      <c r="GI55" s="86"/>
      <c r="GJ55" s="86"/>
      <c r="GK55" s="86"/>
      <c r="GL55" s="86"/>
      <c r="GM55" s="86"/>
      <c r="GN55" s="86"/>
      <c r="GO55" s="86"/>
      <c r="GP55" s="86"/>
      <c r="GQ55" s="86"/>
      <c r="GR55" s="86"/>
      <c r="GS55" s="86"/>
      <c r="GT55" s="86"/>
      <c r="GU55" s="86"/>
      <c r="GV55" s="86"/>
      <c r="GW55" s="86"/>
      <c r="GX55" s="86"/>
      <c r="GY55" s="86"/>
      <c r="GZ55" s="86"/>
      <c r="HA55" s="86"/>
      <c r="HB55" s="86"/>
      <c r="HC55" s="86"/>
      <c r="HD55" s="86"/>
      <c r="HE55" s="86"/>
      <c r="HF55" s="86"/>
      <c r="HG55" s="86"/>
      <c r="HH55" s="197"/>
      <c r="HI55" s="197"/>
      <c r="HJ55" s="197"/>
      <c r="HK55" s="197"/>
      <c r="HL55" s="197"/>
      <c r="HM55" s="197"/>
      <c r="HN55" s="197"/>
      <c r="HO55" s="86"/>
      <c r="HP55" s="86"/>
      <c r="HQ55" s="86"/>
      <c r="HR55" s="86"/>
      <c r="HS55" s="86"/>
      <c r="HT55" s="86"/>
      <c r="HU55" s="86"/>
      <c r="HV55" s="86"/>
      <c r="HW55" s="86"/>
      <c r="HX55" s="86"/>
      <c r="HY55" s="86"/>
      <c r="HZ55" s="86"/>
      <c r="IA55" s="86"/>
      <c r="IB55" s="86"/>
      <c r="IC55" s="86"/>
      <c r="ID55" s="86"/>
      <c r="IE55" s="86"/>
      <c r="IF55" s="86"/>
      <c r="IG55" s="86"/>
      <c r="IH55" s="86"/>
      <c r="II55" s="86"/>
      <c r="IJ55" s="86"/>
      <c r="IK55" s="86"/>
    </row>
    <row r="56" spans="1:245" s="118" customFormat="1">
      <c r="A56" s="86"/>
      <c r="B56" s="86"/>
      <c r="C56" s="86"/>
      <c r="D56" s="86"/>
      <c r="E56" s="86"/>
      <c r="F56" s="86"/>
      <c r="G56" s="86"/>
      <c r="H56" s="86"/>
      <c r="I56" s="86"/>
      <c r="J56" s="86"/>
      <c r="K56" s="86"/>
      <c r="L56" s="86"/>
      <c r="M56" s="86"/>
      <c r="N56" s="86"/>
      <c r="O56" s="86"/>
      <c r="P56" s="86"/>
      <c r="Q56" s="86"/>
      <c r="R56" s="86"/>
      <c r="S56" s="86"/>
      <c r="T56" s="86"/>
      <c r="U56" s="86"/>
      <c r="V56" s="589"/>
      <c r="W56" s="86"/>
      <c r="X56" s="86"/>
      <c r="Y56" s="86"/>
      <c r="Z56" s="86"/>
      <c r="AA56" s="86"/>
      <c r="AB56" s="86"/>
      <c r="AC56" s="86"/>
      <c r="AD56" s="86"/>
      <c r="AE56" s="86"/>
      <c r="AF56" s="86"/>
      <c r="AG56" s="86"/>
      <c r="AH56" s="86"/>
      <c r="AI56" s="86"/>
      <c r="AJ56" s="86"/>
      <c r="AK56" s="86"/>
      <c r="AL56" s="86"/>
      <c r="AM56" s="86"/>
      <c r="AN56" s="86"/>
      <c r="AO56" s="86"/>
      <c r="AP56" s="86"/>
      <c r="AQ56" s="86"/>
      <c r="AR56" s="86"/>
      <c r="AS56" s="86"/>
      <c r="AT56" s="86"/>
      <c r="AU56" s="86"/>
      <c r="AV56" s="86"/>
      <c r="AW56" s="86"/>
      <c r="AX56" s="86"/>
      <c r="AY56" s="86"/>
      <c r="AZ56" s="86"/>
      <c r="BA56" s="86"/>
      <c r="BB56" s="86"/>
      <c r="BC56" s="86"/>
      <c r="BD56" s="86"/>
      <c r="BE56" s="86"/>
      <c r="BF56" s="86"/>
      <c r="BG56" s="86"/>
      <c r="BH56" s="86"/>
      <c r="BI56" s="86"/>
      <c r="BJ56" s="86"/>
      <c r="BK56" s="86"/>
      <c r="BL56" s="86"/>
      <c r="BM56" s="86"/>
      <c r="BN56" s="86"/>
      <c r="BO56" s="86"/>
      <c r="BP56" s="86"/>
      <c r="BQ56" s="86"/>
      <c r="BR56" s="86"/>
      <c r="BS56" s="86"/>
      <c r="BT56" s="86"/>
      <c r="BU56" s="86"/>
      <c r="BV56" s="86"/>
      <c r="BW56" s="86"/>
      <c r="BX56" s="86"/>
      <c r="BY56" s="86"/>
      <c r="BZ56" s="86"/>
      <c r="CA56" s="86"/>
      <c r="CB56" s="86"/>
      <c r="CC56" s="86"/>
      <c r="CD56" s="86"/>
      <c r="CE56" s="86"/>
      <c r="CF56" s="86"/>
      <c r="CG56" s="86"/>
      <c r="CH56" s="86"/>
      <c r="CI56" s="86"/>
      <c r="CJ56" s="86"/>
      <c r="CK56" s="86"/>
      <c r="CL56" s="86"/>
      <c r="CM56" s="86"/>
      <c r="HH56" s="124"/>
      <c r="HI56" s="124"/>
      <c r="HJ56" s="124"/>
      <c r="HK56" s="124"/>
      <c r="HL56" s="124"/>
      <c r="HM56" s="124"/>
      <c r="HN56" s="124"/>
    </row>
    <row r="57" spans="1:245" ht="30.75" customHeight="1">
      <c r="N57" s="593"/>
      <c r="O57" s="203"/>
      <c r="P57" s="203"/>
      <c r="Q57" s="203"/>
      <c r="R57" s="203"/>
      <c r="S57" s="203"/>
      <c r="T57" s="203"/>
      <c r="U57" s="203"/>
      <c r="V57" s="594"/>
      <c r="W57" s="203"/>
      <c r="X57" s="203"/>
      <c r="Y57" s="203"/>
      <c r="Z57" s="203"/>
      <c r="AA57" s="203"/>
      <c r="AB57" s="203"/>
      <c r="AC57" s="203"/>
      <c r="AD57" s="203"/>
      <c r="AE57" s="203"/>
      <c r="AF57" s="203"/>
      <c r="AG57" s="203"/>
      <c r="AH57" s="203"/>
      <c r="AI57" s="203"/>
      <c r="AJ57" s="203"/>
      <c r="AK57" s="203"/>
      <c r="AL57" s="203"/>
      <c r="AM57" s="203"/>
      <c r="AN57" s="203"/>
      <c r="AO57" s="203"/>
      <c r="AP57" s="203"/>
      <c r="AQ57" s="203"/>
      <c r="AR57" s="203"/>
      <c r="AS57" s="203"/>
      <c r="AT57" s="203"/>
      <c r="AU57" s="203"/>
      <c r="AV57" s="203"/>
      <c r="AW57" s="203"/>
      <c r="AX57" s="203"/>
      <c r="AY57" s="203"/>
      <c r="AZ57" s="203"/>
      <c r="BA57" s="203"/>
      <c r="BB57" s="203"/>
      <c r="BC57" s="203"/>
      <c r="BD57" s="203"/>
      <c r="BE57" s="203"/>
      <c r="BF57" s="203"/>
      <c r="BG57" s="203"/>
      <c r="BH57" s="203"/>
      <c r="BI57" s="203"/>
      <c r="BJ57" s="203"/>
      <c r="BK57" s="203"/>
      <c r="BL57" s="203"/>
      <c r="BM57" s="203"/>
      <c r="BN57" s="203"/>
      <c r="BO57" s="203"/>
      <c r="BP57" s="203"/>
      <c r="BQ57" s="203"/>
      <c r="BR57" s="203"/>
      <c r="BS57" s="203"/>
      <c r="BT57" s="203"/>
      <c r="BU57" s="203"/>
      <c r="BV57" s="203"/>
      <c r="BW57" s="203"/>
      <c r="BX57" s="203"/>
      <c r="BY57" s="203"/>
      <c r="BZ57" s="203"/>
      <c r="CA57" s="203"/>
      <c r="CB57" s="203"/>
      <c r="CC57" s="203"/>
      <c r="CD57" s="203"/>
      <c r="CE57" s="203"/>
      <c r="CF57" s="203"/>
      <c r="CG57" s="203"/>
      <c r="CH57" s="203"/>
      <c r="CI57" s="203"/>
      <c r="CJ57" s="203"/>
      <c r="CK57" s="203"/>
      <c r="CL57" s="203"/>
      <c r="CM57" s="203"/>
      <c r="CN57" s="203"/>
      <c r="CO57" s="203"/>
      <c r="CP57" s="203"/>
      <c r="CQ57" s="203"/>
      <c r="CR57" s="203"/>
      <c r="CS57" s="203"/>
      <c r="CT57" s="203"/>
      <c r="CU57" s="203"/>
      <c r="CV57" s="203"/>
      <c r="CW57" s="203"/>
      <c r="CX57" s="203"/>
      <c r="CY57" s="203"/>
      <c r="CZ57" s="203"/>
      <c r="DA57" s="203"/>
      <c r="DB57" s="203"/>
      <c r="DC57" s="203"/>
      <c r="DD57" s="203"/>
      <c r="DE57" s="203"/>
      <c r="DF57" s="203"/>
      <c r="DG57" s="203"/>
      <c r="DH57" s="203"/>
      <c r="DI57" s="203"/>
      <c r="DJ57" s="203"/>
      <c r="DK57" s="203"/>
      <c r="DL57" s="203"/>
      <c r="DM57" s="203"/>
      <c r="DN57" s="203"/>
      <c r="DO57" s="203"/>
      <c r="DP57" s="203"/>
      <c r="DQ57" s="203"/>
      <c r="DR57" s="203"/>
      <c r="DS57" s="203"/>
      <c r="DT57" s="203"/>
      <c r="DU57" s="203"/>
      <c r="DV57" s="203"/>
      <c r="DW57" s="203"/>
      <c r="DX57" s="203"/>
      <c r="DY57" s="203"/>
      <c r="DZ57" s="203"/>
      <c r="EA57" s="203"/>
      <c r="EB57" s="203"/>
      <c r="EC57" s="203"/>
      <c r="ED57" s="203"/>
      <c r="EE57" s="203"/>
      <c r="EF57" s="203"/>
      <c r="EG57" s="203"/>
      <c r="EH57" s="203"/>
      <c r="EI57" s="203"/>
      <c r="EJ57" s="203"/>
      <c r="EK57" s="203"/>
      <c r="EL57" s="203"/>
      <c r="EM57" s="203"/>
      <c r="EN57" s="203"/>
      <c r="EO57" s="203"/>
      <c r="EP57" s="203"/>
      <c r="EQ57" s="203"/>
      <c r="ER57" s="203"/>
      <c r="ES57" s="203"/>
      <c r="ET57" s="203"/>
      <c r="EU57" s="203"/>
      <c r="EV57" s="203"/>
      <c r="EW57" s="203"/>
      <c r="EX57" s="203"/>
      <c r="EY57" s="203"/>
      <c r="EZ57" s="203"/>
      <c r="FA57" s="203"/>
      <c r="FB57" s="203"/>
      <c r="FC57" s="203"/>
      <c r="FD57" s="203"/>
      <c r="FE57" s="203"/>
      <c r="FF57" s="203"/>
      <c r="FG57" s="203"/>
      <c r="FH57" s="203"/>
      <c r="FI57" s="203"/>
      <c r="FJ57" s="203"/>
      <c r="FK57" s="203"/>
      <c r="FL57" s="203"/>
      <c r="FM57" s="203"/>
      <c r="FN57" s="203"/>
      <c r="FO57" s="203"/>
      <c r="FP57" s="203"/>
      <c r="FQ57" s="203"/>
      <c r="FR57" s="203"/>
      <c r="FS57" s="203"/>
      <c r="FT57" s="203"/>
      <c r="FU57" s="203"/>
      <c r="FV57" s="203"/>
      <c r="FW57" s="203"/>
      <c r="FX57" s="203"/>
      <c r="FY57" s="203"/>
      <c r="FZ57" s="203"/>
      <c r="GA57" s="203"/>
      <c r="GB57" s="203"/>
      <c r="GC57" s="203"/>
      <c r="GD57" s="203"/>
      <c r="GE57" s="203"/>
      <c r="GF57" s="203"/>
      <c r="GG57" s="203"/>
      <c r="GH57" s="203"/>
      <c r="GI57" s="203"/>
      <c r="GJ57" s="203"/>
      <c r="GK57" s="203"/>
      <c r="GL57" s="203"/>
      <c r="GM57" s="203"/>
      <c r="GN57" s="203"/>
      <c r="GO57" s="203"/>
      <c r="GP57" s="203"/>
      <c r="GQ57" s="203"/>
      <c r="GR57" s="203"/>
      <c r="GS57" s="203"/>
      <c r="GT57" s="203"/>
      <c r="GU57" s="203"/>
      <c r="GV57" s="203"/>
      <c r="GW57" s="203"/>
      <c r="GX57" s="203"/>
      <c r="GY57" s="203"/>
      <c r="GZ57" s="203"/>
      <c r="HA57" s="203"/>
      <c r="HB57" s="203"/>
      <c r="HC57" s="203"/>
      <c r="HD57" s="203"/>
      <c r="HE57" s="203"/>
      <c r="HF57" s="203"/>
      <c r="HG57" s="203"/>
      <c r="HH57" s="595"/>
      <c r="HI57" s="595"/>
      <c r="HJ57" s="595"/>
      <c r="HK57" s="595"/>
      <c r="HL57" s="595"/>
      <c r="HM57" s="595"/>
      <c r="HN57" s="595"/>
      <c r="HO57" s="203"/>
      <c r="HP57" s="203"/>
      <c r="HQ57" s="203"/>
      <c r="HR57" s="203"/>
      <c r="HS57" s="203"/>
      <c r="HT57" s="203"/>
      <c r="HU57" s="203"/>
      <c r="HV57" s="203"/>
      <c r="HW57" s="203"/>
      <c r="HX57" s="203"/>
      <c r="HY57" s="203"/>
      <c r="HZ57" s="203"/>
      <c r="IA57" s="203"/>
      <c r="IB57" s="203"/>
      <c r="IC57" s="203"/>
      <c r="ID57" s="203"/>
      <c r="IE57" s="203"/>
      <c r="IF57" s="203"/>
      <c r="IG57" s="203"/>
      <c r="IH57" s="203"/>
      <c r="II57" s="203"/>
      <c r="IJ57" s="203"/>
      <c r="IK57" s="203"/>
    </row>
    <row r="58" spans="1:245" ht="23.4">
      <c r="O58" s="593"/>
      <c r="P58" s="593"/>
      <c r="Q58" s="593"/>
      <c r="R58" s="593"/>
      <c r="S58" s="593"/>
      <c r="T58" s="593"/>
      <c r="U58" s="593"/>
      <c r="V58" s="596"/>
      <c r="W58" s="593"/>
      <c r="X58" s="593"/>
      <c r="Y58" s="593"/>
      <c r="Z58" s="593"/>
      <c r="AA58" s="593"/>
      <c r="AB58" s="593"/>
      <c r="AC58" s="593"/>
      <c r="AD58" s="593"/>
      <c r="AE58" s="593"/>
      <c r="AF58" s="593"/>
      <c r="AG58" s="593"/>
      <c r="AH58" s="593"/>
      <c r="AI58" s="593"/>
      <c r="AJ58" s="593"/>
      <c r="AK58" s="593"/>
      <c r="AL58" s="593"/>
      <c r="AM58" s="593"/>
      <c r="AN58" s="593"/>
      <c r="AO58" s="593"/>
      <c r="AP58" s="593"/>
      <c r="AQ58" s="593"/>
      <c r="AR58" s="593"/>
      <c r="AS58" s="593"/>
      <c r="AT58" s="593"/>
      <c r="AU58" s="593"/>
      <c r="AV58" s="593"/>
      <c r="AW58" s="593"/>
      <c r="AX58" s="593"/>
      <c r="AY58" s="593"/>
      <c r="AZ58" s="593"/>
      <c r="BA58" s="593"/>
      <c r="BB58" s="593"/>
      <c r="BC58" s="593"/>
      <c r="BD58" s="593"/>
      <c r="BE58" s="593"/>
      <c r="BF58" s="593"/>
      <c r="BG58" s="593"/>
      <c r="BH58" s="593"/>
      <c r="BI58" s="593"/>
      <c r="BJ58" s="593"/>
      <c r="BK58" s="593"/>
      <c r="BL58" s="593"/>
      <c r="BM58" s="593"/>
      <c r="BN58" s="593"/>
      <c r="BO58" s="593"/>
      <c r="BP58" s="593"/>
      <c r="BQ58" s="593"/>
      <c r="BR58" s="593"/>
      <c r="BS58" s="593"/>
      <c r="BT58" s="593"/>
      <c r="BU58" s="593"/>
      <c r="BV58" s="593"/>
      <c r="BW58" s="593"/>
      <c r="BX58" s="593"/>
      <c r="BY58" s="593"/>
      <c r="BZ58" s="593"/>
      <c r="CA58" s="593"/>
      <c r="CB58" s="593"/>
      <c r="CC58" s="593"/>
      <c r="CD58" s="593"/>
      <c r="CE58" s="593"/>
      <c r="CF58" s="593"/>
      <c r="CG58" s="593"/>
      <c r="CH58" s="593"/>
      <c r="CI58" s="593"/>
      <c r="CJ58" s="593"/>
      <c r="CK58" s="593"/>
      <c r="CL58" s="593"/>
      <c r="CM58" s="593"/>
      <c r="CN58" s="593"/>
      <c r="CO58" s="593"/>
      <c r="CP58" s="593"/>
      <c r="CQ58" s="593"/>
      <c r="CR58" s="593"/>
      <c r="CS58" s="593"/>
      <c r="CT58" s="593"/>
      <c r="CU58" s="593"/>
      <c r="CV58" s="593"/>
      <c r="CW58" s="593"/>
      <c r="CX58" s="593"/>
      <c r="CY58" s="593"/>
      <c r="CZ58" s="593"/>
      <c r="DA58" s="593"/>
      <c r="DB58" s="593"/>
      <c r="DC58" s="593"/>
      <c r="DD58" s="593"/>
      <c r="DE58" s="593"/>
      <c r="DF58" s="593"/>
      <c r="DG58" s="593"/>
      <c r="DH58" s="593"/>
      <c r="DI58" s="593"/>
      <c r="DJ58" s="593"/>
      <c r="DK58" s="593"/>
      <c r="DL58" s="593"/>
      <c r="DM58" s="593"/>
      <c r="DN58" s="593"/>
      <c r="DO58" s="593"/>
      <c r="DP58" s="593"/>
      <c r="DQ58" s="593"/>
      <c r="DR58" s="593"/>
      <c r="DS58" s="593"/>
      <c r="DT58" s="593"/>
      <c r="DU58" s="593"/>
      <c r="DV58" s="593"/>
      <c r="DW58" s="593"/>
      <c r="DX58" s="593"/>
      <c r="DY58" s="593"/>
      <c r="DZ58" s="593"/>
      <c r="EA58" s="593"/>
      <c r="EB58" s="593"/>
      <c r="EC58" s="593"/>
      <c r="ED58" s="593"/>
      <c r="EE58" s="593"/>
      <c r="EF58" s="597"/>
      <c r="EG58" s="597"/>
      <c r="EH58" s="597"/>
      <c r="EI58" s="597"/>
      <c r="EJ58" s="597"/>
      <c r="EK58" s="597"/>
      <c r="EL58" s="597"/>
      <c r="EM58" s="597"/>
      <c r="EN58" s="597"/>
      <c r="EO58" s="597"/>
      <c r="EP58" s="597"/>
      <c r="EQ58" s="597"/>
      <c r="ER58" s="597"/>
      <c r="ES58" s="597"/>
      <c r="ET58" s="597"/>
      <c r="EU58" s="597"/>
      <c r="EV58" s="597"/>
      <c r="EW58" s="597"/>
      <c r="EX58" s="597"/>
      <c r="EY58" s="597"/>
      <c r="EZ58" s="597"/>
      <c r="FA58" s="597"/>
      <c r="FB58" s="597"/>
      <c r="FC58" s="597"/>
      <c r="FD58" s="597"/>
      <c r="FE58" s="597"/>
      <c r="FF58" s="597"/>
      <c r="FG58" s="597"/>
      <c r="FH58" s="597"/>
      <c r="FI58" s="597"/>
      <c r="FJ58" s="597"/>
      <c r="FK58" s="597"/>
      <c r="FL58" s="597"/>
      <c r="FM58" s="597"/>
      <c r="FN58" s="597"/>
      <c r="FO58" s="597"/>
      <c r="FP58" s="597"/>
      <c r="FQ58" s="597"/>
      <c r="FR58" s="597"/>
      <c r="FS58" s="597"/>
      <c r="FT58" s="597"/>
      <c r="FU58" s="597"/>
      <c r="FV58" s="597"/>
      <c r="FW58" s="597"/>
      <c r="FX58" s="597"/>
      <c r="FY58" s="597"/>
      <c r="FZ58" s="597"/>
      <c r="GA58" s="597"/>
      <c r="GB58" s="597"/>
      <c r="GC58" s="597"/>
      <c r="GD58" s="597"/>
      <c r="GE58" s="597"/>
      <c r="GF58" s="597"/>
      <c r="GG58" s="597"/>
      <c r="GH58" s="597"/>
      <c r="GI58" s="597"/>
      <c r="GJ58" s="597"/>
      <c r="GK58" s="597"/>
      <c r="GL58" s="597"/>
      <c r="GM58" s="597"/>
      <c r="GN58" s="593"/>
      <c r="GO58" s="593"/>
      <c r="GP58" s="593"/>
      <c r="GQ58" s="593"/>
      <c r="GR58" s="593"/>
      <c r="GS58" s="593"/>
      <c r="GT58" s="593"/>
      <c r="GU58" s="593"/>
      <c r="GV58" s="593"/>
      <c r="GW58" s="593"/>
      <c r="GX58" s="593"/>
      <c r="GY58" s="593"/>
      <c r="GZ58" s="593"/>
      <c r="HA58" s="593"/>
      <c r="HB58" s="597"/>
      <c r="HC58" s="593"/>
      <c r="HD58" s="593"/>
      <c r="HE58" s="593"/>
      <c r="HF58" s="593"/>
      <c r="HG58" s="593"/>
      <c r="HH58" s="598"/>
      <c r="HI58" s="598"/>
      <c r="HJ58" s="598"/>
      <c r="HK58" s="598"/>
      <c r="HL58" s="598"/>
      <c r="HM58" s="598"/>
      <c r="HN58" s="598"/>
      <c r="HO58" s="593"/>
      <c r="HP58" s="593"/>
      <c r="HQ58" s="593"/>
      <c r="HR58" s="593"/>
      <c r="HS58" s="593"/>
      <c r="HT58" s="597"/>
      <c r="HU58" s="597"/>
      <c r="HV58" s="597"/>
      <c r="HW58" s="597"/>
      <c r="HX58" s="597"/>
      <c r="HY58" s="597"/>
      <c r="HZ58" s="597"/>
      <c r="IA58" s="597"/>
      <c r="IB58" s="597"/>
      <c r="IC58" s="597"/>
      <c r="ID58" s="597"/>
      <c r="IE58" s="597"/>
      <c r="IF58" s="597"/>
      <c r="IG58" s="597"/>
      <c r="IH58" s="597"/>
      <c r="II58" s="597"/>
      <c r="IJ58" s="597"/>
      <c r="IK58" s="597"/>
    </row>
    <row r="70" spans="2:24" ht="14.4" thickBot="1"/>
    <row r="71" spans="2:24" ht="23.4">
      <c r="M71" s="600" t="s">
        <v>29</v>
      </c>
    </row>
    <row r="77" spans="2:24">
      <c r="B77" s="87">
        <v>2023</v>
      </c>
    </row>
    <row r="78" spans="2:24">
      <c r="B78" s="87" t="s">
        <v>198</v>
      </c>
      <c r="F78" s="87" t="s">
        <v>199</v>
      </c>
      <c r="J78" s="87" t="s">
        <v>395</v>
      </c>
      <c r="V78" s="87"/>
    </row>
    <row r="79" spans="2:24">
      <c r="B79" s="601" t="s">
        <v>6</v>
      </c>
      <c r="C79" s="606">
        <f>'Feuil-saisie'!C44/1000</f>
        <v>61.165942489999999</v>
      </c>
      <c r="D79" s="607">
        <v>68.7288946472801</v>
      </c>
      <c r="F79" s="604" t="s">
        <v>6</v>
      </c>
      <c r="G79" s="602">
        <f>'Feuil-saisie'!C45/1000</f>
        <v>1.4787361299999997</v>
      </c>
      <c r="H79" s="603">
        <v>16.938862158406213</v>
      </c>
      <c r="J79" s="605" t="s">
        <v>6</v>
      </c>
      <c r="K79" s="602">
        <f>C79+G79</f>
        <v>62.644678620000001</v>
      </c>
      <c r="L79" s="607">
        <v>50.645252424128877</v>
      </c>
      <c r="M79" s="232"/>
      <c r="N79" s="1861"/>
      <c r="O79" s="1861"/>
      <c r="P79" s="1861"/>
      <c r="Q79" s="1861"/>
      <c r="R79" s="1861"/>
      <c r="S79" s="1861"/>
      <c r="T79" s="1861"/>
      <c r="U79" s="1861"/>
      <c r="V79" s="1861"/>
      <c r="W79" s="1861"/>
      <c r="X79" s="1861"/>
    </row>
    <row r="80" spans="2:24">
      <c r="B80" s="601" t="s">
        <v>7</v>
      </c>
      <c r="C80" s="606">
        <f>'Feuil-saisie'!C67/1000</f>
        <v>245.05284730000002</v>
      </c>
      <c r="D80" s="607">
        <v>232.63181059811643</v>
      </c>
      <c r="F80" s="604" t="s">
        <v>7</v>
      </c>
      <c r="G80" s="602">
        <f>'Feuil-saisie'!C68/1000</f>
        <v>15.309970299999986</v>
      </c>
      <c r="H80" s="603">
        <v>32.300902353954257</v>
      </c>
      <c r="J80" s="605" t="s">
        <v>7</v>
      </c>
      <c r="K80" s="602">
        <f t="shared" ref="K80:K88" si="19">C80+G80</f>
        <v>260.36281760000003</v>
      </c>
      <c r="L80" s="607">
        <v>178.54077466534306</v>
      </c>
      <c r="M80" s="232"/>
      <c r="N80" s="1861"/>
      <c r="O80" s="1862"/>
      <c r="P80" s="1863"/>
      <c r="Q80" s="1861"/>
      <c r="R80" s="1861"/>
      <c r="S80" s="1862"/>
      <c r="T80" s="1863"/>
      <c r="U80" s="1861"/>
      <c r="V80" s="1861"/>
      <c r="W80" s="1862"/>
      <c r="X80" s="1863"/>
    </row>
    <row r="81" spans="2:24">
      <c r="B81" s="601" t="s">
        <v>8</v>
      </c>
      <c r="C81" s="606">
        <f>'Feuil-saisie'!C91/1000</f>
        <v>0</v>
      </c>
      <c r="D81" s="607">
        <v>0</v>
      </c>
      <c r="F81" s="604" t="s">
        <v>8</v>
      </c>
      <c r="G81" s="602">
        <f>'Feuil-saisie'!C92/1000</f>
        <v>16.583006649999994</v>
      </c>
      <c r="H81" s="603">
        <v>106.18423385083815</v>
      </c>
      <c r="J81" s="605" t="s">
        <v>8</v>
      </c>
      <c r="K81" s="602">
        <f t="shared" si="19"/>
        <v>16.583006649999994</v>
      </c>
      <c r="L81" s="607">
        <v>26.504851449827456</v>
      </c>
      <c r="M81" s="232"/>
      <c r="N81" s="1861"/>
      <c r="O81" s="1862"/>
      <c r="P81" s="1863"/>
      <c r="Q81" s="1861"/>
      <c r="R81" s="1861"/>
      <c r="S81" s="1862"/>
      <c r="T81" s="1863"/>
      <c r="U81" s="1861"/>
      <c r="V81" s="1861"/>
      <c r="W81" s="1862"/>
      <c r="X81" s="1863"/>
    </row>
    <row r="82" spans="2:24">
      <c r="B82" s="601" t="s">
        <v>4</v>
      </c>
      <c r="C82" s="606">
        <f>'Feuil-saisie'!C114/1000</f>
        <v>0</v>
      </c>
      <c r="D82" s="607">
        <v>0</v>
      </c>
      <c r="F82" s="604" t="s">
        <v>4</v>
      </c>
      <c r="G82" s="602">
        <f>'Feuil-saisie'!C115/1000</f>
        <v>23.565210099999998</v>
      </c>
      <c r="H82" s="603">
        <v>0</v>
      </c>
      <c r="J82" s="605" t="s">
        <v>4</v>
      </c>
      <c r="K82" s="602">
        <f t="shared" si="19"/>
        <v>23.565210099999998</v>
      </c>
      <c r="L82" s="607">
        <v>0</v>
      </c>
      <c r="M82" s="232"/>
      <c r="N82" s="1861"/>
      <c r="O82" s="1862"/>
      <c r="P82" s="1863"/>
      <c r="Q82" s="1861"/>
      <c r="R82" s="1861"/>
      <c r="S82" s="1862"/>
      <c r="T82" s="1863"/>
      <c r="U82" s="1861"/>
      <c r="V82" s="1861"/>
      <c r="W82" s="1862"/>
      <c r="X82" s="1863"/>
    </row>
    <row r="83" spans="2:24">
      <c r="B83" s="601" t="s">
        <v>3</v>
      </c>
      <c r="C83" s="602"/>
      <c r="D83" s="603"/>
      <c r="F83" s="604" t="s">
        <v>3</v>
      </c>
      <c r="G83" s="602">
        <f>'Feuil-saisie'!C140/1000</f>
        <v>18.47395027</v>
      </c>
      <c r="H83" s="603">
        <v>224.29682274785327</v>
      </c>
      <c r="J83" s="605" t="s">
        <v>3</v>
      </c>
      <c r="K83" s="602">
        <f t="shared" si="19"/>
        <v>18.47395027</v>
      </c>
      <c r="L83" s="607">
        <v>224.29682274785327</v>
      </c>
      <c r="M83" s="232"/>
      <c r="N83" s="1861"/>
      <c r="O83" s="1862"/>
      <c r="P83" s="1863"/>
      <c r="Q83" s="1861"/>
      <c r="R83" s="1861"/>
      <c r="S83" s="1862"/>
      <c r="T83" s="1863"/>
      <c r="U83" s="1861"/>
      <c r="V83" s="1861"/>
      <c r="W83" s="1862"/>
      <c r="X83" s="1863"/>
    </row>
    <row r="84" spans="2:24">
      <c r="B84" s="601" t="s">
        <v>397</v>
      </c>
      <c r="C84" s="602">
        <f>'Feuil-saisie'!C162/1000</f>
        <v>141.11683083999966</v>
      </c>
      <c r="D84" s="603">
        <v>84.638925991168293</v>
      </c>
      <c r="F84" s="604" t="s">
        <v>397</v>
      </c>
      <c r="G84" s="602">
        <f>'Feuil-saisie'!C163/1000</f>
        <v>45.155324020000002</v>
      </c>
      <c r="H84" s="603">
        <v>179.02605055924934</v>
      </c>
      <c r="J84" s="605" t="s">
        <v>397</v>
      </c>
      <c r="K84" s="602">
        <f t="shared" si="19"/>
        <v>186.27215485999966</v>
      </c>
      <c r="L84" s="603">
        <v>95.714484812639753</v>
      </c>
      <c r="M84" s="232"/>
      <c r="N84" s="1864"/>
      <c r="O84" s="1862"/>
      <c r="P84" s="1863"/>
      <c r="Q84" s="1861"/>
      <c r="R84" s="1861"/>
      <c r="S84" s="1862"/>
      <c r="T84" s="1863"/>
      <c r="U84" s="1861"/>
      <c r="V84" s="1861"/>
      <c r="W84" s="1862"/>
      <c r="X84" s="1863"/>
    </row>
    <row r="85" spans="2:24">
      <c r="B85" s="601" t="s">
        <v>399</v>
      </c>
      <c r="C85" s="602">
        <f>'Feuil-saisie'!C185/1000</f>
        <v>113.03100000000001</v>
      </c>
      <c r="D85" s="603">
        <v>49.61870302458486</v>
      </c>
      <c r="F85" s="604" t="s">
        <v>399</v>
      </c>
      <c r="G85" s="602">
        <f>'Feuil-saisie'!C186/1000</f>
        <v>21.58</v>
      </c>
      <c r="H85" s="603">
        <v>28.578986542313199</v>
      </c>
      <c r="J85" s="605" t="s">
        <v>399</v>
      </c>
      <c r="K85" s="602">
        <f t="shared" si="19"/>
        <v>134.61099999999999</v>
      </c>
      <c r="L85" s="603">
        <v>41.724888638674088</v>
      </c>
      <c r="M85" s="232"/>
      <c r="N85" s="1861"/>
      <c r="O85" s="1862"/>
      <c r="P85" s="1863"/>
      <c r="Q85" s="1861"/>
      <c r="R85" s="1861"/>
      <c r="S85" s="1862"/>
      <c r="T85" s="1863"/>
      <c r="U85" s="1861"/>
      <c r="V85" s="1864"/>
      <c r="W85" s="1862"/>
      <c r="X85" s="1863"/>
    </row>
    <row r="86" spans="2:24">
      <c r="B86" s="601" t="s">
        <v>883</v>
      </c>
      <c r="C86" s="602">
        <f>'Feuil-saisie'!C208/1000</f>
        <v>1.6441710899999997</v>
      </c>
      <c r="D86" s="603">
        <v>33.898677561520465</v>
      </c>
      <c r="F86" s="604" t="s">
        <v>883</v>
      </c>
      <c r="G86" s="606">
        <f>'Feuil-saisie'!C209/1000</f>
        <v>4.9398891400000142</v>
      </c>
      <c r="H86" s="607">
        <v>24.314652420644439</v>
      </c>
      <c r="J86" s="605" t="s">
        <v>883</v>
      </c>
      <c r="K86" s="602">
        <f t="shared" si="19"/>
        <v>6.5840602300000137</v>
      </c>
      <c r="L86" s="603">
        <v>26.084862628035882</v>
      </c>
      <c r="M86" s="232"/>
      <c r="N86" s="1861"/>
      <c r="O86" s="1862"/>
      <c r="P86" s="1863"/>
      <c r="Q86" s="1861"/>
      <c r="R86" s="1861"/>
      <c r="S86" s="1862"/>
      <c r="T86" s="1863"/>
      <c r="U86" s="1861"/>
      <c r="V86" s="1861"/>
      <c r="W86" s="1862"/>
      <c r="X86" s="1863"/>
    </row>
    <row r="87" spans="2:24">
      <c r="B87" s="601" t="s">
        <v>884</v>
      </c>
      <c r="C87" s="602">
        <f>'Feuil-saisie'!C233/1000</f>
        <v>9.259098149999744</v>
      </c>
      <c r="D87" s="603">
        <v>1.0268987228174529</v>
      </c>
      <c r="F87" s="604" t="s">
        <v>884</v>
      </c>
      <c r="G87" s="606">
        <f>'Feuil-saisie'!C234/1000</f>
        <v>18.424450720000198</v>
      </c>
      <c r="H87" s="607">
        <v>10.088592797171801</v>
      </c>
      <c r="J87" s="605" t="s">
        <v>884</v>
      </c>
      <c r="K87" s="602">
        <f t="shared" si="19"/>
        <v>27.683548869999942</v>
      </c>
      <c r="L87" s="603">
        <v>4.2347979615883995</v>
      </c>
      <c r="M87" s="232"/>
      <c r="N87" s="1861"/>
      <c r="O87" s="1862"/>
      <c r="P87" s="1863"/>
      <c r="Q87" s="1861"/>
      <c r="R87" s="1861"/>
      <c r="S87" s="1862"/>
      <c r="T87" s="1863"/>
      <c r="U87" s="1861"/>
      <c r="V87" s="1861"/>
      <c r="W87" s="1862"/>
      <c r="X87" s="1863"/>
    </row>
    <row r="88" spans="2:24">
      <c r="B88" s="601" t="s">
        <v>885</v>
      </c>
      <c r="C88" s="602"/>
      <c r="D88" s="603"/>
      <c r="F88" s="604" t="s">
        <v>885</v>
      </c>
      <c r="G88" s="606">
        <f>'Feuil-saisie'!C257/1000</f>
        <v>0</v>
      </c>
      <c r="H88" s="607">
        <v>0</v>
      </c>
      <c r="J88" s="605" t="s">
        <v>885</v>
      </c>
      <c r="K88" s="602">
        <f t="shared" si="19"/>
        <v>0</v>
      </c>
      <c r="L88" s="603">
        <v>0</v>
      </c>
      <c r="M88" s="232"/>
      <c r="N88" s="1861"/>
      <c r="O88" s="1862"/>
      <c r="P88" s="1863"/>
      <c r="Q88" s="1861"/>
      <c r="R88" s="1861"/>
      <c r="S88" s="1862"/>
      <c r="T88" s="1863"/>
      <c r="U88" s="1861"/>
      <c r="V88" s="1861"/>
      <c r="W88" s="1862"/>
      <c r="X88" s="1863"/>
    </row>
    <row r="89" spans="2:24" ht="15.6">
      <c r="B89" s="608" t="s">
        <v>1078</v>
      </c>
      <c r="C89" s="609">
        <f>SUM(C79:C88)</f>
        <v>571.26988986999947</v>
      </c>
      <c r="D89" s="610">
        <v>71.143475803836679</v>
      </c>
      <c r="F89" s="608" t="s">
        <v>1078</v>
      </c>
      <c r="G89" s="609">
        <f>SUM(G79:G88)</f>
        <v>165.51053733000023</v>
      </c>
      <c r="H89" s="610">
        <v>26.463816452552599</v>
      </c>
      <c r="J89" s="608" t="s">
        <v>1078</v>
      </c>
      <c r="K89" s="609">
        <f>SUM(K79:K88)</f>
        <v>736.78042719999962</v>
      </c>
      <c r="L89" s="610">
        <v>55.550523758558349</v>
      </c>
      <c r="N89" s="1861"/>
      <c r="O89" s="1861"/>
      <c r="P89" s="1861"/>
      <c r="Q89" s="1868"/>
      <c r="R89" s="1865"/>
      <c r="S89" s="1866"/>
      <c r="T89" s="1867"/>
      <c r="U89" s="1868"/>
      <c r="V89" s="1864"/>
      <c r="W89" s="1862"/>
      <c r="X89" s="1863"/>
    </row>
    <row r="90" spans="2:24">
      <c r="K90" s="232"/>
      <c r="N90" s="77"/>
      <c r="O90" s="77"/>
      <c r="P90" s="77"/>
      <c r="Q90" s="77"/>
      <c r="U90" s="77"/>
      <c r="V90" s="1265"/>
      <c r="W90" s="1266"/>
      <c r="X90" s="1267"/>
    </row>
    <row r="91" spans="2:24">
      <c r="B91" s="87">
        <v>2022</v>
      </c>
      <c r="V91" s="87"/>
    </row>
    <row r="92" spans="2:24">
      <c r="B92" s="87" t="s">
        <v>198</v>
      </c>
      <c r="F92" s="87" t="s">
        <v>199</v>
      </c>
      <c r="J92" s="87" t="s">
        <v>395</v>
      </c>
      <c r="V92" s="87"/>
    </row>
    <row r="93" spans="2:24">
      <c r="B93" s="2284" t="s">
        <v>6</v>
      </c>
      <c r="C93" s="2285">
        <v>62.102812489999998</v>
      </c>
      <c r="D93" s="2286">
        <v>40.741449340485694</v>
      </c>
      <c r="F93" s="2287" t="s">
        <v>6</v>
      </c>
      <c r="G93" s="2288">
        <v>0</v>
      </c>
      <c r="H93" s="2289">
        <v>0</v>
      </c>
      <c r="J93" s="2290" t="s">
        <v>6</v>
      </c>
      <c r="K93" s="2288">
        <f>C93+G93</f>
        <v>62.102812489999998</v>
      </c>
      <c r="L93" s="2286">
        <v>25.848224088007157</v>
      </c>
      <c r="N93" s="118"/>
      <c r="O93" s="1263"/>
      <c r="P93" s="1264"/>
      <c r="R93" s="118"/>
      <c r="S93" s="1658"/>
      <c r="T93" s="119"/>
      <c r="V93" s="118"/>
      <c r="W93" s="1658"/>
      <c r="X93" s="1264"/>
    </row>
    <row r="94" spans="2:24">
      <c r="B94" s="2284" t="s">
        <v>7</v>
      </c>
      <c r="C94" s="2285">
        <v>254.19723730000007</v>
      </c>
      <c r="D94" s="2286">
        <v>102.75436043869723</v>
      </c>
      <c r="F94" s="2287" t="s">
        <v>7</v>
      </c>
      <c r="G94" s="2288">
        <v>17.43269175999993</v>
      </c>
      <c r="H94" s="2289">
        <v>13.903292165997648</v>
      </c>
      <c r="J94" s="2290" t="s">
        <v>7</v>
      </c>
      <c r="K94" s="2288">
        <f t="shared" ref="K94:K102" si="20">C94+G94</f>
        <v>271.62992905999999</v>
      </c>
      <c r="L94" s="2286">
        <v>69.885553735333119</v>
      </c>
      <c r="O94" s="1263"/>
      <c r="P94" s="1264"/>
      <c r="R94" s="118"/>
      <c r="S94" s="1658"/>
      <c r="T94" s="119"/>
      <c r="V94" s="118"/>
      <c r="W94" s="1658"/>
      <c r="X94" s="1264"/>
    </row>
    <row r="95" spans="2:24">
      <c r="B95" s="2284" t="s">
        <v>8</v>
      </c>
      <c r="C95" s="2285">
        <v>0</v>
      </c>
      <c r="D95" s="2286">
        <v>0</v>
      </c>
      <c r="F95" s="2287" t="s">
        <v>8</v>
      </c>
      <c r="G95" s="2288">
        <v>10.668661699999996</v>
      </c>
      <c r="H95" s="2289">
        <v>66.145301998631155</v>
      </c>
      <c r="J95" s="2290" t="s">
        <v>8</v>
      </c>
      <c r="K95" s="2288">
        <f t="shared" si="20"/>
        <v>10.668661699999996</v>
      </c>
      <c r="L95" s="2286">
        <v>11.950504156847915</v>
      </c>
      <c r="O95" s="1263"/>
      <c r="P95" s="1264"/>
      <c r="R95" s="118"/>
      <c r="S95" s="1658"/>
      <c r="T95" s="119"/>
      <c r="V95" s="118"/>
      <c r="W95" s="1658"/>
      <c r="X95" s="1264"/>
    </row>
    <row r="96" spans="2:24">
      <c r="B96" s="2284" t="s">
        <v>4</v>
      </c>
      <c r="C96" s="2285">
        <v>0</v>
      </c>
      <c r="D96" s="2286">
        <v>0</v>
      </c>
      <c r="F96" s="2287" t="s">
        <v>4</v>
      </c>
      <c r="G96" s="2288">
        <v>0</v>
      </c>
      <c r="H96" s="2289">
        <v>0</v>
      </c>
      <c r="J96" s="2290" t="s">
        <v>4</v>
      </c>
      <c r="K96" s="2288">
        <f t="shared" si="20"/>
        <v>0</v>
      </c>
      <c r="L96" s="2286">
        <v>0</v>
      </c>
      <c r="O96" s="1263"/>
      <c r="P96" s="1264"/>
      <c r="R96" s="118"/>
      <c r="S96" s="1658"/>
      <c r="T96" s="119"/>
      <c r="V96" s="118"/>
      <c r="W96" s="1658"/>
      <c r="X96" s="1264"/>
    </row>
    <row r="97" spans="1:77">
      <c r="B97" s="2284" t="s">
        <v>3</v>
      </c>
      <c r="C97" s="2288"/>
      <c r="D97" s="2289"/>
      <c r="F97" s="2287" t="s">
        <v>3</v>
      </c>
      <c r="G97" s="2288">
        <v>0</v>
      </c>
      <c r="H97" s="2289">
        <v>0</v>
      </c>
      <c r="J97" s="2290" t="s">
        <v>3</v>
      </c>
      <c r="K97" s="2288">
        <f t="shared" si="20"/>
        <v>0</v>
      </c>
      <c r="L97" s="2286">
        <v>0</v>
      </c>
      <c r="O97" s="1658"/>
      <c r="P97" s="119"/>
      <c r="R97" s="118"/>
      <c r="S97" s="1658"/>
      <c r="T97" s="119"/>
      <c r="V97" s="118"/>
      <c r="W97" s="1658"/>
      <c r="X97" s="1264"/>
    </row>
    <row r="98" spans="1:77">
      <c r="B98" s="2284" t="s">
        <v>397</v>
      </c>
      <c r="C98" s="2288">
        <v>113.25224605000001</v>
      </c>
      <c r="D98" s="2289">
        <v>46.961451425965777</v>
      </c>
      <c r="F98" s="2287" t="s">
        <v>397</v>
      </c>
      <c r="G98" s="2288">
        <v>30.681755469999999</v>
      </c>
      <c r="H98" s="2289">
        <v>95.502184642260843</v>
      </c>
      <c r="J98" s="2290" t="s">
        <v>397</v>
      </c>
      <c r="K98" s="2288">
        <f t="shared" si="20"/>
        <v>143.93400152000001</v>
      </c>
      <c r="L98" s="2289">
        <v>52.667751538347353</v>
      </c>
      <c r="N98" s="118"/>
      <c r="O98" s="1658"/>
      <c r="P98" s="119"/>
      <c r="R98" s="118"/>
      <c r="S98" s="1658"/>
      <c r="T98" s="119"/>
      <c r="V98" s="118"/>
      <c r="W98" s="1658"/>
      <c r="X98" s="119"/>
    </row>
    <row r="99" spans="1:77">
      <c r="B99" s="2284" t="s">
        <v>399</v>
      </c>
      <c r="C99" s="2288">
        <v>3.8196348599999546</v>
      </c>
      <c r="D99" s="2289">
        <v>1.7072402129752438</v>
      </c>
      <c r="F99" s="2287" t="s">
        <v>399</v>
      </c>
      <c r="G99" s="2288">
        <v>16.659966009999991</v>
      </c>
      <c r="H99" s="2289">
        <v>14.245140770843868</v>
      </c>
      <c r="J99" s="2290" t="s">
        <v>399</v>
      </c>
      <c r="K99" s="2288">
        <f t="shared" si="20"/>
        <v>20.479600869999945</v>
      </c>
      <c r="L99" s="2289">
        <v>23.993122437314018</v>
      </c>
      <c r="M99" s="219"/>
      <c r="N99" s="219"/>
      <c r="O99" s="1797"/>
      <c r="P99" s="119"/>
      <c r="R99" s="118"/>
      <c r="S99" s="1658"/>
      <c r="T99" s="119"/>
      <c r="V99" s="118"/>
      <c r="W99" s="1658"/>
      <c r="X99" s="119"/>
    </row>
    <row r="100" spans="1:77">
      <c r="B100" s="2284" t="s">
        <v>883</v>
      </c>
      <c r="C100" s="2288">
        <v>0</v>
      </c>
      <c r="D100" s="2289">
        <v>0</v>
      </c>
      <c r="F100" s="2287" t="s">
        <v>883</v>
      </c>
      <c r="G100" s="2285">
        <v>2.827529819999993</v>
      </c>
      <c r="H100" s="2286">
        <v>6.971540040392858</v>
      </c>
      <c r="J100" s="2290" t="s">
        <v>883</v>
      </c>
      <c r="K100" s="2288">
        <f t="shared" si="20"/>
        <v>2.827529819999993</v>
      </c>
      <c r="L100" s="2289">
        <v>5.6314805990262098</v>
      </c>
      <c r="M100" s="219"/>
      <c r="N100" s="219"/>
      <c r="O100" s="1797"/>
      <c r="P100" s="119"/>
      <c r="R100" s="118"/>
      <c r="S100" s="1263"/>
      <c r="T100" s="1264"/>
      <c r="V100" s="118"/>
      <c r="W100" s="1658"/>
      <c r="X100" s="119"/>
    </row>
    <row r="101" spans="1:77">
      <c r="B101" s="2284" t="s">
        <v>884</v>
      </c>
      <c r="C101" s="2288">
        <v>6.760916309999943</v>
      </c>
      <c r="D101" s="2289">
        <v>1.0484588592531572</v>
      </c>
      <c r="F101" s="2287" t="s">
        <v>884</v>
      </c>
      <c r="G101" s="2285">
        <v>20.316320899999976</v>
      </c>
      <c r="H101" s="2286">
        <v>7.4165410063514097</v>
      </c>
      <c r="J101" s="2290" t="s">
        <v>884</v>
      </c>
      <c r="K101" s="2288">
        <f t="shared" si="20"/>
        <v>27.077237209999918</v>
      </c>
      <c r="L101" s="2289">
        <v>2.9470994398876034</v>
      </c>
      <c r="O101" s="1658"/>
      <c r="P101" s="119"/>
      <c r="R101" s="118"/>
      <c r="S101" s="1263"/>
      <c r="T101" s="1264"/>
      <c r="V101" s="118"/>
      <c r="W101" s="1658"/>
      <c r="X101" s="119"/>
    </row>
    <row r="102" spans="1:77">
      <c r="B102" s="2284" t="s">
        <v>885</v>
      </c>
      <c r="C102" s="2288"/>
      <c r="D102" s="2289"/>
      <c r="F102" s="2287" t="s">
        <v>885</v>
      </c>
      <c r="G102" s="2285">
        <v>0</v>
      </c>
      <c r="H102" s="2286">
        <v>0</v>
      </c>
      <c r="J102" s="2290" t="s">
        <v>885</v>
      </c>
      <c r="K102" s="2288">
        <f t="shared" si="20"/>
        <v>0</v>
      </c>
      <c r="L102" s="2289">
        <v>0</v>
      </c>
      <c r="N102" s="118"/>
      <c r="O102" s="1658"/>
      <c r="P102" s="119"/>
      <c r="R102" s="118"/>
      <c r="S102" s="1263"/>
      <c r="T102" s="1264"/>
      <c r="V102" s="118"/>
      <c r="W102" s="1658"/>
      <c r="X102" s="119"/>
    </row>
    <row r="103" spans="1:77" ht="15.6">
      <c r="B103" s="2291" t="s">
        <v>1078</v>
      </c>
      <c r="C103" s="2292">
        <v>440.13284700999998</v>
      </c>
      <c r="D103" s="2293">
        <v>46.421394155662192</v>
      </c>
      <c r="F103" s="2291" t="s">
        <v>1078</v>
      </c>
      <c r="G103" s="2292">
        <v>98.586925659999892</v>
      </c>
      <c r="H103" s="2293">
        <v>18.694810318658551</v>
      </c>
      <c r="J103" s="2291" t="s">
        <v>1078</v>
      </c>
      <c r="K103" s="2292">
        <f>SUM(K93:K102)</f>
        <v>538.71977266999988</v>
      </c>
      <c r="L103" s="2293">
        <v>40.995175254674962</v>
      </c>
      <c r="N103" s="1265"/>
      <c r="O103" s="1659"/>
      <c r="P103" s="1660"/>
      <c r="S103" s="232"/>
      <c r="V103" s="1265"/>
      <c r="W103" s="1659"/>
      <c r="X103" s="1660"/>
    </row>
    <row r="104" spans="1:77">
      <c r="V104" s="87"/>
    </row>
    <row r="107" spans="1:77">
      <c r="N107" s="87">
        <f>H115*N108</f>
        <v>3253.3740177666218</v>
      </c>
      <c r="O107" s="87">
        <f>I115*O108</f>
        <v>606.41585915373912</v>
      </c>
      <c r="P107" s="87">
        <f>J115*P108</f>
        <v>835.52474479983061</v>
      </c>
    </row>
    <row r="108" spans="1:77">
      <c r="N108" s="87">
        <f>R7/N115</f>
        <v>0.91375719652498222</v>
      </c>
      <c r="O108" s="87">
        <f>S7/O115</f>
        <v>0.98775576350145566</v>
      </c>
      <c r="P108" s="87">
        <f>T7/P115</f>
        <v>0.84945063856852299</v>
      </c>
      <c r="Q108" s="87">
        <f>U7/Q115</f>
        <v>0.91065119199727118</v>
      </c>
    </row>
    <row r="109" spans="1:77" ht="18.600000000000001" thickBot="1">
      <c r="A109" s="3144" t="s">
        <v>670</v>
      </c>
      <c r="B109" s="3145"/>
      <c r="C109" s="3145"/>
      <c r="D109" s="3145"/>
      <c r="E109" s="3146"/>
      <c r="F109" s="500"/>
      <c r="G109" s="3144" t="s">
        <v>671</v>
      </c>
      <c r="H109" s="3145"/>
      <c r="I109" s="3145"/>
      <c r="J109" s="3145"/>
      <c r="K109" s="3146"/>
      <c r="L109" s="500"/>
      <c r="M109" s="3144" t="s">
        <v>672</v>
      </c>
      <c r="N109" s="3145"/>
      <c r="O109" s="3145"/>
      <c r="P109" s="3145"/>
      <c r="Q109" s="3146"/>
      <c r="R109" s="500"/>
      <c r="S109" s="3144" t="s">
        <v>673</v>
      </c>
      <c r="T109" s="3145"/>
      <c r="U109" s="3145"/>
      <c r="V109" s="3145"/>
      <c r="W109" s="3146"/>
      <c r="X109" s="500"/>
      <c r="Y109" s="3144" t="s">
        <v>674</v>
      </c>
      <c r="Z109" s="3145"/>
      <c r="AA109" s="3145"/>
      <c r="AB109" s="3145"/>
      <c r="AC109" s="3146"/>
      <c r="AD109" s="500"/>
      <c r="AE109" s="3144" t="s">
        <v>658</v>
      </c>
      <c r="AF109" s="3145"/>
      <c r="AG109" s="3145"/>
      <c r="AH109" s="3145"/>
      <c r="AI109" s="3146"/>
      <c r="AK109" s="3144" t="s">
        <v>657</v>
      </c>
      <c r="AL109" s="3145"/>
      <c r="AM109" s="3145"/>
      <c r="AN109" s="3145"/>
      <c r="AO109" s="3146"/>
      <c r="AQ109" s="3144" t="s">
        <v>656</v>
      </c>
      <c r="AR109" s="3145"/>
      <c r="AS109" s="3145"/>
      <c r="AT109" s="3145"/>
      <c r="AU109" s="3146"/>
      <c r="AW109" s="3144" t="s">
        <v>655</v>
      </c>
      <c r="AX109" s="3145"/>
      <c r="AY109" s="3145"/>
      <c r="AZ109" s="3145"/>
      <c r="BA109" s="3146"/>
      <c r="BC109" s="3144" t="s">
        <v>642</v>
      </c>
      <c r="BD109" s="3145"/>
      <c r="BE109" s="3145"/>
      <c r="BF109" s="3145"/>
      <c r="BG109" s="3146"/>
      <c r="BI109" s="3144" t="s">
        <v>573</v>
      </c>
      <c r="BJ109" s="3145"/>
      <c r="BK109" s="3145"/>
      <c r="BL109" s="3145"/>
      <c r="BM109" s="3146"/>
      <c r="BO109" s="3144" t="s">
        <v>556</v>
      </c>
      <c r="BP109" s="3145"/>
      <c r="BQ109" s="3145"/>
      <c r="BR109" s="3145"/>
      <c r="BS109" s="3146"/>
      <c r="BU109" s="3144" t="s">
        <v>675</v>
      </c>
      <c r="BV109" s="3145"/>
      <c r="BW109" s="3145"/>
      <c r="BX109" s="3145"/>
      <c r="BY109" s="3146"/>
    </row>
    <row r="110" spans="1:77" ht="27.6">
      <c r="A110" s="504" t="s">
        <v>308</v>
      </c>
      <c r="B110" s="3147" t="s">
        <v>17</v>
      </c>
      <c r="C110" s="3149" t="s">
        <v>18</v>
      </c>
      <c r="D110" s="3149" t="s">
        <v>23</v>
      </c>
      <c r="E110" s="3151" t="s">
        <v>283</v>
      </c>
      <c r="F110" s="505"/>
      <c r="G110" s="504" t="s">
        <v>308</v>
      </c>
      <c r="H110" s="3147" t="s">
        <v>17</v>
      </c>
      <c r="I110" s="3149" t="s">
        <v>18</v>
      </c>
      <c r="J110" s="3149" t="s">
        <v>23</v>
      </c>
      <c r="K110" s="3151" t="s">
        <v>283</v>
      </c>
      <c r="L110" s="505"/>
      <c r="M110" s="504" t="s">
        <v>308</v>
      </c>
      <c r="N110" s="506" t="s">
        <v>17</v>
      </c>
      <c r="O110" s="507" t="s">
        <v>18</v>
      </c>
      <c r="P110" s="507" t="s">
        <v>23</v>
      </c>
      <c r="Q110" s="508" t="s">
        <v>283</v>
      </c>
      <c r="R110" s="505"/>
      <c r="S110" s="504" t="s">
        <v>308</v>
      </c>
      <c r="T110" s="506" t="s">
        <v>17</v>
      </c>
      <c r="U110" s="507" t="s">
        <v>18</v>
      </c>
      <c r="V110" s="507" t="s">
        <v>23</v>
      </c>
      <c r="W110" s="508" t="s">
        <v>283</v>
      </c>
      <c r="X110" s="505"/>
      <c r="Y110" s="504" t="s">
        <v>308</v>
      </c>
      <c r="Z110" s="506" t="s">
        <v>17</v>
      </c>
      <c r="AA110" s="507" t="s">
        <v>18</v>
      </c>
      <c r="AB110" s="507" t="s">
        <v>23</v>
      </c>
      <c r="AC110" s="508" t="s">
        <v>283</v>
      </c>
      <c r="AD110" s="505"/>
      <c r="AE110" s="93" t="s">
        <v>308</v>
      </c>
      <c r="AF110" s="506" t="s">
        <v>17</v>
      </c>
      <c r="AG110" s="507" t="s">
        <v>18</v>
      </c>
      <c r="AH110" s="507" t="s">
        <v>23</v>
      </c>
      <c r="AI110" s="508" t="s">
        <v>283</v>
      </c>
      <c r="AK110" s="93" t="s">
        <v>308</v>
      </c>
      <c r="AL110" s="506" t="s">
        <v>17</v>
      </c>
      <c r="AM110" s="507" t="s">
        <v>18</v>
      </c>
      <c r="AN110" s="507" t="s">
        <v>23</v>
      </c>
      <c r="AO110" s="508" t="s">
        <v>283</v>
      </c>
      <c r="AQ110" s="93" t="s">
        <v>308</v>
      </c>
      <c r="AR110" s="506" t="s">
        <v>17</v>
      </c>
      <c r="AS110" s="507" t="s">
        <v>18</v>
      </c>
      <c r="AT110" s="507" t="s">
        <v>23</v>
      </c>
      <c r="AU110" s="508" t="s">
        <v>283</v>
      </c>
      <c r="AW110" s="93" t="s">
        <v>308</v>
      </c>
      <c r="AX110" s="506" t="s">
        <v>17</v>
      </c>
      <c r="AY110" s="507" t="s">
        <v>18</v>
      </c>
      <c r="AZ110" s="507" t="s">
        <v>23</v>
      </c>
      <c r="BA110" s="508" t="s">
        <v>283</v>
      </c>
      <c r="BC110" s="93" t="s">
        <v>308</v>
      </c>
      <c r="BD110" s="506" t="s">
        <v>17</v>
      </c>
      <c r="BE110" s="507" t="s">
        <v>18</v>
      </c>
      <c r="BF110" s="507" t="s">
        <v>23</v>
      </c>
      <c r="BG110" s="508" t="s">
        <v>283</v>
      </c>
      <c r="BI110" s="93" t="s">
        <v>308</v>
      </c>
      <c r="BJ110" s="506" t="s">
        <v>17</v>
      </c>
      <c r="BK110" s="507" t="s">
        <v>18</v>
      </c>
      <c r="BL110" s="507" t="s">
        <v>23</v>
      </c>
      <c r="BM110" s="508" t="s">
        <v>283</v>
      </c>
      <c r="BO110" s="93" t="s">
        <v>308</v>
      </c>
      <c r="BP110" s="506" t="s">
        <v>17</v>
      </c>
      <c r="BQ110" s="507" t="s">
        <v>18</v>
      </c>
      <c r="BR110" s="507" t="s">
        <v>23</v>
      </c>
      <c r="BS110" s="508" t="s">
        <v>283</v>
      </c>
      <c r="BU110" s="93" t="s">
        <v>308</v>
      </c>
      <c r="BV110" s="506" t="s">
        <v>17</v>
      </c>
      <c r="BW110" s="507" t="s">
        <v>18</v>
      </c>
      <c r="BX110" s="507" t="s">
        <v>23</v>
      </c>
      <c r="BY110" s="508" t="s">
        <v>283</v>
      </c>
    </row>
    <row r="111" spans="1:77">
      <c r="A111" s="510"/>
      <c r="B111" s="3148"/>
      <c r="C111" s="3150"/>
      <c r="D111" s="3150"/>
      <c r="E111" s="3152"/>
      <c r="F111" s="505"/>
      <c r="G111" s="510"/>
      <c r="H111" s="3148"/>
      <c r="I111" s="3150"/>
      <c r="J111" s="3150"/>
      <c r="K111" s="3152"/>
      <c r="L111" s="505"/>
      <c r="M111" s="510"/>
      <c r="N111" s="512"/>
      <c r="O111" s="513"/>
      <c r="P111" s="513"/>
      <c r="Q111" s="514"/>
      <c r="R111" s="505"/>
      <c r="S111" s="510"/>
      <c r="T111" s="512"/>
      <c r="U111" s="513"/>
      <c r="V111" s="513"/>
      <c r="W111" s="514"/>
      <c r="X111" s="505"/>
      <c r="Y111" s="510"/>
      <c r="Z111" s="512"/>
      <c r="AA111" s="513"/>
      <c r="AB111" s="513"/>
      <c r="AC111" s="514"/>
      <c r="AD111" s="505"/>
      <c r="AE111" s="511"/>
      <c r="AF111" s="512"/>
      <c r="AG111" s="513"/>
      <c r="AH111" s="513"/>
      <c r="AI111" s="514"/>
      <c r="AK111" s="511"/>
      <c r="AL111" s="512"/>
      <c r="AM111" s="513"/>
      <c r="AN111" s="513"/>
      <c r="AO111" s="514"/>
      <c r="AQ111" s="511"/>
      <c r="AR111" s="512"/>
      <c r="AS111" s="513"/>
      <c r="AT111" s="513"/>
      <c r="AU111" s="514"/>
      <c r="AW111" s="511"/>
      <c r="AX111" s="512"/>
      <c r="AY111" s="513"/>
      <c r="AZ111" s="513"/>
      <c r="BA111" s="514"/>
      <c r="BC111" s="511"/>
      <c r="BD111" s="512"/>
      <c r="BE111" s="513"/>
      <c r="BF111" s="513"/>
      <c r="BG111" s="514"/>
      <c r="BI111" s="511"/>
      <c r="BJ111" s="512"/>
      <c r="BK111" s="513"/>
      <c r="BL111" s="513"/>
      <c r="BM111" s="514"/>
      <c r="BO111" s="511"/>
      <c r="BP111" s="512"/>
      <c r="BQ111" s="513"/>
      <c r="BR111" s="513"/>
      <c r="BS111" s="514"/>
      <c r="BU111" s="511"/>
      <c r="BV111" s="512"/>
      <c r="BW111" s="513"/>
      <c r="BX111" s="513"/>
      <c r="BY111" s="514"/>
    </row>
    <row r="112" spans="1:77" ht="14.4" thickBot="1">
      <c r="A112" s="515"/>
      <c r="B112" s="516">
        <v>44166</v>
      </c>
      <c r="C112" s="517">
        <v>44166</v>
      </c>
      <c r="D112" s="517">
        <v>44166</v>
      </c>
      <c r="E112" s="518">
        <v>44166</v>
      </c>
      <c r="F112" s="519"/>
      <c r="G112" s="515"/>
      <c r="H112" s="516">
        <v>44136</v>
      </c>
      <c r="I112" s="517">
        <v>44136</v>
      </c>
      <c r="J112" s="517">
        <v>44136</v>
      </c>
      <c r="K112" s="518">
        <v>44136</v>
      </c>
      <c r="L112" s="519"/>
      <c r="M112" s="515"/>
      <c r="N112" s="516">
        <v>44105</v>
      </c>
      <c r="O112" s="517">
        <v>44105</v>
      </c>
      <c r="P112" s="517">
        <v>44105</v>
      </c>
      <c r="Q112" s="518">
        <v>44105</v>
      </c>
      <c r="R112" s="519"/>
      <c r="S112" s="515"/>
      <c r="T112" s="516">
        <v>44075</v>
      </c>
      <c r="U112" s="517">
        <v>44075</v>
      </c>
      <c r="V112" s="517">
        <v>44075</v>
      </c>
      <c r="W112" s="518">
        <v>44075</v>
      </c>
      <c r="X112" s="519"/>
      <c r="Y112" s="515"/>
      <c r="Z112" s="516">
        <v>44044</v>
      </c>
      <c r="AA112" s="517">
        <v>44044</v>
      </c>
      <c r="AB112" s="517">
        <v>44044</v>
      </c>
      <c r="AC112" s="518">
        <v>44044</v>
      </c>
      <c r="AD112" s="519"/>
      <c r="AE112" s="514"/>
      <c r="AF112" s="516">
        <v>44013</v>
      </c>
      <c r="AG112" s="517">
        <v>44013</v>
      </c>
      <c r="AH112" s="517">
        <v>44013</v>
      </c>
      <c r="AI112" s="518">
        <v>44013</v>
      </c>
      <c r="AK112" s="514"/>
      <c r="AL112" s="516">
        <v>43983</v>
      </c>
      <c r="AM112" s="517">
        <v>43983</v>
      </c>
      <c r="AN112" s="517">
        <v>43983</v>
      </c>
      <c r="AO112" s="518">
        <v>43983</v>
      </c>
      <c r="AQ112" s="514"/>
      <c r="AR112" s="516">
        <v>43952</v>
      </c>
      <c r="AS112" s="517">
        <v>43952</v>
      </c>
      <c r="AT112" s="517">
        <v>43952</v>
      </c>
      <c r="AU112" s="517">
        <v>43952</v>
      </c>
      <c r="AW112" s="514"/>
      <c r="AX112" s="516">
        <v>43922</v>
      </c>
      <c r="AY112" s="517">
        <v>43922</v>
      </c>
      <c r="AZ112" s="517">
        <v>43922</v>
      </c>
      <c r="BA112" s="517">
        <v>43922</v>
      </c>
      <c r="BC112" s="514"/>
      <c r="BD112" s="516">
        <v>43891</v>
      </c>
      <c r="BE112" s="517">
        <v>43891</v>
      </c>
      <c r="BF112" s="517">
        <v>43891</v>
      </c>
      <c r="BG112" s="518">
        <v>43891</v>
      </c>
      <c r="BI112" s="514"/>
      <c r="BJ112" s="516">
        <v>43132</v>
      </c>
      <c r="BK112" s="517">
        <v>43132</v>
      </c>
      <c r="BL112" s="517">
        <v>43132</v>
      </c>
      <c r="BM112" s="518">
        <v>43132</v>
      </c>
      <c r="BO112" s="514"/>
      <c r="BP112" s="516">
        <v>42736</v>
      </c>
      <c r="BQ112" s="517">
        <v>42736</v>
      </c>
      <c r="BR112" s="517">
        <v>42736</v>
      </c>
      <c r="BS112" s="518">
        <v>42736</v>
      </c>
      <c r="BU112" s="514"/>
      <c r="BV112" s="516"/>
      <c r="BW112" s="516"/>
      <c r="BX112" s="516"/>
      <c r="BY112" s="516"/>
    </row>
    <row r="113" spans="1:77">
      <c r="A113" s="528" t="s">
        <v>68</v>
      </c>
      <c r="B113" s="1252">
        <v>7912.808</v>
      </c>
      <c r="C113" s="1253">
        <v>645.34400000000005</v>
      </c>
      <c r="D113" s="1254">
        <v>3856.9850000000001</v>
      </c>
      <c r="E113" s="1255">
        <v>12415.137000000001</v>
      </c>
      <c r="F113" s="530"/>
      <c r="G113" s="528" t="s">
        <v>68</v>
      </c>
      <c r="H113" s="1252">
        <v>7326.98</v>
      </c>
      <c r="I113" s="1253">
        <v>565.65800000000002</v>
      </c>
      <c r="J113" s="1254">
        <v>3526.9160000000002</v>
      </c>
      <c r="K113" s="1255">
        <v>11419.554</v>
      </c>
      <c r="L113" s="530"/>
      <c r="M113" s="528" t="s">
        <v>68</v>
      </c>
      <c r="N113" s="1252">
        <v>6622.9539999999997</v>
      </c>
      <c r="O113" s="1253">
        <v>520.56500000000005</v>
      </c>
      <c r="P113" s="1254">
        <v>3198.8989999999999</v>
      </c>
      <c r="Q113" s="1255">
        <v>10342.418</v>
      </c>
      <c r="R113" s="530"/>
      <c r="S113" s="528" t="s">
        <v>68</v>
      </c>
      <c r="T113" s="1252">
        <v>5764.8417811720001</v>
      </c>
      <c r="U113" s="1253">
        <v>476.72849748099998</v>
      </c>
      <c r="V113" s="1254">
        <v>2870.33795788</v>
      </c>
      <c r="W113" s="1255">
        <v>9111.9082365329996</v>
      </c>
      <c r="X113" s="530"/>
      <c r="Y113" s="528" t="s">
        <v>68</v>
      </c>
      <c r="Z113" s="97">
        <v>4944.0379999999996</v>
      </c>
      <c r="AA113" s="98">
        <v>404.72</v>
      </c>
      <c r="AB113" s="526">
        <v>2530.4870000000001</v>
      </c>
      <c r="AC113" s="529">
        <v>7879.2449999999999</v>
      </c>
      <c r="AD113" s="530"/>
      <c r="AE113" s="528" t="s">
        <v>68</v>
      </c>
      <c r="AF113" s="97">
        <v>4094.27</v>
      </c>
      <c r="AG113" s="98">
        <v>363.19</v>
      </c>
      <c r="AH113" s="526">
        <v>2187.6480000000001</v>
      </c>
      <c r="AI113" s="529">
        <v>6645.1080000000002</v>
      </c>
      <c r="AK113" s="528" t="s">
        <v>68</v>
      </c>
      <c r="AL113" s="97">
        <v>3504.0549999999998</v>
      </c>
      <c r="AM113" s="98">
        <v>302.18200000000002</v>
      </c>
      <c r="AN113" s="526">
        <v>1795.203</v>
      </c>
      <c r="AO113" s="529">
        <v>5601.44</v>
      </c>
      <c r="AQ113" s="528" t="s">
        <v>68</v>
      </c>
      <c r="AR113" s="97">
        <v>2918.366</v>
      </c>
      <c r="AS113" s="98">
        <v>256.90899999999999</v>
      </c>
      <c r="AT113" s="526">
        <v>1506.8</v>
      </c>
      <c r="AU113" s="529">
        <v>4682.0749999999998</v>
      </c>
      <c r="AW113" s="528" t="s">
        <v>68</v>
      </c>
      <c r="AX113" s="97">
        <v>2332.6770000000001</v>
      </c>
      <c r="AY113" s="98">
        <v>211.636</v>
      </c>
      <c r="AZ113" s="526">
        <v>1218.3969999999999</v>
      </c>
      <c r="BA113" s="529">
        <v>3762.71</v>
      </c>
      <c r="BC113" s="528" t="s">
        <v>68</v>
      </c>
      <c r="BD113" s="97">
        <v>1776.4770000000001</v>
      </c>
      <c r="BE113" s="98">
        <v>169.63</v>
      </c>
      <c r="BF113" s="526">
        <v>930.31700000000001</v>
      </c>
      <c r="BG113" s="529">
        <v>2876.424</v>
      </c>
      <c r="BI113" s="528" t="s">
        <v>68</v>
      </c>
      <c r="BJ113" s="97">
        <v>1281.3710000000001</v>
      </c>
      <c r="BK113" s="98">
        <v>93.576999999999998</v>
      </c>
      <c r="BL113" s="526">
        <v>602.71799999999996</v>
      </c>
      <c r="BM113" s="529">
        <v>1977.6660000000002</v>
      </c>
      <c r="BO113" s="528" t="s">
        <v>68</v>
      </c>
      <c r="BP113" s="97">
        <v>635.57799999999997</v>
      </c>
      <c r="BQ113" s="98">
        <v>46.658999999999999</v>
      </c>
      <c r="BR113" s="526">
        <v>296.89999999999998</v>
      </c>
      <c r="BS113" s="529">
        <v>979.13699999999994</v>
      </c>
      <c r="BU113" s="528" t="s">
        <v>68</v>
      </c>
      <c r="BV113" s="97">
        <f>AX113</f>
        <v>2332.6770000000001</v>
      </c>
      <c r="BW113" s="98">
        <f t="shared" ref="BW113:BW122" si="21">AY113</f>
        <v>211.636</v>
      </c>
      <c r="BX113" s="526">
        <f t="shared" ref="BX113:BX122" si="22">AZ113</f>
        <v>1218.3969999999999</v>
      </c>
      <c r="BY113" s="529">
        <f t="shared" ref="BY113:BY122" si="23">BA113</f>
        <v>3762.71</v>
      </c>
    </row>
    <row r="114" spans="1:77">
      <c r="A114" s="528" t="s">
        <v>7</v>
      </c>
      <c r="B114" s="1256">
        <v>3948.8049999999998</v>
      </c>
      <c r="C114" s="1257">
        <v>420.58800000000002</v>
      </c>
      <c r="D114" s="1257">
        <v>1484.652</v>
      </c>
      <c r="E114" s="1255">
        <v>5854.0450000000001</v>
      </c>
      <c r="F114" s="530"/>
      <c r="G114" s="528" t="s">
        <v>7</v>
      </c>
      <c r="H114" s="1256">
        <v>3766.7240000000002</v>
      </c>
      <c r="I114" s="1257">
        <v>387.81700000000001</v>
      </c>
      <c r="J114" s="1257">
        <v>1368.624</v>
      </c>
      <c r="K114" s="1255">
        <v>5523.165</v>
      </c>
      <c r="L114" s="530"/>
      <c r="M114" s="528" t="s">
        <v>7</v>
      </c>
      <c r="N114" s="1256">
        <v>3427.7890000000002</v>
      </c>
      <c r="O114" s="1257">
        <v>362.58100000000002</v>
      </c>
      <c r="P114" s="1257">
        <v>1259.123</v>
      </c>
      <c r="Q114" s="1255">
        <v>5049.4930000000004</v>
      </c>
      <c r="R114" s="530"/>
      <c r="S114" s="528" t="s">
        <v>7</v>
      </c>
      <c r="T114" s="1256">
        <v>2985.3620000000001</v>
      </c>
      <c r="U114" s="1257">
        <v>337.34500000000003</v>
      </c>
      <c r="V114" s="1257">
        <v>1135.08</v>
      </c>
      <c r="W114" s="1255">
        <v>4457.7870000000003</v>
      </c>
      <c r="X114" s="530"/>
      <c r="Y114" s="528" t="s">
        <v>7</v>
      </c>
      <c r="Z114" s="533">
        <v>8284.9571069880003</v>
      </c>
      <c r="AA114" s="534">
        <v>337.75799999999998</v>
      </c>
      <c r="AB114" s="534">
        <v>1013.1180000000001</v>
      </c>
      <c r="AC114" s="529">
        <v>9635.8331069880005</v>
      </c>
      <c r="AD114" s="530"/>
      <c r="AE114" s="528" t="s">
        <v>7</v>
      </c>
      <c r="AF114" s="533">
        <v>8191.8710000000001</v>
      </c>
      <c r="AG114" s="534">
        <v>319.00299999999999</v>
      </c>
      <c r="AH114" s="534">
        <v>892.65</v>
      </c>
      <c r="AI114" s="529">
        <v>9403.5239999999994</v>
      </c>
      <c r="AK114" s="528" t="s">
        <v>7</v>
      </c>
      <c r="AL114" s="533">
        <v>7669.0140000000001</v>
      </c>
      <c r="AM114" s="534">
        <v>247.21700000000001</v>
      </c>
      <c r="AN114" s="534">
        <v>736.80599999999981</v>
      </c>
      <c r="AO114" s="529">
        <v>8653.0369999999984</v>
      </c>
      <c r="AQ114" s="528" t="s">
        <v>7</v>
      </c>
      <c r="AR114" s="533">
        <v>5527.54</v>
      </c>
      <c r="AS114" s="534">
        <v>223.04300000000001</v>
      </c>
      <c r="AT114" s="534">
        <v>623.38699999999994</v>
      </c>
      <c r="AU114" s="529">
        <v>6373.9699999999993</v>
      </c>
      <c r="AW114" s="528" t="s">
        <v>7</v>
      </c>
      <c r="AX114" s="533">
        <v>3386.0659999999998</v>
      </c>
      <c r="AY114" s="534">
        <v>198.869</v>
      </c>
      <c r="AZ114" s="534">
        <v>509.96800000000002</v>
      </c>
      <c r="BA114" s="529">
        <v>4094.9029999999998</v>
      </c>
      <c r="BC114" s="528" t="s">
        <v>7</v>
      </c>
      <c r="BD114" s="533">
        <v>1938.9649999999999</v>
      </c>
      <c r="BE114" s="534">
        <v>95.460999999999999</v>
      </c>
      <c r="BF114" s="534">
        <v>381.04500000000002</v>
      </c>
      <c r="BG114" s="529">
        <v>2415.471</v>
      </c>
      <c r="BI114" s="528" t="s">
        <v>7</v>
      </c>
      <c r="BJ114" s="533">
        <v>892.21199999999999</v>
      </c>
      <c r="BK114" s="534">
        <v>63.808</v>
      </c>
      <c r="BL114" s="534">
        <v>260.28199999999998</v>
      </c>
      <c r="BM114" s="529">
        <v>1216.3019999999999</v>
      </c>
      <c r="BO114" s="528" t="s">
        <v>7</v>
      </c>
      <c r="BP114" s="533">
        <v>355.68700000000001</v>
      </c>
      <c r="BQ114" s="534">
        <v>32.838999999999999</v>
      </c>
      <c r="BR114" s="534">
        <v>130.131</v>
      </c>
      <c r="BS114" s="529">
        <v>518.65700000000004</v>
      </c>
      <c r="BU114" s="528" t="s">
        <v>7</v>
      </c>
      <c r="BV114" s="533">
        <f t="shared" ref="BV114:BV122" si="24">AX114</f>
        <v>3386.0659999999998</v>
      </c>
      <c r="BW114" s="534">
        <f t="shared" si="21"/>
        <v>198.869</v>
      </c>
      <c r="BX114" s="534">
        <f t="shared" si="22"/>
        <v>509.96800000000002</v>
      </c>
      <c r="BY114" s="529">
        <f t="shared" si="23"/>
        <v>4094.9029999999998</v>
      </c>
    </row>
    <row r="115" spans="1:77">
      <c r="A115" s="528" t="s">
        <v>8</v>
      </c>
      <c r="B115" s="1256">
        <v>3786.2204502330001</v>
      </c>
      <c r="C115" s="1257">
        <v>667.86360553999998</v>
      </c>
      <c r="D115" s="1257">
        <v>1087.6372711291699</v>
      </c>
      <c r="E115" s="1255">
        <v>5541.7213269021695</v>
      </c>
      <c r="F115" s="530"/>
      <c r="G115" s="528" t="s">
        <v>8</v>
      </c>
      <c r="H115" s="1256">
        <v>3560.4360000000001</v>
      </c>
      <c r="I115" s="1257">
        <v>613.93299999999999</v>
      </c>
      <c r="J115" s="1257">
        <v>983.60599999999999</v>
      </c>
      <c r="K115" s="1255">
        <v>5157.9750000000004</v>
      </c>
      <c r="L115" s="530"/>
      <c r="M115" s="528" t="s">
        <v>8</v>
      </c>
      <c r="N115" s="1256">
        <v>3300.5122201929998</v>
      </c>
      <c r="O115" s="1257">
        <v>570.25257481999995</v>
      </c>
      <c r="P115" s="1257">
        <v>885.94764740917003</v>
      </c>
      <c r="Q115" s="1255">
        <v>4756.7124424221702</v>
      </c>
      <c r="R115" s="530"/>
      <c r="S115" s="528" t="s">
        <v>8</v>
      </c>
      <c r="T115" s="1256">
        <v>2928.8057801929999</v>
      </c>
      <c r="U115" s="1257">
        <v>491.86245481999998</v>
      </c>
      <c r="V115" s="1257">
        <v>800.41819126067003</v>
      </c>
      <c r="W115" s="1255">
        <v>4221.0864262736704</v>
      </c>
      <c r="X115" s="530"/>
      <c r="Y115" s="528" t="s">
        <v>8</v>
      </c>
      <c r="Z115" s="533">
        <v>2723.3809999999999</v>
      </c>
      <c r="AA115" s="534">
        <v>455.96300000000002</v>
      </c>
      <c r="AB115" s="534">
        <v>709.98500000000001</v>
      </c>
      <c r="AC115" s="529">
        <v>3889.3290000000002</v>
      </c>
      <c r="AD115" s="530"/>
      <c r="AE115" s="528" t="s">
        <v>8</v>
      </c>
      <c r="AF115" s="533">
        <v>2411.3780000000002</v>
      </c>
      <c r="AG115" s="534">
        <v>421.21</v>
      </c>
      <c r="AH115" s="534">
        <v>620.65599999999995</v>
      </c>
      <c r="AI115" s="529">
        <v>3453.2440000000001</v>
      </c>
      <c r="AK115" s="528" t="s">
        <v>8</v>
      </c>
      <c r="AL115" s="533">
        <v>2097.0369999999998</v>
      </c>
      <c r="AM115" s="534">
        <v>364.55</v>
      </c>
      <c r="AN115" s="534">
        <v>525.154</v>
      </c>
      <c r="AO115" s="529">
        <v>2986.741</v>
      </c>
      <c r="AQ115" s="528" t="s">
        <v>8</v>
      </c>
      <c r="AR115" s="533">
        <v>1804.8679999999999</v>
      </c>
      <c r="AS115" s="534">
        <v>317.68299999999999</v>
      </c>
      <c r="AT115" s="534">
        <v>441.96899999999999</v>
      </c>
      <c r="AU115" s="529">
        <v>2564.52</v>
      </c>
      <c r="AW115" s="528" t="s">
        <v>8</v>
      </c>
      <c r="AX115" s="533">
        <v>1512.6990000000001</v>
      </c>
      <c r="AY115" s="534">
        <v>270.81599999999997</v>
      </c>
      <c r="AZ115" s="534">
        <v>358.78399999999999</v>
      </c>
      <c r="BA115" s="529">
        <v>2142.299</v>
      </c>
      <c r="BC115" s="528" t="s">
        <v>8</v>
      </c>
      <c r="BD115" s="533">
        <v>1098.624</v>
      </c>
      <c r="BE115" s="534">
        <v>211.51900000000001</v>
      </c>
      <c r="BF115" s="534">
        <v>276.84199999999998</v>
      </c>
      <c r="BG115" s="529">
        <v>1586.9850000000001</v>
      </c>
      <c r="BI115" s="528" t="s">
        <v>8</v>
      </c>
      <c r="BJ115" s="533">
        <v>823.88400000000001</v>
      </c>
      <c r="BK115" s="534">
        <v>129.54400000000001</v>
      </c>
      <c r="BL115" s="534">
        <v>185.422</v>
      </c>
      <c r="BM115" s="529">
        <v>1138.8499999999999</v>
      </c>
      <c r="BO115" s="528" t="s">
        <v>8</v>
      </c>
      <c r="BP115" s="533">
        <v>477.15100000000001</v>
      </c>
      <c r="BQ115" s="534">
        <v>76.067999999999998</v>
      </c>
      <c r="BR115" s="534">
        <v>97.203999999999994</v>
      </c>
      <c r="BS115" s="529">
        <v>650.423</v>
      </c>
      <c r="BU115" s="528" t="s">
        <v>8</v>
      </c>
      <c r="BV115" s="533">
        <f t="shared" si="24"/>
        <v>1512.6990000000001</v>
      </c>
      <c r="BW115" s="534">
        <f t="shared" si="21"/>
        <v>270.81599999999997</v>
      </c>
      <c r="BX115" s="534">
        <f t="shared" si="22"/>
        <v>358.78399999999999</v>
      </c>
      <c r="BY115" s="529">
        <f t="shared" si="23"/>
        <v>2142.299</v>
      </c>
    </row>
    <row r="116" spans="1:77">
      <c r="A116" s="528" t="s">
        <v>4</v>
      </c>
      <c r="B116" s="1256">
        <v>7443.1335827900002</v>
      </c>
      <c r="C116" s="1257">
        <v>766.79141363999997</v>
      </c>
      <c r="D116" s="1257">
        <v>2007.9799966999999</v>
      </c>
      <c r="E116" s="1255">
        <v>10217.90499313</v>
      </c>
      <c r="F116" s="530"/>
      <c r="G116" s="528" t="s">
        <v>4</v>
      </c>
      <c r="H116" s="1256">
        <v>6872.8860000000004</v>
      </c>
      <c r="I116" s="1257">
        <v>680.45600000000002</v>
      </c>
      <c r="J116" s="1257">
        <v>1824.4760000000001</v>
      </c>
      <c r="K116" s="1255">
        <v>9377.8180000000011</v>
      </c>
      <c r="L116" s="530"/>
      <c r="M116" s="528" t="s">
        <v>4</v>
      </c>
      <c r="N116" s="1256">
        <v>6253.5479999999998</v>
      </c>
      <c r="O116" s="1257">
        <v>619.16</v>
      </c>
      <c r="P116" s="1257">
        <v>1653.971</v>
      </c>
      <c r="Q116" s="1255">
        <v>8526.6790000000001</v>
      </c>
      <c r="R116" s="530"/>
      <c r="S116" s="528" t="s">
        <v>4</v>
      </c>
      <c r="T116" s="1256">
        <v>5625.2795841300003</v>
      </c>
      <c r="U116" s="1257">
        <v>571.1097843</v>
      </c>
      <c r="V116" s="1257">
        <v>1499.90295956</v>
      </c>
      <c r="W116" s="1255">
        <v>7696.2923279900006</v>
      </c>
      <c r="X116" s="530"/>
      <c r="Y116" s="528" t="s">
        <v>4</v>
      </c>
      <c r="Z116" s="533">
        <v>5073.3661477200003</v>
      </c>
      <c r="AA116" s="534">
        <v>512.68453995000004</v>
      </c>
      <c r="AB116" s="534">
        <v>1343.538</v>
      </c>
      <c r="AC116" s="529">
        <v>6929.5886876700006</v>
      </c>
      <c r="AD116" s="530"/>
      <c r="AE116" s="528" t="s">
        <v>4</v>
      </c>
      <c r="AF116" s="533">
        <v>4438.6130000000003</v>
      </c>
      <c r="AG116" s="534">
        <v>464.072</v>
      </c>
      <c r="AH116" s="534">
        <v>1184.2570000000001</v>
      </c>
      <c r="AI116" s="529">
        <v>6086.9420000000009</v>
      </c>
      <c r="AK116" s="528" t="s">
        <v>4</v>
      </c>
      <c r="AL116" s="533">
        <v>3990.9219999999996</v>
      </c>
      <c r="AM116" s="534">
        <v>411.76000000000005</v>
      </c>
      <c r="AN116" s="534">
        <v>1008.4930000000001</v>
      </c>
      <c r="AO116" s="529">
        <v>5411.1749999999993</v>
      </c>
      <c r="AQ116" s="528" t="s">
        <v>4</v>
      </c>
      <c r="AR116" s="533">
        <v>3423.3229999999999</v>
      </c>
      <c r="AS116" s="534">
        <v>346.80900000000003</v>
      </c>
      <c r="AT116" s="534">
        <v>844.59500000000003</v>
      </c>
      <c r="AU116" s="529">
        <v>4614.7269999999999</v>
      </c>
      <c r="AW116" s="528" t="s">
        <v>4</v>
      </c>
      <c r="AX116" s="533">
        <v>2855.7240000000002</v>
      </c>
      <c r="AY116" s="534">
        <v>281.858</v>
      </c>
      <c r="AZ116" s="534">
        <v>680.697</v>
      </c>
      <c r="BA116" s="529">
        <v>3818.2790000000005</v>
      </c>
      <c r="BC116" s="528" t="s">
        <v>4</v>
      </c>
      <c r="BD116" s="533">
        <v>2206.056</v>
      </c>
      <c r="BE116" s="534">
        <v>222.83500000000001</v>
      </c>
      <c r="BF116" s="534">
        <v>514.82299999999998</v>
      </c>
      <c r="BG116" s="529">
        <v>2943.7139999999999</v>
      </c>
      <c r="BI116" s="528" t="s">
        <v>4</v>
      </c>
      <c r="BJ116" s="533">
        <v>1593.7339999999999</v>
      </c>
      <c r="BK116" s="534">
        <v>143.76900000000001</v>
      </c>
      <c r="BL116" s="534">
        <v>365.43099999999998</v>
      </c>
      <c r="BM116" s="529">
        <v>2102.9339999999997</v>
      </c>
      <c r="BO116" s="528" t="s">
        <v>4</v>
      </c>
      <c r="BP116" s="533">
        <v>801.43100000000004</v>
      </c>
      <c r="BQ116" s="534">
        <v>74.929000000000002</v>
      </c>
      <c r="BR116" s="534">
        <v>201.01599999999999</v>
      </c>
      <c r="BS116" s="529">
        <v>1077.376</v>
      </c>
      <c r="BU116" s="528" t="s">
        <v>4</v>
      </c>
      <c r="BV116" s="533">
        <f t="shared" si="24"/>
        <v>2855.7240000000002</v>
      </c>
      <c r="BW116" s="534">
        <f t="shared" si="21"/>
        <v>281.858</v>
      </c>
      <c r="BX116" s="534">
        <f t="shared" si="22"/>
        <v>680.697</v>
      </c>
      <c r="BY116" s="529">
        <f t="shared" si="23"/>
        <v>3818.2790000000005</v>
      </c>
    </row>
    <row r="117" spans="1:77">
      <c r="A117" s="535" t="s">
        <v>3</v>
      </c>
      <c r="B117" s="1256">
        <v>4841.7688412099997</v>
      </c>
      <c r="C117" s="1257">
        <v>533.59584917999996</v>
      </c>
      <c r="D117" s="1257">
        <v>1470.3144333600001</v>
      </c>
      <c r="E117" s="1255">
        <v>6845.6791237500001</v>
      </c>
      <c r="F117" s="530"/>
      <c r="G117" s="535" t="s">
        <v>3</v>
      </c>
      <c r="H117" s="1256">
        <v>4489.9470000000001</v>
      </c>
      <c r="I117" s="1257">
        <v>448.44600000000003</v>
      </c>
      <c r="J117" s="1257">
        <v>1342.038</v>
      </c>
      <c r="K117" s="1255">
        <v>6280.4310000000005</v>
      </c>
      <c r="L117" s="530"/>
      <c r="M117" s="535" t="s">
        <v>3</v>
      </c>
      <c r="N117" s="1256">
        <v>4070.8589999999999</v>
      </c>
      <c r="O117" s="1257">
        <v>430.584</v>
      </c>
      <c r="P117" s="1257">
        <v>1216.037</v>
      </c>
      <c r="Q117" s="1255">
        <v>5717.4800000000005</v>
      </c>
      <c r="R117" s="530"/>
      <c r="S117" s="535" t="s">
        <v>3</v>
      </c>
      <c r="T117" s="1256">
        <v>3715.9230965000002</v>
      </c>
      <c r="U117" s="1257">
        <v>401.09057981000001</v>
      </c>
      <c r="V117" s="1257">
        <v>1098.38349343</v>
      </c>
      <c r="W117" s="1255">
        <v>5215.3971697400002</v>
      </c>
      <c r="X117" s="530"/>
      <c r="Y117" s="535" t="s">
        <v>3</v>
      </c>
      <c r="Z117" s="533">
        <v>3427.913</v>
      </c>
      <c r="AA117" s="534">
        <v>341.86200000000002</v>
      </c>
      <c r="AB117" s="534">
        <v>980.54200000000003</v>
      </c>
      <c r="AC117" s="529">
        <v>4750.317</v>
      </c>
      <c r="AD117" s="530"/>
      <c r="AE117" s="535" t="s">
        <v>3</v>
      </c>
      <c r="AF117" s="533">
        <v>3017.8760000000002</v>
      </c>
      <c r="AG117" s="534">
        <v>328.50900000000001</v>
      </c>
      <c r="AH117" s="534">
        <v>851.81299999999999</v>
      </c>
      <c r="AI117" s="529">
        <v>4198.1980000000003</v>
      </c>
      <c r="AK117" s="535" t="s">
        <v>3</v>
      </c>
      <c r="AL117" s="533">
        <v>2850.8159999999998</v>
      </c>
      <c r="AM117" s="534">
        <v>253.77200000000002</v>
      </c>
      <c r="AN117" s="534">
        <v>717.14599999999996</v>
      </c>
      <c r="AO117" s="529">
        <v>3821.7339999999995</v>
      </c>
      <c r="AQ117" s="535" t="s">
        <v>3</v>
      </c>
      <c r="AR117" s="533">
        <v>2412.81</v>
      </c>
      <c r="AS117" s="534">
        <v>232.18700000000001</v>
      </c>
      <c r="AT117" s="534">
        <v>607.93700000000001</v>
      </c>
      <c r="AU117" s="529">
        <v>3252.9339999999997</v>
      </c>
      <c r="AW117" s="535" t="s">
        <v>3</v>
      </c>
      <c r="AX117" s="533">
        <v>1974.8040000000001</v>
      </c>
      <c r="AY117" s="534">
        <v>210.602</v>
      </c>
      <c r="AZ117" s="534">
        <v>498.72800000000001</v>
      </c>
      <c r="BA117" s="529">
        <v>2684.134</v>
      </c>
      <c r="BC117" s="535" t="s">
        <v>3</v>
      </c>
      <c r="BD117" s="533">
        <v>1492.5170000000001</v>
      </c>
      <c r="BE117" s="534">
        <v>176.197</v>
      </c>
      <c r="BF117" s="534">
        <v>382.30099999999999</v>
      </c>
      <c r="BG117" s="529">
        <v>2051.0149999999999</v>
      </c>
      <c r="BI117" s="535" t="s">
        <v>3</v>
      </c>
      <c r="BJ117" s="533">
        <v>1093.489</v>
      </c>
      <c r="BK117" s="534">
        <v>70.171000000000006</v>
      </c>
      <c r="BL117" s="534">
        <v>252.392</v>
      </c>
      <c r="BM117" s="529">
        <v>1416.0520000000001</v>
      </c>
      <c r="BO117" s="535" t="s">
        <v>3</v>
      </c>
      <c r="BP117" s="533">
        <v>516.17499999999995</v>
      </c>
      <c r="BQ117" s="534">
        <v>40.112000000000002</v>
      </c>
      <c r="BR117" s="534">
        <v>131.18899999999999</v>
      </c>
      <c r="BS117" s="529">
        <v>687.47599999999989</v>
      </c>
      <c r="BU117" s="535" t="s">
        <v>3</v>
      </c>
      <c r="BV117" s="533">
        <f t="shared" si="24"/>
        <v>1974.8040000000001</v>
      </c>
      <c r="BW117" s="534">
        <f t="shared" si="21"/>
        <v>210.602</v>
      </c>
      <c r="BX117" s="534">
        <f t="shared" si="22"/>
        <v>498.72800000000001</v>
      </c>
      <c r="BY117" s="529">
        <f t="shared" si="23"/>
        <v>2684.134</v>
      </c>
    </row>
    <row r="118" spans="1:77">
      <c r="A118" s="522" t="s">
        <v>397</v>
      </c>
      <c r="B118" s="1258">
        <v>5542.7112342549999</v>
      </c>
      <c r="C118" s="1261">
        <v>518.27657640999996</v>
      </c>
      <c r="D118" s="1262">
        <v>1391.14848373</v>
      </c>
      <c r="E118" s="1255">
        <v>7452.1362943949989</v>
      </c>
      <c r="F118" s="530"/>
      <c r="G118" s="522" t="s">
        <v>397</v>
      </c>
      <c r="H118" s="1258">
        <v>5090.2830000000004</v>
      </c>
      <c r="I118" s="1261">
        <v>475.34500000000003</v>
      </c>
      <c r="J118" s="1262">
        <v>1269.768</v>
      </c>
      <c r="K118" s="1255">
        <v>6835.3960000000006</v>
      </c>
      <c r="L118" s="530"/>
      <c r="M118" s="522" t="s">
        <v>397</v>
      </c>
      <c r="N118" s="1258">
        <v>4648.6040000000003</v>
      </c>
      <c r="O118" s="1261">
        <v>432.05799999999999</v>
      </c>
      <c r="P118" s="1262">
        <v>1159.413</v>
      </c>
      <c r="Q118" s="1255">
        <v>6240.0750000000007</v>
      </c>
      <c r="R118" s="530"/>
      <c r="S118" s="522" t="s">
        <v>397</v>
      </c>
      <c r="T118" s="1258">
        <v>4124.4295723149999</v>
      </c>
      <c r="U118" s="1261">
        <v>391.11322095000003</v>
      </c>
      <c r="V118" s="1262">
        <v>1052.7370000000001</v>
      </c>
      <c r="W118" s="1255">
        <v>5568.2797932650001</v>
      </c>
      <c r="X118" s="530"/>
      <c r="Y118" s="522" t="s">
        <v>397</v>
      </c>
      <c r="Z118" s="523">
        <v>3633.5664369649999</v>
      </c>
      <c r="AA118" s="103">
        <v>357.20453656000001</v>
      </c>
      <c r="AB118" s="102">
        <v>940.36100118000002</v>
      </c>
      <c r="AC118" s="529">
        <v>4931.1319747050002</v>
      </c>
      <c r="AD118" s="530"/>
      <c r="AE118" s="522" t="s">
        <v>397</v>
      </c>
      <c r="AF118" s="523">
        <v>3151.5219999999999</v>
      </c>
      <c r="AG118" s="103">
        <v>319.58999999999997</v>
      </c>
      <c r="AH118" s="102">
        <v>825.79399999999998</v>
      </c>
      <c r="AI118" s="529">
        <v>4296.9059999999999</v>
      </c>
      <c r="AK118" s="522" t="s">
        <v>397</v>
      </c>
      <c r="AL118" s="523">
        <v>2757.5119999999997</v>
      </c>
      <c r="AM118" s="103">
        <v>290.70499999999998</v>
      </c>
      <c r="AN118" s="102">
        <v>696.67200000000003</v>
      </c>
      <c r="AO118" s="529">
        <v>3744.8890000000001</v>
      </c>
      <c r="AQ118" s="522" t="s">
        <v>397</v>
      </c>
      <c r="AR118" s="523">
        <v>2330.232</v>
      </c>
      <c r="AS118" s="103">
        <v>243.08099999999999</v>
      </c>
      <c r="AT118" s="102">
        <v>590.61599999999999</v>
      </c>
      <c r="AU118" s="529">
        <v>3163.9290000000001</v>
      </c>
      <c r="AW118" s="522" t="s">
        <v>397</v>
      </c>
      <c r="AX118" s="523">
        <v>1902.952</v>
      </c>
      <c r="AY118" s="103">
        <v>195.45699999999999</v>
      </c>
      <c r="AZ118" s="102">
        <v>484.56</v>
      </c>
      <c r="BA118" s="529">
        <v>2582.9690000000001</v>
      </c>
      <c r="BC118" s="522" t="s">
        <v>397</v>
      </c>
      <c r="BD118" s="523">
        <v>951.79200000000003</v>
      </c>
      <c r="BE118" s="103">
        <v>107.682</v>
      </c>
      <c r="BF118" s="102">
        <v>367.26100000000002</v>
      </c>
      <c r="BG118" s="529">
        <v>1426.7349999999999</v>
      </c>
      <c r="BI118" s="522" t="s">
        <v>397</v>
      </c>
      <c r="BJ118" s="523">
        <v>951.79200000000003</v>
      </c>
      <c r="BK118" s="103">
        <v>107.682</v>
      </c>
      <c r="BL118" s="102">
        <v>235.66399999999999</v>
      </c>
      <c r="BM118" s="529">
        <v>1295.1379999999999</v>
      </c>
      <c r="BO118" s="522" t="s">
        <v>397</v>
      </c>
      <c r="BP118" s="523">
        <v>470.73599999999999</v>
      </c>
      <c r="BQ118" s="103">
        <v>49.413600000000002</v>
      </c>
      <c r="BR118" s="102">
        <v>0.12524199999999999</v>
      </c>
      <c r="BS118" s="529">
        <v>520.27484199999992</v>
      </c>
      <c r="BU118" s="522" t="s">
        <v>9</v>
      </c>
      <c r="BV118" s="533">
        <f t="shared" si="24"/>
        <v>1902.952</v>
      </c>
      <c r="BW118" s="534">
        <f t="shared" si="21"/>
        <v>195.45699999999999</v>
      </c>
      <c r="BX118" s="534">
        <f t="shared" si="22"/>
        <v>484.56</v>
      </c>
      <c r="BY118" s="529">
        <f t="shared" si="23"/>
        <v>2582.9690000000001</v>
      </c>
    </row>
    <row r="119" spans="1:77" ht="27.6">
      <c r="A119" s="528" t="s">
        <v>399</v>
      </c>
      <c r="B119" s="1260">
        <v>5419.36914334631</v>
      </c>
      <c r="C119" s="1261">
        <v>605.09286125750202</v>
      </c>
      <c r="D119" s="1262">
        <v>3130.6823413699999</v>
      </c>
      <c r="E119" s="1255">
        <v>9155.1443459738111</v>
      </c>
      <c r="F119" s="530"/>
      <c r="G119" s="528" t="s">
        <v>399</v>
      </c>
      <c r="H119" s="1260">
        <v>5058.34</v>
      </c>
      <c r="I119" s="1261">
        <v>468.07</v>
      </c>
      <c r="J119" s="1262">
        <v>2876.3820000000001</v>
      </c>
      <c r="K119" s="1255">
        <v>8402.7919999999995</v>
      </c>
      <c r="L119" s="530"/>
      <c r="M119" s="528" t="s">
        <v>399</v>
      </c>
      <c r="N119" s="1260">
        <v>4604.6610000000001</v>
      </c>
      <c r="O119" s="1261">
        <v>453.53199999999998</v>
      </c>
      <c r="P119" s="1262">
        <v>2622.1979999999999</v>
      </c>
      <c r="Q119" s="1255">
        <v>7680.3909999999996</v>
      </c>
      <c r="R119" s="530"/>
      <c r="S119" s="528" t="s">
        <v>399</v>
      </c>
      <c r="T119" s="1260">
        <v>3983.6840665363102</v>
      </c>
      <c r="U119" s="1261">
        <v>448.089014597502</v>
      </c>
      <c r="V119" s="1262">
        <v>2371.79600295</v>
      </c>
      <c r="W119" s="1255">
        <v>6803.5690840838124</v>
      </c>
      <c r="X119" s="530"/>
      <c r="Y119" s="528" t="s">
        <v>399</v>
      </c>
      <c r="Z119" s="108">
        <v>3548.0837617863099</v>
      </c>
      <c r="AA119" s="103">
        <v>328.72801605750197</v>
      </c>
      <c r="AB119" s="102">
        <v>2121.0472750499998</v>
      </c>
      <c r="AC119" s="529">
        <v>5997.8590528938112</v>
      </c>
      <c r="AD119" s="530"/>
      <c r="AE119" s="528" t="s">
        <v>399</v>
      </c>
      <c r="AF119" s="108">
        <v>3055.944</v>
      </c>
      <c r="AG119" s="103">
        <v>316.15699999999998</v>
      </c>
      <c r="AH119" s="102">
        <v>1885.2660000000001</v>
      </c>
      <c r="AI119" s="529">
        <v>5257.3670000000002</v>
      </c>
      <c r="AK119" s="528" t="s">
        <v>399</v>
      </c>
      <c r="AL119" s="108">
        <v>2661.527</v>
      </c>
      <c r="AM119" s="539">
        <v>213.94900000000001</v>
      </c>
      <c r="AN119" s="102">
        <v>1453.6129999999998</v>
      </c>
      <c r="AO119" s="529">
        <v>4329.0889999999999</v>
      </c>
      <c r="AQ119" s="528" t="s">
        <v>399</v>
      </c>
      <c r="AR119" s="108">
        <v>2269.1759999999999</v>
      </c>
      <c r="AS119" s="103">
        <v>197.78200000000001</v>
      </c>
      <c r="AT119" s="102">
        <v>1230.5129999999999</v>
      </c>
      <c r="AU119" s="529">
        <v>3697.471</v>
      </c>
      <c r="AW119" s="528" t="s">
        <v>399</v>
      </c>
      <c r="AX119" s="108">
        <v>1876.825</v>
      </c>
      <c r="AY119" s="103">
        <v>181.61500000000001</v>
      </c>
      <c r="AZ119" s="102">
        <v>1007.413</v>
      </c>
      <c r="BA119" s="529">
        <v>3065.8530000000001</v>
      </c>
      <c r="BC119" s="528" t="s">
        <v>399</v>
      </c>
      <c r="BD119" s="108">
        <v>1386.3989999999999</v>
      </c>
      <c r="BE119" s="103">
        <v>174.63800000000001</v>
      </c>
      <c r="BF119" s="102">
        <v>790.05200000000002</v>
      </c>
      <c r="BG119" s="529">
        <v>2351.0889999999999</v>
      </c>
      <c r="BI119" s="528" t="s">
        <v>399</v>
      </c>
      <c r="BJ119" s="108">
        <v>1017.569</v>
      </c>
      <c r="BK119" s="103">
        <v>30.527999999999999</v>
      </c>
      <c r="BL119" s="102">
        <v>517.06700000000001</v>
      </c>
      <c r="BM119" s="529">
        <v>1565.164</v>
      </c>
      <c r="BO119" s="528" t="s">
        <v>399</v>
      </c>
      <c r="BP119" s="108">
        <v>516.67399999999998</v>
      </c>
      <c r="BQ119" s="103">
        <v>11.558999999999999</v>
      </c>
      <c r="BR119" s="102">
        <v>264.29000000000002</v>
      </c>
      <c r="BS119" s="529">
        <v>792.52299999999991</v>
      </c>
      <c r="BU119" s="528" t="s">
        <v>5</v>
      </c>
      <c r="BV119" s="533">
        <f t="shared" si="24"/>
        <v>1876.825</v>
      </c>
      <c r="BW119" s="534">
        <f t="shared" si="21"/>
        <v>181.61500000000001</v>
      </c>
      <c r="BX119" s="534">
        <f t="shared" si="22"/>
        <v>1007.413</v>
      </c>
      <c r="BY119" s="529">
        <f t="shared" si="23"/>
        <v>3065.8530000000001</v>
      </c>
    </row>
    <row r="120" spans="1:77">
      <c r="A120" s="528" t="s">
        <v>883</v>
      </c>
      <c r="B120" s="1256"/>
      <c r="C120" s="1257"/>
      <c r="D120" s="1257"/>
      <c r="E120" s="1255"/>
      <c r="F120" s="530"/>
      <c r="G120" s="528" t="s">
        <v>883</v>
      </c>
      <c r="H120" s="1256"/>
      <c r="I120" s="1257"/>
      <c r="J120" s="1257"/>
      <c r="K120" s="1255"/>
      <c r="L120" s="530"/>
      <c r="M120" s="528" t="s">
        <v>883</v>
      </c>
      <c r="N120" s="1256"/>
      <c r="O120" s="1257"/>
      <c r="P120" s="1257"/>
      <c r="Q120" s="1255"/>
      <c r="R120" s="530"/>
      <c r="S120" s="528" t="s">
        <v>883</v>
      </c>
      <c r="T120" s="1256"/>
      <c r="U120" s="1257"/>
      <c r="V120" s="1257"/>
      <c r="W120" s="1255"/>
      <c r="X120" s="530"/>
      <c r="Y120" s="528" t="s">
        <v>883</v>
      </c>
      <c r="Z120" s="533"/>
      <c r="AA120" s="534"/>
      <c r="AB120" s="534"/>
      <c r="AC120" s="529"/>
      <c r="AD120" s="530"/>
      <c r="AE120" s="528" t="s">
        <v>883</v>
      </c>
      <c r="AF120" s="533"/>
      <c r="AG120" s="534"/>
      <c r="AH120" s="534"/>
      <c r="AI120" s="529"/>
      <c r="AK120" s="528" t="s">
        <v>883</v>
      </c>
      <c r="AL120" s="533"/>
      <c r="AM120" s="534"/>
      <c r="AN120" s="534"/>
      <c r="AO120" s="529"/>
      <c r="AQ120" s="528" t="s">
        <v>883</v>
      </c>
      <c r="AR120" s="533"/>
      <c r="AS120" s="534"/>
      <c r="AT120" s="534"/>
      <c r="AU120" s="529"/>
      <c r="AW120" s="528" t="s">
        <v>883</v>
      </c>
      <c r="AX120" s="533">
        <v>3762.2553692699998</v>
      </c>
      <c r="AY120" s="534">
        <v>573.78607424999996</v>
      </c>
      <c r="AZ120" s="534">
        <v>1555.3819926399999</v>
      </c>
      <c r="BA120" s="529">
        <f>SUM(AX120:AZ120)</f>
        <v>5891.4234361600002</v>
      </c>
      <c r="BC120" s="528" t="s">
        <v>883</v>
      </c>
      <c r="BD120" s="533">
        <v>1070.7293834266</v>
      </c>
      <c r="BE120" s="534">
        <f>0.394646+320.071045</f>
        <v>320.46569100000005</v>
      </c>
      <c r="BF120" s="534">
        <f>100.561482+1062.156398</f>
        <v>1162.7178800000002</v>
      </c>
      <c r="BG120" s="529">
        <f>SUM(BD120:BF120)</f>
        <v>2553.9129544266002</v>
      </c>
      <c r="BI120" s="528" t="s">
        <v>883</v>
      </c>
      <c r="BJ120" s="533">
        <v>618.32541414000002</v>
      </c>
      <c r="BK120" s="534">
        <v>104.36189342999999</v>
      </c>
      <c r="BL120" s="534">
        <v>250.12181580999999</v>
      </c>
      <c r="BM120" s="529">
        <f>SUM(BJ120:BL120)</f>
        <v>972.80912338000007</v>
      </c>
      <c r="BO120" s="528" t="s">
        <v>883</v>
      </c>
      <c r="BP120" s="533">
        <v>351.07463618000003</v>
      </c>
      <c r="BQ120" s="534">
        <v>53.906172959999999</v>
      </c>
      <c r="BR120" s="534">
        <v>136.23600618</v>
      </c>
      <c r="BS120" s="529">
        <f>SUM(BP120:BR120)</f>
        <v>541.21681532000002</v>
      </c>
      <c r="BU120" s="528" t="s">
        <v>883</v>
      </c>
      <c r="BV120" s="533">
        <f t="shared" si="24"/>
        <v>3762.2553692699998</v>
      </c>
      <c r="BW120" s="534">
        <f t="shared" si="21"/>
        <v>573.78607424999996</v>
      </c>
      <c r="BX120" s="534">
        <f t="shared" si="22"/>
        <v>1555.3819926399999</v>
      </c>
      <c r="BY120" s="529">
        <f t="shared" si="23"/>
        <v>5891.4234361600002</v>
      </c>
    </row>
    <row r="121" spans="1:77">
      <c r="A121" s="528" t="s">
        <v>884</v>
      </c>
      <c r="B121" s="1256"/>
      <c r="C121" s="1257"/>
      <c r="D121" s="1257"/>
      <c r="E121" s="1255"/>
      <c r="F121" s="530"/>
      <c r="G121" s="528" t="s">
        <v>884</v>
      </c>
      <c r="H121" s="1256"/>
      <c r="I121" s="1257"/>
      <c r="J121" s="1257"/>
      <c r="K121" s="1255"/>
      <c r="L121" s="530"/>
      <c r="M121" s="528" t="s">
        <v>884</v>
      </c>
      <c r="N121" s="1256"/>
      <c r="O121" s="1257"/>
      <c r="P121" s="1257"/>
      <c r="Q121" s="1255"/>
      <c r="R121" s="530"/>
      <c r="S121" s="528" t="s">
        <v>884</v>
      </c>
      <c r="T121" s="1256"/>
      <c r="U121" s="1257"/>
      <c r="V121" s="1257"/>
      <c r="W121" s="1255"/>
      <c r="X121" s="530"/>
      <c r="Y121" s="528" t="s">
        <v>884</v>
      </c>
      <c r="Z121" s="533"/>
      <c r="AA121" s="534"/>
      <c r="AB121" s="534"/>
      <c r="AC121" s="529"/>
      <c r="AD121" s="530"/>
      <c r="AE121" s="528" t="s">
        <v>884</v>
      </c>
      <c r="AF121" s="533"/>
      <c r="AG121" s="534"/>
      <c r="AH121" s="534"/>
      <c r="AI121" s="529"/>
      <c r="AK121" s="528" t="s">
        <v>884</v>
      </c>
      <c r="AL121" s="533"/>
      <c r="AM121" s="534"/>
      <c r="AN121" s="534"/>
      <c r="AO121" s="529"/>
      <c r="AQ121" s="528" t="s">
        <v>884</v>
      </c>
      <c r="AR121" s="533"/>
      <c r="AS121" s="534"/>
      <c r="AT121" s="534"/>
      <c r="AU121" s="529"/>
      <c r="AW121" s="528" t="s">
        <v>884</v>
      </c>
      <c r="AX121" s="533">
        <v>4823.6574149542403</v>
      </c>
      <c r="AY121" s="534">
        <v>593.96991259000004</v>
      </c>
      <c r="AZ121" s="534">
        <v>1483.76312380591</v>
      </c>
      <c r="BA121" s="529">
        <f>SUM(AX121:AZ121)</f>
        <v>6901.3904513501502</v>
      </c>
      <c r="BC121" s="528" t="s">
        <v>884</v>
      </c>
      <c r="BD121" s="533">
        <v>1005.53430157</v>
      </c>
      <c r="BE121" s="534">
        <v>177.12673000000001</v>
      </c>
      <c r="BF121" s="534">
        <v>347.68829899999997</v>
      </c>
      <c r="BG121" s="529">
        <f>SUM(BD121:BF121)</f>
        <v>1530.3493305699999</v>
      </c>
      <c r="BI121" s="528" t="s">
        <v>884</v>
      </c>
      <c r="BJ121" s="533">
        <v>640.51236681</v>
      </c>
      <c r="BK121" s="534">
        <v>122.56589446</v>
      </c>
      <c r="BL121" s="534">
        <v>233.35563819999999</v>
      </c>
      <c r="BM121" s="529">
        <f>SUM(BJ121:BL121)</f>
        <v>996.43389946999991</v>
      </c>
      <c r="BO121" s="528" t="s">
        <v>884</v>
      </c>
      <c r="BP121" s="533">
        <v>277.06866993</v>
      </c>
      <c r="BQ121" s="534">
        <v>64.636607310000002</v>
      </c>
      <c r="BR121" s="534">
        <v>116.75639355</v>
      </c>
      <c r="BS121" s="529">
        <f>SUM(BP121:BR121)</f>
        <v>458.46167078999997</v>
      </c>
      <c r="BU121" s="528" t="s">
        <v>884</v>
      </c>
      <c r="BV121" s="533">
        <f t="shared" si="24"/>
        <v>4823.6574149542403</v>
      </c>
      <c r="BW121" s="534">
        <f t="shared" si="21"/>
        <v>593.96991259000004</v>
      </c>
      <c r="BX121" s="534">
        <f t="shared" si="22"/>
        <v>1483.76312380591</v>
      </c>
      <c r="BY121" s="529">
        <f t="shared" si="23"/>
        <v>6901.3904513501502</v>
      </c>
    </row>
    <row r="122" spans="1:77" ht="27.6">
      <c r="A122" s="528" t="s">
        <v>885</v>
      </c>
      <c r="B122" s="1258"/>
      <c r="C122" s="1259"/>
      <c r="D122" s="1257"/>
      <c r="E122" s="1255"/>
      <c r="F122" s="530"/>
      <c r="G122" s="528" t="s">
        <v>885</v>
      </c>
      <c r="H122" s="1258"/>
      <c r="I122" s="1259"/>
      <c r="J122" s="1257"/>
      <c r="K122" s="1255"/>
      <c r="L122" s="530"/>
      <c r="M122" s="528" t="s">
        <v>885</v>
      </c>
      <c r="N122" s="1258"/>
      <c r="O122" s="1259"/>
      <c r="P122" s="1257"/>
      <c r="Q122" s="1255"/>
      <c r="R122" s="530"/>
      <c r="S122" s="528" t="s">
        <v>885</v>
      </c>
      <c r="T122" s="1258"/>
      <c r="U122" s="1259"/>
      <c r="V122" s="1257"/>
      <c r="W122" s="1255"/>
      <c r="X122" s="530"/>
      <c r="Y122" s="528" t="s">
        <v>885</v>
      </c>
      <c r="Z122" s="523"/>
      <c r="AA122" s="99"/>
      <c r="AB122" s="534"/>
      <c r="AC122" s="529"/>
      <c r="AD122" s="530"/>
      <c r="AE122" s="528" t="s">
        <v>885</v>
      </c>
      <c r="AF122" s="523"/>
      <c r="AG122" s="99"/>
      <c r="AH122" s="534"/>
      <c r="AI122" s="529"/>
      <c r="AJ122" s="538"/>
      <c r="AK122" s="528" t="s">
        <v>885</v>
      </c>
      <c r="AL122" s="523"/>
      <c r="AM122" s="99"/>
      <c r="AN122" s="534"/>
      <c r="AO122" s="529"/>
      <c r="AP122" s="538"/>
      <c r="AQ122" s="528" t="s">
        <v>885</v>
      </c>
      <c r="AR122" s="523"/>
      <c r="AS122" s="99"/>
      <c r="AT122" s="534"/>
      <c r="AU122" s="529"/>
      <c r="AV122" s="538"/>
      <c r="AW122" s="528" t="s">
        <v>885</v>
      </c>
      <c r="AX122" s="523">
        <v>1218.4015730399999</v>
      </c>
      <c r="AY122" s="99">
        <v>251.16023249</v>
      </c>
      <c r="AZ122" s="534">
        <v>416.44494445999999</v>
      </c>
      <c r="BA122" s="529">
        <f>SUM(AX122:AZ122)</f>
        <v>1886.0067499899999</v>
      </c>
      <c r="BB122" s="538"/>
      <c r="BC122" s="528" t="s">
        <v>885</v>
      </c>
      <c r="BD122" s="523">
        <v>392.410933</v>
      </c>
      <c r="BE122" s="99">
        <v>51.560726000000003</v>
      </c>
      <c r="BF122" s="534">
        <v>113.83228699999999</v>
      </c>
      <c r="BG122" s="529">
        <f>SUM(BD122:BF122)</f>
        <v>557.803946</v>
      </c>
      <c r="BH122" s="538"/>
      <c r="BI122" s="528" t="s">
        <v>885</v>
      </c>
      <c r="BJ122" s="523">
        <v>230.66843277000001</v>
      </c>
      <c r="BK122" s="99">
        <v>48.503740809999996</v>
      </c>
      <c r="BL122" s="534">
        <v>80.573532572999994</v>
      </c>
      <c r="BM122" s="529">
        <f>SUM(BJ122:BL122)</f>
        <v>359.74570615300001</v>
      </c>
      <c r="BN122" s="538"/>
      <c r="BO122" s="528" t="s">
        <v>885</v>
      </c>
      <c r="BP122" s="523">
        <v>150.62587704000001</v>
      </c>
      <c r="BQ122" s="99">
        <v>25.021949129999999</v>
      </c>
      <c r="BR122" s="534">
        <v>42.432566979999997</v>
      </c>
      <c r="BS122" s="529">
        <f>SUM(BP122:BR122)</f>
        <v>218.08039314999999</v>
      </c>
      <c r="BU122" s="528" t="s">
        <v>885</v>
      </c>
      <c r="BV122" s="523">
        <f t="shared" si="24"/>
        <v>1218.4015730399999</v>
      </c>
      <c r="BW122" s="99">
        <f t="shared" si="21"/>
        <v>251.16023249</v>
      </c>
      <c r="BX122" s="534">
        <f t="shared" si="22"/>
        <v>416.44494445999999</v>
      </c>
      <c r="BY122" s="529">
        <f t="shared" si="23"/>
        <v>1886.0067499899999</v>
      </c>
    </row>
    <row r="123" spans="1:77" ht="14.4" thickBot="1">
      <c r="A123" s="540" t="s">
        <v>16</v>
      </c>
      <c r="B123" s="544">
        <f>SUM(B113:B122)</f>
        <v>38894.816251834309</v>
      </c>
      <c r="C123" s="545">
        <f>SUM(C113:C122)</f>
        <v>4157.5523060275018</v>
      </c>
      <c r="D123" s="545">
        <f>SUM(D113:D122)</f>
        <v>14429.399526289169</v>
      </c>
      <c r="E123" s="1312">
        <f>SUM(E113:E122)</f>
        <v>57481.768084150986</v>
      </c>
      <c r="F123" s="547"/>
      <c r="G123" s="540" t="s">
        <v>16</v>
      </c>
      <c r="H123" s="544">
        <f>SUM(H113:H122)</f>
        <v>36165.595999999998</v>
      </c>
      <c r="I123" s="545">
        <f>SUM(I113:I122)</f>
        <v>3639.7249999999999</v>
      </c>
      <c r="J123" s="545">
        <f>SUM(J113:J122)</f>
        <v>13191.81</v>
      </c>
      <c r="K123" s="1312">
        <f>SUM(K113:K122)</f>
        <v>52997.131000000001</v>
      </c>
      <c r="L123" s="547"/>
      <c r="M123" s="540" t="s">
        <v>16</v>
      </c>
      <c r="N123" s="544">
        <f>SUM(N113:N122)</f>
        <v>32928.927220193</v>
      </c>
      <c r="O123" s="545">
        <f>SUM(O113:O122)</f>
        <v>3388.7325748200001</v>
      </c>
      <c r="P123" s="545">
        <f>SUM(P113:P122)</f>
        <v>11995.588647409171</v>
      </c>
      <c r="Q123" s="546">
        <f>SUM(Q113:Q122)</f>
        <v>48313.248442422177</v>
      </c>
      <c r="R123" s="547"/>
      <c r="S123" s="540" t="s">
        <v>16</v>
      </c>
      <c r="T123" s="544">
        <f>SUM(T113:T122)</f>
        <v>29128.325880846307</v>
      </c>
      <c r="U123" s="545">
        <f>SUM(U113:U122)</f>
        <v>3117.3385519585017</v>
      </c>
      <c r="V123" s="545">
        <f>SUM(V113:V122)</f>
        <v>10828.655605080672</v>
      </c>
      <c r="W123" s="546">
        <f>SUM(W113:W122)</f>
        <v>43074.320037885489</v>
      </c>
      <c r="X123" s="547"/>
      <c r="Y123" s="540" t="s">
        <v>16</v>
      </c>
      <c r="Z123" s="544">
        <f>SUM(Z113:Z122)</f>
        <v>31635.30545345931</v>
      </c>
      <c r="AA123" s="545">
        <f>SUM(AA113:AA122)</f>
        <v>2738.9200925675023</v>
      </c>
      <c r="AB123" s="545">
        <f>SUM(AB113:AB122)</f>
        <v>9639.0782762300005</v>
      </c>
      <c r="AC123" s="546">
        <f>SUM(AC113:AC122)</f>
        <v>44013.303822256814</v>
      </c>
      <c r="AD123" s="547"/>
      <c r="AE123" s="540" t="s">
        <v>16</v>
      </c>
      <c r="AF123" s="544">
        <f>SUM(AF113:AF122)</f>
        <v>28361.474000000002</v>
      </c>
      <c r="AG123" s="545">
        <f>SUM(AG113:AG122)</f>
        <v>2531.7310000000002</v>
      </c>
      <c r="AH123" s="545">
        <f>SUM(AH113:AH122)</f>
        <v>8448.0840000000007</v>
      </c>
      <c r="AI123" s="546">
        <f>SUM(AI113:AI122)</f>
        <v>39341.288999999997</v>
      </c>
      <c r="AK123" s="540" t="s">
        <v>16</v>
      </c>
      <c r="AL123" s="544">
        <f>SUM(AL113:AL122)</f>
        <v>25530.882999999994</v>
      </c>
      <c r="AM123" s="545">
        <f>SUM(AM113:AM122)</f>
        <v>2084.1349999999998</v>
      </c>
      <c r="AN123" s="545">
        <f>SUM(AN113:AN122)</f>
        <v>6933.0869999999995</v>
      </c>
      <c r="AO123" s="545">
        <f>SUM(AO113:AO122)</f>
        <v>34548.104999999996</v>
      </c>
      <c r="AQ123" s="540" t="s">
        <v>16</v>
      </c>
      <c r="AR123" s="544">
        <f>SUM(AR113:AR122)</f>
        <v>20686.314999999999</v>
      </c>
      <c r="AS123" s="545">
        <f>SUM(AS113:AS122)</f>
        <v>1817.4939999999997</v>
      </c>
      <c r="AT123" s="545">
        <f>SUM(AT113:AT122)</f>
        <v>5845.817</v>
      </c>
      <c r="AU123" s="546">
        <f>SUM(AU113:AU122)</f>
        <v>28349.626</v>
      </c>
      <c r="AW123" s="540" t="s">
        <v>16</v>
      </c>
      <c r="AX123" s="544">
        <f>SUM(AX113:AX122)</f>
        <v>25646.06135726424</v>
      </c>
      <c r="AY123" s="545">
        <f>SUM(AY113:AY122)</f>
        <v>2969.7692193299999</v>
      </c>
      <c r="AZ123" s="545">
        <f>SUM(AZ113:AZ122)</f>
        <v>8214.1370609059104</v>
      </c>
      <c r="BA123" s="546">
        <f>SUM(BA113:BA122)</f>
        <v>36829.967637500151</v>
      </c>
      <c r="BC123" s="540" t="s">
        <v>16</v>
      </c>
      <c r="BD123" s="544">
        <f>SUM(BD113:BD122)</f>
        <v>13319.504617996598</v>
      </c>
      <c r="BE123" s="545">
        <f>SUM(BE113:BE122)</f>
        <v>1707.115147</v>
      </c>
      <c r="BF123" s="545">
        <f>SUM(BF113:BF122)</f>
        <v>5266.8794660000003</v>
      </c>
      <c r="BG123" s="546">
        <f>SUM(BG113:BG122)</f>
        <v>20293.4992309966</v>
      </c>
      <c r="BI123" s="540" t="s">
        <v>16</v>
      </c>
      <c r="BJ123" s="544">
        <f>SUM(BJ113:BJ122)</f>
        <v>9143.5572137200015</v>
      </c>
      <c r="BK123" s="545">
        <f>SUM(BK113:BK122)</f>
        <v>914.5105286999999</v>
      </c>
      <c r="BL123" s="545">
        <f>SUM(BL113:BL122)</f>
        <v>2983.0269865830005</v>
      </c>
      <c r="BM123" s="546">
        <f>SUM(BM113:BM122)</f>
        <v>13041.094729003</v>
      </c>
      <c r="BO123" s="540" t="s">
        <v>16</v>
      </c>
      <c r="BP123" s="544">
        <f>SUM(BP113:BP122)</f>
        <v>4552.2011831500004</v>
      </c>
      <c r="BQ123" s="545">
        <f>SUM(BQ113:BQ122)</f>
        <v>475.14432939999995</v>
      </c>
      <c r="BR123" s="545">
        <f>SUM(BR113:BR122)</f>
        <v>1416.2802087099999</v>
      </c>
      <c r="BS123" s="546">
        <f>SUM(BS113:BS122)</f>
        <v>6443.6257212600003</v>
      </c>
      <c r="BV123" s="544">
        <f>SUM(BV113:BV122)</f>
        <v>25646.06135726424</v>
      </c>
      <c r="BW123" s="545">
        <f>SUM(BW113:BW122)</f>
        <v>2969.7692193299999</v>
      </c>
      <c r="BX123" s="545">
        <f>SUM(BX113:BX122)</f>
        <v>8214.1370609059104</v>
      </c>
      <c r="BY123" s="546">
        <f>SUM(BY113:BY122)</f>
        <v>36829.967637500151</v>
      </c>
    </row>
    <row r="124" spans="1:77" ht="27.6">
      <c r="A124" s="538" t="s">
        <v>288</v>
      </c>
      <c r="B124" s="550">
        <f>B123-H123</f>
        <v>2729.2202518343111</v>
      </c>
      <c r="C124" s="550">
        <f>C123-I123</f>
        <v>517.82730602750189</v>
      </c>
      <c r="D124" s="550">
        <f>D123-J123</f>
        <v>1237.58952628917</v>
      </c>
      <c r="E124" s="550">
        <f>E123-K123</f>
        <v>4484.6370841509852</v>
      </c>
      <c r="F124" s="551"/>
      <c r="G124" s="538" t="s">
        <v>288</v>
      </c>
      <c r="H124" s="550">
        <f>H123-N123</f>
        <v>3236.6687798069979</v>
      </c>
      <c r="I124" s="550">
        <f>I123-O123</f>
        <v>250.99242517999983</v>
      </c>
      <c r="J124" s="550">
        <f>J123-P123</f>
        <v>1196.2213525908282</v>
      </c>
      <c r="K124" s="550">
        <f>K123-Q123</f>
        <v>4683.8825575778246</v>
      </c>
      <c r="M124" s="538" t="s">
        <v>288</v>
      </c>
      <c r="N124" s="550">
        <f>N123-T123</f>
        <v>3800.6013393466928</v>
      </c>
      <c r="O124" s="550">
        <f>O123-U123</f>
        <v>271.39402286149834</v>
      </c>
      <c r="P124" s="550">
        <f>P123-V123</f>
        <v>1166.9330423284991</v>
      </c>
      <c r="Q124" s="550">
        <f>Q123-W123</f>
        <v>5238.9284045366876</v>
      </c>
      <c r="S124" s="538" t="s">
        <v>288</v>
      </c>
      <c r="T124" s="550">
        <f>T123-Z123</f>
        <v>-2506.9795726130033</v>
      </c>
      <c r="U124" s="550">
        <f>U123-AA123</f>
        <v>378.41845939099949</v>
      </c>
      <c r="V124" s="550">
        <f>V123-AB123</f>
        <v>1189.5773288506716</v>
      </c>
      <c r="W124" s="550">
        <f>W123-AC123</f>
        <v>-938.98378437132487</v>
      </c>
      <c r="Y124" s="538" t="s">
        <v>288</v>
      </c>
      <c r="Z124" s="550">
        <f>Z123-AF123</f>
        <v>3273.8314534593082</v>
      </c>
      <c r="AA124" s="550">
        <f>AA123-AG123</f>
        <v>207.18909256750203</v>
      </c>
      <c r="AB124" s="550">
        <f>AB123-AH123</f>
        <v>1190.9942762299997</v>
      </c>
      <c r="AC124" s="550">
        <f>AC123-AI123</f>
        <v>4672.0148222568168</v>
      </c>
      <c r="AE124" s="538" t="s">
        <v>288</v>
      </c>
      <c r="AF124" s="550">
        <f>AF123-AL123</f>
        <v>2830.5910000000076</v>
      </c>
      <c r="AG124" s="550">
        <f>AG123-AM123</f>
        <v>447.59600000000046</v>
      </c>
      <c r="AH124" s="550">
        <f>AH123-AN123</f>
        <v>1514.9970000000012</v>
      </c>
      <c r="AI124" s="550">
        <f>AI123-AO123</f>
        <v>4793.1840000000011</v>
      </c>
      <c r="AK124" s="538" t="s">
        <v>288</v>
      </c>
      <c r="AL124" s="550">
        <f>AL123-AR123</f>
        <v>4844.5679999999957</v>
      </c>
      <c r="AM124" s="550">
        <f>AM123-AS123</f>
        <v>266.64100000000008</v>
      </c>
      <c r="AN124" s="550">
        <f>AN123-AT123</f>
        <v>1087.2699999999995</v>
      </c>
      <c r="AO124" s="550">
        <f>AO123-AU123</f>
        <v>6198.4789999999957</v>
      </c>
      <c r="AQ124" s="538" t="s">
        <v>288</v>
      </c>
      <c r="AR124" s="550">
        <f>AR123-AX123</f>
        <v>-4959.7463572642409</v>
      </c>
      <c r="AS124" s="550">
        <f>AS123-AY123</f>
        <v>-1152.2752193300003</v>
      </c>
      <c r="AT124" s="550">
        <f>AT123-AZ123</f>
        <v>-2368.3200609059104</v>
      </c>
      <c r="AU124" s="550">
        <f>AU123-BA123</f>
        <v>-8480.3416375001507</v>
      </c>
      <c r="AW124" s="538" t="s">
        <v>288</v>
      </c>
      <c r="AX124" s="550">
        <f>AX123-BD123</f>
        <v>12326.556739267642</v>
      </c>
      <c r="AY124" s="550">
        <f>AY123-BE123</f>
        <v>1262.65407233</v>
      </c>
      <c r="AZ124" s="550">
        <f>AZ123-BF123</f>
        <v>2947.2575949059101</v>
      </c>
      <c r="BA124" s="550">
        <f>BA123-BG123</f>
        <v>16536.468406503551</v>
      </c>
      <c r="BC124" s="538" t="s">
        <v>288</v>
      </c>
      <c r="BD124" s="550">
        <f>BD123-BJ123</f>
        <v>4175.947404276596</v>
      </c>
      <c r="BE124" s="550">
        <f>BE123-BK123</f>
        <v>792.60461830000008</v>
      </c>
      <c r="BF124" s="550">
        <f>BF123-BL123</f>
        <v>2283.8524794169998</v>
      </c>
      <c r="BG124" s="550">
        <f>BG123-BM123</f>
        <v>7252.4045019936002</v>
      </c>
      <c r="BI124" s="538" t="s">
        <v>288</v>
      </c>
      <c r="BJ124" s="550">
        <f>BJ123-BP123</f>
        <v>4591.3560305700012</v>
      </c>
      <c r="BK124" s="550">
        <f>BK123-BQ123</f>
        <v>439.36619929999995</v>
      </c>
      <c r="BL124" s="550">
        <f>BL123-BR123</f>
        <v>1566.7467778730006</v>
      </c>
      <c r="BM124" s="550">
        <f>BM123-BS123</f>
        <v>6597.4690077429996</v>
      </c>
      <c r="BO124" s="538" t="s">
        <v>288</v>
      </c>
      <c r="BP124" s="550">
        <f>BP123-BV123</f>
        <v>-21093.860174114241</v>
      </c>
      <c r="BQ124" s="550">
        <f>BQ123-BW123</f>
        <v>-2494.6248899299999</v>
      </c>
      <c r="BR124" s="550">
        <f>BR123-BX123</f>
        <v>-6797.8568521959105</v>
      </c>
      <c r="BS124" s="550">
        <f>BS123-BY123</f>
        <v>-30386.341916240151</v>
      </c>
    </row>
    <row r="149" spans="12:17" ht="14.4" thickBot="1"/>
    <row r="150" spans="12:17" ht="27" thickBot="1">
      <c r="L150" s="1502">
        <v>39687.582119999999</v>
      </c>
      <c r="M150" s="1502" t="s">
        <v>757</v>
      </c>
    </row>
    <row r="151" spans="12:17" ht="27" thickBot="1">
      <c r="L151" s="1503">
        <v>135347.8959</v>
      </c>
      <c r="M151" s="1503" t="s">
        <v>758</v>
      </c>
    </row>
    <row r="152" spans="12:17" ht="27" thickBot="1">
      <c r="L152" s="1503">
        <v>12921.46716</v>
      </c>
      <c r="M152" s="1503" t="s">
        <v>759</v>
      </c>
    </row>
    <row r="153" spans="12:17" ht="27" thickBot="1">
      <c r="L153" s="1503">
        <v>4101.3132800000003</v>
      </c>
      <c r="M153" s="1503" t="s">
        <v>760</v>
      </c>
    </row>
    <row r="154" spans="12:17" ht="27" thickBot="1">
      <c r="L154" s="1503">
        <v>44778.05083</v>
      </c>
      <c r="M154" s="1503" t="s">
        <v>761</v>
      </c>
    </row>
    <row r="155" spans="12:17" ht="14.4" thickBot="1">
      <c r="L155" s="1504"/>
      <c r="M155" s="3141" t="s">
        <v>762</v>
      </c>
      <c r="Q155" s="87">
        <f>SUM(L150:L156)</f>
        <v>1093663.28929</v>
      </c>
    </row>
    <row r="156" spans="12:17" ht="14.4" thickBot="1">
      <c r="L156" s="1505">
        <v>856826.98</v>
      </c>
      <c r="M156" s="3142"/>
    </row>
    <row r="157" spans="12:17" ht="14.4" thickBot="1">
      <c r="L157" s="1506"/>
      <c r="M157" s="3143"/>
    </row>
  </sheetData>
  <mergeCells count="171">
    <mergeCell ref="HA1:HE1"/>
    <mergeCell ref="FA2:FA3"/>
    <mergeCell ref="FQ1:FU1"/>
    <mergeCell ref="FQ2:FQ4"/>
    <mergeCell ref="FR2:FR3"/>
    <mergeCell ref="FS2:FS3"/>
    <mergeCell ref="FW1:GA1"/>
    <mergeCell ref="GE2:GE3"/>
    <mergeCell ref="FT2:FT3"/>
    <mergeCell ref="FU2:FU3"/>
    <mergeCell ref="GY2:GY3"/>
    <mergeCell ref="GI2:GI4"/>
    <mergeCell ref="GK2:GK3"/>
    <mergeCell ref="GO2:GO4"/>
    <mergeCell ref="GQ2:GQ3"/>
    <mergeCell ref="GO1:GS1"/>
    <mergeCell ref="GI1:GM1"/>
    <mergeCell ref="GV2:GV3"/>
    <mergeCell ref="GW2:GW3"/>
    <mergeCell ref="GU2:GU4"/>
    <mergeCell ref="GU1:GY1"/>
    <mergeCell ref="GS2:GS3"/>
    <mergeCell ref="GJ2:GJ3"/>
    <mergeCell ref="GL2:GL3"/>
    <mergeCell ref="IO2:IO3"/>
    <mergeCell ref="IF2:IF3"/>
    <mergeCell ref="IL2:IL3"/>
    <mergeCell ref="II2:II3"/>
    <mergeCell ref="IQ2:IQ4"/>
    <mergeCell ref="IR2:IR3"/>
    <mergeCell ref="IS2:IS3"/>
    <mergeCell ref="HA2:HA4"/>
    <mergeCell ref="FB2:FB3"/>
    <mergeCell ref="FE2:FE4"/>
    <mergeCell ref="FK2:FK4"/>
    <mergeCell ref="FH2:FH3"/>
    <mergeCell ref="IH2:IH3"/>
    <mergeCell ref="HY2:HY4"/>
    <mergeCell ref="HZ2:HZ3"/>
    <mergeCell ref="IB2:IB3"/>
    <mergeCell ref="IG2:IG3"/>
    <mergeCell ref="IE2:IE4"/>
    <mergeCell ref="HN2:HN3"/>
    <mergeCell ref="IA2:IA3"/>
    <mergeCell ref="HJ2:HJ3"/>
    <mergeCell ref="IC2:IC3"/>
    <mergeCell ref="GX2:GX3"/>
    <mergeCell ref="GP2:GP3"/>
    <mergeCell ref="HG1:HK1"/>
    <mergeCell ref="HB2:HB3"/>
    <mergeCell ref="HC2:HC3"/>
    <mergeCell ref="IT2:IT3"/>
    <mergeCell ref="HS1:HW1"/>
    <mergeCell ref="HS2:HS4"/>
    <mergeCell ref="HV2:HV3"/>
    <mergeCell ref="HT2:HT3"/>
    <mergeCell ref="HU2:HU3"/>
    <mergeCell ref="IK1:IO1"/>
    <mergeCell ref="HW2:HW3"/>
    <mergeCell ref="IK2:IK4"/>
    <mergeCell ref="IM2:IM3"/>
    <mergeCell ref="HP2:HP3"/>
    <mergeCell ref="IN2:IN3"/>
    <mergeCell ref="HO2:HO3"/>
    <mergeCell ref="IE1:II1"/>
    <mergeCell ref="HY1:IC1"/>
    <mergeCell ref="HM1:HQ1"/>
    <mergeCell ref="HG2:HG4"/>
    <mergeCell ref="HQ2:HQ3"/>
    <mergeCell ref="IQ1:IU1"/>
    <mergeCell ref="IU2:IU3"/>
    <mergeCell ref="HE2:HE3"/>
    <mergeCell ref="A33:A34"/>
    <mergeCell ref="B33:D33"/>
    <mergeCell ref="E33:G33"/>
    <mergeCell ref="H33:J33"/>
    <mergeCell ref="H2:J2"/>
    <mergeCell ref="HK2:HK3"/>
    <mergeCell ref="HM2:HM4"/>
    <mergeCell ref="K3:M3"/>
    <mergeCell ref="HH2:HH3"/>
    <mergeCell ref="HI2:HI3"/>
    <mergeCell ref="T2:T3"/>
    <mergeCell ref="B3:D3"/>
    <mergeCell ref="H3:J3"/>
    <mergeCell ref="E3:G3"/>
    <mergeCell ref="B2:D2"/>
    <mergeCell ref="E2:G2"/>
    <mergeCell ref="AA2:AA3"/>
    <mergeCell ref="EU2:EU3"/>
    <mergeCell ref="K2:M2"/>
    <mergeCell ref="HD2:HD3"/>
    <mergeCell ref="EV2:EV3"/>
    <mergeCell ref="EW2:EW3"/>
    <mergeCell ref="EZ2:EZ3"/>
    <mergeCell ref="ET2:ET3"/>
    <mergeCell ref="U2:U3"/>
    <mergeCell ref="Q1:U1"/>
    <mergeCell ref="R2:R3"/>
    <mergeCell ref="S2:S3"/>
    <mergeCell ref="A32:J32"/>
    <mergeCell ref="F18:I18"/>
    <mergeCell ref="J18:M18"/>
    <mergeCell ref="A16:J16"/>
    <mergeCell ref="K16:M16"/>
    <mergeCell ref="B18:E18"/>
    <mergeCell ref="A18:A19"/>
    <mergeCell ref="A17:M17"/>
    <mergeCell ref="A1:M1"/>
    <mergeCell ref="W1:AA1"/>
    <mergeCell ref="X2:X3"/>
    <mergeCell ref="Y2:Y3"/>
    <mergeCell ref="Z2:Z3"/>
    <mergeCell ref="EY2:EY4"/>
    <mergeCell ref="FI2:FI3"/>
    <mergeCell ref="FF2:FF3"/>
    <mergeCell ref="FG2:FG3"/>
    <mergeCell ref="FC2:FC3"/>
    <mergeCell ref="CE1:CI1"/>
    <mergeCell ref="ES1:EW1"/>
    <mergeCell ref="BS1:BW1"/>
    <mergeCell ref="AC1:AG1"/>
    <mergeCell ref="AI1:AM1"/>
    <mergeCell ref="AO1:AS1"/>
    <mergeCell ref="AU1:AY1"/>
    <mergeCell ref="BA1:BE1"/>
    <mergeCell ref="BG1:BK1"/>
    <mergeCell ref="BM1:BQ1"/>
    <mergeCell ref="GR2:GR3"/>
    <mergeCell ref="GM2:GM3"/>
    <mergeCell ref="GD2:GD3"/>
    <mergeCell ref="FX2:FX3"/>
    <mergeCell ref="FZ2:FZ3"/>
    <mergeCell ref="GA2:GA3"/>
    <mergeCell ref="GC2:GC4"/>
    <mergeCell ref="FY2:FY3"/>
    <mergeCell ref="FW2:FW4"/>
    <mergeCell ref="FO2:FO3"/>
    <mergeCell ref="GC1:GG1"/>
    <mergeCell ref="GF2:GF3"/>
    <mergeCell ref="GG2:GG3"/>
    <mergeCell ref="FE1:FI1"/>
    <mergeCell ref="BY1:CC1"/>
    <mergeCell ref="EY1:FC1"/>
    <mergeCell ref="ES2:ES4"/>
    <mergeCell ref="FL2:FL3"/>
    <mergeCell ref="FM2:FM3"/>
    <mergeCell ref="FK1:FO1"/>
    <mergeCell ref="FN2:FN3"/>
    <mergeCell ref="M155:M157"/>
    <mergeCell ref="BC109:BG109"/>
    <mergeCell ref="BI109:BM109"/>
    <mergeCell ref="BO109:BS109"/>
    <mergeCell ref="BU109:BY109"/>
    <mergeCell ref="B110:B111"/>
    <mergeCell ref="C110:C111"/>
    <mergeCell ref="D110:D111"/>
    <mergeCell ref="E110:E111"/>
    <mergeCell ref="H110:H111"/>
    <mergeCell ref="I110:I111"/>
    <mergeCell ref="J110:J111"/>
    <mergeCell ref="K110:K111"/>
    <mergeCell ref="A109:E109"/>
    <mergeCell ref="G109:K109"/>
    <mergeCell ref="M109:Q109"/>
    <mergeCell ref="S109:W109"/>
    <mergeCell ref="Y109:AC109"/>
    <mergeCell ref="AE109:AI109"/>
    <mergeCell ref="AK109:AO109"/>
    <mergeCell ref="AQ109:AU109"/>
    <mergeCell ref="AW109:BA109"/>
  </mergeCells>
  <phoneticPr fontId="28" type="noConversion"/>
  <hyperlinks>
    <hyperlink ref="M71" location="'tableau de bord'!F4" display="Retour" xr:uid="{00000000-0004-0000-1A00-000000000000}"/>
  </hyperlinks>
  <pageMargins left="0.55000000000000004" right="0.2" top="0.85" bottom="0.37" header="0.27" footer="0.21"/>
  <pageSetup paperSize="9" scale="65" orientation="portrait" horizontalDpi="4294967294" verticalDpi="4294967294" r:id="rId1"/>
  <headerFooter alignWithMargins="0">
    <oddHeader>&amp;L&amp;"Times New Roman,Gras"&amp;12SDC_SPADCMD/EC&amp;C&amp;"Times New Roman,Gras"&amp;20Pramètre Délai Crédit Client&amp;G</oddHeader>
    <oddFooter>&amp;LTableau de bord mai 2011&amp;Rpage-11-</oddFooter>
  </headerFooter>
  <drawing r:id="rId2"/>
</worksheet>
</file>

<file path=xl/worksheets/sheet2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B00-000000000000}">
  <sheetPr codeName="Feuil32">
    <tabColor rgb="FF00B050"/>
  </sheetPr>
  <dimension ref="B2:O89"/>
  <sheetViews>
    <sheetView topLeftCell="A43" zoomScale="85" zoomScaleNormal="85" workbookViewId="0">
      <selection activeCell="K47" sqref="K47:K57"/>
    </sheetView>
  </sheetViews>
  <sheetFormatPr baseColWidth="10" defaultColWidth="11.44140625" defaultRowHeight="13.8"/>
  <cols>
    <col min="1" max="1" width="8.33203125" style="999" customWidth="1"/>
    <col min="2" max="2" width="14" style="999" customWidth="1"/>
    <col min="3" max="3" width="11" style="999" customWidth="1"/>
    <col min="4" max="4" width="12.33203125" style="999" customWidth="1"/>
    <col min="5" max="5" width="12" style="999" bestFit="1" customWidth="1"/>
    <col min="6" max="6" width="9" style="999" customWidth="1"/>
    <col min="7" max="7" width="12.5546875" style="999" bestFit="1" customWidth="1"/>
    <col min="8" max="8" width="14.88671875" style="999" bestFit="1" customWidth="1"/>
    <col min="9" max="9" width="10.6640625" style="999" customWidth="1"/>
    <col min="10" max="10" width="9.88671875" style="999" customWidth="1"/>
    <col min="11" max="11" width="10.109375" style="999" customWidth="1"/>
    <col min="12" max="12" width="7.33203125" style="999" customWidth="1"/>
    <col min="13" max="13" width="8.6640625" style="1000" customWidth="1"/>
    <col min="14" max="14" width="13.109375" style="999" customWidth="1"/>
    <col min="15" max="16384" width="11.44140625" style="999"/>
  </cols>
  <sheetData>
    <row r="2" spans="2:13" hidden="1">
      <c r="B2" s="999" t="s">
        <v>391</v>
      </c>
    </row>
    <row r="3" spans="2:13" hidden="1">
      <c r="B3" s="999" t="s">
        <v>380</v>
      </c>
    </row>
    <row r="4" spans="2:13" hidden="1">
      <c r="H4" s="999" t="s">
        <v>390</v>
      </c>
    </row>
    <row r="5" spans="2:13" ht="55.8" hidden="1" thickBot="1">
      <c r="B5" s="1001"/>
      <c r="C5" s="1002" t="s">
        <v>362</v>
      </c>
      <c r="D5" s="1002" t="s">
        <v>382</v>
      </c>
      <c r="E5" s="1002" t="s">
        <v>383</v>
      </c>
      <c r="F5" s="1002" t="s">
        <v>384</v>
      </c>
      <c r="G5" s="1002" t="s">
        <v>385</v>
      </c>
      <c r="H5" s="1002" t="s">
        <v>386</v>
      </c>
      <c r="I5" s="1002" t="s">
        <v>387</v>
      </c>
      <c r="J5" s="1002" t="s">
        <v>388</v>
      </c>
    </row>
    <row r="6" spans="2:13" hidden="1">
      <c r="B6" s="1003" t="s">
        <v>6</v>
      </c>
      <c r="C6" s="1004">
        <f>'Crédit client'!H20</f>
        <v>1109.4241201999994</v>
      </c>
      <c r="D6" s="1005" t="e">
        <f>'Crédit client'!#REF!</f>
        <v>#REF!</v>
      </c>
      <c r="E6" s="1006">
        <f>'Crédit client'!L20</f>
        <v>172.05516365657078</v>
      </c>
      <c r="F6" s="1007" t="e">
        <f>'Gros Débit'!#REF!</f>
        <v>#REF!</v>
      </c>
      <c r="G6" s="1008" t="e">
        <f>C6-F6</f>
        <v>#REF!</v>
      </c>
      <c r="H6" s="1009">
        <v>188.59789733</v>
      </c>
      <c r="I6" s="1010" t="e">
        <f>D6-H6</f>
        <v>#REF!</v>
      </c>
      <c r="J6" s="1006" t="e">
        <f>(G6*'Crédit client'!$O$14)/I6</f>
        <v>#REF!</v>
      </c>
    </row>
    <row r="7" spans="2:13" ht="15.6" hidden="1">
      <c r="B7" s="1003" t="s">
        <v>7</v>
      </c>
      <c r="C7" s="1004">
        <f>'Crédit client'!H21</f>
        <v>524.35500000000002</v>
      </c>
      <c r="D7" s="1005" t="e">
        <f>'Crédit client'!#REF!</f>
        <v>#REF!</v>
      </c>
      <c r="E7" s="1006">
        <f>'Crédit client'!L21</f>
        <v>215.12278065273202</v>
      </c>
      <c r="F7" s="1007" t="e">
        <f>'Gros Débit'!#REF!</f>
        <v>#REF!</v>
      </c>
      <c r="G7" s="1008" t="e">
        <f>C7-F7</f>
        <v>#REF!</v>
      </c>
      <c r="H7" s="1011">
        <v>87.432036389999993</v>
      </c>
      <c r="I7" s="1010" t="e">
        <f t="shared" ref="I7:I18" si="0">D7-H7</f>
        <v>#REF!</v>
      </c>
      <c r="J7" s="1006" t="e">
        <f>(G7*'Crédit client'!$O$14)/I7</f>
        <v>#REF!</v>
      </c>
    </row>
    <row r="8" spans="2:13" ht="15.6" hidden="1">
      <c r="B8" s="1003" t="s">
        <v>8</v>
      </c>
      <c r="C8" s="1004">
        <f>'Crédit client'!H22</f>
        <v>495.46004759000004</v>
      </c>
      <c r="D8" s="1005" t="e">
        <f>'Crédit client'!#REF!</f>
        <v>#REF!</v>
      </c>
      <c r="E8" s="1006">
        <f>'Crédit client'!L22</f>
        <v>381.91313236396456</v>
      </c>
      <c r="F8" s="1007" t="e">
        <f>'Gros Débit'!#REF!</f>
        <v>#REF!</v>
      </c>
      <c r="G8" s="1008" t="e">
        <f t="shared" ref="G8:G18" si="1">C8-F8</f>
        <v>#REF!</v>
      </c>
      <c r="H8" s="1011">
        <f>94.62642788+11.27577039</f>
        <v>105.90219827</v>
      </c>
      <c r="I8" s="1010" t="e">
        <f t="shared" si="0"/>
        <v>#REF!</v>
      </c>
      <c r="J8" s="1006" t="e">
        <f>(G8*'Crédit client'!$O$14)/I8</f>
        <v>#REF!</v>
      </c>
    </row>
    <row r="9" spans="2:13" ht="15.6" hidden="1">
      <c r="B9" s="1003" t="s">
        <v>125</v>
      </c>
      <c r="C9" s="1004">
        <f>'Crédit client'!H23</f>
        <v>1315.9505770800001</v>
      </c>
      <c r="D9" s="1005" t="e">
        <f>'Crédit client'!#REF!</f>
        <v>#REF!</v>
      </c>
      <c r="E9" s="1006">
        <f>'Crédit client'!L23</f>
        <v>383.1591381679209</v>
      </c>
      <c r="F9" s="1007" t="e">
        <f>'Gros Débit'!#REF!</f>
        <v>#REF!</v>
      </c>
      <c r="G9" s="1008" t="e">
        <f t="shared" si="1"/>
        <v>#REF!</v>
      </c>
      <c r="H9" s="1011">
        <v>423.12810790999998</v>
      </c>
      <c r="I9" s="1010" t="e">
        <f t="shared" si="0"/>
        <v>#REF!</v>
      </c>
      <c r="J9" s="1006" t="e">
        <f>(G9*'Crédit client'!$O$14)/I9</f>
        <v>#REF!</v>
      </c>
      <c r="L9" s="999">
        <v>58650.863459999848</v>
      </c>
      <c r="M9" s="1000">
        <v>344370.24792999995</v>
      </c>
    </row>
    <row r="10" spans="2:13" hidden="1">
      <c r="B10" s="1003" t="s">
        <v>3</v>
      </c>
      <c r="C10" s="1004">
        <f>'Crédit client'!H24</f>
        <v>580.23</v>
      </c>
      <c r="D10" s="1005" t="e">
        <f>'Crédit client'!#REF!</f>
        <v>#REF!</v>
      </c>
      <c r="E10" s="1006">
        <f>'Crédit client'!L24</f>
        <v>244.90497607802146</v>
      </c>
      <c r="F10" s="1007" t="e">
        <f>'Gros Débit'!#REF!</f>
        <v>#REF!</v>
      </c>
      <c r="G10" s="1008" t="e">
        <f t="shared" si="1"/>
        <v>#REF!</v>
      </c>
      <c r="H10" s="1009">
        <v>71.609511869999992</v>
      </c>
      <c r="I10" s="1010" t="e">
        <f t="shared" si="0"/>
        <v>#REF!</v>
      </c>
      <c r="J10" s="1006" t="e">
        <f>(G10*'Crédit client'!$O$14)/I10</f>
        <v>#REF!</v>
      </c>
    </row>
    <row r="11" spans="2:13" ht="15.6" hidden="1">
      <c r="B11" s="1003" t="s">
        <v>300</v>
      </c>
      <c r="C11" s="1004" t="e">
        <f>'Crédit client'!#REF!</f>
        <v>#REF!</v>
      </c>
      <c r="D11" s="1005" t="e">
        <f>'Crédit client'!#REF!</f>
        <v>#REF!</v>
      </c>
      <c r="E11" s="1006" t="e">
        <f>'Crédit client'!#REF!</f>
        <v>#REF!</v>
      </c>
      <c r="F11" s="1007" t="e">
        <f>'Gros Débit'!#REF!</f>
        <v>#REF!</v>
      </c>
      <c r="G11" s="1008" t="e">
        <f t="shared" si="1"/>
        <v>#REF!</v>
      </c>
      <c r="H11" s="1011">
        <v>52.378692409999999</v>
      </c>
      <c r="I11" s="1010" t="e">
        <f t="shared" si="0"/>
        <v>#REF!</v>
      </c>
      <c r="J11" s="1006" t="e">
        <f>(G11*'Crédit client'!$O$14)/I11</f>
        <v>#REF!</v>
      </c>
    </row>
    <row r="12" spans="2:13" ht="15.6" hidden="1">
      <c r="B12" s="1003" t="s">
        <v>9</v>
      </c>
      <c r="C12" s="1004">
        <f>'Crédit client'!H25</f>
        <v>584.20545579999964</v>
      </c>
      <c r="D12" s="1005" t="e">
        <f>'Crédit client'!#REF!</f>
        <v>#REF!</v>
      </c>
      <c r="E12" s="1006">
        <f>'Crédit client'!L25</f>
        <v>180.85156768979334</v>
      </c>
      <c r="F12" s="1007" t="e">
        <f>'Gros Débit'!#REF!</f>
        <v>#REF!</v>
      </c>
      <c r="G12" s="1008" t="e">
        <f t="shared" si="1"/>
        <v>#REF!</v>
      </c>
      <c r="H12" s="1011">
        <v>63.293620249999996</v>
      </c>
      <c r="I12" s="1010" t="e">
        <f t="shared" si="0"/>
        <v>#REF!</v>
      </c>
      <c r="J12" s="1006" t="e">
        <f>(G12*'Crédit client'!$O$14)/I12</f>
        <v>#REF!</v>
      </c>
    </row>
    <row r="13" spans="2:13" hidden="1">
      <c r="B13" s="1003" t="s">
        <v>5</v>
      </c>
      <c r="C13" s="1004">
        <f>'Crédit client'!H26</f>
        <v>1084.1548809399994</v>
      </c>
      <c r="D13" s="1005" t="e">
        <f>'Crédit client'!#REF!</f>
        <v>#REF!</v>
      </c>
      <c r="E13" s="1006">
        <f>'Crédit client'!L26</f>
        <v>187.02819077766654</v>
      </c>
      <c r="F13" s="1007" t="e">
        <f>'Gros Débit'!#REF!</f>
        <v>#REF!</v>
      </c>
      <c r="G13" s="1008" t="e">
        <f t="shared" si="1"/>
        <v>#REF!</v>
      </c>
      <c r="H13" s="1009">
        <v>35.278575859999997</v>
      </c>
      <c r="I13" s="1010" t="e">
        <f t="shared" si="0"/>
        <v>#REF!</v>
      </c>
      <c r="J13" s="1006" t="e">
        <f>(G13*'Crédit client'!$O$14)/I13</f>
        <v>#REF!</v>
      </c>
    </row>
    <row r="14" spans="2:13" hidden="1">
      <c r="B14" s="1003" t="s">
        <v>11</v>
      </c>
      <c r="C14" s="1004">
        <f>'Crédit client'!H27</f>
        <v>123.11480054000009</v>
      </c>
      <c r="D14" s="1005" t="e">
        <f>'Crédit client'!#REF!</f>
        <v>#REF!</v>
      </c>
      <c r="E14" s="1006">
        <f>'Crédit client'!L27</f>
        <v>65.763599845363743</v>
      </c>
      <c r="F14" s="1007" t="e">
        <f>'Gros Débit'!#REF!</f>
        <v>#REF!</v>
      </c>
      <c r="G14" s="1008" t="e">
        <f t="shared" si="1"/>
        <v>#REF!</v>
      </c>
      <c r="H14" s="1009">
        <v>9.7987969100000001</v>
      </c>
      <c r="I14" s="1010" t="e">
        <f t="shared" si="0"/>
        <v>#REF!</v>
      </c>
      <c r="J14" s="1006" t="e">
        <f>(G14*'Crédit client'!$O$14)/I14</f>
        <v>#REF!</v>
      </c>
    </row>
    <row r="15" spans="2:13" ht="15.6" hidden="1">
      <c r="B15" s="1003" t="s">
        <v>10</v>
      </c>
      <c r="C15" s="1004">
        <f>'Crédit client'!H28</f>
        <v>50.225951850001231</v>
      </c>
      <c r="D15" s="1005" t="e">
        <f>'Crédit client'!#REF!</f>
        <v>#REF!</v>
      </c>
      <c r="E15" s="1006">
        <f>'Crédit client'!L28</f>
        <v>31.457035477740753</v>
      </c>
      <c r="F15" s="1007" t="e">
        <f>'Gros Débit'!#REF!</f>
        <v>#REF!</v>
      </c>
      <c r="G15" s="1008" t="e">
        <f t="shared" si="1"/>
        <v>#REF!</v>
      </c>
      <c r="H15" s="1011">
        <v>18.022513910000001</v>
      </c>
      <c r="I15" s="1010" t="e">
        <f t="shared" si="0"/>
        <v>#REF!</v>
      </c>
      <c r="J15" s="1006" t="e">
        <f>(G15*'Crédit client'!$O$14)/I15</f>
        <v>#REF!</v>
      </c>
    </row>
    <row r="16" spans="2:13" ht="15.6" hidden="1">
      <c r="B16" s="1003" t="s">
        <v>12</v>
      </c>
      <c r="C16" s="1004">
        <f>'Crédit client'!H29</f>
        <v>8.5250017400000004</v>
      </c>
      <c r="D16" s="1005" t="e">
        <f>'Crédit client'!#REF!</f>
        <v>#REF!</v>
      </c>
      <c r="E16" s="1006">
        <f>'Crédit client'!L29</f>
        <v>39.824736580748706</v>
      </c>
      <c r="F16" s="1007" t="e">
        <f>'Gros Débit'!#REF!</f>
        <v>#REF!</v>
      </c>
      <c r="G16" s="1008" t="e">
        <f t="shared" si="1"/>
        <v>#REF!</v>
      </c>
      <c r="H16" s="1011">
        <v>113.28584596</v>
      </c>
      <c r="I16" s="1010" t="e">
        <f t="shared" si="0"/>
        <v>#REF!</v>
      </c>
      <c r="J16" s="1006" t="e">
        <f>(G16*'Crédit client'!$O$14)/I16</f>
        <v>#REF!</v>
      </c>
    </row>
    <row r="17" spans="2:13" ht="15.6" hidden="1">
      <c r="B17" s="1003" t="s">
        <v>301</v>
      </c>
      <c r="C17" s="1004" t="e">
        <f>'Crédit client'!#REF!</f>
        <v>#REF!</v>
      </c>
      <c r="D17" s="1005" t="e">
        <f>'Crédit client'!#REF!</f>
        <v>#REF!</v>
      </c>
      <c r="E17" s="1006" t="e">
        <f>'Crédit client'!#REF!</f>
        <v>#REF!</v>
      </c>
      <c r="F17" s="1007" t="e">
        <f>'Gros Débit'!#REF!</f>
        <v>#REF!</v>
      </c>
      <c r="G17" s="1008" t="e">
        <f t="shared" si="1"/>
        <v>#REF!</v>
      </c>
      <c r="H17" s="1011">
        <v>6.7952294899999997</v>
      </c>
      <c r="I17" s="1010" t="e">
        <f t="shared" si="0"/>
        <v>#REF!</v>
      </c>
      <c r="J17" s="1006" t="e">
        <f>(G17*'Crédit client'!$O$14)/I17</f>
        <v>#REF!</v>
      </c>
    </row>
    <row r="18" spans="2:13" hidden="1">
      <c r="B18" s="1003" t="s">
        <v>48</v>
      </c>
      <c r="C18" s="1004" t="e">
        <f>'Crédit client'!#REF!</f>
        <v>#REF!</v>
      </c>
      <c r="D18" s="1005" t="e">
        <f>'Crédit client'!#REF!</f>
        <v>#REF!</v>
      </c>
      <c r="E18" s="1006" t="e">
        <f>'Crédit client'!#REF!</f>
        <v>#REF!</v>
      </c>
      <c r="F18" s="1007" t="e">
        <f>'Gros Débit'!#REF!</f>
        <v>#REF!</v>
      </c>
      <c r="G18" s="1008" t="e">
        <f t="shared" si="1"/>
        <v>#REF!</v>
      </c>
      <c r="H18" s="1012"/>
      <c r="I18" s="1010" t="e">
        <f t="shared" si="0"/>
        <v>#REF!</v>
      </c>
      <c r="J18" s="1006" t="e">
        <f>(G18*'Crédit client'!$O$14)/I18</f>
        <v>#REF!</v>
      </c>
    </row>
    <row r="19" spans="2:13" ht="14.4" hidden="1" thickBot="1">
      <c r="B19" s="1013" t="s">
        <v>16</v>
      </c>
      <c r="C19" s="1014" t="e">
        <f>SUM(C6:C18)</f>
        <v>#REF!</v>
      </c>
      <c r="D19" s="1014" t="e">
        <f>SUM(D6:D18)</f>
        <v>#REF!</v>
      </c>
      <c r="E19" s="1015">
        <f>'Crédit client'!L30</f>
        <v>204.75218037787846</v>
      </c>
      <c r="F19" s="1014" t="e">
        <f>SUM(F6:F18)</f>
        <v>#REF!</v>
      </c>
      <c r="G19" s="1014" t="e">
        <f>SUM(G6:G18)</f>
        <v>#REF!</v>
      </c>
      <c r="H19" s="1014">
        <f>SUM(H6:H18)</f>
        <v>1175.5230265600001</v>
      </c>
      <c r="I19" s="1014" t="e">
        <f>SUM(I6:I18)</f>
        <v>#REF!</v>
      </c>
      <c r="J19" s="1015" t="e">
        <f>(G19*'Crédit client'!$O$14)/I19</f>
        <v>#REF!</v>
      </c>
    </row>
    <row r="20" spans="2:13" ht="14.4" hidden="1" thickTop="1"/>
    <row r="21" spans="2:13" hidden="1"/>
    <row r="22" spans="2:13" hidden="1">
      <c r="B22" s="1016" t="s">
        <v>389</v>
      </c>
      <c r="C22" s="1016"/>
      <c r="D22" s="1016"/>
      <c r="E22" s="1016"/>
      <c r="F22" s="1016"/>
      <c r="G22" s="1016"/>
      <c r="H22" s="1016"/>
      <c r="I22" s="1016"/>
      <c r="J22" s="1016"/>
    </row>
    <row r="23" spans="2:13" hidden="1">
      <c r="B23" s="1016" t="s">
        <v>380</v>
      </c>
      <c r="C23" s="1016"/>
      <c r="D23" s="1016"/>
      <c r="E23" s="1016"/>
      <c r="F23" s="1016"/>
      <c r="G23" s="1016"/>
      <c r="H23" s="1016"/>
      <c r="I23" s="1016"/>
      <c r="J23" s="1016"/>
    </row>
    <row r="24" spans="2:13" hidden="1">
      <c r="B24" s="1016"/>
      <c r="C24" s="1016"/>
      <c r="D24" s="1016"/>
      <c r="E24" s="1016"/>
      <c r="F24" s="1016"/>
      <c r="G24" s="1016"/>
      <c r="H24" s="1016"/>
      <c r="I24" s="1016"/>
      <c r="J24" s="1016"/>
    </row>
    <row r="25" spans="2:13" ht="55.8" hidden="1" thickBot="1">
      <c r="B25" s="962"/>
      <c r="C25" s="1017" t="s">
        <v>381</v>
      </c>
      <c r="D25" s="1017" t="s">
        <v>382</v>
      </c>
      <c r="E25" s="1017" t="s">
        <v>383</v>
      </c>
      <c r="F25" s="1017" t="s">
        <v>384</v>
      </c>
      <c r="G25" s="1017" t="s">
        <v>385</v>
      </c>
      <c r="H25" s="1017" t="s">
        <v>386</v>
      </c>
      <c r="I25" s="1017" t="s">
        <v>387</v>
      </c>
      <c r="J25" s="1017" t="s">
        <v>388</v>
      </c>
    </row>
    <row r="26" spans="2:13" hidden="1">
      <c r="B26" s="964" t="s">
        <v>6</v>
      </c>
      <c r="C26" s="1004">
        <v>303.25899999999996</v>
      </c>
      <c r="D26" s="1005">
        <v>1264.2180000000001</v>
      </c>
      <c r="E26" s="1018">
        <f>(C26*305)/D26</f>
        <v>73.163010651643916</v>
      </c>
      <c r="F26" s="1007">
        <v>42.505459609999996</v>
      </c>
      <c r="G26" s="1019">
        <f>C26-F26</f>
        <v>260.75354038999996</v>
      </c>
      <c r="H26" s="1020">
        <v>188.59789733000002</v>
      </c>
      <c r="I26" s="1021">
        <f>D26-H26</f>
        <v>1075.6201026700001</v>
      </c>
      <c r="J26" s="1018">
        <f>(G26*305)/I26</f>
        <v>73.938586329442856</v>
      </c>
      <c r="M26" s="1000">
        <f>H6+H47</f>
        <v>188.59789733</v>
      </c>
    </row>
    <row r="27" spans="2:13" hidden="1">
      <c r="B27" s="964" t="s">
        <v>7</v>
      </c>
      <c r="C27" s="1004">
        <v>45.703000000000003</v>
      </c>
      <c r="D27" s="1005">
        <v>359.45600000000002</v>
      </c>
      <c r="E27" s="1018">
        <f t="shared" ref="E27:E38" si="2">(C27*305)/D27</f>
        <v>38.77919689753405</v>
      </c>
      <c r="F27" s="1007">
        <v>19.234557559999999</v>
      </c>
      <c r="G27" s="1019">
        <f>C27-F27</f>
        <v>26.468442440000004</v>
      </c>
      <c r="H27" s="1020">
        <v>18.429689069999998</v>
      </c>
      <c r="I27" s="1021">
        <f t="shared" ref="I27:I38" si="3">D27-H27</f>
        <v>341.02631093000002</v>
      </c>
      <c r="J27" s="1018">
        <f>(G27*305)/I27</f>
        <v>23.672293560531351</v>
      </c>
    </row>
    <row r="28" spans="2:13" hidden="1">
      <c r="B28" s="964" t="s">
        <v>8</v>
      </c>
      <c r="C28" s="1004">
        <v>93.174999999999997</v>
      </c>
      <c r="D28" s="1005">
        <v>257.61199999999997</v>
      </c>
      <c r="E28" s="1018">
        <f t="shared" si="2"/>
        <v>110.31463984596992</v>
      </c>
      <c r="F28" s="1007">
        <v>47.73</v>
      </c>
      <c r="G28" s="1019">
        <f>C28-F28</f>
        <v>45.445</v>
      </c>
      <c r="H28" s="1020">
        <f>94.62642788+10.75725</f>
        <v>105.38367787999999</v>
      </c>
      <c r="I28" s="1021">
        <f>D28-H28</f>
        <v>152.22832211999997</v>
      </c>
      <c r="J28" s="1018">
        <f t="shared" ref="J28:J38" si="4">(G28*305)/I28</f>
        <v>91.052208990871861</v>
      </c>
      <c r="M28" s="1000">
        <v>18.62</v>
      </c>
    </row>
    <row r="29" spans="2:13" hidden="1">
      <c r="B29" s="964" t="s">
        <v>125</v>
      </c>
      <c r="C29" s="1004">
        <v>153.215</v>
      </c>
      <c r="D29" s="1005">
        <v>697.6819999999999</v>
      </c>
      <c r="E29" s="1018">
        <f t="shared" si="2"/>
        <v>66.979762986575565</v>
      </c>
      <c r="F29" s="1007">
        <v>97.789052679999998</v>
      </c>
      <c r="G29" s="1019">
        <f t="shared" ref="G29:G38" si="5">C29-F29</f>
        <v>55.425947320000006</v>
      </c>
      <c r="H29" s="1020">
        <v>384.45444199999997</v>
      </c>
      <c r="I29" s="1021">
        <f t="shared" si="3"/>
        <v>313.22755799999993</v>
      </c>
      <c r="J29" s="1018">
        <f t="shared" si="4"/>
        <v>53.970072239301508</v>
      </c>
    </row>
    <row r="30" spans="2:13" hidden="1">
      <c r="B30" s="964" t="s">
        <v>3</v>
      </c>
      <c r="C30" s="1004">
        <v>277.95999999999998</v>
      </c>
      <c r="D30" s="1005">
        <v>274.41900000000004</v>
      </c>
      <c r="E30" s="1018">
        <f t="shared" si="2"/>
        <v>308.93560577073737</v>
      </c>
      <c r="F30" s="1007">
        <v>212.119</v>
      </c>
      <c r="G30" s="1019">
        <f t="shared" si="5"/>
        <v>65.84099999999998</v>
      </c>
      <c r="H30" s="1020">
        <v>71.609511869999992</v>
      </c>
      <c r="I30" s="1021">
        <f t="shared" si="3"/>
        <v>202.80948813000003</v>
      </c>
      <c r="J30" s="1018">
        <f t="shared" si="4"/>
        <v>99.016595254793174</v>
      </c>
    </row>
    <row r="31" spans="2:13" hidden="1">
      <c r="B31" s="964" t="s">
        <v>300</v>
      </c>
      <c r="C31" s="1004">
        <v>141.38799999999998</v>
      </c>
      <c r="D31" s="1005">
        <v>897.05700000000002</v>
      </c>
      <c r="E31" s="1018">
        <f t="shared" si="2"/>
        <v>48.072017720167167</v>
      </c>
      <c r="F31" s="1007">
        <v>24.396543260000001</v>
      </c>
      <c r="G31" s="1019">
        <f t="shared" si="5"/>
        <v>116.99145673999998</v>
      </c>
      <c r="H31" s="1020">
        <v>47.078645000000002</v>
      </c>
      <c r="I31" s="1021">
        <f t="shared" si="3"/>
        <v>849.97835499999997</v>
      </c>
      <c r="J31" s="1018">
        <f t="shared" si="4"/>
        <v>41.980356435900056</v>
      </c>
    </row>
    <row r="32" spans="2:13" hidden="1">
      <c r="B32" s="964" t="s">
        <v>9</v>
      </c>
      <c r="C32" s="1004">
        <v>191.81</v>
      </c>
      <c r="D32" s="1005">
        <v>661.33100000000002</v>
      </c>
      <c r="E32" s="1018">
        <f t="shared" si="2"/>
        <v>88.461073199351006</v>
      </c>
      <c r="F32" s="1007">
        <v>55.570320000000002</v>
      </c>
      <c r="G32" s="1019">
        <f t="shared" si="5"/>
        <v>136.23967999999999</v>
      </c>
      <c r="H32" s="1020">
        <v>55.820738089999999</v>
      </c>
      <c r="I32" s="1021">
        <f t="shared" si="3"/>
        <v>605.51026191000005</v>
      </c>
      <c r="J32" s="1018">
        <f t="shared" si="4"/>
        <v>68.62493505713077</v>
      </c>
    </row>
    <row r="33" spans="2:14" hidden="1">
      <c r="B33" s="964" t="s">
        <v>5</v>
      </c>
      <c r="C33" s="1004">
        <v>129.46440900000002</v>
      </c>
      <c r="D33" s="1005">
        <v>663.76565200000005</v>
      </c>
      <c r="E33" s="1018">
        <f t="shared" si="2"/>
        <v>59.48883408778736</v>
      </c>
      <c r="F33" s="1007">
        <v>4.4583645499999998</v>
      </c>
      <c r="G33" s="1019">
        <f t="shared" si="5"/>
        <v>125.00604445000002</v>
      </c>
      <c r="H33" s="1020">
        <v>35.278575859999997</v>
      </c>
      <c r="I33" s="1021">
        <f t="shared" si="3"/>
        <v>628.48707614</v>
      </c>
      <c r="J33" s="1018">
        <f t="shared" si="4"/>
        <v>60.664483017558474</v>
      </c>
    </row>
    <row r="34" spans="2:14" hidden="1">
      <c r="B34" s="964" t="s">
        <v>11</v>
      </c>
      <c r="C34" s="1004">
        <v>98.948999999999998</v>
      </c>
      <c r="D34" s="1005">
        <v>80.927999999999997</v>
      </c>
      <c r="E34" s="1018">
        <f t="shared" si="2"/>
        <v>372.91722271648877</v>
      </c>
      <c r="F34" s="1007">
        <v>62.341246279999936</v>
      </c>
      <c r="G34" s="1019">
        <f t="shared" si="5"/>
        <v>36.607753720000062</v>
      </c>
      <c r="H34" s="1020">
        <v>9.7987969100000001</v>
      </c>
      <c r="I34" s="1021">
        <f t="shared" si="3"/>
        <v>71.129203090000004</v>
      </c>
      <c r="J34" s="1018">
        <f t="shared" si="4"/>
        <v>156.97300686010004</v>
      </c>
    </row>
    <row r="35" spans="2:14" hidden="1">
      <c r="B35" s="964" t="s">
        <v>10</v>
      </c>
      <c r="C35" s="1004">
        <v>66.400999999999996</v>
      </c>
      <c r="D35" s="1005">
        <v>288.67599999999999</v>
      </c>
      <c r="E35" s="1018">
        <f t="shared" si="2"/>
        <v>70.155832143995354</v>
      </c>
      <c r="F35" s="1007">
        <v>13.36037713</v>
      </c>
      <c r="G35" s="1019">
        <f t="shared" si="5"/>
        <v>53.040622869999993</v>
      </c>
      <c r="H35" s="1020">
        <v>16.380415510000002</v>
      </c>
      <c r="I35" s="1021">
        <f t="shared" si="3"/>
        <v>272.29558449000001</v>
      </c>
      <c r="J35" s="1018">
        <f t="shared" si="4"/>
        <v>59.411135900898564</v>
      </c>
    </row>
    <row r="36" spans="2:14" hidden="1">
      <c r="B36" s="964" t="s">
        <v>12</v>
      </c>
      <c r="C36" s="1004">
        <v>168.232</v>
      </c>
      <c r="D36" s="1005">
        <v>380.99299999999999</v>
      </c>
      <c r="E36" s="1018">
        <f t="shared" si="2"/>
        <v>134.67638513043548</v>
      </c>
      <c r="F36" s="1007">
        <v>101.65070530999999</v>
      </c>
      <c r="G36" s="1019">
        <f t="shared" si="5"/>
        <v>66.581294690000007</v>
      </c>
      <c r="H36" s="1020">
        <v>100.27931198999998</v>
      </c>
      <c r="I36" s="1021">
        <f t="shared" si="3"/>
        <v>280.71368801</v>
      </c>
      <c r="J36" s="1018">
        <f t="shared" si="4"/>
        <v>72.341662511756766</v>
      </c>
    </row>
    <row r="37" spans="2:14" hidden="1">
      <c r="B37" s="964" t="s">
        <v>301</v>
      </c>
      <c r="C37" s="1004">
        <v>71.040000000000006</v>
      </c>
      <c r="D37" s="1005">
        <v>227.709</v>
      </c>
      <c r="E37" s="1018">
        <f t="shared" si="2"/>
        <v>95.153024254640798</v>
      </c>
      <c r="F37" s="1007">
        <v>10.73774036</v>
      </c>
      <c r="G37" s="1019">
        <f t="shared" si="5"/>
        <v>60.302259640000003</v>
      </c>
      <c r="H37" s="1020">
        <v>6.0668531799999998</v>
      </c>
      <c r="I37" s="1021">
        <f t="shared" si="3"/>
        <v>221.64214681999999</v>
      </c>
      <c r="J37" s="1018">
        <f t="shared" si="4"/>
        <v>82.981461125878127</v>
      </c>
    </row>
    <row r="38" spans="2:14" hidden="1">
      <c r="B38" s="964" t="s">
        <v>48</v>
      </c>
      <c r="C38" s="1004">
        <v>42.896708709999977</v>
      </c>
      <c r="D38" s="1005">
        <v>63.457440230000003</v>
      </c>
      <c r="E38" s="1018">
        <f t="shared" si="2"/>
        <v>206.17749643113822</v>
      </c>
      <c r="F38" s="1007"/>
      <c r="G38" s="1019">
        <f t="shared" si="5"/>
        <v>42.896708709999977</v>
      </c>
      <c r="H38" s="1020"/>
      <c r="I38" s="1021">
        <f t="shared" si="3"/>
        <v>63.457440230000003</v>
      </c>
      <c r="J38" s="1018">
        <f t="shared" si="4"/>
        <v>206.17749643113822</v>
      </c>
    </row>
    <row r="39" spans="2:14" ht="14.4" hidden="1" thickBot="1">
      <c r="B39" s="972" t="s">
        <v>16</v>
      </c>
      <c r="C39" s="1022">
        <f>SUM(C26:C38)</f>
        <v>1783.4931177099998</v>
      </c>
      <c r="D39" s="1022">
        <f>SUM(D26:D38)</f>
        <v>6117.3040922300006</v>
      </c>
      <c r="E39" s="1023">
        <f>(C39*305)/D39</f>
        <v>88.922406455562182</v>
      </c>
      <c r="F39" s="1022">
        <f>SUM(F26:F38)</f>
        <v>691.89336673999981</v>
      </c>
      <c r="G39" s="1022">
        <f>SUM(G26:G38)</f>
        <v>1091.5997509700001</v>
      </c>
      <c r="H39" s="1022">
        <f>SUM(H26:H38)</f>
        <v>1039.1785546900001</v>
      </c>
      <c r="I39" s="1022">
        <f>SUM(I26:I38)</f>
        <v>5078.1255375399996</v>
      </c>
      <c r="J39" s="1023">
        <f>(G39*305)/I39</f>
        <v>65.563153487366392</v>
      </c>
    </row>
    <row r="43" spans="2:14">
      <c r="B43" s="1024" t="s">
        <v>1036</v>
      </c>
      <c r="C43" s="1024"/>
    </row>
    <row r="44" spans="2:14">
      <c r="B44" s="1024" t="s">
        <v>380</v>
      </c>
      <c r="C44" s="1025"/>
    </row>
    <row r="45" spans="2:14" ht="12.6" customHeight="1">
      <c r="H45" s="1026"/>
    </row>
    <row r="46" spans="2:14" ht="76.2" customHeight="1" thickBot="1">
      <c r="B46" s="962"/>
      <c r="C46" s="963" t="s">
        <v>362</v>
      </c>
      <c r="D46" s="963" t="s">
        <v>382</v>
      </c>
      <c r="E46" s="963" t="s">
        <v>383</v>
      </c>
      <c r="F46" s="963" t="s">
        <v>384</v>
      </c>
      <c r="G46" s="963" t="s">
        <v>385</v>
      </c>
      <c r="H46" s="963" t="s">
        <v>386</v>
      </c>
      <c r="I46" s="963" t="s">
        <v>387</v>
      </c>
      <c r="J46" s="963" t="s">
        <v>1076</v>
      </c>
      <c r="K46" s="963" t="s">
        <v>1077</v>
      </c>
      <c r="L46" s="963" t="s">
        <v>414</v>
      </c>
      <c r="N46" s="1016"/>
    </row>
    <row r="47" spans="2:14">
      <c r="B47" s="964" t="s">
        <v>6</v>
      </c>
      <c r="C47" s="965">
        <f>'Crédit client'!H20</f>
        <v>1109.4241201999994</v>
      </c>
      <c r="D47" s="965">
        <f>'Crédit client'!D20</f>
        <v>2353.5463584299996</v>
      </c>
      <c r="E47" s="966">
        <f>'Crédit client'!L20</f>
        <v>172.05516365657078</v>
      </c>
      <c r="F47" s="967">
        <f>'Feuil-saisie'!C34/1000</f>
        <v>892.60079000000007</v>
      </c>
      <c r="G47" s="968">
        <f>C47-F47</f>
        <v>216.8233301999993</v>
      </c>
      <c r="H47" s="967">
        <f>'Feuil-saisie'!E34/1000</f>
        <v>0</v>
      </c>
      <c r="I47" s="969">
        <f>D47-H47</f>
        <v>2353.5463584299996</v>
      </c>
      <c r="J47" s="966">
        <f>(G47*'Crédit client'!$O$14)/I47</f>
        <v>33.626070393528465</v>
      </c>
      <c r="K47" s="966">
        <v>52.417356512668341</v>
      </c>
      <c r="L47" s="970">
        <f>J47-K47</f>
        <v>-18.791286119139876</v>
      </c>
      <c r="N47" s="971"/>
    </row>
    <row r="48" spans="2:14">
      <c r="B48" s="964" t="s">
        <v>7</v>
      </c>
      <c r="C48" s="965">
        <f>'Crédit client'!H21</f>
        <v>524.35500000000002</v>
      </c>
      <c r="D48" s="965">
        <f>'Crédit client'!D21</f>
        <v>889.67600000000004</v>
      </c>
      <c r="E48" s="966">
        <f>'Crédit client'!L21</f>
        <v>215.12278065273202</v>
      </c>
      <c r="F48" s="967">
        <f>'Feuil-saisie'!C58/1000</f>
        <v>496.178</v>
      </c>
      <c r="G48" s="968">
        <f>C48-F48</f>
        <v>28.177000000000021</v>
      </c>
      <c r="H48" s="967">
        <f>'Feuil-saisie'!E58/1000</f>
        <v>418.52747999999997</v>
      </c>
      <c r="I48" s="969">
        <f t="shared" ref="I48:I56" si="6">D48-H48</f>
        <v>471.14852000000008</v>
      </c>
      <c r="J48" s="966">
        <f>(G48*'Crédit client'!$O$14)/I48</f>
        <v>21.828796151158461</v>
      </c>
      <c r="K48" s="966">
        <v>22.121212310498425</v>
      </c>
      <c r="L48" s="970">
        <f t="shared" ref="L48:L57" si="7">J48-K48</f>
        <v>-0.29241615933996457</v>
      </c>
      <c r="N48" s="971"/>
    </row>
    <row r="49" spans="2:15">
      <c r="B49" s="964" t="s">
        <v>8</v>
      </c>
      <c r="C49" s="965">
        <f>'Crédit client'!H22</f>
        <v>495.46004759000004</v>
      </c>
      <c r="D49" s="965">
        <f>'Crédit client'!D22</f>
        <v>473.51845759000003</v>
      </c>
      <c r="E49" s="966">
        <f>'Crédit client'!L22</f>
        <v>381.91313236396456</v>
      </c>
      <c r="F49" s="967">
        <f>'Feuil-saisie'!C81/1000</f>
        <v>473.55112733999999</v>
      </c>
      <c r="G49" s="968">
        <f>C49-F49</f>
        <v>21.908920250000051</v>
      </c>
      <c r="H49" s="967">
        <f>'Feuil-saisie'!E81/1000</f>
        <v>232.16632011999999</v>
      </c>
      <c r="I49" s="969">
        <f t="shared" si="6"/>
        <v>241.35213747000003</v>
      </c>
      <c r="J49" s="966">
        <f>(G49*'Crédit client'!$O$14)/I49</f>
        <v>33.133147172744685</v>
      </c>
      <c r="K49" s="966">
        <v>20.104417172375477</v>
      </c>
      <c r="L49" s="970">
        <f t="shared" si="7"/>
        <v>13.028730000369208</v>
      </c>
      <c r="N49" s="971"/>
    </row>
    <row r="50" spans="2:15">
      <c r="B50" s="964" t="s">
        <v>125</v>
      </c>
      <c r="C50" s="965">
        <f>'Crédit client'!H23</f>
        <v>1315.9505770800001</v>
      </c>
      <c r="D50" s="965">
        <f>'Crédit client'!D23</f>
        <v>1253.5834664700001</v>
      </c>
      <c r="E50" s="966">
        <f>'Crédit client'!L23</f>
        <v>383.1591381679209</v>
      </c>
      <c r="F50" s="967">
        <f>'Feuil-saisie'!C105/1000</f>
        <v>1273.84614794</v>
      </c>
      <c r="G50" s="968">
        <f t="shared" ref="G50:G56" si="8">C50-F50</f>
        <v>42.104429140000093</v>
      </c>
      <c r="H50" s="967">
        <f>'Feuil-saisie'!E105/1000</f>
        <v>499.00241488</v>
      </c>
      <c r="I50" s="969">
        <f t="shared" si="6"/>
        <v>754.58105159000002</v>
      </c>
      <c r="J50" s="966">
        <f>(G50*'Crédit client'!$O$14)/I50</f>
        <v>20.366422670854803</v>
      </c>
      <c r="K50" s="966">
        <v>16.572080291551369</v>
      </c>
      <c r="L50" s="970">
        <f t="shared" si="7"/>
        <v>3.7943423793034334</v>
      </c>
      <c r="N50" s="971"/>
    </row>
    <row r="51" spans="2:15">
      <c r="B51" s="964" t="s">
        <v>3</v>
      </c>
      <c r="C51" s="965">
        <f>'Crédit client'!H24</f>
        <v>580.23</v>
      </c>
      <c r="D51" s="965">
        <f>'Crédit client'!D24</f>
        <v>864.75968512999998</v>
      </c>
      <c r="E51" s="966">
        <f>'Crédit client'!L24</f>
        <v>244.90497607802146</v>
      </c>
      <c r="F51" s="967">
        <f>'Feuil-saisie'!C128/1000</f>
        <v>417.31198513999999</v>
      </c>
      <c r="G51" s="968">
        <f>C51-F51</f>
        <v>162.91801486000003</v>
      </c>
      <c r="H51" s="967">
        <f>'Feuil-saisie'!E128/1000</f>
        <v>160.88483063000001</v>
      </c>
      <c r="I51" s="969">
        <f t="shared" si="6"/>
        <v>703.87485449999997</v>
      </c>
      <c r="J51" s="966">
        <f>(G51*'Crédit client'!$O$14)/I51</f>
        <v>84.482454578010518</v>
      </c>
      <c r="K51" s="966">
        <v>74.317821800079187</v>
      </c>
      <c r="L51" s="970">
        <f t="shared" si="7"/>
        <v>10.164632777931331</v>
      </c>
      <c r="N51" s="971"/>
    </row>
    <row r="52" spans="2:15">
      <c r="B52" s="964" t="s">
        <v>397</v>
      </c>
      <c r="C52" s="965">
        <f>'Crédit client'!H25</f>
        <v>584.20545579999964</v>
      </c>
      <c r="D52" s="965">
        <f>'Crédit client'!D25</f>
        <v>1179.06078499</v>
      </c>
      <c r="E52" s="966">
        <f>'Crédit client'!L25</f>
        <v>180.85156768979334</v>
      </c>
      <c r="F52" s="967">
        <f>'Feuil-saisie'!C153/1000</f>
        <v>418.79384999999996</v>
      </c>
      <c r="G52" s="968">
        <f t="shared" si="8"/>
        <v>165.41160579999968</v>
      </c>
      <c r="H52" s="967">
        <f>'Feuil-saisie'!E153/1000</f>
        <v>0</v>
      </c>
      <c r="I52" s="969">
        <f t="shared" si="6"/>
        <v>1179.06078499</v>
      </c>
      <c r="J52" s="966">
        <f>(G52*'Crédit client'!$O$14)/I52</f>
        <v>51.20621166067528</v>
      </c>
      <c r="K52" s="966">
        <v>73.160567555262006</v>
      </c>
      <c r="L52" s="970">
        <f t="shared" si="7"/>
        <v>-21.954355894586726</v>
      </c>
      <c r="N52" s="971"/>
    </row>
    <row r="53" spans="2:15">
      <c r="B53" s="964" t="s">
        <v>399</v>
      </c>
      <c r="C53" s="965">
        <f>'Crédit client'!H26</f>
        <v>1084.1548809399994</v>
      </c>
      <c r="D53" s="965">
        <f>'Crédit client'!D26</f>
        <v>2115.8122200599996</v>
      </c>
      <c r="E53" s="966">
        <f>'Crédit client'!L26</f>
        <v>187.02819077766654</v>
      </c>
      <c r="F53" s="967">
        <f>'Feuil-saisie'!C176/1000</f>
        <v>567.54718371000081</v>
      </c>
      <c r="G53" s="968">
        <f t="shared" si="8"/>
        <v>516.60769722999862</v>
      </c>
      <c r="H53" s="967">
        <f>'Feuil-saisie'!E176/1000</f>
        <v>29.113162989999999</v>
      </c>
      <c r="I53" s="969">
        <f t="shared" si="6"/>
        <v>2086.6990570699995</v>
      </c>
      <c r="J53" s="966">
        <f>(G53*'Crédit client'!$O$14)/I53</f>
        <v>90.363681744177867</v>
      </c>
      <c r="K53" s="966">
        <v>67.818818796187102</v>
      </c>
      <c r="L53" s="970">
        <f t="shared" si="7"/>
        <v>22.544862947990765</v>
      </c>
      <c r="N53" s="971"/>
    </row>
    <row r="54" spans="2:15" ht="13.95" customHeight="1">
      <c r="B54" s="964" t="s">
        <v>883</v>
      </c>
      <c r="C54" s="965">
        <f>'Crédit client'!H27</f>
        <v>123.11480054000009</v>
      </c>
      <c r="D54" s="965">
        <f>'Crédit client'!D27</f>
        <v>683.30964702000006</v>
      </c>
      <c r="E54" s="966">
        <f>'Crédit client'!L27</f>
        <v>65.763599845363743</v>
      </c>
      <c r="F54" s="967">
        <f>'Feuil-saisie'!C199/1000</f>
        <v>8.4981504000000001</v>
      </c>
      <c r="G54" s="968">
        <f>C54-F54</f>
        <v>114.61665014000009</v>
      </c>
      <c r="H54" s="967">
        <f>'Feuil-saisie'!E199/1000</f>
        <v>4.4780485799999994</v>
      </c>
      <c r="I54" s="969">
        <f t="shared" si="6"/>
        <v>678.83159844000011</v>
      </c>
      <c r="J54" s="1049">
        <f>(G54*'Crédit client'!$O$14)/I54</f>
        <v>61.628064157944046</v>
      </c>
      <c r="K54" s="966">
        <v>68.043584150764914</v>
      </c>
      <c r="L54" s="970">
        <f>J54-K54</f>
        <v>-6.4155199928208688</v>
      </c>
      <c r="N54" s="971"/>
      <c r="O54" s="1027"/>
    </row>
    <row r="55" spans="2:15">
      <c r="B55" s="964" t="s">
        <v>884</v>
      </c>
      <c r="C55" s="965">
        <f>'Crédit client'!H28</f>
        <v>50.225951850001231</v>
      </c>
      <c r="D55" s="965">
        <f>'Crédit client'!D28</f>
        <v>582.77813362999996</v>
      </c>
      <c r="E55" s="966">
        <f>'Crédit client'!L28</f>
        <v>31.457035477740753</v>
      </c>
      <c r="F55" s="967">
        <f>'Feuil-saisie'!C222/1000</f>
        <v>18.237997800000112</v>
      </c>
      <c r="G55" s="968">
        <f>C55-F55</f>
        <v>31.987954050001118</v>
      </c>
      <c r="H55" s="967">
        <f>'Feuil-saisie'!E222/1000</f>
        <v>5.5548304699999997</v>
      </c>
      <c r="I55" s="969">
        <f t="shared" si="6"/>
        <v>577.22330316</v>
      </c>
      <c r="J55" s="966">
        <f>(G55*'Crédit client'!$O$14)/I55</f>
        <v>20.227186193510377</v>
      </c>
      <c r="K55" s="966">
        <v>41.415981251971822</v>
      </c>
      <c r="L55" s="970">
        <f t="shared" si="7"/>
        <v>-21.188795058461444</v>
      </c>
      <c r="N55" s="971"/>
    </row>
    <row r="56" spans="2:15">
      <c r="B56" s="964" t="s">
        <v>885</v>
      </c>
      <c r="C56" s="965">
        <f>'Crédit client'!H29</f>
        <v>8.5250017400000004</v>
      </c>
      <c r="D56" s="965">
        <f>'Crédit client'!D29</f>
        <v>78.132987240000006</v>
      </c>
      <c r="E56" s="966">
        <f>'Crédit client'!L29</f>
        <v>39.824736580748706</v>
      </c>
      <c r="F56" s="967">
        <f>'Feuil-saisie'!C247/1000</f>
        <v>0</v>
      </c>
      <c r="G56" s="968">
        <f t="shared" si="8"/>
        <v>8.5250017400000004</v>
      </c>
      <c r="H56" s="967">
        <f>'Feuil-saisie'!E247/1000</f>
        <v>0</v>
      </c>
      <c r="I56" s="969">
        <f t="shared" si="6"/>
        <v>78.132987240000006</v>
      </c>
      <c r="J56" s="1050">
        <f>(G56*'Crédit client'!$O$14)/I56</f>
        <v>39.824736580748706</v>
      </c>
      <c r="K56" s="966">
        <v>43.359537472860907</v>
      </c>
      <c r="L56" s="970">
        <f t="shared" si="7"/>
        <v>-3.5348008921122016</v>
      </c>
      <c r="N56" s="971"/>
    </row>
    <row r="57" spans="2:15" ht="14.4" thickBot="1">
      <c r="B57" s="972" t="s">
        <v>16</v>
      </c>
      <c r="C57" s="973">
        <f>'Crédit client'!H30</f>
        <v>5875.6458357400006</v>
      </c>
      <c r="D57" s="973">
        <f>SUM(D47:D56)</f>
        <v>10474.177740559999</v>
      </c>
      <c r="E57" s="974">
        <f>'Crédit client'!L30</f>
        <v>204.75218037787846</v>
      </c>
      <c r="F57" s="975">
        <f>SUM(F47:F56)</f>
        <v>4566.565232330001</v>
      </c>
      <c r="G57" s="975">
        <f>SUM(G47:G56)</f>
        <v>1309.080603409999</v>
      </c>
      <c r="H57" s="975">
        <f>SUM(H47:H56)</f>
        <v>1349.7270876700002</v>
      </c>
      <c r="I57" s="975">
        <f>SUM(I47:I56)</f>
        <v>9124.4506528900001</v>
      </c>
      <c r="J57" s="974">
        <f>(G57*'Crédit client'!$O$14)/I57</f>
        <v>52.366376719162901</v>
      </c>
      <c r="K57" s="974">
        <v>50.804805404117879</v>
      </c>
      <c r="L57" s="974">
        <f t="shared" si="7"/>
        <v>1.5615713150450219</v>
      </c>
    </row>
    <row r="58" spans="2:15" ht="14.4" thickTop="1">
      <c r="C58" s="976"/>
      <c r="D58" s="976"/>
      <c r="E58" s="977"/>
      <c r="F58" s="976">
        <f>F57/C57</f>
        <v>0.77720226167356643</v>
      </c>
      <c r="G58" s="976"/>
      <c r="H58" s="976"/>
      <c r="I58" s="976"/>
      <c r="J58" s="977"/>
      <c r="K58" s="977"/>
      <c r="L58" s="977"/>
    </row>
    <row r="59" spans="2:15" hidden="1">
      <c r="B59" s="1025" t="s">
        <v>418</v>
      </c>
      <c r="C59" s="1016" t="s">
        <v>426</v>
      </c>
    </row>
    <row r="60" spans="2:15" hidden="1">
      <c r="C60" s="1025"/>
      <c r="F60" s="1016"/>
    </row>
    <row r="61" spans="2:15" hidden="1">
      <c r="B61" s="1016" t="s">
        <v>419</v>
      </c>
      <c r="C61" s="1025"/>
      <c r="F61" s="1016"/>
    </row>
    <row r="62" spans="2:15" hidden="1">
      <c r="C62" s="1025"/>
      <c r="F62" s="1016"/>
    </row>
    <row r="63" spans="2:15" ht="55.2" hidden="1">
      <c r="B63" s="1028"/>
      <c r="C63" s="1029" t="s">
        <v>362</v>
      </c>
      <c r="D63" s="1029" t="s">
        <v>382</v>
      </c>
      <c r="E63" s="1029" t="s">
        <v>383</v>
      </c>
      <c r="F63" s="1029" t="s">
        <v>384</v>
      </c>
      <c r="G63" s="1029" t="s">
        <v>416</v>
      </c>
      <c r="H63" s="1029" t="s">
        <v>385</v>
      </c>
      <c r="I63" s="1029" t="s">
        <v>386</v>
      </c>
      <c r="J63" s="1029" t="s">
        <v>387</v>
      </c>
      <c r="K63" s="1029" t="s">
        <v>665</v>
      </c>
      <c r="L63" s="1029" t="s">
        <v>666</v>
      </c>
      <c r="M63" s="1029" t="s">
        <v>414</v>
      </c>
    </row>
    <row r="64" spans="2:15" hidden="1">
      <c r="B64" s="1030" t="s">
        <v>11</v>
      </c>
      <c r="C64" s="1031">
        <f>C54</f>
        <v>123.11480054000009</v>
      </c>
      <c r="D64" s="1032">
        <f>D54</f>
        <v>683.30964702000006</v>
      </c>
      <c r="E64" s="1033">
        <f>E54</f>
        <v>65.763599845363743</v>
      </c>
      <c r="F64" s="1031">
        <f>F54</f>
        <v>8.4981504000000001</v>
      </c>
      <c r="G64" s="1031">
        <v>14.452999999999999</v>
      </c>
      <c r="H64" s="1031">
        <f>C64-F64-G64</f>
        <v>100.16365014000009</v>
      </c>
      <c r="I64" s="1031">
        <f>H54</f>
        <v>4.4780485799999994</v>
      </c>
      <c r="J64" s="1031">
        <f>I54</f>
        <v>678.83159844000011</v>
      </c>
      <c r="K64" s="1034">
        <f>(H64*'Crédit client'!$O$14)/J64</f>
        <v>53.856851073398346</v>
      </c>
      <c r="L64" s="1035">
        <v>111.00310201995244</v>
      </c>
      <c r="M64" s="1035">
        <f>K64-L64</f>
        <v>-57.14625094655409</v>
      </c>
    </row>
    <row r="65" spans="2:13" hidden="1">
      <c r="E65" s="1016"/>
      <c r="M65" s="999"/>
    </row>
    <row r="66" spans="2:13" ht="55.2" hidden="1">
      <c r="B66" s="1036"/>
      <c r="C66" s="1029" t="s">
        <v>362</v>
      </c>
      <c r="D66" s="1029" t="s">
        <v>382</v>
      </c>
      <c r="E66" s="1029" t="s">
        <v>383</v>
      </c>
      <c r="F66" s="1029" t="s">
        <v>384</v>
      </c>
      <c r="G66" s="1029" t="s">
        <v>422</v>
      </c>
      <c r="H66" s="1029" t="s">
        <v>385</v>
      </c>
      <c r="I66" s="1029" t="s">
        <v>386</v>
      </c>
      <c r="J66" s="1029" t="s">
        <v>387</v>
      </c>
      <c r="K66" s="1029" t="s">
        <v>665</v>
      </c>
      <c r="L66" s="1029" t="s">
        <v>666</v>
      </c>
      <c r="M66" s="1029" t="s">
        <v>414</v>
      </c>
    </row>
    <row r="67" spans="2:13" hidden="1">
      <c r="B67" s="1036" t="s">
        <v>48</v>
      </c>
      <c r="C67" s="1031" t="e">
        <f>#REF!</f>
        <v>#REF!</v>
      </c>
      <c r="D67" s="1032" t="e">
        <f>#REF!</f>
        <v>#REF!</v>
      </c>
      <c r="E67" s="1033" t="e">
        <f>#REF!</f>
        <v>#REF!</v>
      </c>
      <c r="F67" s="1031" t="e">
        <f>#REF!</f>
        <v>#REF!</v>
      </c>
      <c r="G67" s="1031">
        <v>10.728999999999999</v>
      </c>
      <c r="H67" s="1031" t="e">
        <f>C67-F67-G67</f>
        <v>#REF!</v>
      </c>
      <c r="I67" s="1031" t="e">
        <f>#REF!</f>
        <v>#REF!</v>
      </c>
      <c r="J67" s="1031" t="e">
        <f>D67-I67</f>
        <v>#REF!</v>
      </c>
      <c r="K67" s="1034" t="e">
        <f>(H67*'Crédit client'!$O$14)/J67</f>
        <v>#REF!</v>
      </c>
      <c r="L67" s="1035">
        <v>39.376953545884078</v>
      </c>
      <c r="M67" s="1035" t="e">
        <f>K67-L67</f>
        <v>#REF!</v>
      </c>
    </row>
    <row r="68" spans="2:13" hidden="1">
      <c r="B68" s="1037"/>
      <c r="C68" s="1037"/>
      <c r="D68" s="1037"/>
      <c r="E68" s="1037"/>
      <c r="F68" s="1037"/>
      <c r="G68" s="1037"/>
      <c r="H68" s="1037"/>
      <c r="I68" s="1037"/>
      <c r="J68" s="1037"/>
      <c r="K68" s="1037"/>
    </row>
    <row r="69" spans="2:13" ht="82.8" hidden="1">
      <c r="B69" s="1036"/>
      <c r="C69" s="1029" t="s">
        <v>362</v>
      </c>
      <c r="D69" s="1029" t="s">
        <v>382</v>
      </c>
      <c r="E69" s="1029" t="s">
        <v>383</v>
      </c>
      <c r="F69" s="1029" t="s">
        <v>384</v>
      </c>
      <c r="G69" s="1029" t="s">
        <v>423</v>
      </c>
      <c r="H69" s="1029" t="s">
        <v>385</v>
      </c>
      <c r="I69" s="1029" t="s">
        <v>386</v>
      </c>
      <c r="J69" s="1029" t="s">
        <v>387</v>
      </c>
      <c r="K69" s="1029" t="s">
        <v>420</v>
      </c>
    </row>
    <row r="70" spans="2:13" hidden="1">
      <c r="B70" s="1036" t="s">
        <v>3</v>
      </c>
      <c r="C70" s="1038">
        <f>C51</f>
        <v>580.23</v>
      </c>
      <c r="D70" s="1038">
        <f>D51</f>
        <v>864.75968512999998</v>
      </c>
      <c r="E70" s="1039">
        <f>E51</f>
        <v>244.90497607802146</v>
      </c>
      <c r="F70" s="1036">
        <v>30.181000000000001</v>
      </c>
      <c r="G70" s="1036">
        <v>151.489</v>
      </c>
      <c r="H70" s="1038">
        <f>C70-F70-G70</f>
        <v>398.55999999999995</v>
      </c>
      <c r="I70" s="1038">
        <f>H51</f>
        <v>160.88483063000001</v>
      </c>
      <c r="J70" s="1038">
        <f>D70-I70</f>
        <v>703.87485449999997</v>
      </c>
      <c r="K70" s="1040">
        <f>(H70*'Crédit client'!$O$14)/J70</f>
        <v>206.67651226628666</v>
      </c>
    </row>
    <row r="77" spans="2:13" ht="37.5" customHeight="1">
      <c r="B77" s="3171" t="s">
        <v>462</v>
      </c>
      <c r="C77" s="3171"/>
      <c r="D77" s="3171"/>
      <c r="E77" s="3171"/>
      <c r="F77" s="978"/>
      <c r="G77" s="3171" t="s">
        <v>463</v>
      </c>
      <c r="H77" s="3171"/>
      <c r="I77" s="3171"/>
      <c r="J77" s="3171"/>
    </row>
    <row r="78" spans="2:13" ht="41.4">
      <c r="B78" s="979"/>
      <c r="C78" s="980" t="s">
        <v>430</v>
      </c>
      <c r="D78" s="981" t="s">
        <v>431</v>
      </c>
      <c r="E78" s="981" t="s">
        <v>435</v>
      </c>
      <c r="F78" s="982"/>
      <c r="G78" s="979"/>
      <c r="H78" s="980" t="s">
        <v>432</v>
      </c>
      <c r="I78" s="981" t="s">
        <v>433</v>
      </c>
      <c r="J78" s="981" t="s">
        <v>434</v>
      </c>
    </row>
    <row r="79" spans="2:13">
      <c r="B79" s="983" t="s">
        <v>6</v>
      </c>
      <c r="C79" s="984">
        <v>159.7867</v>
      </c>
      <c r="D79" s="985">
        <f t="shared" ref="D79:D85" si="9">G47</f>
        <v>216.8233301999993</v>
      </c>
      <c r="E79" s="986">
        <f>(D79-C79)/C79*100</f>
        <v>35.695480412324251</v>
      </c>
      <c r="F79" s="982"/>
      <c r="G79" s="983" t="s">
        <v>6</v>
      </c>
      <c r="H79" s="987">
        <f t="shared" ref="H79:H85" si="10">K47</f>
        <v>52.417356512668341</v>
      </c>
      <c r="I79" s="988">
        <f t="shared" ref="I79:I85" si="11">J47</f>
        <v>33.626070393528465</v>
      </c>
      <c r="J79" s="989">
        <f>I79-H79</f>
        <v>-18.791286119139876</v>
      </c>
    </row>
    <row r="80" spans="2:13">
      <c r="B80" s="983" t="s">
        <v>7</v>
      </c>
      <c r="C80" s="984">
        <v>17.520000000000003</v>
      </c>
      <c r="D80" s="985">
        <f t="shared" si="9"/>
        <v>28.177000000000021</v>
      </c>
      <c r="E80" s="986">
        <f t="shared" ref="E80:E89" si="12">(D80-C80)/C80*100</f>
        <v>60.827625570776348</v>
      </c>
      <c r="F80" s="982"/>
      <c r="G80" s="983" t="s">
        <v>7</v>
      </c>
      <c r="H80" s="987">
        <f t="shared" si="10"/>
        <v>22.121212310498425</v>
      </c>
      <c r="I80" s="990">
        <f t="shared" si="11"/>
        <v>21.828796151158461</v>
      </c>
      <c r="J80" s="991">
        <f t="shared" ref="J80:J89" si="13">I80-H80</f>
        <v>-0.29241615933996457</v>
      </c>
    </row>
    <row r="81" spans="2:10">
      <c r="B81" s="983" t="s">
        <v>8</v>
      </c>
      <c r="C81" s="984">
        <v>28.258000000000003</v>
      </c>
      <c r="D81" s="985">
        <f t="shared" si="9"/>
        <v>21.908920250000051</v>
      </c>
      <c r="E81" s="986">
        <f t="shared" si="12"/>
        <v>-22.468255892136565</v>
      </c>
      <c r="F81" s="982"/>
      <c r="G81" s="983" t="s">
        <v>8</v>
      </c>
      <c r="H81" s="987">
        <f t="shared" si="10"/>
        <v>20.104417172375477</v>
      </c>
      <c r="I81" s="990">
        <f t="shared" si="11"/>
        <v>33.133147172744685</v>
      </c>
      <c r="J81" s="991">
        <f t="shared" si="13"/>
        <v>13.028730000369208</v>
      </c>
    </row>
    <row r="82" spans="2:10">
      <c r="B82" s="983" t="s">
        <v>4</v>
      </c>
      <c r="C82" s="984">
        <v>29.730899999999991</v>
      </c>
      <c r="D82" s="985">
        <f t="shared" si="9"/>
        <v>42.104429140000093</v>
      </c>
      <c r="E82" s="986">
        <f t="shared" si="12"/>
        <v>41.618414309691623</v>
      </c>
      <c r="F82" s="982"/>
      <c r="G82" s="983" t="s">
        <v>4</v>
      </c>
      <c r="H82" s="987">
        <f t="shared" si="10"/>
        <v>16.572080291551369</v>
      </c>
      <c r="I82" s="990">
        <f t="shared" si="11"/>
        <v>20.366422670854803</v>
      </c>
      <c r="J82" s="991">
        <f t="shared" si="13"/>
        <v>3.7943423793034334</v>
      </c>
    </row>
    <row r="83" spans="2:10">
      <c r="B83" s="983" t="s">
        <v>3</v>
      </c>
      <c r="C83" s="984">
        <v>38.733000000000004</v>
      </c>
      <c r="D83" s="985">
        <f t="shared" si="9"/>
        <v>162.91801486000003</v>
      </c>
      <c r="E83" s="986">
        <f t="shared" si="12"/>
        <v>320.61811597345934</v>
      </c>
      <c r="F83" s="982"/>
      <c r="G83" s="983" t="s">
        <v>3</v>
      </c>
      <c r="H83" s="987">
        <f t="shared" si="10"/>
        <v>74.317821800079187</v>
      </c>
      <c r="I83" s="990">
        <f t="shared" si="11"/>
        <v>84.482454578010518</v>
      </c>
      <c r="J83" s="991">
        <f t="shared" si="13"/>
        <v>10.164632777931331</v>
      </c>
    </row>
    <row r="84" spans="2:10">
      <c r="B84" s="983" t="s">
        <v>397</v>
      </c>
      <c r="C84" s="984">
        <v>60.496600000000001</v>
      </c>
      <c r="D84" s="985">
        <f t="shared" si="9"/>
        <v>165.41160579999968</v>
      </c>
      <c r="E84" s="986">
        <f t="shared" si="12"/>
        <v>173.42297881203189</v>
      </c>
      <c r="F84" s="982"/>
      <c r="G84" s="983" t="s">
        <v>397</v>
      </c>
      <c r="H84" s="987">
        <f t="shared" si="10"/>
        <v>73.160567555262006</v>
      </c>
      <c r="I84" s="990">
        <f t="shared" si="11"/>
        <v>51.20621166067528</v>
      </c>
      <c r="J84" s="991">
        <f t="shared" si="13"/>
        <v>-21.954355894586726</v>
      </c>
    </row>
    <row r="85" spans="2:10">
      <c r="B85" s="983" t="s">
        <v>399</v>
      </c>
      <c r="C85" s="984">
        <v>55.926723999999993</v>
      </c>
      <c r="D85" s="985">
        <f t="shared" si="9"/>
        <v>516.60769722999862</v>
      </c>
      <c r="E85" s="986">
        <f t="shared" si="12"/>
        <v>823.72243586089303</v>
      </c>
      <c r="F85" s="982"/>
      <c r="G85" s="983" t="s">
        <v>399</v>
      </c>
      <c r="H85" s="987">
        <f t="shared" si="10"/>
        <v>67.818818796187102</v>
      </c>
      <c r="I85" s="990">
        <f t="shared" si="11"/>
        <v>90.363681744177867</v>
      </c>
      <c r="J85" s="991">
        <f t="shared" si="13"/>
        <v>22.544862947990765</v>
      </c>
    </row>
    <row r="86" spans="2:10">
      <c r="B86" s="983" t="s">
        <v>883</v>
      </c>
      <c r="C86" s="984">
        <v>25.213999999999999</v>
      </c>
      <c r="D86" s="985">
        <f>H64</f>
        <v>100.16365014000009</v>
      </c>
      <c r="E86" s="986">
        <f t="shared" si="12"/>
        <v>297.25410541762551</v>
      </c>
      <c r="F86" s="982"/>
      <c r="G86" s="983" t="s">
        <v>883</v>
      </c>
      <c r="H86" s="987">
        <f>L64</f>
        <v>111.00310201995244</v>
      </c>
      <c r="I86" s="990">
        <f>K64</f>
        <v>53.856851073398346</v>
      </c>
      <c r="J86" s="991">
        <f t="shared" si="13"/>
        <v>-57.14625094655409</v>
      </c>
    </row>
    <row r="87" spans="2:10">
      <c r="B87" s="983" t="s">
        <v>884</v>
      </c>
      <c r="C87" s="984">
        <v>24.284800000000001</v>
      </c>
      <c r="D87" s="985">
        <f>G55</f>
        <v>31.987954050001118</v>
      </c>
      <c r="E87" s="986">
        <f t="shared" si="12"/>
        <v>31.72006378475885</v>
      </c>
      <c r="F87" s="982"/>
      <c r="G87" s="983" t="s">
        <v>884</v>
      </c>
      <c r="H87" s="987">
        <f>K55</f>
        <v>41.415981251971822</v>
      </c>
      <c r="I87" s="990">
        <f>J55</f>
        <v>20.227186193510377</v>
      </c>
      <c r="J87" s="991">
        <f t="shared" si="13"/>
        <v>-21.188795058461444</v>
      </c>
    </row>
    <row r="88" spans="2:10" ht="14.4" thickBot="1">
      <c r="B88" s="983" t="s">
        <v>885</v>
      </c>
      <c r="C88" s="984">
        <v>37.966699999999996</v>
      </c>
      <c r="D88" s="985">
        <f>G56</f>
        <v>8.5250017400000004</v>
      </c>
      <c r="E88" s="986">
        <f t="shared" si="12"/>
        <v>-77.546108194812831</v>
      </c>
      <c r="F88" s="982"/>
      <c r="G88" s="983" t="s">
        <v>885</v>
      </c>
      <c r="H88" s="987">
        <f>K56</f>
        <v>43.359537472860907</v>
      </c>
      <c r="I88" s="990">
        <f>J56</f>
        <v>39.824736580748706</v>
      </c>
      <c r="J88" s="991">
        <f t="shared" si="13"/>
        <v>-3.5348008921122016</v>
      </c>
    </row>
    <row r="89" spans="2:10" ht="14.4" thickBot="1">
      <c r="B89" s="992" t="s">
        <v>49</v>
      </c>
      <c r="C89" s="993">
        <f>SUM(C79:C88)</f>
        <v>477.91742399999998</v>
      </c>
      <c r="D89" s="993">
        <f>SUM(D79:D88)</f>
        <v>1294.627603409999</v>
      </c>
      <c r="E89" s="994">
        <f t="shared" si="12"/>
        <v>170.88939184816141</v>
      </c>
      <c r="F89" s="995"/>
      <c r="G89" s="992" t="s">
        <v>49</v>
      </c>
      <c r="H89" s="996">
        <f>K57</f>
        <v>50.804805404117879</v>
      </c>
      <c r="I89" s="997">
        <f>J57</f>
        <v>52.366376719162901</v>
      </c>
      <c r="J89" s="998">
        <f t="shared" si="13"/>
        <v>1.5615713150450219</v>
      </c>
    </row>
  </sheetData>
  <mergeCells count="2">
    <mergeCell ref="B77:E77"/>
    <mergeCell ref="G77:J77"/>
  </mergeCells>
  <phoneticPr fontId="42" type="noConversion"/>
  <pageMargins left="0.70866141732283472" right="0.70866141732283472" top="0.74803149606299213" bottom="0.74803149606299213" header="0.31496062992125984" footer="0.31496062992125984"/>
  <pageSetup paperSize="9" scale="85" orientation="landscape" horizontalDpi="4294967294" verticalDpi="4294967294" r:id="rId1"/>
</worksheet>
</file>

<file path=xl/worksheets/sheet2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C00-000000000000}">
  <dimension ref="B1:W512"/>
  <sheetViews>
    <sheetView showGridLines="0" topLeftCell="A341" zoomScaleNormal="100" zoomScaleSheetLayoutView="85" workbookViewId="0">
      <selection activeCell="D30" sqref="D30:E31"/>
    </sheetView>
  </sheetViews>
  <sheetFormatPr baseColWidth="10" defaultColWidth="11.44140625" defaultRowHeight="12" customHeight="1"/>
  <cols>
    <col min="1" max="1" width="1.5546875" style="2534" customWidth="1"/>
    <col min="2" max="2" width="33.88671875" style="2534" customWidth="1"/>
    <col min="3" max="3" width="12" style="2534" customWidth="1"/>
    <col min="4" max="4" width="9.6640625" style="2534" customWidth="1"/>
    <col min="5" max="5" width="10.88671875" style="2534" customWidth="1"/>
    <col min="6" max="6" width="11" style="2534" customWidth="1"/>
    <col min="7" max="7" width="8.109375" style="2534" customWidth="1"/>
    <col min="8" max="10" width="6.6640625" style="2534" customWidth="1"/>
    <col min="11" max="12" width="6.6640625" style="2535" customWidth="1"/>
    <col min="13" max="13" width="6.6640625" style="2639" customWidth="1"/>
    <col min="14" max="14" width="9.109375" style="2535" customWidth="1"/>
    <col min="15" max="15" width="10.5546875" style="2535" customWidth="1"/>
    <col min="16" max="16384" width="11.44140625" style="2534"/>
  </cols>
  <sheetData>
    <row r="1" spans="2:15" ht="12" customHeight="1">
      <c r="B1" s="2533"/>
      <c r="M1" s="2535"/>
    </row>
    <row r="2" spans="2:15" ht="12" customHeight="1">
      <c r="B2" s="2533" t="s">
        <v>641</v>
      </c>
      <c r="M2" s="2535"/>
    </row>
    <row r="3" spans="2:15" ht="12" customHeight="1">
      <c r="B3" s="2536"/>
      <c r="M3" s="2535"/>
    </row>
    <row r="4" spans="2:15" ht="12" customHeight="1">
      <c r="B4" s="2536"/>
      <c r="M4" s="2535"/>
    </row>
    <row r="5" spans="2:15" ht="12" customHeight="1">
      <c r="B5" s="2533"/>
      <c r="C5" s="2537"/>
      <c r="M5" s="2535"/>
    </row>
    <row r="6" spans="2:15" ht="12" customHeight="1">
      <c r="D6" s="2538">
        <f>C7-D11</f>
        <v>615.83436476722818</v>
      </c>
      <c r="M6" s="2535"/>
    </row>
    <row r="7" spans="2:15" ht="12" customHeight="1">
      <c r="C7" s="2534">
        <v>13772.951583036378</v>
      </c>
      <c r="E7" s="2537"/>
      <c r="M7" s="2535"/>
    </row>
    <row r="8" spans="2:15" ht="12" customHeight="1">
      <c r="B8" s="2539" t="s">
        <v>614</v>
      </c>
      <c r="C8" s="2540" t="s">
        <v>281</v>
      </c>
      <c r="D8" s="2541"/>
      <c r="E8" s="2541"/>
      <c r="F8" s="2542"/>
      <c r="G8" s="2543" t="s">
        <v>1178</v>
      </c>
      <c r="H8" s="2544"/>
      <c r="I8" s="2545" t="s">
        <v>1186</v>
      </c>
      <c r="J8" s="2546"/>
      <c r="K8" s="2547" t="s">
        <v>358</v>
      </c>
      <c r="L8" s="2548"/>
      <c r="M8" s="2548"/>
      <c r="N8" s="2548"/>
      <c r="O8" s="2549"/>
    </row>
    <row r="9" spans="2:15" ht="12" customHeight="1">
      <c r="B9" s="2550"/>
      <c r="C9" s="2551">
        <v>45291</v>
      </c>
      <c r="D9" s="2551">
        <f>TP_élec!G3</f>
        <v>45139</v>
      </c>
      <c r="E9" s="2551">
        <f>TP_élec!H3</f>
        <v>45505</v>
      </c>
      <c r="F9" s="2552" t="s">
        <v>1098</v>
      </c>
      <c r="G9" s="2552" t="s">
        <v>440</v>
      </c>
      <c r="H9" s="2552" t="s">
        <v>599</v>
      </c>
      <c r="I9" s="2552" t="s">
        <v>440</v>
      </c>
      <c r="J9" s="2552" t="s">
        <v>599</v>
      </c>
      <c r="K9" s="2551">
        <f>C9</f>
        <v>45291</v>
      </c>
      <c r="L9" s="2551">
        <f>D9</f>
        <v>45139</v>
      </c>
      <c r="M9" s="2551">
        <f>E9</f>
        <v>45505</v>
      </c>
      <c r="N9" s="2553" t="s">
        <v>600</v>
      </c>
      <c r="O9" s="2553" t="s">
        <v>601</v>
      </c>
    </row>
    <row r="10" spans="2:15" ht="12" customHeight="1">
      <c r="B10" s="2554" t="s">
        <v>277</v>
      </c>
      <c r="C10" s="2555">
        <f>C11+C12+C13</f>
        <v>8615.5807324250036</v>
      </c>
      <c r="D10" s="2555">
        <f>D11+D12+D13</f>
        <v>13847.086538062154</v>
      </c>
      <c r="E10" s="2555">
        <f>E11+E12+E13</f>
        <v>14667.308072685</v>
      </c>
      <c r="F10" s="2555">
        <f>F11+F12+F13</f>
        <v>8377.1</v>
      </c>
      <c r="G10" s="2555">
        <f t="shared" ref="G10:G37" si="0">E10-D10</f>
        <v>820.22153462284587</v>
      </c>
      <c r="H10" s="2555">
        <f>((E10-D10)/D10)*100</f>
        <v>5.9234231863017781</v>
      </c>
      <c r="I10" s="2555">
        <f>E10-F10</f>
        <v>6290.2080726849999</v>
      </c>
      <c r="J10" s="2555">
        <f>F10/E10*100</f>
        <v>57.11409318251598</v>
      </c>
      <c r="K10" s="2556">
        <v>56.020828155929642</v>
      </c>
      <c r="L10" s="2556">
        <f>'calcul-DCC-TX-Encais'!$C$108</f>
        <v>86.919385853550892</v>
      </c>
      <c r="M10" s="2556">
        <f>'calcul-DCC-TX-Encais'!AO108</f>
        <v>93.368008479339068</v>
      </c>
      <c r="N10" s="2556">
        <f>M10-L10</f>
        <v>6.4486226257881754</v>
      </c>
      <c r="O10" s="2556">
        <f>M10-K10</f>
        <v>37.347180323409425</v>
      </c>
    </row>
    <row r="11" spans="2:15" ht="12" customHeight="1">
      <c r="B11" s="2557" t="s">
        <v>602</v>
      </c>
      <c r="C11" s="2558">
        <f t="shared" ref="C11:F12" si="1">C45+C75+C105+C135+C165+C195+C225+C255+C285+C315</f>
        <v>7973.6063284219981</v>
      </c>
      <c r="D11" s="2558">
        <f t="shared" si="1"/>
        <v>13157.11721826915</v>
      </c>
      <c r="E11" s="2558">
        <f t="shared" si="1"/>
        <v>14124.189625842</v>
      </c>
      <c r="F11" s="2558">
        <f t="shared" si="1"/>
        <v>7752.8955561215107</v>
      </c>
      <c r="G11" s="2558">
        <f t="shared" si="0"/>
        <v>967.07240757285035</v>
      </c>
      <c r="H11" s="2558">
        <f>((E11-D11)/D11)*100</f>
        <v>7.3501846303385827</v>
      </c>
      <c r="I11" s="2558">
        <f t="shared" ref="I11:I37" si="2">E11-F11</f>
        <v>6371.2940697204895</v>
      </c>
      <c r="J11" s="2558">
        <f t="shared" ref="J11:J37" si="3">F11/E11*100</f>
        <v>54.890905329793952</v>
      </c>
      <c r="K11" s="2553">
        <v>53.398647832800727</v>
      </c>
      <c r="L11" s="2553">
        <f>'enc-ag'!P109</f>
        <v>80.617468575617522</v>
      </c>
      <c r="M11" s="2553">
        <f>'enc-ag'!J109</f>
        <v>93.626454733496757</v>
      </c>
      <c r="N11" s="2553">
        <f t="shared" ref="N11:N36" si="4">M11-L11</f>
        <v>13.008986157879235</v>
      </c>
      <c r="O11" s="2553">
        <f t="shared" ref="O11:O36" si="5">M11-K11</f>
        <v>40.227806900696031</v>
      </c>
    </row>
    <row r="12" spans="2:15" ht="12" customHeight="1">
      <c r="B12" s="2557" t="s">
        <v>279</v>
      </c>
      <c r="C12" s="2558">
        <f t="shared" si="1"/>
        <v>641.97440400300513</v>
      </c>
      <c r="D12" s="2558">
        <f t="shared" si="1"/>
        <v>689.96931979300393</v>
      </c>
      <c r="E12" s="2558">
        <f t="shared" si="1"/>
        <v>543.11844684300002</v>
      </c>
      <c r="F12" s="2558">
        <f t="shared" si="1"/>
        <v>624.20444387848909</v>
      </c>
      <c r="G12" s="2558">
        <f t="shared" si="0"/>
        <v>-146.85087295000392</v>
      </c>
      <c r="H12" s="2558">
        <f t="shared" ref="H12:H37" si="6">((E12-D12)/D12)*100</f>
        <v>-21.283681569212426</v>
      </c>
      <c r="I12" s="2558">
        <f t="shared" si="2"/>
        <v>-81.085997035489072</v>
      </c>
      <c r="J12" s="2558">
        <f t="shared" si="3"/>
        <v>114.9297077841528</v>
      </c>
      <c r="K12" s="2553"/>
      <c r="L12" s="2553"/>
      <c r="M12" s="2553"/>
      <c r="N12" s="2553"/>
      <c r="O12" s="2553"/>
    </row>
    <row r="13" spans="2:15" ht="12" customHeight="1">
      <c r="B13" s="2559" t="s">
        <v>538</v>
      </c>
      <c r="C13" s="2560"/>
      <c r="D13" s="2560"/>
      <c r="E13" s="2560"/>
      <c r="F13" s="2560">
        <v>0</v>
      </c>
      <c r="G13" s="2560">
        <f t="shared" si="0"/>
        <v>0</v>
      </c>
      <c r="H13" s="2560" t="e">
        <f t="shared" si="6"/>
        <v>#DIV/0!</v>
      </c>
      <c r="I13" s="2560">
        <f t="shared" si="2"/>
        <v>0</v>
      </c>
      <c r="J13" s="2560" t="e">
        <f t="shared" si="3"/>
        <v>#DIV/0!</v>
      </c>
      <c r="K13" s="2553"/>
      <c r="L13" s="2553"/>
      <c r="M13" s="2553"/>
      <c r="N13" s="2553">
        <f t="shared" si="4"/>
        <v>0</v>
      </c>
      <c r="O13" s="2553">
        <f t="shared" si="5"/>
        <v>0</v>
      </c>
    </row>
    <row r="14" spans="2:15" ht="12" customHeight="1">
      <c r="B14" s="2561" t="s">
        <v>1181</v>
      </c>
      <c r="C14" s="2555">
        <f>C15+C18</f>
        <v>2183.2967693065357</v>
      </c>
      <c r="D14" s="2555">
        <f>D15+D18</f>
        <v>2996.6123550365351</v>
      </c>
      <c r="E14" s="2555">
        <f>E15+E18</f>
        <v>3192.6189687365318</v>
      </c>
      <c r="F14" s="2555">
        <f>F15+F18</f>
        <v>1136.9699999999987</v>
      </c>
      <c r="G14" s="2555">
        <f t="shared" si="0"/>
        <v>196.00661369999671</v>
      </c>
      <c r="H14" s="2555">
        <f t="shared" si="6"/>
        <v>6.5409399173890463</v>
      </c>
      <c r="I14" s="2555">
        <f t="shared" si="2"/>
        <v>2055.6489687365329</v>
      </c>
      <c r="J14" s="2555">
        <f t="shared" si="3"/>
        <v>35.612455201628734</v>
      </c>
      <c r="K14" s="2556">
        <v>118.16400512971767</v>
      </c>
      <c r="L14" s="2556">
        <f>'calcul-DCC-TX-Encais'!$H$124</f>
        <v>159.82499615177056</v>
      </c>
      <c r="M14" s="2556">
        <f>'calcul-DCC-TX-Encais'!$AT$158</f>
        <v>157.59074143769172</v>
      </c>
      <c r="N14" s="2556">
        <f t="shared" si="4"/>
        <v>-2.234254714078844</v>
      </c>
      <c r="O14" s="2556">
        <f t="shared" si="5"/>
        <v>39.426736307974053</v>
      </c>
    </row>
    <row r="15" spans="2:15" ht="12" customHeight="1">
      <c r="B15" s="2562" t="s">
        <v>18</v>
      </c>
      <c r="C15" s="2558">
        <f t="shared" ref="C15:F20" si="7">C48+C78+C108+C138+C168+C198+C228+C258+C288+C318</f>
        <v>2151.6429324700057</v>
      </c>
      <c r="D15" s="2558">
        <f t="shared" si="7"/>
        <v>2926.0344933700053</v>
      </c>
      <c r="E15" s="2558">
        <f t="shared" si="7"/>
        <v>3123.0058855600018</v>
      </c>
      <c r="F15" s="2558">
        <f t="shared" si="7"/>
        <v>1110.8699999999988</v>
      </c>
      <c r="G15" s="2558">
        <f t="shared" si="0"/>
        <v>196.97139218999655</v>
      </c>
      <c r="H15" s="2558">
        <f t="shared" si="6"/>
        <v>6.7316838757816022</v>
      </c>
      <c r="I15" s="2558">
        <f t="shared" si="2"/>
        <v>2012.1358855600031</v>
      </c>
      <c r="J15" s="2558">
        <f t="shared" si="3"/>
        <v>35.570538151605277</v>
      </c>
      <c r="K15" s="2553">
        <v>133.65362120101986</v>
      </c>
      <c r="L15" s="2553">
        <f>'calcul-DCC-TX-Encais'!$I$108</f>
        <v>176.95158328548575</v>
      </c>
      <c r="M15" s="2553">
        <f>'calcul-DCC-TX-Encais'!$AU$108</f>
        <v>173.29937183860065</v>
      </c>
      <c r="N15" s="2553">
        <f t="shared" si="4"/>
        <v>-3.6522114468851044</v>
      </c>
      <c r="O15" s="2553">
        <f t="shared" si="5"/>
        <v>39.64575063758079</v>
      </c>
    </row>
    <row r="16" spans="2:15" ht="12" customHeight="1">
      <c r="B16" s="2563" t="s">
        <v>1101</v>
      </c>
      <c r="C16" s="2558">
        <f t="shared" si="7"/>
        <v>21.678000000000001</v>
      </c>
      <c r="D16" s="2558">
        <f t="shared" si="7"/>
        <v>18.17017289</v>
      </c>
      <c r="E16" s="2558">
        <f t="shared" si="7"/>
        <v>49.747994019999979</v>
      </c>
      <c r="F16" s="2558">
        <f t="shared" si="7"/>
        <v>0</v>
      </c>
      <c r="G16" s="2558">
        <f>E16-D16</f>
        <v>31.577821129999979</v>
      </c>
      <c r="H16" s="2558">
        <f>((E16-D16)/D16)*100</f>
        <v>173.78932672335173</v>
      </c>
      <c r="I16" s="2558">
        <f>E16-F16</f>
        <v>49.747994019999979</v>
      </c>
      <c r="J16" s="2558">
        <f>F16/E16*100</f>
        <v>0</v>
      </c>
      <c r="K16" s="2564"/>
      <c r="L16" s="2564"/>
      <c r="M16" s="2564"/>
      <c r="N16" s="2564"/>
      <c r="O16" s="2564"/>
    </row>
    <row r="17" spans="2:15" ht="12" customHeight="1">
      <c r="B17" s="2563" t="s">
        <v>1102</v>
      </c>
      <c r="C17" s="2558">
        <f t="shared" si="7"/>
        <v>2129.9649324700058</v>
      </c>
      <c r="D17" s="2558">
        <f t="shared" si="7"/>
        <v>2907.8643204800055</v>
      </c>
      <c r="E17" s="2558">
        <f t="shared" si="7"/>
        <v>3073.2578915400022</v>
      </c>
      <c r="F17" s="2558">
        <f t="shared" si="7"/>
        <v>1110.8699999999988</v>
      </c>
      <c r="G17" s="2558">
        <f>E17-D17</f>
        <v>165.3935710599967</v>
      </c>
      <c r="H17" s="2558">
        <f>((E17-D17)/D17)*100</f>
        <v>5.6878022091723635</v>
      </c>
      <c r="I17" s="2558">
        <f>E17-F17</f>
        <v>1962.3878915400035</v>
      </c>
      <c r="J17" s="2558">
        <f>F17/E17*100</f>
        <v>36.146331977475029</v>
      </c>
      <c r="K17" s="2564"/>
      <c r="L17" s="2564"/>
      <c r="M17" s="2564"/>
      <c r="N17" s="2564"/>
      <c r="O17" s="2564"/>
    </row>
    <row r="18" spans="2:15" ht="12" customHeight="1">
      <c r="B18" s="2562" t="s">
        <v>185</v>
      </c>
      <c r="C18" s="2558">
        <f t="shared" si="7"/>
        <v>31.65383683652998</v>
      </c>
      <c r="D18" s="2558">
        <f t="shared" si="7"/>
        <v>70.577861666529955</v>
      </c>
      <c r="E18" s="2558">
        <f t="shared" si="7"/>
        <v>69.613083176529869</v>
      </c>
      <c r="F18" s="2558">
        <f t="shared" si="7"/>
        <v>26.099999999999987</v>
      </c>
      <c r="G18" s="2558">
        <f>E18-D18</f>
        <v>-0.96477849000008575</v>
      </c>
      <c r="H18" s="2558">
        <f>((E18-D18)/D18)*100</f>
        <v>-1.3669704170955512</v>
      </c>
      <c r="I18" s="2558">
        <f>E18-F18</f>
        <v>43.513083176529882</v>
      </c>
      <c r="J18" s="2558">
        <f>F18/E18*100</f>
        <v>37.492952199536582</v>
      </c>
      <c r="K18" s="2553">
        <v>13.31008711140797</v>
      </c>
      <c r="L18" s="2553">
        <f>'calcul-DCC-TX-Encais'!$E$108</f>
        <v>31.884564575905952</v>
      </c>
      <c r="M18" s="2553">
        <f>'calcul-DCC-TX-Encais'!$AQ$108</f>
        <v>31.104315851025817</v>
      </c>
      <c r="N18" s="2553">
        <f t="shared" si="4"/>
        <v>-0.78024872488013486</v>
      </c>
      <c r="O18" s="2553">
        <f t="shared" si="5"/>
        <v>17.794228739617846</v>
      </c>
    </row>
    <row r="19" spans="2:15" ht="12" customHeight="1">
      <c r="B19" s="2563" t="s">
        <v>1103</v>
      </c>
      <c r="C19" s="2558">
        <f t="shared" si="7"/>
        <v>5.8757628900000007</v>
      </c>
      <c r="D19" s="2558">
        <f t="shared" si="7"/>
        <v>8.7228999999999992</v>
      </c>
      <c r="E19" s="2558">
        <f t="shared" si="7"/>
        <v>9.5905406399999897</v>
      </c>
      <c r="F19" s="2558">
        <f t="shared" si="7"/>
        <v>0</v>
      </c>
      <c r="G19" s="2558">
        <f>E19-D19</f>
        <v>0.86764063999999053</v>
      </c>
      <c r="H19" s="2558">
        <f>((E19-D19)/D19)*100</f>
        <v>9.9466993775004937</v>
      </c>
      <c r="I19" s="2558">
        <f>E19-F19</f>
        <v>9.5905406399999897</v>
      </c>
      <c r="J19" s="2558">
        <f>F19/E19*100</f>
        <v>0</v>
      </c>
      <c r="K19" s="2564"/>
      <c r="L19" s="2564"/>
      <c r="M19" s="2564"/>
      <c r="N19" s="2564"/>
      <c r="O19" s="2564"/>
    </row>
    <row r="20" spans="2:15" ht="12" customHeight="1">
      <c r="B20" s="2563" t="s">
        <v>1104</v>
      </c>
      <c r="C20" s="2558">
        <f t="shared" si="7"/>
        <v>25.778073946529982</v>
      </c>
      <c r="D20" s="2558">
        <f t="shared" si="7"/>
        <v>61.854961666529952</v>
      </c>
      <c r="E20" s="2558">
        <f t="shared" si="7"/>
        <v>60.02254253652989</v>
      </c>
      <c r="F20" s="2558">
        <f t="shared" si="7"/>
        <v>0</v>
      </c>
      <c r="G20" s="2558">
        <f>E20-D20</f>
        <v>-1.8324191300000621</v>
      </c>
      <c r="H20" s="2558">
        <f>((E20-D20)/D20)*100</f>
        <v>-2.9624448558854959</v>
      </c>
      <c r="I20" s="2558">
        <f>E20-F20</f>
        <v>60.02254253652989</v>
      </c>
      <c r="J20" s="2558">
        <f>F20/E20*100</f>
        <v>0</v>
      </c>
      <c r="K20" s="2564"/>
      <c r="L20" s="2564"/>
      <c r="M20" s="2564"/>
      <c r="N20" s="2564"/>
      <c r="O20" s="2564"/>
    </row>
    <row r="21" spans="2:15" ht="12" customHeight="1">
      <c r="B21" s="2554" t="s">
        <v>278</v>
      </c>
      <c r="C21" s="2555">
        <f>C22+C25</f>
        <v>6499.1597160719939</v>
      </c>
      <c r="D21" s="2555">
        <f>D22+D25</f>
        <v>7031.3843128999961</v>
      </c>
      <c r="E21" s="2555">
        <f>E22+E25</f>
        <v>9900.8037034299923</v>
      </c>
      <c r="F21" s="2555">
        <f>F22+F25</f>
        <v>3064.2899999999995</v>
      </c>
      <c r="G21" s="2555">
        <f t="shared" si="0"/>
        <v>2869.4193905299962</v>
      </c>
      <c r="H21" s="2555">
        <f t="shared" si="6"/>
        <v>40.808740680916422</v>
      </c>
      <c r="I21" s="2555">
        <f t="shared" si="2"/>
        <v>6836.5137034299933</v>
      </c>
      <c r="J21" s="2555">
        <f t="shared" si="3"/>
        <v>30.949911661599955</v>
      </c>
      <c r="K21" s="2556">
        <v>120.0218831146635</v>
      </c>
      <c r="L21" s="2556">
        <f>'calcul-DCC-TX-Encais'!$E$124</f>
        <v>122.2563332127861</v>
      </c>
      <c r="M21" s="2556">
        <f>'calcul-DCC-TX-Encais'!$AQ$158</f>
        <v>175.7575557880904</v>
      </c>
      <c r="N21" s="2556">
        <f t="shared" si="4"/>
        <v>53.501222575304297</v>
      </c>
      <c r="O21" s="2556">
        <f t="shared" si="5"/>
        <v>55.735672673426905</v>
      </c>
    </row>
    <row r="22" spans="2:15" ht="12" customHeight="1">
      <c r="B22" s="2562" t="s">
        <v>485</v>
      </c>
      <c r="C22" s="2565">
        <f>C23+C24</f>
        <v>3454.6608755000002</v>
      </c>
      <c r="D22" s="2565">
        <f>D23+D24</f>
        <v>3571.6696945300009</v>
      </c>
      <c r="E22" s="2565">
        <f>E23+E24</f>
        <v>5875.6458357399997</v>
      </c>
      <c r="F22" s="2565">
        <f>F23+F24</f>
        <v>1090.0000000000007</v>
      </c>
      <c r="G22" s="2565">
        <f t="shared" si="0"/>
        <v>2303.9761412099988</v>
      </c>
      <c r="H22" s="2565">
        <f t="shared" si="6"/>
        <v>64.506976799633236</v>
      </c>
      <c r="I22" s="2565">
        <f t="shared" si="2"/>
        <v>4785.6458357399988</v>
      </c>
      <c r="J22" s="2565">
        <f t="shared" si="3"/>
        <v>18.551152170708093</v>
      </c>
      <c r="K22" s="2566">
        <v>84.452538396813864</v>
      </c>
      <c r="L22" s="2553">
        <f>'calcul-DCC-TX-Encais'!$D$108</f>
        <v>82.747968696020365</v>
      </c>
      <c r="M22" s="2553">
        <f>'calcul-DCC-TX-Encais'!$AP$108</f>
        <v>139.88442332698611</v>
      </c>
      <c r="N22" s="2553">
        <f t="shared" si="4"/>
        <v>57.136454630965744</v>
      </c>
      <c r="O22" s="2553">
        <f t="shared" si="5"/>
        <v>55.431884930172245</v>
      </c>
    </row>
    <row r="23" spans="2:15" ht="12" customHeight="1">
      <c r="B23" s="2567" t="s">
        <v>295</v>
      </c>
      <c r="C23" s="2560">
        <f t="shared" ref="C23:F27" si="8">C56+C86+C116+C146+C176+C206+C236+C266+C296+C326</f>
        <v>748.52714376299957</v>
      </c>
      <c r="D23" s="2560">
        <f t="shared" si="8"/>
        <v>1297.8042879500006</v>
      </c>
      <c r="E23" s="2560">
        <f t="shared" si="8"/>
        <v>1309.080603409999</v>
      </c>
      <c r="F23" s="2560">
        <f t="shared" si="8"/>
        <v>236.17212111553025</v>
      </c>
      <c r="G23" s="2560">
        <f t="shared" si="0"/>
        <v>11.276315459998386</v>
      </c>
      <c r="H23" s="2560">
        <f t="shared" si="6"/>
        <v>0.8688764218686893</v>
      </c>
      <c r="I23" s="2560">
        <f t="shared" si="2"/>
        <v>1072.9084822944687</v>
      </c>
      <c r="J23" s="2560">
        <f t="shared" si="3"/>
        <v>18.041067944963054</v>
      </c>
      <c r="K23" s="2566">
        <v>21.562756846992965</v>
      </c>
      <c r="L23" s="2553">
        <f>'calcul-DCC-TX-Encais'!$V$108</f>
        <v>34.92471375154927</v>
      </c>
      <c r="M23" s="2553">
        <f>'calcul-DCC-TX-Encais'!$BH$108</f>
        <v>35.915264943935661</v>
      </c>
      <c r="N23" s="2553">
        <f t="shared" si="4"/>
        <v>0.99055119238639122</v>
      </c>
      <c r="O23" s="2553">
        <f t="shared" si="5"/>
        <v>14.352508096942696</v>
      </c>
    </row>
    <row r="24" spans="2:15" ht="12" customHeight="1">
      <c r="B24" s="2567" t="s">
        <v>296</v>
      </c>
      <c r="C24" s="2560">
        <f t="shared" si="8"/>
        <v>2706.1337317370007</v>
      </c>
      <c r="D24" s="2560">
        <f t="shared" si="8"/>
        <v>2273.8654065800001</v>
      </c>
      <c r="E24" s="2560">
        <f t="shared" si="8"/>
        <v>4566.565232330001</v>
      </c>
      <c r="F24" s="2560">
        <f t="shared" si="8"/>
        <v>853.82787888447035</v>
      </c>
      <c r="G24" s="2560">
        <f t="shared" si="0"/>
        <v>2292.6998257500009</v>
      </c>
      <c r="H24" s="2560">
        <f t="shared" si="6"/>
        <v>100.82829964849715</v>
      </c>
      <c r="I24" s="2560">
        <f t="shared" si="2"/>
        <v>3712.7373534455305</v>
      </c>
      <c r="J24" s="2560">
        <f t="shared" si="3"/>
        <v>18.697376155706884</v>
      </c>
      <c r="K24" s="2553"/>
      <c r="L24" s="2553"/>
      <c r="M24" s="2553"/>
      <c r="N24" s="2553"/>
      <c r="O24" s="2553"/>
    </row>
    <row r="25" spans="2:15" ht="12" customHeight="1">
      <c r="B25" s="2562" t="s">
        <v>603</v>
      </c>
      <c r="C25" s="2565">
        <f t="shared" si="8"/>
        <v>3044.4988405719937</v>
      </c>
      <c r="D25" s="2565">
        <f t="shared" si="8"/>
        <v>3459.7146183699947</v>
      </c>
      <c r="E25" s="2565">
        <f t="shared" si="8"/>
        <v>4025.1578676899917</v>
      </c>
      <c r="F25" s="2565">
        <f t="shared" si="8"/>
        <v>1974.2899999999988</v>
      </c>
      <c r="G25" s="2565">
        <f t="shared" si="0"/>
        <v>565.44324931999699</v>
      </c>
      <c r="H25" s="2565">
        <f t="shared" si="6"/>
        <v>16.343638469996094</v>
      </c>
      <c r="I25" s="2565">
        <f t="shared" si="2"/>
        <v>2050.8678676899926</v>
      </c>
      <c r="J25" s="2565">
        <f t="shared" si="3"/>
        <v>49.048759449850579</v>
      </c>
      <c r="K25" s="2553">
        <v>229.89056434331513</v>
      </c>
      <c r="L25" s="2553">
        <f>'calcul-DCC-TX-Encais'!$H$108</f>
        <v>241.09130669822474</v>
      </c>
      <c r="M25" s="2553">
        <f>'calcul-DCC-TX-Encais'!$AT$108</f>
        <v>280.91791953681741</v>
      </c>
      <c r="N25" s="2553">
        <f t="shared" si="4"/>
        <v>39.826612838592666</v>
      </c>
      <c r="O25" s="2553">
        <f>M25-K25</f>
        <v>51.027355193502274</v>
      </c>
    </row>
    <row r="26" spans="2:15" ht="12" customHeight="1">
      <c r="B26" s="2567" t="s">
        <v>915</v>
      </c>
      <c r="C26" s="2565">
        <f t="shared" si="8"/>
        <v>2127.1744001619954</v>
      </c>
      <c r="D26" s="2565">
        <f t="shared" si="8"/>
        <v>2671.2718393899972</v>
      </c>
      <c r="E26" s="2565">
        <f t="shared" si="8"/>
        <v>2550.4747471399933</v>
      </c>
      <c r="F26" s="2565">
        <f t="shared" si="8"/>
        <v>1379.4254379505039</v>
      </c>
      <c r="G26" s="2565">
        <f t="shared" si="0"/>
        <v>-120.79709225000397</v>
      </c>
      <c r="H26" s="2565">
        <f t="shared" si="6"/>
        <v>-4.5220815968167729</v>
      </c>
      <c r="I26" s="2565">
        <f t="shared" si="2"/>
        <v>1171.0493091894893</v>
      </c>
      <c r="J26" s="2565">
        <f t="shared" si="3"/>
        <v>54.085045911446095</v>
      </c>
      <c r="K26" s="2553"/>
      <c r="L26" s="2553"/>
      <c r="M26" s="2553"/>
      <c r="N26" s="2553">
        <f t="shared" si="4"/>
        <v>0</v>
      </c>
      <c r="O26" s="2553">
        <f t="shared" si="5"/>
        <v>0</v>
      </c>
    </row>
    <row r="27" spans="2:15" ht="12" customHeight="1">
      <c r="B27" s="2567" t="s">
        <v>916</v>
      </c>
      <c r="C27" s="2568">
        <f t="shared" si="8"/>
        <v>917.32444040999792</v>
      </c>
      <c r="D27" s="2568">
        <f t="shared" si="8"/>
        <v>788.4427789799978</v>
      </c>
      <c r="E27" s="2568">
        <f t="shared" si="8"/>
        <v>1474.683120549998</v>
      </c>
      <c r="F27" s="2568">
        <f t="shared" si="8"/>
        <v>594.86456204949479</v>
      </c>
      <c r="G27" s="2565">
        <f t="shared" si="0"/>
        <v>686.24034157000017</v>
      </c>
      <c r="H27" s="2565">
        <f t="shared" si="6"/>
        <v>87.037431233473143</v>
      </c>
      <c r="I27" s="2565">
        <f t="shared" si="2"/>
        <v>879.81855850050317</v>
      </c>
      <c r="J27" s="2565">
        <f t="shared" si="3"/>
        <v>40.338466871963249</v>
      </c>
      <c r="K27" s="2569"/>
      <c r="L27" s="2569"/>
      <c r="M27" s="2569"/>
      <c r="N27" s="2569"/>
      <c r="O27" s="2569"/>
    </row>
    <row r="28" spans="2:15" ht="12" customHeight="1">
      <c r="B28" s="2570" t="s">
        <v>604</v>
      </c>
      <c r="C28" s="2571">
        <f>C10+C14+C21</f>
        <v>17298.037217803532</v>
      </c>
      <c r="D28" s="2571">
        <f>D10+D14+D21</f>
        <v>23875.083205998686</v>
      </c>
      <c r="E28" s="2571">
        <f>E10+E14+E21</f>
        <v>27760.730744851524</v>
      </c>
      <c r="F28" s="2571">
        <f>F10+F14+F21</f>
        <v>12578.359999999999</v>
      </c>
      <c r="G28" s="2571">
        <f t="shared" si="0"/>
        <v>3885.6475388528379</v>
      </c>
      <c r="H28" s="2571">
        <f t="shared" si="6"/>
        <v>16.274906794362742</v>
      </c>
      <c r="I28" s="2571">
        <f t="shared" si="2"/>
        <v>15182.370744851525</v>
      </c>
      <c r="J28" s="2571">
        <f t="shared" si="3"/>
        <v>45.30990237831822</v>
      </c>
      <c r="K28" s="2572">
        <v>73.108291900704756</v>
      </c>
      <c r="L28" s="2572">
        <f>'calcul-DCC-TX-Encais'!$K$108</f>
        <v>98.203561741737801</v>
      </c>
      <c r="M28" s="2572">
        <f>'calcul-DCC-TX-Encais'!AW108</f>
        <v>113.63435578642959</v>
      </c>
      <c r="N28" s="2572">
        <f>M28-L28</f>
        <v>15.430794044691794</v>
      </c>
      <c r="O28" s="2572">
        <f t="shared" si="5"/>
        <v>40.526063885724838</v>
      </c>
    </row>
    <row r="29" spans="2:15" ht="12" customHeight="1">
      <c r="B29" s="2570" t="s">
        <v>605</v>
      </c>
      <c r="C29" s="2571">
        <f>C30+C31+C32</f>
        <v>3711.8981162698105</v>
      </c>
      <c r="D29" s="2571">
        <f>D30+D31+D32</f>
        <v>2657.2926799558118</v>
      </c>
      <c r="E29" s="2571">
        <f>E30+E31+E32</f>
        <v>3803.8901828768066</v>
      </c>
      <c r="F29" s="2571">
        <f>F30+F31+F32</f>
        <v>231.04000000000013</v>
      </c>
      <c r="G29" s="2571">
        <f t="shared" si="0"/>
        <v>1146.5975029209949</v>
      </c>
      <c r="H29" s="2571">
        <f t="shared" si="6"/>
        <v>43.14908596895927</v>
      </c>
      <c r="I29" s="2571">
        <f t="shared" si="2"/>
        <v>3572.8501828768067</v>
      </c>
      <c r="J29" s="2571">
        <f t="shared" si="3"/>
        <v>6.0737820728901584</v>
      </c>
      <c r="K29" s="2573"/>
      <c r="L29" s="2573"/>
      <c r="M29" s="2573"/>
      <c r="N29" s="2573"/>
      <c r="O29" s="2573"/>
    </row>
    <row r="30" spans="2:15" ht="12" customHeight="1">
      <c r="B30" s="2557" t="s">
        <v>318</v>
      </c>
      <c r="C30" s="2574">
        <f t="shared" ref="C30:F31" si="9">C63+C93+C123+C153+C183+C213+C243+C273+C303+C333</f>
        <v>3649.6155182329994</v>
      </c>
      <c r="D30" s="2574">
        <f t="shared" si="9"/>
        <v>2590.606692409001</v>
      </c>
      <c r="E30" s="2574">
        <f t="shared" si="9"/>
        <v>3738.6930126199954</v>
      </c>
      <c r="F30" s="2574">
        <f t="shared" si="9"/>
        <v>211.22000000000011</v>
      </c>
      <c r="G30" s="2574">
        <f t="shared" si="0"/>
        <v>1148.0863202109945</v>
      </c>
      <c r="H30" s="2574">
        <f t="shared" si="6"/>
        <v>44.317276087301032</v>
      </c>
      <c r="I30" s="2574">
        <f t="shared" si="2"/>
        <v>3527.4730126199952</v>
      </c>
      <c r="J30" s="2574">
        <f t="shared" si="3"/>
        <v>5.6495678914268943</v>
      </c>
      <c r="K30" s="2573"/>
      <c r="L30" s="2573"/>
      <c r="M30" s="2573"/>
      <c r="N30" s="2573"/>
      <c r="O30" s="2573"/>
    </row>
    <row r="31" spans="2:15" ht="12" customHeight="1">
      <c r="B31" s="2557" t="s">
        <v>319</v>
      </c>
      <c r="C31" s="2574">
        <f t="shared" si="9"/>
        <v>62.282598036811017</v>
      </c>
      <c r="D31" s="2574">
        <f t="shared" si="9"/>
        <v>66.685987546810992</v>
      </c>
      <c r="E31" s="2574">
        <f t="shared" si="9"/>
        <v>65.197170256811049</v>
      </c>
      <c r="F31" s="2574">
        <f t="shared" si="9"/>
        <v>19.820000000000029</v>
      </c>
      <c r="G31" s="2574">
        <f t="shared" si="0"/>
        <v>-1.4888172899999432</v>
      </c>
      <c r="H31" s="2574">
        <f t="shared" si="6"/>
        <v>-2.2325789041586148</v>
      </c>
      <c r="I31" s="2574">
        <f t="shared" si="2"/>
        <v>45.37717025681102</v>
      </c>
      <c r="J31" s="2574">
        <f t="shared" si="3"/>
        <v>30.40009239960758</v>
      </c>
      <c r="K31" s="2573"/>
      <c r="L31" s="2573"/>
      <c r="M31" s="2573"/>
      <c r="N31" s="2573"/>
      <c r="O31" s="2573"/>
    </row>
    <row r="32" spans="2:15" ht="12" customHeight="1">
      <c r="B32" s="2567" t="s">
        <v>280</v>
      </c>
      <c r="C32" s="2560"/>
      <c r="D32" s="2560"/>
      <c r="E32" s="2560"/>
      <c r="F32" s="2560">
        <v>0</v>
      </c>
      <c r="G32" s="2560">
        <f t="shared" si="0"/>
        <v>0</v>
      </c>
      <c r="H32" s="2560" t="e">
        <f t="shared" si="6"/>
        <v>#DIV/0!</v>
      </c>
      <c r="I32" s="2560">
        <f t="shared" si="2"/>
        <v>0</v>
      </c>
      <c r="J32" s="2560" t="e">
        <f t="shared" si="3"/>
        <v>#DIV/0!</v>
      </c>
      <c r="K32" s="2553"/>
      <c r="L32" s="2553"/>
      <c r="M32" s="2553"/>
      <c r="N32" s="2553"/>
      <c r="O32" s="2553"/>
    </row>
    <row r="33" spans="2:23" ht="12" customHeight="1">
      <c r="B33" s="2575" t="s">
        <v>606</v>
      </c>
      <c r="C33" s="2576">
        <f>C28+C29</f>
        <v>21009.935334073343</v>
      </c>
      <c r="D33" s="2576">
        <f>D28+D29</f>
        <v>26532.375885954498</v>
      </c>
      <c r="E33" s="2576">
        <f>E28+E29</f>
        <v>31564.620927728331</v>
      </c>
      <c r="F33" s="2576">
        <f>F28+F29</f>
        <v>12809.4</v>
      </c>
      <c r="G33" s="2576">
        <f t="shared" si="0"/>
        <v>5032.2450417738328</v>
      </c>
      <c r="H33" s="2576">
        <f t="shared" si="6"/>
        <v>18.966432042890524</v>
      </c>
      <c r="I33" s="2576">
        <f t="shared" si="2"/>
        <v>18755.220927728333</v>
      </c>
      <c r="J33" s="2576">
        <f t="shared" si="3"/>
        <v>40.58151063917078</v>
      </c>
      <c r="K33" s="2553"/>
      <c r="L33" s="2553"/>
      <c r="M33" s="2553"/>
      <c r="N33" s="2553"/>
      <c r="O33" s="2553"/>
    </row>
    <row r="34" spans="2:23" ht="12" customHeight="1">
      <c r="B34" s="2570" t="s">
        <v>607</v>
      </c>
      <c r="C34" s="2571">
        <f>C35+C36</f>
        <v>452.15911641999958</v>
      </c>
      <c r="D34" s="2571">
        <f>D35+D36</f>
        <v>862.20700896999972</v>
      </c>
      <c r="E34" s="2571">
        <f>E35+E36</f>
        <v>736.78042719999974</v>
      </c>
      <c r="F34" s="2571">
        <f>F35+F36</f>
        <v>128.24999999999986</v>
      </c>
      <c r="G34" s="2571">
        <f t="shared" si="0"/>
        <v>-125.42658176999998</v>
      </c>
      <c r="H34" s="2571">
        <f t="shared" si="6"/>
        <v>-14.547154043648487</v>
      </c>
      <c r="I34" s="2571">
        <f t="shared" si="2"/>
        <v>608.53042719999985</v>
      </c>
      <c r="J34" s="2571">
        <f t="shared" si="3"/>
        <v>17.406814196651599</v>
      </c>
      <c r="K34" s="2556">
        <v>55.550523758558349</v>
      </c>
      <c r="L34" s="2556">
        <f>'calcul-DCC-TX-Encais'!$AK$108</f>
        <v>43.605267265966667</v>
      </c>
      <c r="M34" s="2556">
        <f>'calcul-DCC-TX-Encais'!AR108</f>
        <v>43.086392208981337</v>
      </c>
      <c r="N34" s="2556">
        <f t="shared" si="4"/>
        <v>-0.51887505698532976</v>
      </c>
      <c r="O34" s="2556">
        <f t="shared" si="5"/>
        <v>-12.464131549577012</v>
      </c>
    </row>
    <row r="35" spans="2:23" ht="12" customHeight="1">
      <c r="B35" s="2557" t="s">
        <v>198</v>
      </c>
      <c r="C35" s="2560">
        <f t="shared" ref="C35:F36" si="10">C67+C97+C127+C157+C187+C217+C247+C277+C307+C337</f>
        <v>331.67876668999946</v>
      </c>
      <c r="D35" s="2560">
        <f t="shared" si="10"/>
        <v>715.39499920999981</v>
      </c>
      <c r="E35" s="2560">
        <f t="shared" si="10"/>
        <v>571.26988986999947</v>
      </c>
      <c r="F35" s="2560">
        <f t="shared" si="10"/>
        <v>94.077063324053512</v>
      </c>
      <c r="G35" s="2560">
        <f t="shared" si="0"/>
        <v>-144.12510934000034</v>
      </c>
      <c r="H35" s="2560">
        <f t="shared" si="6"/>
        <v>-20.146228237429053</v>
      </c>
      <c r="I35" s="2560">
        <f t="shared" si="2"/>
        <v>477.19282654594599</v>
      </c>
      <c r="J35" s="2560">
        <f t="shared" si="3"/>
        <v>16.468059141969142</v>
      </c>
      <c r="K35" s="2553">
        <v>71.143475803836679</v>
      </c>
      <c r="L35" s="2553">
        <f>'calcul-DCC-TX-Encais'!$AI$108</f>
        <v>56.153895084606113</v>
      </c>
      <c r="M35" s="2553">
        <f>'calcul-DCC-TX-Encais'!$BU$108</f>
        <v>51.234506010436533</v>
      </c>
      <c r="N35" s="2553">
        <f t="shared" si="4"/>
        <v>-4.9193890741695796</v>
      </c>
      <c r="O35" s="2553">
        <f t="shared" si="5"/>
        <v>-19.908969793400146</v>
      </c>
    </row>
    <row r="36" spans="2:23" ht="12" customHeight="1">
      <c r="B36" s="2557" t="s">
        <v>199</v>
      </c>
      <c r="C36" s="2560">
        <f t="shared" si="10"/>
        <v>120.48034973000014</v>
      </c>
      <c r="D36" s="2560">
        <f t="shared" si="10"/>
        <v>146.81200975999991</v>
      </c>
      <c r="E36" s="2560">
        <f t="shared" si="10"/>
        <v>165.51053733000023</v>
      </c>
      <c r="F36" s="2560">
        <f t="shared" si="10"/>
        <v>34.172936675946346</v>
      </c>
      <c r="G36" s="2560">
        <f t="shared" si="0"/>
        <v>18.698527570000323</v>
      </c>
      <c r="H36" s="2560">
        <f t="shared" si="6"/>
        <v>12.736374633497377</v>
      </c>
      <c r="I36" s="2560">
        <f t="shared" si="2"/>
        <v>131.33760065405389</v>
      </c>
      <c r="J36" s="2560">
        <f t="shared" si="3"/>
        <v>20.646985519605465</v>
      </c>
      <c r="K36" s="2553">
        <v>26.463816452552599</v>
      </c>
      <c r="L36" s="2553">
        <f>'calcul-DCC-TX-Encais'!$AJ$108</f>
        <v>20.711945329212554</v>
      </c>
      <c r="M36" s="2553">
        <f>'calcul-DCC-TX-Encais'!$BV$108</f>
        <v>27.817028185203068</v>
      </c>
      <c r="N36" s="2553">
        <f t="shared" si="4"/>
        <v>7.1050828559905135</v>
      </c>
      <c r="O36" s="2553">
        <f t="shared" si="5"/>
        <v>1.3532117326504682</v>
      </c>
    </row>
    <row r="37" spans="2:23" ht="12" customHeight="1">
      <c r="B37" s="2577" t="s">
        <v>608</v>
      </c>
      <c r="C37" s="2578">
        <f>C28+C29+C34</f>
        <v>21462.094450493343</v>
      </c>
      <c r="D37" s="2578">
        <f>D28+D29+D34</f>
        <v>27394.582894924497</v>
      </c>
      <c r="E37" s="2578">
        <f>E28+E29+E34</f>
        <v>32301.40135492833</v>
      </c>
      <c r="F37" s="2579">
        <f>F28+F29+F34</f>
        <v>12937.65</v>
      </c>
      <c r="G37" s="2578">
        <f t="shared" si="0"/>
        <v>4906.818460003833</v>
      </c>
      <c r="H37" s="2578">
        <f t="shared" si="6"/>
        <v>17.911637781909569</v>
      </c>
      <c r="I37" s="2578">
        <f t="shared" si="2"/>
        <v>19363.751354928332</v>
      </c>
      <c r="J37" s="2578">
        <f t="shared" si="3"/>
        <v>40.052906243419251</v>
      </c>
      <c r="K37" s="2553"/>
      <c r="L37" s="2553"/>
      <c r="M37" s="2553"/>
      <c r="N37" s="2553"/>
      <c r="O37" s="2553"/>
    </row>
    <row r="38" spans="2:23" s="2585" customFormat="1" ht="12" customHeight="1">
      <c r="B38" s="2580"/>
      <c r="C38" s="2581">
        <f>C37-C12</f>
        <v>20820.120046490338</v>
      </c>
      <c r="D38" s="2581">
        <f>D37-D39</f>
        <v>26704.613575131494</v>
      </c>
      <c r="E38" s="2581">
        <f>E37-E39</f>
        <v>31758.28290808533</v>
      </c>
      <c r="F38" s="2582">
        <f>((E38-D38)/D38)*100</f>
        <v>18.924330504673673</v>
      </c>
      <c r="G38" s="2583"/>
      <c r="H38" s="2583"/>
      <c r="I38" s="2583"/>
      <c r="J38" s="2583"/>
      <c r="K38" s="2584"/>
      <c r="L38" s="2584"/>
      <c r="M38" s="2584"/>
      <c r="N38" s="2584"/>
      <c r="O38" s="2584"/>
    </row>
    <row r="39" spans="2:23" s="2585" customFormat="1" ht="12" customHeight="1">
      <c r="B39" s="2580"/>
      <c r="C39" s="2581"/>
      <c r="D39" s="2581">
        <f>D12</f>
        <v>689.96931979300393</v>
      </c>
      <c r="E39" s="2581">
        <f>E12</f>
        <v>543.11844684300002</v>
      </c>
      <c r="F39" s="2586">
        <f>F37-F12</f>
        <v>12313.445556121511</v>
      </c>
      <c r="G39" s="2581">
        <f>E38/F37*100</f>
        <v>245.47180444737128</v>
      </c>
      <c r="H39" s="2583"/>
      <c r="I39" s="2587"/>
      <c r="J39" s="2583"/>
      <c r="K39" s="2584"/>
      <c r="L39" s="2584"/>
      <c r="M39" s="2584"/>
      <c r="N39" s="2584"/>
      <c r="O39" s="2584"/>
    </row>
    <row r="40" spans="2:23" s="2585" customFormat="1" ht="12" customHeight="1">
      <c r="B40" s="2580"/>
      <c r="C40" s="2581">
        <f>C38-C12</f>
        <v>20178.145642487332</v>
      </c>
      <c r="D40" s="2581"/>
      <c r="E40" s="2581"/>
      <c r="F40" s="2583" t="e">
        <f>((E40-D40)/D40)*100</f>
        <v>#DIV/0!</v>
      </c>
      <c r="G40" s="2583"/>
      <c r="H40" s="2583"/>
      <c r="I40" s="2583"/>
      <c r="J40" s="2583"/>
      <c r="K40" s="2588"/>
      <c r="L40" s="2588"/>
      <c r="M40" s="2588"/>
      <c r="N40" s="2588"/>
      <c r="O40" s="2588"/>
    </row>
    <row r="41" spans="2:23" ht="12" customHeight="1">
      <c r="D41" s="2537">
        <f>D44-D45</f>
        <v>0</v>
      </c>
      <c r="M41" s="2535"/>
    </row>
    <row r="42" spans="2:23" ht="12" customHeight="1">
      <c r="B42" s="2539" t="s">
        <v>6</v>
      </c>
      <c r="C42" s="3212" t="s">
        <v>281</v>
      </c>
      <c r="D42" s="3213"/>
      <c r="E42" s="3213"/>
      <c r="F42" s="3214"/>
      <c r="G42" s="3215" t="s">
        <v>597</v>
      </c>
      <c r="H42" s="3216"/>
      <c r="I42" s="2545" t="s">
        <v>598</v>
      </c>
      <c r="J42" s="2546"/>
      <c r="K42" s="2547" t="s">
        <v>358</v>
      </c>
      <c r="L42" s="2548"/>
      <c r="M42" s="2548"/>
      <c r="N42" s="2548"/>
      <c r="O42" s="2549"/>
    </row>
    <row r="43" spans="2:23" ht="12" customHeight="1">
      <c r="B43" s="2550"/>
      <c r="C43" s="2551">
        <f t="shared" ref="C43:O43" si="11">C9</f>
        <v>45291</v>
      </c>
      <c r="D43" s="2551">
        <f t="shared" si="11"/>
        <v>45139</v>
      </c>
      <c r="E43" s="2551">
        <f t="shared" si="11"/>
        <v>45505</v>
      </c>
      <c r="F43" s="2552" t="str">
        <f t="shared" si="11"/>
        <v>Obj 2024</v>
      </c>
      <c r="G43" s="2552" t="str">
        <f t="shared" si="11"/>
        <v>MDA</v>
      </c>
      <c r="H43" s="2552" t="str">
        <f t="shared" si="11"/>
        <v>%</v>
      </c>
      <c r="I43" s="2552" t="str">
        <f t="shared" si="11"/>
        <v>MDA</v>
      </c>
      <c r="J43" s="2552" t="str">
        <f t="shared" si="11"/>
        <v>%</v>
      </c>
      <c r="K43" s="2551">
        <f t="shared" si="11"/>
        <v>45291</v>
      </c>
      <c r="L43" s="2551">
        <f t="shared" si="11"/>
        <v>45139</v>
      </c>
      <c r="M43" s="2551">
        <f t="shared" si="11"/>
        <v>45505</v>
      </c>
      <c r="N43" s="2553" t="str">
        <f t="shared" si="11"/>
        <v>écart mois</v>
      </c>
      <c r="O43" s="2553" t="str">
        <f t="shared" si="11"/>
        <v>écart année</v>
      </c>
    </row>
    <row r="44" spans="2:23" ht="12" customHeight="1">
      <c r="B44" s="2589" t="s">
        <v>277</v>
      </c>
      <c r="C44" s="2590">
        <f>'calcul-DCC-TX-Encais'!$AO$4</f>
        <v>971.47238308999999</v>
      </c>
      <c r="D44" s="2590">
        <f>'calcul-DCC-TX-Encais'!$C$20</f>
        <v>1757.32511241</v>
      </c>
      <c r="E44" s="2590">
        <f>E45+E46</f>
        <v>1672.5802192600001</v>
      </c>
      <c r="F44" s="2590">
        <f>F45+F46</f>
        <v>944.58186315348075</v>
      </c>
      <c r="G44" s="2591">
        <f t="shared" ref="G44:G59" si="12">E44-D44</f>
        <v>-84.744893149999825</v>
      </c>
      <c r="H44" s="2592">
        <f t="shared" ref="H44:H59" si="13">((E44-D44)/D44)*100</f>
        <v>-4.8223799086203503</v>
      </c>
      <c r="I44" s="2591">
        <f t="shared" ref="I44:I59" si="14">E44-F44</f>
        <v>727.9983561065194</v>
      </c>
      <c r="J44" s="2592">
        <f t="shared" ref="J44:J59" si="15">F44/E44*100</f>
        <v>56.474532717563299</v>
      </c>
      <c r="K44" s="2593">
        <v>40.21108289105068</v>
      </c>
      <c r="L44" s="2593">
        <f>'calcul-DCC-TX-Encais'!$C$98</f>
        <v>75.351753796941225</v>
      </c>
      <c r="M44" s="2593">
        <f>'calcul-DCC-TX-Encais'!$AO$98</f>
        <v>71.642569105110368</v>
      </c>
      <c r="N44" s="2593">
        <f t="shared" ref="N44:N68" si="16">M44-L44</f>
        <v>-3.7091846918308562</v>
      </c>
      <c r="O44" s="2593">
        <f>M44-K44</f>
        <v>31.431486214059689</v>
      </c>
      <c r="P44" s="2534" t="s">
        <v>927</v>
      </c>
      <c r="Q44" s="2534" t="s">
        <v>928</v>
      </c>
      <c r="R44" s="2534" t="s">
        <v>185</v>
      </c>
      <c r="S44" s="2534" t="s">
        <v>395</v>
      </c>
      <c r="T44" s="2534" t="s">
        <v>930</v>
      </c>
      <c r="U44" s="2534" t="s">
        <v>18</v>
      </c>
      <c r="V44" s="2534" t="s">
        <v>318</v>
      </c>
      <c r="W44" s="2534" t="s">
        <v>766</v>
      </c>
    </row>
    <row r="45" spans="2:23" ht="12" customHeight="1">
      <c r="B45" s="2594" t="s">
        <v>609</v>
      </c>
      <c r="C45" s="2595">
        <f>'enc-ag'!D18</f>
        <v>971.47238308999897</v>
      </c>
      <c r="D45" s="2595">
        <f>'enc-ag'!N18</f>
        <v>1757.3251124100002</v>
      </c>
      <c r="E45" s="2595">
        <f>'Feuil-saisie'!C26/1000</f>
        <v>1672.5802192600001</v>
      </c>
      <c r="F45" s="2595">
        <f>C45*0.972319830800555</f>
        <v>944.58186315347973</v>
      </c>
      <c r="G45" s="2596">
        <f t="shared" si="12"/>
        <v>-84.744893150000053</v>
      </c>
      <c r="H45" s="2597">
        <f t="shared" si="13"/>
        <v>-4.8223799086203627</v>
      </c>
      <c r="I45" s="2596">
        <f t="shared" si="14"/>
        <v>727.99835610652042</v>
      </c>
      <c r="J45" s="2597">
        <f t="shared" si="15"/>
        <v>56.474532717563243</v>
      </c>
      <c r="K45" s="2553">
        <v>38.060062512583357</v>
      </c>
      <c r="L45" s="2553">
        <f>'enc-ag'!P18</f>
        <v>65.916006684554887</v>
      </c>
      <c r="M45" s="2553">
        <f>'enc-ag'!J18</f>
        <v>78.268756792259808</v>
      </c>
      <c r="N45" s="2553">
        <f t="shared" si="16"/>
        <v>12.352750107704921</v>
      </c>
      <c r="O45" s="2553">
        <f t="shared" ref="O45:O68" si="17">M45-K45</f>
        <v>40.20869427967645</v>
      </c>
      <c r="P45" s="2698">
        <v>0.97231983080055495</v>
      </c>
      <c r="Q45" s="2534">
        <v>0.315515773988161</v>
      </c>
      <c r="R45" s="2534">
        <v>0.82454459264411795</v>
      </c>
      <c r="S45" s="2534">
        <v>0.28363908929986398</v>
      </c>
      <c r="T45" s="2534">
        <v>0.64847782948377597</v>
      </c>
      <c r="U45" s="2534">
        <v>0.51628919614685398</v>
      </c>
      <c r="V45" s="2534">
        <v>5.7874589513545398E-2</v>
      </c>
      <c r="W45" s="2534">
        <v>0.31822693055106299</v>
      </c>
    </row>
    <row r="46" spans="2:23" ht="12" customHeight="1">
      <c r="B46" s="2594" t="s">
        <v>279</v>
      </c>
      <c r="C46" s="2595">
        <f>C44-C45</f>
        <v>1.0231815394945443E-12</v>
      </c>
      <c r="D46" s="2595">
        <f>D44-D45</f>
        <v>0</v>
      </c>
      <c r="E46" s="2595">
        <f>'Feuil-saisie'!C27/1000</f>
        <v>0</v>
      </c>
      <c r="F46" s="2595">
        <f>C46*0.972319830800555</f>
        <v>9.9485970135958654E-13</v>
      </c>
      <c r="G46" s="2596">
        <f t="shared" si="12"/>
        <v>0</v>
      </c>
      <c r="H46" s="2597" t="e">
        <f t="shared" si="13"/>
        <v>#DIV/0!</v>
      </c>
      <c r="I46" s="2596">
        <f t="shared" si="14"/>
        <v>-9.9485970135958654E-13</v>
      </c>
      <c r="J46" s="2597" t="e">
        <f t="shared" si="15"/>
        <v>#DIV/0!</v>
      </c>
      <c r="K46" s="2553"/>
      <c r="L46" s="2553"/>
      <c r="M46" s="2553"/>
      <c r="N46" s="2553"/>
      <c r="O46" s="2553"/>
      <c r="P46" s="2698"/>
    </row>
    <row r="47" spans="2:23" ht="12" customHeight="1">
      <c r="B47" s="2598" t="s">
        <v>1181</v>
      </c>
      <c r="C47" s="2590">
        <f>C48+C51</f>
        <v>326.68541615999993</v>
      </c>
      <c r="D47" s="2590">
        <f>D48+D51</f>
        <v>507.70563572999993</v>
      </c>
      <c r="E47" s="2590">
        <f>E48+E51</f>
        <v>488.81634568999988</v>
      </c>
      <c r="F47" s="2590">
        <f>F48+F51</f>
        <v>168.72500719422729</v>
      </c>
      <c r="G47" s="2591">
        <f t="shared" si="12"/>
        <v>-18.889290040000049</v>
      </c>
      <c r="H47" s="2592">
        <f t="shared" si="13"/>
        <v>-3.7205200633316302</v>
      </c>
      <c r="I47" s="2591">
        <f t="shared" si="14"/>
        <v>320.09133849577256</v>
      </c>
      <c r="J47" s="2592">
        <f t="shared" si="15"/>
        <v>34.517055062072373</v>
      </c>
      <c r="K47" s="2593">
        <v>162.00530104674604</v>
      </c>
      <c r="L47" s="2593">
        <f>'calcul-DCC-TX-Encais'!$H$114</f>
        <v>263.96026226836267</v>
      </c>
      <c r="M47" s="2593">
        <f>'calcul-DCC-TX-Encais'!$AT$148</f>
        <v>310.3552969627612</v>
      </c>
      <c r="N47" s="2593">
        <f t="shared" si="16"/>
        <v>46.395034694398532</v>
      </c>
      <c r="O47" s="2593">
        <f t="shared" si="17"/>
        <v>148.34999591601516</v>
      </c>
    </row>
    <row r="48" spans="2:23" ht="12" customHeight="1">
      <c r="B48" s="2557" t="s">
        <v>18</v>
      </c>
      <c r="C48" s="2595">
        <f>'calcul-DCC-TX-Encais'!$AU$4</f>
        <v>326.4879944999999</v>
      </c>
      <c r="D48" s="2595">
        <f>'calcul-DCC-TX-Encais'!$I$20</f>
        <v>506.02274235999994</v>
      </c>
      <c r="E48" s="2595">
        <f>'Feuil-saisie'!C29/1000</f>
        <v>487.83031238999985</v>
      </c>
      <c r="F48" s="2595">
        <f>C48*0.516289196146854</f>
        <v>168.56222423200344</v>
      </c>
      <c r="G48" s="2596">
        <f t="shared" si="12"/>
        <v>-18.192429970000092</v>
      </c>
      <c r="H48" s="2597">
        <f t="shared" si="13"/>
        <v>-3.5951803045756083</v>
      </c>
      <c r="I48" s="2596">
        <f t="shared" si="14"/>
        <v>319.26808815799643</v>
      </c>
      <c r="J48" s="2597">
        <f t="shared" si="15"/>
        <v>34.553454336647498</v>
      </c>
      <c r="K48" s="2553">
        <v>176.13299284674619</v>
      </c>
      <c r="L48" s="2553">
        <f>'calcul-DCC-TX-Encais'!$I$98</f>
        <v>286.2606212780762</v>
      </c>
      <c r="M48" s="2553">
        <f>'calcul-DCC-TX-Encais'!$AU$98</f>
        <v>332.36578073875791</v>
      </c>
      <c r="N48" s="2553">
        <f t="shared" si="16"/>
        <v>46.105159460681705</v>
      </c>
      <c r="O48" s="2553">
        <f t="shared" si="17"/>
        <v>156.23278789201171</v>
      </c>
    </row>
    <row r="49" spans="2:15" ht="12" customHeight="1">
      <c r="B49" s="2563" t="s">
        <v>1101</v>
      </c>
      <c r="C49" s="2599">
        <f>'calcul-DCC-TX-Encais'!$BF$4</f>
        <v>21.678000000000001</v>
      </c>
      <c r="D49" s="2599">
        <f>'calcul-DCC-TX-Encais'!$T$20</f>
        <v>15.51141</v>
      </c>
      <c r="E49" s="2599">
        <f>'calcul-DCC-TX-Encais'!$BF$20</f>
        <v>40.528499520000004</v>
      </c>
      <c r="F49" s="2599"/>
      <c r="G49" s="2600"/>
      <c r="H49" s="2601"/>
      <c r="I49" s="2600"/>
      <c r="J49" s="2601"/>
      <c r="K49" s="2564"/>
      <c r="L49" s="2564"/>
      <c r="M49" s="2564"/>
      <c r="N49" s="2564"/>
      <c r="O49" s="2564"/>
    </row>
    <row r="50" spans="2:15" ht="12" customHeight="1">
      <c r="B50" s="2563" t="s">
        <v>1102</v>
      </c>
      <c r="C50" s="2599">
        <f>C48-C49</f>
        <v>304.8099944999999</v>
      </c>
      <c r="D50" s="2599">
        <f>D48-D49</f>
        <v>490.51133235999993</v>
      </c>
      <c r="E50" s="2599">
        <f>E48-E49</f>
        <v>447.30181286999982</v>
      </c>
      <c r="F50" s="2599">
        <f>F48-F49</f>
        <v>168.56222423200344</v>
      </c>
      <c r="G50" s="2600"/>
      <c r="H50" s="2601"/>
      <c r="I50" s="2600"/>
      <c r="J50" s="2601"/>
      <c r="K50" s="2564"/>
      <c r="L50" s="2564"/>
      <c r="M50" s="2564"/>
      <c r="N50" s="2564"/>
      <c r="O50" s="2564"/>
    </row>
    <row r="51" spans="2:15" ht="12" customHeight="1">
      <c r="B51" s="2557" t="s">
        <v>185</v>
      </c>
      <c r="C51" s="2595">
        <f>'calcul-DCC-TX-Encais'!$AQ$4</f>
        <v>0.19742166000000724</v>
      </c>
      <c r="D51" s="2595">
        <f>'calcul-DCC-TX-Encais'!$E$20</f>
        <v>1.6828933700000088</v>
      </c>
      <c r="E51" s="2595">
        <f>'Feuil-saisie'!C30/1000</f>
        <v>0.98603330000000278</v>
      </c>
      <c r="F51" s="2595">
        <f>C51*0.824544592644118</f>
        <v>0.16278296222383154</v>
      </c>
      <c r="G51" s="2596">
        <f t="shared" si="12"/>
        <v>-0.69686007000000605</v>
      </c>
      <c r="H51" s="2597">
        <f t="shared" si="13"/>
        <v>-41.408450613837907</v>
      </c>
      <c r="I51" s="2596">
        <f t="shared" si="14"/>
        <v>0.82325033777617129</v>
      </c>
      <c r="J51" s="2597">
        <f t="shared" si="15"/>
        <v>16.508870666318376</v>
      </c>
      <c r="K51" s="2553">
        <v>1.2121728987386231</v>
      </c>
      <c r="L51" s="2553">
        <f>'calcul-DCC-TX-Encais'!$E$98</f>
        <v>10.80735070855763</v>
      </c>
      <c r="M51" s="2553">
        <f>'calcul-DCC-TX-Encais'!$AQ$98</f>
        <v>9.1920316780601343</v>
      </c>
      <c r="N51" s="2553">
        <f t="shared" si="16"/>
        <v>-1.6153190304974956</v>
      </c>
      <c r="O51" s="2553">
        <f t="shared" si="17"/>
        <v>7.9798587793215114</v>
      </c>
    </row>
    <row r="52" spans="2:15" ht="12" customHeight="1">
      <c r="B52" s="2563" t="s">
        <v>1103</v>
      </c>
      <c r="C52" s="2599">
        <f>'calcul-DCC-TX-Encais'!$BE$4</f>
        <v>0</v>
      </c>
      <c r="D52" s="2599">
        <f>'calcul-DCC-TX-Encais'!$S$20</f>
        <v>0</v>
      </c>
      <c r="E52" s="2599">
        <f>'calcul-DCC-TX-Encais'!$BE$20</f>
        <v>0</v>
      </c>
      <c r="F52" s="2599"/>
      <c r="G52" s="2600"/>
      <c r="H52" s="2601"/>
      <c r="I52" s="2600"/>
      <c r="J52" s="2601"/>
      <c r="K52" s="2564"/>
      <c r="L52" s="2564"/>
      <c r="M52" s="2564"/>
      <c r="N52" s="2564"/>
      <c r="O52" s="2564"/>
    </row>
    <row r="53" spans="2:15" ht="12" customHeight="1">
      <c r="B53" s="2563" t="s">
        <v>1104</v>
      </c>
      <c r="C53" s="2599">
        <f>C51-C52</f>
        <v>0.19742166000000724</v>
      </c>
      <c r="D53" s="2599">
        <f>D51-D52</f>
        <v>1.6828933700000088</v>
      </c>
      <c r="E53" s="2599">
        <f>E51-E52</f>
        <v>0.98603330000000278</v>
      </c>
      <c r="F53" s="2599"/>
      <c r="G53" s="2600"/>
      <c r="H53" s="2601"/>
      <c r="I53" s="2600"/>
      <c r="J53" s="2601"/>
      <c r="K53" s="2564"/>
      <c r="L53" s="2564"/>
      <c r="M53" s="2564"/>
      <c r="N53" s="2564"/>
      <c r="O53" s="2564"/>
    </row>
    <row r="54" spans="2:15" ht="12" customHeight="1">
      <c r="B54" s="2589" t="s">
        <v>278</v>
      </c>
      <c r="C54" s="2590">
        <f>C55+C58</f>
        <v>1249.4898976999998</v>
      </c>
      <c r="D54" s="2590">
        <f>D55+D58</f>
        <v>1289.8965007200004</v>
      </c>
      <c r="E54" s="2590">
        <f>E55+E58</f>
        <v>1617.3603708499995</v>
      </c>
      <c r="F54" s="2590">
        <f>F55+F58</f>
        <v>551.61557271652146</v>
      </c>
      <c r="G54" s="2591">
        <f t="shared" si="12"/>
        <v>327.46387012999912</v>
      </c>
      <c r="H54" s="2592">
        <f t="shared" si="13"/>
        <v>25.386832970491341</v>
      </c>
      <c r="I54" s="2591">
        <f t="shared" si="14"/>
        <v>1065.7447981334781</v>
      </c>
      <c r="J54" s="2592">
        <f t="shared" si="15"/>
        <v>34.10591619891251</v>
      </c>
      <c r="K54" s="2593">
        <v>100.78888508096937</v>
      </c>
      <c r="L54" s="2593">
        <f>'calcul-DCC-TX-Encais'!$E$114</f>
        <v>104.07181687429845</v>
      </c>
      <c r="M54" s="2593">
        <f>'calcul-DCC-TX-Encais'!$AQ$148</f>
        <v>149.13044359512691</v>
      </c>
      <c r="N54" s="2593">
        <f t="shared" si="16"/>
        <v>45.058626720828457</v>
      </c>
      <c r="O54" s="2593">
        <f t="shared" si="17"/>
        <v>48.341558514157541</v>
      </c>
    </row>
    <row r="55" spans="2:15" ht="12" customHeight="1">
      <c r="B55" s="2594" t="s">
        <v>554</v>
      </c>
      <c r="C55" s="2602">
        <f>'calcul-DCC-TX-Encais'!$AP$4</f>
        <v>776.8180182599998</v>
      </c>
      <c r="D55" s="2602">
        <f>'calcul-DCC-TX-Encais'!$D$20</f>
        <v>734.34091131000014</v>
      </c>
      <c r="E55" s="2602">
        <f>'Feuil-saisie'!C33/1000</f>
        <v>1109.4241201999994</v>
      </c>
      <c r="F55" s="2602">
        <f>C55*0.315515773988161</f>
        <v>245.09833827925323</v>
      </c>
      <c r="G55" s="2603">
        <f t="shared" si="12"/>
        <v>375.08320888999924</v>
      </c>
      <c r="H55" s="2604">
        <f t="shared" si="13"/>
        <v>51.077531309114107</v>
      </c>
      <c r="I55" s="2603">
        <f t="shared" si="14"/>
        <v>864.32578192074618</v>
      </c>
      <c r="J55" s="2604">
        <f t="shared" si="15"/>
        <v>22.092393144928973</v>
      </c>
      <c r="K55" s="2553">
        <v>73.554070990868865</v>
      </c>
      <c r="L55" s="2553">
        <f>'calcul-DCC-TX-Encais'!$D$98</f>
        <v>69.687114993509212</v>
      </c>
      <c r="M55" s="2553">
        <f>'calcul-DCC-TX-Encais'!$AP$98</f>
        <v>119.72313932061486</v>
      </c>
      <c r="N55" s="2553">
        <f t="shared" si="16"/>
        <v>50.03602432710565</v>
      </c>
      <c r="O55" s="2553">
        <f t="shared" si="17"/>
        <v>46.169068329745997</v>
      </c>
    </row>
    <row r="56" spans="2:15" ht="12" customHeight="1">
      <c r="B56" s="2605" t="s">
        <v>295</v>
      </c>
      <c r="C56" s="2606">
        <f>C55-C57</f>
        <v>202.65957825999988</v>
      </c>
      <c r="D56" s="2606">
        <f>D55-D57</f>
        <v>339.48660998000014</v>
      </c>
      <c r="E56" s="2606">
        <f>E55-E57</f>
        <v>216.8233301999993</v>
      </c>
      <c r="F56" s="2606">
        <f>C56*0.315515773988161</f>
        <v>63.942293690818147</v>
      </c>
      <c r="G56" s="2607">
        <f t="shared" si="12"/>
        <v>-122.66327978000083</v>
      </c>
      <c r="H56" s="2608">
        <f t="shared" si="13"/>
        <v>-36.131993478984988</v>
      </c>
      <c r="I56" s="2607">
        <f t="shared" si="14"/>
        <v>152.88103650918117</v>
      </c>
      <c r="J56" s="2608">
        <f t="shared" si="15"/>
        <v>29.49050438061132</v>
      </c>
      <c r="K56" s="2553">
        <v>24.173150097191524</v>
      </c>
      <c r="L56" s="2553">
        <f>'calcul-DCC-TX-Encais'!$V$98</f>
        <v>38.556814677354829</v>
      </c>
      <c r="M56" s="2553">
        <f>'calcul-DCC-TX-Encais'!$BH$99</f>
        <v>14.507715668384037</v>
      </c>
      <c r="N56" s="2553">
        <f t="shared" si="16"/>
        <v>-24.049099008970792</v>
      </c>
      <c r="O56" s="2553">
        <f t="shared" si="17"/>
        <v>-9.6654344288074867</v>
      </c>
    </row>
    <row r="57" spans="2:15" ht="12" customHeight="1">
      <c r="B57" s="2605" t="s">
        <v>296</v>
      </c>
      <c r="C57" s="2606">
        <f>'calcul-DCC-TX-Encais'!$BB$4</f>
        <v>574.15843999999993</v>
      </c>
      <c r="D57" s="2606">
        <f>'calcul-DCC-TX-Encais'!$P$20</f>
        <v>394.85430133</v>
      </c>
      <c r="E57" s="2606">
        <f>'Feuil-saisie'!C34/1000</f>
        <v>892.60079000000007</v>
      </c>
      <c r="F57" s="2606">
        <f>F55-F56</f>
        <v>181.15604458843507</v>
      </c>
      <c r="G57" s="2607">
        <f t="shared" si="12"/>
        <v>497.74648867000008</v>
      </c>
      <c r="H57" s="2608">
        <f t="shared" si="13"/>
        <v>126.05826680712991</v>
      </c>
      <c r="I57" s="2607">
        <f t="shared" si="14"/>
        <v>711.44474541156501</v>
      </c>
      <c r="J57" s="2608">
        <f t="shared" si="15"/>
        <v>20.295304084195919</v>
      </c>
      <c r="K57" s="2553"/>
      <c r="L57" s="2553"/>
      <c r="M57" s="2553"/>
      <c r="N57" s="2553"/>
      <c r="O57" s="2553"/>
    </row>
    <row r="58" spans="2:15" ht="12" customHeight="1">
      <c r="B58" s="2562" t="s">
        <v>603</v>
      </c>
      <c r="C58" s="2595">
        <f>'calcul-DCC-TX-Encais'!$AT$4</f>
        <v>472.67187944000005</v>
      </c>
      <c r="D58" s="2595">
        <f>'calcul-DCC-TX-Encais'!$H$20</f>
        <v>555.55558941000015</v>
      </c>
      <c r="E58" s="2595">
        <f>'Feuil-saisie'!C32/1000</f>
        <v>507.93625065000003</v>
      </c>
      <c r="F58" s="2595">
        <f>C58*0.648477829483776</f>
        <v>306.51723443726826</v>
      </c>
      <c r="G58" s="2596">
        <f t="shared" si="12"/>
        <v>-47.619338760000119</v>
      </c>
      <c r="H58" s="2609">
        <f t="shared" si="13"/>
        <v>-8.5714804544711427</v>
      </c>
      <c r="I58" s="2596">
        <f t="shared" si="14"/>
        <v>201.41901621273178</v>
      </c>
      <c r="J58" s="2609">
        <f t="shared" si="15"/>
        <v>60.345611096869298</v>
      </c>
      <c r="K58" s="2553">
        <v>257.45820871744883</v>
      </c>
      <c r="L58" s="2553">
        <f>'calcul-DCC-TX-Encais'!$H$98</f>
        <v>299.23174040887341</v>
      </c>
      <c r="M58" s="2553">
        <f>'calcul-DCC-TX-Encais'!$AT$98</f>
        <v>321.7449175997977</v>
      </c>
      <c r="N58" s="2553">
        <f t="shared" si="16"/>
        <v>22.513177190924296</v>
      </c>
      <c r="O58" s="2553">
        <f t="shared" si="17"/>
        <v>64.286708882348876</v>
      </c>
    </row>
    <row r="59" spans="2:15" ht="12" customHeight="1">
      <c r="B59" s="2567" t="s">
        <v>915</v>
      </c>
      <c r="C59" s="2610">
        <f>C58-C60</f>
        <v>465.64761944000003</v>
      </c>
      <c r="D59" s="2610">
        <f>D58-D60</f>
        <v>542.36958257000015</v>
      </c>
      <c r="E59" s="2610">
        <f>E58-E60</f>
        <v>501.68130065000003</v>
      </c>
      <c r="F59" s="2595">
        <f>C59*0.648477829483776</f>
        <v>301.96215755873857</v>
      </c>
      <c r="G59" s="2596">
        <f t="shared" si="12"/>
        <v>-40.688281920000122</v>
      </c>
      <c r="H59" s="2609">
        <f t="shared" si="13"/>
        <v>-7.5019476068698507</v>
      </c>
      <c r="I59" s="2596">
        <f t="shared" si="14"/>
        <v>199.71914309126146</v>
      </c>
      <c r="J59" s="2609">
        <f t="shared" si="15"/>
        <v>60.190036417044709</v>
      </c>
      <c r="K59" s="2569"/>
      <c r="L59" s="2569"/>
      <c r="M59" s="2569"/>
      <c r="N59" s="2569"/>
      <c r="O59" s="2569"/>
    </row>
    <row r="60" spans="2:15" ht="12" customHeight="1">
      <c r="B60" s="2567" t="s">
        <v>916</v>
      </c>
      <c r="C60" s="2610">
        <f>'calcul-DCC-TX-Encais'!$BD$4</f>
        <v>7.0242599999999999</v>
      </c>
      <c r="D60" s="2610">
        <f>'calcul-DCC-TX-Encais'!$R$20</f>
        <v>13.186006839999999</v>
      </c>
      <c r="E60" s="2610">
        <f>'Feuil-saisie'!C36/1000</f>
        <v>6.25495</v>
      </c>
      <c r="F60" s="2610">
        <f>F58-F59</f>
        <v>4.5550768785296896</v>
      </c>
      <c r="G60" s="2611"/>
      <c r="H60" s="2612"/>
      <c r="I60" s="2611"/>
      <c r="J60" s="2612"/>
      <c r="K60" s="2569"/>
      <c r="L60" s="2569"/>
      <c r="M60" s="2569"/>
      <c r="N60" s="2569"/>
      <c r="O60" s="2569"/>
    </row>
    <row r="61" spans="2:15" ht="12" customHeight="1">
      <c r="B61" s="2589" t="s">
        <v>610</v>
      </c>
      <c r="C61" s="2590">
        <f>C44+C47+C54</f>
        <v>2547.64769695</v>
      </c>
      <c r="D61" s="2590">
        <f>D44+D47+D54</f>
        <v>3554.9272488600004</v>
      </c>
      <c r="E61" s="2590">
        <f>E44+E47+E54</f>
        <v>3778.7569357999996</v>
      </c>
      <c r="F61" s="2590">
        <f>F44+F47+F54</f>
        <v>1664.9224430642296</v>
      </c>
      <c r="G61" s="2591">
        <f t="shared" ref="G61:G69" si="18">E61-D61</f>
        <v>223.82968693999919</v>
      </c>
      <c r="H61" s="2604">
        <f t="shared" ref="H61:H69" si="19">((E61-D61)/D61)*100</f>
        <v>6.2963225762714901</v>
      </c>
      <c r="I61" s="2591">
        <f t="shared" ref="I61:I69" si="20">E61-F61</f>
        <v>2113.8344927357703</v>
      </c>
      <c r="J61" s="2604">
        <f t="shared" ref="J61:J69" si="21">F61/E61*100</f>
        <v>44.060056556978552</v>
      </c>
      <c r="K61" s="2593">
        <v>62.150602834425769</v>
      </c>
      <c r="L61" s="2593">
        <f>'calcul-DCC-TX-Encais'!$K$98</f>
        <v>90.543269617708035</v>
      </c>
      <c r="M61" s="2593">
        <f>'calcul-DCC-TX-Encais'!$AW$98</f>
        <v>99.979065043834296</v>
      </c>
      <c r="N61" s="2593">
        <f t="shared" si="16"/>
        <v>9.435795426126262</v>
      </c>
      <c r="O61" s="2593">
        <f t="shared" si="17"/>
        <v>37.828462209408528</v>
      </c>
    </row>
    <row r="62" spans="2:15" ht="12" customHeight="1">
      <c r="B62" s="2613" t="s">
        <v>611</v>
      </c>
      <c r="C62" s="2614">
        <f>C63+C64</f>
        <v>206.8637588</v>
      </c>
      <c r="D62" s="2614">
        <f>D63+D64</f>
        <v>286.25940410999999</v>
      </c>
      <c r="E62" s="2614">
        <f>E63+E64</f>
        <v>335.91575879999999</v>
      </c>
      <c r="F62" s="2614">
        <f>F63+F64</f>
        <v>19.496077429422286</v>
      </c>
      <c r="G62" s="2603">
        <f t="shared" si="18"/>
        <v>49.656354690000001</v>
      </c>
      <c r="H62" s="2604">
        <f t="shared" si="19"/>
        <v>17.346628259911668</v>
      </c>
      <c r="I62" s="2603">
        <f t="shared" si="20"/>
        <v>316.41968137057768</v>
      </c>
      <c r="J62" s="2604">
        <f t="shared" si="21"/>
        <v>5.8038591279755964</v>
      </c>
      <c r="K62" s="2553"/>
      <c r="L62" s="2553"/>
      <c r="M62" s="2553"/>
      <c r="N62" s="2553"/>
      <c r="O62" s="2553"/>
    </row>
    <row r="63" spans="2:15" ht="12" customHeight="1">
      <c r="B63" s="2615" t="s">
        <v>318</v>
      </c>
      <c r="C63" s="2595">
        <f>'calcul-DCC-TX-Encais'!$AX$4</f>
        <v>177.9647588</v>
      </c>
      <c r="D63" s="2595">
        <f>'calcul-DCC-TX-Encais'!$L$20</f>
        <v>257.36040410999999</v>
      </c>
      <c r="E63" s="2595">
        <f>'Feuil-saisie'!C41/1000</f>
        <v>307.01675879999999</v>
      </c>
      <c r="F63" s="2595">
        <f>C63*0.0578745895135454</f>
        <v>10.299637363427117</v>
      </c>
      <c r="G63" s="2596">
        <f t="shared" si="18"/>
        <v>49.656354690000001</v>
      </c>
      <c r="H63" s="2616">
        <f t="shared" si="19"/>
        <v>19.294481162213312</v>
      </c>
      <c r="I63" s="2596">
        <f t="shared" si="20"/>
        <v>296.71712143657288</v>
      </c>
      <c r="J63" s="2616">
        <f t="shared" si="21"/>
        <v>3.3547476052069891</v>
      </c>
      <c r="K63" s="2553"/>
      <c r="L63" s="2553"/>
      <c r="M63" s="2553"/>
      <c r="N63" s="2553"/>
      <c r="O63" s="2553"/>
    </row>
    <row r="64" spans="2:15" ht="12" customHeight="1">
      <c r="B64" s="2615" t="s">
        <v>319</v>
      </c>
      <c r="C64" s="2595">
        <f>'calcul-DCC-TX-Encais'!$AY$4</f>
        <v>28.899000000000001</v>
      </c>
      <c r="D64" s="2595">
        <f>'calcul-DCC-TX-Encais'!$M$20</f>
        <v>28.899000000000001</v>
      </c>
      <c r="E64" s="2595">
        <f>'Feuil-saisie'!C42/1000</f>
        <v>28.899000000000001</v>
      </c>
      <c r="F64" s="2595">
        <f>C64*0.318226930551063</f>
        <v>9.1964400659951693</v>
      </c>
      <c r="G64" s="2596">
        <f t="shared" si="18"/>
        <v>0</v>
      </c>
      <c r="H64" s="2616">
        <f t="shared" si="19"/>
        <v>0</v>
      </c>
      <c r="I64" s="2596">
        <f t="shared" si="20"/>
        <v>19.702559934004832</v>
      </c>
      <c r="J64" s="2616">
        <f t="shared" si="21"/>
        <v>31.822693055106299</v>
      </c>
      <c r="K64" s="2553"/>
      <c r="L64" s="2553"/>
      <c r="M64" s="2553"/>
      <c r="N64" s="2553"/>
      <c r="O64" s="2553"/>
    </row>
    <row r="65" spans="2:17" ht="12" customHeight="1">
      <c r="B65" s="2617" t="s">
        <v>606</v>
      </c>
      <c r="C65" s="2618">
        <f>C61+C62</f>
        <v>2754.5114557500001</v>
      </c>
      <c r="D65" s="2618">
        <f>D61+D62</f>
        <v>3841.1866529700005</v>
      </c>
      <c r="E65" s="2618">
        <f>E61+E62</f>
        <v>4114.6726945999999</v>
      </c>
      <c r="F65" s="2618">
        <f>F61+F62</f>
        <v>1684.4185204936518</v>
      </c>
      <c r="G65" s="2596">
        <f t="shared" si="18"/>
        <v>273.48604162999936</v>
      </c>
      <c r="H65" s="2616">
        <f t="shared" si="19"/>
        <v>7.1198321336074706</v>
      </c>
      <c r="I65" s="2596">
        <f t="shared" si="20"/>
        <v>2430.2541741063478</v>
      </c>
      <c r="J65" s="2616">
        <f t="shared" si="21"/>
        <v>40.936877499496944</v>
      </c>
      <c r="K65" s="2553"/>
      <c r="L65" s="2553"/>
      <c r="M65" s="2553"/>
      <c r="N65" s="2553"/>
      <c r="O65" s="2553"/>
    </row>
    <row r="66" spans="2:17" ht="12" customHeight="1">
      <c r="B66" s="2619" t="s">
        <v>607</v>
      </c>
      <c r="C66" s="2590">
        <f>C67+C68</f>
        <v>29.221689469999998</v>
      </c>
      <c r="D66" s="2590">
        <f>D67+D68</f>
        <v>119.22944493</v>
      </c>
      <c r="E66" s="2590">
        <f>E67+E68</f>
        <v>62.644678620000001</v>
      </c>
      <c r="F66" s="2590">
        <f>F67+F68</f>
        <v>8.2884133890742238</v>
      </c>
      <c r="G66" s="2591">
        <f t="shared" si="18"/>
        <v>-56.584766309999999</v>
      </c>
      <c r="H66" s="2604">
        <f t="shared" si="19"/>
        <v>-47.458718224530109</v>
      </c>
      <c r="I66" s="2591">
        <f t="shared" si="20"/>
        <v>54.356265230925779</v>
      </c>
      <c r="J66" s="2604">
        <f t="shared" si="21"/>
        <v>13.230833921826612</v>
      </c>
      <c r="K66" s="2593">
        <v>50.645252424128877</v>
      </c>
      <c r="L66" s="2593">
        <f>'calcul-DCC-TX-Encais'!$AK$98</f>
        <v>34.217268219527028</v>
      </c>
      <c r="M66" s="2593">
        <f>'calcul-DCC-TX-Encais'!$BW$98</f>
        <v>23.589772646793403</v>
      </c>
      <c r="N66" s="2593">
        <f t="shared" si="16"/>
        <v>-10.627495572733626</v>
      </c>
      <c r="O66" s="2593">
        <f t="shared" si="17"/>
        <v>-27.055479777335474</v>
      </c>
    </row>
    <row r="67" spans="2:17" ht="12" customHeight="1">
      <c r="B67" s="2557" t="s">
        <v>198</v>
      </c>
      <c r="C67" s="2595">
        <f>'calcul-DCC-TX-Encais'!$BU$4</f>
        <v>29.221689469999998</v>
      </c>
      <c r="D67" s="2595">
        <f>'calcul-DCC-TX-Encais'!$AI$20</f>
        <v>117.32696645</v>
      </c>
      <c r="E67" s="2595">
        <f>'Feuil-saisie'!$C$44/1000</f>
        <v>61.165942489999999</v>
      </c>
      <c r="F67" s="2595">
        <f>C67*0.283639089299864</f>
        <v>8.2884133890742238</v>
      </c>
      <c r="G67" s="2620">
        <f t="shared" si="18"/>
        <v>-56.161023960000001</v>
      </c>
      <c r="H67" s="2621">
        <f t="shared" si="19"/>
        <v>-47.867106479680061</v>
      </c>
      <c r="I67" s="2620">
        <f t="shared" si="20"/>
        <v>52.877529100925777</v>
      </c>
      <c r="J67" s="2621">
        <f t="shared" si="21"/>
        <v>13.550700032831658</v>
      </c>
      <c r="K67" s="2553">
        <v>68.7288946472801</v>
      </c>
      <c r="L67" s="2553">
        <f>'calcul-DCC-TX-Encais'!$AI$98</f>
        <v>48.967906559568341</v>
      </c>
      <c r="M67" s="2553">
        <f>'calcul-DCC-TX-Encais'!$BU$98</f>
        <v>44.096867429375912</v>
      </c>
      <c r="N67" s="2553">
        <f t="shared" si="16"/>
        <v>-4.871039130192429</v>
      </c>
      <c r="O67" s="2553">
        <f t="shared" si="17"/>
        <v>-24.632027217904188</v>
      </c>
    </row>
    <row r="68" spans="2:17" ht="12" customHeight="1">
      <c r="B68" s="2557" t="s">
        <v>199</v>
      </c>
      <c r="C68" s="2595">
        <f>'calcul-DCC-TX-Encais'!$BV$4</f>
        <v>0</v>
      </c>
      <c r="D68" s="2595">
        <f>'calcul-DCC-TX-Encais'!$AJ$20</f>
        <v>1.9024784800000001</v>
      </c>
      <c r="E68" s="2595">
        <f>'Feuil-saisie'!$C$45/1000</f>
        <v>1.4787361299999997</v>
      </c>
      <c r="F68" s="2595">
        <f>C68*0.283639089299864</f>
        <v>0</v>
      </c>
      <c r="G68" s="2620">
        <f t="shared" si="18"/>
        <v>-0.42374235000000038</v>
      </c>
      <c r="H68" s="2621">
        <f t="shared" si="19"/>
        <v>-22.273174411938701</v>
      </c>
      <c r="I68" s="2620">
        <f t="shared" si="20"/>
        <v>1.4787361299999997</v>
      </c>
      <c r="J68" s="2621">
        <f t="shared" si="21"/>
        <v>0</v>
      </c>
      <c r="K68" s="2553">
        <v>16.938862158406213</v>
      </c>
      <c r="L68" s="2553">
        <f>'calcul-DCC-TX-Encais'!$AJ$98</f>
        <v>1.1757098594184014</v>
      </c>
      <c r="M68" s="2553">
        <f>'calcul-DCC-TX-Encais'!$BV$98</f>
        <v>1.1657314031063848</v>
      </c>
      <c r="N68" s="2553">
        <f t="shared" si="16"/>
        <v>-9.9784563120166592E-3</v>
      </c>
      <c r="O68" s="2553">
        <f t="shared" si="17"/>
        <v>-15.773130755299828</v>
      </c>
    </row>
    <row r="69" spans="2:17" ht="12" customHeight="1">
      <c r="B69" s="2577" t="s">
        <v>612</v>
      </c>
      <c r="C69" s="2579">
        <f>C66+C65</f>
        <v>2783.7331452200001</v>
      </c>
      <c r="D69" s="2579">
        <f>D66+D65</f>
        <v>3960.4160979000008</v>
      </c>
      <c r="E69" s="2579">
        <f>E65+E66</f>
        <v>4177.3173732200003</v>
      </c>
      <c r="F69" s="2579">
        <f>F65+F66</f>
        <v>1692.7069338827262</v>
      </c>
      <c r="G69" s="2622">
        <f t="shared" si="18"/>
        <v>216.90127531999951</v>
      </c>
      <c r="H69" s="2623">
        <f t="shared" si="19"/>
        <v>5.4767294637301056</v>
      </c>
      <c r="I69" s="2622">
        <f t="shared" si="20"/>
        <v>2484.6104393372743</v>
      </c>
      <c r="J69" s="2623">
        <f t="shared" si="21"/>
        <v>40.521386877002776</v>
      </c>
      <c r="K69" s="2553"/>
      <c r="L69" s="2553"/>
      <c r="M69" s="2553"/>
      <c r="N69" s="2553"/>
      <c r="O69" s="2553"/>
    </row>
    <row r="70" spans="2:17" ht="12" customHeight="1">
      <c r="K70" s="2624"/>
      <c r="L70" s="2624"/>
      <c r="M70" s="2624"/>
      <c r="N70" s="2624"/>
      <c r="O70" s="2624"/>
    </row>
    <row r="71" spans="2:17" ht="12" customHeight="1">
      <c r="M71" s="2535"/>
    </row>
    <row r="72" spans="2:17" ht="12" customHeight="1">
      <c r="B72" s="2539" t="s">
        <v>7</v>
      </c>
      <c r="C72" s="3212" t="s">
        <v>281</v>
      </c>
      <c r="D72" s="3213"/>
      <c r="E72" s="3213"/>
      <c r="F72" s="3214"/>
      <c r="G72" s="3215" t="s">
        <v>597</v>
      </c>
      <c r="H72" s="3216"/>
      <c r="I72" s="2545" t="s">
        <v>598</v>
      </c>
      <c r="J72" s="2546"/>
      <c r="K72" s="2547" t="s">
        <v>358</v>
      </c>
      <c r="L72" s="2548"/>
      <c r="M72" s="2548"/>
      <c r="N72" s="2548"/>
      <c r="O72" s="2549"/>
    </row>
    <row r="73" spans="2:17" ht="12" customHeight="1">
      <c r="B73" s="2550"/>
      <c r="C73" s="2551">
        <f>C43</f>
        <v>45291</v>
      </c>
      <c r="D73" s="2551">
        <f t="shared" ref="D73:O73" si="22">D43</f>
        <v>45139</v>
      </c>
      <c r="E73" s="2551">
        <f t="shared" si="22"/>
        <v>45505</v>
      </c>
      <c r="F73" s="2552" t="str">
        <f t="shared" si="22"/>
        <v>Obj 2024</v>
      </c>
      <c r="G73" s="2552" t="str">
        <f t="shared" si="22"/>
        <v>MDA</v>
      </c>
      <c r="H73" s="2552" t="str">
        <f t="shared" si="22"/>
        <v>%</v>
      </c>
      <c r="I73" s="2552" t="str">
        <f t="shared" si="22"/>
        <v>MDA</v>
      </c>
      <c r="J73" s="2552" t="str">
        <f t="shared" si="22"/>
        <v>%</v>
      </c>
      <c r="K73" s="2551">
        <f t="shared" si="22"/>
        <v>45291</v>
      </c>
      <c r="L73" s="2551">
        <f>L43</f>
        <v>45139</v>
      </c>
      <c r="M73" s="2551">
        <f>M43</f>
        <v>45505</v>
      </c>
      <c r="N73" s="2553" t="str">
        <f t="shared" si="22"/>
        <v>écart mois</v>
      </c>
      <c r="O73" s="2553" t="str">
        <f t="shared" si="22"/>
        <v>écart année</v>
      </c>
    </row>
    <row r="74" spans="2:17" ht="12" customHeight="1">
      <c r="B74" s="2589" t="s">
        <v>277</v>
      </c>
      <c r="C74" s="2590">
        <f>'calcul-DCC-TX-Encais'!$AO$5</f>
        <v>341.06182731999979</v>
      </c>
      <c r="D74" s="2590">
        <f>'calcul-DCC-TX-Encais'!$C$21</f>
        <v>985.82839340000078</v>
      </c>
      <c r="E74" s="2590">
        <f>E75+E76</f>
        <v>1016.6158273199995</v>
      </c>
      <c r="F74" s="2590">
        <f>F75+F76</f>
        <v>331.62117823231029</v>
      </c>
      <c r="G74" s="2591">
        <f t="shared" ref="G74:G89" si="23">E74-D74</f>
        <v>30.787433919998762</v>
      </c>
      <c r="H74" s="2592">
        <f t="shared" ref="H74:H89" si="24">((E74-D74)/D74)*100</f>
        <v>3.1230013383786495</v>
      </c>
      <c r="I74" s="2591">
        <f t="shared" ref="I74:I89" si="25">E74-F74</f>
        <v>684.99464908768925</v>
      </c>
      <c r="J74" s="2592">
        <f t="shared" ref="J74:J89" si="26">F74/E74*100</f>
        <v>32.620107745767577</v>
      </c>
      <c r="K74" s="2593">
        <v>26.969083451840007</v>
      </c>
      <c r="L74" s="2593">
        <f>'calcul-DCC-TX-Encais'!$C$99</f>
        <v>56.899743396439298</v>
      </c>
      <c r="M74" s="2593">
        <f>'calcul-DCC-TX-Encais'!$AO$99</f>
        <v>73.750550369550353</v>
      </c>
      <c r="N74" s="2593">
        <f>M74-L74</f>
        <v>16.850806973111055</v>
      </c>
      <c r="O74" s="2593">
        <f>M74-K74</f>
        <v>46.781466917710347</v>
      </c>
      <c r="P74" s="2534">
        <v>437.79269210405295</v>
      </c>
    </row>
    <row r="75" spans="2:17" ht="12" customHeight="1">
      <c r="B75" s="2594" t="s">
        <v>609</v>
      </c>
      <c r="C75" s="2595">
        <f>'enc-ag'!D29</f>
        <v>331.86796575999972</v>
      </c>
      <c r="D75" s="2595">
        <f>'enc-ag'!N29</f>
        <v>924.79053183999929</v>
      </c>
      <c r="E75" s="2595">
        <f>'Feuil-saisie'!C50/1000</f>
        <v>1007.4219657599996</v>
      </c>
      <c r="F75" s="2595">
        <f>C75*0.972319830800555</f>
        <v>322.68180431588729</v>
      </c>
      <c r="G75" s="2596">
        <f t="shared" si="23"/>
        <v>82.631433920000291</v>
      </c>
      <c r="H75" s="2597">
        <f t="shared" si="24"/>
        <v>8.9351513748301006</v>
      </c>
      <c r="I75" s="2596">
        <f t="shared" si="25"/>
        <v>684.74016144411235</v>
      </c>
      <c r="J75" s="2597">
        <f t="shared" si="26"/>
        <v>32.030451517151107</v>
      </c>
      <c r="K75" s="2553">
        <v>10.880335544557759</v>
      </c>
      <c r="L75" s="2553">
        <f>'enc-ag'!P29</f>
        <v>69.869091285481602</v>
      </c>
      <c r="M75" s="2553">
        <f>'enc-ag'!J45</f>
        <v>25.934269747978632</v>
      </c>
      <c r="N75" s="2553">
        <f>M75-L75</f>
        <v>-43.93482153750297</v>
      </c>
      <c r="O75" s="2553">
        <f>M75-K75</f>
        <v>15.053934203420873</v>
      </c>
      <c r="P75" s="2534">
        <f>F75/F74</f>
        <v>0.97304341669590022</v>
      </c>
      <c r="Q75" s="2534">
        <f>P74*P75</f>
        <v>425.99129692942392</v>
      </c>
    </row>
    <row r="76" spans="2:17" ht="12" customHeight="1">
      <c r="B76" s="2594" t="s">
        <v>279</v>
      </c>
      <c r="C76" s="2595">
        <f>C74-C75</f>
        <v>9.193861560000073</v>
      </c>
      <c r="D76" s="2595">
        <f>D74-D75</f>
        <v>61.037861560001488</v>
      </c>
      <c r="E76" s="2595">
        <f>'Feuil-saisie'!C51/1000</f>
        <v>9.1938615599999984</v>
      </c>
      <c r="F76" s="2595">
        <f>C76*0.972319830800555</f>
        <v>8.9393739164229977</v>
      </c>
      <c r="G76" s="2596">
        <f t="shared" si="23"/>
        <v>-51.844000000001486</v>
      </c>
      <c r="H76" s="2597">
        <f t="shared" si="24"/>
        <v>-84.937444849763878</v>
      </c>
      <c r="I76" s="2596">
        <f t="shared" si="25"/>
        <v>0.25448764357700071</v>
      </c>
      <c r="J76" s="2597">
        <f t="shared" si="26"/>
        <v>97.231983080056295</v>
      </c>
      <c r="K76" s="2553"/>
      <c r="L76" s="2553"/>
      <c r="M76" s="2553"/>
      <c r="N76" s="2553"/>
      <c r="O76" s="2553"/>
      <c r="P76" s="2534">
        <f>1-P75</f>
        <v>2.6956583304099779E-2</v>
      </c>
      <c r="Q76" s="2534">
        <f>P74*P76</f>
        <v>11.801395174629009</v>
      </c>
    </row>
    <row r="77" spans="2:17" ht="12" customHeight="1">
      <c r="B77" s="2598" t="s">
        <v>1181</v>
      </c>
      <c r="C77" s="2590">
        <f>C78+C81</f>
        <v>36.499449999999982</v>
      </c>
      <c r="D77" s="2590">
        <f>D78+D81</f>
        <v>84.912449999999978</v>
      </c>
      <c r="E77" s="2590">
        <f>E78+E81</f>
        <v>45.224449999999983</v>
      </c>
      <c r="F77" s="2590">
        <f>F78+F81</f>
        <v>18.953153671453045</v>
      </c>
      <c r="G77" s="2591">
        <f t="shared" si="23"/>
        <v>-39.687999999999995</v>
      </c>
      <c r="H77" s="2592">
        <f t="shared" si="24"/>
        <v>-46.739906809896553</v>
      </c>
      <c r="I77" s="2591">
        <f t="shared" si="25"/>
        <v>26.271296328546939</v>
      </c>
      <c r="J77" s="2592">
        <f t="shared" si="26"/>
        <v>41.909086061749903</v>
      </c>
      <c r="K77" s="2593">
        <v>21.960980243474236</v>
      </c>
      <c r="L77" s="2593">
        <f>'calcul-DCC-TX-Encais'!$H$115</f>
        <v>26.549444752931116</v>
      </c>
      <c r="M77" s="2593">
        <f>'calcul-DCC-TX-Encais'!$AT$149</f>
        <v>24.036354261217607</v>
      </c>
      <c r="N77" s="2593">
        <f t="shared" ref="N77:N86" si="27">M77-L77</f>
        <v>-2.5130904917135091</v>
      </c>
      <c r="O77" s="2593">
        <f t="shared" ref="O77:O86" si="28">M77-K77</f>
        <v>2.0753740177433713</v>
      </c>
    </row>
    <row r="78" spans="2:17" ht="12" customHeight="1">
      <c r="B78" s="2557" t="s">
        <v>18</v>
      </c>
      <c r="C78" s="2595">
        <f>'calcul-DCC-TX-Encais'!$AU$5</f>
        <v>36.146229999999981</v>
      </c>
      <c r="D78" s="2595">
        <f>'calcul-DCC-TX-Encais'!$I$21</f>
        <v>83.91822999999998</v>
      </c>
      <c r="E78" s="2595">
        <f>'Feuil-saisie'!C53/1000</f>
        <v>40.47622999999998</v>
      </c>
      <c r="F78" s="2595">
        <f>C78*0.516289196146854</f>
        <v>18.661908030439289</v>
      </c>
      <c r="G78" s="2596">
        <f t="shared" si="23"/>
        <v>-43.442</v>
      </c>
      <c r="H78" s="2597">
        <f t="shared" si="24"/>
        <v>-51.767059433927542</v>
      </c>
      <c r="I78" s="2596">
        <f t="shared" si="25"/>
        <v>21.814321969560691</v>
      </c>
      <c r="J78" s="2597">
        <f t="shared" si="26"/>
        <v>46.105845407142162</v>
      </c>
      <c r="K78" s="2553">
        <v>24.729106437295219</v>
      </c>
      <c r="L78" s="2553">
        <f>'calcul-DCC-TX-Encais'!$I$99</f>
        <v>29.590339207575116</v>
      </c>
      <c r="M78" s="2553">
        <f>'calcul-DCC-TX-Encais'!$AU$99</f>
        <v>24.810244956336163</v>
      </c>
      <c r="N78" s="2553">
        <f t="shared" si="27"/>
        <v>-4.7800942512389533</v>
      </c>
      <c r="O78" s="2553">
        <f t="shared" si="28"/>
        <v>8.1138519040944601E-2</v>
      </c>
    </row>
    <row r="79" spans="2:17" ht="12" customHeight="1">
      <c r="B79" s="2563" t="s">
        <v>1101</v>
      </c>
      <c r="C79" s="2599">
        <f>'calcul-DCC-TX-Encais'!$BF$5</f>
        <v>0</v>
      </c>
      <c r="D79" s="2599">
        <f>'calcul-DCC-TX-Encais'!$T$21</f>
        <v>0</v>
      </c>
      <c r="E79" s="2599">
        <f>'calcul-DCC-TX-Encais'!$BF$21</f>
        <v>0</v>
      </c>
      <c r="F79" s="2599"/>
      <c r="G79" s="2600"/>
      <c r="H79" s="2601"/>
      <c r="I79" s="2600"/>
      <c r="J79" s="2601"/>
      <c r="K79" s="2564"/>
      <c r="L79" s="2564"/>
      <c r="M79" s="2564"/>
      <c r="N79" s="2564"/>
      <c r="O79" s="2564"/>
    </row>
    <row r="80" spans="2:17" ht="12" customHeight="1">
      <c r="B80" s="2563" t="s">
        <v>1102</v>
      </c>
      <c r="C80" s="2599">
        <f>C78-C79</f>
        <v>36.146229999999981</v>
      </c>
      <c r="D80" s="2599">
        <f>D78-D79</f>
        <v>83.91822999999998</v>
      </c>
      <c r="E80" s="2599">
        <f>E78-E79</f>
        <v>40.47622999999998</v>
      </c>
      <c r="F80" s="2599">
        <f>F78-F79</f>
        <v>18.661908030439289</v>
      </c>
      <c r="G80" s="2600"/>
      <c r="H80" s="2601"/>
      <c r="I80" s="2600"/>
      <c r="J80" s="2601"/>
      <c r="K80" s="2564"/>
      <c r="L80" s="2564"/>
      <c r="M80" s="2564"/>
      <c r="N80" s="2564"/>
      <c r="O80" s="2564"/>
    </row>
    <row r="81" spans="2:15" ht="12" customHeight="1">
      <c r="B81" s="2557" t="s">
        <v>185</v>
      </c>
      <c r="C81" s="2595">
        <f>'calcul-DCC-TX-Encais'!$AQ$5</f>
        <v>0.35322000000000114</v>
      </c>
      <c r="D81" s="2595">
        <f>'calcul-DCC-TX-Encais'!$E$21</f>
        <v>0.99421999999999389</v>
      </c>
      <c r="E81" s="2595">
        <f>'Feuil-saisie'!C54/1000</f>
        <v>4.7482200000000008</v>
      </c>
      <c r="F81" s="2595">
        <f>C81*0.824544592644118</f>
        <v>0.29124564101375627</v>
      </c>
      <c r="G81" s="2596">
        <f t="shared" si="23"/>
        <v>3.7540000000000067</v>
      </c>
      <c r="H81" s="2597">
        <f t="shared" si="24"/>
        <v>377.58242642473795</v>
      </c>
      <c r="I81" s="2596">
        <f t="shared" si="25"/>
        <v>4.4569743589862441</v>
      </c>
      <c r="J81" s="2597">
        <f t="shared" si="26"/>
        <v>6.1337857347333573</v>
      </c>
      <c r="K81" s="2553">
        <v>1.7632257005703089</v>
      </c>
      <c r="L81" s="2553">
        <f>'calcul-DCC-TX-Encais'!$E$99</f>
        <v>2.744379425764147</v>
      </c>
      <c r="M81" s="2553">
        <f>'calcul-DCC-TX-Encais'!$AQ$99</f>
        <v>18.987566606875443</v>
      </c>
      <c r="N81" s="2553">
        <f t="shared" si="27"/>
        <v>16.243187181111296</v>
      </c>
      <c r="O81" s="2553">
        <f t="shared" si="28"/>
        <v>17.224340906305134</v>
      </c>
    </row>
    <row r="82" spans="2:15" ht="12" customHeight="1">
      <c r="B82" s="2563" t="s">
        <v>1103</v>
      </c>
      <c r="C82" s="2599">
        <f>'calcul-DCC-TX-Encais'!$BE$5</f>
        <v>0</v>
      </c>
      <c r="D82" s="2599">
        <f>'calcul-DCC-TX-Encais'!$S$21</f>
        <v>0</v>
      </c>
      <c r="E82" s="2599">
        <f>'calcul-DCC-TX-Encais'!$BE$21</f>
        <v>0</v>
      </c>
      <c r="F82" s="2599"/>
      <c r="G82" s="2600"/>
      <c r="H82" s="2601"/>
      <c r="I82" s="2600"/>
      <c r="J82" s="2601"/>
      <c r="K82" s="2564"/>
      <c r="L82" s="2564"/>
      <c r="M82" s="2564"/>
      <c r="N82" s="2564"/>
      <c r="O82" s="2564"/>
    </row>
    <row r="83" spans="2:15" ht="12" customHeight="1">
      <c r="B83" s="2563" t="s">
        <v>1104</v>
      </c>
      <c r="C83" s="2599">
        <f>C81-C82</f>
        <v>0.35322000000000114</v>
      </c>
      <c r="D83" s="2599">
        <f>D81-D82</f>
        <v>0.99421999999999389</v>
      </c>
      <c r="E83" s="2599">
        <f>E81-E82</f>
        <v>4.7482200000000008</v>
      </c>
      <c r="F83" s="2599"/>
      <c r="G83" s="2600"/>
      <c r="H83" s="2601"/>
      <c r="I83" s="2600"/>
      <c r="J83" s="2601"/>
      <c r="K83" s="2564"/>
      <c r="L83" s="2564"/>
      <c r="M83" s="2564"/>
      <c r="N83" s="2564"/>
      <c r="O83" s="2564"/>
    </row>
    <row r="84" spans="2:15" ht="12" customHeight="1">
      <c r="B84" s="2589" t="s">
        <v>278</v>
      </c>
      <c r="C84" s="2590">
        <f>C85+C88</f>
        <v>353.608</v>
      </c>
      <c r="D84" s="2590">
        <f>D85+D88</f>
        <v>425.26800000000003</v>
      </c>
      <c r="E84" s="2590">
        <f>E85+E88</f>
        <v>603.30799999999999</v>
      </c>
      <c r="F84" s="2590">
        <f>F85+F88</f>
        <v>123.41169619827366</v>
      </c>
      <c r="G84" s="2591">
        <f t="shared" si="23"/>
        <v>178.03999999999996</v>
      </c>
      <c r="H84" s="2592">
        <f t="shared" si="24"/>
        <v>41.865364899310542</v>
      </c>
      <c r="I84" s="2591">
        <f t="shared" si="25"/>
        <v>479.89630380172633</v>
      </c>
      <c r="J84" s="2592">
        <f t="shared" si="26"/>
        <v>20.455836189520717</v>
      </c>
      <c r="K84" s="2593">
        <v>79.67182351408843</v>
      </c>
      <c r="L84" s="2593">
        <f>'calcul-DCC-TX-Encais'!$E$115</f>
        <v>51.25965159946886</v>
      </c>
      <c r="M84" s="2593">
        <f>'calcul-DCC-TX-Encais'!$AQ$149</f>
        <v>125.44352793398386</v>
      </c>
      <c r="N84" s="2593">
        <f t="shared" si="27"/>
        <v>74.183876334514991</v>
      </c>
      <c r="O84" s="2593">
        <f t="shared" si="28"/>
        <v>45.771704419895428</v>
      </c>
    </row>
    <row r="85" spans="2:15" ht="12" customHeight="1">
      <c r="B85" s="2594" t="s">
        <v>554</v>
      </c>
      <c r="C85" s="2602">
        <f>'calcul-DCC-TX-Encais'!$AP$5</f>
        <v>318.04000000000002</v>
      </c>
      <c r="D85" s="2602">
        <f>'calcul-DCC-TX-Encais'!$D$21</f>
        <v>343.18</v>
      </c>
      <c r="E85" s="2602">
        <f>'Feuil-saisie'!C57/1000</f>
        <v>524.35500000000002</v>
      </c>
      <c r="F85" s="2602">
        <f>C85*0.315515773988161</f>
        <v>100.34663675919472</v>
      </c>
      <c r="G85" s="2603">
        <f t="shared" si="23"/>
        <v>181.17500000000001</v>
      </c>
      <c r="H85" s="2604">
        <f t="shared" si="24"/>
        <v>52.792994929774459</v>
      </c>
      <c r="I85" s="2603">
        <f t="shared" si="25"/>
        <v>424.00836324080529</v>
      </c>
      <c r="J85" s="2604">
        <f t="shared" si="26"/>
        <v>19.137156460641116</v>
      </c>
      <c r="K85" s="2553">
        <v>93.930598654372886</v>
      </c>
      <c r="L85" s="2553">
        <f>'calcul-DCC-TX-Encais'!$D$99</f>
        <v>54.719286618854206</v>
      </c>
      <c r="M85" s="2553">
        <f>'calcul-DCC-TX-Encais'!$AP$99</f>
        <v>143.08877531769241</v>
      </c>
      <c r="N85" s="2553">
        <f t="shared" si="27"/>
        <v>88.369488698838211</v>
      </c>
      <c r="O85" s="2553">
        <f t="shared" si="28"/>
        <v>49.158176663319523</v>
      </c>
    </row>
    <row r="86" spans="2:15" ht="12" customHeight="1">
      <c r="B86" s="2605" t="s">
        <v>295</v>
      </c>
      <c r="C86" s="2606">
        <f>C85-C87</f>
        <v>16.557000000000016</v>
      </c>
      <c r="D86" s="2606">
        <f>D85-D87</f>
        <v>41.725999999999999</v>
      </c>
      <c r="E86" s="2606">
        <f>E85-E87</f>
        <v>28.177000000000021</v>
      </c>
      <c r="F86" s="2606">
        <f>C86*0.315515773988161</f>
        <v>5.2239946699219866</v>
      </c>
      <c r="G86" s="2607">
        <f t="shared" si="23"/>
        <v>-13.548999999999978</v>
      </c>
      <c r="H86" s="2608">
        <f t="shared" si="24"/>
        <v>-32.47136078224603</v>
      </c>
      <c r="I86" s="2607">
        <f t="shared" si="25"/>
        <v>22.953005330078035</v>
      </c>
      <c r="J86" s="2608">
        <f t="shared" si="26"/>
        <v>18.53992500948285</v>
      </c>
      <c r="K86" s="2553">
        <v>6.4488761082212633</v>
      </c>
      <c r="L86" s="2553">
        <f>'calcul-DCC-TX-Encais'!$V$99</f>
        <v>8.8899800246289384</v>
      </c>
      <c r="M86" s="2553">
        <f>'calcul-DCC-TX-Encais'!$BH$99</f>
        <v>14.507715668384037</v>
      </c>
      <c r="N86" s="2553">
        <f t="shared" si="27"/>
        <v>5.6177356437550987</v>
      </c>
      <c r="O86" s="2553">
        <f t="shared" si="28"/>
        <v>8.0588395601627738</v>
      </c>
    </row>
    <row r="87" spans="2:15" ht="12" customHeight="1">
      <c r="B87" s="2605" t="s">
        <v>296</v>
      </c>
      <c r="C87" s="2606">
        <f>'calcul-DCC-TX-Encais'!$BB$5</f>
        <v>301.483</v>
      </c>
      <c r="D87" s="2606">
        <f>'calcul-DCC-TX-Encais'!$P$21</f>
        <v>301.45400000000001</v>
      </c>
      <c r="E87" s="2606">
        <f>'Feuil-saisie'!C58/1000</f>
        <v>496.178</v>
      </c>
      <c r="F87" s="2606">
        <f>F85-F86</f>
        <v>95.12264208927273</v>
      </c>
      <c r="G87" s="2607">
        <f t="shared" si="23"/>
        <v>194.72399999999999</v>
      </c>
      <c r="H87" s="2608">
        <f t="shared" si="24"/>
        <v>64.594929906387051</v>
      </c>
      <c r="I87" s="2607">
        <f t="shared" si="25"/>
        <v>401.05535791072725</v>
      </c>
      <c r="J87" s="2608">
        <f t="shared" si="26"/>
        <v>19.171072092932924</v>
      </c>
      <c r="K87" s="2553"/>
      <c r="L87" s="2553"/>
      <c r="M87" s="2553"/>
      <c r="N87" s="2553"/>
      <c r="O87" s="2553"/>
    </row>
    <row r="88" spans="2:15" ht="12" customHeight="1">
      <c r="B88" s="2562" t="s">
        <v>603</v>
      </c>
      <c r="C88" s="2595">
        <f>'calcul-DCC-TX-Encais'!$AT$5</f>
        <v>35.567999999999998</v>
      </c>
      <c r="D88" s="2595">
        <f>'calcul-DCC-TX-Encais'!$H$21</f>
        <v>82.087999999999994</v>
      </c>
      <c r="E88" s="2595">
        <f>'Feuil-saisie'!C56/1000</f>
        <v>78.953000000000003</v>
      </c>
      <c r="F88" s="2595">
        <f>C88*0.648477829483776</f>
        <v>23.065059439078944</v>
      </c>
      <c r="G88" s="2596">
        <f t="shared" si="23"/>
        <v>-3.1349999999999909</v>
      </c>
      <c r="H88" s="2609">
        <f t="shared" si="24"/>
        <v>-3.8190722151836942</v>
      </c>
      <c r="I88" s="2596">
        <f t="shared" si="25"/>
        <v>55.887940560921059</v>
      </c>
      <c r="J88" s="2609">
        <f t="shared" si="26"/>
        <v>29.2136580485592</v>
      </c>
      <c r="K88" s="2553">
        <v>33.796947363762499</v>
      </c>
      <c r="L88" s="2553">
        <f>'calcul-DCC-TX-Encais'!$H$99</f>
        <v>40.543216199901224</v>
      </c>
      <c r="M88" s="2553">
        <f>'calcul-DCC-TX-Encais'!$AT$99</f>
        <v>68.963260244428469</v>
      </c>
      <c r="N88" s="2553">
        <f>M88-L88</f>
        <v>28.420044044527245</v>
      </c>
      <c r="O88" s="2553">
        <f>M88-K88</f>
        <v>35.16631288066597</v>
      </c>
    </row>
    <row r="89" spans="2:15" ht="12" customHeight="1">
      <c r="B89" s="2567" t="s">
        <v>915</v>
      </c>
      <c r="C89" s="2610">
        <f>C88-C90</f>
        <v>35.567999999999998</v>
      </c>
      <c r="D89" s="2610">
        <f>D88-D90</f>
        <v>82.087999999999994</v>
      </c>
      <c r="E89" s="2610">
        <f>E88-E90</f>
        <v>78.953000000000003</v>
      </c>
      <c r="F89" s="2595">
        <f>C89*0.648477829483776</f>
        <v>23.065059439078944</v>
      </c>
      <c r="G89" s="2596">
        <f t="shared" si="23"/>
        <v>-3.1349999999999909</v>
      </c>
      <c r="H89" s="2609">
        <f t="shared" si="24"/>
        <v>-3.8190722151836942</v>
      </c>
      <c r="I89" s="2596">
        <f t="shared" si="25"/>
        <v>55.887940560921059</v>
      </c>
      <c r="J89" s="2609">
        <f t="shared" si="26"/>
        <v>29.2136580485592</v>
      </c>
      <c r="K89" s="2569"/>
      <c r="L89" s="2569"/>
      <c r="M89" s="2569"/>
      <c r="N89" s="2569"/>
      <c r="O89" s="2569"/>
    </row>
    <row r="90" spans="2:15" ht="12" customHeight="1">
      <c r="B90" s="2567" t="s">
        <v>916</v>
      </c>
      <c r="C90" s="2610">
        <f>'calcul-DCC-TX-Encais'!$BD$5</f>
        <v>0</v>
      </c>
      <c r="D90" s="2610">
        <f>'calcul-DCC-TX-Encais'!$R$21</f>
        <v>0</v>
      </c>
      <c r="E90" s="2610">
        <f>'Feuil-saisie'!C59/1000</f>
        <v>0</v>
      </c>
      <c r="F90" s="2610">
        <f>F88-F89</f>
        <v>0</v>
      </c>
      <c r="G90" s="2611"/>
      <c r="H90" s="2612"/>
      <c r="I90" s="2611"/>
      <c r="J90" s="2612"/>
      <c r="K90" s="2569"/>
      <c r="L90" s="2569"/>
      <c r="M90" s="2569"/>
      <c r="N90" s="2569"/>
      <c r="O90" s="2569"/>
    </row>
    <row r="91" spans="2:15" ht="12" customHeight="1">
      <c r="B91" s="2589" t="s">
        <v>613</v>
      </c>
      <c r="C91" s="2590">
        <f>C74+C77+C84</f>
        <v>731.16927731999976</v>
      </c>
      <c r="D91" s="2590">
        <f>D74+D77+D84</f>
        <v>1496.0088434000008</v>
      </c>
      <c r="E91" s="2590">
        <f>E74+E77+E84</f>
        <v>1665.1482773199996</v>
      </c>
      <c r="F91" s="2590">
        <f>F74+F77+F84</f>
        <v>473.98602810203698</v>
      </c>
      <c r="G91" s="2591">
        <f t="shared" ref="G91:G99" si="29">E91-D91</f>
        <v>169.13943391999874</v>
      </c>
      <c r="H91" s="2604">
        <f t="shared" ref="H91:H99" si="30">((E91-D91)/D91)*100</f>
        <v>11.306045058904406</v>
      </c>
      <c r="I91" s="2591">
        <f t="shared" ref="I91:I99" si="31">E91-F91</f>
        <v>1191.1622492179627</v>
      </c>
      <c r="J91" s="2604">
        <f t="shared" ref="J91:J99" si="32">F91/E91*100</f>
        <v>28.46509434372425</v>
      </c>
      <c r="K91" s="2593">
        <v>42.195356412289286</v>
      </c>
      <c r="L91" s="2593">
        <f>'calcul-DCC-TX-Encais'!$K$99</f>
        <v>62.419988218756721</v>
      </c>
      <c r="M91" s="2593">
        <f>'calcul-DCC-TX-Encais'!$AW$99</f>
        <v>84.827222810269546</v>
      </c>
      <c r="N91" s="2593">
        <f>M91-L91</f>
        <v>22.407234591512825</v>
      </c>
      <c r="O91" s="2593">
        <f>M91-K91</f>
        <v>42.631866397980261</v>
      </c>
    </row>
    <row r="92" spans="2:15" ht="12" customHeight="1">
      <c r="B92" s="2613" t="s">
        <v>611</v>
      </c>
      <c r="C92" s="2614">
        <f>C93+C94</f>
        <v>120.79326428999997</v>
      </c>
      <c r="D92" s="2614">
        <f>D93+D94</f>
        <v>64.710815079999989</v>
      </c>
      <c r="E92" s="2614">
        <f>E93+E94</f>
        <v>147.11199999999999</v>
      </c>
      <c r="F92" s="2614">
        <f>F93+F94</f>
        <v>6.99086058678495</v>
      </c>
      <c r="G92" s="2603">
        <f t="shared" si="29"/>
        <v>82.401184920000006</v>
      </c>
      <c r="H92" s="2604">
        <f t="shared" si="30"/>
        <v>127.33757845289068</v>
      </c>
      <c r="I92" s="2603">
        <f t="shared" si="31"/>
        <v>140.12113941321505</v>
      </c>
      <c r="J92" s="2604">
        <f t="shared" si="32"/>
        <v>4.7520668516402136</v>
      </c>
      <c r="K92" s="2553"/>
      <c r="L92" s="2553"/>
      <c r="M92" s="2553"/>
      <c r="N92" s="2553"/>
      <c r="O92" s="2553"/>
    </row>
    <row r="93" spans="2:15" ht="12" customHeight="1">
      <c r="B93" s="2615" t="s">
        <v>318</v>
      </c>
      <c r="C93" s="2595">
        <f>'calcul-DCC-TX-Encais'!$AX$5</f>
        <v>120.79326428999997</v>
      </c>
      <c r="D93" s="2595">
        <f>'calcul-DCC-TX-Encais'!$L$21</f>
        <v>64.710815079999989</v>
      </c>
      <c r="E93" s="2595">
        <f>'Feuil-saisie'!C64/1000</f>
        <v>147.11199999999999</v>
      </c>
      <c r="F93" s="2595">
        <f>C93*0.0578745895135454</f>
        <v>6.99086058678495</v>
      </c>
      <c r="G93" s="2596">
        <f t="shared" si="29"/>
        <v>82.401184920000006</v>
      </c>
      <c r="H93" s="2616">
        <f t="shared" si="30"/>
        <v>127.33757845289068</v>
      </c>
      <c r="I93" s="2596">
        <f t="shared" si="31"/>
        <v>140.12113941321505</v>
      </c>
      <c r="J93" s="2616">
        <f t="shared" si="32"/>
        <v>4.7520668516402136</v>
      </c>
      <c r="K93" s="2553"/>
      <c r="L93" s="2553"/>
      <c r="M93" s="2553"/>
      <c r="N93" s="2553"/>
      <c r="O93" s="2553"/>
    </row>
    <row r="94" spans="2:15" ht="12" customHeight="1">
      <c r="B94" s="2615" t="s">
        <v>319</v>
      </c>
      <c r="C94" s="2595">
        <f>'calcul-DCC-TX-Encais'!$AY$5</f>
        <v>0</v>
      </c>
      <c r="D94" s="2595">
        <f>'calcul-DCC-TX-Encais'!$M$21</f>
        <v>0</v>
      </c>
      <c r="E94" s="2595">
        <f>'Feuil-saisie'!C65/1000</f>
        <v>0</v>
      </c>
      <c r="F94" s="2595">
        <f>C94*0.318226930551063</f>
        <v>0</v>
      </c>
      <c r="G94" s="2596">
        <f t="shared" si="29"/>
        <v>0</v>
      </c>
      <c r="H94" s="2616" t="e">
        <f t="shared" si="30"/>
        <v>#DIV/0!</v>
      </c>
      <c r="I94" s="2596">
        <f t="shared" si="31"/>
        <v>0</v>
      </c>
      <c r="J94" s="2616" t="e">
        <f t="shared" si="32"/>
        <v>#DIV/0!</v>
      </c>
      <c r="K94" s="2553"/>
      <c r="L94" s="2553"/>
      <c r="M94" s="2553"/>
      <c r="N94" s="2553"/>
      <c r="O94" s="2553"/>
    </row>
    <row r="95" spans="2:15" ht="12" customHeight="1">
      <c r="B95" s="2617" t="s">
        <v>606</v>
      </c>
      <c r="C95" s="2618">
        <f>C91+C92</f>
        <v>851.96254160999979</v>
      </c>
      <c r="D95" s="2618">
        <f>D91+D92</f>
        <v>1560.7196584800008</v>
      </c>
      <c r="E95" s="2618">
        <f>E91+E92</f>
        <v>1812.2602773199997</v>
      </c>
      <c r="F95" s="2618">
        <f>F91+F92</f>
        <v>480.97688868882193</v>
      </c>
      <c r="G95" s="2596">
        <f t="shared" si="29"/>
        <v>251.54061883999884</v>
      </c>
      <c r="H95" s="2616">
        <f t="shared" si="30"/>
        <v>16.116963573392582</v>
      </c>
      <c r="I95" s="2596">
        <f t="shared" si="31"/>
        <v>1331.2833886311778</v>
      </c>
      <c r="J95" s="2616">
        <f t="shared" si="32"/>
        <v>26.540166150973548</v>
      </c>
      <c r="K95" s="2553"/>
      <c r="L95" s="2553"/>
      <c r="M95" s="2553"/>
      <c r="N95" s="2553"/>
      <c r="O95" s="2553"/>
    </row>
    <row r="96" spans="2:15" ht="12" customHeight="1">
      <c r="B96" s="2619" t="s">
        <v>607</v>
      </c>
      <c r="C96" s="2590">
        <f>C97+C98</f>
        <v>138.3148176</v>
      </c>
      <c r="D96" s="2590">
        <f>D97+D98</f>
        <v>415.2198176</v>
      </c>
      <c r="E96" s="2590">
        <f>E97+E98</f>
        <v>260.36281760000003</v>
      </c>
      <c r="F96" s="2590">
        <f>F97+F98</f>
        <v>39.2314889007408</v>
      </c>
      <c r="G96" s="2591">
        <f t="shared" si="29"/>
        <v>-154.85699999999997</v>
      </c>
      <c r="H96" s="2604">
        <f t="shared" si="30"/>
        <v>-37.295185209387263</v>
      </c>
      <c r="I96" s="2591">
        <f t="shared" si="31"/>
        <v>221.13132869925923</v>
      </c>
      <c r="J96" s="2604">
        <f t="shared" si="32"/>
        <v>15.068007506745001</v>
      </c>
      <c r="K96" s="2593">
        <v>178.54077466534306</v>
      </c>
      <c r="L96" s="2593">
        <f>'calcul-DCC-TX-Encais'!$AK$99</f>
        <v>111.07117937514072</v>
      </c>
      <c r="M96" s="2593">
        <f>'calcul-DCC-TX-Encais'!$BW$99</f>
        <v>117.08056101704221</v>
      </c>
      <c r="N96" s="2593">
        <f>M96-L96</f>
        <v>6.0093816419014985</v>
      </c>
      <c r="O96" s="2593">
        <f>M96-K96</f>
        <v>-61.460213648300851</v>
      </c>
    </row>
    <row r="97" spans="2:17" ht="12" customHeight="1">
      <c r="B97" s="2557" t="s">
        <v>198</v>
      </c>
      <c r="C97" s="2595">
        <f>'calcul-DCC-TX-Encais'!$BU$5</f>
        <v>124.59984730000002</v>
      </c>
      <c r="D97" s="2595">
        <f>'calcul-DCC-TX-Encais'!$AI$21</f>
        <v>391.3578473</v>
      </c>
      <c r="E97" s="2595">
        <f>'Feuil-saisie'!$C$67/1000</f>
        <v>245.05284730000002</v>
      </c>
      <c r="F97" s="2595">
        <f>C97*0.283639089299864</f>
        <v>35.341387215074121</v>
      </c>
      <c r="G97" s="2620">
        <f t="shared" si="29"/>
        <v>-146.30499999999998</v>
      </c>
      <c r="H97" s="2621">
        <f t="shared" si="30"/>
        <v>-37.383944389863771</v>
      </c>
      <c r="I97" s="2620">
        <f t="shared" si="31"/>
        <v>209.7114600849259</v>
      </c>
      <c r="J97" s="2621">
        <f t="shared" si="32"/>
        <v>14.421945145492753</v>
      </c>
      <c r="K97" s="2553">
        <v>232.63181059811643</v>
      </c>
      <c r="L97" s="2553">
        <f>'calcul-DCC-TX-Encais'!$AI$99</f>
        <v>144.61713687882178</v>
      </c>
      <c r="M97" s="2553">
        <f>'calcul-DCC-TX-Encais'!$BU$99</f>
        <v>185.45882800017526</v>
      </c>
      <c r="N97" s="2553">
        <f>M97-L97</f>
        <v>40.841691121353477</v>
      </c>
      <c r="O97" s="2553">
        <f>M97-K97</f>
        <v>-47.172982597941171</v>
      </c>
    </row>
    <row r="98" spans="2:17" ht="12" customHeight="1">
      <c r="B98" s="2557" t="s">
        <v>199</v>
      </c>
      <c r="C98" s="2595">
        <f>'calcul-DCC-TX-Encais'!$BV$5</f>
        <v>13.714970299999987</v>
      </c>
      <c r="D98" s="2595">
        <f>'calcul-DCC-TX-Encais'!$AJ$21</f>
        <v>23.861970299999985</v>
      </c>
      <c r="E98" s="2595">
        <f>'Feuil-saisie'!$C$68/1000</f>
        <v>15.309970299999986</v>
      </c>
      <c r="F98" s="2595">
        <f>C98*0.283639089299864</f>
        <v>3.8901016856666786</v>
      </c>
      <c r="G98" s="2620">
        <f t="shared" si="29"/>
        <v>-8.5519999999999996</v>
      </c>
      <c r="H98" s="2621">
        <f t="shared" si="30"/>
        <v>-35.839454548311146</v>
      </c>
      <c r="I98" s="2620">
        <f t="shared" si="31"/>
        <v>11.419868614333307</v>
      </c>
      <c r="J98" s="2621">
        <f t="shared" si="32"/>
        <v>25.408943384212069</v>
      </c>
      <c r="K98" s="2553">
        <v>32.300902353954257</v>
      </c>
      <c r="L98" s="2553">
        <f>'calcul-DCC-TX-Encais'!$AJ$99</f>
        <v>10.892386338294852</v>
      </c>
      <c r="M98" s="2553">
        <f>'calcul-DCC-TX-Encais'!$BV$99</f>
        <v>16.964724023435213</v>
      </c>
      <c r="N98" s="2553">
        <f>M98-L98</f>
        <v>6.0723376851403614</v>
      </c>
      <c r="O98" s="2553">
        <f>M98-K98</f>
        <v>-15.336178330519044</v>
      </c>
    </row>
    <row r="99" spans="2:17" ht="12" customHeight="1">
      <c r="B99" s="2577" t="s">
        <v>612</v>
      </c>
      <c r="C99" s="2579">
        <f>C96+C95</f>
        <v>990.27735920999976</v>
      </c>
      <c r="D99" s="2579">
        <f>D96+D95</f>
        <v>1975.9394760800008</v>
      </c>
      <c r="E99" s="2579">
        <f>E95+E96</f>
        <v>2072.6230949199999</v>
      </c>
      <c r="F99" s="2578">
        <f>F95+F96</f>
        <v>520.2083775895627</v>
      </c>
      <c r="G99" s="2622">
        <f t="shared" si="29"/>
        <v>96.683618839999099</v>
      </c>
      <c r="H99" s="2623">
        <f t="shared" si="30"/>
        <v>4.8930455618917259</v>
      </c>
      <c r="I99" s="2622">
        <f t="shared" si="31"/>
        <v>1552.4147173304373</v>
      </c>
      <c r="J99" s="2623">
        <f t="shared" si="32"/>
        <v>25.099034111150921</v>
      </c>
      <c r="K99" s="2553"/>
      <c r="L99" s="2553"/>
      <c r="M99" s="2553"/>
      <c r="N99" s="2553"/>
      <c r="O99" s="2553"/>
    </row>
    <row r="100" spans="2:17" ht="12" customHeight="1">
      <c r="K100" s="2624"/>
      <c r="L100" s="2624"/>
      <c r="M100" s="2624"/>
      <c r="N100" s="2624"/>
      <c r="O100" s="2624"/>
    </row>
    <row r="101" spans="2:17" ht="12" customHeight="1">
      <c r="M101" s="2535"/>
    </row>
    <row r="102" spans="2:17" ht="12" customHeight="1">
      <c r="B102" s="2539" t="s">
        <v>8</v>
      </c>
      <c r="C102" s="3212" t="s">
        <v>281</v>
      </c>
      <c r="D102" s="3213"/>
      <c r="E102" s="3213"/>
      <c r="F102" s="3214"/>
      <c r="G102" s="3215" t="s">
        <v>597</v>
      </c>
      <c r="H102" s="3216"/>
      <c r="I102" s="2545" t="s">
        <v>598</v>
      </c>
      <c r="J102" s="2546"/>
      <c r="K102" s="2547" t="s">
        <v>358</v>
      </c>
      <c r="L102" s="2548"/>
      <c r="M102" s="2548"/>
      <c r="N102" s="2548"/>
      <c r="O102" s="2549"/>
    </row>
    <row r="103" spans="2:17" ht="12" customHeight="1">
      <c r="B103" s="2550"/>
      <c r="C103" s="2551">
        <f>C73</f>
        <v>45291</v>
      </c>
      <c r="D103" s="2551">
        <f t="shared" ref="D103:O103" si="33">D73</f>
        <v>45139</v>
      </c>
      <c r="E103" s="2551">
        <f t="shared" si="33"/>
        <v>45505</v>
      </c>
      <c r="F103" s="2552" t="str">
        <f t="shared" si="33"/>
        <v>Obj 2024</v>
      </c>
      <c r="G103" s="2552" t="str">
        <f t="shared" si="33"/>
        <v>MDA</v>
      </c>
      <c r="H103" s="2552" t="str">
        <f t="shared" si="33"/>
        <v>%</v>
      </c>
      <c r="I103" s="2552" t="str">
        <f t="shared" si="33"/>
        <v>MDA</v>
      </c>
      <c r="J103" s="2552" t="str">
        <f t="shared" si="33"/>
        <v>%</v>
      </c>
      <c r="K103" s="2551">
        <f t="shared" si="33"/>
        <v>45291</v>
      </c>
      <c r="L103" s="2551">
        <f>L73</f>
        <v>45139</v>
      </c>
      <c r="M103" s="2551">
        <f>M73</f>
        <v>45505</v>
      </c>
      <c r="N103" s="2553" t="str">
        <f t="shared" si="33"/>
        <v>écart mois</v>
      </c>
      <c r="O103" s="2553" t="str">
        <f t="shared" si="33"/>
        <v>écart année</v>
      </c>
    </row>
    <row r="104" spans="2:17" ht="12" customHeight="1">
      <c r="B104" s="2589" t="s">
        <v>277</v>
      </c>
      <c r="C104" s="2590">
        <f>'calcul-DCC-TX-Encais'!$AO$6</f>
        <v>268.41853426000057</v>
      </c>
      <c r="D104" s="2590">
        <f>'calcul-DCC-TX-Encais'!$C$22</f>
        <v>599.67250341999988</v>
      </c>
      <c r="E104" s="2590">
        <f>E105+E106</f>
        <v>558.77068796000083</v>
      </c>
      <c r="F104" s="2590">
        <f>F105+F106</f>
        <v>260.98866381541671</v>
      </c>
      <c r="G104" s="2591">
        <f t="shared" ref="G104:G119" si="34">E104-D104</f>
        <v>-40.901815459999057</v>
      </c>
      <c r="H104" s="2592">
        <f t="shared" ref="H104:H119" si="35">((E104-D104)/D104)*100</f>
        <v>-6.8206921655956192</v>
      </c>
      <c r="I104" s="2591">
        <f t="shared" ref="I104:I119" si="36">E104-F104</f>
        <v>297.78202414458411</v>
      </c>
      <c r="J104" s="2592">
        <f t="shared" ref="J104:J119" si="37">F104/E104*100</f>
        <v>46.70765117766868</v>
      </c>
      <c r="K104" s="2593">
        <v>23.649299124988975</v>
      </c>
      <c r="L104" s="2593">
        <f>'calcul-DCC-TX-Encais'!$C$100</f>
        <v>47.197710035135984</v>
      </c>
      <c r="M104" s="2593">
        <f>'calcul-DCC-TX-Encais'!$AO$100</f>
        <v>45.022305849358787</v>
      </c>
      <c r="N104" s="2593">
        <f>M104-L104</f>
        <v>-2.1754041857771966</v>
      </c>
      <c r="O104" s="2593">
        <f>M104-K104</f>
        <v>21.373006724369812</v>
      </c>
      <c r="P104" s="2534">
        <v>377.67899572178879</v>
      </c>
    </row>
    <row r="105" spans="2:17" ht="12" customHeight="1">
      <c r="B105" s="2594" t="s">
        <v>609</v>
      </c>
      <c r="C105" s="2595">
        <f>'enc-ag'!D38</f>
        <v>190.56071314000002</v>
      </c>
      <c r="D105" s="2595">
        <f>'enc-ag'!N38</f>
        <v>538.41600132999997</v>
      </c>
      <c r="E105" s="2595">
        <f>'Feuil-saisie'!C73/1000</f>
        <v>484.43871635000085</v>
      </c>
      <c r="F105" s="2595">
        <f>C105*0.972319830800555</f>
        <v>185.28596035751789</v>
      </c>
      <c r="G105" s="2596">
        <f t="shared" si="34"/>
        <v>-53.977284979999126</v>
      </c>
      <c r="H105" s="2597">
        <f t="shared" si="35"/>
        <v>-10.025200745643509</v>
      </c>
      <c r="I105" s="2596">
        <f t="shared" si="36"/>
        <v>299.15275599248298</v>
      </c>
      <c r="J105" s="2597">
        <f t="shared" si="37"/>
        <v>38.247554149584346</v>
      </c>
      <c r="K105" s="2553">
        <v>73.950868643519712</v>
      </c>
      <c r="L105" s="2553">
        <f>'enc-ag'!P38</f>
        <v>42.37646742867684</v>
      </c>
      <c r="M105" s="2553">
        <f>'enc-ag'!J71</f>
        <v>121.51019268999778</v>
      </c>
      <c r="N105" s="2553">
        <f>M105-L105</f>
        <v>79.133725261320933</v>
      </c>
      <c r="O105" s="2553">
        <f>M105-K105</f>
        <v>47.559324046478068</v>
      </c>
      <c r="P105" s="2534">
        <f>F105/F104</f>
        <v>0.70993872932565649</v>
      </c>
      <c r="Q105" s="2534">
        <f>P104*P105</f>
        <v>268.1289463157168</v>
      </c>
    </row>
    <row r="106" spans="2:17" ht="12" customHeight="1">
      <c r="B106" s="2594" t="s">
        <v>279</v>
      </c>
      <c r="C106" s="2595">
        <f>C104-C105</f>
        <v>77.857821120000551</v>
      </c>
      <c r="D106" s="2595">
        <f>D104-D105</f>
        <v>61.256502089999913</v>
      </c>
      <c r="E106" s="2595">
        <f>'Feuil-saisie'!C74/1000</f>
        <v>74.331971609999997</v>
      </c>
      <c r="F106" s="2595">
        <f>C106*0.972319830800555</f>
        <v>75.702703457898807</v>
      </c>
      <c r="G106" s="2596">
        <f t="shared" si="34"/>
        <v>13.075469520000084</v>
      </c>
      <c r="H106" s="2597">
        <f t="shared" si="35"/>
        <v>21.345439380115447</v>
      </c>
      <c r="I106" s="2596">
        <f t="shared" si="36"/>
        <v>-1.37073184789881</v>
      </c>
      <c r="J106" s="2597">
        <f t="shared" si="37"/>
        <v>101.84406765784537</v>
      </c>
      <c r="K106" s="2553"/>
      <c r="L106" s="2553"/>
      <c r="M106" s="2553"/>
      <c r="N106" s="2553"/>
      <c r="O106" s="2553"/>
      <c r="P106" s="2534">
        <f>1-P105</f>
        <v>0.29006127067434351</v>
      </c>
      <c r="Q106" s="2534">
        <f>P104*P106</f>
        <v>109.55004940607201</v>
      </c>
    </row>
    <row r="107" spans="2:17" ht="12" customHeight="1">
      <c r="B107" s="2598" t="s">
        <v>1181</v>
      </c>
      <c r="C107" s="2590">
        <f>C108+C111</f>
        <v>55.007800469999964</v>
      </c>
      <c r="D107" s="2590">
        <f>D108+D111</f>
        <v>278.58414844999999</v>
      </c>
      <c r="E107" s="2590">
        <f>E108+E111</f>
        <v>265.35587315999999</v>
      </c>
      <c r="F107" s="2590">
        <f>F108+F111</f>
        <v>29.596717367153147</v>
      </c>
      <c r="G107" s="2591">
        <f t="shared" si="34"/>
        <v>-13.228275289999999</v>
      </c>
      <c r="H107" s="2592">
        <f t="shared" si="35"/>
        <v>-4.7483948256209549</v>
      </c>
      <c r="I107" s="2591">
        <f t="shared" si="36"/>
        <v>235.75915579284685</v>
      </c>
      <c r="J107" s="2592">
        <f t="shared" si="37"/>
        <v>11.153594233547413</v>
      </c>
      <c r="K107" s="2593">
        <v>28.924407237042974</v>
      </c>
      <c r="L107" s="2593">
        <f>'calcul-DCC-TX-Encais'!$H$116</f>
        <v>133.78713897967003</v>
      </c>
      <c r="M107" s="2593">
        <f>'calcul-DCC-TX-Encais'!$AT$150</f>
        <v>114.47697651801475</v>
      </c>
      <c r="N107" s="2593">
        <f t="shared" ref="N107:N116" si="38">M107-L107</f>
        <v>-19.310162461655281</v>
      </c>
      <c r="O107" s="2593">
        <f t="shared" ref="O107:O116" si="39">M107-K107</f>
        <v>85.552569280971781</v>
      </c>
    </row>
    <row r="108" spans="2:17" ht="12" customHeight="1">
      <c r="B108" s="2557" t="s">
        <v>18</v>
      </c>
      <c r="C108" s="2595">
        <f>'calcul-DCC-TX-Encais'!$AU$6</f>
        <v>51.125356579999966</v>
      </c>
      <c r="D108" s="2595">
        <f>'calcul-DCC-TX-Encais'!$I$22</f>
        <v>263.54263537999998</v>
      </c>
      <c r="E108" s="2595">
        <f>'Feuil-saisie'!C76/1000</f>
        <v>251.78944397999999</v>
      </c>
      <c r="F108" s="2595">
        <f>C108*0.516289196146854</f>
        <v>26.395469251409455</v>
      </c>
      <c r="G108" s="2596">
        <f t="shared" si="34"/>
        <v>-11.753191399999992</v>
      </c>
      <c r="H108" s="2597">
        <f t="shared" si="35"/>
        <v>-4.4596925970073729</v>
      </c>
      <c r="I108" s="2596">
        <f t="shared" si="36"/>
        <v>225.39397472859054</v>
      </c>
      <c r="J108" s="2597">
        <f t="shared" si="37"/>
        <v>10.483151650116868</v>
      </c>
      <c r="K108" s="2553">
        <v>31.800694149952928</v>
      </c>
      <c r="L108" s="2553">
        <f>'calcul-DCC-TX-Encais'!$I$100</f>
        <v>146.939907321959</v>
      </c>
      <c r="M108" s="2553">
        <f>'calcul-DCC-TX-Encais'!$AU$100</f>
        <v>125.91168616992712</v>
      </c>
      <c r="N108" s="2553">
        <f t="shared" si="38"/>
        <v>-21.028221152031875</v>
      </c>
      <c r="O108" s="2553">
        <f t="shared" si="39"/>
        <v>94.110992019974191</v>
      </c>
    </row>
    <row r="109" spans="2:17" ht="12" customHeight="1">
      <c r="B109" s="2563" t="s">
        <v>1101</v>
      </c>
      <c r="C109" s="2599">
        <f>'calcul-DCC-TX-Encais'!$BF$6</f>
        <v>0</v>
      </c>
      <c r="D109" s="2599">
        <f>'calcul-DCC-TX-Encais'!$T$22</f>
        <v>0</v>
      </c>
      <c r="E109" s="2599">
        <f>'calcul-DCC-TX-Encais'!$BF$22</f>
        <v>0</v>
      </c>
      <c r="F109" s="2599"/>
      <c r="G109" s="2600"/>
      <c r="H109" s="2601"/>
      <c r="I109" s="2600"/>
      <c r="J109" s="2601"/>
      <c r="K109" s="2564"/>
      <c r="L109" s="2564"/>
      <c r="M109" s="2564"/>
      <c r="N109" s="2564"/>
      <c r="O109" s="2564"/>
    </row>
    <row r="110" spans="2:17" ht="12" customHeight="1">
      <c r="B110" s="2563" t="s">
        <v>1102</v>
      </c>
      <c r="C110" s="2599">
        <f>C108-C109</f>
        <v>51.125356579999966</v>
      </c>
      <c r="D110" s="2599">
        <f>D108-D109</f>
        <v>263.54263537999998</v>
      </c>
      <c r="E110" s="2599">
        <f>E108-E109</f>
        <v>251.78944397999999</v>
      </c>
      <c r="F110" s="2599">
        <f>F108-F109</f>
        <v>26.395469251409455</v>
      </c>
      <c r="G110" s="2600"/>
      <c r="H110" s="2601"/>
      <c r="I110" s="2600"/>
      <c r="J110" s="2601"/>
      <c r="K110" s="2564"/>
      <c r="L110" s="2564"/>
      <c r="M110" s="2564"/>
      <c r="N110" s="2564"/>
      <c r="O110" s="2564"/>
    </row>
    <row r="111" spans="2:17" ht="12" customHeight="1">
      <c r="B111" s="2557" t="s">
        <v>185</v>
      </c>
      <c r="C111" s="2595">
        <f>'calcul-DCC-TX-Encais'!$AQ$6</f>
        <v>3.8824438899999949</v>
      </c>
      <c r="D111" s="2595">
        <f>'calcul-DCC-TX-Encais'!$E$22</f>
        <v>15.041513070000001</v>
      </c>
      <c r="E111" s="2595">
        <f>'Feuil-saisie'!C77/1000</f>
        <v>13.566429179999991</v>
      </c>
      <c r="F111" s="2595">
        <f>C111*0.824544592644118</f>
        <v>3.2012481157436903</v>
      </c>
      <c r="G111" s="2596">
        <f t="shared" si="34"/>
        <v>-1.4750838900000094</v>
      </c>
      <c r="H111" s="2597">
        <f t="shared" si="35"/>
        <v>-9.8067520410698243</v>
      </c>
      <c r="I111" s="2596">
        <f t="shared" si="36"/>
        <v>10.365181064256301</v>
      </c>
      <c r="J111" s="2597">
        <f t="shared" si="37"/>
        <v>23.596836523962104</v>
      </c>
      <c r="K111" s="2553">
        <v>13.201215869549788</v>
      </c>
      <c r="L111" s="2553">
        <f>'calcul-DCC-TX-Encais'!$E$100</f>
        <v>52.091151516781729</v>
      </c>
      <c r="M111" s="2553">
        <f>'calcul-DCC-TX-Encais'!$AQ$100</f>
        <v>42.627664904010558</v>
      </c>
      <c r="N111" s="2553">
        <f t="shared" si="38"/>
        <v>-9.4634866127711703</v>
      </c>
      <c r="O111" s="2553">
        <f t="shared" si="39"/>
        <v>29.42644903446077</v>
      </c>
    </row>
    <row r="112" spans="2:17" ht="12" customHeight="1">
      <c r="B112" s="2563" t="s">
        <v>1103</v>
      </c>
      <c r="C112" s="2599">
        <f>'calcul-DCC-TX-Encais'!$BE$6</f>
        <v>3.2170000000000001</v>
      </c>
      <c r="D112" s="2599">
        <f>'calcul-DCC-TX-Encais'!$S$22</f>
        <v>8.7228999999999992</v>
      </c>
      <c r="E112" s="2599">
        <f>'calcul-DCC-TX-Encais'!$BE$22</f>
        <v>8.9441671300000003</v>
      </c>
      <c r="F112" s="2599"/>
      <c r="G112" s="2600"/>
      <c r="H112" s="2601"/>
      <c r="I112" s="2600"/>
      <c r="J112" s="2601"/>
      <c r="K112" s="2564"/>
      <c r="L112" s="2564"/>
      <c r="M112" s="2564"/>
      <c r="N112" s="2564"/>
      <c r="O112" s="2564"/>
    </row>
    <row r="113" spans="2:15" ht="12" customHeight="1">
      <c r="B113" s="2563" t="s">
        <v>1104</v>
      </c>
      <c r="C113" s="2599">
        <f>C111-C112</f>
        <v>0.66544388999999482</v>
      </c>
      <c r="D113" s="2599">
        <f>D111-D112</f>
        <v>6.3186130700000014</v>
      </c>
      <c r="E113" s="2599">
        <f>E111-E112</f>
        <v>4.6222620499999909</v>
      </c>
      <c r="F113" s="2599"/>
      <c r="G113" s="2600"/>
      <c r="H113" s="2601"/>
      <c r="I113" s="2600"/>
      <c r="J113" s="2601"/>
      <c r="K113" s="2564"/>
      <c r="L113" s="2564"/>
      <c r="M113" s="2564"/>
      <c r="N113" s="2564"/>
      <c r="O113" s="2564"/>
    </row>
    <row r="114" spans="2:15" ht="12" customHeight="1">
      <c r="B114" s="2589" t="s">
        <v>278</v>
      </c>
      <c r="C114" s="2590">
        <f>C115+C118</f>
        <v>276.2401472520001</v>
      </c>
      <c r="D114" s="2590">
        <f>D115+D118</f>
        <v>487.45221466999999</v>
      </c>
      <c r="E114" s="2590">
        <f>E115+E118</f>
        <v>663.98323023000012</v>
      </c>
      <c r="F114" s="2590">
        <f>F115+F118</f>
        <v>99.658906181125033</v>
      </c>
      <c r="G114" s="2591">
        <f t="shared" si="34"/>
        <v>176.53101556000013</v>
      </c>
      <c r="H114" s="2592">
        <f t="shared" si="35"/>
        <v>36.215040212610326</v>
      </c>
      <c r="I114" s="2591">
        <f t="shared" si="36"/>
        <v>564.32432404887504</v>
      </c>
      <c r="J114" s="2592">
        <f t="shared" si="37"/>
        <v>15.009250481612876</v>
      </c>
      <c r="K114" s="2593">
        <v>88.795152565636869</v>
      </c>
      <c r="L114" s="2593">
        <f>'calcul-DCC-TX-Encais'!$E$116</f>
        <v>158.45126343806839</v>
      </c>
      <c r="M114" s="2593">
        <f>'calcul-DCC-TX-Encais'!$AQ$150</f>
        <v>214.39624663461814</v>
      </c>
      <c r="N114" s="2593">
        <f t="shared" si="38"/>
        <v>55.944983196549742</v>
      </c>
      <c r="O114" s="2593">
        <f t="shared" si="39"/>
        <v>125.60109406898127</v>
      </c>
    </row>
    <row r="115" spans="2:15" ht="12" customHeight="1">
      <c r="B115" s="2594" t="s">
        <v>554</v>
      </c>
      <c r="C115" s="2602">
        <f>'calcul-DCC-TX-Encais'!$AP$6</f>
        <v>238.69598236000002</v>
      </c>
      <c r="D115" s="2602">
        <f>'calcul-DCC-TX-Encais'!$D$22</f>
        <v>306.63920199</v>
      </c>
      <c r="E115" s="2602">
        <f>'Feuil-saisie'!C80/1000</f>
        <v>495.46004759000004</v>
      </c>
      <c r="F115" s="2602">
        <f>C115*0.315515773988161</f>
        <v>75.312347622179828</v>
      </c>
      <c r="G115" s="2603">
        <f t="shared" si="34"/>
        <v>188.82084560000004</v>
      </c>
      <c r="H115" s="2604">
        <f t="shared" si="35"/>
        <v>61.577529674812347</v>
      </c>
      <c r="I115" s="2603">
        <f t="shared" si="36"/>
        <v>420.14769996782024</v>
      </c>
      <c r="J115" s="2604">
        <f t="shared" si="37"/>
        <v>15.200488513354729</v>
      </c>
      <c r="K115" s="2553">
        <v>122.18202489371281</v>
      </c>
      <c r="L115" s="2553">
        <f>'calcul-DCC-TX-Encais'!$D$100</f>
        <v>162.735538109473</v>
      </c>
      <c r="M115" s="2553">
        <f>'calcul-DCC-TX-Encais'!$AP$100</f>
        <v>254.25997579299559</v>
      </c>
      <c r="N115" s="2553">
        <f t="shared" si="38"/>
        <v>91.524437683522592</v>
      </c>
      <c r="O115" s="2553">
        <f t="shared" si="39"/>
        <v>132.07795089928277</v>
      </c>
    </row>
    <row r="116" spans="2:15" ht="12" customHeight="1">
      <c r="B116" s="2605" t="s">
        <v>295</v>
      </c>
      <c r="C116" s="2606">
        <f>C115-C117</f>
        <v>13.640624703000043</v>
      </c>
      <c r="D116" s="2606">
        <f>D115-D117</f>
        <v>26.925256689999969</v>
      </c>
      <c r="E116" s="2606">
        <f>E115-E117</f>
        <v>21.908920250000051</v>
      </c>
      <c r="F116" s="2606">
        <f>C116*0.315515773988161</f>
        <v>4.3038322608490871</v>
      </c>
      <c r="G116" s="2607">
        <f t="shared" si="34"/>
        <v>-5.0163364399999182</v>
      </c>
      <c r="H116" s="2608">
        <f t="shared" si="35"/>
        <v>-18.630598392263366</v>
      </c>
      <c r="I116" s="2607">
        <f t="shared" si="36"/>
        <v>17.605087989150963</v>
      </c>
      <c r="J116" s="2608">
        <f t="shared" si="37"/>
        <v>19.644200680538226</v>
      </c>
      <c r="K116" s="2553">
        <v>16.489273032446974</v>
      </c>
      <c r="L116" s="2553">
        <f>'calcul-DCC-TX-Encais'!$V$100</f>
        <v>14.289419316730831</v>
      </c>
      <c r="M116" s="2553">
        <f>'calcul-DCC-TX-Encais'!$BH$100</f>
        <v>22.058506199936875</v>
      </c>
      <c r="N116" s="2553">
        <f t="shared" si="38"/>
        <v>7.7690868832060449</v>
      </c>
      <c r="O116" s="2553">
        <f t="shared" si="39"/>
        <v>5.5692331674899016</v>
      </c>
    </row>
    <row r="117" spans="2:15" ht="12" customHeight="1">
      <c r="B117" s="2605" t="s">
        <v>296</v>
      </c>
      <c r="C117" s="2606">
        <f>'calcul-DCC-TX-Encais'!$BB$6</f>
        <v>225.05535765699997</v>
      </c>
      <c r="D117" s="2606">
        <f>'calcul-DCC-TX-Encais'!$P$22</f>
        <v>279.71394530000003</v>
      </c>
      <c r="E117" s="2606">
        <f>'Feuil-saisie'!C81/1000</f>
        <v>473.55112733999999</v>
      </c>
      <c r="F117" s="2606">
        <f>F115-F116</f>
        <v>71.008515361330737</v>
      </c>
      <c r="G117" s="2607">
        <f t="shared" si="34"/>
        <v>193.83718203999996</v>
      </c>
      <c r="H117" s="2608">
        <f t="shared" si="35"/>
        <v>69.298361878992083</v>
      </c>
      <c r="I117" s="2607">
        <f t="shared" si="36"/>
        <v>402.54261197866924</v>
      </c>
      <c r="J117" s="2608">
        <f t="shared" si="37"/>
        <v>14.994899444162463</v>
      </c>
      <c r="K117" s="2553"/>
      <c r="L117" s="2553"/>
      <c r="M117" s="2553"/>
      <c r="N117" s="2553"/>
      <c r="O117" s="2553"/>
    </row>
    <row r="118" spans="2:15" ht="12" customHeight="1">
      <c r="B118" s="2562" t="s">
        <v>603</v>
      </c>
      <c r="C118" s="2595">
        <f>'calcul-DCC-TX-Encais'!$AT$6</f>
        <v>37.54416489200009</v>
      </c>
      <c r="D118" s="2595">
        <f>'calcul-DCC-TX-Encais'!$H$22</f>
        <v>180.81301267999999</v>
      </c>
      <c r="E118" s="2595">
        <f>'Feuil-saisie'!C79/1000</f>
        <v>168.5231826400001</v>
      </c>
      <c r="F118" s="2595">
        <f>C118*0.648477829483776</f>
        <v>24.346558558945201</v>
      </c>
      <c r="G118" s="2596">
        <f t="shared" si="34"/>
        <v>-12.289830039999885</v>
      </c>
      <c r="H118" s="2609">
        <f t="shared" si="35"/>
        <v>-6.7969831694305274</v>
      </c>
      <c r="I118" s="2596">
        <f t="shared" si="36"/>
        <v>144.17662408105491</v>
      </c>
      <c r="J118" s="2609">
        <f t="shared" si="37"/>
        <v>14.447008522830012</v>
      </c>
      <c r="K118" s="2553">
        <v>32.439132728178969</v>
      </c>
      <c r="L118" s="2553">
        <f>'calcul-DCC-TX-Encais'!$H$100</f>
        <v>151.67923123742023</v>
      </c>
      <c r="M118" s="2553">
        <f>'calcul-DCC-TX-Encais'!$AT$100</f>
        <v>146.75177886024053</v>
      </c>
      <c r="N118" s="2553">
        <f>M118-L118</f>
        <v>-4.9274523771796908</v>
      </c>
      <c r="O118" s="2553">
        <f>M118-K118</f>
        <v>114.31264613206156</v>
      </c>
    </row>
    <row r="119" spans="2:15" ht="12" customHeight="1">
      <c r="B119" s="2567" t="s">
        <v>915</v>
      </c>
      <c r="C119" s="2610">
        <f>C118-C120</f>
        <v>37.54416489200009</v>
      </c>
      <c r="D119" s="2610">
        <f>D118-D120</f>
        <v>119.09932570000001</v>
      </c>
      <c r="E119" s="2610">
        <f>E118-E120</f>
        <v>96.700626310000089</v>
      </c>
      <c r="F119" s="2595">
        <f>C119*0.648477829483776</f>
        <v>24.346558558945201</v>
      </c>
      <c r="G119" s="2596">
        <f t="shared" si="34"/>
        <v>-22.398699389999919</v>
      </c>
      <c r="H119" s="2609">
        <f t="shared" si="35"/>
        <v>-18.806739046046435</v>
      </c>
      <c r="I119" s="2596">
        <f t="shared" si="36"/>
        <v>72.354067751054885</v>
      </c>
      <c r="J119" s="2609">
        <f t="shared" si="37"/>
        <v>25.177250125449763</v>
      </c>
      <c r="K119" s="2569"/>
      <c r="L119" s="2569"/>
      <c r="M119" s="2569"/>
      <c r="N119" s="2569"/>
      <c r="O119" s="2569"/>
    </row>
    <row r="120" spans="2:15" ht="12" customHeight="1">
      <c r="B120" s="2567" t="s">
        <v>916</v>
      </c>
      <c r="C120" s="2610">
        <f>'calcul-DCC-TX-Encais'!$BD$6</f>
        <v>0</v>
      </c>
      <c r="D120" s="2610">
        <f>'calcul-DCC-TX-Encais'!$R$22</f>
        <v>61.71368697999997</v>
      </c>
      <c r="E120" s="2610">
        <f>'Feuil-saisie'!C83/1000</f>
        <v>71.822556330000012</v>
      </c>
      <c r="F120" s="2610">
        <f>F118-F119</f>
        <v>0</v>
      </c>
      <c r="G120" s="2611"/>
      <c r="H120" s="2612"/>
      <c r="I120" s="2611"/>
      <c r="J120" s="2612"/>
      <c r="K120" s="2569"/>
      <c r="L120" s="2569"/>
      <c r="M120" s="2569"/>
      <c r="N120" s="2569"/>
      <c r="O120" s="2569"/>
    </row>
    <row r="121" spans="2:15" ht="12" customHeight="1">
      <c r="B121" s="2589" t="s">
        <v>613</v>
      </c>
      <c r="C121" s="2590">
        <f>C104+C107+C114</f>
        <v>599.66648198200062</v>
      </c>
      <c r="D121" s="2590">
        <f>D104+D107+D114</f>
        <v>1365.7088665399997</v>
      </c>
      <c r="E121" s="2590">
        <f>E104+E107+E114</f>
        <v>1488.1097913500009</v>
      </c>
      <c r="F121" s="2590">
        <f>F104+F107+F114</f>
        <v>390.24428736369487</v>
      </c>
      <c r="G121" s="2591">
        <f t="shared" ref="G121:G129" si="40">E121-D121</f>
        <v>122.40092481000124</v>
      </c>
      <c r="H121" s="2604">
        <f t="shared" ref="H121:H129" si="41">((E121-D121)/D121)*100</f>
        <v>8.9624463755662589</v>
      </c>
      <c r="I121" s="2591">
        <f t="shared" ref="I121:I129" si="42">E121-F121</f>
        <v>1097.8655039863061</v>
      </c>
      <c r="J121" s="2604">
        <f t="shared" ref="J121:J129" si="43">F121/E121*100</f>
        <v>26.224159644139462</v>
      </c>
      <c r="K121" s="2593">
        <v>36.368129228474317</v>
      </c>
      <c r="L121" s="2593">
        <f>'calcul-DCC-TX-Encais'!$K$100</f>
        <v>75.425733313032197</v>
      </c>
      <c r="M121" s="2593">
        <f>'calcul-DCC-TX-Encais'!$AW$100</f>
        <v>81.855017809682494</v>
      </c>
      <c r="N121" s="2593">
        <f>M121-L121</f>
        <v>6.4292844966502969</v>
      </c>
      <c r="O121" s="2593">
        <f>M121-K121</f>
        <v>45.486888581208177</v>
      </c>
    </row>
    <row r="122" spans="2:15" ht="12" customHeight="1">
      <c r="B122" s="2613" t="s">
        <v>611</v>
      </c>
      <c r="C122" s="2614">
        <f>C123+C124</f>
        <v>343.5395387800001</v>
      </c>
      <c r="D122" s="2614">
        <f>D123+D124</f>
        <v>258.47030289000003</v>
      </c>
      <c r="E122" s="2614">
        <f>E123+E124</f>
        <v>776.81272834999629</v>
      </c>
      <c r="F122" s="2614">
        <f>F123+F124</f>
        <v>21.866063434457121</v>
      </c>
      <c r="G122" s="2603">
        <f t="shared" si="40"/>
        <v>518.34242545999632</v>
      </c>
      <c r="H122" s="2604">
        <f t="shared" si="41"/>
        <v>200.54235231836009</v>
      </c>
      <c r="I122" s="2603">
        <f t="shared" si="42"/>
        <v>754.94666491553915</v>
      </c>
      <c r="J122" s="2604">
        <f t="shared" si="43"/>
        <v>2.8148436085621493</v>
      </c>
      <c r="K122" s="2553"/>
      <c r="L122" s="2553"/>
      <c r="M122" s="2553"/>
      <c r="N122" s="2553"/>
      <c r="O122" s="2553"/>
    </row>
    <row r="123" spans="2:15" ht="12" customHeight="1">
      <c r="B123" s="2615" t="s">
        <v>318</v>
      </c>
      <c r="C123" s="2595">
        <f>'calcul-DCC-TX-Encais'!$AX$6</f>
        <v>335.9196585900001</v>
      </c>
      <c r="D123" s="2595">
        <f>'calcul-DCC-TX-Encais'!$L$22</f>
        <v>250.85398080000002</v>
      </c>
      <c r="E123" s="2595">
        <f>'Feuil-saisie'!C88/1000</f>
        <v>769.19647291999627</v>
      </c>
      <c r="F123" s="2595">
        <f>C123*0.0578745895135454</f>
        <v>19.441212350426571</v>
      </c>
      <c r="G123" s="2596">
        <f t="shared" si="40"/>
        <v>518.34249211999622</v>
      </c>
      <c r="H123" s="2616">
        <f t="shared" si="41"/>
        <v>206.63116067241464</v>
      </c>
      <c r="I123" s="2596">
        <f t="shared" si="42"/>
        <v>749.75526056956971</v>
      </c>
      <c r="J123" s="2616">
        <f t="shared" si="43"/>
        <v>2.5274702933340989</v>
      </c>
      <c r="K123" s="2553"/>
      <c r="L123" s="2553"/>
      <c r="M123" s="2553"/>
      <c r="N123" s="2553"/>
      <c r="O123" s="2553"/>
    </row>
    <row r="124" spans="2:15" ht="12" customHeight="1">
      <c r="B124" s="2615" t="s">
        <v>319</v>
      </c>
      <c r="C124" s="2595">
        <f>'calcul-DCC-TX-Encais'!$AY$6</f>
        <v>7.6198801900000008</v>
      </c>
      <c r="D124" s="2595">
        <f>'calcul-DCC-TX-Encais'!$M$22</f>
        <v>7.6163220899999997</v>
      </c>
      <c r="E124" s="2595">
        <f>'Feuil-saisie'!C89/1000</f>
        <v>7.6162554299999989</v>
      </c>
      <c r="F124" s="2595">
        <f>C124*0.318226930551063</f>
        <v>2.4248510840305508</v>
      </c>
      <c r="G124" s="2596">
        <f t="shared" si="40"/>
        <v>-6.6660000000773323E-5</v>
      </c>
      <c r="H124" s="2616">
        <f t="shared" si="41"/>
        <v>-8.7522559068629576E-4</v>
      </c>
      <c r="I124" s="2596">
        <f t="shared" si="42"/>
        <v>5.1914043459694481</v>
      </c>
      <c r="J124" s="2616">
        <f t="shared" si="43"/>
        <v>31.83783824370175</v>
      </c>
      <c r="K124" s="2553"/>
      <c r="L124" s="2553"/>
      <c r="M124" s="2553"/>
      <c r="N124" s="2553"/>
      <c r="O124" s="2553"/>
    </row>
    <row r="125" spans="2:15" ht="12" customHeight="1">
      <c r="B125" s="2617" t="s">
        <v>606</v>
      </c>
      <c r="C125" s="2618">
        <f>C121+C122</f>
        <v>943.20602076200066</v>
      </c>
      <c r="D125" s="2618">
        <f>D121+D122</f>
        <v>1624.1791694299998</v>
      </c>
      <c r="E125" s="2618">
        <f>E121+E122</f>
        <v>2264.9225196999973</v>
      </c>
      <c r="F125" s="2618">
        <f>F121+F122</f>
        <v>412.11035079815201</v>
      </c>
      <c r="G125" s="2596">
        <f t="shared" si="40"/>
        <v>640.74335026999756</v>
      </c>
      <c r="H125" s="2616">
        <f t="shared" si="41"/>
        <v>39.450287402396881</v>
      </c>
      <c r="I125" s="2596">
        <f t="shared" si="42"/>
        <v>1852.8121689018453</v>
      </c>
      <c r="J125" s="2616">
        <f t="shared" si="43"/>
        <v>18.195339894131944</v>
      </c>
      <c r="K125" s="2553"/>
      <c r="L125" s="2553"/>
      <c r="M125" s="2553"/>
      <c r="N125" s="2553"/>
      <c r="O125" s="2553"/>
    </row>
    <row r="126" spans="2:15" ht="12" customHeight="1">
      <c r="B126" s="2619" t="s">
        <v>607</v>
      </c>
      <c r="C126" s="2590">
        <f>C127+C128</f>
        <v>12.958085540000001</v>
      </c>
      <c r="D126" s="2590">
        <f>D127+D128</f>
        <v>18.899909079999993</v>
      </c>
      <c r="E126" s="2590">
        <f>E127+E128</f>
        <v>16.583006649999994</v>
      </c>
      <c r="F126" s="2590">
        <f>F127+F128</f>
        <v>3.6754195816353366</v>
      </c>
      <c r="G126" s="2591">
        <f t="shared" si="40"/>
        <v>-2.316902429999999</v>
      </c>
      <c r="H126" s="2604">
        <f t="shared" si="41"/>
        <v>-12.258801987845329</v>
      </c>
      <c r="I126" s="2591">
        <f t="shared" si="42"/>
        <v>12.907587068364657</v>
      </c>
      <c r="J126" s="2604">
        <f t="shared" si="43"/>
        <v>22.163770775761812</v>
      </c>
      <c r="K126" s="2593">
        <v>26.504851449827456</v>
      </c>
      <c r="L126" s="2593">
        <f>'calcul-DCC-TX-Encais'!$AK$100</f>
        <v>24.513977116164842</v>
      </c>
      <c r="M126" s="2593">
        <f>'calcul-DCC-TX-Encais'!$BW$100</f>
        <v>29.80070104375055</v>
      </c>
      <c r="N126" s="2593">
        <f>M126-L126</f>
        <v>5.2867239275857081</v>
      </c>
      <c r="O126" s="2593">
        <f>M126-K126</f>
        <v>3.2958495939230943</v>
      </c>
    </row>
    <row r="127" spans="2:15" ht="12" customHeight="1">
      <c r="B127" s="2557" t="s">
        <v>198</v>
      </c>
      <c r="C127" s="2595">
        <f>'calcul-DCC-TX-Encais'!$BU$6</f>
        <v>0</v>
      </c>
      <c r="D127" s="2595">
        <f>'calcul-DCC-TX-Encais'!$AI$22</f>
        <v>6.7049648199999936</v>
      </c>
      <c r="E127" s="2595">
        <f>'Feuil-saisie'!$C$91/1000</f>
        <v>0</v>
      </c>
      <c r="F127" s="2595">
        <f>C127*0.283639089299864</f>
        <v>0</v>
      </c>
      <c r="G127" s="2620">
        <f t="shared" si="40"/>
        <v>-6.7049648199999936</v>
      </c>
      <c r="H127" s="2621">
        <f t="shared" si="41"/>
        <v>-100</v>
      </c>
      <c r="I127" s="2620">
        <f t="shared" si="42"/>
        <v>0</v>
      </c>
      <c r="J127" s="2621" t="e">
        <f t="shared" si="43"/>
        <v>#DIV/0!</v>
      </c>
      <c r="K127" s="2553">
        <v>0</v>
      </c>
      <c r="L127" s="2553">
        <f>'calcul-DCC-TX-Encais'!$AI$100</f>
        <v>0</v>
      </c>
      <c r="M127" s="2553">
        <f>'calcul-DCC-TX-Encais'!$BU$100</f>
        <v>0</v>
      </c>
      <c r="N127" s="2553">
        <f>M127-L127</f>
        <v>0</v>
      </c>
      <c r="O127" s="2553">
        <f>M127-K127</f>
        <v>0</v>
      </c>
    </row>
    <row r="128" spans="2:15" ht="12" customHeight="1">
      <c r="B128" s="2557" t="s">
        <v>199</v>
      </c>
      <c r="C128" s="2595">
        <f>'calcul-DCC-TX-Encais'!$BV$6</f>
        <v>12.958085540000001</v>
      </c>
      <c r="D128" s="2595">
        <f>'calcul-DCC-TX-Encais'!$AJ$22</f>
        <v>12.19494426</v>
      </c>
      <c r="E128" s="2595">
        <f>'Feuil-saisie'!$C$92/1000</f>
        <v>16.583006649999994</v>
      </c>
      <c r="F128" s="2595">
        <f>C128*0.283639089299864</f>
        <v>3.6754195816353366</v>
      </c>
      <c r="G128" s="2620">
        <f t="shared" si="40"/>
        <v>4.3880623899999947</v>
      </c>
      <c r="H128" s="2621">
        <f t="shared" si="41"/>
        <v>35.982635889473059</v>
      </c>
      <c r="I128" s="2620">
        <f t="shared" si="42"/>
        <v>12.907587068364657</v>
      </c>
      <c r="J128" s="2621">
        <f t="shared" si="43"/>
        <v>22.163770775761812</v>
      </c>
      <c r="K128" s="2553">
        <v>106.18423385083815</v>
      </c>
      <c r="L128" s="2553">
        <f>'calcul-DCC-TX-Encais'!$AJ$100</f>
        <v>82.628088038449519</v>
      </c>
      <c r="M128" s="2553">
        <f>'calcul-DCC-TX-Encais'!$BV$100</f>
        <v>143.25304705903392</v>
      </c>
      <c r="N128" s="2553">
        <f>M128-L128</f>
        <v>60.624959020584399</v>
      </c>
      <c r="O128" s="2553">
        <f>M128-K128</f>
        <v>37.068813208195763</v>
      </c>
    </row>
    <row r="129" spans="2:17" ht="12" customHeight="1">
      <c r="B129" s="2577" t="s">
        <v>612</v>
      </c>
      <c r="C129" s="2579">
        <f>C126+C125</f>
        <v>956.16410630200062</v>
      </c>
      <c r="D129" s="2579">
        <f>D126+D125</f>
        <v>1643.0790785099998</v>
      </c>
      <c r="E129" s="2579">
        <f>E125+E126</f>
        <v>2281.5055263499971</v>
      </c>
      <c r="F129" s="2579">
        <f>F125+F126</f>
        <v>415.78577037978732</v>
      </c>
      <c r="G129" s="2622">
        <f t="shared" si="40"/>
        <v>638.42644783999731</v>
      </c>
      <c r="H129" s="2623">
        <f t="shared" si="41"/>
        <v>38.855491265760875</v>
      </c>
      <c r="I129" s="2622">
        <f t="shared" si="42"/>
        <v>1865.7197559702099</v>
      </c>
      <c r="J129" s="2623">
        <f t="shared" si="43"/>
        <v>18.22418423175904</v>
      </c>
      <c r="K129" s="2553"/>
      <c r="L129" s="2553"/>
      <c r="M129" s="2553"/>
      <c r="N129" s="2553"/>
      <c r="O129" s="2553"/>
    </row>
    <row r="130" spans="2:17" ht="12" customHeight="1">
      <c r="K130" s="2624"/>
      <c r="L130" s="2624"/>
      <c r="M130" s="2624"/>
      <c r="N130" s="2624"/>
      <c r="O130" s="2624"/>
    </row>
    <row r="131" spans="2:17" ht="12" customHeight="1">
      <c r="M131" s="2535"/>
    </row>
    <row r="132" spans="2:17" ht="12" customHeight="1">
      <c r="B132" s="2539" t="s">
        <v>44</v>
      </c>
      <c r="C132" s="3212" t="s">
        <v>281</v>
      </c>
      <c r="D132" s="3213"/>
      <c r="E132" s="3213"/>
      <c r="F132" s="3214"/>
      <c r="G132" s="3215" t="s">
        <v>597</v>
      </c>
      <c r="H132" s="3216"/>
      <c r="I132" s="2545" t="s">
        <v>598</v>
      </c>
      <c r="J132" s="2546"/>
      <c r="K132" s="2547" t="s">
        <v>358</v>
      </c>
      <c r="L132" s="2548"/>
      <c r="M132" s="2548"/>
      <c r="N132" s="2548"/>
      <c r="O132" s="2549"/>
    </row>
    <row r="133" spans="2:17" ht="12" customHeight="1">
      <c r="B133" s="2550"/>
      <c r="C133" s="2551">
        <f t="shared" ref="C133:O133" si="44">C103</f>
        <v>45291</v>
      </c>
      <c r="D133" s="2551">
        <f t="shared" si="44"/>
        <v>45139</v>
      </c>
      <c r="E133" s="2551">
        <f t="shared" si="44"/>
        <v>45505</v>
      </c>
      <c r="F133" s="2552" t="str">
        <f t="shared" si="44"/>
        <v>Obj 2024</v>
      </c>
      <c r="G133" s="2552" t="str">
        <f t="shared" si="44"/>
        <v>MDA</v>
      </c>
      <c r="H133" s="2552" t="str">
        <f t="shared" si="44"/>
        <v>%</v>
      </c>
      <c r="I133" s="2552" t="str">
        <f t="shared" si="44"/>
        <v>MDA</v>
      </c>
      <c r="J133" s="2552" t="str">
        <f t="shared" si="44"/>
        <v>%</v>
      </c>
      <c r="K133" s="2551">
        <f t="shared" si="44"/>
        <v>45291</v>
      </c>
      <c r="L133" s="2551">
        <f t="shared" si="44"/>
        <v>45139</v>
      </c>
      <c r="M133" s="2551">
        <f t="shared" si="44"/>
        <v>45505</v>
      </c>
      <c r="N133" s="2553" t="str">
        <f t="shared" si="44"/>
        <v>écart mois</v>
      </c>
      <c r="O133" s="2553" t="str">
        <f t="shared" si="44"/>
        <v>écart année</v>
      </c>
    </row>
    <row r="134" spans="2:17" ht="12" customHeight="1">
      <c r="B134" s="2589" t="s">
        <v>277</v>
      </c>
      <c r="C134" s="2590">
        <f>'calcul-DCC-TX-Encais'!$AO$7</f>
        <v>983.18939429000045</v>
      </c>
      <c r="D134" s="2590">
        <f>'calcul-DCC-TX-Encais'!$C$23</f>
        <v>1669.7437616200004</v>
      </c>
      <c r="E134" s="2590">
        <f>E135+E136</f>
        <v>1689.0696134900006</v>
      </c>
      <c r="F134" s="2590">
        <f>F135+F136</f>
        <v>955.97454550095335</v>
      </c>
      <c r="G134" s="2591">
        <f t="shared" ref="G134:G149" si="45">E134-D134</f>
        <v>19.325851870000179</v>
      </c>
      <c r="H134" s="2592">
        <f t="shared" ref="H134:H149" si="46">((E134-D134)/D134)*100</f>
        <v>1.1574142281118669</v>
      </c>
      <c r="I134" s="2591">
        <f t="shared" ref="I134:I149" si="47">E134-F134</f>
        <v>733.09506798904727</v>
      </c>
      <c r="J134" s="2592">
        <f t="shared" ref="J134:J149" si="48">F134/E134*100</f>
        <v>56.597699577680125</v>
      </c>
      <c r="K134" s="2593">
        <v>42.173071767674543</v>
      </c>
      <c r="L134" s="2593">
        <f>'calcul-DCC-TX-Encais'!$C$101</f>
        <v>70.316160822001578</v>
      </c>
      <c r="M134" s="2593">
        <f>'calcul-DCC-TX-Encais'!$AO$101</f>
        <v>72.059740437923381</v>
      </c>
      <c r="N134" s="2593">
        <f>M134-L134</f>
        <v>1.7435796159218029</v>
      </c>
      <c r="O134" s="2593">
        <f>M134-K134</f>
        <v>29.886668670248838</v>
      </c>
      <c r="P134" s="2534">
        <v>885.17482672664664</v>
      </c>
    </row>
    <row r="135" spans="2:17" ht="12" customHeight="1">
      <c r="B135" s="2594" t="s">
        <v>609</v>
      </c>
      <c r="C135" s="2595">
        <f>'enc-ag'!D56</f>
        <v>855.56430489000024</v>
      </c>
      <c r="D135" s="2595">
        <f>'enc-ag'!N56</f>
        <v>1540.8451230900007</v>
      </c>
      <c r="E135" s="2595">
        <f>'Feuil-saisie'!C97/1000</f>
        <v>1669.1529274100005</v>
      </c>
      <c r="F135" s="2595">
        <f>C135*0.972319830800555</f>
        <v>831.88214016963946</v>
      </c>
      <c r="G135" s="2596">
        <f t="shared" si="45"/>
        <v>128.30780431999983</v>
      </c>
      <c r="H135" s="2597">
        <f t="shared" si="46"/>
        <v>8.3271058458290863</v>
      </c>
      <c r="I135" s="2596">
        <f t="shared" si="47"/>
        <v>837.27078724036107</v>
      </c>
      <c r="J135" s="2597">
        <f t="shared" si="48"/>
        <v>49.838581385137573</v>
      </c>
      <c r="K135" s="2553">
        <v>44.847920237094321</v>
      </c>
      <c r="L135" s="2553">
        <f>'enc-ag'!P56</f>
        <v>65.039738696017082</v>
      </c>
      <c r="M135" s="2553">
        <f>'enc-ag'!J97</f>
        <v>89.067336993373544</v>
      </c>
      <c r="N135" s="2553">
        <f>M135-L135</f>
        <v>24.027598297356462</v>
      </c>
      <c r="O135" s="2553">
        <f>M135-K135</f>
        <v>44.219416756279223</v>
      </c>
      <c r="P135" s="2534">
        <f>F135/F134</f>
        <v>0.87019277247985038</v>
      </c>
      <c r="Q135" s="2534">
        <f>P134*P135</f>
        <v>770.27273659863181</v>
      </c>
    </row>
    <row r="136" spans="2:17" ht="12" customHeight="1">
      <c r="B136" s="2594" t="s">
        <v>279</v>
      </c>
      <c r="C136" s="2595">
        <f>C134-C135</f>
        <v>127.62508940000021</v>
      </c>
      <c r="D136" s="2595">
        <f>D134-D135</f>
        <v>128.89863852999974</v>
      </c>
      <c r="E136" s="2595">
        <f>'Feuil-saisie'!C98/1000</f>
        <v>19.916686079999998</v>
      </c>
      <c r="F136" s="2595">
        <f>C136*0.972319830800555</f>
        <v>124.0924053313139</v>
      </c>
      <c r="G136" s="2596">
        <f t="shared" si="45"/>
        <v>-108.98195244999974</v>
      </c>
      <c r="H136" s="2597">
        <f t="shared" si="46"/>
        <v>-84.548567535595325</v>
      </c>
      <c r="I136" s="2596">
        <f t="shared" si="47"/>
        <v>-104.17571925131389</v>
      </c>
      <c r="J136" s="2597">
        <f t="shared" si="48"/>
        <v>623.05749477030417</v>
      </c>
      <c r="K136" s="2553"/>
      <c r="L136" s="2553"/>
      <c r="M136" s="2553"/>
      <c r="N136" s="2553"/>
      <c r="O136" s="2553"/>
      <c r="P136" s="2534">
        <f>1-P135</f>
        <v>0.12980722752014962</v>
      </c>
      <c r="Q136" s="2534">
        <f>P134*P136</f>
        <v>114.90209012801483</v>
      </c>
    </row>
    <row r="137" spans="2:17" ht="12" customHeight="1">
      <c r="B137" s="2598" t="s">
        <v>1181</v>
      </c>
      <c r="C137" s="2590">
        <f>C138+C141</f>
        <v>261.82918214</v>
      </c>
      <c r="D137" s="2590">
        <f>D138+D141</f>
        <v>332.79165270999999</v>
      </c>
      <c r="E137" s="2590">
        <f>E138+E141</f>
        <v>378.17800578999999</v>
      </c>
      <c r="F137" s="2590">
        <f>F138+F141</f>
        <v>137.11204119401015</v>
      </c>
      <c r="G137" s="2591">
        <f t="shared" si="45"/>
        <v>45.386353079999992</v>
      </c>
      <c r="H137" s="2592">
        <f t="shared" si="46"/>
        <v>13.63806835610459</v>
      </c>
      <c r="I137" s="2591">
        <f t="shared" si="47"/>
        <v>241.06596459598984</v>
      </c>
      <c r="J137" s="2592">
        <f t="shared" si="48"/>
        <v>36.25595330632413</v>
      </c>
      <c r="K137" s="2593">
        <v>110.18502603078117</v>
      </c>
      <c r="L137" s="2593">
        <f>'calcul-DCC-TX-Encais'!$H$117</f>
        <v>150.44233076196369</v>
      </c>
      <c r="M137" s="2593">
        <f>'calcul-DCC-TX-Encais'!$AT$151</f>
        <v>165.79439710255775</v>
      </c>
      <c r="N137" s="2593">
        <f t="shared" ref="N137:N146" si="49">M137-L137</f>
        <v>15.352066340594064</v>
      </c>
      <c r="O137" s="2593">
        <f t="shared" ref="O137:O146" si="50">M137-K137</f>
        <v>55.609371071776579</v>
      </c>
    </row>
    <row r="138" spans="2:17" ht="12" customHeight="1">
      <c r="B138" s="2557" t="s">
        <v>18</v>
      </c>
      <c r="C138" s="2595">
        <f>'calcul-DCC-TX-Encais'!$AU$7</f>
        <v>255.56014925000002</v>
      </c>
      <c r="D138" s="2595">
        <f>'calcul-DCC-TX-Encais'!$I$23</f>
        <v>319.80739289000002</v>
      </c>
      <c r="E138" s="2595">
        <f>'Feuil-saisie'!C100/1000</f>
        <v>369.43392489999997</v>
      </c>
      <c r="F138" s="2595">
        <f>C138*0.516289196146854</f>
        <v>131.94294402345253</v>
      </c>
      <c r="G138" s="2596">
        <f t="shared" si="45"/>
        <v>49.626532009999949</v>
      </c>
      <c r="H138" s="2597">
        <f t="shared" si="46"/>
        <v>15.517631272229327</v>
      </c>
      <c r="I138" s="2596">
        <f t="shared" si="47"/>
        <v>237.49098087654744</v>
      </c>
      <c r="J138" s="2597">
        <f t="shared" si="48"/>
        <v>35.714896529648009</v>
      </c>
      <c r="K138" s="2553">
        <v>131.44275271745974</v>
      </c>
      <c r="L138" s="2553">
        <f>'calcul-DCC-TX-Encais'!$I$101</f>
        <v>178.66212403042266</v>
      </c>
      <c r="M138" s="2553">
        <f>'calcul-DCC-TX-Encais'!$AU$101</f>
        <v>202.44554382051453</v>
      </c>
      <c r="N138" s="2553">
        <f t="shared" si="49"/>
        <v>23.78341979009187</v>
      </c>
      <c r="O138" s="2553">
        <f t="shared" si="50"/>
        <v>71.00279110305479</v>
      </c>
    </row>
    <row r="139" spans="2:17" ht="12" customHeight="1">
      <c r="B139" s="2563" t="s">
        <v>1101</v>
      </c>
      <c r="C139" s="2599">
        <f>'calcul-DCC-TX-Encais'!$BF$7</f>
        <v>0</v>
      </c>
      <c r="D139" s="2599">
        <f>'calcul-DCC-TX-Encais'!$T$23</f>
        <v>0</v>
      </c>
      <c r="E139" s="2599">
        <f>'calcul-DCC-TX-Encais'!$BF$23</f>
        <v>0</v>
      </c>
      <c r="F139" s="2599"/>
      <c r="G139" s="2600"/>
      <c r="H139" s="2601"/>
      <c r="I139" s="2600"/>
      <c r="J139" s="2601"/>
      <c r="K139" s="2564"/>
      <c r="L139" s="2564"/>
      <c r="M139" s="2564"/>
      <c r="N139" s="2564"/>
      <c r="O139" s="2564"/>
    </row>
    <row r="140" spans="2:17" ht="12" customHeight="1">
      <c r="B140" s="2563" t="s">
        <v>1102</v>
      </c>
      <c r="C140" s="2599">
        <f>C138-C139</f>
        <v>255.56014925000002</v>
      </c>
      <c r="D140" s="2599">
        <f>D138-D139</f>
        <v>319.80739289000002</v>
      </c>
      <c r="E140" s="2599">
        <f>E138-E139</f>
        <v>369.43392489999997</v>
      </c>
      <c r="F140" s="2599">
        <f>F138-F139</f>
        <v>131.94294402345253</v>
      </c>
      <c r="G140" s="2600"/>
      <c r="H140" s="2601"/>
      <c r="I140" s="2600"/>
      <c r="J140" s="2601"/>
      <c r="K140" s="2564"/>
      <c r="L140" s="2564"/>
      <c r="M140" s="2564"/>
      <c r="N140" s="2564"/>
      <c r="O140" s="2564"/>
    </row>
    <row r="141" spans="2:17" ht="12" customHeight="1">
      <c r="B141" s="2557" t="s">
        <v>185</v>
      </c>
      <c r="C141" s="2595">
        <f>'calcul-DCC-TX-Encais'!$AQ$7</f>
        <v>6.2690328900000019</v>
      </c>
      <c r="D141" s="2595">
        <f>'calcul-DCC-TX-Encais'!$E$23</f>
        <v>12.984259819999991</v>
      </c>
      <c r="E141" s="2595">
        <f>'Feuil-saisie'!C101/1000</f>
        <v>8.7440808899999976</v>
      </c>
      <c r="F141" s="2595">
        <f>C141*0.824544592644118</f>
        <v>5.1690971705576292</v>
      </c>
      <c r="G141" s="2596">
        <f t="shared" si="45"/>
        <v>-4.2401789299999937</v>
      </c>
      <c r="H141" s="2597">
        <f t="shared" si="46"/>
        <v>-32.656300696237892</v>
      </c>
      <c r="I141" s="2596">
        <f t="shared" si="47"/>
        <v>3.5749837194423684</v>
      </c>
      <c r="J141" s="2597">
        <f t="shared" si="48"/>
        <v>59.115386003223833</v>
      </c>
      <c r="K141" s="2553">
        <v>14.511694850569647</v>
      </c>
      <c r="L141" s="2553">
        <f>'calcul-DCC-TX-Encais'!$E$101</f>
        <v>30.762877706260753</v>
      </c>
      <c r="M141" s="2553">
        <f>'calcul-DCC-TX-Encais'!$AQ$101</f>
        <v>19.169304125669932</v>
      </c>
      <c r="N141" s="2553">
        <f t="shared" si="49"/>
        <v>-11.593573580590821</v>
      </c>
      <c r="O141" s="2553">
        <f t="shared" si="50"/>
        <v>4.6576092751002847</v>
      </c>
    </row>
    <row r="142" spans="2:17" ht="12" customHeight="1">
      <c r="B142" s="2563" t="s">
        <v>1103</v>
      </c>
      <c r="C142" s="2599">
        <f>'calcul-DCC-TX-Encais'!$BE$7</f>
        <v>0</v>
      </c>
      <c r="D142" s="2599">
        <f>'calcul-DCC-TX-Encais'!$S$23</f>
        <v>0</v>
      </c>
      <c r="E142" s="2599">
        <f>'calcul-DCC-TX-Encais'!$BE$23</f>
        <v>0</v>
      </c>
      <c r="F142" s="2599"/>
      <c r="G142" s="2600"/>
      <c r="H142" s="2601"/>
      <c r="I142" s="2600"/>
      <c r="J142" s="2601"/>
      <c r="K142" s="2564"/>
      <c r="L142" s="2564"/>
      <c r="M142" s="2564"/>
      <c r="N142" s="2564"/>
      <c r="O142" s="2564"/>
    </row>
    <row r="143" spans="2:17" ht="12" customHeight="1">
      <c r="B143" s="2563" t="s">
        <v>1104</v>
      </c>
      <c r="C143" s="2599">
        <f>C141-C142</f>
        <v>6.2690328900000019</v>
      </c>
      <c r="D143" s="2599">
        <f>D141-D142</f>
        <v>12.984259819999991</v>
      </c>
      <c r="E143" s="2599">
        <f>E141-E142</f>
        <v>8.7440808899999976</v>
      </c>
      <c r="F143" s="2599"/>
      <c r="G143" s="2600"/>
      <c r="H143" s="2601"/>
      <c r="I143" s="2600"/>
      <c r="J143" s="2601"/>
      <c r="K143" s="2564"/>
      <c r="L143" s="2564"/>
      <c r="M143" s="2564"/>
      <c r="N143" s="2564"/>
      <c r="O143" s="2564"/>
    </row>
    <row r="144" spans="2:17" ht="12" customHeight="1">
      <c r="B144" s="2589" t="s">
        <v>278</v>
      </c>
      <c r="C144" s="2590">
        <f>C145+C148</f>
        <v>1000.46626014</v>
      </c>
      <c r="D144" s="2590">
        <f>D145+D148</f>
        <v>866.63326127999949</v>
      </c>
      <c r="E144" s="2590">
        <f>E145+E148</f>
        <v>1603.9173486600002</v>
      </c>
      <c r="F144" s="2590">
        <f>F145+F148</f>
        <v>396.29842627377781</v>
      </c>
      <c r="G144" s="2591">
        <f t="shared" si="45"/>
        <v>737.28408738000076</v>
      </c>
      <c r="H144" s="2592">
        <f t="shared" si="46"/>
        <v>85.074520021427219</v>
      </c>
      <c r="I144" s="2591">
        <f t="shared" si="47"/>
        <v>1207.6189223862225</v>
      </c>
      <c r="J144" s="2592">
        <f t="shared" si="48"/>
        <v>24.708157599571265</v>
      </c>
      <c r="K144" s="2593">
        <v>163.08682077476422</v>
      </c>
      <c r="L144" s="2593">
        <f>'calcul-DCC-TX-Encais'!$E$117</f>
        <v>139.9355797307353</v>
      </c>
      <c r="M144" s="2593">
        <f>'calcul-DCC-TX-Encais'!$AQ$151</f>
        <v>244.79495694627855</v>
      </c>
      <c r="N144" s="2593">
        <f t="shared" si="49"/>
        <v>104.85937721554325</v>
      </c>
      <c r="O144" s="2593">
        <f t="shared" si="50"/>
        <v>81.708136171514326</v>
      </c>
    </row>
    <row r="145" spans="2:15" ht="12" customHeight="1">
      <c r="B145" s="2594" t="s">
        <v>554</v>
      </c>
      <c r="C145" s="2602">
        <f>'calcul-DCC-TX-Encais'!$AP$7</f>
        <v>758.28989641999999</v>
      </c>
      <c r="D145" s="2602">
        <f>'calcul-DCC-TX-Encais'!$D$23</f>
        <v>504.87290181999953</v>
      </c>
      <c r="E145" s="2602">
        <f>'Feuil-saisie'!C104/1000</f>
        <v>1315.9505770800001</v>
      </c>
      <c r="F145" s="2602">
        <f>C145*0.315515773988161</f>
        <v>239.25242357635872</v>
      </c>
      <c r="G145" s="2603">
        <f t="shared" si="45"/>
        <v>811.07767526000066</v>
      </c>
      <c r="H145" s="2604">
        <f t="shared" si="46"/>
        <v>160.64987293557917</v>
      </c>
      <c r="I145" s="2603">
        <f t="shared" si="47"/>
        <v>1076.6981535036414</v>
      </c>
      <c r="J145" s="2604">
        <f t="shared" si="48"/>
        <v>18.18095814109088</v>
      </c>
      <c r="K145" s="2553">
        <v>157.73224258207517</v>
      </c>
      <c r="L145" s="2553">
        <f>'calcul-DCC-TX-Encais'!$D$101</f>
        <v>104.59730147495317</v>
      </c>
      <c r="M145" s="2553">
        <f>'calcul-DCC-TX-Encais'!$AP$101</f>
        <v>247.07897953069644</v>
      </c>
      <c r="N145" s="2553">
        <f t="shared" si="49"/>
        <v>142.48167805574326</v>
      </c>
      <c r="O145" s="2553">
        <f t="shared" si="50"/>
        <v>89.34673694862127</v>
      </c>
    </row>
    <row r="146" spans="2:15" ht="12" customHeight="1">
      <c r="B146" s="2605" t="s">
        <v>295</v>
      </c>
      <c r="C146" s="2606">
        <f>C145-C147</f>
        <v>27.77435233999995</v>
      </c>
      <c r="D146" s="2606">
        <f>D145-D147</f>
        <v>44.526308119999555</v>
      </c>
      <c r="E146" s="2606">
        <f>E145-E147</f>
        <v>42.104429140000093</v>
      </c>
      <c r="F146" s="2606">
        <f>C146*0.315515773988161</f>
        <v>8.7632462755749749</v>
      </c>
      <c r="G146" s="2607">
        <f t="shared" si="45"/>
        <v>-2.4218789799994624</v>
      </c>
      <c r="H146" s="2608">
        <f t="shared" si="46"/>
        <v>-5.4392090479912145</v>
      </c>
      <c r="I146" s="2607">
        <f t="shared" si="47"/>
        <v>33.341182864425122</v>
      </c>
      <c r="J146" s="2608">
        <f t="shared" si="48"/>
        <v>20.813122169253464</v>
      </c>
      <c r="K146" s="2553">
        <v>9.7899638004903906</v>
      </c>
      <c r="L146" s="2553">
        <f>'calcul-DCC-TX-Encais'!$V$101</f>
        <v>15.254021305118457</v>
      </c>
      <c r="M146" s="2553">
        <f>'calcul-DCC-TX-Encais'!$BH$101</f>
        <v>12.86604048330414</v>
      </c>
      <c r="N146" s="2553">
        <f t="shared" si="49"/>
        <v>-2.3879808218143168</v>
      </c>
      <c r="O146" s="2553">
        <f t="shared" si="50"/>
        <v>3.0760766828137491</v>
      </c>
    </row>
    <row r="147" spans="2:15" ht="12" customHeight="1">
      <c r="B147" s="2605" t="s">
        <v>296</v>
      </c>
      <c r="C147" s="2606">
        <f>'calcul-DCC-TX-Encais'!$BB$7</f>
        <v>730.51554408000004</v>
      </c>
      <c r="D147" s="2606">
        <f>'calcul-DCC-TX-Encais'!$P$23</f>
        <v>460.34659369999997</v>
      </c>
      <c r="E147" s="2606">
        <f>'Feuil-saisie'!C105/1000</f>
        <v>1273.84614794</v>
      </c>
      <c r="F147" s="2606">
        <f>F145-F146</f>
        <v>230.48917730078375</v>
      </c>
      <c r="G147" s="2607">
        <f t="shared" si="45"/>
        <v>813.49955424000007</v>
      </c>
      <c r="H147" s="2608">
        <f t="shared" si="46"/>
        <v>176.71458100766222</v>
      </c>
      <c r="I147" s="2607">
        <f t="shared" si="47"/>
        <v>1043.3569706392163</v>
      </c>
      <c r="J147" s="2608">
        <f t="shared" si="48"/>
        <v>18.093957239146917</v>
      </c>
      <c r="K147" s="2553"/>
      <c r="L147" s="2553"/>
      <c r="M147" s="2553"/>
      <c r="N147" s="2553"/>
      <c r="O147" s="2553"/>
    </row>
    <row r="148" spans="2:15" ht="12" customHeight="1">
      <c r="B148" s="2562" t="s">
        <v>603</v>
      </c>
      <c r="C148" s="2595">
        <f>'calcul-DCC-TX-Encais'!$AT$7</f>
        <v>242.17636372000001</v>
      </c>
      <c r="D148" s="2595">
        <f>'calcul-DCC-TX-Encais'!$H$23</f>
        <v>361.76035946000002</v>
      </c>
      <c r="E148" s="2595">
        <f>'Feuil-saisie'!C103/1000</f>
        <v>287.96677158</v>
      </c>
      <c r="F148" s="2595">
        <f>C148*0.648477829483776</f>
        <v>157.04600269741908</v>
      </c>
      <c r="G148" s="2596">
        <f t="shared" si="45"/>
        <v>-73.793587880000018</v>
      </c>
      <c r="H148" s="2609">
        <f t="shared" si="46"/>
        <v>-20.398472621530942</v>
      </c>
      <c r="I148" s="2596">
        <f t="shared" si="47"/>
        <v>130.92076888258092</v>
      </c>
      <c r="J148" s="2609">
        <f t="shared" si="48"/>
        <v>54.536154236041831</v>
      </c>
      <c r="K148" s="2553">
        <v>565.65800000000002</v>
      </c>
      <c r="L148" s="2553">
        <f>'calcul-DCC-TX-Encais'!$H$101</f>
        <v>264.78110498083777</v>
      </c>
      <c r="M148" s="2553">
        <f>'calcul-DCC-TX-Encais'!$AT$101</f>
        <v>234.87305363663663</v>
      </c>
      <c r="N148" s="2553">
        <f>M148-L148</f>
        <v>-29.908051344201141</v>
      </c>
      <c r="O148" s="2553">
        <f>M148-K148</f>
        <v>-330.78494636336336</v>
      </c>
    </row>
    <row r="149" spans="2:15" ht="12" customHeight="1">
      <c r="B149" s="2567" t="s">
        <v>915</v>
      </c>
      <c r="C149" s="2610">
        <f>C148-C150</f>
        <v>242.17636372000001</v>
      </c>
      <c r="D149" s="2610">
        <f>D148-D150</f>
        <v>328.58845057000002</v>
      </c>
      <c r="E149" s="2610">
        <f>E148-E150</f>
        <v>287.96677158</v>
      </c>
      <c r="F149" s="2595">
        <f>C149*0.648477829483776</f>
        <v>157.04600269741908</v>
      </c>
      <c r="G149" s="2596">
        <f t="shared" si="45"/>
        <v>-40.621678990000021</v>
      </c>
      <c r="H149" s="2609">
        <f t="shared" si="46"/>
        <v>-12.362479240987895</v>
      </c>
      <c r="I149" s="2596">
        <f t="shared" si="47"/>
        <v>130.92076888258092</v>
      </c>
      <c r="J149" s="2609">
        <f t="shared" si="48"/>
        <v>54.536154236041831</v>
      </c>
      <c r="K149" s="2569"/>
      <c r="L149" s="2569"/>
      <c r="M149" s="2569"/>
      <c r="N149" s="2569"/>
      <c r="O149" s="2569"/>
    </row>
    <row r="150" spans="2:15" ht="12" customHeight="1">
      <c r="B150" s="2567" t="s">
        <v>916</v>
      </c>
      <c r="C150" s="2610">
        <f>'calcul-DCC-TX-Encais'!$BD$7</f>
        <v>0</v>
      </c>
      <c r="D150" s="2610">
        <f>'calcul-DCC-TX-Encais'!$R$23</f>
        <v>33.171908889999997</v>
      </c>
      <c r="E150" s="2610">
        <f>'Feuil-saisie'!C106/1000</f>
        <v>0</v>
      </c>
      <c r="F150" s="2610">
        <f>F148-F149</f>
        <v>0</v>
      </c>
      <c r="G150" s="2611"/>
      <c r="H150" s="2612"/>
      <c r="I150" s="2611"/>
      <c r="J150" s="2612"/>
      <c r="K150" s="2569"/>
      <c r="L150" s="2569"/>
      <c r="M150" s="2569"/>
      <c r="N150" s="2569"/>
      <c r="O150" s="2569"/>
    </row>
    <row r="151" spans="2:15" ht="12" customHeight="1">
      <c r="B151" s="2589" t="s">
        <v>613</v>
      </c>
      <c r="C151" s="2590">
        <f>C134+C137+C144</f>
        <v>2245.4848365700004</v>
      </c>
      <c r="D151" s="2590">
        <f>D134+D137+D144</f>
        <v>2869.1686756099998</v>
      </c>
      <c r="E151" s="2590">
        <f>E134+E137+E144</f>
        <v>3671.1649679400007</v>
      </c>
      <c r="F151" s="2590">
        <f>F134+F137+F144</f>
        <v>1489.3850129687412</v>
      </c>
      <c r="G151" s="2591">
        <f t="shared" ref="G151:G159" si="51">E151-D151</f>
        <v>801.99629233000087</v>
      </c>
      <c r="H151" s="2604">
        <f t="shared" ref="H151:H159" si="52">((E151-D151)/D151)*100</f>
        <v>27.952218325382784</v>
      </c>
      <c r="I151" s="2591">
        <f t="shared" ref="I151:I159" si="53">E151-F151</f>
        <v>2181.7799549712595</v>
      </c>
      <c r="J151" s="2604">
        <f t="shared" ref="J151:J159" si="54">F151/E151*100</f>
        <v>40.569819824917296</v>
      </c>
      <c r="K151" s="2593">
        <v>69.248174432877121</v>
      </c>
      <c r="L151" s="2593">
        <f>'calcul-DCC-TX-Encais'!$K$101</f>
        <v>87.533243194905126</v>
      </c>
      <c r="M151" s="2593">
        <f>'calcul-DCC-TX-Encais'!$AW$101</f>
        <v>112.21117270486391</v>
      </c>
      <c r="N151" s="2593">
        <f>M151-L151</f>
        <v>24.677929509958787</v>
      </c>
      <c r="O151" s="2593">
        <f>M151-K151</f>
        <v>42.962998271986791</v>
      </c>
    </row>
    <row r="152" spans="2:15" ht="12" customHeight="1">
      <c r="B152" s="2613" t="s">
        <v>611</v>
      </c>
      <c r="C152" s="2614">
        <f>C153+C154</f>
        <v>121.64311872999997</v>
      </c>
      <c r="D152" s="2614">
        <f>D153+D154</f>
        <v>71.363574399999962</v>
      </c>
      <c r="E152" s="2614">
        <f>E153+E154</f>
        <v>14.06040285999997</v>
      </c>
      <c r="F152" s="2614">
        <f>F153+F154</f>
        <v>7.0400455636462143</v>
      </c>
      <c r="G152" s="2603">
        <f t="shared" si="51"/>
        <v>-57.303171539999994</v>
      </c>
      <c r="H152" s="2604">
        <f t="shared" si="52"/>
        <v>-80.297507547491946</v>
      </c>
      <c r="I152" s="2603">
        <f t="shared" si="53"/>
        <v>7.0203572963537555</v>
      </c>
      <c r="J152" s="2604">
        <f t="shared" si="54"/>
        <v>50.070013169211776</v>
      </c>
      <c r="K152" s="2553"/>
      <c r="L152" s="2553"/>
      <c r="M152" s="2553"/>
      <c r="N152" s="2553"/>
      <c r="O152" s="2553"/>
    </row>
    <row r="153" spans="2:15" ht="12" customHeight="1">
      <c r="B153" s="2615" t="s">
        <v>318</v>
      </c>
      <c r="C153" s="2595">
        <f>'calcul-DCC-TX-Encais'!$AX$7</f>
        <v>121.64311872999997</v>
      </c>
      <c r="D153" s="2595">
        <f>'calcul-DCC-TX-Encais'!$L$23</f>
        <v>71.363574399999962</v>
      </c>
      <c r="E153" s="2595">
        <f>'Feuil-saisie'!C111/1000</f>
        <v>14.06040285999997</v>
      </c>
      <c r="F153" s="2595">
        <f>C153*0.0578745895135454</f>
        <v>7.0400455636462143</v>
      </c>
      <c r="G153" s="2596">
        <f t="shared" si="51"/>
        <v>-57.303171539999994</v>
      </c>
      <c r="H153" s="2616">
        <f t="shared" si="52"/>
        <v>-80.297507547491946</v>
      </c>
      <c r="I153" s="2596">
        <f t="shared" si="53"/>
        <v>7.0203572963537555</v>
      </c>
      <c r="J153" s="2616">
        <f t="shared" si="54"/>
        <v>50.070013169211776</v>
      </c>
      <c r="K153" s="2553"/>
      <c r="L153" s="2553"/>
      <c r="M153" s="2553"/>
      <c r="N153" s="2553"/>
      <c r="O153" s="2553"/>
    </row>
    <row r="154" spans="2:15" ht="12" customHeight="1">
      <c r="B154" s="2615" t="s">
        <v>319</v>
      </c>
      <c r="C154" s="2595">
        <f>'calcul-DCC-TX-Encais'!$AY$7</f>
        <v>0</v>
      </c>
      <c r="D154" s="2595">
        <f>'calcul-DCC-TX-Encais'!$M$23</f>
        <v>0</v>
      </c>
      <c r="E154" s="2595">
        <f>'Feuil-saisie'!C112/1000</f>
        <v>0</v>
      </c>
      <c r="F154" s="2595">
        <f>C154*0.318226930551063</f>
        <v>0</v>
      </c>
      <c r="G154" s="2596">
        <f t="shared" si="51"/>
        <v>0</v>
      </c>
      <c r="H154" s="2616" t="e">
        <f t="shared" si="52"/>
        <v>#DIV/0!</v>
      </c>
      <c r="I154" s="2596">
        <f t="shared" si="53"/>
        <v>0</v>
      </c>
      <c r="J154" s="2616" t="e">
        <f t="shared" si="54"/>
        <v>#DIV/0!</v>
      </c>
      <c r="K154" s="2553"/>
      <c r="L154" s="2553"/>
      <c r="M154" s="2553"/>
      <c r="N154" s="2553"/>
      <c r="O154" s="2553"/>
    </row>
    <row r="155" spans="2:15" ht="12" customHeight="1">
      <c r="B155" s="2617" t="s">
        <v>606</v>
      </c>
      <c r="C155" s="2618">
        <f>C151+C152</f>
        <v>2367.1279553000004</v>
      </c>
      <c r="D155" s="2618">
        <f>D151+D152</f>
        <v>2940.5322500099996</v>
      </c>
      <c r="E155" s="2618">
        <f>E151+E152</f>
        <v>3685.2253708000007</v>
      </c>
      <c r="F155" s="2618">
        <f>F151+F152</f>
        <v>1496.4250585323873</v>
      </c>
      <c r="G155" s="2596">
        <f t="shared" si="51"/>
        <v>744.6931207900011</v>
      </c>
      <c r="H155" s="2616">
        <f t="shared" si="52"/>
        <v>25.325113192942151</v>
      </c>
      <c r="I155" s="2596">
        <f t="shared" si="53"/>
        <v>2188.8003122676137</v>
      </c>
      <c r="J155" s="2616">
        <f t="shared" si="54"/>
        <v>40.606066331501964</v>
      </c>
      <c r="K155" s="2553"/>
      <c r="L155" s="2553"/>
      <c r="M155" s="2553"/>
      <c r="N155" s="2553"/>
      <c r="O155" s="2553"/>
    </row>
    <row r="156" spans="2:15" ht="12" customHeight="1">
      <c r="B156" s="2619" t="s">
        <v>607</v>
      </c>
      <c r="C156" s="2590">
        <f>C157+C158</f>
        <v>0</v>
      </c>
      <c r="D156" s="2590">
        <f>D157+D158</f>
        <v>0</v>
      </c>
      <c r="E156" s="2590">
        <f>E157+E158</f>
        <v>23.565210099999998</v>
      </c>
      <c r="F156" s="2590">
        <f>F157+F158</f>
        <v>0</v>
      </c>
      <c r="G156" s="2591">
        <f t="shared" si="51"/>
        <v>23.565210099999998</v>
      </c>
      <c r="H156" s="2604" t="e">
        <f t="shared" si="52"/>
        <v>#DIV/0!</v>
      </c>
      <c r="I156" s="2591">
        <f t="shared" si="53"/>
        <v>23.565210099999998</v>
      </c>
      <c r="J156" s="2604">
        <f t="shared" si="54"/>
        <v>0</v>
      </c>
      <c r="K156" s="2593">
        <v>0</v>
      </c>
      <c r="L156" s="2593">
        <f>'calcul-DCC-TX-Encais'!$BW$101</f>
        <v>36.052395323746467</v>
      </c>
      <c r="M156" s="2593">
        <f>'calcul-DCC-TX-Encais'!$BW$101</f>
        <v>36.052395323746467</v>
      </c>
      <c r="N156" s="2593">
        <f>M156-L156</f>
        <v>0</v>
      </c>
      <c r="O156" s="2593">
        <f>M156-K156</f>
        <v>36.052395323746467</v>
      </c>
    </row>
    <row r="157" spans="2:15" ht="12" customHeight="1">
      <c r="B157" s="2557" t="s">
        <v>198</v>
      </c>
      <c r="C157" s="2595">
        <f>'calcul-DCC-TX-Encais'!$BU$7</f>
        <v>0</v>
      </c>
      <c r="D157" s="2595">
        <f>'calcul-DCC-TX-Encais'!$AI$23</f>
        <v>0</v>
      </c>
      <c r="E157" s="2595">
        <f>'Feuil-saisie'!$C$114/1000</f>
        <v>0</v>
      </c>
      <c r="F157" s="2595">
        <f>C157*0.283639089299864</f>
        <v>0</v>
      </c>
      <c r="G157" s="2620">
        <f t="shared" si="51"/>
        <v>0</v>
      </c>
      <c r="H157" s="2621" t="e">
        <f t="shared" si="52"/>
        <v>#DIV/0!</v>
      </c>
      <c r="I157" s="2620">
        <f t="shared" si="53"/>
        <v>0</v>
      </c>
      <c r="J157" s="2621" t="e">
        <f t="shared" si="54"/>
        <v>#DIV/0!</v>
      </c>
      <c r="K157" s="2553">
        <v>0</v>
      </c>
      <c r="L157" s="2553">
        <f>'calcul-DCC-TX-Encais'!$BU$101</f>
        <v>0</v>
      </c>
      <c r="M157" s="2553">
        <f>'calcul-DCC-TX-Encais'!$BU$101</f>
        <v>0</v>
      </c>
      <c r="N157" s="2553">
        <f>M157-L157</f>
        <v>0</v>
      </c>
      <c r="O157" s="2553">
        <f>M157-K157</f>
        <v>0</v>
      </c>
    </row>
    <row r="158" spans="2:15" ht="12" customHeight="1">
      <c r="B158" s="2557" t="s">
        <v>199</v>
      </c>
      <c r="C158" s="2595">
        <f>'calcul-DCC-TX-Encais'!$BV$7</f>
        <v>0</v>
      </c>
      <c r="D158" s="2595">
        <f>'calcul-DCC-TX-Encais'!$AJ$23</f>
        <v>0</v>
      </c>
      <c r="E158" s="2595">
        <f>'Feuil-saisie'!$C$115/1000</f>
        <v>23.565210099999998</v>
      </c>
      <c r="F158" s="2595">
        <f>C158*0.283639089299864</f>
        <v>0</v>
      </c>
      <c r="G158" s="2620">
        <f t="shared" si="51"/>
        <v>23.565210099999998</v>
      </c>
      <c r="H158" s="2621" t="e">
        <f t="shared" si="52"/>
        <v>#DIV/0!</v>
      </c>
      <c r="I158" s="2620">
        <f t="shared" si="53"/>
        <v>23.565210099999998</v>
      </c>
      <c r="J158" s="2621">
        <f t="shared" si="54"/>
        <v>0</v>
      </c>
      <c r="K158" s="2553">
        <v>0</v>
      </c>
      <c r="L158" s="2553">
        <f>'calcul-DCC-TX-Encais'!$BV$101</f>
        <v>68.431762430529702</v>
      </c>
      <c r="M158" s="2553">
        <f>'calcul-DCC-TX-Encais'!$BV$101</f>
        <v>68.431762430529702</v>
      </c>
      <c r="N158" s="2553">
        <f>M158-L158</f>
        <v>0</v>
      </c>
      <c r="O158" s="2553">
        <f>M158-K158</f>
        <v>68.431762430529702</v>
      </c>
    </row>
    <row r="159" spans="2:15" ht="12" customHeight="1">
      <c r="B159" s="2577" t="s">
        <v>612</v>
      </c>
      <c r="C159" s="2578">
        <f>C156+C155</f>
        <v>2367.1279553000004</v>
      </c>
      <c r="D159" s="2579">
        <f>D156+D155</f>
        <v>2940.5322500099996</v>
      </c>
      <c r="E159" s="2578">
        <f>E155+E156</f>
        <v>3708.7905809000008</v>
      </c>
      <c r="F159" s="2579">
        <f>F155+F156</f>
        <v>1496.4250585323873</v>
      </c>
      <c r="G159" s="2622">
        <f t="shared" si="51"/>
        <v>768.25833089000116</v>
      </c>
      <c r="H159" s="2623">
        <f t="shared" si="52"/>
        <v>26.126505869384314</v>
      </c>
      <c r="I159" s="2622">
        <f t="shared" si="53"/>
        <v>2212.3655223676133</v>
      </c>
      <c r="J159" s="2623">
        <f t="shared" si="54"/>
        <v>40.348060260907332</v>
      </c>
      <c r="K159" s="2553"/>
      <c r="L159" s="2553"/>
      <c r="M159" s="2553"/>
      <c r="N159" s="2553"/>
      <c r="O159" s="2553"/>
    </row>
    <row r="160" spans="2:15" ht="12" customHeight="1">
      <c r="K160" s="2624"/>
      <c r="L160" s="2624"/>
      <c r="M160" s="2624"/>
      <c r="N160" s="2624"/>
      <c r="O160" s="2624"/>
    </row>
    <row r="161" spans="2:17" ht="12" customHeight="1">
      <c r="M161" s="2535"/>
    </row>
    <row r="162" spans="2:17" ht="12" customHeight="1">
      <c r="B162" s="2539" t="s">
        <v>3</v>
      </c>
      <c r="C162" s="3212" t="s">
        <v>281</v>
      </c>
      <c r="D162" s="3213"/>
      <c r="E162" s="3213"/>
      <c r="F162" s="3214"/>
      <c r="G162" s="3215" t="s">
        <v>597</v>
      </c>
      <c r="H162" s="3216"/>
      <c r="I162" s="2545" t="s">
        <v>598</v>
      </c>
      <c r="J162" s="2546"/>
      <c r="K162" s="2547" t="s">
        <v>358</v>
      </c>
      <c r="L162" s="2548"/>
      <c r="M162" s="2548"/>
      <c r="N162" s="2548"/>
      <c r="O162" s="2549"/>
    </row>
    <row r="163" spans="2:17" ht="12" customHeight="1">
      <c r="B163" s="2550"/>
      <c r="C163" s="2551">
        <f>C133</f>
        <v>45291</v>
      </c>
      <c r="D163" s="2551">
        <f t="shared" ref="D163:O163" si="55">D133</f>
        <v>45139</v>
      </c>
      <c r="E163" s="2551">
        <f t="shared" si="55"/>
        <v>45505</v>
      </c>
      <c r="F163" s="2552" t="str">
        <f t="shared" si="55"/>
        <v>Obj 2024</v>
      </c>
      <c r="G163" s="2552" t="str">
        <f t="shared" si="55"/>
        <v>MDA</v>
      </c>
      <c r="H163" s="2552" t="str">
        <f t="shared" si="55"/>
        <v>%</v>
      </c>
      <c r="I163" s="2552" t="str">
        <f t="shared" si="55"/>
        <v>MDA</v>
      </c>
      <c r="J163" s="2552" t="str">
        <f t="shared" si="55"/>
        <v>%</v>
      </c>
      <c r="K163" s="2551">
        <f t="shared" si="55"/>
        <v>45291</v>
      </c>
      <c r="L163" s="2551">
        <f t="shared" si="55"/>
        <v>45139</v>
      </c>
      <c r="M163" s="2551">
        <f t="shared" si="55"/>
        <v>45505</v>
      </c>
      <c r="N163" s="2553" t="str">
        <f t="shared" si="55"/>
        <v>écart mois</v>
      </c>
      <c r="O163" s="2553" t="str">
        <f t="shared" si="55"/>
        <v>écart année</v>
      </c>
    </row>
    <row r="164" spans="2:17" ht="12" customHeight="1">
      <c r="B164" s="2589" t="s">
        <v>277</v>
      </c>
      <c r="C164" s="2590">
        <f>'calcul-DCC-TX-Encais'!$AO$8</f>
        <v>1850.7114404100003</v>
      </c>
      <c r="D164" s="2590">
        <f>'calcul-DCC-TX-Encais'!$C$24</f>
        <v>2508.4341005600004</v>
      </c>
      <c r="E164" s="2590">
        <f>E165+E166</f>
        <v>2863.9937023900002</v>
      </c>
      <c r="F164" s="2590">
        <f>F165+F166</f>
        <v>1799.4834346001028</v>
      </c>
      <c r="G164" s="2591">
        <f t="shared" ref="G164:G179" si="56">E164-D164</f>
        <v>355.55960182999979</v>
      </c>
      <c r="H164" s="2592">
        <f t="shared" ref="H164:H179" si="57">((E164-D164)/D164)*100</f>
        <v>14.17456419327987</v>
      </c>
      <c r="I164" s="2591">
        <f t="shared" ref="I164:I179" si="58">E164-F164</f>
        <v>1064.5102677898974</v>
      </c>
      <c r="J164" s="2592">
        <f t="shared" ref="J164:J179" si="59">F164/E164*100</f>
        <v>62.831263668577044</v>
      </c>
      <c r="K164" s="2593">
        <v>142.15479245350966</v>
      </c>
      <c r="L164" s="2593">
        <f>'calcul-DCC-TX-Encais'!$C$102</f>
        <v>216.51914122310092</v>
      </c>
      <c r="M164" s="2593">
        <f>'calcul-DCC-TX-Encais'!$AO$102</f>
        <v>173.17614822782022</v>
      </c>
      <c r="N164" s="2593">
        <f>M164-L164</f>
        <v>-43.342992995280696</v>
      </c>
      <c r="O164" s="2593">
        <f>M164-K164</f>
        <v>31.021355774310564</v>
      </c>
      <c r="P164" s="2534">
        <v>1327.7460526448003</v>
      </c>
    </row>
    <row r="165" spans="2:17" ht="12" customHeight="1">
      <c r="B165" s="2594" t="s">
        <v>609</v>
      </c>
      <c r="C165" s="2595">
        <f>'enc-ag'!D68</f>
        <v>1615.5716835499991</v>
      </c>
      <c r="D165" s="2595">
        <f>'enc-ag'!N68</f>
        <v>2262.8086117499997</v>
      </c>
      <c r="E165" s="2595">
        <f>'Feuil-saisie'!C120/1000</f>
        <v>2615.5532980600001</v>
      </c>
      <c r="F165" s="2595">
        <f>C165*0.972319830800555</f>
        <v>1570.8523859955028</v>
      </c>
      <c r="G165" s="2596">
        <f t="shared" si="56"/>
        <v>352.74468631000036</v>
      </c>
      <c r="H165" s="2597">
        <f t="shared" si="57"/>
        <v>15.588799003075934</v>
      </c>
      <c r="I165" s="2596">
        <f t="shared" si="58"/>
        <v>1044.7009120644973</v>
      </c>
      <c r="J165" s="2597">
        <f t="shared" si="59"/>
        <v>60.058129465785704</v>
      </c>
      <c r="K165" s="2553">
        <v>109.62226984086729</v>
      </c>
      <c r="L165" s="2553">
        <f>'enc-ag'!P68</f>
        <v>143.09706513526322</v>
      </c>
      <c r="M165" s="2553">
        <f>'enc-ag'!J68</f>
        <v>157.61925063492012</v>
      </c>
      <c r="N165" s="2553">
        <f>M165-L165</f>
        <v>14.522185499656899</v>
      </c>
      <c r="O165" s="2553">
        <f>M165-K165</f>
        <v>47.996980794052831</v>
      </c>
      <c r="P165" s="2534">
        <f>F165/F164</f>
        <v>0.87294628880237046</v>
      </c>
      <c r="Q165" s="2534">
        <f>P164*P165</f>
        <v>1159.0509891282752</v>
      </c>
    </row>
    <row r="166" spans="2:17" ht="12" customHeight="1">
      <c r="B166" s="2594" t="s">
        <v>279</v>
      </c>
      <c r="C166" s="2595">
        <f>C164-C165</f>
        <v>235.13975686000117</v>
      </c>
      <c r="D166" s="2595">
        <f>D164-D165</f>
        <v>245.62548881000066</v>
      </c>
      <c r="E166" s="2595">
        <f>'Feuil-saisie'!C121/1000</f>
        <v>248.44040432999998</v>
      </c>
      <c r="F166" s="2595">
        <f>C166*0.972319830800555</f>
        <v>228.63104860459998</v>
      </c>
      <c r="G166" s="2596">
        <f t="shared" si="56"/>
        <v>2.8149155199993174</v>
      </c>
      <c r="H166" s="2597">
        <f t="shared" si="57"/>
        <v>1.1460193050961198</v>
      </c>
      <c r="I166" s="2596">
        <f t="shared" si="58"/>
        <v>19.809355725399996</v>
      </c>
      <c r="J166" s="2597">
        <f t="shared" si="59"/>
        <v>92.026516065765421</v>
      </c>
      <c r="K166" s="2553"/>
      <c r="L166" s="2553"/>
      <c r="M166" s="2553"/>
      <c r="N166" s="2553"/>
      <c r="O166" s="2553"/>
      <c r="P166" s="2534">
        <f>1-P165</f>
        <v>0.12705371119762954</v>
      </c>
      <c r="Q166" s="2534">
        <f>P164*P166</f>
        <v>168.6950635165251</v>
      </c>
    </row>
    <row r="167" spans="2:17" ht="12" customHeight="1">
      <c r="B167" s="2598" t="s">
        <v>1181</v>
      </c>
      <c r="C167" s="2590">
        <f>C168+C171</f>
        <v>325.02430265999999</v>
      </c>
      <c r="D167" s="2590">
        <f>D168+D171</f>
        <v>381.36145270999998</v>
      </c>
      <c r="E167" s="2590">
        <f>E168+E171</f>
        <v>584.73400000000004</v>
      </c>
      <c r="F167" s="2590">
        <f>F168+F171</f>
        <v>171.00847804851855</v>
      </c>
      <c r="G167" s="2591">
        <f t="shared" si="56"/>
        <v>203.37254729000006</v>
      </c>
      <c r="H167" s="2592">
        <f t="shared" si="57"/>
        <v>53.328029313086176</v>
      </c>
      <c r="I167" s="2591">
        <f t="shared" si="58"/>
        <v>413.72552195148148</v>
      </c>
      <c r="J167" s="2592">
        <f t="shared" si="59"/>
        <v>29.245516431149643</v>
      </c>
      <c r="K167" s="2593">
        <v>186.21015269022851</v>
      </c>
      <c r="L167" s="2593">
        <f>'calcul-DCC-TX-Encais'!$H$118</f>
        <v>287.59721609196095</v>
      </c>
      <c r="M167" s="2593">
        <f>'calcul-DCC-TX-Encais'!$AT$152</f>
        <v>407.59833371380051</v>
      </c>
      <c r="N167" s="2593">
        <f t="shared" ref="N167:N176" si="60">M167-L167</f>
        <v>120.00111762183957</v>
      </c>
      <c r="O167" s="2593">
        <f t="shared" ref="O167:O176" si="61">M167-K167</f>
        <v>221.388181023572</v>
      </c>
    </row>
    <row r="168" spans="2:17" ht="12" customHeight="1">
      <c r="B168" s="2557" t="s">
        <v>18</v>
      </c>
      <c r="C168" s="2595">
        <f>'calcul-DCC-TX-Encais'!$AU$8</f>
        <v>314.637</v>
      </c>
      <c r="D168" s="2595">
        <f>'calcul-DCC-TX-Encais'!$I$24</f>
        <v>363.14033562999998</v>
      </c>
      <c r="E168" s="2595">
        <f>'Feuil-saisie'!C123/1000</f>
        <v>567.69100000000003</v>
      </c>
      <c r="F168" s="2595">
        <f>C168*0.516289196146854</f>
        <v>162.4436838080577</v>
      </c>
      <c r="G168" s="2596">
        <f t="shared" si="56"/>
        <v>204.55066437000005</v>
      </c>
      <c r="H168" s="2597">
        <f t="shared" si="57"/>
        <v>56.328268798653824</v>
      </c>
      <c r="I168" s="2596">
        <f t="shared" si="58"/>
        <v>405.24731619194233</v>
      </c>
      <c r="J168" s="2597">
        <f t="shared" si="59"/>
        <v>28.614806965066858</v>
      </c>
      <c r="K168" s="2553">
        <v>249.17146172750242</v>
      </c>
      <c r="L168" s="2553">
        <f>'calcul-DCC-TX-Encais'!$I$102</f>
        <v>316.07094007579508</v>
      </c>
      <c r="M168" s="2553">
        <f>'calcul-DCC-TX-Encais'!$AU$102</f>
        <v>466.7662038410777</v>
      </c>
      <c r="N168" s="2553">
        <f t="shared" si="60"/>
        <v>150.69526376528262</v>
      </c>
      <c r="O168" s="2553">
        <f t="shared" si="61"/>
        <v>217.59474211357528</v>
      </c>
    </row>
    <row r="169" spans="2:17" ht="12" customHeight="1">
      <c r="B169" s="2563" t="s">
        <v>1101</v>
      </c>
      <c r="C169" s="2599">
        <f>'calcul-DCC-TX-Encais'!$BF$8</f>
        <v>0</v>
      </c>
      <c r="D169" s="2599">
        <f>'calcul-DCC-TX-Encais'!$T$24</f>
        <v>2.6587628900000002</v>
      </c>
      <c r="E169" s="2599">
        <f>'calcul-DCC-TX-Encais'!$BF$24</f>
        <v>5.0248015300000004</v>
      </c>
      <c r="F169" s="2599"/>
      <c r="G169" s="2600"/>
      <c r="H169" s="2601"/>
      <c r="I169" s="2600"/>
      <c r="J169" s="2601"/>
      <c r="K169" s="2564"/>
      <c r="L169" s="2564"/>
      <c r="M169" s="2564"/>
      <c r="N169" s="2564"/>
      <c r="O169" s="2564"/>
    </row>
    <row r="170" spans="2:17" ht="12" customHeight="1">
      <c r="B170" s="2563" t="s">
        <v>1102</v>
      </c>
      <c r="C170" s="2599">
        <f>C168-C169</f>
        <v>314.637</v>
      </c>
      <c r="D170" s="2599">
        <f>D168-D169</f>
        <v>360.48157273999999</v>
      </c>
      <c r="E170" s="2599">
        <f>E168-E169</f>
        <v>562.66619847000004</v>
      </c>
      <c r="F170" s="2599">
        <f>F168-F169</f>
        <v>162.4436838080577</v>
      </c>
      <c r="G170" s="2600"/>
      <c r="H170" s="2601"/>
      <c r="I170" s="2600"/>
      <c r="J170" s="2601"/>
      <c r="K170" s="2564"/>
      <c r="L170" s="2564"/>
      <c r="M170" s="2564"/>
      <c r="N170" s="2564"/>
      <c r="O170" s="2564"/>
    </row>
    <row r="171" spans="2:17" ht="12" customHeight="1">
      <c r="B171" s="2557" t="s">
        <v>185</v>
      </c>
      <c r="C171" s="2595">
        <f>'calcul-DCC-TX-Encais'!$AQ$8</f>
        <v>10.38730266</v>
      </c>
      <c r="D171" s="2595">
        <f>'calcul-DCC-TX-Encais'!$E$24</f>
        <v>18.221117079999999</v>
      </c>
      <c r="E171" s="2595">
        <f>'Feuil-saisie'!C124/1000</f>
        <v>17.042999999999999</v>
      </c>
      <c r="F171" s="2595">
        <f>C171*0.824544592644118</f>
        <v>8.5647942404608628</v>
      </c>
      <c r="G171" s="2596">
        <f t="shared" si="56"/>
        <v>-1.1781170799999998</v>
      </c>
      <c r="H171" s="2597">
        <f t="shared" si="57"/>
        <v>-6.4656687887326827</v>
      </c>
      <c r="I171" s="2596">
        <f t="shared" si="58"/>
        <v>8.4782057595391365</v>
      </c>
      <c r="J171" s="2597">
        <f t="shared" si="59"/>
        <v>50.25402945761229</v>
      </c>
      <c r="K171" s="2553">
        <v>21.517498144895281</v>
      </c>
      <c r="L171" s="2553">
        <f>'calcul-DCC-TX-Encais'!$E$102</f>
        <v>102.88262069992336</v>
      </c>
      <c r="M171" s="2553">
        <f>'calcul-DCC-TX-Encais'!$AQ$102</f>
        <v>78.049086746500507</v>
      </c>
      <c r="N171" s="2553">
        <f t="shared" si="60"/>
        <v>-24.833533953422858</v>
      </c>
      <c r="O171" s="2553">
        <f t="shared" si="61"/>
        <v>56.531588601605222</v>
      </c>
    </row>
    <row r="172" spans="2:17" ht="12" customHeight="1">
      <c r="B172" s="2563" t="s">
        <v>1103</v>
      </c>
      <c r="C172" s="2599">
        <f>'calcul-DCC-TX-Encais'!$BE$8</f>
        <v>2.6587628900000002</v>
      </c>
      <c r="D172" s="2599">
        <f>'calcul-DCC-TX-Encais'!$S$24</f>
        <v>0</v>
      </c>
      <c r="E172" s="2599">
        <f>'calcul-DCC-TX-Encais'!$BE$24</f>
        <v>0</v>
      </c>
      <c r="F172" s="2599"/>
      <c r="G172" s="2600"/>
      <c r="H172" s="2601"/>
      <c r="I172" s="2600"/>
      <c r="J172" s="2601"/>
      <c r="K172" s="2564"/>
      <c r="L172" s="2564"/>
      <c r="M172" s="2564"/>
      <c r="N172" s="2564"/>
      <c r="O172" s="2564"/>
    </row>
    <row r="173" spans="2:17" ht="12" customHeight="1">
      <c r="B173" s="2563" t="s">
        <v>1104</v>
      </c>
      <c r="C173" s="2599">
        <f>C171-C172</f>
        <v>7.7285397699999994</v>
      </c>
      <c r="D173" s="2599">
        <f>D171-D172</f>
        <v>18.221117079999999</v>
      </c>
      <c r="E173" s="2599">
        <f>E171-E172</f>
        <v>17.042999999999999</v>
      </c>
      <c r="F173" s="2599"/>
      <c r="G173" s="2600"/>
      <c r="H173" s="2601"/>
      <c r="I173" s="2600"/>
      <c r="J173" s="2601"/>
      <c r="K173" s="2564"/>
      <c r="L173" s="2564"/>
      <c r="M173" s="2564"/>
      <c r="N173" s="2564"/>
      <c r="O173" s="2564"/>
    </row>
    <row r="174" spans="2:17" ht="12" customHeight="1">
      <c r="B174" s="2589" t="s">
        <v>278</v>
      </c>
      <c r="C174" s="2590">
        <f>C175+C178</f>
        <v>659.01199999999994</v>
      </c>
      <c r="D174" s="2590">
        <f>D175+D178</f>
        <v>757.03817139</v>
      </c>
      <c r="E174" s="2590">
        <f>E175+E178</f>
        <v>1047.22306151</v>
      </c>
      <c r="F174" s="2590">
        <f>F175+F178</f>
        <v>306.22340853651292</v>
      </c>
      <c r="G174" s="2591">
        <f t="shared" si="56"/>
        <v>290.18489011999998</v>
      </c>
      <c r="H174" s="2592">
        <f t="shared" si="57"/>
        <v>38.331606131192913</v>
      </c>
      <c r="I174" s="2591">
        <f t="shared" si="58"/>
        <v>740.99965297348706</v>
      </c>
      <c r="J174" s="2592">
        <f t="shared" si="59"/>
        <v>29.241469157007177</v>
      </c>
      <c r="K174" s="2593">
        <v>151.59169261691923</v>
      </c>
      <c r="L174" s="2593">
        <f>'calcul-DCC-TX-Encais'!$E$118</f>
        <v>184.42466026195348</v>
      </c>
      <c r="M174" s="2593">
        <f>'calcul-DCC-TX-Encais'!$AQ$152</f>
        <v>201.37433720496097</v>
      </c>
      <c r="N174" s="2593">
        <f t="shared" si="60"/>
        <v>16.949676943007489</v>
      </c>
      <c r="O174" s="2593">
        <f t="shared" si="61"/>
        <v>49.782644588041734</v>
      </c>
    </row>
    <row r="175" spans="2:17" ht="12" customHeight="1">
      <c r="B175" s="2594" t="s">
        <v>554</v>
      </c>
      <c r="C175" s="2602">
        <f>'calcul-DCC-TX-Encais'!$AP$8</f>
        <v>363.79899999999998</v>
      </c>
      <c r="D175" s="2602">
        <f>'calcul-DCC-TX-Encais'!$D$24</f>
        <v>353.13390029999999</v>
      </c>
      <c r="E175" s="2602">
        <f>'Feuil-saisie'!C127/1000</f>
        <v>580.23</v>
      </c>
      <c r="F175" s="2602">
        <f>C175*0.315515773988161</f>
        <v>114.78432306111898</v>
      </c>
      <c r="G175" s="2603">
        <f t="shared" si="56"/>
        <v>227.09609970000002</v>
      </c>
      <c r="H175" s="2604">
        <f t="shared" si="57"/>
        <v>64.308779051536462</v>
      </c>
      <c r="I175" s="2603">
        <f t="shared" si="58"/>
        <v>465.44567693888104</v>
      </c>
      <c r="J175" s="2604">
        <f t="shared" si="59"/>
        <v>19.782555721200037</v>
      </c>
      <c r="K175" s="2553">
        <v>122.74008625114861</v>
      </c>
      <c r="L175" s="2553">
        <f>'calcul-DCC-TX-Encais'!$D$102</f>
        <v>126.2245097350133</v>
      </c>
      <c r="M175" s="2553">
        <f>'calcul-DCC-TX-Encais'!$AP$102</f>
        <v>156.98633015584554</v>
      </c>
      <c r="N175" s="2553">
        <f t="shared" si="60"/>
        <v>30.761820420832237</v>
      </c>
      <c r="O175" s="2553">
        <f t="shared" si="61"/>
        <v>34.246243904696925</v>
      </c>
    </row>
    <row r="176" spans="2:17" ht="12" customHeight="1">
      <c r="B176" s="2605" t="s">
        <v>295</v>
      </c>
      <c r="C176" s="2606">
        <f>C175-C177</f>
        <v>100.11548152</v>
      </c>
      <c r="D176" s="2606">
        <f>D175-D177</f>
        <v>166.14708077999998</v>
      </c>
      <c r="E176" s="2606">
        <f>E175-E177</f>
        <v>162.91801486000003</v>
      </c>
      <c r="F176" s="2606">
        <f>C176*0.315515773988161</f>
        <v>31.588013639980229</v>
      </c>
      <c r="G176" s="2607">
        <f t="shared" si="56"/>
        <v>-3.2290659199999538</v>
      </c>
      <c r="H176" s="2608">
        <f t="shared" si="57"/>
        <v>-1.9434984381553178</v>
      </c>
      <c r="I176" s="2607">
        <f t="shared" si="58"/>
        <v>131.3300012200198</v>
      </c>
      <c r="J176" s="2608">
        <f t="shared" si="59"/>
        <v>19.388901630752549</v>
      </c>
      <c r="K176" s="2553">
        <v>31.477559952647617</v>
      </c>
      <c r="L176" s="2553">
        <f>'calcul-DCC-TX-Encais'!$V$102</f>
        <v>59.387767069496356</v>
      </c>
      <c r="M176" s="2553">
        <f>'calcul-DCC-TX-Encais'!$BH$102</f>
        <v>53.697844577024959</v>
      </c>
      <c r="N176" s="2553">
        <f t="shared" si="60"/>
        <v>-5.6899224924713963</v>
      </c>
      <c r="O176" s="2553">
        <f t="shared" si="61"/>
        <v>22.220284624377342</v>
      </c>
    </row>
    <row r="177" spans="2:15" ht="12" customHeight="1">
      <c r="B177" s="2605" t="s">
        <v>296</v>
      </c>
      <c r="C177" s="2606">
        <f>'calcul-DCC-TX-Encais'!$BB$8</f>
        <v>263.68351847999998</v>
      </c>
      <c r="D177" s="2606">
        <f>'calcul-DCC-TX-Encais'!$P$24</f>
        <v>186.98681952000001</v>
      </c>
      <c r="E177" s="2606">
        <f>'Feuil-saisie'!C128/1000</f>
        <v>417.31198513999999</v>
      </c>
      <c r="F177" s="2606">
        <f>F175-F176</f>
        <v>83.19630942113875</v>
      </c>
      <c r="G177" s="2607">
        <f t="shared" si="56"/>
        <v>230.32516561999998</v>
      </c>
      <c r="H177" s="2608">
        <f t="shared" si="57"/>
        <v>123.17721976942045</v>
      </c>
      <c r="I177" s="2607">
        <f t="shared" si="58"/>
        <v>334.11567571886121</v>
      </c>
      <c r="J177" s="2608">
        <f t="shared" si="59"/>
        <v>19.936237727087569</v>
      </c>
      <c r="K177" s="2553"/>
      <c r="L177" s="2553"/>
      <c r="M177" s="2553"/>
      <c r="N177" s="2553"/>
      <c r="O177" s="2553"/>
    </row>
    <row r="178" spans="2:15" ht="12" customHeight="1">
      <c r="B178" s="2562" t="s">
        <v>603</v>
      </c>
      <c r="C178" s="2595">
        <f>'calcul-DCC-TX-Encais'!$AT$8</f>
        <v>295.21300000000002</v>
      </c>
      <c r="D178" s="2595">
        <f>'calcul-DCC-TX-Encais'!$H$24</f>
        <v>403.90427109000001</v>
      </c>
      <c r="E178" s="2595">
        <f>'Feuil-saisie'!C126/1000</f>
        <v>466.99306151000002</v>
      </c>
      <c r="F178" s="2595">
        <f>C178*0.648477829483776</f>
        <v>191.43908547539397</v>
      </c>
      <c r="G178" s="2596">
        <f t="shared" si="56"/>
        <v>63.088790420000009</v>
      </c>
      <c r="H178" s="2609">
        <f t="shared" si="57"/>
        <v>15.619738372596274</v>
      </c>
      <c r="I178" s="2596">
        <f t="shared" si="58"/>
        <v>275.55397603460608</v>
      </c>
      <c r="J178" s="2609">
        <f t="shared" si="59"/>
        <v>40.993989258937752</v>
      </c>
      <c r="K178" s="2553">
        <v>213.41145345350688</v>
      </c>
      <c r="L178" s="2553">
        <f>'calcul-DCC-TX-Encais'!$H$102</f>
        <v>308.98451631720991</v>
      </c>
      <c r="M178" s="2553">
        <f>'calcul-DCC-TX-Encais'!$AT$102</f>
        <v>310.43349335372733</v>
      </c>
      <c r="N178" s="2553">
        <f>M178-L178</f>
        <v>1.4489770365174195</v>
      </c>
      <c r="O178" s="2553">
        <f>M178-K178</f>
        <v>97.022039900220449</v>
      </c>
    </row>
    <row r="179" spans="2:15" ht="12" customHeight="1">
      <c r="B179" s="2567" t="s">
        <v>915</v>
      </c>
      <c r="C179" s="2610">
        <f>C178-C180</f>
        <v>295.21300000000002</v>
      </c>
      <c r="D179" s="2610">
        <f>D178-D180</f>
        <v>403.90427109000001</v>
      </c>
      <c r="E179" s="2610">
        <f>E178-E180</f>
        <v>466.99306151000002</v>
      </c>
      <c r="F179" s="2595">
        <f>C179*0.648477829483776</f>
        <v>191.43908547539397</v>
      </c>
      <c r="G179" s="2596">
        <f t="shared" si="56"/>
        <v>63.088790420000009</v>
      </c>
      <c r="H179" s="2609">
        <f t="shared" si="57"/>
        <v>15.619738372596274</v>
      </c>
      <c r="I179" s="2596">
        <f t="shared" si="58"/>
        <v>275.55397603460608</v>
      </c>
      <c r="J179" s="2609">
        <f t="shared" si="59"/>
        <v>40.993989258937752</v>
      </c>
      <c r="K179" s="2569"/>
      <c r="L179" s="2569"/>
      <c r="M179" s="2569"/>
      <c r="N179" s="2569"/>
      <c r="O179" s="2569"/>
    </row>
    <row r="180" spans="2:15" ht="12" customHeight="1">
      <c r="B180" s="2567" t="s">
        <v>916</v>
      </c>
      <c r="C180" s="2610">
        <f>'calcul-DCC-TX-Encais'!$BD$8</f>
        <v>0</v>
      </c>
      <c r="D180" s="2610">
        <f>'calcul-DCC-TX-Encais'!$R$24</f>
        <v>0</v>
      </c>
      <c r="E180" s="2610">
        <f>'Feuil-saisie'!C131/1000</f>
        <v>0</v>
      </c>
      <c r="F180" s="2610">
        <f>F178-F179</f>
        <v>0</v>
      </c>
      <c r="G180" s="2611"/>
      <c r="H180" s="2612"/>
      <c r="I180" s="2611"/>
      <c r="J180" s="2612"/>
      <c r="K180" s="2569"/>
      <c r="L180" s="2569"/>
      <c r="M180" s="2569"/>
      <c r="N180" s="2569"/>
      <c r="O180" s="2569"/>
    </row>
    <row r="181" spans="2:15" ht="12" customHeight="1">
      <c r="B181" s="2589" t="s">
        <v>613</v>
      </c>
      <c r="C181" s="2590">
        <f>C164+C167+C174</f>
        <v>2834.7477430700001</v>
      </c>
      <c r="D181" s="2590">
        <f>D164+D167+D174</f>
        <v>3646.8337246600004</v>
      </c>
      <c r="E181" s="2590">
        <f>E164+E167+E174</f>
        <v>4495.9507639000003</v>
      </c>
      <c r="F181" s="2590">
        <f>F164+F167+F174</f>
        <v>2276.7153211851341</v>
      </c>
      <c r="G181" s="2591">
        <f t="shared" ref="G181:G189" si="62">E181-D181</f>
        <v>849.11703923999994</v>
      </c>
      <c r="H181" s="2604">
        <f t="shared" ref="H181:H189" si="63">((E181-D181)/D181)*100</f>
        <v>23.283678482466716</v>
      </c>
      <c r="I181" s="2591">
        <f t="shared" ref="I181:I189" si="64">E181-F181</f>
        <v>2219.2354427148662</v>
      </c>
      <c r="J181" s="2604">
        <f t="shared" ref="J181:J189" si="65">F181/E181*100</f>
        <v>50.639240524293548</v>
      </c>
      <c r="K181" s="2593">
        <v>148.5714386186657</v>
      </c>
      <c r="L181" s="2593">
        <f>'calcul-DCC-TX-Encais'!$K$102</f>
        <v>214.19391170977471</v>
      </c>
      <c r="M181" s="2593">
        <f>'calcul-DCC-TX-Encais'!$AW$102</f>
        <v>194.22707062629726</v>
      </c>
      <c r="N181" s="2593">
        <f>M181-L181</f>
        <v>-19.966841083477448</v>
      </c>
      <c r="O181" s="2593">
        <f>M181-K181</f>
        <v>45.655632007631567</v>
      </c>
    </row>
    <row r="182" spans="2:15" ht="12" customHeight="1">
      <c r="B182" s="2613" t="s">
        <v>611</v>
      </c>
      <c r="C182" s="2614">
        <f>C183+C184</f>
        <v>2128.9705592599998</v>
      </c>
      <c r="D182" s="2614">
        <f>D183+D184</f>
        <v>1231.5115382160002</v>
      </c>
      <c r="E182" s="2614">
        <f>E183+E184</f>
        <v>2159.8268183199984</v>
      </c>
      <c r="F182" s="2614">
        <f>F183+F184</f>
        <v>124.87567537845929</v>
      </c>
      <c r="G182" s="2603">
        <f t="shared" si="62"/>
        <v>928.31528010399825</v>
      </c>
      <c r="H182" s="2604">
        <f t="shared" si="63"/>
        <v>75.380152868789196</v>
      </c>
      <c r="I182" s="2603">
        <f t="shared" si="64"/>
        <v>2034.951142941539</v>
      </c>
      <c r="J182" s="2604">
        <f t="shared" si="65"/>
        <v>5.7817448287632942</v>
      </c>
      <c r="K182" s="2553"/>
      <c r="L182" s="2553"/>
      <c r="M182" s="2553"/>
      <c r="N182" s="2553"/>
      <c r="O182" s="2553"/>
    </row>
    <row r="183" spans="2:15" ht="12" customHeight="1">
      <c r="B183" s="2615" t="s">
        <v>318</v>
      </c>
      <c r="C183" s="2595">
        <f>'calcul-DCC-TX-Encais'!$AX$8</f>
        <v>2122.5854498799999</v>
      </c>
      <c r="D183" s="2595">
        <f>'calcul-DCC-TX-Encais'!$L$24</f>
        <v>1224.7550865060002</v>
      </c>
      <c r="E183" s="2595">
        <f>'Feuil-saisie'!C136/1000</f>
        <v>2149.9924635699986</v>
      </c>
      <c r="F183" s="2595">
        <f>C183*0.0578745895135454</f>
        <v>122.84376161922908</v>
      </c>
      <c r="G183" s="2596">
        <f t="shared" si="62"/>
        <v>925.23737706399834</v>
      </c>
      <c r="H183" s="2616">
        <f t="shared" si="63"/>
        <v>75.544685403473565</v>
      </c>
      <c r="I183" s="2596">
        <f t="shared" si="64"/>
        <v>2027.1487019507695</v>
      </c>
      <c r="J183" s="2616">
        <f t="shared" si="65"/>
        <v>5.7136833593942313</v>
      </c>
      <c r="K183" s="2553"/>
      <c r="L183" s="2553"/>
      <c r="M183" s="2553"/>
      <c r="N183" s="2553"/>
      <c r="O183" s="2553"/>
    </row>
    <row r="184" spans="2:15" ht="12" customHeight="1">
      <c r="B184" s="2615" t="s">
        <v>319</v>
      </c>
      <c r="C184" s="2595">
        <f>'calcul-DCC-TX-Encais'!$AY$8</f>
        <v>6.3851093799999994</v>
      </c>
      <c r="D184" s="2595">
        <f>'calcul-DCC-TX-Encais'!$M$24</f>
        <v>6.7564517099999977</v>
      </c>
      <c r="E184" s="2595">
        <f>'Feuil-saisie'!C137/1000</f>
        <v>9.834354750000001</v>
      </c>
      <c r="F184" s="2595">
        <f>C184*0.318226930551063</f>
        <v>2.0319137592302008</v>
      </c>
      <c r="G184" s="2596">
        <f t="shared" si="62"/>
        <v>3.0779030400000034</v>
      </c>
      <c r="H184" s="2616">
        <f t="shared" si="63"/>
        <v>45.555021660918591</v>
      </c>
      <c r="I184" s="2596">
        <f t="shared" si="64"/>
        <v>7.8024409907698002</v>
      </c>
      <c r="J184" s="2616">
        <f t="shared" si="65"/>
        <v>20.66138359743633</v>
      </c>
      <c r="K184" s="2553"/>
      <c r="L184" s="2553"/>
      <c r="M184" s="2553"/>
      <c r="N184" s="2553"/>
      <c r="O184" s="2553"/>
    </row>
    <row r="185" spans="2:15" ht="12" customHeight="1">
      <c r="B185" s="2617" t="s">
        <v>606</v>
      </c>
      <c r="C185" s="2618">
        <f>C181+C182</f>
        <v>4963.7183023300004</v>
      </c>
      <c r="D185" s="2618">
        <f>D181+D182</f>
        <v>4878.3452628760006</v>
      </c>
      <c r="E185" s="2618">
        <f>E181+E182</f>
        <v>6655.7775822199983</v>
      </c>
      <c r="F185" s="2618">
        <f>F181+F182</f>
        <v>2401.5909965635933</v>
      </c>
      <c r="G185" s="2596">
        <f t="shared" si="62"/>
        <v>1777.4323193439977</v>
      </c>
      <c r="H185" s="2616">
        <f t="shared" si="63"/>
        <v>36.435148058711256</v>
      </c>
      <c r="I185" s="2596">
        <f t="shared" si="64"/>
        <v>4254.1865856564054</v>
      </c>
      <c r="J185" s="2616">
        <f t="shared" si="65"/>
        <v>36.0828012489347</v>
      </c>
      <c r="K185" s="2553"/>
      <c r="L185" s="2553"/>
      <c r="M185" s="2553"/>
      <c r="N185" s="2553"/>
      <c r="O185" s="2553"/>
    </row>
    <row r="186" spans="2:15" ht="12" customHeight="1">
      <c r="B186" s="2619" t="s">
        <v>607</v>
      </c>
      <c r="C186" s="2590">
        <f>C187+C188</f>
        <v>14.99511571</v>
      </c>
      <c r="D186" s="2590">
        <f>D187+D188</f>
        <v>13.255698430000001</v>
      </c>
      <c r="E186" s="2590">
        <f>E187+E188</f>
        <v>18.47395027</v>
      </c>
      <c r="F186" s="2590">
        <f>F187+F188</f>
        <v>4.2532009639304835</v>
      </c>
      <c r="G186" s="2591">
        <f t="shared" si="62"/>
        <v>5.2182518399999989</v>
      </c>
      <c r="H186" s="2604">
        <f t="shared" si="63"/>
        <v>39.366102567558173</v>
      </c>
      <c r="I186" s="2591">
        <f t="shared" si="64"/>
        <v>14.220749306069516</v>
      </c>
      <c r="J186" s="2604">
        <f t="shared" si="65"/>
        <v>23.022693586207666</v>
      </c>
      <c r="K186" s="2593">
        <v>224.29682274785327</v>
      </c>
      <c r="L186" s="2593">
        <f>'calcul-DCC-TX-Encais'!$BW$102</f>
        <v>263.82471025159464</v>
      </c>
      <c r="M186" s="2593">
        <f>'calcul-DCC-TX-Encais'!$BW$102</f>
        <v>263.82471025159464</v>
      </c>
      <c r="N186" s="2593">
        <f>M186-L186</f>
        <v>0</v>
      </c>
      <c r="O186" s="2593">
        <f>M186-K186</f>
        <v>39.527887503741368</v>
      </c>
    </row>
    <row r="187" spans="2:15" ht="12" customHeight="1">
      <c r="B187" s="2557" t="s">
        <v>198</v>
      </c>
      <c r="C187" s="2595">
        <f>'calcul-DCC-TX-Encais'!$BU$8</f>
        <v>0</v>
      </c>
      <c r="D187" s="2595">
        <f>'calcul-DCC-TX-Encais'!$AI$24</f>
        <v>0</v>
      </c>
      <c r="E187" s="2595">
        <f>'Feuil-saisie'!$C$139/1000</f>
        <v>0</v>
      </c>
      <c r="F187" s="2595">
        <f>C187*0.283639089299864</f>
        <v>0</v>
      </c>
      <c r="G187" s="2620">
        <f t="shared" si="62"/>
        <v>0</v>
      </c>
      <c r="H187" s="2621" t="e">
        <f t="shared" si="63"/>
        <v>#DIV/0!</v>
      </c>
      <c r="I187" s="2620">
        <f t="shared" si="64"/>
        <v>0</v>
      </c>
      <c r="J187" s="2621" t="e">
        <f t="shared" si="65"/>
        <v>#DIV/0!</v>
      </c>
      <c r="K187" s="2553"/>
      <c r="L187" s="2553"/>
      <c r="M187" s="2553">
        <f>'calcul-DCC-TX-Encais'!$BU$102</f>
        <v>0</v>
      </c>
      <c r="N187" s="2553">
        <f>M187-L187</f>
        <v>0</v>
      </c>
      <c r="O187" s="2553">
        <f>M187-K187</f>
        <v>0</v>
      </c>
    </row>
    <row r="188" spans="2:15" ht="12" customHeight="1">
      <c r="B188" s="2557" t="s">
        <v>199</v>
      </c>
      <c r="C188" s="2595">
        <f>'calcul-DCC-TX-Encais'!$BV$8</f>
        <v>14.99511571</v>
      </c>
      <c r="D188" s="2595">
        <f>'calcul-DCC-TX-Encais'!$AJ$24</f>
        <v>13.255698430000001</v>
      </c>
      <c r="E188" s="2595">
        <f>'Feuil-saisie'!$C$140/1000</f>
        <v>18.47395027</v>
      </c>
      <c r="F188" s="2595">
        <f>C188*0.283639089299864</f>
        <v>4.2532009639304835</v>
      </c>
      <c r="G188" s="2620">
        <f t="shared" si="62"/>
        <v>5.2182518399999989</v>
      </c>
      <c r="H188" s="2621">
        <f t="shared" si="63"/>
        <v>39.366102567558173</v>
      </c>
      <c r="I188" s="2620">
        <f t="shared" si="64"/>
        <v>14.220749306069516</v>
      </c>
      <c r="J188" s="2621">
        <f t="shared" si="65"/>
        <v>23.022693586207666</v>
      </c>
      <c r="K188" s="2553">
        <v>224.29682274785327</v>
      </c>
      <c r="L188" s="2553">
        <f>'calcul-DCC-TX-Encais'!$BV$102</f>
        <v>263.82471025159464</v>
      </c>
      <c r="M188" s="2553">
        <f>'calcul-DCC-TX-Encais'!$BV$102</f>
        <v>263.82471025159464</v>
      </c>
      <c r="N188" s="2553">
        <f>M188-L188</f>
        <v>0</v>
      </c>
      <c r="O188" s="2553">
        <f>M188-K188</f>
        <v>39.527887503741368</v>
      </c>
    </row>
    <row r="189" spans="2:15" ht="12" customHeight="1">
      <c r="B189" s="2577" t="s">
        <v>612</v>
      </c>
      <c r="C189" s="2579">
        <f>C186+C185</f>
        <v>4978.7134180400008</v>
      </c>
      <c r="D189" s="2579">
        <f>D186+D185</f>
        <v>4891.6009613060005</v>
      </c>
      <c r="E189" s="2578">
        <f>E185+E186</f>
        <v>6674.2515324899987</v>
      </c>
      <c r="F189" s="2579">
        <f>F185+F186</f>
        <v>2405.8441975275236</v>
      </c>
      <c r="G189" s="2622">
        <f t="shared" si="62"/>
        <v>1782.6505711839982</v>
      </c>
      <c r="H189" s="2623">
        <f t="shared" si="63"/>
        <v>36.443090621767546</v>
      </c>
      <c r="I189" s="2622">
        <f t="shared" si="64"/>
        <v>4268.407334962475</v>
      </c>
      <c r="J189" s="2623">
        <f t="shared" si="65"/>
        <v>36.046651610535903</v>
      </c>
      <c r="K189" s="2553"/>
      <c r="L189" s="2553"/>
      <c r="M189" s="2553"/>
      <c r="N189" s="2553"/>
      <c r="O189" s="2553"/>
    </row>
    <row r="190" spans="2:15" ht="12" customHeight="1">
      <c r="K190" s="2624"/>
      <c r="L190" s="2624"/>
      <c r="M190" s="2624"/>
      <c r="N190" s="2624"/>
      <c r="O190" s="2624"/>
    </row>
    <row r="191" spans="2:15" ht="12" customHeight="1">
      <c r="M191" s="2535"/>
    </row>
    <row r="192" spans="2:15" ht="12" customHeight="1">
      <c r="B192" s="2539" t="s">
        <v>397</v>
      </c>
      <c r="C192" s="3212" t="s">
        <v>281</v>
      </c>
      <c r="D192" s="3213"/>
      <c r="E192" s="3213"/>
      <c r="F192" s="3214"/>
      <c r="G192" s="3215" t="s">
        <v>597</v>
      </c>
      <c r="H192" s="3216"/>
      <c r="I192" s="2545" t="s">
        <v>598</v>
      </c>
      <c r="J192" s="2546"/>
      <c r="K192" s="2547" t="s">
        <v>358</v>
      </c>
      <c r="L192" s="2548"/>
      <c r="M192" s="2548"/>
      <c r="N192" s="2548"/>
      <c r="O192" s="2549"/>
    </row>
    <row r="193" spans="2:17" ht="12" customHeight="1">
      <c r="B193" s="2550"/>
      <c r="C193" s="2551">
        <f>C163</f>
        <v>45291</v>
      </c>
      <c r="D193" s="2551">
        <f t="shared" ref="D193:O193" si="66">D163</f>
        <v>45139</v>
      </c>
      <c r="E193" s="2551">
        <f t="shared" si="66"/>
        <v>45505</v>
      </c>
      <c r="F193" s="2552" t="str">
        <f t="shared" si="66"/>
        <v>Obj 2024</v>
      </c>
      <c r="G193" s="2552" t="str">
        <f t="shared" si="66"/>
        <v>MDA</v>
      </c>
      <c r="H193" s="2552" t="str">
        <f t="shared" si="66"/>
        <v>%</v>
      </c>
      <c r="I193" s="2552" t="str">
        <f t="shared" si="66"/>
        <v>MDA</v>
      </c>
      <c r="J193" s="2552" t="str">
        <f t="shared" si="66"/>
        <v>%</v>
      </c>
      <c r="K193" s="2551">
        <f t="shared" si="66"/>
        <v>45291</v>
      </c>
      <c r="L193" s="2551">
        <f t="shared" si="66"/>
        <v>45139</v>
      </c>
      <c r="M193" s="2551">
        <f t="shared" si="66"/>
        <v>45505</v>
      </c>
      <c r="N193" s="2553" t="str">
        <f t="shared" si="66"/>
        <v>écart mois</v>
      </c>
      <c r="O193" s="2553" t="str">
        <f t="shared" si="66"/>
        <v>écart année</v>
      </c>
    </row>
    <row r="194" spans="2:17" ht="12" customHeight="1">
      <c r="B194" s="2589" t="s">
        <v>277</v>
      </c>
      <c r="C194" s="2590">
        <f>'calcul-DCC-TX-Encais'!$AO$9</f>
        <v>1809.7843905299994</v>
      </c>
      <c r="D194" s="2590">
        <f>'calcul-DCC-TX-Encais'!$C$25</f>
        <v>1989.0093211799999</v>
      </c>
      <c r="E194" s="2590">
        <f>E195+E196</f>
        <v>2368.0157871499987</v>
      </c>
      <c r="F194" s="2590">
        <f>F195+F196</f>
        <v>1759.6892523856147</v>
      </c>
      <c r="G194" s="2591">
        <f t="shared" ref="G194:G209" si="67">E194-D194</f>
        <v>379.00646596999877</v>
      </c>
      <c r="H194" s="2592">
        <f t="shared" ref="H194:H209" si="68">((E194-D194)/D194)*100</f>
        <v>19.055037195358608</v>
      </c>
      <c r="I194" s="2591">
        <f t="shared" ref="I194:I209" si="69">E194-F194</f>
        <v>608.32653476438395</v>
      </c>
      <c r="J194" s="2592">
        <f t="shared" ref="J194:J209" si="70">F194/E194*100</f>
        <v>74.310706116679697</v>
      </c>
      <c r="K194" s="2593">
        <v>155.65783995746156</v>
      </c>
      <c r="L194" s="2593">
        <f>'calcul-DCC-TX-Encais'!$C$103</f>
        <v>134.58805955040293</v>
      </c>
      <c r="M194" s="2593">
        <f>'calcul-DCC-TX-Encais'!$AO$103</f>
        <v>206.58290344736758</v>
      </c>
      <c r="N194" s="2593">
        <f>M194-L194</f>
        <v>71.994843896964653</v>
      </c>
      <c r="O194" s="2593">
        <f>M194-K194</f>
        <v>50.925063489906023</v>
      </c>
      <c r="P194" s="2534">
        <v>1565.1511235038822</v>
      </c>
    </row>
    <row r="195" spans="2:17" ht="12" customHeight="1">
      <c r="B195" s="2594" t="s">
        <v>609</v>
      </c>
      <c r="C195" s="2595">
        <f>'enc-ag'!D75</f>
        <v>1809.7843905299997</v>
      </c>
      <c r="D195" s="2595">
        <f>'enc-ag'!N75</f>
        <v>1989.009321179999</v>
      </c>
      <c r="E195" s="2595">
        <f>'Feuil-saisie'!C145/1000</f>
        <v>2368.0157871499987</v>
      </c>
      <c r="F195" s="2595">
        <f>C195*0.972319830800555</f>
        <v>1759.6892523856147</v>
      </c>
      <c r="G195" s="2596">
        <f t="shared" si="67"/>
        <v>379.00646596999968</v>
      </c>
      <c r="H195" s="2597">
        <f t="shared" si="68"/>
        <v>19.055037195358665</v>
      </c>
      <c r="I195" s="2596">
        <f t="shared" si="69"/>
        <v>608.32653476438395</v>
      </c>
      <c r="J195" s="2597">
        <f t="shared" si="70"/>
        <v>74.310706116679697</v>
      </c>
      <c r="K195" s="2553">
        <v>155.65783995746162</v>
      </c>
      <c r="L195" s="2553">
        <f>'enc-ag'!P75</f>
        <v>188.00322472641722</v>
      </c>
      <c r="M195" s="2553">
        <f>'enc-ag'!J75</f>
        <v>206.58290344736758</v>
      </c>
      <c r="N195" s="2553">
        <f>M195-L195</f>
        <v>18.579678720950369</v>
      </c>
      <c r="O195" s="2553">
        <f>M195-K195</f>
        <v>50.925063489905966</v>
      </c>
      <c r="P195" s="2534">
        <f>F195/F194</f>
        <v>1</v>
      </c>
      <c r="Q195" s="2534">
        <f>P194*P195</f>
        <v>1565.1511235038822</v>
      </c>
    </row>
    <row r="196" spans="2:17" ht="12" customHeight="1">
      <c r="B196" s="2594" t="s">
        <v>279</v>
      </c>
      <c r="C196" s="2595">
        <f>C194-C195</f>
        <v>0</v>
      </c>
      <c r="D196" s="2595">
        <f>D194-D195</f>
        <v>0</v>
      </c>
      <c r="E196" s="2595">
        <f>'Feuil-saisie'!C146/1000</f>
        <v>0</v>
      </c>
      <c r="F196" s="2595">
        <f>C196*0.972319830800555</f>
        <v>0</v>
      </c>
      <c r="G196" s="2596">
        <f t="shared" si="67"/>
        <v>0</v>
      </c>
      <c r="H196" s="2597" t="e">
        <f t="shared" si="68"/>
        <v>#DIV/0!</v>
      </c>
      <c r="I196" s="2596">
        <f t="shared" si="69"/>
        <v>0</v>
      </c>
      <c r="J196" s="2597" t="e">
        <f t="shared" si="70"/>
        <v>#DIV/0!</v>
      </c>
      <c r="K196" s="2553"/>
      <c r="L196" s="2553"/>
      <c r="M196" s="2553"/>
      <c r="N196" s="2553"/>
      <c r="O196" s="2553"/>
      <c r="P196" s="2534">
        <f>1-P195</f>
        <v>0</v>
      </c>
      <c r="Q196" s="2534">
        <f>P194*P196</f>
        <v>0</v>
      </c>
    </row>
    <row r="197" spans="2:17" ht="12" customHeight="1">
      <c r="B197" s="2598" t="s">
        <v>1181</v>
      </c>
      <c r="C197" s="2590">
        <f>C198+C201</f>
        <v>276.97284998653288</v>
      </c>
      <c r="D197" s="2590">
        <f>D198+D201</f>
        <v>273.79374932653286</v>
      </c>
      <c r="E197" s="2590">
        <f>E198+E201</f>
        <v>265.72884999653297</v>
      </c>
      <c r="F197" s="2590">
        <f>F198+F201</f>
        <v>143.40524782012963</v>
      </c>
      <c r="G197" s="2591">
        <f t="shared" si="67"/>
        <v>-8.0648993299998892</v>
      </c>
      <c r="H197" s="2592">
        <f t="shared" si="68"/>
        <v>-2.9456111944986372</v>
      </c>
      <c r="I197" s="2591">
        <f t="shared" si="69"/>
        <v>122.32360217640334</v>
      </c>
      <c r="J197" s="2592">
        <f t="shared" si="70"/>
        <v>53.966758905553789</v>
      </c>
      <c r="K197" s="2593">
        <v>206.5598814408998</v>
      </c>
      <c r="L197" s="2593">
        <f>'calcul-DCC-TX-Encais'!$H$119</f>
        <v>198.06188277408293</v>
      </c>
      <c r="M197" s="2593">
        <f>'calcul-DCC-TX-Encais'!$AT$153</f>
        <v>73.926303166820773</v>
      </c>
      <c r="N197" s="2593">
        <f t="shared" ref="N197:N206" si="71">M197-L197</f>
        <v>-124.13557960726216</v>
      </c>
      <c r="O197" s="2593">
        <f t="shared" ref="O197:O206" si="72">M197-K197</f>
        <v>-132.63357827407901</v>
      </c>
    </row>
    <row r="198" spans="2:17" ht="12" customHeight="1">
      <c r="B198" s="2557" t="s">
        <v>18</v>
      </c>
      <c r="C198" s="2595">
        <f>'calcul-DCC-TX-Encais'!$AU$9</f>
        <v>275.65200451000288</v>
      </c>
      <c r="D198" s="2595">
        <f>'calcul-DCC-TX-Encais'!$I$25</f>
        <v>272.14329284000286</v>
      </c>
      <c r="E198" s="2595">
        <f>'Feuil-saisie'!C148/1000</f>
        <v>264.309000090003</v>
      </c>
      <c r="F198" s="2595">
        <f>C198*0.516289196146854</f>
        <v>142.31615182473837</v>
      </c>
      <c r="G198" s="2596">
        <f t="shared" si="67"/>
        <v>-7.8342927499998609</v>
      </c>
      <c r="H198" s="2597">
        <f t="shared" si="68"/>
        <v>-2.8787381339600975</v>
      </c>
      <c r="I198" s="2596">
        <f t="shared" si="69"/>
        <v>121.99284826526463</v>
      </c>
      <c r="J198" s="2597">
        <f t="shared" si="70"/>
        <v>53.84461057938875</v>
      </c>
      <c r="K198" s="2553">
        <v>206.66134463961635</v>
      </c>
      <c r="L198" s="2553">
        <f>'calcul-DCC-TX-Encais'!$I$103</f>
        <v>197.66584142643941</v>
      </c>
      <c r="M198" s="2553">
        <f>'calcul-DCC-TX-Encais'!$AU$103</f>
        <v>73.654709143790015</v>
      </c>
      <c r="N198" s="2553">
        <f t="shared" si="71"/>
        <v>-124.0111322826494</v>
      </c>
      <c r="O198" s="2553">
        <f t="shared" si="72"/>
        <v>-133.00663549582634</v>
      </c>
    </row>
    <row r="199" spans="2:17" ht="12" customHeight="1">
      <c r="B199" s="2563" t="s">
        <v>1101</v>
      </c>
      <c r="C199" s="2599">
        <f>'calcul-DCC-TX-Encais'!$BF$9</f>
        <v>0</v>
      </c>
      <c r="D199" s="2599">
        <f>'calcul-DCC-TX-Encais'!$T$25</f>
        <v>0</v>
      </c>
      <c r="E199" s="2599">
        <f>'calcul-DCC-TX-Encais'!$BF$25</f>
        <v>0</v>
      </c>
      <c r="F199" s="2599"/>
      <c r="G199" s="2600"/>
      <c r="H199" s="2601"/>
      <c r="I199" s="2600"/>
      <c r="J199" s="2601"/>
      <c r="K199" s="2564"/>
      <c r="L199" s="2564"/>
      <c r="M199" s="2564"/>
      <c r="N199" s="2564"/>
      <c r="O199" s="2564"/>
    </row>
    <row r="200" spans="2:17" ht="12" customHeight="1">
      <c r="B200" s="2563" t="s">
        <v>1102</v>
      </c>
      <c r="C200" s="2599">
        <f>C198-C199</f>
        <v>275.65200451000288</v>
      </c>
      <c r="D200" s="2599">
        <f>D198-D199</f>
        <v>272.14329284000286</v>
      </c>
      <c r="E200" s="2599">
        <f>E198-E199</f>
        <v>264.309000090003</v>
      </c>
      <c r="F200" s="2599">
        <f>F198-F199</f>
        <v>142.31615182473837</v>
      </c>
      <c r="G200" s="2600"/>
      <c r="H200" s="2601"/>
      <c r="I200" s="2600"/>
      <c r="J200" s="2601"/>
      <c r="K200" s="2564"/>
      <c r="L200" s="2564"/>
      <c r="M200" s="2564"/>
      <c r="N200" s="2564"/>
      <c r="O200" s="2564"/>
    </row>
    <row r="201" spans="2:17" ht="12" customHeight="1">
      <c r="B201" s="2557" t="s">
        <v>185</v>
      </c>
      <c r="C201" s="2595">
        <f>'calcul-DCC-TX-Encais'!$AQ$9</f>
        <v>1.3208454765299988</v>
      </c>
      <c r="D201" s="2595">
        <f>'calcul-DCC-TX-Encais'!$E$25</f>
        <v>1.6504564865299987</v>
      </c>
      <c r="E201" s="2595">
        <f>'Feuil-saisie'!C149/1000</f>
        <v>1.4198499065299988</v>
      </c>
      <c r="F201" s="2595">
        <f>C201*0.824544592644118</f>
        <v>1.0890959953912538</v>
      </c>
      <c r="G201" s="2596">
        <f t="shared" si="67"/>
        <v>-0.23060657999999989</v>
      </c>
      <c r="H201" s="2597">
        <f t="shared" si="68"/>
        <v>-13.97229081057681</v>
      </c>
      <c r="I201" s="2596">
        <f t="shared" si="69"/>
        <v>0.33075391113874497</v>
      </c>
      <c r="J201" s="2597">
        <f t="shared" si="70"/>
        <v>76.705008774689333</v>
      </c>
      <c r="K201" s="2553">
        <v>187.36253531889838</v>
      </c>
      <c r="L201" s="2553">
        <f>'calcul-DCC-TX-Encais'!$E$103</f>
        <v>295.77871459922977</v>
      </c>
      <c r="M201" s="2553">
        <f>'calcul-DCC-TX-Encais'!$AQ$103</f>
        <v>235.74855858250092</v>
      </c>
      <c r="N201" s="2553">
        <f t="shared" si="71"/>
        <v>-60.030156016728853</v>
      </c>
      <c r="O201" s="2553">
        <f t="shared" si="72"/>
        <v>48.386023263602539</v>
      </c>
    </row>
    <row r="202" spans="2:17" ht="12" customHeight="1">
      <c r="B202" s="2563" t="s">
        <v>1103</v>
      </c>
      <c r="C202" s="2599">
        <f>'calcul-DCC-TX-Encais'!$BE$9</f>
        <v>0</v>
      </c>
      <c r="D202" s="2599">
        <f>'calcul-DCC-TX-Encais'!$S$25</f>
        <v>0</v>
      </c>
      <c r="E202" s="2599">
        <f>'calcul-DCC-TX-Encais'!$BE$25</f>
        <v>0</v>
      </c>
      <c r="F202" s="2599"/>
      <c r="G202" s="2600"/>
      <c r="H202" s="2601"/>
      <c r="I202" s="2600"/>
      <c r="J202" s="2601"/>
      <c r="K202" s="2564"/>
      <c r="L202" s="2564"/>
      <c r="M202" s="2564"/>
      <c r="N202" s="2564"/>
      <c r="O202" s="2564"/>
    </row>
    <row r="203" spans="2:17" ht="12" customHeight="1">
      <c r="B203" s="2563" t="s">
        <v>1104</v>
      </c>
      <c r="C203" s="2599">
        <f>C201-C202</f>
        <v>1.3208454765299988</v>
      </c>
      <c r="D203" s="2599">
        <f>D201-D202</f>
        <v>1.6504564865299987</v>
      </c>
      <c r="E203" s="2599">
        <f>E201-E202</f>
        <v>1.4198499065299988</v>
      </c>
      <c r="F203" s="2599"/>
      <c r="G203" s="2600"/>
      <c r="H203" s="2601"/>
      <c r="I203" s="2600"/>
      <c r="J203" s="2601"/>
      <c r="K203" s="2564"/>
      <c r="L203" s="2564"/>
      <c r="M203" s="2564"/>
      <c r="N203" s="2564"/>
      <c r="O203" s="2564"/>
    </row>
    <row r="204" spans="2:17" ht="12" customHeight="1">
      <c r="B204" s="2589" t="s">
        <v>278</v>
      </c>
      <c r="C204" s="2590">
        <f>C205+C208</f>
        <v>762.41717501999995</v>
      </c>
      <c r="D204" s="2590">
        <f>D205+D208</f>
        <v>956.57425858000011</v>
      </c>
      <c r="E204" s="2590">
        <f>E205+E208</f>
        <v>1002.9945015399996</v>
      </c>
      <c r="F204" s="2590">
        <f>F205+F208</f>
        <v>383.96645546569204</v>
      </c>
      <c r="G204" s="2591">
        <f t="shared" si="67"/>
        <v>46.420242959999541</v>
      </c>
      <c r="H204" s="2592">
        <f t="shared" si="68"/>
        <v>4.8527589513969058</v>
      </c>
      <c r="I204" s="2591">
        <f t="shared" si="69"/>
        <v>619.02804607430767</v>
      </c>
      <c r="J204" s="2592">
        <f t="shared" si="70"/>
        <v>38.282010008644036</v>
      </c>
      <c r="K204" s="2593">
        <v>182.55197025457076</v>
      </c>
      <c r="L204" s="2593">
        <f>'calcul-DCC-TX-Encais'!$E$119</f>
        <v>232.07302871840443</v>
      </c>
      <c r="M204" s="2593">
        <f>'calcul-DCC-TX-Encais'!$AQ$153</f>
        <v>143.40188269902004</v>
      </c>
      <c r="N204" s="2593">
        <f t="shared" si="71"/>
        <v>-88.671146019384395</v>
      </c>
      <c r="O204" s="2593">
        <f t="shared" si="72"/>
        <v>-39.150087555550726</v>
      </c>
    </row>
    <row r="205" spans="2:17" ht="12" customHeight="1">
      <c r="B205" s="2594" t="s">
        <v>554</v>
      </c>
      <c r="C205" s="2602">
        <f>'calcul-DCC-TX-Encais'!$AP$9</f>
        <v>331.70199885999972</v>
      </c>
      <c r="D205" s="2602">
        <f>'calcul-DCC-TX-Encais'!$D$25</f>
        <v>525.37702320999995</v>
      </c>
      <c r="E205" s="2602">
        <f>'Feuil-saisie'!C152/1000</f>
        <v>584.20545579999964</v>
      </c>
      <c r="F205" s="2602">
        <f>C205*0.315515773988161</f>
        <v>104.65721290373291</v>
      </c>
      <c r="G205" s="2603">
        <f t="shared" si="67"/>
        <v>58.828432589999693</v>
      </c>
      <c r="H205" s="2604">
        <f t="shared" si="68"/>
        <v>11.197374455122528</v>
      </c>
      <c r="I205" s="2603">
        <f t="shared" si="69"/>
        <v>479.54824289626674</v>
      </c>
      <c r="J205" s="2604">
        <f t="shared" si="70"/>
        <v>17.914453188462158</v>
      </c>
      <c r="K205" s="2553">
        <v>103.29659009932649</v>
      </c>
      <c r="L205" s="2553">
        <f>'calcul-DCC-TX-Encais'!$I$103</f>
        <v>197.66584142643941</v>
      </c>
      <c r="M205" s="2553">
        <f>'calcul-DCC-TX-Encais'!$AP$103</f>
        <v>120.40255054416379</v>
      </c>
      <c r="N205" s="2553">
        <f t="shared" si="71"/>
        <v>-77.263290882275626</v>
      </c>
      <c r="O205" s="2553">
        <f t="shared" si="72"/>
        <v>17.105960444837294</v>
      </c>
    </row>
    <row r="206" spans="2:17" ht="12" customHeight="1">
      <c r="B206" s="2605" t="s">
        <v>295</v>
      </c>
      <c r="C206" s="2606">
        <f>C205-C207</f>
        <v>115.54354138999972</v>
      </c>
      <c r="D206" s="2606">
        <f>D205-D207</f>
        <v>180.50061337</v>
      </c>
      <c r="E206" s="2606">
        <f>E205-E207</f>
        <v>165.41160579999968</v>
      </c>
      <c r="F206" s="2606">
        <f>C206*0.315515773988161</f>
        <v>36.455809890998879</v>
      </c>
      <c r="G206" s="2607">
        <f t="shared" si="67"/>
        <v>-15.089007570000319</v>
      </c>
      <c r="H206" s="2608">
        <f t="shared" si="68"/>
        <v>-8.3595325734822019</v>
      </c>
      <c r="I206" s="2607">
        <f t="shared" si="69"/>
        <v>128.95579590900081</v>
      </c>
      <c r="J206" s="2608">
        <f t="shared" si="70"/>
        <v>22.03945104981198</v>
      </c>
      <c r="K206" s="2553">
        <v>35.981856831151738</v>
      </c>
      <c r="L206" s="2553">
        <f>'calcul-DCC-TX-Encais'!$E$103</f>
        <v>295.77871459922977</v>
      </c>
      <c r="M206" s="2553">
        <f>'calcul-DCC-TX-Encais'!$BH$103</f>
        <v>34.090710776833127</v>
      </c>
      <c r="N206" s="2553">
        <f t="shared" si="71"/>
        <v>-261.68800382239664</v>
      </c>
      <c r="O206" s="2553">
        <f t="shared" si="72"/>
        <v>-1.8911460543186109</v>
      </c>
    </row>
    <row r="207" spans="2:17" ht="12" customHeight="1">
      <c r="B207" s="2605" t="s">
        <v>296</v>
      </c>
      <c r="C207" s="2606">
        <f>'calcul-DCC-TX-Encais'!$BB$9</f>
        <v>216.15845747</v>
      </c>
      <c r="D207" s="2606">
        <f>'calcul-DCC-TX-Encais'!$P$25</f>
        <v>344.87640983999995</v>
      </c>
      <c r="E207" s="2606">
        <f>'Feuil-saisie'!C153/1000</f>
        <v>418.79384999999996</v>
      </c>
      <c r="F207" s="2606">
        <f>F205-F206</f>
        <v>68.201403012734033</v>
      </c>
      <c r="G207" s="2607">
        <f t="shared" si="67"/>
        <v>73.917440160000012</v>
      </c>
      <c r="H207" s="2608">
        <f t="shared" si="68"/>
        <v>21.433022976054772</v>
      </c>
      <c r="I207" s="2607">
        <f t="shared" si="69"/>
        <v>350.59244698726593</v>
      </c>
      <c r="J207" s="2608">
        <f t="shared" si="70"/>
        <v>16.285196884513475</v>
      </c>
      <c r="K207" s="2553"/>
      <c r="L207" s="2553"/>
      <c r="M207" s="2553"/>
      <c r="N207" s="2553"/>
      <c r="O207" s="2553"/>
    </row>
    <row r="208" spans="2:17" ht="12" customHeight="1">
      <c r="B208" s="2562" t="s">
        <v>603</v>
      </c>
      <c r="C208" s="2595">
        <f>'calcul-DCC-TX-Encais'!$AT$9</f>
        <v>430.71517616000023</v>
      </c>
      <c r="D208" s="2595">
        <f>'calcul-DCC-TX-Encais'!$H$25</f>
        <v>431.19723537000021</v>
      </c>
      <c r="E208" s="2595">
        <f>'Feuil-saisie'!C151/1000</f>
        <v>418.78904574000006</v>
      </c>
      <c r="F208" s="2595">
        <f>C208*0.648477829483776</f>
        <v>279.30924256195914</v>
      </c>
      <c r="G208" s="2596">
        <f t="shared" si="67"/>
        <v>-12.408189630000152</v>
      </c>
      <c r="H208" s="2609">
        <f t="shared" si="68"/>
        <v>-2.8776134474408157</v>
      </c>
      <c r="I208" s="2596">
        <f t="shared" si="69"/>
        <v>139.47980317804092</v>
      </c>
      <c r="J208" s="2609">
        <f t="shared" si="70"/>
        <v>66.694495809559641</v>
      </c>
      <c r="K208" s="2553">
        <v>446.2084849872316</v>
      </c>
      <c r="L208" s="2553">
        <f>'calcul-DCC-TX-Encais'!$H$103</f>
        <v>431.40130373841919</v>
      </c>
      <c r="M208" s="2553">
        <f>'calcul-DCC-TX-Encais'!$AT$103</f>
        <v>195.49584069422221</v>
      </c>
      <c r="N208" s="2553">
        <f>M208-L208</f>
        <v>-235.90546304419698</v>
      </c>
      <c r="O208" s="2553">
        <f>M208-K208</f>
        <v>-250.71264429300939</v>
      </c>
    </row>
    <row r="209" spans="2:16" ht="12" customHeight="1">
      <c r="B209" s="2567" t="s">
        <v>915</v>
      </c>
      <c r="C209" s="2610">
        <f>C208-C210</f>
        <v>421.61584808000021</v>
      </c>
      <c r="D209" s="2610">
        <f>D208-D210</f>
        <v>422.23567668000021</v>
      </c>
      <c r="E209" s="2610">
        <f>E208-E210</f>
        <v>414.10227762000005</v>
      </c>
      <c r="F209" s="2595">
        <f>C209*0.648477829483776</f>
        <v>273.40853003887997</v>
      </c>
      <c r="G209" s="2596">
        <f t="shared" si="67"/>
        <v>-8.1333990600001584</v>
      </c>
      <c r="H209" s="2609">
        <f t="shared" si="68"/>
        <v>-1.9262699741415308</v>
      </c>
      <c r="I209" s="2596">
        <f t="shared" si="69"/>
        <v>140.69374758112008</v>
      </c>
      <c r="J209" s="2609">
        <f t="shared" si="70"/>
        <v>66.024396583921387</v>
      </c>
      <c r="K209" s="2569"/>
      <c r="L209" s="2569"/>
      <c r="M209" s="2569"/>
      <c r="N209" s="2569"/>
      <c r="O209" s="2569"/>
    </row>
    <row r="210" spans="2:16" ht="12" customHeight="1">
      <c r="B210" s="2567" t="s">
        <v>916</v>
      </c>
      <c r="C210" s="2610">
        <f>'calcul-DCC-TX-Encais'!$BD$9</f>
        <v>9.0993280799999994</v>
      </c>
      <c r="D210" s="2610">
        <f>'calcul-DCC-TX-Encais'!R25</f>
        <v>8.9615586900000004</v>
      </c>
      <c r="E210" s="2610">
        <f>'Feuil-saisie'!C154/1000</f>
        <v>4.68676812</v>
      </c>
      <c r="F210" s="2610">
        <f>F208-F209</f>
        <v>5.9007125230791644</v>
      </c>
      <c r="G210" s="2611"/>
      <c r="H210" s="2612"/>
      <c r="I210" s="2611"/>
      <c r="J210" s="2612"/>
      <c r="K210" s="2569"/>
      <c r="L210" s="2569"/>
      <c r="M210" s="2569"/>
      <c r="N210" s="2569"/>
      <c r="O210" s="2569"/>
    </row>
    <row r="211" spans="2:16" ht="12" customHeight="1">
      <c r="B211" s="2589" t="s">
        <v>613</v>
      </c>
      <c r="C211" s="2590">
        <f>C194+C197+C204</f>
        <v>2849.1744155365323</v>
      </c>
      <c r="D211" s="2590">
        <f>D194+D197+D204</f>
        <v>3219.3773290865329</v>
      </c>
      <c r="E211" s="2590">
        <f>E194+E197+E204</f>
        <v>3636.7391386865311</v>
      </c>
      <c r="F211" s="2590">
        <f>F194+F197+F204</f>
        <v>2287.0609556714367</v>
      </c>
      <c r="G211" s="2591">
        <f t="shared" ref="G211:G219" si="73">E211-D211</f>
        <v>417.3618095999982</v>
      </c>
      <c r="H211" s="2604">
        <f t="shared" ref="H211:H219" si="74">((E211-D211)/D211)*100</f>
        <v>12.964053819637867</v>
      </c>
      <c r="I211" s="2591">
        <f t="shared" ref="I211:I219" si="75">E211-F211</f>
        <v>1349.6781830150944</v>
      </c>
      <c r="J211" s="2604">
        <f t="shared" ref="J211:J219" si="76">F211/E211*100</f>
        <v>62.887682301498451</v>
      </c>
      <c r="K211" s="2593">
        <v>162.57023899355059</v>
      </c>
      <c r="L211" s="2593">
        <f>'calcul-DCC-TX-Encais'!$K$103</f>
        <v>155.5846656819067</v>
      </c>
      <c r="M211" s="2593">
        <f>'calcul-DCC-TX-Encais'!$AW$103</f>
        <v>162.8941624846031</v>
      </c>
      <c r="N211" s="2593">
        <f>M211-L211</f>
        <v>7.3094968026964011</v>
      </c>
      <c r="O211" s="2593">
        <f>M211-K211</f>
        <v>0.32392349105251128</v>
      </c>
    </row>
    <row r="212" spans="2:16" ht="12" customHeight="1">
      <c r="B212" s="2613" t="s">
        <v>611</v>
      </c>
      <c r="C212" s="2614">
        <f>C213+C214</f>
        <v>190.04189722000001</v>
      </c>
      <c r="D212" s="2614">
        <f>D213+D214</f>
        <v>196.99463814000001</v>
      </c>
      <c r="E212" s="2614">
        <f>E213+E214</f>
        <v>190.04189722000001</v>
      </c>
      <c r="F212" s="2614">
        <f>F213+F214</f>
        <v>14.137917509643039</v>
      </c>
      <c r="G212" s="2603">
        <f t="shared" si="73"/>
        <v>-6.9527409199999965</v>
      </c>
      <c r="H212" s="2604">
        <f t="shared" si="74"/>
        <v>-3.5294061735115996</v>
      </c>
      <c r="I212" s="2603">
        <f t="shared" si="75"/>
        <v>175.90397971035696</v>
      </c>
      <c r="J212" s="2604">
        <f t="shared" si="76"/>
        <v>7.4393687478695432</v>
      </c>
      <c r="K212" s="2553"/>
      <c r="L212" s="2553"/>
      <c r="M212" s="2553"/>
      <c r="N212" s="2553"/>
      <c r="O212" s="2553"/>
    </row>
    <row r="213" spans="2:16" ht="12" customHeight="1">
      <c r="B213" s="2615" t="s">
        <v>318</v>
      </c>
      <c r="C213" s="2595">
        <f>'calcul-DCC-TX-Encais'!$AX$9</f>
        <v>177.98392722</v>
      </c>
      <c r="D213" s="2595">
        <f>'calcul-DCC-TX-Encais'!$L$25</f>
        <v>184.93666813999999</v>
      </c>
      <c r="E213" s="2595">
        <f>'Feuil-saisie'!C159/1000</f>
        <v>177.98392722</v>
      </c>
      <c r="F213" s="2595">
        <f>C213*0.0578745895135454</f>
        <v>10.300746727866239</v>
      </c>
      <c r="G213" s="2596">
        <f t="shared" si="73"/>
        <v>-6.9527409199999965</v>
      </c>
      <c r="H213" s="2616">
        <f t="shared" si="74"/>
        <v>-3.7595253499087917</v>
      </c>
      <c r="I213" s="2596">
        <f t="shared" si="75"/>
        <v>167.68318049213377</v>
      </c>
      <c r="J213" s="2616">
        <f t="shared" si="76"/>
        <v>5.78745895135454</v>
      </c>
      <c r="K213" s="2553"/>
      <c r="L213" s="2553"/>
      <c r="M213" s="2553"/>
      <c r="N213" s="2553"/>
      <c r="O213" s="2553"/>
    </row>
    <row r="214" spans="2:16" ht="12" customHeight="1">
      <c r="B214" s="2615" t="s">
        <v>319</v>
      </c>
      <c r="C214" s="2595">
        <f>'calcul-DCC-TX-Encais'!$AY$9</f>
        <v>12.057969999999999</v>
      </c>
      <c r="D214" s="2595">
        <f>'calcul-DCC-TX-Encais'!$M$25</f>
        <v>12.057969999999999</v>
      </c>
      <c r="E214" s="2595">
        <f>'Feuil-saisie'!C160/1000</f>
        <v>12.057969999999999</v>
      </c>
      <c r="F214" s="2595">
        <f>C214*0.318226930551063</f>
        <v>3.8371707817768006</v>
      </c>
      <c r="G214" s="2596">
        <f t="shared" si="73"/>
        <v>0</v>
      </c>
      <c r="H214" s="2616">
        <f t="shared" si="74"/>
        <v>0</v>
      </c>
      <c r="I214" s="2596">
        <f t="shared" si="75"/>
        <v>8.220799218223199</v>
      </c>
      <c r="J214" s="2616">
        <f t="shared" si="76"/>
        <v>31.822693055106299</v>
      </c>
      <c r="K214" s="2553"/>
      <c r="L214" s="2553"/>
      <c r="M214" s="2553"/>
      <c r="N214" s="2553"/>
      <c r="O214" s="2553"/>
    </row>
    <row r="215" spans="2:16" ht="12" customHeight="1">
      <c r="B215" s="2617" t="s">
        <v>606</v>
      </c>
      <c r="C215" s="2618">
        <f>C211+C212</f>
        <v>3039.2163127565323</v>
      </c>
      <c r="D215" s="2618">
        <f>D211+D212</f>
        <v>3416.3719672265329</v>
      </c>
      <c r="E215" s="2618">
        <f>E211+E212</f>
        <v>3826.7810359065311</v>
      </c>
      <c r="F215" s="2618">
        <f>F211+F212</f>
        <v>2301.1988731810798</v>
      </c>
      <c r="G215" s="2596">
        <f t="shared" si="73"/>
        <v>410.4090686799982</v>
      </c>
      <c r="H215" s="2616">
        <f t="shared" si="74"/>
        <v>12.013008905853278</v>
      </c>
      <c r="I215" s="2596">
        <f t="shared" si="75"/>
        <v>1525.5821627254513</v>
      </c>
      <c r="J215" s="2616">
        <f t="shared" si="76"/>
        <v>60.134061802570471</v>
      </c>
      <c r="K215" s="2553"/>
      <c r="L215" s="2553"/>
      <c r="M215" s="2553"/>
      <c r="N215" s="2553"/>
      <c r="O215" s="2553"/>
    </row>
    <row r="216" spans="2:16" ht="12" customHeight="1">
      <c r="B216" s="2619" t="s">
        <v>607</v>
      </c>
      <c r="C216" s="2590">
        <f>C217+C218</f>
        <v>174.70513602999966</v>
      </c>
      <c r="D216" s="2590">
        <f>D217+D218</f>
        <v>167.70260928999977</v>
      </c>
      <c r="E216" s="2590">
        <f>E217+E218</f>
        <v>186.27215485999966</v>
      </c>
      <c r="F216" s="2590">
        <f>F217+F218</f>
        <v>49.553205679557955</v>
      </c>
      <c r="G216" s="2591">
        <f t="shared" si="73"/>
        <v>18.569545569999889</v>
      </c>
      <c r="H216" s="2604">
        <f t="shared" si="74"/>
        <v>11.072901995155304</v>
      </c>
      <c r="I216" s="2591">
        <f t="shared" si="75"/>
        <v>136.71894918044171</v>
      </c>
      <c r="J216" s="2604">
        <f t="shared" si="76"/>
        <v>26.602583578206662</v>
      </c>
      <c r="K216" s="2593">
        <v>95.714484812639753</v>
      </c>
      <c r="L216" s="2593">
        <f>'calcul-DCC-TX-Encais'!$AK$103</f>
        <v>77.395647091061448</v>
      </c>
      <c r="M216" s="2593">
        <f>'calcul-DCC-TX-Encais'!$BW$103</f>
        <v>131.38966599796407</v>
      </c>
      <c r="N216" s="2593">
        <f>M216-L216</f>
        <v>53.994018906902625</v>
      </c>
      <c r="O216" s="2593">
        <f>M216-K216</f>
        <v>35.67518118532432</v>
      </c>
    </row>
    <row r="217" spans="2:16" ht="12" customHeight="1">
      <c r="B217" s="2557" t="s">
        <v>198</v>
      </c>
      <c r="C217" s="2595">
        <f>'calcul-DCC-TX-Encais'!$BU$9</f>
        <v>138.12934276999965</v>
      </c>
      <c r="D217" s="2595">
        <f>'calcul-DCC-TX-Encais'!$AI$25</f>
        <v>130.44130506999977</v>
      </c>
      <c r="E217" s="2595">
        <f>'Feuil-saisie'!$C$162/1000</f>
        <v>141.11683083999966</v>
      </c>
      <c r="F217" s="2595">
        <f>C217*0.283639089299864</f>
        <v>39.178880988871455</v>
      </c>
      <c r="G217" s="2620">
        <f t="shared" si="73"/>
        <v>10.675525769999894</v>
      </c>
      <c r="H217" s="2621">
        <f t="shared" si="74"/>
        <v>8.184160503661781</v>
      </c>
      <c r="I217" s="2620">
        <f t="shared" si="75"/>
        <v>101.93794985112821</v>
      </c>
      <c r="J217" s="2621">
        <f t="shared" si="76"/>
        <v>27.763435981136116</v>
      </c>
      <c r="K217" s="2553">
        <v>84.638925991168293</v>
      </c>
      <c r="L217" s="2553">
        <f>'calcul-DCC-TX-Encais'!$AI$103</f>
        <v>71.009302336145552</v>
      </c>
      <c r="M217" s="2553">
        <f>'calcul-DCC-TX-Encais'!$BU$103</f>
        <v>108.46016098699155</v>
      </c>
      <c r="N217" s="2553">
        <f>M217-L217</f>
        <v>37.450858650846001</v>
      </c>
      <c r="O217" s="2553">
        <f>M217-K217</f>
        <v>23.821234995823261</v>
      </c>
    </row>
    <row r="218" spans="2:16" ht="12" customHeight="1">
      <c r="B218" s="2557" t="s">
        <v>199</v>
      </c>
      <c r="C218" s="2595">
        <f>'calcul-DCC-TX-Encais'!$BV$9</f>
        <v>36.575793259999998</v>
      </c>
      <c r="D218" s="2595">
        <f>'calcul-DCC-TX-Encais'!$AJ$25</f>
        <v>37.26130422</v>
      </c>
      <c r="E218" s="2595">
        <f>'Feuil-saisie'!$C$163/1000</f>
        <v>45.155324020000002</v>
      </c>
      <c r="F218" s="2595">
        <f>C218*0.283639089299864</f>
        <v>10.374324690686501</v>
      </c>
      <c r="G218" s="2620">
        <f t="shared" si="73"/>
        <v>7.8940198000000024</v>
      </c>
      <c r="H218" s="2621">
        <f t="shared" si="74"/>
        <v>21.185570299396254</v>
      </c>
      <c r="I218" s="2620">
        <f t="shared" si="75"/>
        <v>34.780999329313502</v>
      </c>
      <c r="J218" s="2621">
        <f t="shared" si="76"/>
        <v>22.974754175369334</v>
      </c>
      <c r="K218" s="2553">
        <v>179.02605055924934</v>
      </c>
      <c r="L218" s="2553">
        <f>'calcul-DCC-TX-Encais'!$AJ$103</f>
        <v>118.15105437691849</v>
      </c>
      <c r="M218" s="2553">
        <f>'calcul-DCC-TX-Encais'!$BV$103</f>
        <v>387.22005079730758</v>
      </c>
      <c r="N218" s="2553">
        <f>M218-L218</f>
        <v>269.06899642038911</v>
      </c>
      <c r="O218" s="2553">
        <f>M218-K218</f>
        <v>208.19400023805824</v>
      </c>
    </row>
    <row r="219" spans="2:16" ht="12" customHeight="1">
      <c r="B219" s="2577" t="s">
        <v>612</v>
      </c>
      <c r="C219" s="2579">
        <f>C216+C215</f>
        <v>3213.921448786532</v>
      </c>
      <c r="D219" s="2579">
        <f>D216+D215</f>
        <v>3584.0745765165325</v>
      </c>
      <c r="E219" s="2579">
        <f>E215+E216</f>
        <v>4013.0531907665309</v>
      </c>
      <c r="F219" s="2579">
        <f>F215+F216</f>
        <v>2350.7520788606375</v>
      </c>
      <c r="G219" s="2622">
        <f t="shared" si="73"/>
        <v>428.97861424999837</v>
      </c>
      <c r="H219" s="2623">
        <f t="shared" si="74"/>
        <v>11.969020317287463</v>
      </c>
      <c r="I219" s="2622">
        <f t="shared" si="75"/>
        <v>1662.3011119058933</v>
      </c>
      <c r="J219" s="2623">
        <f t="shared" si="76"/>
        <v>58.577645675601467</v>
      </c>
      <c r="K219" s="2553"/>
      <c r="L219" s="2553"/>
      <c r="M219" s="2553"/>
      <c r="N219" s="2553"/>
      <c r="O219" s="2553"/>
    </row>
    <row r="220" spans="2:16" ht="12" customHeight="1">
      <c r="K220" s="2624"/>
      <c r="L220" s="2624"/>
      <c r="M220" s="2624"/>
      <c r="N220" s="2624"/>
      <c r="O220" s="2624"/>
    </row>
    <row r="221" spans="2:16" ht="12" customHeight="1">
      <c r="M221" s="2535"/>
    </row>
    <row r="222" spans="2:16" ht="12" customHeight="1">
      <c r="B222" s="2539" t="s">
        <v>399</v>
      </c>
      <c r="C222" s="3212" t="s">
        <v>281</v>
      </c>
      <c r="D222" s="3213"/>
      <c r="E222" s="3213"/>
      <c r="F222" s="3214"/>
      <c r="G222" s="3215" t="s">
        <v>597</v>
      </c>
      <c r="H222" s="3216"/>
      <c r="I222" s="2545" t="s">
        <v>598</v>
      </c>
      <c r="J222" s="2546"/>
      <c r="K222" s="2547" t="s">
        <v>358</v>
      </c>
      <c r="L222" s="2548"/>
      <c r="M222" s="2548"/>
      <c r="N222" s="2548"/>
      <c r="O222" s="2549"/>
    </row>
    <row r="223" spans="2:16" ht="12" customHeight="1">
      <c r="B223" s="2550"/>
      <c r="C223" s="2551">
        <f>C193</f>
        <v>45291</v>
      </c>
      <c r="D223" s="2551">
        <f t="shared" ref="D223:O223" si="77">D193</f>
        <v>45139</v>
      </c>
      <c r="E223" s="2551">
        <f t="shared" si="77"/>
        <v>45505</v>
      </c>
      <c r="F223" s="2552" t="str">
        <f t="shared" si="77"/>
        <v>Obj 2024</v>
      </c>
      <c r="G223" s="2552" t="str">
        <f t="shared" si="77"/>
        <v>MDA</v>
      </c>
      <c r="H223" s="2552" t="str">
        <f t="shared" si="77"/>
        <v>%</v>
      </c>
      <c r="I223" s="2552" t="str">
        <f t="shared" si="77"/>
        <v>MDA</v>
      </c>
      <c r="J223" s="2552" t="str">
        <f t="shared" si="77"/>
        <v>%</v>
      </c>
      <c r="K223" s="2551">
        <f t="shared" si="77"/>
        <v>45291</v>
      </c>
      <c r="L223" s="2551">
        <f>L193</f>
        <v>45139</v>
      </c>
      <c r="M223" s="2551">
        <f>M193</f>
        <v>45505</v>
      </c>
      <c r="N223" s="2553" t="str">
        <f t="shared" si="77"/>
        <v>écart mois</v>
      </c>
      <c r="O223" s="2553" t="str">
        <f t="shared" si="77"/>
        <v>écart année</v>
      </c>
    </row>
    <row r="224" spans="2:16" ht="12" customHeight="1">
      <c r="B224" s="2589" t="s">
        <v>277</v>
      </c>
      <c r="C224" s="2590">
        <f>'calcul-DCC-TX-Encais'!$AO$10</f>
        <v>1362.6618891520009</v>
      </c>
      <c r="D224" s="2625">
        <f>'calcul-DCC-TX-Encais'!$C$26</f>
        <v>1870.6857072320004</v>
      </c>
      <c r="E224" s="2590">
        <f>E225+E226</f>
        <v>1855.6029734520002</v>
      </c>
      <c r="F224" s="2590">
        <f>F225+F226</f>
        <v>1324.9431774986379</v>
      </c>
      <c r="G224" s="2591">
        <f t="shared" ref="G224:G239" si="78">E224-D224</f>
        <v>-15.082733780000126</v>
      </c>
      <c r="H224" s="2592">
        <f t="shared" ref="H224:H239" si="79">((E224-D224)/D224)*100</f>
        <v>-0.80626765477978724</v>
      </c>
      <c r="I224" s="2591">
        <f t="shared" ref="I224:I239" si="80">E224-F224</f>
        <v>530.65979595336239</v>
      </c>
      <c r="J224" s="2592">
        <f t="shared" ref="J224:J239" si="81">F224/E224*100</f>
        <v>71.40229868428321</v>
      </c>
      <c r="K224" s="2593">
        <v>75.620804187325064</v>
      </c>
      <c r="L224" s="2593">
        <f>'calcul-DCC-TX-Encais'!$C$104</f>
        <v>104.64900042998957</v>
      </c>
      <c r="M224" s="2593">
        <f>'calcul-DCC-TX-Encais'!$AO$104</f>
        <v>106.87457201950902</v>
      </c>
      <c r="N224" s="2593">
        <f>M224-L224</f>
        <v>2.225571589519447</v>
      </c>
      <c r="O224" s="2593">
        <f>M224-K224</f>
        <v>31.253767832183954</v>
      </c>
      <c r="P224" s="2534">
        <v>1115.1142478734548</v>
      </c>
    </row>
    <row r="225" spans="2:17" ht="12" customHeight="1">
      <c r="B225" s="2594" t="s">
        <v>609</v>
      </c>
      <c r="C225" s="2595">
        <f>'enc-ag'!D85</f>
        <v>1200.9662012620001</v>
      </c>
      <c r="D225" s="2558">
        <f>'enc-ag'!N85</f>
        <v>1708.252718082</v>
      </c>
      <c r="E225" s="2595">
        <f>'Feuil-saisie'!C168/1000</f>
        <v>1694.7950696120001</v>
      </c>
      <c r="F225" s="2595">
        <f>C225*0.972319830800555</f>
        <v>1167.7232536082531</v>
      </c>
      <c r="G225" s="2596">
        <f t="shared" si="78"/>
        <v>-13.457648469999867</v>
      </c>
      <c r="H225" s="2597">
        <f t="shared" si="79"/>
        <v>-0.78780196440195982</v>
      </c>
      <c r="I225" s="2596">
        <f t="shared" si="80"/>
        <v>527.07181600374702</v>
      </c>
      <c r="J225" s="2597">
        <f t="shared" si="81"/>
        <v>68.900557627630292</v>
      </c>
      <c r="K225" s="2553">
        <v>66.632520453016383</v>
      </c>
      <c r="L225" s="2553">
        <f>'enc-ag'!P85</f>
        <v>101.41916223676577</v>
      </c>
      <c r="M225" s="2553">
        <f>'enc-ag'!J85</f>
        <v>98.707330526772878</v>
      </c>
      <c r="N225" s="2553">
        <f>M225-L225</f>
        <v>-2.711831709992893</v>
      </c>
      <c r="O225" s="2553">
        <f>M225-K225</f>
        <v>32.074810073756495</v>
      </c>
      <c r="P225" s="2534">
        <f>F225/F224</f>
        <v>0.88133836487448436</v>
      </c>
      <c r="Q225" s="2534">
        <f>P224*P225</f>
        <v>982.79296786903114</v>
      </c>
    </row>
    <row r="226" spans="2:17" ht="12" customHeight="1">
      <c r="B226" s="2594" t="s">
        <v>279</v>
      </c>
      <c r="C226" s="2595">
        <f>C224-C225</f>
        <v>161.69568789000073</v>
      </c>
      <c r="D226" s="2595">
        <f>D224-D225</f>
        <v>162.43298915000037</v>
      </c>
      <c r="E226" s="2595">
        <f>'Feuil-saisie'!C169/1000</f>
        <v>160.80790383999999</v>
      </c>
      <c r="F226" s="2595">
        <f>C226*0.972319830800555</f>
        <v>157.21992389038485</v>
      </c>
      <c r="G226" s="2596">
        <f t="shared" si="78"/>
        <v>-1.6250853100003724</v>
      </c>
      <c r="H226" s="2597">
        <f t="shared" si="79"/>
        <v>-1.0004650647041107</v>
      </c>
      <c r="I226" s="2596">
        <f t="shared" si="80"/>
        <v>3.5879799496151463</v>
      </c>
      <c r="J226" s="2597">
        <f t="shared" si="81"/>
        <v>97.768778857297278</v>
      </c>
      <c r="K226" s="2553"/>
      <c r="L226" s="2553"/>
      <c r="M226" s="2553"/>
      <c r="N226" s="2553"/>
      <c r="O226" s="2553"/>
      <c r="P226" s="2534">
        <f>1-P225</f>
        <v>0.11866163512551564</v>
      </c>
      <c r="Q226" s="2534">
        <f>P224*P226</f>
        <v>132.3212800044237</v>
      </c>
    </row>
    <row r="227" spans="2:17" ht="12" customHeight="1">
      <c r="B227" s="2598" t="s">
        <v>1181</v>
      </c>
      <c r="C227" s="2590">
        <f>C228+C231</f>
        <v>379.15069524000302</v>
      </c>
      <c r="D227" s="2590">
        <f>D228+D231</f>
        <v>387.31234428000397</v>
      </c>
      <c r="E227" s="2590">
        <f>E228+E231</f>
        <v>470.68999999999994</v>
      </c>
      <c r="F227" s="2590">
        <f>F228+F231</f>
        <v>197.46338690447078</v>
      </c>
      <c r="G227" s="2591">
        <f t="shared" si="78"/>
        <v>83.377655719995971</v>
      </c>
      <c r="H227" s="2592">
        <f t="shared" si="79"/>
        <v>21.527239436427269</v>
      </c>
      <c r="I227" s="2591">
        <f t="shared" si="80"/>
        <v>273.22661309552916</v>
      </c>
      <c r="J227" s="2592">
        <f t="shared" si="81"/>
        <v>41.95189761933986</v>
      </c>
      <c r="K227" s="2593">
        <v>193.74423398345672</v>
      </c>
      <c r="L227" s="2593">
        <f>'calcul-DCC-TX-Encais'!$H$120</f>
        <v>199.85626186937299</v>
      </c>
      <c r="M227" s="2593">
        <f>'calcul-DCC-TX-Encais'!$AT$154</f>
        <v>226.06894327350216</v>
      </c>
      <c r="N227" s="2593">
        <f t="shared" ref="N227:N236" si="82">M227-L227</f>
        <v>26.212681404129171</v>
      </c>
      <c r="O227" s="2593">
        <f t="shared" ref="O227:O236" si="83">M227-K227</f>
        <v>32.324709290045433</v>
      </c>
    </row>
    <row r="228" spans="2:17" ht="12" customHeight="1">
      <c r="B228" s="2557" t="s">
        <v>18</v>
      </c>
      <c r="C228" s="2595">
        <f>'calcul-DCC-TX-Encais'!$AU$10</f>
        <v>373.59692632000304</v>
      </c>
      <c r="D228" s="2595">
        <f>'calcul-DCC-TX-Encais'!$I$26</f>
        <v>375.87884878000398</v>
      </c>
      <c r="E228" s="2595">
        <f>'Feuil-saisie'!C171/1000</f>
        <v>454.19999999999993</v>
      </c>
      <c r="F228" s="2595">
        <f>C228*0.516289196146854</f>
        <v>192.8840567726898</v>
      </c>
      <c r="G228" s="2596">
        <f t="shared" si="78"/>
        <v>78.321151219995954</v>
      </c>
      <c r="H228" s="2597">
        <f t="shared" si="79"/>
        <v>20.836807251646157</v>
      </c>
      <c r="I228" s="2596">
        <f t="shared" si="80"/>
        <v>261.31594322731013</v>
      </c>
      <c r="J228" s="2597">
        <f t="shared" si="81"/>
        <v>42.466767233088909</v>
      </c>
      <c r="K228" s="2553">
        <v>224.43289111846195</v>
      </c>
      <c r="L228" s="2553">
        <f>'calcul-DCC-TX-Encais'!$I$104</f>
        <v>228.31565613847545</v>
      </c>
      <c r="M228" s="2553">
        <f>'calcul-DCC-TX-Encais'!$AU$104</f>
        <v>261.38654175214862</v>
      </c>
      <c r="N228" s="2553">
        <f t="shared" si="82"/>
        <v>33.07088561367317</v>
      </c>
      <c r="O228" s="2553">
        <f t="shared" si="83"/>
        <v>36.953650633686664</v>
      </c>
    </row>
    <row r="229" spans="2:17" ht="12" customHeight="1">
      <c r="B229" s="2563" t="s">
        <v>1101</v>
      </c>
      <c r="C229" s="2599">
        <f>'calcul-DCC-TX-Encais'!$BF$10</f>
        <v>0</v>
      </c>
      <c r="D229" s="2599">
        <f>'calcul-DCC-TX-Encais'!$T$26</f>
        <v>0</v>
      </c>
      <c r="E229" s="2599">
        <f>'calcul-DCC-TX-Encais'!$BF$26</f>
        <v>0</v>
      </c>
      <c r="F229" s="2599"/>
      <c r="G229" s="2600"/>
      <c r="H229" s="2601"/>
      <c r="I229" s="2600"/>
      <c r="J229" s="2601"/>
      <c r="K229" s="2564"/>
      <c r="L229" s="2564"/>
      <c r="M229" s="2564"/>
      <c r="N229" s="2564"/>
      <c r="O229" s="2564"/>
    </row>
    <row r="230" spans="2:17" ht="12" customHeight="1">
      <c r="B230" s="2563" t="s">
        <v>1102</v>
      </c>
      <c r="C230" s="2599">
        <f>C228-C229</f>
        <v>373.59692632000304</v>
      </c>
      <c r="D230" s="2599">
        <f>D228-D229</f>
        <v>375.87884878000398</v>
      </c>
      <c r="E230" s="2599">
        <f>E228-E229</f>
        <v>454.19999999999993</v>
      </c>
      <c r="F230" s="2599">
        <f>F228-F229</f>
        <v>192.8840567726898</v>
      </c>
      <c r="G230" s="2600"/>
      <c r="H230" s="2601"/>
      <c r="I230" s="2600"/>
      <c r="J230" s="2601"/>
      <c r="K230" s="2564"/>
      <c r="L230" s="2564"/>
      <c r="M230" s="2564"/>
      <c r="N230" s="2564"/>
      <c r="O230" s="2564"/>
    </row>
    <row r="231" spans="2:17" ht="12" customHeight="1">
      <c r="B231" s="2557" t="s">
        <v>185</v>
      </c>
      <c r="C231" s="2595">
        <f>'calcul-DCC-TX-Encais'!$AQ$10</f>
        <v>5.5537689200000022</v>
      </c>
      <c r="D231" s="2595">
        <f>'calcul-DCC-TX-Encais'!$E$26</f>
        <v>11.433495499999999</v>
      </c>
      <c r="E231" s="2595">
        <f>'Feuil-saisie'!C172/1000</f>
        <v>16.490000000000016</v>
      </c>
      <c r="F231" s="2595">
        <f>C231*0.824544592644118</f>
        <v>4.5793301317809645</v>
      </c>
      <c r="G231" s="2596">
        <f t="shared" si="78"/>
        <v>5.0565045000000168</v>
      </c>
      <c r="H231" s="2597">
        <f t="shared" si="79"/>
        <v>44.225359602406954</v>
      </c>
      <c r="I231" s="2596">
        <f t="shared" si="80"/>
        <v>11.910669868219053</v>
      </c>
      <c r="J231" s="2597">
        <f t="shared" si="81"/>
        <v>27.770346463195633</v>
      </c>
      <c r="K231" s="2553">
        <v>18.99772664539687</v>
      </c>
      <c r="L231" s="2553">
        <f>'calcul-DCC-TX-Encais'!$H$104</f>
        <v>284.92971166978174</v>
      </c>
      <c r="M231" s="2553">
        <f>'calcul-DCC-TX-Encais'!$AQ$104</f>
        <v>47.879321715480678</v>
      </c>
      <c r="N231" s="2553">
        <f t="shared" si="82"/>
        <v>-237.05038995430107</v>
      </c>
      <c r="O231" s="2553">
        <f t="shared" si="83"/>
        <v>28.881595070083808</v>
      </c>
    </row>
    <row r="232" spans="2:17" ht="12" customHeight="1">
      <c r="B232" s="2563" t="s">
        <v>1103</v>
      </c>
      <c r="C232" s="2599">
        <f>'calcul-DCC-TX-Encais'!$BE$10</f>
        <v>0</v>
      </c>
      <c r="D232" s="2599">
        <f>'calcul-DCC-TX-Encais'!$S$26</f>
        <v>0</v>
      </c>
      <c r="E232" s="2599">
        <f>'calcul-DCC-TX-Encais'!$BE$26</f>
        <v>0</v>
      </c>
      <c r="F232" s="2599"/>
      <c r="G232" s="2600"/>
      <c r="H232" s="2601"/>
      <c r="I232" s="2600"/>
      <c r="J232" s="2601"/>
      <c r="K232" s="2564"/>
      <c r="L232" s="2564"/>
      <c r="M232" s="2564"/>
      <c r="N232" s="2564"/>
      <c r="O232" s="2564"/>
    </row>
    <row r="233" spans="2:17" ht="12" customHeight="1">
      <c r="B233" s="2563" t="s">
        <v>1104</v>
      </c>
      <c r="C233" s="2599">
        <f>C231-C232</f>
        <v>5.5537689200000022</v>
      </c>
      <c r="D233" s="2599">
        <f>D231-D232</f>
        <v>11.433495499999999</v>
      </c>
      <c r="E233" s="2599">
        <f>E231-E232</f>
        <v>16.490000000000016</v>
      </c>
      <c r="F233" s="2599"/>
      <c r="G233" s="2600"/>
      <c r="H233" s="2601"/>
      <c r="I233" s="2600"/>
      <c r="J233" s="2601"/>
      <c r="K233" s="2564"/>
      <c r="L233" s="2564"/>
      <c r="M233" s="2564"/>
      <c r="N233" s="2564"/>
      <c r="O233" s="2564"/>
    </row>
    <row r="234" spans="2:17" ht="12" customHeight="1">
      <c r="B234" s="2589" t="s">
        <v>278</v>
      </c>
      <c r="C234" s="2590">
        <f>C235+C238</f>
        <v>817.83576278000078</v>
      </c>
      <c r="D234" s="2590">
        <f>D235+D238</f>
        <v>859.00039256999912</v>
      </c>
      <c r="E234" s="2590">
        <f>E235+E238</f>
        <v>1330.7006805099995</v>
      </c>
      <c r="F234" s="2590">
        <f>F235+F238</f>
        <v>343.67606648720675</v>
      </c>
      <c r="G234" s="2591">
        <f t="shared" si="78"/>
        <v>471.70028794000041</v>
      </c>
      <c r="H234" s="2592">
        <f t="shared" si="79"/>
        <v>54.912697598279848</v>
      </c>
      <c r="I234" s="2591">
        <f t="shared" si="80"/>
        <v>987.02461402279278</v>
      </c>
      <c r="J234" s="2592">
        <f t="shared" si="81"/>
        <v>25.826699536629881</v>
      </c>
      <c r="K234" s="2593">
        <v>86.557260305264791</v>
      </c>
      <c r="L234" s="2593">
        <f>'calcul-DCC-TX-Encais'!$E$120</f>
        <v>93.424507277773202</v>
      </c>
      <c r="M234" s="2593">
        <f>'calcul-DCC-TX-Encais'!$AQ$154</f>
        <v>159.18488954551287</v>
      </c>
      <c r="N234" s="2593">
        <f t="shared" si="82"/>
        <v>65.760382267739672</v>
      </c>
      <c r="O234" s="2593">
        <f t="shared" si="83"/>
        <v>72.627629240248083</v>
      </c>
    </row>
    <row r="235" spans="2:17" ht="12" customHeight="1">
      <c r="B235" s="2594" t="s">
        <v>554</v>
      </c>
      <c r="C235" s="2602">
        <f>'calcul-DCC-TX-Encais'!$AP$10</f>
        <v>560.6413426199997</v>
      </c>
      <c r="D235" s="2602">
        <f>'calcul-DCC-TX-Encais'!$D$26</f>
        <v>597.33677894000004</v>
      </c>
      <c r="E235" s="2602">
        <f>'Feuil-saisie'!C175/1000</f>
        <v>1084.1548809399994</v>
      </c>
      <c r="F235" s="2602">
        <f>C235*0.315515773988161</f>
        <v>176.89118714651096</v>
      </c>
      <c r="G235" s="2603">
        <f t="shared" si="78"/>
        <v>486.81810199999939</v>
      </c>
      <c r="H235" s="2604">
        <f t="shared" si="79"/>
        <v>81.498096076367361</v>
      </c>
      <c r="I235" s="2603">
        <f t="shared" si="80"/>
        <v>907.26369379348853</v>
      </c>
      <c r="J235" s="2604">
        <f t="shared" si="81"/>
        <v>16.316043976404941</v>
      </c>
      <c r="K235" s="2553">
        <v>65.729325579567444</v>
      </c>
      <c r="L235" s="2553">
        <f>'calcul-DCC-TX-Encais'!$D$104</f>
        <v>72.174816683685151</v>
      </c>
      <c r="M235" s="2553">
        <f>'calcul-DCC-TX-Encais'!$AP$104</f>
        <v>143.54679843689797</v>
      </c>
      <c r="N235" s="2553">
        <f t="shared" si="82"/>
        <v>71.371981753212822</v>
      </c>
      <c r="O235" s="2553">
        <f t="shared" si="83"/>
        <v>77.817472857330529</v>
      </c>
    </row>
    <row r="236" spans="2:17" ht="12" customHeight="1">
      <c r="B236" s="2605" t="s">
        <v>295</v>
      </c>
      <c r="C236" s="2606">
        <f>C235-C237</f>
        <v>185.31006396999874</v>
      </c>
      <c r="D236" s="2606">
        <f>D235-D237</f>
        <v>306.97636126999981</v>
      </c>
      <c r="E236" s="2606">
        <f>E235-E237</f>
        <v>516.60769722999862</v>
      </c>
      <c r="F236" s="2606">
        <f>C236*0.315515773988161</f>
        <v>58.46824826128978</v>
      </c>
      <c r="G236" s="2607">
        <f t="shared" si="78"/>
        <v>209.63133595999881</v>
      </c>
      <c r="H236" s="2608">
        <f t="shared" si="79"/>
        <v>68.289080987450504</v>
      </c>
      <c r="I236" s="2607">
        <f t="shared" si="80"/>
        <v>458.13944896870885</v>
      </c>
      <c r="J236" s="2608">
        <f t="shared" si="81"/>
        <v>11.317726889241289</v>
      </c>
      <c r="K236" s="2553">
        <v>22.438382038199702</v>
      </c>
      <c r="L236" s="2553">
        <f>'calcul-DCC-TX-Encais'!$V$104</f>
        <v>40.776807464952988</v>
      </c>
      <c r="M236" s="2553">
        <f>'calcul-DCC-TX-Encais'!$BH$104</f>
        <v>69.503631017140535</v>
      </c>
      <c r="N236" s="2553">
        <f t="shared" si="82"/>
        <v>28.726823552187547</v>
      </c>
      <c r="O236" s="2553">
        <f t="shared" si="83"/>
        <v>47.065248978940829</v>
      </c>
    </row>
    <row r="237" spans="2:17" ht="12" customHeight="1">
      <c r="B237" s="2605" t="s">
        <v>296</v>
      </c>
      <c r="C237" s="2606">
        <f>'calcul-DCC-TX-Encais'!$BB$10</f>
        <v>375.33127865000097</v>
      </c>
      <c r="D237" s="2606">
        <f>'calcul-DCC-TX-Encais'!$P$26</f>
        <v>290.36041767000023</v>
      </c>
      <c r="E237" s="2606">
        <f>'Feuil-saisie'!C176/1000</f>
        <v>567.54718371000081</v>
      </c>
      <c r="F237" s="2606">
        <f>F235-F236</f>
        <v>118.42293888522119</v>
      </c>
      <c r="G237" s="2607">
        <f t="shared" si="78"/>
        <v>277.18676604000058</v>
      </c>
      <c r="H237" s="2608">
        <f t="shared" si="79"/>
        <v>95.463000178980408</v>
      </c>
      <c r="I237" s="2607">
        <f t="shared" si="80"/>
        <v>449.12424482477962</v>
      </c>
      <c r="J237" s="2608">
        <f t="shared" si="81"/>
        <v>20.865743375044509</v>
      </c>
      <c r="K237" s="2553"/>
      <c r="L237" s="2553"/>
      <c r="M237" s="2553"/>
      <c r="N237" s="2553"/>
      <c r="O237" s="2553"/>
    </row>
    <row r="238" spans="2:17" ht="12" customHeight="1">
      <c r="B238" s="2562" t="s">
        <v>603</v>
      </c>
      <c r="C238" s="2595">
        <f>'calcul-DCC-TX-Encais'!$AT$10</f>
        <v>257.19442016000107</v>
      </c>
      <c r="D238" s="2595">
        <f>'calcul-DCC-TX-Encais'!$H$26</f>
        <v>261.66361362999902</v>
      </c>
      <c r="E238" s="2595">
        <f>'Feuil-saisie'!C174/1000</f>
        <v>246.54579957000004</v>
      </c>
      <c r="F238" s="2595">
        <f>C238*0.648477829483776</f>
        <v>166.7848793406958</v>
      </c>
      <c r="G238" s="2596">
        <f t="shared" si="78"/>
        <v>-15.117814059998977</v>
      </c>
      <c r="H238" s="2609">
        <f t="shared" si="79"/>
        <v>-5.7775759687306261</v>
      </c>
      <c r="I238" s="2596">
        <f t="shared" si="80"/>
        <v>79.760920229304247</v>
      </c>
      <c r="J238" s="2609">
        <f t="shared" si="81"/>
        <v>67.648639575926623</v>
      </c>
      <c r="K238" s="2553">
        <v>279.87932882410212</v>
      </c>
      <c r="L238" s="2553">
        <f>'calcul-DCC-TX-Encais'!$H$104</f>
        <v>284.92971166978174</v>
      </c>
      <c r="M238" s="2553">
        <f>'calcul-DCC-TX-Encais'!$AT$104</f>
        <v>305.56855021036063</v>
      </c>
      <c r="N238" s="2553">
        <f>M238-L238</f>
        <v>20.638838540578888</v>
      </c>
      <c r="O238" s="2553">
        <f>M238-K238</f>
        <v>25.689221386258509</v>
      </c>
    </row>
    <row r="239" spans="2:17" ht="12" customHeight="1">
      <c r="B239" s="2567" t="s">
        <v>915</v>
      </c>
      <c r="C239" s="2610">
        <f>C238-C240</f>
        <v>243.72250869000106</v>
      </c>
      <c r="D239" s="2610">
        <f>D238-D240</f>
        <v>247.06883602999901</v>
      </c>
      <c r="E239" s="2610">
        <f>E238-E240</f>
        <v>213.49439697000003</v>
      </c>
      <c r="F239" s="2595">
        <f>C239*0.648477829483776</f>
        <v>158.04864343163263</v>
      </c>
      <c r="G239" s="2596">
        <f t="shared" si="78"/>
        <v>-33.57443905999898</v>
      </c>
      <c r="H239" s="2609">
        <f t="shared" si="79"/>
        <v>-13.589103182532655</v>
      </c>
      <c r="I239" s="2596">
        <f t="shared" si="80"/>
        <v>55.445753538367399</v>
      </c>
      <c r="J239" s="2609">
        <f t="shared" si="81"/>
        <v>74.029410455133132</v>
      </c>
      <c r="K239" s="2569"/>
      <c r="L239" s="2569"/>
      <c r="M239" s="2569"/>
      <c r="N239" s="2569"/>
      <c r="O239" s="2569"/>
    </row>
    <row r="240" spans="2:17" ht="12" customHeight="1">
      <c r="B240" s="2567" t="s">
        <v>916</v>
      </c>
      <c r="C240" s="2610">
        <f>'calcul-DCC-TX-Encais'!$BD$10</f>
        <v>13.47191147</v>
      </c>
      <c r="D240" s="2610">
        <f>'calcul-DCC-TX-Encais'!$R$26</f>
        <v>14.594777600000008</v>
      </c>
      <c r="E240" s="2610">
        <f>'Feuil-saisie'!C177/1000</f>
        <v>33.051402600000017</v>
      </c>
      <c r="F240" s="2610">
        <f>F238-F239</f>
        <v>8.7362359090631685</v>
      </c>
      <c r="G240" s="2611"/>
      <c r="H240" s="2612"/>
      <c r="I240" s="2611"/>
      <c r="J240" s="2612"/>
      <c r="K240" s="2569"/>
      <c r="L240" s="2569"/>
      <c r="M240" s="2569"/>
      <c r="N240" s="2569"/>
      <c r="O240" s="2569"/>
    </row>
    <row r="241" spans="2:17" ht="12" customHeight="1">
      <c r="B241" s="2589" t="s">
        <v>613</v>
      </c>
      <c r="C241" s="2590">
        <f>C224+C227+C234</f>
        <v>2559.6483471720048</v>
      </c>
      <c r="D241" s="2590">
        <f>D224+D227+D234</f>
        <v>3116.9984440820035</v>
      </c>
      <c r="E241" s="2590">
        <f>E224+E227+E234</f>
        <v>3656.9936539619998</v>
      </c>
      <c r="F241" s="2590">
        <f>F224+F227+F234</f>
        <v>1866.0826308903154</v>
      </c>
      <c r="G241" s="2591">
        <f t="shared" ref="G241:G249" si="84">E241-D241</f>
        <v>539.99520987999631</v>
      </c>
      <c r="H241" s="2604">
        <f t="shared" ref="H241:H249" si="85">((E241-D241)/D241)*100</f>
        <v>17.324205307360423</v>
      </c>
      <c r="I241" s="2591">
        <f t="shared" ref="I241:I249" si="86">E241-F241</f>
        <v>1790.9110230716844</v>
      </c>
      <c r="J241" s="2604">
        <f t="shared" ref="J241:J249" si="87">F241/E241*100</f>
        <v>51.027778756700734</v>
      </c>
      <c r="K241" s="2593">
        <v>82.94751605280571</v>
      </c>
      <c r="L241" s="2593">
        <f>'calcul-DCC-TX-Encais'!$K$104</f>
        <v>103.79783773689978</v>
      </c>
      <c r="M241" s="2593">
        <f>'calcul-DCC-TX-Encais'!$AW$104</f>
        <v>123.97589933042445</v>
      </c>
      <c r="N241" s="2593">
        <f>M241-L241</f>
        <v>20.178061593524674</v>
      </c>
      <c r="O241" s="2593">
        <f>M241-K241</f>
        <v>41.028383277618744</v>
      </c>
    </row>
    <row r="242" spans="2:17" ht="12" customHeight="1">
      <c r="B242" s="2613" t="s">
        <v>611</v>
      </c>
      <c r="C242" s="2614">
        <f>C243+C244</f>
        <v>57.204291219999988</v>
      </c>
      <c r="D242" s="2614">
        <f>D243+D244</f>
        <v>87.389948289999978</v>
      </c>
      <c r="E242" s="2614">
        <f>E243+E244</f>
        <v>47.659614929999982</v>
      </c>
      <c r="F242" s="2614">
        <f>F243+F244</f>
        <v>3.3106748727708082</v>
      </c>
      <c r="G242" s="2603">
        <f t="shared" si="84"/>
        <v>-39.730333359999996</v>
      </c>
      <c r="H242" s="2604">
        <f t="shared" si="85"/>
        <v>-45.463275968714967</v>
      </c>
      <c r="I242" s="2603">
        <f t="shared" si="86"/>
        <v>44.348940057229171</v>
      </c>
      <c r="J242" s="2604">
        <f t="shared" si="87"/>
        <v>6.9464994159800897</v>
      </c>
      <c r="K242" s="2553"/>
      <c r="L242" s="2553"/>
      <c r="M242" s="2553"/>
      <c r="N242" s="2553"/>
      <c r="O242" s="2553"/>
    </row>
    <row r="243" spans="2:17" ht="12" customHeight="1">
      <c r="B243" s="2615" t="s">
        <v>318</v>
      </c>
      <c r="C243" s="2595">
        <f>'calcul-DCC-TX-Encais'!$AX$10</f>
        <v>57.204291219999988</v>
      </c>
      <c r="D243" s="2595">
        <f>'calcul-DCC-TX-Encais'!$L$26</f>
        <v>87.389948289999978</v>
      </c>
      <c r="E243" s="2595">
        <f>'Feuil-saisie'!C182/1000</f>
        <v>47.659614929999982</v>
      </c>
      <c r="F243" s="2595">
        <f>C243*0.0578745895135454</f>
        <v>3.3106748727708082</v>
      </c>
      <c r="G243" s="2596">
        <f t="shared" si="84"/>
        <v>-39.730333359999996</v>
      </c>
      <c r="H243" s="2616">
        <f t="shared" si="85"/>
        <v>-45.463275968714967</v>
      </c>
      <c r="I243" s="2596">
        <f t="shared" si="86"/>
        <v>44.348940057229171</v>
      </c>
      <c r="J243" s="2616">
        <f t="shared" si="87"/>
        <v>6.9464994159800897</v>
      </c>
      <c r="K243" s="2553"/>
      <c r="L243" s="2553"/>
      <c r="M243" s="2553"/>
      <c r="N243" s="2553"/>
      <c r="O243" s="2553"/>
    </row>
    <row r="244" spans="2:17" ht="12" customHeight="1">
      <c r="B244" s="2615" t="s">
        <v>319</v>
      </c>
      <c r="C244" s="2595">
        <f>'calcul-DCC-TX-Encais'!$AY$10</f>
        <v>0</v>
      </c>
      <c r="D244" s="2595">
        <f>'calcul-DCC-TX-Encais'!$M$26</f>
        <v>0</v>
      </c>
      <c r="E244" s="2595">
        <f>'Feuil-saisie'!C183/1000</f>
        <v>0</v>
      </c>
      <c r="F244" s="2595">
        <f>C244*0.318226930551063</f>
        <v>0</v>
      </c>
      <c r="G244" s="2596">
        <f t="shared" si="84"/>
        <v>0</v>
      </c>
      <c r="H244" s="2616" t="e">
        <f t="shared" si="85"/>
        <v>#DIV/0!</v>
      </c>
      <c r="I244" s="2596">
        <f t="shared" si="86"/>
        <v>0</v>
      </c>
      <c r="J244" s="2616" t="e">
        <f t="shared" si="87"/>
        <v>#DIV/0!</v>
      </c>
      <c r="K244" s="2553"/>
      <c r="L244" s="2553"/>
      <c r="M244" s="2553"/>
      <c r="N244" s="2553"/>
      <c r="O244" s="2553"/>
    </row>
    <row r="245" spans="2:17" ht="12" customHeight="1">
      <c r="B245" s="2617" t="s">
        <v>606</v>
      </c>
      <c r="C245" s="2618">
        <f>C241+C242</f>
        <v>2616.8526383920048</v>
      </c>
      <c r="D245" s="2618">
        <f>D241+D242</f>
        <v>3204.3883923720036</v>
      </c>
      <c r="E245" s="2618">
        <f>E241+E242</f>
        <v>3704.6532688919997</v>
      </c>
      <c r="F245" s="2618">
        <f>F241+F242</f>
        <v>1869.3933057630861</v>
      </c>
      <c r="G245" s="2596">
        <f t="shared" si="84"/>
        <v>500.26487651999605</v>
      </c>
      <c r="H245" s="2616">
        <f t="shared" si="85"/>
        <v>15.611867703392909</v>
      </c>
      <c r="I245" s="2596">
        <f t="shared" si="86"/>
        <v>1835.2599631289136</v>
      </c>
      <c r="J245" s="2616">
        <f t="shared" si="87"/>
        <v>50.460682014708233</v>
      </c>
      <c r="K245" s="2553"/>
      <c r="L245" s="2553"/>
      <c r="M245" s="2553"/>
      <c r="N245" s="2553"/>
      <c r="O245" s="2553"/>
    </row>
    <row r="246" spans="2:17" ht="12" customHeight="1">
      <c r="B246" s="2619" t="s">
        <v>607</v>
      </c>
      <c r="C246" s="2590">
        <f>C247+C248</f>
        <v>56.895809969999974</v>
      </c>
      <c r="D246" s="2590">
        <f>D247+D248</f>
        <v>92.246367250000006</v>
      </c>
      <c r="E246" s="2590">
        <f>E247+E248</f>
        <v>134.61099999999999</v>
      </c>
      <c r="F246" s="2590">
        <f>F247+F248</f>
        <v>16.137875724868913</v>
      </c>
      <c r="G246" s="2591">
        <f t="shared" si="84"/>
        <v>42.364632749999984</v>
      </c>
      <c r="H246" s="2604">
        <f t="shared" si="85"/>
        <v>45.925529658188225</v>
      </c>
      <c r="I246" s="2591">
        <f t="shared" si="86"/>
        <v>118.47312427513108</v>
      </c>
      <c r="J246" s="2604">
        <f t="shared" si="87"/>
        <v>11.988526736202029</v>
      </c>
      <c r="K246" s="2593">
        <v>41.724888638674088</v>
      </c>
      <c r="L246" s="2593">
        <f>'calcul-DCC-TX-Encais'!$AK$104</f>
        <v>14.690657363988077</v>
      </c>
      <c r="M246" s="2593">
        <f>'calcul-DCC-TX-Encais'!$BW$104</f>
        <v>48.431074119398232</v>
      </c>
      <c r="N246" s="2593">
        <f>M246-L246</f>
        <v>33.740416755410152</v>
      </c>
      <c r="O246" s="2593">
        <f>M246-K246</f>
        <v>6.7061854807241446</v>
      </c>
    </row>
    <row r="247" spans="2:17" ht="12" customHeight="1">
      <c r="B247" s="2557" t="s">
        <v>198</v>
      </c>
      <c r="C247" s="2595">
        <f>'calcul-DCC-TX-Encais'!$BU$10</f>
        <v>35.658571309999971</v>
      </c>
      <c r="D247" s="2595">
        <f>'calcul-DCC-TX-Encais'!$AI$26</f>
        <v>60.42859653</v>
      </c>
      <c r="E247" s="2595">
        <f>'Feuil-saisie'!$C$185/1000</f>
        <v>113.03100000000001</v>
      </c>
      <c r="F247" s="2595">
        <f>C247*0.283639089299864</f>
        <v>10.11416469210265</v>
      </c>
      <c r="G247" s="2620">
        <f t="shared" si="84"/>
        <v>52.602403470000006</v>
      </c>
      <c r="H247" s="2621">
        <f t="shared" si="85"/>
        <v>87.048858471974185</v>
      </c>
      <c r="I247" s="2620">
        <f t="shared" si="86"/>
        <v>102.91683530789736</v>
      </c>
      <c r="J247" s="2621">
        <f t="shared" si="87"/>
        <v>8.948133425434305</v>
      </c>
      <c r="K247" s="2553">
        <v>49.61870302458486</v>
      </c>
      <c r="L247" s="2553">
        <f>'calcul-DCC-TX-Encais'!$AI$104</f>
        <v>0.28734552491588428</v>
      </c>
      <c r="M247" s="2553">
        <f>'calcul-DCC-TX-Encais'!$BU$104</f>
        <v>54.896026104129682</v>
      </c>
      <c r="N247" s="2553">
        <f>M247-L247</f>
        <v>54.608680579213797</v>
      </c>
      <c r="O247" s="2553">
        <f>M247-K247</f>
        <v>5.2773230795448214</v>
      </c>
    </row>
    <row r="248" spans="2:17" ht="12" customHeight="1">
      <c r="B248" s="2557" t="s">
        <v>199</v>
      </c>
      <c r="C248" s="2595">
        <f>'calcul-DCC-TX-Encais'!$BV$10</f>
        <v>21.237238660000003</v>
      </c>
      <c r="D248" s="2595">
        <f>'calcul-DCC-TX-Encais'!$AJ$26</f>
        <v>31.817770720000002</v>
      </c>
      <c r="E248" s="2595">
        <f>'Feuil-saisie'!$C$186/1000</f>
        <v>21.58</v>
      </c>
      <c r="F248" s="2595">
        <f>C248*0.283639089299864</f>
        <v>6.023711032766264</v>
      </c>
      <c r="G248" s="2620">
        <f t="shared" si="84"/>
        <v>-10.237770720000004</v>
      </c>
      <c r="H248" s="2621">
        <f t="shared" si="85"/>
        <v>-32.17626655900424</v>
      </c>
      <c r="I248" s="2620">
        <f t="shared" si="86"/>
        <v>15.556288967233733</v>
      </c>
      <c r="J248" s="2621">
        <f t="shared" si="87"/>
        <v>27.913396815413645</v>
      </c>
      <c r="K248" s="2553">
        <v>28.578986542313199</v>
      </c>
      <c r="L248" s="2553">
        <f>'calcul-DCC-TX-Encais'!$AJ$104</f>
        <v>36.679945636264776</v>
      </c>
      <c r="M248" s="2553">
        <f>'calcul-DCC-TX-Encais'!$BV$104</f>
        <v>29.954206547245622</v>
      </c>
      <c r="N248" s="2553">
        <f>M248-L248</f>
        <v>-6.7257390890191537</v>
      </c>
      <c r="O248" s="2553">
        <f>M248-K248</f>
        <v>1.375220004932423</v>
      </c>
    </row>
    <row r="249" spans="2:17" ht="12" customHeight="1">
      <c r="B249" s="2577" t="s">
        <v>612</v>
      </c>
      <c r="C249" s="2578">
        <f>C246+C245</f>
        <v>2673.7484483620046</v>
      </c>
      <c r="D249" s="2578">
        <f>D246+D245</f>
        <v>3296.6347596220035</v>
      </c>
      <c r="E249" s="2579">
        <f>E245+E246</f>
        <v>3839.2642688919996</v>
      </c>
      <c r="F249" s="2579">
        <f>F245+F246</f>
        <v>1885.5311814879551</v>
      </c>
      <c r="G249" s="2622">
        <f t="shared" si="84"/>
        <v>542.62950926999611</v>
      </c>
      <c r="H249" s="2623">
        <f t="shared" si="85"/>
        <v>16.4601039798602</v>
      </c>
      <c r="I249" s="2622">
        <f t="shared" si="86"/>
        <v>1953.7330874040445</v>
      </c>
      <c r="J249" s="2623">
        <f t="shared" si="87"/>
        <v>49.111784170880064</v>
      </c>
      <c r="K249" s="2553"/>
      <c r="L249" s="2553"/>
      <c r="M249" s="2553"/>
      <c r="N249" s="2553"/>
      <c r="O249" s="2553"/>
    </row>
    <row r="250" spans="2:17" ht="12" customHeight="1">
      <c r="K250" s="2624"/>
      <c r="L250" s="2624"/>
      <c r="M250" s="2624"/>
      <c r="N250" s="2624"/>
      <c r="O250" s="2624"/>
    </row>
    <row r="251" spans="2:17" ht="12" customHeight="1">
      <c r="M251" s="2535"/>
    </row>
    <row r="252" spans="2:17" ht="12" customHeight="1">
      <c r="B252" s="2539" t="s">
        <v>883</v>
      </c>
      <c r="C252" s="3212" t="s">
        <v>281</v>
      </c>
      <c r="D252" s="3213"/>
      <c r="E252" s="3213"/>
      <c r="F252" s="3214"/>
      <c r="G252" s="3215" t="s">
        <v>597</v>
      </c>
      <c r="H252" s="3216"/>
      <c r="I252" s="2545" t="s">
        <v>598</v>
      </c>
      <c r="J252" s="2546"/>
      <c r="K252" s="2547" t="s">
        <v>358</v>
      </c>
      <c r="L252" s="2548"/>
      <c r="M252" s="2548"/>
      <c r="N252" s="2548"/>
      <c r="O252" s="2549"/>
    </row>
    <row r="253" spans="2:17" ht="12" customHeight="1">
      <c r="B253" s="2550"/>
      <c r="C253" s="2551">
        <f>C223</f>
        <v>45291</v>
      </c>
      <c r="D253" s="2551">
        <f t="shared" ref="D253:O253" si="88">D223</f>
        <v>45139</v>
      </c>
      <c r="E253" s="2551">
        <f t="shared" si="88"/>
        <v>45505</v>
      </c>
      <c r="F253" s="2552" t="str">
        <f t="shared" si="88"/>
        <v>Obj 2024</v>
      </c>
      <c r="G253" s="2552" t="str">
        <f t="shared" si="88"/>
        <v>MDA</v>
      </c>
      <c r="H253" s="2552" t="str">
        <f t="shared" si="88"/>
        <v>%</v>
      </c>
      <c r="I253" s="2552" t="str">
        <f t="shared" si="88"/>
        <v>MDA</v>
      </c>
      <c r="J253" s="2552" t="str">
        <f t="shared" si="88"/>
        <v>%</v>
      </c>
      <c r="K253" s="2551">
        <f t="shared" si="88"/>
        <v>45291</v>
      </c>
      <c r="L253" s="2551">
        <f t="shared" si="88"/>
        <v>45139</v>
      </c>
      <c r="M253" s="2551">
        <f t="shared" si="88"/>
        <v>45505</v>
      </c>
      <c r="N253" s="2553" t="str">
        <f t="shared" si="88"/>
        <v>écart mois</v>
      </c>
      <c r="O253" s="2553" t="str">
        <f t="shared" si="88"/>
        <v>écart année</v>
      </c>
    </row>
    <row r="254" spans="2:17" ht="12" customHeight="1">
      <c r="B254" s="2589" t="s">
        <v>277</v>
      </c>
      <c r="C254" s="2590">
        <f>'calcul-DCC-TX-Encais'!$AO$11</f>
        <v>629.59188587299957</v>
      </c>
      <c r="D254" s="2590">
        <f>'calcul-DCC-TX-Encais'!$C$27</f>
        <v>1228.6176199301503</v>
      </c>
      <c r="E254" s="2590">
        <f>E255+E256</f>
        <v>1399.0475832529999</v>
      </c>
      <c r="F254" s="2590">
        <f>F255+F256</f>
        <v>612.16467594543724</v>
      </c>
      <c r="G254" s="2591">
        <f t="shared" ref="G254:G269" si="89">E254-D254</f>
        <v>170.42996332284952</v>
      </c>
      <c r="H254" s="2592">
        <f t="shared" ref="H254:H269" si="90">((E254-D254)/D254)*100</f>
        <v>13.871684774676993</v>
      </c>
      <c r="I254" s="2591">
        <f t="shared" ref="I254:I269" si="91">E254-F254</f>
        <v>786.88290730756262</v>
      </c>
      <c r="J254" s="2592">
        <f t="shared" ref="J254:J269" si="92">F254/E254*100</f>
        <v>43.755815261269433</v>
      </c>
      <c r="K254" s="2593">
        <v>33.311179046690448</v>
      </c>
      <c r="L254" s="2593">
        <f>'calcul-DCC-TX-Encais'!$C$105</f>
        <v>65.049119889732211</v>
      </c>
      <c r="M254" s="2593">
        <f>'calcul-DCC-TX-Encais'!$AO$105</f>
        <v>109.39203574946592</v>
      </c>
      <c r="N254" s="2593">
        <f>M254-L254</f>
        <v>44.342915859733708</v>
      </c>
      <c r="O254" s="2593">
        <f>M254-K254</f>
        <v>76.080856702775463</v>
      </c>
      <c r="P254" s="2534">
        <v>618.03665657982708</v>
      </c>
    </row>
    <row r="255" spans="2:17" ht="12" customHeight="1">
      <c r="B255" s="2594" t="s">
        <v>609</v>
      </c>
      <c r="C255" s="2595">
        <f>'enc-ag'!D92</f>
        <v>628.70756117000019</v>
      </c>
      <c r="D255" s="2595">
        <f>'enc-ag'!N92</f>
        <v>1227.7332952271518</v>
      </c>
      <c r="E255" s="2595">
        <f>'Feuil-saisie'!C191/1000</f>
        <v>1398.1632585499999</v>
      </c>
      <c r="F255" s="2595">
        <f>C255*0.972319830800555</f>
        <v>611.30482949984412</v>
      </c>
      <c r="G255" s="2596">
        <f t="shared" si="89"/>
        <v>170.42996332284815</v>
      </c>
      <c r="H255" s="2597">
        <f t="shared" si="90"/>
        <v>13.881676418274189</v>
      </c>
      <c r="I255" s="2596">
        <f t="shared" si="91"/>
        <v>786.85842905015579</v>
      </c>
      <c r="J255" s="2597">
        <f t="shared" si="92"/>
        <v>43.721992103684158</v>
      </c>
      <c r="K255" s="2553">
        <v>50.44994251977333</v>
      </c>
      <c r="L255" s="2553">
        <f>'enc-ag'!P92</f>
        <v>102.57802397871386</v>
      </c>
      <c r="M255" s="2553">
        <f>'enc-ag'!J92</f>
        <v>109.32289008159682</v>
      </c>
      <c r="N255" s="2553">
        <f>M255-L255</f>
        <v>6.7448661028829662</v>
      </c>
      <c r="O255" s="2553">
        <f>M255-K255</f>
        <v>58.872947561823494</v>
      </c>
      <c r="P255" s="2534">
        <f>F255/F254</f>
        <v>0.99859540009513759</v>
      </c>
      <c r="Q255" s="2534">
        <f>P254*P255</f>
        <v>617.16856235079354</v>
      </c>
    </row>
    <row r="256" spans="2:17" ht="12" customHeight="1">
      <c r="B256" s="2594" t="s">
        <v>279</v>
      </c>
      <c r="C256" s="2595">
        <f>C254-C255</f>
        <v>0.88432470299937904</v>
      </c>
      <c r="D256" s="2595">
        <f>D254-D255</f>
        <v>0.88432470299858323</v>
      </c>
      <c r="E256" s="2595">
        <f>'Feuil-saisie'!C192/1000</f>
        <v>0.88432470299999955</v>
      </c>
      <c r="F256" s="2595">
        <f>C256*0.972319830800555</f>
        <v>0.85984644559310719</v>
      </c>
      <c r="G256" s="2596">
        <f t="shared" si="89"/>
        <v>1.4163115125143122E-12</v>
      </c>
      <c r="H256" s="2597">
        <f t="shared" si="90"/>
        <v>1.6015740685653798E-10</v>
      </c>
      <c r="I256" s="2596">
        <f t="shared" si="91"/>
        <v>2.4478257406892356E-2</v>
      </c>
      <c r="J256" s="2597">
        <f t="shared" si="92"/>
        <v>97.231983079987259</v>
      </c>
      <c r="K256" s="2553"/>
      <c r="L256" s="2553"/>
      <c r="M256" s="2553"/>
      <c r="N256" s="2553"/>
      <c r="O256" s="2553"/>
      <c r="P256" s="2534">
        <f>1-P255</f>
        <v>1.4045999048624136E-3</v>
      </c>
      <c r="Q256" s="2534">
        <f>P254*P256</f>
        <v>0.8680942290335093</v>
      </c>
    </row>
    <row r="257" spans="2:15" ht="12" customHeight="1">
      <c r="B257" s="2598" t="s">
        <v>1181</v>
      </c>
      <c r="C257" s="2590">
        <f>C258+C261</f>
        <v>200.79277339000015</v>
      </c>
      <c r="D257" s="2590">
        <f>D258+D261</f>
        <v>268.63475038000001</v>
      </c>
      <c r="E257" s="2590">
        <f>E258+E261</f>
        <v>238.03009583000008</v>
      </c>
      <c r="F257" s="2590">
        <f>F258+F261</f>
        <v>103.83082323664661</v>
      </c>
      <c r="G257" s="2591">
        <f t="shared" si="89"/>
        <v>-30.604654549999935</v>
      </c>
      <c r="H257" s="2592">
        <f t="shared" si="90"/>
        <v>-11.392664019345155</v>
      </c>
      <c r="I257" s="2591">
        <f t="shared" si="91"/>
        <v>134.19927259335347</v>
      </c>
      <c r="J257" s="2592">
        <f t="shared" si="92"/>
        <v>43.620880323806652</v>
      </c>
      <c r="K257" s="2593">
        <v>110.64839722224082</v>
      </c>
      <c r="L257" s="2593">
        <f>'calcul-DCC-TX-Encais'!$H$121</f>
        <v>144.13792823091288</v>
      </c>
      <c r="M257" s="2593">
        <f>'calcul-DCC-TX-Encais'!$AT$155</f>
        <v>123.24335996148623</v>
      </c>
      <c r="N257" s="2593">
        <f t="shared" ref="N257:N266" si="93">M257-L257</f>
        <v>-20.894568269426642</v>
      </c>
      <c r="O257" s="2593">
        <f t="shared" ref="O257:O266" si="94">M257-K257</f>
        <v>12.594962739245418</v>
      </c>
    </row>
    <row r="258" spans="2:15" ht="12" customHeight="1">
      <c r="B258" s="2557" t="s">
        <v>18</v>
      </c>
      <c r="C258" s="2595">
        <f>'calcul-DCC-TX-Encais'!$AU$11</f>
        <v>200.26177321000014</v>
      </c>
      <c r="D258" s="2595">
        <f>'calcul-DCC-TX-Encais'!$I$27</f>
        <v>268.08403504</v>
      </c>
      <c r="E258" s="2595">
        <f>'Feuil-saisie'!C194/1000</f>
        <v>237.30350101000008</v>
      </c>
      <c r="F258" s="2595">
        <f>C258*0.516289196146854</f>
        <v>103.39298990953455</v>
      </c>
      <c r="G258" s="2596">
        <f t="shared" si="89"/>
        <v>-30.780534029999927</v>
      </c>
      <c r="H258" s="2597">
        <f t="shared" si="90"/>
        <v>-11.481673657070724</v>
      </c>
      <c r="I258" s="2596">
        <f t="shared" si="91"/>
        <v>133.91051110046553</v>
      </c>
      <c r="J258" s="2597">
        <f t="shared" si="92"/>
        <v>43.569938694321038</v>
      </c>
      <c r="K258" s="2553">
        <v>111.04787461143407</v>
      </c>
      <c r="L258" s="2553">
        <f>'calcul-DCC-TX-Encais'!$I$105</f>
        <v>144.68629818103111</v>
      </c>
      <c r="M258" s="2553">
        <f>'calcul-DCC-TX-Encais'!$AU$105</f>
        <v>123.46043862565168</v>
      </c>
      <c r="N258" s="2553">
        <f t="shared" si="93"/>
        <v>-21.225859555379429</v>
      </c>
      <c r="O258" s="2553">
        <f t="shared" si="94"/>
        <v>12.412564014217608</v>
      </c>
    </row>
    <row r="259" spans="2:15" ht="12" customHeight="1">
      <c r="B259" s="2563" t="s">
        <v>1101</v>
      </c>
      <c r="C259" s="2599">
        <f>'calcul-DCC-TX-Encais'!$BF$11</f>
        <v>0</v>
      </c>
      <c r="D259" s="2599">
        <f>'calcul-DCC-TX-Encais'!$T$27</f>
        <v>0</v>
      </c>
      <c r="E259" s="2599">
        <f>'calcul-DCC-TX-Encais'!$BF$27</f>
        <v>0</v>
      </c>
      <c r="F259" s="2599"/>
      <c r="G259" s="2600"/>
      <c r="H259" s="2601"/>
      <c r="I259" s="2600"/>
      <c r="J259" s="2601"/>
      <c r="K259" s="2564"/>
      <c r="L259" s="2564"/>
      <c r="M259" s="2564"/>
      <c r="N259" s="2564"/>
      <c r="O259" s="2564"/>
    </row>
    <row r="260" spans="2:15" ht="12" customHeight="1">
      <c r="B260" s="2563" t="s">
        <v>1102</v>
      </c>
      <c r="C260" s="2599">
        <f>C258-C259</f>
        <v>200.26177321000014</v>
      </c>
      <c r="D260" s="2599">
        <f>D258-D259</f>
        <v>268.08403504</v>
      </c>
      <c r="E260" s="2599">
        <f>E258-E259</f>
        <v>237.30350101000008</v>
      </c>
      <c r="F260" s="2599">
        <f>F258-F259</f>
        <v>103.39298990953455</v>
      </c>
      <c r="G260" s="2600"/>
      <c r="H260" s="2601"/>
      <c r="I260" s="2600"/>
      <c r="J260" s="2601"/>
      <c r="K260" s="2564"/>
      <c r="L260" s="2564"/>
      <c r="M260" s="2564"/>
      <c r="N260" s="2564"/>
      <c r="O260" s="2564"/>
    </row>
    <row r="261" spans="2:15" ht="12" customHeight="1">
      <c r="B261" s="2557" t="s">
        <v>185</v>
      </c>
      <c r="C261" s="2595">
        <f>'calcul-DCC-TX-Encais'!$AQ$11</f>
        <v>0.53100018000000004</v>
      </c>
      <c r="D261" s="2595">
        <f>'calcul-DCC-TX-Encais'!$E$27</f>
        <v>0.55071534000000022</v>
      </c>
      <c r="E261" s="2595">
        <f>'Feuil-saisie'!C195/1000</f>
        <v>0.72659481999999975</v>
      </c>
      <c r="F261" s="2595">
        <f>C261*0.824544592644118</f>
        <v>0.43783332711205336</v>
      </c>
      <c r="G261" s="2596">
        <f t="shared" si="89"/>
        <v>0.17587947999999953</v>
      </c>
      <c r="H261" s="2597">
        <f t="shared" si="90"/>
        <v>31.936550015112974</v>
      </c>
      <c r="I261" s="2596">
        <f t="shared" si="91"/>
        <v>0.28876149288794639</v>
      </c>
      <c r="J261" s="2597">
        <f t="shared" si="92"/>
        <v>60.258250549054772</v>
      </c>
      <c r="K261" s="2553">
        <v>46.950470941973322</v>
      </c>
      <c r="L261" s="2553">
        <f>'calcul-DCC-TX-Encais'!$E$105</f>
        <v>50.66407555012141</v>
      </c>
      <c r="M261" s="2553">
        <f>'calcul-DCC-TX-Encais'!$AQ$105</f>
        <v>78.287020775633437</v>
      </c>
      <c r="N261" s="2553">
        <f t="shared" si="93"/>
        <v>27.622945225512026</v>
      </c>
      <c r="O261" s="2553">
        <f t="shared" si="94"/>
        <v>31.336549833660115</v>
      </c>
    </row>
    <row r="262" spans="2:15" ht="12" customHeight="1">
      <c r="B262" s="2563" t="s">
        <v>1103</v>
      </c>
      <c r="C262" s="2599">
        <f>'calcul-DCC-TX-Encais'!$BE$11</f>
        <v>0</v>
      </c>
      <c r="D262" s="2599">
        <f>'calcul-DCC-TX-Encais'!$S$27</f>
        <v>0</v>
      </c>
      <c r="E262" s="2599">
        <f>'calcul-DCC-TX-Encais'!$BE$27</f>
        <v>0</v>
      </c>
      <c r="F262" s="2599"/>
      <c r="G262" s="2600"/>
      <c r="H262" s="2601"/>
      <c r="I262" s="2600"/>
      <c r="J262" s="2601"/>
      <c r="K262" s="2564"/>
      <c r="L262" s="2564"/>
      <c r="M262" s="2564"/>
      <c r="N262" s="2564"/>
      <c r="O262" s="2564"/>
    </row>
    <row r="263" spans="2:15" ht="12" customHeight="1">
      <c r="B263" s="2563" t="s">
        <v>1104</v>
      </c>
      <c r="C263" s="2599">
        <f>C261-C262</f>
        <v>0.53100018000000004</v>
      </c>
      <c r="D263" s="2599">
        <f>D261-D262</f>
        <v>0.55071534000000022</v>
      </c>
      <c r="E263" s="2599">
        <f>E261-E262</f>
        <v>0.72659481999999975</v>
      </c>
      <c r="F263" s="2599"/>
      <c r="G263" s="2600"/>
      <c r="H263" s="2601"/>
      <c r="I263" s="2600"/>
      <c r="J263" s="2601"/>
      <c r="K263" s="2564"/>
      <c r="L263" s="2564"/>
      <c r="M263" s="2564"/>
      <c r="N263" s="2564"/>
      <c r="O263" s="2564"/>
    </row>
    <row r="264" spans="2:15" ht="12" customHeight="1">
      <c r="B264" s="2589" t="s">
        <v>278</v>
      </c>
      <c r="C264" s="2590">
        <f>C265+C268</f>
        <v>567.46584522000001</v>
      </c>
      <c r="D264" s="2590">
        <f>D265+D268</f>
        <v>592.43774728000005</v>
      </c>
      <c r="E264" s="2590">
        <f>E265+E268</f>
        <v>853.44475696000018</v>
      </c>
      <c r="F264" s="2590">
        <f>F265+F268</f>
        <v>347.38556138304364</v>
      </c>
      <c r="G264" s="2591">
        <f t="shared" si="89"/>
        <v>261.00700968000012</v>
      </c>
      <c r="H264" s="2592">
        <f t="shared" si="90"/>
        <v>44.056444897094323</v>
      </c>
      <c r="I264" s="2591">
        <f t="shared" si="91"/>
        <v>506.05919557695654</v>
      </c>
      <c r="J264" s="2592">
        <f t="shared" si="92"/>
        <v>40.703930576648339</v>
      </c>
      <c r="K264" s="2593">
        <v>110.64839722224082</v>
      </c>
      <c r="L264" s="2593">
        <f>'calcul-DCC-TX-Encais'!$E$121</f>
        <v>129.14289113664483</v>
      </c>
      <c r="M264" s="2593">
        <f>'calcul-DCC-TX-Encais'!$AQ$155</f>
        <v>176.38995845970993</v>
      </c>
      <c r="N264" s="2593">
        <f t="shared" si="93"/>
        <v>47.247067323065096</v>
      </c>
      <c r="O264" s="2593">
        <f t="shared" si="94"/>
        <v>65.741561237469114</v>
      </c>
    </row>
    <row r="265" spans="2:15" ht="12" customHeight="1">
      <c r="B265" s="2594" t="s">
        <v>554</v>
      </c>
      <c r="C265" s="2602">
        <f>'calcul-DCC-TX-Encais'!$AP$11</f>
        <v>61.87929793</v>
      </c>
      <c r="D265" s="2602">
        <f>'calcul-DCC-TX-Encais'!$D$27</f>
        <v>126.35862676000001</v>
      </c>
      <c r="E265" s="2602">
        <f>'Feuil-saisie'!C198/1000</f>
        <v>123.11480054000009</v>
      </c>
      <c r="F265" s="2602">
        <f>C265*0.315515773988161</f>
        <v>19.52389458022796</v>
      </c>
      <c r="G265" s="2603">
        <f t="shared" si="89"/>
        <v>-3.2438262199999173</v>
      </c>
      <c r="H265" s="2604">
        <f t="shared" si="90"/>
        <v>-2.5671584941810877</v>
      </c>
      <c r="I265" s="2603">
        <f t="shared" si="91"/>
        <v>103.59090595977213</v>
      </c>
      <c r="J265" s="2604">
        <f t="shared" si="92"/>
        <v>15.85828388998984</v>
      </c>
      <c r="K265" s="2553">
        <v>22.730873299027806</v>
      </c>
      <c r="L265" s="2553">
        <f>'calcul-DCC-TX-Encais'!$D$105</f>
        <v>47.177725864418733</v>
      </c>
      <c r="M265" s="2553">
        <f>'calcul-DCC-TX-Encais'!$AP$105</f>
        <v>43.782341814858604</v>
      </c>
      <c r="N265" s="2553">
        <f t="shared" si="93"/>
        <v>-3.3953840495601284</v>
      </c>
      <c r="O265" s="2553">
        <f t="shared" si="94"/>
        <v>21.051468515830798</v>
      </c>
    </row>
    <row r="266" spans="2:15" ht="12" customHeight="1">
      <c r="B266" s="2605" t="s">
        <v>295</v>
      </c>
      <c r="C266" s="2606">
        <f>C265-C267</f>
        <v>57.859196109999999</v>
      </c>
      <c r="D266" s="2606">
        <f>D265-D267</f>
        <v>125.58117384000001</v>
      </c>
      <c r="E266" s="2606">
        <f>E265-E267</f>
        <v>114.61665014000009</v>
      </c>
      <c r="F266" s="2606">
        <f>C266*0.315515773988161</f>
        <v>18.255489042979445</v>
      </c>
      <c r="G266" s="2607">
        <f t="shared" si="89"/>
        <v>-10.964523699999916</v>
      </c>
      <c r="H266" s="2608">
        <f t="shared" si="90"/>
        <v>-8.7310250133268816</v>
      </c>
      <c r="I266" s="2607">
        <f t="shared" si="91"/>
        <v>96.361161097020641</v>
      </c>
      <c r="J266" s="2608">
        <f t="shared" si="92"/>
        <v>15.927432027267441</v>
      </c>
      <c r="K266" s="2553">
        <v>21.254535445641451</v>
      </c>
      <c r="L266" s="2553">
        <f>'calcul-DCC-TX-Encais'!$V$105</f>
        <v>47.026500825238358</v>
      </c>
      <c r="M266" s="2553">
        <f>'calcul-DCC-TX-Encais'!$BH$105</f>
        <v>41.029094768165479</v>
      </c>
      <c r="N266" s="2553">
        <f t="shared" si="93"/>
        <v>-5.9974060570728795</v>
      </c>
      <c r="O266" s="2553">
        <f t="shared" si="94"/>
        <v>19.774559322524027</v>
      </c>
    </row>
    <row r="267" spans="2:15" ht="12" customHeight="1">
      <c r="B267" s="2605" t="s">
        <v>296</v>
      </c>
      <c r="C267" s="2606">
        <f>'calcul-DCC-TX-Encais'!$BB$11</f>
        <v>4.0201018199999998</v>
      </c>
      <c r="D267" s="2606">
        <f>'calcul-DCC-TX-Encais'!$P$27</f>
        <v>0.77745291999999999</v>
      </c>
      <c r="E267" s="2606">
        <f>'Feuil-saisie'!C199/1000</f>
        <v>8.4981504000000001</v>
      </c>
      <c r="F267" s="2606">
        <f>F265-F266</f>
        <v>1.2684055372485155</v>
      </c>
      <c r="G267" s="2607">
        <f t="shared" si="89"/>
        <v>7.7206974800000001</v>
      </c>
      <c r="H267" s="2608">
        <f t="shared" si="90"/>
        <v>993.07588683312179</v>
      </c>
      <c r="I267" s="2607">
        <f t="shared" si="91"/>
        <v>7.2297448627514846</v>
      </c>
      <c r="J267" s="2608">
        <f t="shared" si="92"/>
        <v>14.925665910178706</v>
      </c>
      <c r="K267" s="2553"/>
      <c r="L267" s="2553"/>
      <c r="M267" s="2553"/>
      <c r="N267" s="2553"/>
      <c r="O267" s="2553"/>
    </row>
    <row r="268" spans="2:15" ht="12" customHeight="1">
      <c r="B268" s="2562" t="s">
        <v>603</v>
      </c>
      <c r="C268" s="2595">
        <f>'calcul-DCC-TX-Encais'!$AT$11</f>
        <v>505.58654729</v>
      </c>
      <c r="D268" s="2595">
        <f>'calcul-DCC-TX-Encais'!$H$27</f>
        <v>466.07912052</v>
      </c>
      <c r="E268" s="2595">
        <f>'Feuil-saisie'!C197/1000</f>
        <v>730.32995642000003</v>
      </c>
      <c r="F268" s="2595">
        <f>C268*0.648477829483776</f>
        <v>327.86166680281565</v>
      </c>
      <c r="G268" s="2596">
        <f t="shared" si="89"/>
        <v>264.25083590000003</v>
      </c>
      <c r="H268" s="2609">
        <f t="shared" si="90"/>
        <v>56.696561649270606</v>
      </c>
      <c r="I268" s="2596">
        <f t="shared" si="91"/>
        <v>402.46828961718438</v>
      </c>
      <c r="J268" s="2609">
        <f t="shared" si="92"/>
        <v>44.892266012195194</v>
      </c>
      <c r="K268" s="2553">
        <v>267.20310020735519</v>
      </c>
      <c r="L268" s="2553">
        <f>'calcul-DCC-TX-Encais'!$H$105</f>
        <v>244.13478635642505</v>
      </c>
      <c r="M268" s="2553">
        <f>'calcul-DCC-TX-Encais'!$AT$105</f>
        <v>360.40336963231317</v>
      </c>
      <c r="N268" s="2553">
        <f>M268-L268</f>
        <v>116.26858327588812</v>
      </c>
      <c r="O268" s="2553">
        <f>M268-K268</f>
        <v>93.20026942495798</v>
      </c>
    </row>
    <row r="269" spans="2:15" ht="12" customHeight="1">
      <c r="B269" s="2567" t="s">
        <v>915</v>
      </c>
      <c r="C269" s="2610">
        <f>C268-C270</f>
        <v>141.65824011000001</v>
      </c>
      <c r="D269" s="2610">
        <f>D268-D270</f>
        <v>193.84221681000002</v>
      </c>
      <c r="E269" s="2610">
        <f>E268-E270</f>
        <v>168.79651611999998</v>
      </c>
      <c r="F269" s="2595">
        <f>C269*0.648477829483776</f>
        <v>91.862228075024376</v>
      </c>
      <c r="G269" s="2596">
        <f t="shared" si="89"/>
        <v>-25.045700690000047</v>
      </c>
      <c r="H269" s="2609">
        <f t="shared" si="90"/>
        <v>-12.920663569664653</v>
      </c>
      <c r="I269" s="2596">
        <f t="shared" si="91"/>
        <v>76.934288044975602</v>
      </c>
      <c r="J269" s="2609">
        <f t="shared" si="92"/>
        <v>54.421874447762974</v>
      </c>
      <c r="K269" s="2569"/>
      <c r="L269" s="2569"/>
      <c r="M269" s="2569"/>
      <c r="N269" s="2569"/>
      <c r="O269" s="2569"/>
    </row>
    <row r="270" spans="2:15" ht="12" customHeight="1">
      <c r="B270" s="2567" t="s">
        <v>916</v>
      </c>
      <c r="C270" s="2610">
        <f>'calcul-DCC-TX-Encais'!$BD$11</f>
        <v>363.92830717999999</v>
      </c>
      <c r="D270" s="2610">
        <f>'calcul-DCC-TX-Encais'!$R$27</f>
        <v>272.23690370999998</v>
      </c>
      <c r="E270" s="2610">
        <f>'Feuil-saisie'!C200/1000</f>
        <v>561.53344030000005</v>
      </c>
      <c r="F270" s="2610">
        <f>F268-F269</f>
        <v>235.99943872779127</v>
      </c>
      <c r="G270" s="2611"/>
      <c r="H270" s="2612"/>
      <c r="I270" s="2611"/>
      <c r="J270" s="2612"/>
      <c r="K270" s="2569"/>
      <c r="L270" s="2569"/>
      <c r="M270" s="2569"/>
      <c r="N270" s="2569"/>
      <c r="O270" s="2569"/>
    </row>
    <row r="271" spans="2:15" ht="12" customHeight="1">
      <c r="B271" s="2589" t="s">
        <v>613</v>
      </c>
      <c r="C271" s="2590">
        <f>C254+C257+C264</f>
        <v>1397.8505044829999</v>
      </c>
      <c r="D271" s="2590">
        <f>D254+D257+D264</f>
        <v>2089.6901175901503</v>
      </c>
      <c r="E271" s="2590">
        <f>E254+E257+E264</f>
        <v>2490.5224360430002</v>
      </c>
      <c r="F271" s="2590">
        <f>F254+F257+F264</f>
        <v>1063.3810605651274</v>
      </c>
      <c r="G271" s="2591">
        <f t="shared" ref="G271:G279" si="95">E271-D271</f>
        <v>400.8323184528499</v>
      </c>
      <c r="H271" s="2604">
        <f t="shared" ref="H271:H279" si="96">((E271-D271)/D271)*100</f>
        <v>19.181423842645788</v>
      </c>
      <c r="I271" s="2591">
        <f t="shared" ref="I271:I279" si="97">E271-F271</f>
        <v>1427.1413754778728</v>
      </c>
      <c r="J271" s="2604">
        <f t="shared" ref="J271:J279" si="98">F271/E271*100</f>
        <v>42.697108252301149</v>
      </c>
      <c r="K271" s="2593">
        <v>54.695526223367935</v>
      </c>
      <c r="L271" s="2593">
        <f>'calcul-DCC-TX-Encais'!$K$105</f>
        <v>81.857767865707771</v>
      </c>
      <c r="M271" s="2593">
        <f>'calcul-DCC-TX-Encais'!$AW$105</f>
        <v>125.83704645595705</v>
      </c>
      <c r="N271" s="2593">
        <f>M271-L271</f>
        <v>43.97927859024928</v>
      </c>
      <c r="O271" s="2593">
        <f>M271-K271</f>
        <v>71.141520232589116</v>
      </c>
    </row>
    <row r="272" spans="2:15" ht="12" customHeight="1">
      <c r="B272" s="2613" t="s">
        <v>611</v>
      </c>
      <c r="C272" s="2614">
        <f>C273+C274</f>
        <v>276.64737839681089</v>
      </c>
      <c r="D272" s="2614">
        <f>D273+D274</f>
        <v>220.89477123681095</v>
      </c>
      <c r="E272" s="2614">
        <f>E273+E274</f>
        <v>89.329088716810901</v>
      </c>
      <c r="F272" s="2614">
        <f>F273+F274</f>
        <v>17.531798757252833</v>
      </c>
      <c r="G272" s="2603">
        <f t="shared" si="95"/>
        <v>-131.56568252000005</v>
      </c>
      <c r="H272" s="2604">
        <f t="shared" si="96"/>
        <v>-59.560342593602925</v>
      </c>
      <c r="I272" s="2603">
        <f t="shared" si="97"/>
        <v>71.797289959558071</v>
      </c>
      <c r="J272" s="2604">
        <f t="shared" si="98"/>
        <v>19.626080383324801</v>
      </c>
      <c r="K272" s="2553"/>
      <c r="L272" s="2553"/>
      <c r="M272" s="2553"/>
      <c r="N272" s="2553"/>
      <c r="O272" s="2553"/>
    </row>
    <row r="273" spans="2:17" ht="12" customHeight="1">
      <c r="B273" s="2615" t="s">
        <v>318</v>
      </c>
      <c r="C273" s="2595">
        <f>'calcul-DCC-TX-Encais'!$AX$11</f>
        <v>270.8055054699999</v>
      </c>
      <c r="D273" s="2595">
        <f>'calcul-DCC-TX-Encais'!$L$27</f>
        <v>214.63989830999998</v>
      </c>
      <c r="E273" s="2595">
        <f>'Feuil-saisie'!C205/1000</f>
        <v>83.466646409999925</v>
      </c>
      <c r="F273" s="2595">
        <f>C273*0.0578745895135454</f>
        <v>15.672757467084416</v>
      </c>
      <c r="G273" s="2596">
        <f t="shared" si="95"/>
        <v>-131.17325190000005</v>
      </c>
      <c r="H273" s="2616">
        <f t="shared" si="96"/>
        <v>-61.113172775803889</v>
      </c>
      <c r="I273" s="2596">
        <f t="shared" si="97"/>
        <v>67.793888942915515</v>
      </c>
      <c r="J273" s="2616">
        <f t="shared" si="98"/>
        <v>18.777269893051198</v>
      </c>
      <c r="K273" s="2553"/>
      <c r="L273" s="2553"/>
      <c r="M273" s="2553"/>
      <c r="N273" s="2553"/>
      <c r="O273" s="2553"/>
    </row>
    <row r="274" spans="2:17" ht="12" customHeight="1">
      <c r="B274" s="2615" t="s">
        <v>319</v>
      </c>
      <c r="C274" s="2595">
        <f>'calcul-DCC-TX-Encais'!$AY$11</f>
        <v>5.8418729268109892</v>
      </c>
      <c r="D274" s="2595">
        <f>'calcul-DCC-TX-Encais'!$M$27</f>
        <v>6.2548729268109815</v>
      </c>
      <c r="E274" s="2595">
        <f>'Feuil-saisie'!C206/1000</f>
        <v>5.8624423068109826</v>
      </c>
      <c r="F274" s="2595">
        <f>C274*0.318226930551063</f>
        <v>1.8590412901684157</v>
      </c>
      <c r="G274" s="2596">
        <f t="shared" si="95"/>
        <v>-0.39243061999999895</v>
      </c>
      <c r="H274" s="2616">
        <f t="shared" si="96"/>
        <v>-6.2739982824891367</v>
      </c>
      <c r="I274" s="2596">
        <f t="shared" si="97"/>
        <v>4.0034010166425666</v>
      </c>
      <c r="J274" s="2616">
        <f t="shared" si="98"/>
        <v>31.711037701958833</v>
      </c>
      <c r="K274" s="2553"/>
      <c r="L274" s="2553"/>
      <c r="M274" s="2553"/>
      <c r="N274" s="2553"/>
      <c r="O274" s="2553"/>
    </row>
    <row r="275" spans="2:17" ht="12" customHeight="1">
      <c r="B275" s="2617" t="s">
        <v>606</v>
      </c>
      <c r="C275" s="2618">
        <f>C271+C272</f>
        <v>1674.4978828798107</v>
      </c>
      <c r="D275" s="2618">
        <f>D271+D272</f>
        <v>2310.5848888269611</v>
      </c>
      <c r="E275" s="2618">
        <f>E271+E272</f>
        <v>2579.8515247598111</v>
      </c>
      <c r="F275" s="2618">
        <f>F271+F272</f>
        <v>1080.9128593223802</v>
      </c>
      <c r="G275" s="2596">
        <f t="shared" si="95"/>
        <v>269.26663593285002</v>
      </c>
      <c r="H275" s="2616">
        <f t="shared" si="96"/>
        <v>11.65361364712947</v>
      </c>
      <c r="I275" s="2596">
        <f t="shared" si="97"/>
        <v>1498.9386654374309</v>
      </c>
      <c r="J275" s="2616">
        <f t="shared" si="98"/>
        <v>41.898258444272876</v>
      </c>
      <c r="K275" s="2553"/>
      <c r="L275" s="2553"/>
      <c r="M275" s="2553"/>
      <c r="N275" s="2553"/>
      <c r="O275" s="2553"/>
    </row>
    <row r="276" spans="2:17" ht="12" customHeight="1">
      <c r="B276" s="2619" t="s">
        <v>607</v>
      </c>
      <c r="C276" s="2590">
        <f>C277+C278</f>
        <v>2.8275298200000107</v>
      </c>
      <c r="D276" s="2590">
        <f>D277+D278</f>
        <v>6.6613422800000031</v>
      </c>
      <c r="E276" s="2590">
        <f>E277+E278</f>
        <v>6.5840602300000137</v>
      </c>
      <c r="F276" s="2590">
        <f>F277+F278</f>
        <v>0.8019979831130114</v>
      </c>
      <c r="G276" s="2591">
        <f t="shared" si="95"/>
        <v>-7.7282049999989333E-2</v>
      </c>
      <c r="H276" s="2604">
        <f t="shared" si="96"/>
        <v>-1.1601573189238565</v>
      </c>
      <c r="I276" s="2591">
        <f t="shared" si="97"/>
        <v>5.7820622468870022</v>
      </c>
      <c r="J276" s="2604">
        <f t="shared" si="98"/>
        <v>12.18090289421623</v>
      </c>
      <c r="K276" s="2593">
        <v>26.084862628035882</v>
      </c>
      <c r="L276" s="2593">
        <f>'calcul-DCC-TX-Encais'!$AK$105</f>
        <v>32.086077514701152</v>
      </c>
      <c r="M276" s="2593">
        <f>'calcul-DCC-TX-Encais'!$BW$105</f>
        <v>23.110979887448643</v>
      </c>
      <c r="N276" s="2593">
        <f>M276-L276</f>
        <v>-8.9750976272525094</v>
      </c>
      <c r="O276" s="2593">
        <f>M276-K276</f>
        <v>-2.9738827405872392</v>
      </c>
    </row>
    <row r="277" spans="2:17" ht="12" customHeight="1">
      <c r="B277" s="2557" t="s">
        <v>198</v>
      </c>
      <c r="C277" s="2595">
        <f>'calcul-DCC-TX-Encais'!$BU$11</f>
        <v>0</v>
      </c>
      <c r="D277" s="2595">
        <f>'calcul-DCC-TX-Encais'!$AI$27</f>
        <v>1.6080948100000005</v>
      </c>
      <c r="E277" s="2595">
        <f>'Feuil-saisie'!$C$208/1000</f>
        <v>1.6441710899999997</v>
      </c>
      <c r="F277" s="2595">
        <f>C277*0.283639089299864</f>
        <v>0</v>
      </c>
      <c r="G277" s="2620">
        <f t="shared" si="95"/>
        <v>3.6076279999999183E-2</v>
      </c>
      <c r="H277" s="2621">
        <f t="shared" si="96"/>
        <v>2.2434174761125663</v>
      </c>
      <c r="I277" s="2620">
        <f t="shared" si="97"/>
        <v>1.6441710899999997</v>
      </c>
      <c r="J277" s="2621">
        <f t="shared" si="98"/>
        <v>0</v>
      </c>
      <c r="K277" s="2553">
        <v>33.898677561520465</v>
      </c>
      <c r="L277" s="2553">
        <f>'calcul-DCC-TX-Encais'!$AI$105</f>
        <v>30.837521513149092</v>
      </c>
      <c r="M277" s="2553">
        <f>'calcul-DCC-TX-Encais'!$BU$105</f>
        <v>32.239307499818423</v>
      </c>
      <c r="N277" s="2553">
        <f>M277-L277</f>
        <v>1.4017859866693314</v>
      </c>
      <c r="O277" s="2553">
        <f>M277-K277</f>
        <v>-1.6593700617020417</v>
      </c>
    </row>
    <row r="278" spans="2:17" ht="12" customHeight="1">
      <c r="B278" s="2557" t="s">
        <v>199</v>
      </c>
      <c r="C278" s="2595">
        <f>'calcul-DCC-TX-Encais'!$BV$11</f>
        <v>2.8275298200000107</v>
      </c>
      <c r="D278" s="2595">
        <f>'calcul-DCC-TX-Encais'!$AJ$27</f>
        <v>5.0532474700000023</v>
      </c>
      <c r="E278" s="2595">
        <f>'Feuil-saisie'!$C$209/1000</f>
        <v>4.9398891400000142</v>
      </c>
      <c r="F278" s="2595">
        <f>C278*0.283639089299864</f>
        <v>0.8019979831130114</v>
      </c>
      <c r="G278" s="2620">
        <f t="shared" si="95"/>
        <v>-0.11335832999998807</v>
      </c>
      <c r="H278" s="2621">
        <f t="shared" si="96"/>
        <v>-2.2432768367860683</v>
      </c>
      <c r="I278" s="2620">
        <f t="shared" si="97"/>
        <v>4.1378911568870027</v>
      </c>
      <c r="J278" s="2621">
        <f t="shared" si="98"/>
        <v>16.235141323697988</v>
      </c>
      <c r="K278" s="2553">
        <v>24.314652420644439</v>
      </c>
      <c r="L278" s="2553">
        <f>'calcul-DCC-TX-Encais'!$AJ$105</f>
        <v>32.369113083391234</v>
      </c>
      <c r="M278" s="2553">
        <f>'calcul-DCC-TX-Encais'!$BV$105</f>
        <v>21.120576563137014</v>
      </c>
      <c r="N278" s="2553">
        <f>M278-L278</f>
        <v>-11.24853652025422</v>
      </c>
      <c r="O278" s="2553">
        <f>M278-K278</f>
        <v>-3.1940758575074248</v>
      </c>
    </row>
    <row r="279" spans="2:17" ht="12" customHeight="1">
      <c r="B279" s="2577" t="s">
        <v>612</v>
      </c>
      <c r="C279" s="2578">
        <f>C276+C275</f>
        <v>1677.3254126998108</v>
      </c>
      <c r="D279" s="2579">
        <f>D276+D275</f>
        <v>2317.2462311069612</v>
      </c>
      <c r="E279" s="2579">
        <f>E275+E276</f>
        <v>2586.4355849898111</v>
      </c>
      <c r="F279" s="2579">
        <f>F275+F276</f>
        <v>1081.7148573054933</v>
      </c>
      <c r="G279" s="2622">
        <f t="shared" si="95"/>
        <v>269.1893538828499</v>
      </c>
      <c r="H279" s="2623">
        <f t="shared" si="96"/>
        <v>11.61677815111848</v>
      </c>
      <c r="I279" s="2622">
        <f t="shared" si="97"/>
        <v>1504.7207276843178</v>
      </c>
      <c r="J279" s="2623">
        <f t="shared" si="98"/>
        <v>41.82260960153603</v>
      </c>
      <c r="K279" s="2553"/>
      <c r="L279" s="2553"/>
      <c r="M279" s="2553"/>
      <c r="N279" s="2553"/>
      <c r="O279" s="2553"/>
    </row>
    <row r="280" spans="2:17" ht="12" customHeight="1">
      <c r="K280" s="2624"/>
      <c r="L280" s="2624"/>
      <c r="M280" s="2624"/>
      <c r="N280" s="2624"/>
      <c r="O280" s="2624"/>
    </row>
    <row r="281" spans="2:17" ht="12" customHeight="1">
      <c r="M281" s="2535"/>
    </row>
    <row r="282" spans="2:17" ht="12" customHeight="1">
      <c r="B282" s="2539" t="s">
        <v>884</v>
      </c>
      <c r="C282" s="3212" t="s">
        <v>281</v>
      </c>
      <c r="D282" s="3213"/>
      <c r="E282" s="3213"/>
      <c r="F282" s="3214"/>
      <c r="G282" s="3215" t="s">
        <v>597</v>
      </c>
      <c r="H282" s="3216"/>
      <c r="I282" s="2545" t="s">
        <v>598</v>
      </c>
      <c r="J282" s="2546"/>
      <c r="K282" s="2547" t="s">
        <v>358</v>
      </c>
      <c r="L282" s="2548"/>
      <c r="M282" s="2548"/>
      <c r="N282" s="2548"/>
      <c r="O282" s="2549"/>
    </row>
    <row r="283" spans="2:17" ht="12" customHeight="1">
      <c r="B283" s="2550"/>
      <c r="C283" s="2551">
        <f t="shared" ref="C283:O283" si="99">C253</f>
        <v>45291</v>
      </c>
      <c r="D283" s="2551">
        <f t="shared" si="99"/>
        <v>45139</v>
      </c>
      <c r="E283" s="2551">
        <f t="shared" si="99"/>
        <v>45505</v>
      </c>
      <c r="F283" s="2552" t="str">
        <f t="shared" si="99"/>
        <v>Obj 2024</v>
      </c>
      <c r="G283" s="2552" t="str">
        <f t="shared" si="99"/>
        <v>MDA</v>
      </c>
      <c r="H283" s="2552" t="str">
        <f t="shared" si="99"/>
        <v>%</v>
      </c>
      <c r="I283" s="2552" t="str">
        <f t="shared" si="99"/>
        <v>MDA</v>
      </c>
      <c r="J283" s="2552" t="str">
        <f t="shared" si="99"/>
        <v>%</v>
      </c>
      <c r="K283" s="2551">
        <f t="shared" si="99"/>
        <v>45291</v>
      </c>
      <c r="L283" s="2551">
        <f t="shared" si="99"/>
        <v>45139</v>
      </c>
      <c r="M283" s="2551">
        <f t="shared" si="99"/>
        <v>45505</v>
      </c>
      <c r="N283" s="2553" t="str">
        <f t="shared" si="99"/>
        <v>écart mois</v>
      </c>
      <c r="O283" s="2553" t="str">
        <f t="shared" si="99"/>
        <v>écart année</v>
      </c>
    </row>
    <row r="284" spans="2:17" ht="12" customHeight="1">
      <c r="B284" s="2589" t="s">
        <v>277</v>
      </c>
      <c r="C284" s="2590">
        <f>'calcul-DCC-TX-Encais'!$AO$12</f>
        <v>298.13228079000129</v>
      </c>
      <c r="D284" s="2590">
        <f>'calcul-DCC-TX-Encais'!$C$28</f>
        <v>969.915969210002</v>
      </c>
      <c r="E284" s="2590">
        <f>E285+E286</f>
        <v>983.32848568000145</v>
      </c>
      <c r="F284" s="2590">
        <f>F285+F286</f>
        <v>289.87992881391756</v>
      </c>
      <c r="G284" s="2591">
        <f t="shared" ref="G284:G299" si="100">E284-D284</f>
        <v>13.412516469999446</v>
      </c>
      <c r="H284" s="2592">
        <f t="shared" ref="H284:H299" si="101">((E284-D284)/D284)*100</f>
        <v>1.3828534528536487</v>
      </c>
      <c r="I284" s="2591">
        <f t="shared" ref="I284:I299" si="102">E284-F284</f>
        <v>693.44855686608389</v>
      </c>
      <c r="J284" s="2592">
        <f t="shared" ref="J284:J299" si="103">F284/E284*100</f>
        <v>29.479460122977809</v>
      </c>
      <c r="K284" s="2593">
        <v>17.193207308255044</v>
      </c>
      <c r="L284" s="2593">
        <f>'calcul-DCC-TX-Encais'!$C$106</f>
        <v>63.239517621062042</v>
      </c>
      <c r="M284" s="2593">
        <f>'calcul-DCC-TX-Encais'!$AO$106</f>
        <v>45.33729486539557</v>
      </c>
      <c r="N284" s="2593">
        <f>M284-L284</f>
        <v>-17.902222755666472</v>
      </c>
      <c r="O284" s="2593">
        <f>M284-K284</f>
        <v>28.144087557140526</v>
      </c>
      <c r="P284" s="2534">
        <v>613.36819739288057</v>
      </c>
    </row>
    <row r="285" spans="2:17" ht="12" customHeight="1">
      <c r="B285" s="2594" t="s">
        <v>609</v>
      </c>
      <c r="C285" s="2595">
        <f>'enc-ag'!D103</f>
        <v>271.01399135999935</v>
      </c>
      <c r="D285" s="2595">
        <f>'enc-ag'!N103</f>
        <v>942.54202729999918</v>
      </c>
      <c r="E285" s="2595">
        <f>'Feuil-saisie'!C214/1000</f>
        <v>956.2447640000014</v>
      </c>
      <c r="F285" s="2595">
        <f>C285*0.972319830800555</f>
        <v>263.51227822373761</v>
      </c>
      <c r="G285" s="2596">
        <f t="shared" si="100"/>
        <v>13.70273670000222</v>
      </c>
      <c r="H285" s="2597">
        <f t="shared" si="101"/>
        <v>1.4538064407859885</v>
      </c>
      <c r="I285" s="2596">
        <f t="shared" si="102"/>
        <v>692.73248577626373</v>
      </c>
      <c r="J285" s="2597">
        <f t="shared" si="103"/>
        <v>27.556990442641233</v>
      </c>
      <c r="K285" s="2553">
        <v>17.673426269394874</v>
      </c>
      <c r="L285" s="2553">
        <f>'enc-ag'!P103</f>
        <v>64.244729475378421</v>
      </c>
      <c r="M285" s="2553">
        <f>'enc-ag'!J103</f>
        <v>60.628102801609423</v>
      </c>
      <c r="N285" s="2553">
        <f>M285-L285</f>
        <v>-3.616626673768998</v>
      </c>
      <c r="O285" s="2553">
        <f>M285-K285</f>
        <v>42.954676532214549</v>
      </c>
      <c r="P285" s="2534">
        <f>F285/F284</f>
        <v>0.909039405735793</v>
      </c>
      <c r="Q285" s="2534">
        <f>P284*P285</f>
        <v>557.57586165525879</v>
      </c>
    </row>
    <row r="286" spans="2:17" ht="12" customHeight="1">
      <c r="B286" s="2594" t="s">
        <v>279</v>
      </c>
      <c r="C286" s="2595">
        <f>C284-C285</f>
        <v>27.118289430001937</v>
      </c>
      <c r="D286" s="2595">
        <f>D284-D285</f>
        <v>27.373941910002827</v>
      </c>
      <c r="E286" s="2595">
        <f>'Feuil-saisie'!C215/1000</f>
        <v>27.08372168</v>
      </c>
      <c r="F286" s="2595">
        <f>C286*0.972319830800555</f>
        <v>26.367650590179963</v>
      </c>
      <c r="G286" s="2596">
        <f t="shared" si="100"/>
        <v>-0.29022023000282715</v>
      </c>
      <c r="H286" s="2597">
        <f t="shared" si="101"/>
        <v>-1.0602062025154533</v>
      </c>
      <c r="I286" s="2596">
        <f t="shared" si="102"/>
        <v>0.71607108982003709</v>
      </c>
      <c r="J286" s="2597">
        <f t="shared" si="103"/>
        <v>97.356083117820475</v>
      </c>
      <c r="K286" s="2553"/>
      <c r="L286" s="2553"/>
      <c r="M286" s="2553"/>
      <c r="N286" s="2553"/>
      <c r="O286" s="2553"/>
      <c r="P286" s="2534">
        <f>1-P285</f>
        <v>9.0960594264206995E-2</v>
      </c>
      <c r="Q286" s="2534">
        <f>P284*P286</f>
        <v>55.792335737621833</v>
      </c>
    </row>
    <row r="287" spans="2:17" ht="12" customHeight="1">
      <c r="B287" s="2598" t="s">
        <v>1181</v>
      </c>
      <c r="C287" s="2590">
        <f>C288+C291</f>
        <v>254.15602622000006</v>
      </c>
      <c r="D287" s="2590">
        <f>D288+D291</f>
        <v>384.05211327999916</v>
      </c>
      <c r="E287" s="2590">
        <f>E288+E291</f>
        <v>344.12735134999906</v>
      </c>
      <c r="F287" s="2590">
        <f>F288+F291</f>
        <v>132.19172797703439</v>
      </c>
      <c r="G287" s="2591">
        <f t="shared" si="100"/>
        <v>-39.924761930000102</v>
      </c>
      <c r="H287" s="2592">
        <f t="shared" si="101"/>
        <v>-10.39566260657244</v>
      </c>
      <c r="I287" s="2591">
        <f t="shared" si="102"/>
        <v>211.93562337296467</v>
      </c>
      <c r="J287" s="2592">
        <f t="shared" si="103"/>
        <v>38.413606898275034</v>
      </c>
      <c r="K287" s="2593">
        <v>88.932147075141913</v>
      </c>
      <c r="L287" s="2593">
        <f>'calcul-DCC-TX-Encais'!$H$122</f>
        <v>193.89918985282742</v>
      </c>
      <c r="M287" s="2593">
        <f>'calcul-DCC-TX-Encais'!$AT$156</f>
        <v>153.11744842090593</v>
      </c>
      <c r="N287" s="2593">
        <f t="shared" ref="N287:N296" si="104">M287-L287</f>
        <v>-40.781741431921489</v>
      </c>
      <c r="O287" s="2593">
        <f t="shared" ref="O287:O296" si="105">M287-K287</f>
        <v>64.185301345764017</v>
      </c>
    </row>
    <row r="288" spans="2:17" ht="12" customHeight="1">
      <c r="B288" s="2557" t="s">
        <v>18</v>
      </c>
      <c r="C288" s="2595">
        <f>'calcul-DCC-TX-Encais'!$AU$12</f>
        <v>250.99722506000009</v>
      </c>
      <c r="D288" s="2595">
        <f>'calcul-DCC-TX-Encais'!$I$28</f>
        <v>378.85588472999922</v>
      </c>
      <c r="E288" s="2595">
        <f>'Feuil-saisie'!C217/1000</f>
        <v>340.8547569199992</v>
      </c>
      <c r="F288" s="2595">
        <f>C288*0.516289196146854</f>
        <v>129.58715556131844</v>
      </c>
      <c r="G288" s="2596">
        <f t="shared" si="100"/>
        <v>-38.001127810000014</v>
      </c>
      <c r="H288" s="2597">
        <f t="shared" si="101"/>
        <v>-10.030496909684388</v>
      </c>
      <c r="I288" s="2596">
        <f t="shared" si="102"/>
        <v>211.26760135868076</v>
      </c>
      <c r="J288" s="2597">
        <f t="shared" si="103"/>
        <v>38.01829164195393</v>
      </c>
      <c r="K288" s="2553">
        <v>101.57089065940455</v>
      </c>
      <c r="L288" s="2553">
        <f>'calcul-DCC-TX-Encais'!$I$106</f>
        <v>238.85802460944839</v>
      </c>
      <c r="M288" s="2553">
        <f>'calcul-DCC-TX-Encais'!$AU$106</f>
        <v>185.50639415488044</v>
      </c>
      <c r="N288" s="2553">
        <f t="shared" si="104"/>
        <v>-53.351630454567953</v>
      </c>
      <c r="O288" s="2553">
        <f t="shared" si="105"/>
        <v>83.935503495475885</v>
      </c>
    </row>
    <row r="289" spans="2:15" ht="12" customHeight="1">
      <c r="B289" s="2563" t="s">
        <v>1101</v>
      </c>
      <c r="C289" s="2599">
        <f>'calcul-DCC-TX-Encais'!$BF$12</f>
        <v>0</v>
      </c>
      <c r="D289" s="2599">
        <f>'calcul-DCC-TX-Encais'!$T$28</f>
        <v>0</v>
      </c>
      <c r="E289" s="2599">
        <f>'calcul-DCC-TX-Encais'!$BF$28</f>
        <v>4.1946929699999806</v>
      </c>
      <c r="F289" s="2599"/>
      <c r="G289" s="2600"/>
      <c r="H289" s="2601"/>
      <c r="I289" s="2600"/>
      <c r="J289" s="2601"/>
      <c r="K289" s="2564"/>
      <c r="L289" s="2564"/>
      <c r="M289" s="2564"/>
      <c r="N289" s="2564"/>
      <c r="O289" s="2564"/>
    </row>
    <row r="290" spans="2:15" ht="12" customHeight="1">
      <c r="B290" s="2563" t="s">
        <v>1102</v>
      </c>
      <c r="C290" s="2599">
        <f>C288-C289</f>
        <v>250.99722506000009</v>
      </c>
      <c r="D290" s="2599">
        <f>D288-D289</f>
        <v>378.85588472999922</v>
      </c>
      <c r="E290" s="2599">
        <f>E288-E289</f>
        <v>336.6600639499992</v>
      </c>
      <c r="F290" s="2599">
        <f>F288-F289</f>
        <v>129.58715556131844</v>
      </c>
      <c r="G290" s="2600"/>
      <c r="H290" s="2601"/>
      <c r="I290" s="2600"/>
      <c r="J290" s="2601"/>
      <c r="K290" s="2564"/>
      <c r="L290" s="2564"/>
      <c r="M290" s="2564"/>
      <c r="N290" s="2564"/>
      <c r="O290" s="2564"/>
    </row>
    <row r="291" spans="2:15" ht="12" customHeight="1">
      <c r="B291" s="2557" t="s">
        <v>185</v>
      </c>
      <c r="C291" s="2595">
        <f>'calcul-DCC-TX-Encais'!$AQ$12</f>
        <v>3.1588011599999737</v>
      </c>
      <c r="D291" s="2595">
        <f>'calcul-DCC-TX-Encais'!$E$28</f>
        <v>5.1962285499999563</v>
      </c>
      <c r="E291" s="2595">
        <f>'Feuil-saisie'!C218/1000</f>
        <v>3.2725944299998666</v>
      </c>
      <c r="F291" s="2595">
        <f>C291*0.824544592644118</f>
        <v>2.6045724157159453</v>
      </c>
      <c r="G291" s="2596">
        <f t="shared" si="100"/>
        <v>-1.9236341200000897</v>
      </c>
      <c r="H291" s="2597">
        <f t="shared" si="101"/>
        <v>-37.019813533800502</v>
      </c>
      <c r="I291" s="2596">
        <f t="shared" si="102"/>
        <v>0.66802201428392127</v>
      </c>
      <c r="J291" s="2597">
        <f t="shared" si="103"/>
        <v>79.587387665267499</v>
      </c>
      <c r="K291" s="2553">
        <v>8.1683690823262189</v>
      </c>
      <c r="L291" s="2553">
        <f>'calcul-DCC-TX-Encais'!$E$106</f>
        <v>13.169477772637805</v>
      </c>
      <c r="M291" s="2553">
        <f>'calcul-DCC-TX-Encais'!$AQ$106</f>
        <v>7.9810710707095831</v>
      </c>
      <c r="N291" s="2553">
        <f t="shared" si="104"/>
        <v>-5.1884067019282218</v>
      </c>
      <c r="O291" s="2553">
        <f t="shared" si="105"/>
        <v>-0.18729801161663584</v>
      </c>
    </row>
    <row r="292" spans="2:15" ht="12" customHeight="1">
      <c r="B292" s="2563" t="s">
        <v>1103</v>
      </c>
      <c r="C292" s="2599">
        <f>'calcul-DCC-TX-Encais'!$BE$12</f>
        <v>0</v>
      </c>
      <c r="D292" s="2599">
        <f>'calcul-DCC-TX-Encais'!$S$28</f>
        <v>0</v>
      </c>
      <c r="E292" s="2599">
        <f>'calcul-DCC-TX-Encais'!$BE$28</f>
        <v>0.64637350999998866</v>
      </c>
      <c r="F292" s="2599"/>
      <c r="G292" s="2600"/>
      <c r="H292" s="2601"/>
      <c r="I292" s="2600"/>
      <c r="J292" s="2601"/>
      <c r="K292" s="2564"/>
      <c r="L292" s="2564"/>
      <c r="M292" s="2564"/>
      <c r="N292" s="2564"/>
      <c r="O292" s="2564"/>
    </row>
    <row r="293" spans="2:15" ht="12" customHeight="1">
      <c r="B293" s="2563" t="s">
        <v>1104</v>
      </c>
      <c r="C293" s="2599">
        <f>C291-C292</f>
        <v>3.1588011599999737</v>
      </c>
      <c r="D293" s="2599">
        <f>D291-D292</f>
        <v>5.1962285499999563</v>
      </c>
      <c r="E293" s="2599">
        <f>E291-E292</f>
        <v>2.6262209199998781</v>
      </c>
      <c r="F293" s="2599"/>
      <c r="G293" s="2600"/>
      <c r="H293" s="2601"/>
      <c r="I293" s="2600"/>
      <c r="J293" s="2601"/>
      <c r="K293" s="2564"/>
      <c r="L293" s="2564"/>
      <c r="M293" s="2564"/>
      <c r="N293" s="2564"/>
      <c r="O293" s="2564"/>
    </row>
    <row r="294" spans="2:15" ht="12" customHeight="1">
      <c r="B294" s="2589" t="s">
        <v>278</v>
      </c>
      <c r="C294" s="2590">
        <f>C295+C298</f>
        <v>605.03977104999331</v>
      </c>
      <c r="D294" s="2590">
        <f>D295+D298</f>
        <v>597.16843558999642</v>
      </c>
      <c r="E294" s="2590">
        <f>E295+E298</f>
        <v>863.43071900999223</v>
      </c>
      <c r="F294" s="2590">
        <f>F295+F298</f>
        <v>378.55071032075796</v>
      </c>
      <c r="G294" s="2591">
        <f t="shared" si="100"/>
        <v>266.26228341999581</v>
      </c>
      <c r="H294" s="2592">
        <f t="shared" si="101"/>
        <v>44.587467714520336</v>
      </c>
      <c r="I294" s="2591">
        <f t="shared" si="102"/>
        <v>484.88000868923427</v>
      </c>
      <c r="J294" s="2592">
        <f t="shared" si="103"/>
        <v>43.842627090544497</v>
      </c>
      <c r="K294" s="2593">
        <v>133.10421924036271</v>
      </c>
      <c r="L294" s="2593">
        <f>'calcul-DCC-TX-Encais'!$E$122</f>
        <v>130.00515383895984</v>
      </c>
      <c r="M294" s="2593">
        <f>'calcul-DCC-TX-Encais'!$AQ$156</f>
        <v>183.75988698562483</v>
      </c>
      <c r="N294" s="2593">
        <f t="shared" si="104"/>
        <v>53.754733146664989</v>
      </c>
      <c r="O294" s="2593">
        <f t="shared" si="105"/>
        <v>50.655667745262122</v>
      </c>
    </row>
    <row r="295" spans="2:15" ht="12" customHeight="1">
      <c r="B295" s="2594" t="s">
        <v>554</v>
      </c>
      <c r="C295" s="2602">
        <f>'calcul-DCC-TX-Encais'!$AP$12</f>
        <v>41.458679550001271</v>
      </c>
      <c r="D295" s="2602">
        <f>'calcul-DCC-TX-Encais'!$D$28</f>
        <v>71.215843890001295</v>
      </c>
      <c r="E295" s="2602">
        <f>'Feuil-saisie'!C221/1000</f>
        <v>50.225951850001231</v>
      </c>
      <c r="F295" s="2602">
        <f>C295*0.315515773988161</f>
        <v>13.080867366745794</v>
      </c>
      <c r="G295" s="2603">
        <f t="shared" si="100"/>
        <v>-20.989892040000065</v>
      </c>
      <c r="H295" s="2604">
        <f t="shared" si="101"/>
        <v>-29.473626785102304</v>
      </c>
      <c r="I295" s="2603">
        <f t="shared" si="102"/>
        <v>37.145084483255438</v>
      </c>
      <c r="J295" s="2604">
        <f t="shared" si="103"/>
        <v>26.044040749713481</v>
      </c>
      <c r="K295" s="2553">
        <v>17.066191830274789</v>
      </c>
      <c r="L295" s="2553">
        <f>'calcul-DCC-TX-Encais'!$D$106</f>
        <v>29.45365773424389</v>
      </c>
      <c r="M295" s="2553">
        <f>'calcul-DCC-TX-Encais'!$AP$106</f>
        <v>19.885322256860842</v>
      </c>
      <c r="N295" s="2553">
        <f t="shared" si="104"/>
        <v>-9.568335477383048</v>
      </c>
      <c r="O295" s="2553">
        <f t="shared" si="105"/>
        <v>2.8191304265860531</v>
      </c>
    </row>
    <row r="296" spans="2:15" ht="12" customHeight="1">
      <c r="B296" s="2605" t="s">
        <v>295</v>
      </c>
      <c r="C296" s="2606">
        <f>C295-C297</f>
        <v>25.73064597000117</v>
      </c>
      <c r="D296" s="2606">
        <f>D295-D297</f>
        <v>56.720377590001192</v>
      </c>
      <c r="E296" s="2606">
        <f>E295-E297</f>
        <v>31.987954050001118</v>
      </c>
      <c r="F296" s="2606">
        <f>C296*0.315515773988161</f>
        <v>8.1184246784402756</v>
      </c>
      <c r="G296" s="2607">
        <f t="shared" si="100"/>
        <v>-24.732423540000074</v>
      </c>
      <c r="H296" s="2608">
        <f t="shared" si="101"/>
        <v>-43.604123581081318</v>
      </c>
      <c r="I296" s="2607">
        <f t="shared" si="102"/>
        <v>23.869529371560844</v>
      </c>
      <c r="J296" s="2608">
        <f t="shared" si="103"/>
        <v>25.379630925285738</v>
      </c>
      <c r="K296" s="2553">
        <v>10.73337927721677</v>
      </c>
      <c r="L296" s="2553">
        <f>'calcul-DCC-TX-Encais'!$V$106</f>
        <v>23.738265611438269</v>
      </c>
      <c r="M296" s="2553">
        <f>'calcul-DCC-TX-Encais'!$BH$106</f>
        <v>12.780250473294961</v>
      </c>
      <c r="N296" s="2553">
        <f t="shared" si="104"/>
        <v>-10.958015138143308</v>
      </c>
      <c r="O296" s="2553">
        <f t="shared" si="105"/>
        <v>2.0468711960781913</v>
      </c>
    </row>
    <row r="297" spans="2:15" ht="12" customHeight="1">
      <c r="B297" s="2605" t="s">
        <v>296</v>
      </c>
      <c r="C297" s="2606">
        <f>'calcul-DCC-TX-Encais'!$BB$12</f>
        <v>15.728033580000099</v>
      </c>
      <c r="D297" s="2606">
        <f>'calcul-DCC-TX-Encais'!$P$28</f>
        <v>14.495466300000105</v>
      </c>
      <c r="E297" s="2606">
        <f>'Feuil-saisie'!C222/1000</f>
        <v>18.237997800000112</v>
      </c>
      <c r="F297" s="2606">
        <f>F295-F296</f>
        <v>4.9624426883055186</v>
      </c>
      <c r="G297" s="2607">
        <f t="shared" si="100"/>
        <v>3.7425315000000072</v>
      </c>
      <c r="H297" s="2608">
        <f t="shared" si="101"/>
        <v>25.818634754785226</v>
      </c>
      <c r="I297" s="2607">
        <f t="shared" si="102"/>
        <v>13.275555111694594</v>
      </c>
      <c r="J297" s="2608">
        <f t="shared" si="103"/>
        <v>27.209361152053042</v>
      </c>
      <c r="K297" s="2553"/>
      <c r="L297" s="2553"/>
      <c r="M297" s="2553"/>
      <c r="N297" s="2553"/>
      <c r="O297" s="2553"/>
    </row>
    <row r="298" spans="2:15" ht="12" customHeight="1">
      <c r="B298" s="2562" t="s">
        <v>603</v>
      </c>
      <c r="C298" s="2595">
        <f>'calcul-DCC-TX-Encais'!$AT$12</f>
        <v>563.581091499992</v>
      </c>
      <c r="D298" s="2595">
        <f>'calcul-DCC-TX-Encais'!$H$28</f>
        <v>525.95259169999508</v>
      </c>
      <c r="E298" s="2595">
        <f>'Feuil-saisie'!C220/1000</f>
        <v>813.20476715999098</v>
      </c>
      <c r="F298" s="2595">
        <f>C298*0.648477829483776</f>
        <v>365.46984295401217</v>
      </c>
      <c r="G298" s="2596">
        <f t="shared" si="100"/>
        <v>287.2521754599959</v>
      </c>
      <c r="H298" s="2609">
        <f t="shared" si="101"/>
        <v>54.615602241170322</v>
      </c>
      <c r="I298" s="2596">
        <f t="shared" si="102"/>
        <v>447.73492420597881</v>
      </c>
      <c r="J298" s="2609">
        <f t="shared" si="103"/>
        <v>44.94192086826628</v>
      </c>
      <c r="K298" s="2553">
        <v>266.30212610976645</v>
      </c>
      <c r="L298" s="2553">
        <f>'calcul-DCC-TX-Encais'!$H$106</f>
        <v>241.75875987505509</v>
      </c>
      <c r="M298" s="2553">
        <f>'calcul-DCC-TX-Encais'!$AT$106</f>
        <v>374.24691576138895</v>
      </c>
      <c r="N298" s="2553">
        <f>M298-L298</f>
        <v>132.48815588633386</v>
      </c>
      <c r="O298" s="2553">
        <f>M298-K298</f>
        <v>107.9447896516225</v>
      </c>
    </row>
    <row r="299" spans="2:15" ht="12" customHeight="1">
      <c r="B299" s="2567" t="s">
        <v>915</v>
      </c>
      <c r="C299" s="2610">
        <f>C298-C300</f>
        <v>200.39060336999404</v>
      </c>
      <c r="D299" s="2610">
        <f>D298-D300</f>
        <v>267.76146077999726</v>
      </c>
      <c r="E299" s="2610">
        <f>E298-E300</f>
        <v>267.66994349999311</v>
      </c>
      <c r="F299" s="2595">
        <f>C299*0.648477829483776</f>
        <v>129.94886352231796</v>
      </c>
      <c r="G299" s="2596">
        <f t="shared" si="100"/>
        <v>-9.15172800041546E-2</v>
      </c>
      <c r="H299" s="2609">
        <f t="shared" si="101"/>
        <v>-3.4178660266328834E-2</v>
      </c>
      <c r="I299" s="2596">
        <f t="shared" si="102"/>
        <v>137.72107997767515</v>
      </c>
      <c r="J299" s="2609">
        <f t="shared" si="103"/>
        <v>48.548171611326737</v>
      </c>
      <c r="K299" s="2569"/>
      <c r="L299" s="2569"/>
      <c r="M299" s="2569"/>
      <c r="N299" s="2569"/>
      <c r="O299" s="2569"/>
    </row>
    <row r="300" spans="2:15" ht="12" customHeight="1">
      <c r="B300" s="2567" t="s">
        <v>916</v>
      </c>
      <c r="C300" s="2610">
        <f>'calcul-DCC-TX-Encais'!$BD$12</f>
        <v>363.19048812999796</v>
      </c>
      <c r="D300" s="2610">
        <f>'calcul-DCC-TX-Encais'!$R$28</f>
        <v>258.19113091999782</v>
      </c>
      <c r="E300" s="2610">
        <f>'Feuil-saisie'!C225/1000</f>
        <v>545.53482365999787</v>
      </c>
      <c r="F300" s="2610">
        <f>F298-F299</f>
        <v>235.5209794316942</v>
      </c>
      <c r="G300" s="2611"/>
      <c r="H300" s="2612"/>
      <c r="I300" s="2611"/>
      <c r="J300" s="2612"/>
      <c r="K300" s="2569"/>
      <c r="L300" s="2569"/>
      <c r="M300" s="2569"/>
      <c r="N300" s="2569"/>
      <c r="O300" s="2569"/>
    </row>
    <row r="301" spans="2:15" ht="12" customHeight="1">
      <c r="B301" s="2589" t="s">
        <v>613</v>
      </c>
      <c r="C301" s="2590">
        <f>C284+C287+C294</f>
        <v>1157.3280780599946</v>
      </c>
      <c r="D301" s="2590">
        <f>D284+D287+D294</f>
        <v>1951.1365180799976</v>
      </c>
      <c r="E301" s="2590">
        <f>E284+E287+E294</f>
        <v>2190.8865560399927</v>
      </c>
      <c r="F301" s="2590">
        <f>F284+F287+F294</f>
        <v>800.62236711170988</v>
      </c>
      <c r="G301" s="2591">
        <f t="shared" ref="G301:G309" si="106">E301-D301</f>
        <v>239.7500379599951</v>
      </c>
      <c r="H301" s="2604">
        <f t="shared" ref="H301:H309" si="107">((E301-D301)/D301)*100</f>
        <v>12.287712096943348</v>
      </c>
      <c r="I301" s="2591">
        <f t="shared" ref="I301:I309" si="108">E301-F301</f>
        <v>1390.2641889282827</v>
      </c>
      <c r="J301" s="2604">
        <f t="shared" ref="J301:J309" si="109">F301/E301*100</f>
        <v>36.543305489939534</v>
      </c>
      <c r="K301" s="2593">
        <v>37.653232385753803</v>
      </c>
      <c r="L301" s="2593">
        <f>'calcul-DCC-TX-Encais'!$K$106</f>
        <v>69.218514474735201</v>
      </c>
      <c r="M301" s="2593">
        <f>'calcul-DCC-TX-Encais'!$AW$106</f>
        <v>63.278580574584339</v>
      </c>
      <c r="N301" s="2593">
        <f>M301-L301</f>
        <v>-5.9399339001508622</v>
      </c>
      <c r="O301" s="2593">
        <f>M301-K301</f>
        <v>25.625348188830536</v>
      </c>
    </row>
    <row r="302" spans="2:15" ht="12" customHeight="1">
      <c r="B302" s="2613" t="s">
        <v>611</v>
      </c>
      <c r="C302" s="2614">
        <f>C303+C304</f>
        <v>199.04887690300001</v>
      </c>
      <c r="D302" s="2614">
        <f>D303+D304</f>
        <v>150.44930846300008</v>
      </c>
      <c r="E302" s="2614">
        <f>E303+E304</f>
        <v>7.489606080000522</v>
      </c>
      <c r="F302" s="2614">
        <f>F303+F304</f>
        <v>11.705033649914437</v>
      </c>
      <c r="G302" s="2603">
        <f t="shared" si="106"/>
        <v>-142.95970238299955</v>
      </c>
      <c r="H302" s="2604">
        <f t="shared" si="107"/>
        <v>-95.02184080703671</v>
      </c>
      <c r="I302" s="2603">
        <f t="shared" si="108"/>
        <v>-4.2154275699139152</v>
      </c>
      <c r="J302" s="2604">
        <f t="shared" si="109"/>
        <v>156.28370203835368</v>
      </c>
      <c r="K302" s="2553"/>
      <c r="L302" s="2553"/>
      <c r="M302" s="2553"/>
      <c r="N302" s="2553"/>
      <c r="O302" s="2553"/>
    </row>
    <row r="303" spans="2:15" ht="12" customHeight="1">
      <c r="B303" s="2615" t="s">
        <v>318</v>
      </c>
      <c r="C303" s="2595">
        <f>'calcul-DCC-TX-Encais'!$AX$12</f>
        <v>198.33768066299999</v>
      </c>
      <c r="D303" s="2595">
        <f>'calcul-DCC-TX-Encais'!$L$28</f>
        <v>146.11723602300006</v>
      </c>
      <c r="E303" s="2595">
        <f>'Feuil-saisie'!C230/1000</f>
        <v>7.3300276100004558</v>
      </c>
      <c r="F303" s="2595">
        <f>C303*0.0578745895135454</f>
        <v>11.478711853439775</v>
      </c>
      <c r="G303" s="2596">
        <f t="shared" si="106"/>
        <v>-138.7872084129996</v>
      </c>
      <c r="H303" s="2616">
        <f t="shared" si="107"/>
        <v>-94.983461356436663</v>
      </c>
      <c r="I303" s="2596">
        <f t="shared" si="108"/>
        <v>-4.1486842434393187</v>
      </c>
      <c r="J303" s="2616">
        <f t="shared" si="109"/>
        <v>156.59848044472864</v>
      </c>
      <c r="K303" s="2553"/>
      <c r="L303" s="2553"/>
      <c r="M303" s="2553"/>
      <c r="N303" s="2553"/>
      <c r="O303" s="2553"/>
    </row>
    <row r="304" spans="2:15" ht="12" customHeight="1">
      <c r="B304" s="2615" t="s">
        <v>319</v>
      </c>
      <c r="C304" s="2595">
        <f>'calcul-DCC-TX-Encais'!$AY$12</f>
        <v>0.71119624000001935</v>
      </c>
      <c r="D304" s="2595">
        <f>'calcul-DCC-TX-Encais'!$M$28</f>
        <v>4.3320724400000179</v>
      </c>
      <c r="E304" s="2595">
        <f>'Feuil-saisie'!C231/1000</f>
        <v>0.15957847000006586</v>
      </c>
      <c r="F304" s="2595">
        <f>C304*0.318226930551063</f>
        <v>0.22632179647466327</v>
      </c>
      <c r="G304" s="2596">
        <f t="shared" si="106"/>
        <v>-4.1724939699999517</v>
      </c>
      <c r="H304" s="2616">
        <f t="shared" si="107"/>
        <v>-96.31634807103859</v>
      </c>
      <c r="I304" s="2596">
        <f t="shared" si="108"/>
        <v>-6.6743326474597409E-2</v>
      </c>
      <c r="J304" s="2616">
        <f t="shared" si="109"/>
        <v>141.82476901462323</v>
      </c>
      <c r="K304" s="2553"/>
      <c r="L304" s="2553"/>
      <c r="M304" s="2553"/>
      <c r="N304" s="2553"/>
      <c r="O304" s="2553"/>
    </row>
    <row r="305" spans="2:17" ht="12" customHeight="1">
      <c r="B305" s="2617" t="s">
        <v>606</v>
      </c>
      <c r="C305" s="2618">
        <f>C301+C302</f>
        <v>1356.3769549629947</v>
      </c>
      <c r="D305" s="2618">
        <f>D301+D302</f>
        <v>2101.5858265429979</v>
      </c>
      <c r="E305" s="2618">
        <f>E301+E302</f>
        <v>2198.3761621199933</v>
      </c>
      <c r="F305" s="2618">
        <f>F301+F302</f>
        <v>812.32740076162429</v>
      </c>
      <c r="G305" s="2596">
        <f t="shared" si="106"/>
        <v>96.790335576995403</v>
      </c>
      <c r="H305" s="2616">
        <f t="shared" si="107"/>
        <v>4.6055856655738205</v>
      </c>
      <c r="I305" s="2596">
        <f t="shared" si="108"/>
        <v>1386.0487613583691</v>
      </c>
      <c r="J305" s="2616">
        <f t="shared" si="109"/>
        <v>36.951246777451423</v>
      </c>
      <c r="K305" s="2553"/>
      <c r="L305" s="2553"/>
      <c r="M305" s="2553"/>
      <c r="N305" s="2553"/>
      <c r="O305" s="2553"/>
    </row>
    <row r="306" spans="2:17" ht="12" customHeight="1">
      <c r="B306" s="2619" t="s">
        <v>607</v>
      </c>
      <c r="C306" s="2590">
        <f>C307+C308</f>
        <v>22.240932279999949</v>
      </c>
      <c r="D306" s="2590">
        <f>D307+D308</f>
        <v>28.991820109999971</v>
      </c>
      <c r="E306" s="2625">
        <f>E307+E308</f>
        <v>27.683548869999942</v>
      </c>
      <c r="F306" s="2590">
        <f>F307+F308</f>
        <v>6.3083977770791329</v>
      </c>
      <c r="G306" s="2591">
        <f t="shared" si="106"/>
        <v>-1.3082712400000283</v>
      </c>
      <c r="H306" s="2604">
        <f t="shared" si="107"/>
        <v>-4.5125529719632</v>
      </c>
      <c r="I306" s="2591">
        <f t="shared" si="108"/>
        <v>21.37515109292081</v>
      </c>
      <c r="J306" s="2604">
        <f t="shared" si="109"/>
        <v>22.78753279322293</v>
      </c>
      <c r="K306" s="2593">
        <v>4.2347979615883995</v>
      </c>
      <c r="L306" s="2593">
        <f>'calcul-DCC-TX-Encais'!$AK$106</f>
        <v>5.6339344137764922</v>
      </c>
      <c r="M306" s="2593">
        <f>'calcul-DCC-TX-Encais'!$BW$106</f>
        <v>4.3087051929725844</v>
      </c>
      <c r="N306" s="2593">
        <f>M306-L306</f>
        <v>-1.3252292208039078</v>
      </c>
      <c r="O306" s="2593">
        <f>M306-K306</f>
        <v>7.3907231384184868E-2</v>
      </c>
    </row>
    <row r="307" spans="2:17" ht="12" customHeight="1">
      <c r="B307" s="2557" t="s">
        <v>198</v>
      </c>
      <c r="C307" s="2595">
        <f>'calcul-DCC-TX-Encais'!$BU$12</f>
        <v>4.0693158399998213</v>
      </c>
      <c r="D307" s="2595">
        <f>'calcul-DCC-TX-Encais'!$AI$28</f>
        <v>7.5272242300000505</v>
      </c>
      <c r="E307" s="2595">
        <f>'Feuil-saisie'!$C$233/1000</f>
        <v>9.259098149999744</v>
      </c>
      <c r="F307" s="2595">
        <f>C307*0.283639089299864</f>
        <v>1.1542170389310602</v>
      </c>
      <c r="G307" s="2620">
        <f t="shared" si="106"/>
        <v>1.7318739199996935</v>
      </c>
      <c r="H307" s="2621">
        <f t="shared" si="107"/>
        <v>23.008135098423686</v>
      </c>
      <c r="I307" s="2620">
        <f t="shared" si="108"/>
        <v>8.1048811110686838</v>
      </c>
      <c r="J307" s="2621">
        <f t="shared" si="109"/>
        <v>12.465760922202689</v>
      </c>
      <c r="K307" s="2553">
        <v>1.0268987228174529</v>
      </c>
      <c r="L307" s="2553">
        <f>'calcul-DCC-TX-Encais'!$AI$106</f>
        <v>2.429025839326918</v>
      </c>
      <c r="M307" s="2553">
        <f>'calcul-DCC-TX-Encais'!$BU$106</f>
        <v>2.1630316215162124</v>
      </c>
      <c r="N307" s="2553">
        <f>M307-L307</f>
        <v>-0.26599421781070554</v>
      </c>
      <c r="O307" s="2553">
        <f>M307-K307</f>
        <v>1.1361328986987596</v>
      </c>
    </row>
    <row r="308" spans="2:17" ht="12" customHeight="1">
      <c r="B308" s="2557" t="s">
        <v>199</v>
      </c>
      <c r="C308" s="2595">
        <f>'calcul-DCC-TX-Encais'!$BV$12</f>
        <v>18.171616440000129</v>
      </c>
      <c r="D308" s="2595">
        <f>'calcul-DCC-TX-Encais'!$AJ$28</f>
        <v>21.464595879999919</v>
      </c>
      <c r="E308" s="2595">
        <f>'Feuil-saisie'!$C$234/1000</f>
        <v>18.424450720000198</v>
      </c>
      <c r="F308" s="2595">
        <f>C308*0.283639089299864</f>
        <v>5.1541807381480726</v>
      </c>
      <c r="G308" s="2620">
        <f t="shared" si="106"/>
        <v>-3.0401451599997209</v>
      </c>
      <c r="H308" s="2621">
        <f t="shared" si="107"/>
        <v>-14.16353318271619</v>
      </c>
      <c r="I308" s="2620">
        <f t="shared" si="108"/>
        <v>13.270269981852126</v>
      </c>
      <c r="J308" s="2621">
        <f t="shared" si="109"/>
        <v>27.974677869517606</v>
      </c>
      <c r="K308" s="2553">
        <v>10.088592797171801</v>
      </c>
      <c r="L308" s="2553">
        <f>'calcul-DCC-TX-Encais'!$AJ$106</f>
        <v>11.143236748584414</v>
      </c>
      <c r="M308" s="2553">
        <f>'calcul-DCC-TX-Encais'!$BV$106</f>
        <v>8.5918274004054407</v>
      </c>
      <c r="N308" s="2553">
        <f>M308-L308</f>
        <v>-2.5514093481789732</v>
      </c>
      <c r="O308" s="2553">
        <f>M308-K308</f>
        <v>-1.4967653967663601</v>
      </c>
    </row>
    <row r="309" spans="2:17" ht="12" customHeight="1">
      <c r="B309" s="2577" t="s">
        <v>612</v>
      </c>
      <c r="C309" s="2579">
        <f>C306+C305</f>
        <v>1378.6178872429946</v>
      </c>
      <c r="D309" s="2579">
        <f>D306+D305</f>
        <v>2130.5776466529978</v>
      </c>
      <c r="E309" s="2579">
        <f>E305+E306</f>
        <v>2226.0597109899932</v>
      </c>
      <c r="F309" s="2579">
        <f>F305+F306</f>
        <v>818.6357985387034</v>
      </c>
      <c r="G309" s="2622">
        <f t="shared" si="106"/>
        <v>95.482064336995336</v>
      </c>
      <c r="H309" s="2623">
        <f t="shared" si="107"/>
        <v>4.4815106591863287</v>
      </c>
      <c r="I309" s="2622">
        <f t="shared" si="108"/>
        <v>1407.4239124512897</v>
      </c>
      <c r="J309" s="2623">
        <f t="shared" si="109"/>
        <v>36.775105110483871</v>
      </c>
      <c r="K309" s="2553"/>
      <c r="L309" s="2553"/>
      <c r="M309" s="2553"/>
      <c r="N309" s="2553"/>
      <c r="O309" s="2553"/>
    </row>
    <row r="310" spans="2:17" ht="12" customHeight="1">
      <c r="K310" s="2624"/>
      <c r="L310" s="2624"/>
      <c r="M310" s="2624"/>
      <c r="N310" s="2624"/>
      <c r="O310" s="2624"/>
    </row>
    <row r="311" spans="2:17" ht="12" customHeight="1">
      <c r="M311" s="2535"/>
    </row>
    <row r="312" spans="2:17" ht="12" customHeight="1">
      <c r="B312" s="2539" t="s">
        <v>886</v>
      </c>
      <c r="C312" s="3212" t="s">
        <v>281</v>
      </c>
      <c r="D312" s="3213"/>
      <c r="E312" s="3213"/>
      <c r="F312" s="3214"/>
      <c r="G312" s="3215" t="s">
        <v>597</v>
      </c>
      <c r="H312" s="3216"/>
      <c r="I312" s="2545" t="s">
        <v>598</v>
      </c>
      <c r="J312" s="2546"/>
      <c r="K312" s="2547" t="s">
        <v>358</v>
      </c>
      <c r="L312" s="2548"/>
      <c r="M312" s="2548"/>
      <c r="N312" s="2548"/>
      <c r="O312" s="2549"/>
    </row>
    <row r="313" spans="2:17" ht="12" customHeight="1">
      <c r="B313" s="2550"/>
      <c r="C313" s="2551">
        <f>C283</f>
        <v>45291</v>
      </c>
      <c r="D313" s="2551">
        <f t="shared" ref="D313:O313" si="110">D283</f>
        <v>45139</v>
      </c>
      <c r="E313" s="2551">
        <f t="shared" si="110"/>
        <v>45505</v>
      </c>
      <c r="F313" s="2552" t="str">
        <f t="shared" si="110"/>
        <v>Obj 2024</v>
      </c>
      <c r="G313" s="2552" t="str">
        <f t="shared" si="110"/>
        <v>MDA</v>
      </c>
      <c r="H313" s="2552" t="str">
        <f t="shared" si="110"/>
        <v>%</v>
      </c>
      <c r="I313" s="2552" t="str">
        <f t="shared" si="110"/>
        <v>MDA</v>
      </c>
      <c r="J313" s="2552" t="str">
        <f t="shared" si="110"/>
        <v>%</v>
      </c>
      <c r="K313" s="2551">
        <f t="shared" si="110"/>
        <v>45291</v>
      </c>
      <c r="L313" s="2551">
        <f t="shared" si="110"/>
        <v>45139</v>
      </c>
      <c r="M313" s="2551">
        <f t="shared" si="110"/>
        <v>45505</v>
      </c>
      <c r="N313" s="2553" t="str">
        <f t="shared" si="110"/>
        <v>écart mois</v>
      </c>
      <c r="O313" s="2553" t="str">
        <f t="shared" si="110"/>
        <v>écart année</v>
      </c>
    </row>
    <row r="314" spans="2:17" ht="12" customHeight="1">
      <c r="B314" s="2589" t="s">
        <v>277</v>
      </c>
      <c r="C314" s="2590">
        <f>'calcul-DCC-TX-Encais'!$AO$13</f>
        <v>100.55670670999999</v>
      </c>
      <c r="D314" s="2590">
        <f>'calcul-DCC-TX-Encais'!$C$29</f>
        <v>267.8540491</v>
      </c>
      <c r="E314" s="2590">
        <f>E315+E316</f>
        <v>260.28319273</v>
      </c>
      <c r="F314" s="2590">
        <f>F315+F316</f>
        <v>97.773280054128207</v>
      </c>
      <c r="G314" s="2591">
        <f t="shared" ref="G314:G329" si="111">E314-D314</f>
        <v>-7.5708563700000013</v>
      </c>
      <c r="H314" s="2592">
        <f t="shared" ref="H314:H329" si="112">((E314-D314)/D314)*100</f>
        <v>-2.8264856907851019</v>
      </c>
      <c r="I314" s="2591">
        <f t="shared" ref="I314:I329" si="113">E314-F314</f>
        <v>162.50991267587179</v>
      </c>
      <c r="J314" s="2592">
        <f t="shared" ref="J314:J329" si="114">F314/E314*100</f>
        <v>37.564192688980704</v>
      </c>
      <c r="K314" s="2593">
        <v>29.421494489925621</v>
      </c>
      <c r="L314" s="2593">
        <v>48.786401909622541</v>
      </c>
      <c r="M314" s="2593">
        <f>'calcul-DCC-TX-Encais'!$AO$107</f>
        <v>60.983271307195942</v>
      </c>
      <c r="N314" s="2593">
        <f>M314-L314</f>
        <v>12.196869397573401</v>
      </c>
      <c r="O314" s="2593">
        <f>M314-K314</f>
        <v>31.561776817270321</v>
      </c>
      <c r="P314" s="2534">
        <v>152.09723481466884</v>
      </c>
    </row>
    <row r="315" spans="2:17" ht="12" customHeight="1">
      <c r="B315" s="2594" t="s">
        <v>609</v>
      </c>
      <c r="C315" s="2595">
        <f>'enc-ag'!D107</f>
        <v>98.097133669999948</v>
      </c>
      <c r="D315" s="2595">
        <f>'enc-ag'!N107</f>
        <v>265.39447605999965</v>
      </c>
      <c r="E315" s="2595">
        <f>'Feuil-saisie'!C239/1000</f>
        <v>257.82361968999999</v>
      </c>
      <c r="F315" s="2595">
        <f>C315*0.972319830800555</f>
        <v>95.381788412033771</v>
      </c>
      <c r="G315" s="2596">
        <f t="shared" si="111"/>
        <v>-7.5708563699996603</v>
      </c>
      <c r="H315" s="2597">
        <f t="shared" si="112"/>
        <v>-2.8526804635858594</v>
      </c>
      <c r="I315" s="2596">
        <f t="shared" si="113"/>
        <v>162.44183127796623</v>
      </c>
      <c r="J315" s="2597">
        <f t="shared" si="114"/>
        <v>36.994976847628699</v>
      </c>
      <c r="K315" s="2553">
        <v>26.385952015249089</v>
      </c>
      <c r="L315" s="2553">
        <v>45.476366265943931</v>
      </c>
      <c r="M315" s="2553">
        <f>'enc-ag'!J107</f>
        <v>59.926414516024018</v>
      </c>
      <c r="N315" s="2553">
        <f>M315-L315</f>
        <v>14.450048250080087</v>
      </c>
      <c r="O315" s="2553">
        <f>M315-K315</f>
        <v>33.540462500774929</v>
      </c>
      <c r="P315" s="2534">
        <f>F315/F314</f>
        <v>0.97554043762497811</v>
      </c>
      <c r="Q315" s="2534">
        <f>P314*P315</f>
        <v>148.3770030126511</v>
      </c>
    </row>
    <row r="316" spans="2:17" ht="12" customHeight="1">
      <c r="B316" s="2594" t="s">
        <v>279</v>
      </c>
      <c r="C316" s="2595">
        <f>C314-C315</f>
        <v>2.4595730400000377</v>
      </c>
      <c r="D316" s="2595">
        <f>D314-D315</f>
        <v>2.4595730400003504</v>
      </c>
      <c r="E316" s="2595">
        <f>'Feuil-saisie'!C240/1000</f>
        <v>2.4595730400000004</v>
      </c>
      <c r="F316" s="2595">
        <f>C316*0.972319830800555</f>
        <v>2.3914916420944432</v>
      </c>
      <c r="G316" s="2596">
        <f t="shared" si="111"/>
        <v>-3.4994229736184934E-13</v>
      </c>
      <c r="H316" s="2597">
        <f t="shared" si="112"/>
        <v>-1.422776602567572E-11</v>
      </c>
      <c r="I316" s="2596">
        <f t="shared" si="113"/>
        <v>6.8081397905557228E-2</v>
      </c>
      <c r="J316" s="2597">
        <f t="shared" si="114"/>
        <v>97.231983080056978</v>
      </c>
      <c r="K316" s="2553"/>
      <c r="L316" s="2553"/>
      <c r="M316" s="2553"/>
      <c r="N316" s="2553"/>
      <c r="O316" s="2553"/>
      <c r="P316" s="2534">
        <f>1-P315</f>
        <v>2.4459562375021893E-2</v>
      </c>
      <c r="Q316" s="2534">
        <f>P314*P316</f>
        <v>3.7202318020177438</v>
      </c>
    </row>
    <row r="317" spans="2:17" ht="12" customHeight="1">
      <c r="B317" s="2598" t="s">
        <v>1181</v>
      </c>
      <c r="C317" s="2590">
        <f>C318+C321</f>
        <v>67.178273039999993</v>
      </c>
      <c r="D317" s="2590">
        <f>D318+D321</f>
        <v>97.464058169999802</v>
      </c>
      <c r="E317" s="2590">
        <f>E318+E321</f>
        <v>111.73399692000001</v>
      </c>
      <c r="F317" s="2590">
        <f>F318+F321</f>
        <v>34.68341658635547</v>
      </c>
      <c r="G317" s="2591">
        <f t="shared" si="111"/>
        <v>14.269938750000208</v>
      </c>
      <c r="H317" s="2592">
        <f t="shared" si="112"/>
        <v>14.641231873507815</v>
      </c>
      <c r="I317" s="2591">
        <f t="shared" si="113"/>
        <v>77.050580333644547</v>
      </c>
      <c r="J317" s="2592">
        <f t="shared" si="114"/>
        <v>31.041059608015559</v>
      </c>
      <c r="K317" s="2593">
        <v>83.514779195957914</v>
      </c>
      <c r="L317" s="2593">
        <v>73.176163203320698</v>
      </c>
      <c r="M317" s="2593">
        <f>'calcul-DCC-TX-Encais'!$AT$157</f>
        <v>122.32804095597639</v>
      </c>
      <c r="N317" s="2593">
        <f t="shared" ref="N317:N326" si="115">M317-L317</f>
        <v>49.151877752655693</v>
      </c>
      <c r="O317" s="2593">
        <f t="shared" ref="O317:O326" si="116">M317-K317</f>
        <v>38.813261760018477</v>
      </c>
    </row>
    <row r="318" spans="2:17" ht="12" customHeight="1">
      <c r="B318" s="2557" t="s">
        <v>18</v>
      </c>
      <c r="C318" s="2595">
        <f>'calcul-DCC-TX-Encais'!$AU$13</f>
        <v>67.178273039999993</v>
      </c>
      <c r="D318" s="2595">
        <f>'calcul-DCC-TX-Encais'!$I$29</f>
        <v>94.641095719999797</v>
      </c>
      <c r="E318" s="2595">
        <f>'Feuil-saisie'!C242/1000</f>
        <v>109.11771627</v>
      </c>
      <c r="F318" s="2595">
        <f>C318*0.516289196146854</f>
        <v>34.68341658635547</v>
      </c>
      <c r="G318" s="2596">
        <f t="shared" si="111"/>
        <v>14.476620550000206</v>
      </c>
      <c r="H318" s="2597">
        <f t="shared" si="112"/>
        <v>15.296336585990064</v>
      </c>
      <c r="I318" s="2596">
        <f t="shared" si="113"/>
        <v>74.434299683644525</v>
      </c>
      <c r="J318" s="2597">
        <f t="shared" si="114"/>
        <v>31.78532118518234</v>
      </c>
      <c r="K318" s="2553">
        <v>96.570626723802121</v>
      </c>
      <c r="L318" s="2553">
        <v>82.986455897616466</v>
      </c>
      <c r="M318" s="2553">
        <f>'calcul-DCC-TX-Encais'!$AU$107</f>
        <v>137.21918924020849</v>
      </c>
      <c r="N318" s="2553">
        <f t="shared" si="115"/>
        <v>54.232733342592027</v>
      </c>
      <c r="O318" s="2553">
        <f t="shared" si="116"/>
        <v>40.648562516406372</v>
      </c>
    </row>
    <row r="319" spans="2:17" ht="12" customHeight="1">
      <c r="B319" s="2563" t="s">
        <v>1101</v>
      </c>
      <c r="C319" s="2599">
        <f>'calcul-DCC-TX-Encais'!$BF$13</f>
        <v>0</v>
      </c>
      <c r="D319" s="2599">
        <f>'calcul-DCC-TX-Encais'!$T$29</f>
        <v>0</v>
      </c>
      <c r="E319" s="2599">
        <f>'calcul-DCC-TX-Encais'!$BF$29</f>
        <v>0</v>
      </c>
      <c r="F319" s="2599"/>
      <c r="G319" s="2600"/>
      <c r="H319" s="2601"/>
      <c r="I319" s="2600"/>
      <c r="J319" s="2601"/>
      <c r="K319" s="2564"/>
      <c r="L319" s="2564"/>
      <c r="M319" s="2564"/>
      <c r="N319" s="2564"/>
      <c r="O319" s="2564"/>
    </row>
    <row r="320" spans="2:17" ht="12" customHeight="1">
      <c r="B320" s="2563" t="s">
        <v>1102</v>
      </c>
      <c r="C320" s="2599">
        <f>C318-C319</f>
        <v>67.178273039999993</v>
      </c>
      <c r="D320" s="2599">
        <f>D318-D319</f>
        <v>94.641095719999797</v>
      </c>
      <c r="E320" s="2599">
        <f>E318-E319</f>
        <v>109.11771627</v>
      </c>
      <c r="F320" s="2599">
        <f>F318-F319</f>
        <v>34.68341658635547</v>
      </c>
      <c r="G320" s="2600"/>
      <c r="H320" s="2601"/>
      <c r="I320" s="2600"/>
      <c r="J320" s="2601"/>
      <c r="K320" s="2564"/>
      <c r="L320" s="2564"/>
      <c r="M320" s="2564"/>
      <c r="N320" s="2564"/>
      <c r="O320" s="2564"/>
    </row>
    <row r="321" spans="2:15" ht="12" customHeight="1">
      <c r="B321" s="2557" t="s">
        <v>185</v>
      </c>
      <c r="C321" s="2595">
        <f>'calcul-DCC-TX-Encais'!$AQ$13</f>
        <v>0</v>
      </c>
      <c r="D321" s="2595">
        <f>'calcul-DCC-TX-Encais'!$E$29</f>
        <v>2.8229624499999999</v>
      </c>
      <c r="E321" s="2595">
        <f>'Feuil-saisie'!C243/1000</f>
        <v>2.6162806500000002</v>
      </c>
      <c r="F321" s="2595">
        <f>C321*0.824544592644118</f>
        <v>0</v>
      </c>
      <c r="G321" s="2596">
        <f t="shared" si="111"/>
        <v>-0.20668179999999969</v>
      </c>
      <c r="H321" s="2597">
        <f t="shared" si="112"/>
        <v>-7.3214505563118522</v>
      </c>
      <c r="I321" s="2596">
        <f t="shared" si="113"/>
        <v>2.6162806500000002</v>
      </c>
      <c r="J321" s="2597">
        <f t="shared" si="114"/>
        <v>0</v>
      </c>
      <c r="K321" s="2553">
        <v>0</v>
      </c>
      <c r="L321" s="2553">
        <v>10.731904364553623</v>
      </c>
      <c r="M321" s="2553">
        <f>'calcul-DCC-TX-Encais'!$AQ$107</f>
        <v>22.136409084762665</v>
      </c>
      <c r="N321" s="2553">
        <f t="shared" si="115"/>
        <v>11.404504720209042</v>
      </c>
      <c r="O321" s="2553">
        <f t="shared" si="116"/>
        <v>22.136409084762665</v>
      </c>
    </row>
    <row r="322" spans="2:15" ht="12" customHeight="1">
      <c r="B322" s="2563" t="s">
        <v>1103</v>
      </c>
      <c r="C322" s="2599">
        <f>'calcul-DCC-TX-Encais'!$BE$13</f>
        <v>0</v>
      </c>
      <c r="D322" s="2599">
        <f>'calcul-DCC-TX-Encais'!$S$29</f>
        <v>0</v>
      </c>
      <c r="E322" s="2599">
        <f>'calcul-DCC-TX-Encais'!$BE$29</f>
        <v>0</v>
      </c>
      <c r="F322" s="2599"/>
      <c r="G322" s="2600"/>
      <c r="H322" s="2601"/>
      <c r="I322" s="2600"/>
      <c r="J322" s="2601"/>
      <c r="K322" s="2564"/>
      <c r="L322" s="2564"/>
      <c r="M322" s="2564"/>
      <c r="N322" s="2564"/>
      <c r="O322" s="2564"/>
    </row>
    <row r="323" spans="2:15" ht="12" customHeight="1">
      <c r="B323" s="2563" t="s">
        <v>1104</v>
      </c>
      <c r="C323" s="2599">
        <f>C321-C322</f>
        <v>0</v>
      </c>
      <c r="D323" s="2599">
        <f>D321-D322</f>
        <v>2.8229624499999999</v>
      </c>
      <c r="E323" s="2599">
        <f>E321-E322</f>
        <v>2.6162806500000002</v>
      </c>
      <c r="F323" s="2599"/>
      <c r="G323" s="2600"/>
      <c r="H323" s="2601"/>
      <c r="I323" s="2600"/>
      <c r="J323" s="2601"/>
      <c r="K323" s="2564"/>
      <c r="L323" s="2564"/>
      <c r="M323" s="2564"/>
      <c r="N323" s="2564"/>
      <c r="O323" s="2564"/>
    </row>
    <row r="324" spans="2:15" ht="12" customHeight="1">
      <c r="B324" s="2589" t="s">
        <v>278</v>
      </c>
      <c r="C324" s="2590">
        <f>C325+C328</f>
        <v>207.58485690999998</v>
      </c>
      <c r="D324" s="2590">
        <f>D325+D328</f>
        <v>199.91533082000001</v>
      </c>
      <c r="E324" s="2590">
        <f>E325+E328</f>
        <v>314.44103416000002</v>
      </c>
      <c r="F324" s="2590">
        <f>F325+F328</f>
        <v>133.50319643708804</v>
      </c>
      <c r="G324" s="2591">
        <f t="shared" si="111"/>
        <v>114.52570334000001</v>
      </c>
      <c r="H324" s="2592">
        <f t="shared" si="112"/>
        <v>57.287103930571881</v>
      </c>
      <c r="I324" s="2591">
        <f t="shared" si="113"/>
        <v>180.93783772291198</v>
      </c>
      <c r="J324" s="2592">
        <f t="shared" si="114"/>
        <v>42.457307391107342</v>
      </c>
      <c r="K324" s="2593">
        <v>221.63390118995915</v>
      </c>
      <c r="L324" s="2593">
        <v>82.339520510854371</v>
      </c>
      <c r="M324" s="2593">
        <f>'calcul-DCC-TX-Encais'!$AQ$157</f>
        <v>335.51368319171434</v>
      </c>
      <c r="N324" s="2593">
        <f t="shared" si="115"/>
        <v>253.17416268085998</v>
      </c>
      <c r="O324" s="2593">
        <f t="shared" si="116"/>
        <v>113.87978200175519</v>
      </c>
    </row>
    <row r="325" spans="2:15" ht="12" customHeight="1">
      <c r="B325" s="2594" t="s">
        <v>554</v>
      </c>
      <c r="C325" s="2602">
        <f>'calcul-DCC-TX-Encais'!$AP$13</f>
        <v>3.3366595000000001</v>
      </c>
      <c r="D325" s="2602">
        <f>'calcul-DCC-TX-Encais'!$D$29</f>
        <v>9.2145063100000009</v>
      </c>
      <c r="E325" s="2602">
        <f>'Feuil-saisie'!C246/1000</f>
        <v>8.5250017400000004</v>
      </c>
      <c r="F325" s="2602">
        <f>C325*0.315515773988161</f>
        <v>1.0527687046774503</v>
      </c>
      <c r="G325" s="2603">
        <f t="shared" si="111"/>
        <v>-0.68950457000000043</v>
      </c>
      <c r="H325" s="2604">
        <f t="shared" si="112"/>
        <v>-7.4828161900732413</v>
      </c>
      <c r="I325" s="2603">
        <f t="shared" si="113"/>
        <v>7.4722330353225503</v>
      </c>
      <c r="J325" s="2604">
        <f t="shared" si="114"/>
        <v>12.349190496205695</v>
      </c>
      <c r="K325" s="2553">
        <v>29.421494489925621</v>
      </c>
      <c r="L325" s="2553">
        <v>6.5856412041484216</v>
      </c>
      <c r="M325" s="2553">
        <f>'calcul-DCC-TX-Encais'!$AO$107</f>
        <v>60.983271307195942</v>
      </c>
      <c r="N325" s="2553">
        <f t="shared" si="115"/>
        <v>54.397630103047518</v>
      </c>
      <c r="O325" s="2553">
        <f t="shared" si="116"/>
        <v>31.561776817270321</v>
      </c>
    </row>
    <row r="326" spans="2:15" ht="12" customHeight="1">
      <c r="B326" s="2605" t="s">
        <v>295</v>
      </c>
      <c r="C326" s="2606">
        <f>C325-C327</f>
        <v>3.3366595000000001</v>
      </c>
      <c r="D326" s="2606">
        <f>D325-D327</f>
        <v>9.2145063100000009</v>
      </c>
      <c r="E326" s="2606">
        <f>E325-E327</f>
        <v>8.5250017400000004</v>
      </c>
      <c r="F326" s="2606">
        <f>C326*0.315515773988161</f>
        <v>1.0527687046774503</v>
      </c>
      <c r="G326" s="2607">
        <f t="shared" si="111"/>
        <v>-0.68950457000000043</v>
      </c>
      <c r="H326" s="2608">
        <f t="shared" si="112"/>
        <v>-7.4828161900732413</v>
      </c>
      <c r="I326" s="2607">
        <f t="shared" si="113"/>
        <v>7.4722330353225503</v>
      </c>
      <c r="J326" s="2608">
        <f t="shared" si="114"/>
        <v>12.349190496205695</v>
      </c>
      <c r="K326" s="2553">
        <v>10.149241057579582</v>
      </c>
      <c r="L326" s="2553">
        <v>6.5856412041484216</v>
      </c>
      <c r="M326" s="2553">
        <f>'calcul-DCC-TX-Encais'!$BH$107</f>
        <v>23.730014115359708</v>
      </c>
      <c r="N326" s="2553">
        <f t="shared" si="115"/>
        <v>17.144372911211285</v>
      </c>
      <c r="O326" s="2553">
        <f t="shared" si="116"/>
        <v>13.580773057780126</v>
      </c>
    </row>
    <row r="327" spans="2:15" ht="12" customHeight="1">
      <c r="B327" s="2605" t="s">
        <v>296</v>
      </c>
      <c r="C327" s="2606">
        <f>'calcul-DCC-TX-Encais'!$BB$13</f>
        <v>0</v>
      </c>
      <c r="D327" s="2606">
        <f>'calcul-DCC-TX-Encais'!$P$29</f>
        <v>0</v>
      </c>
      <c r="E327" s="2606">
        <f>'Feuil-saisie'!C247/1000</f>
        <v>0</v>
      </c>
      <c r="F327" s="2606">
        <f>F325-F326</f>
        <v>0</v>
      </c>
      <c r="G327" s="2607">
        <f t="shared" si="111"/>
        <v>0</v>
      </c>
      <c r="H327" s="2608" t="e">
        <f t="shared" si="112"/>
        <v>#DIV/0!</v>
      </c>
      <c r="I327" s="2607">
        <f t="shared" si="113"/>
        <v>0</v>
      </c>
      <c r="J327" s="2608" t="e">
        <f t="shared" si="114"/>
        <v>#DIV/0!</v>
      </c>
      <c r="K327" s="2553"/>
      <c r="L327" s="2553"/>
      <c r="M327" s="2553"/>
      <c r="N327" s="2553"/>
      <c r="O327" s="2553"/>
    </row>
    <row r="328" spans="2:15" ht="12" customHeight="1">
      <c r="B328" s="2562" t="s">
        <v>603</v>
      </c>
      <c r="C328" s="2595">
        <f>'calcul-DCC-TX-Encais'!$AT$13</f>
        <v>204.24819740999999</v>
      </c>
      <c r="D328" s="2595">
        <f>'calcul-DCC-TX-Encais'!$H$29</f>
        <v>190.70082451000002</v>
      </c>
      <c r="E328" s="2595">
        <f>'Feuil-saisie'!C245/1000</f>
        <v>305.91603242000002</v>
      </c>
      <c r="F328" s="2595">
        <f>C328*0.648477829483776</f>
        <v>132.45042773241059</v>
      </c>
      <c r="G328" s="2596">
        <f t="shared" si="111"/>
        <v>115.21520791</v>
      </c>
      <c r="H328" s="2609">
        <f t="shared" si="112"/>
        <v>60.416732966961192</v>
      </c>
      <c r="I328" s="2596">
        <f t="shared" si="113"/>
        <v>173.46560468758943</v>
      </c>
      <c r="J328" s="2609">
        <f t="shared" si="114"/>
        <v>43.296334188384733</v>
      </c>
      <c r="K328" s="2553">
        <v>328.76332077704569</v>
      </c>
      <c r="L328" s="2553">
        <v>112.65972424594841</v>
      </c>
      <c r="M328" s="2553">
        <f>'calcul-DCC-TX-Encais'!$AT$107</f>
        <v>529.31857855582416</v>
      </c>
      <c r="N328" s="2553">
        <f>M328-L328</f>
        <v>416.65885430987578</v>
      </c>
      <c r="O328" s="2553">
        <f>M328-K328</f>
        <v>200.55525777877847</v>
      </c>
    </row>
    <row r="329" spans="2:15" ht="12" customHeight="1">
      <c r="B329" s="2567" t="s">
        <v>915</v>
      </c>
      <c r="C329" s="2610">
        <f>C328-C330</f>
        <v>43.63805185999999</v>
      </c>
      <c r="D329" s="2610">
        <f>D328-D330</f>
        <v>64.314019160000029</v>
      </c>
      <c r="E329" s="2610">
        <f>E328-E330</f>
        <v>54.11685288000001</v>
      </c>
      <c r="F329" s="2595">
        <f>C329*0.648477829483776</f>
        <v>28.298309153073248</v>
      </c>
      <c r="G329" s="2596">
        <f t="shared" si="111"/>
        <v>-10.197166280000019</v>
      </c>
      <c r="H329" s="2609">
        <f t="shared" si="112"/>
        <v>-15.855277610051971</v>
      </c>
      <c r="I329" s="2596">
        <f t="shared" si="113"/>
        <v>25.818543726926762</v>
      </c>
      <c r="J329" s="2609">
        <f t="shared" si="114"/>
        <v>52.291121244287041</v>
      </c>
      <c r="K329" s="2569"/>
      <c r="L329" s="2569"/>
      <c r="M329" s="2569"/>
      <c r="N329" s="2569"/>
      <c r="O329" s="2569"/>
    </row>
    <row r="330" spans="2:15" ht="12" customHeight="1">
      <c r="B330" s="2567" t="s">
        <v>916</v>
      </c>
      <c r="C330" s="2610">
        <f>'calcul-DCC-TX-Encais'!$BD$13</f>
        <v>160.61014555</v>
      </c>
      <c r="D330" s="2610">
        <f>'calcul-DCC-TX-Encais'!$R$29</f>
        <v>126.38680534999999</v>
      </c>
      <c r="E330" s="2610">
        <f>'Feuil-saisie'!C248/1000</f>
        <v>251.79917954000001</v>
      </c>
      <c r="F330" s="2610">
        <f>F328-F329</f>
        <v>104.15211857933734</v>
      </c>
      <c r="G330" s="2611"/>
      <c r="H330" s="2612"/>
      <c r="I330" s="2611"/>
      <c r="J330" s="2612"/>
      <c r="K330" s="2569"/>
      <c r="L330" s="2569"/>
      <c r="M330" s="2569"/>
      <c r="N330" s="2569"/>
      <c r="O330" s="2569"/>
    </row>
    <row r="331" spans="2:15" ht="12" customHeight="1">
      <c r="B331" s="2589" t="s">
        <v>613</v>
      </c>
      <c r="C331" s="2590">
        <f>C314+C317+C324</f>
        <v>375.31983665999996</v>
      </c>
      <c r="D331" s="2590">
        <f>D314+D317+D324</f>
        <v>565.23343808999982</v>
      </c>
      <c r="E331" s="2590">
        <f>E314+E317+E324</f>
        <v>686.45822380999994</v>
      </c>
      <c r="F331" s="2590">
        <f>F314+F317+F324</f>
        <v>265.95989307757168</v>
      </c>
      <c r="G331" s="2591">
        <f t="shared" ref="G331:G339" si="117">E331-D331</f>
        <v>121.22478572000011</v>
      </c>
      <c r="H331" s="2604">
        <f t="shared" ref="H331:H339" si="118">((E331-D331)/D331)*100</f>
        <v>21.446853202746645</v>
      </c>
      <c r="I331" s="2591">
        <f t="shared" ref="I331:I339" si="119">E331-F331</f>
        <v>420.49833073242826</v>
      </c>
      <c r="J331" s="2604">
        <f t="shared" ref="J331:J339" si="120">F331/E331*100</f>
        <v>38.743784232263039</v>
      </c>
      <c r="K331" s="2593">
        <v>72.29035507713138</v>
      </c>
      <c r="L331" s="2593">
        <v>58.849233176695144</v>
      </c>
      <c r="M331" s="2593">
        <f>'calcul-DCC-TX-Encais'!$AW$107</f>
        <v>111.57916755639071</v>
      </c>
      <c r="N331" s="2593">
        <f>M331-L331</f>
        <v>52.729934379695571</v>
      </c>
      <c r="O331" s="2593">
        <f>M331-K331</f>
        <v>39.288812479259335</v>
      </c>
    </row>
    <row r="332" spans="2:15" ht="12" customHeight="1">
      <c r="B332" s="2613" t="s">
        <v>611</v>
      </c>
      <c r="C332" s="2614">
        <f>C333+C334</f>
        <v>67.145432670000005</v>
      </c>
      <c r="D332" s="2614">
        <f>D333+D334</f>
        <v>89.248379130000089</v>
      </c>
      <c r="E332" s="2614">
        <f>E333+E334</f>
        <v>35.642267599999997</v>
      </c>
      <c r="F332" s="2614">
        <f>F333+F334</f>
        <v>4.0858528176491795</v>
      </c>
      <c r="G332" s="2603">
        <f t="shared" si="117"/>
        <v>-53.606111530000092</v>
      </c>
      <c r="H332" s="2604">
        <f t="shared" si="118"/>
        <v>-60.063960883723041</v>
      </c>
      <c r="I332" s="2603">
        <f t="shared" si="119"/>
        <v>31.556414782350817</v>
      </c>
      <c r="J332" s="2604">
        <f t="shared" si="120"/>
        <v>11.463504128029104</v>
      </c>
      <c r="K332" s="2553"/>
      <c r="L332" s="2553"/>
      <c r="M332" s="2553"/>
      <c r="N332" s="2553"/>
      <c r="O332" s="2553"/>
    </row>
    <row r="333" spans="2:15" ht="12" customHeight="1">
      <c r="B333" s="2615" t="s">
        <v>318</v>
      </c>
      <c r="C333" s="2595">
        <f>'calcul-DCC-TX-Encais'!$AX$13</f>
        <v>66.37786337</v>
      </c>
      <c r="D333" s="2595">
        <f>'calcul-DCC-TX-Encais'!$L$29</f>
        <v>88.479080750000094</v>
      </c>
      <c r="E333" s="2595">
        <f>'Feuil-saisie'!C253/1000</f>
        <v>34.874698299999999</v>
      </c>
      <c r="F333" s="2595">
        <f>C333*0.0578745895135454</f>
        <v>3.8415915953249513</v>
      </c>
      <c r="G333" s="2596">
        <f t="shared" si="117"/>
        <v>-53.604382450000095</v>
      </c>
      <c r="H333" s="2616">
        <f t="shared" si="118"/>
        <v>-60.584244315852068</v>
      </c>
      <c r="I333" s="2596">
        <f t="shared" si="119"/>
        <v>31.033106704675049</v>
      </c>
      <c r="J333" s="2616">
        <f t="shared" si="120"/>
        <v>11.015411695547058</v>
      </c>
      <c r="K333" s="2553"/>
      <c r="L333" s="2553"/>
      <c r="M333" s="2553"/>
      <c r="N333" s="2553"/>
      <c r="O333" s="2553"/>
    </row>
    <row r="334" spans="2:15" ht="12" customHeight="1">
      <c r="B334" s="2615" t="s">
        <v>319</v>
      </c>
      <c r="C334" s="2595">
        <f>'calcul-DCC-TX-Encais'!$AY$13</f>
        <v>0.76756930000000001</v>
      </c>
      <c r="D334" s="2595">
        <f>'calcul-DCC-TX-Encais'!$M$29</f>
        <v>0.76929837999999995</v>
      </c>
      <c r="E334" s="2595">
        <f>'Feuil-saisie'!C254/1000</f>
        <v>0.76756930000000001</v>
      </c>
      <c r="F334" s="2595">
        <f>C334*0.318226930551063</f>
        <v>0.24426122232422803</v>
      </c>
      <c r="G334" s="2596">
        <f t="shared" si="117"/>
        <v>-1.7290799999999384E-3</v>
      </c>
      <c r="H334" s="2616">
        <f t="shared" si="118"/>
        <v>-0.22476064488787026</v>
      </c>
      <c r="I334" s="2596">
        <f t="shared" si="119"/>
        <v>0.52330807767577192</v>
      </c>
      <c r="J334" s="2616">
        <f t="shared" si="120"/>
        <v>31.822693055106299</v>
      </c>
      <c r="K334" s="2553"/>
      <c r="L334" s="2553"/>
      <c r="M334" s="2553"/>
      <c r="N334" s="2553"/>
      <c r="O334" s="2553"/>
    </row>
    <row r="335" spans="2:15" ht="12" customHeight="1">
      <c r="B335" s="2617" t="s">
        <v>606</v>
      </c>
      <c r="C335" s="2618">
        <f>C331+C332</f>
        <v>442.46526932999996</v>
      </c>
      <c r="D335" s="2618">
        <f>D331+D332</f>
        <v>654.48181721999993</v>
      </c>
      <c r="E335" s="2618">
        <f>E331+E332</f>
        <v>722.1004914099999</v>
      </c>
      <c r="F335" s="2618">
        <f>F331+F332</f>
        <v>270.04574589522088</v>
      </c>
      <c r="G335" s="2596">
        <f t="shared" si="117"/>
        <v>67.618674189999979</v>
      </c>
      <c r="H335" s="2616">
        <f t="shared" si="118"/>
        <v>10.331635258748586</v>
      </c>
      <c r="I335" s="2596">
        <f t="shared" si="119"/>
        <v>452.05474551477903</v>
      </c>
      <c r="J335" s="2616">
        <f t="shared" si="120"/>
        <v>37.397252751887713</v>
      </c>
      <c r="K335" s="2553"/>
      <c r="L335" s="2553"/>
      <c r="M335" s="2553"/>
      <c r="N335" s="2553"/>
      <c r="O335" s="2553"/>
    </row>
    <row r="336" spans="2:15" ht="12" customHeight="1">
      <c r="B336" s="2619" t="s">
        <v>607</v>
      </c>
      <c r="C336" s="2590">
        <f>C337+C338</f>
        <v>0</v>
      </c>
      <c r="D336" s="2590">
        <f>D337+D338</f>
        <v>0</v>
      </c>
      <c r="E336" s="2590">
        <f>E337+E338</f>
        <v>0</v>
      </c>
      <c r="F336" s="2590">
        <f>F337+F338</f>
        <v>0</v>
      </c>
      <c r="G336" s="2591">
        <f t="shared" si="117"/>
        <v>0</v>
      </c>
      <c r="H336" s="2604" t="e">
        <f t="shared" si="118"/>
        <v>#DIV/0!</v>
      </c>
      <c r="I336" s="2591">
        <f t="shared" si="119"/>
        <v>0</v>
      </c>
      <c r="J336" s="2604" t="e">
        <f t="shared" si="120"/>
        <v>#DIV/0!</v>
      </c>
      <c r="K336" s="2593">
        <v>0</v>
      </c>
      <c r="L336" s="2593">
        <v>0</v>
      </c>
      <c r="M336" s="2593">
        <f>'calcul-DCC-TX-Encais'!$BW$107</f>
        <v>0</v>
      </c>
      <c r="N336" s="2593">
        <f>M336-L336</f>
        <v>0</v>
      </c>
      <c r="O336" s="2593">
        <f>M336-K336</f>
        <v>0</v>
      </c>
    </row>
    <row r="337" spans="2:19" ht="12" customHeight="1">
      <c r="B337" s="2557" t="s">
        <v>198</v>
      </c>
      <c r="C337" s="2595">
        <f>'calcul-DCC-TX-Encais'!$BU$13</f>
        <v>0</v>
      </c>
      <c r="D337" s="2595">
        <f>'calcul-DCC-TX-Encais'!$AI$29</f>
        <v>0</v>
      </c>
      <c r="E337" s="2595">
        <f>'Feuil-saisie'!$C$256/1000</f>
        <v>0</v>
      </c>
      <c r="F337" s="2595">
        <f>C337*0.283639089299864</f>
        <v>0</v>
      </c>
      <c r="G337" s="2620">
        <f t="shared" si="117"/>
        <v>0</v>
      </c>
      <c r="H337" s="2621" t="e">
        <f t="shared" si="118"/>
        <v>#DIV/0!</v>
      </c>
      <c r="I337" s="2620">
        <f t="shared" si="119"/>
        <v>0</v>
      </c>
      <c r="J337" s="2621" t="e">
        <f t="shared" si="120"/>
        <v>#DIV/0!</v>
      </c>
      <c r="K337" s="2553"/>
      <c r="L337" s="2553">
        <v>0</v>
      </c>
      <c r="M337" s="2553"/>
      <c r="N337" s="2553">
        <f>M337-L337</f>
        <v>0</v>
      </c>
      <c r="O337" s="2553">
        <f>M337-K337</f>
        <v>0</v>
      </c>
    </row>
    <row r="338" spans="2:19" ht="12" customHeight="1">
      <c r="B338" s="2557" t="s">
        <v>199</v>
      </c>
      <c r="C338" s="2595">
        <f>'calcul-DCC-TX-Encais'!$BV$13</f>
        <v>0</v>
      </c>
      <c r="D338" s="2595">
        <f>'calcul-DCC-TX-Encais'!$AJ$29</f>
        <v>0</v>
      </c>
      <c r="E338" s="2595">
        <f>'Feuil-saisie'!$C$257/1000</f>
        <v>0</v>
      </c>
      <c r="F338" s="2595">
        <f>C338*0.283639089299864</f>
        <v>0</v>
      </c>
      <c r="G338" s="2620">
        <f t="shared" si="117"/>
        <v>0</v>
      </c>
      <c r="H338" s="2621" t="e">
        <f t="shared" si="118"/>
        <v>#DIV/0!</v>
      </c>
      <c r="I338" s="2620">
        <f t="shared" si="119"/>
        <v>0</v>
      </c>
      <c r="J338" s="2621" t="e">
        <f t="shared" si="120"/>
        <v>#DIV/0!</v>
      </c>
      <c r="K338" s="2553">
        <v>0</v>
      </c>
      <c r="L338" s="2553">
        <v>0</v>
      </c>
      <c r="M338" s="2553">
        <f>'calcul-DCC-TX-Encais'!$BV$107</f>
        <v>0</v>
      </c>
      <c r="N338" s="2553">
        <f>M338-L338</f>
        <v>0</v>
      </c>
      <c r="O338" s="2553">
        <f>M338-K338</f>
        <v>0</v>
      </c>
    </row>
    <row r="339" spans="2:19" ht="12" customHeight="1">
      <c r="B339" s="2577" t="s">
        <v>612</v>
      </c>
      <c r="C339" s="2578">
        <f>C336+C335</f>
        <v>442.46526932999996</v>
      </c>
      <c r="D339" s="2579">
        <f>D336+D335</f>
        <v>654.48181721999993</v>
      </c>
      <c r="E339" s="2579">
        <f>E335+E336</f>
        <v>722.1004914099999</v>
      </c>
      <c r="F339" s="2579">
        <f>F335+F336</f>
        <v>270.04574589522088</v>
      </c>
      <c r="G339" s="2622">
        <f t="shared" si="117"/>
        <v>67.618674189999979</v>
      </c>
      <c r="H339" s="2623">
        <f t="shared" si="118"/>
        <v>10.331635258748586</v>
      </c>
      <c r="I339" s="2622">
        <f t="shared" si="119"/>
        <v>452.05474551477903</v>
      </c>
      <c r="J339" s="2623">
        <f t="shared" si="120"/>
        <v>37.397252751887713</v>
      </c>
      <c r="K339" s="2553"/>
      <c r="L339" s="2553"/>
      <c r="M339" s="2553"/>
      <c r="N339" s="2553"/>
      <c r="O339" s="2553"/>
    </row>
    <row r="340" spans="2:19" ht="12" customHeight="1">
      <c r="M340" s="2535"/>
    </row>
    <row r="341" spans="2:19" ht="12" customHeight="1">
      <c r="K341" s="2624"/>
      <c r="L341" s="2624"/>
      <c r="M341" s="2624"/>
      <c r="N341" s="2624"/>
      <c r="O341" s="2624"/>
    </row>
    <row r="342" spans="2:19" ht="12" customHeight="1">
      <c r="M342" s="2535"/>
    </row>
    <row r="343" spans="2:19" ht="12" customHeight="1">
      <c r="M343" s="2535"/>
    </row>
    <row r="346" spans="2:19" ht="12" customHeight="1">
      <c r="B346" s="3177" t="s">
        <v>614</v>
      </c>
      <c r="C346" s="3172" t="s">
        <v>619</v>
      </c>
      <c r="D346" s="3173"/>
      <c r="E346" s="3174"/>
      <c r="F346" s="3175" t="s">
        <v>882</v>
      </c>
      <c r="G346" s="3172" t="s">
        <v>919</v>
      </c>
      <c r="H346" s="3174"/>
      <c r="I346" s="2626" t="s">
        <v>598</v>
      </c>
      <c r="J346" s="2626"/>
      <c r="K346" s="3172" t="s">
        <v>358</v>
      </c>
      <c r="L346" s="3173"/>
      <c r="M346" s="3173"/>
      <c r="N346" s="3173"/>
      <c r="O346" s="3174"/>
    </row>
    <row r="347" spans="2:19" ht="12" customHeight="1">
      <c r="B347" s="3178"/>
      <c r="C347" s="2627">
        <f>C43</f>
        <v>45291</v>
      </c>
      <c r="D347" s="2627">
        <f>D43</f>
        <v>45139</v>
      </c>
      <c r="E347" s="2627">
        <f>E43</f>
        <v>45505</v>
      </c>
      <c r="F347" s="3176"/>
      <c r="G347" s="2626" t="s">
        <v>440</v>
      </c>
      <c r="H347" s="2626" t="s">
        <v>599</v>
      </c>
      <c r="I347" s="2626" t="s">
        <v>440</v>
      </c>
      <c r="J347" s="2626" t="s">
        <v>599</v>
      </c>
      <c r="K347" s="2627">
        <f>K313</f>
        <v>45291</v>
      </c>
      <c r="L347" s="2627">
        <f>D347</f>
        <v>45139</v>
      </c>
      <c r="M347" s="2627">
        <f>E347</f>
        <v>45505</v>
      </c>
      <c r="N347" s="2626" t="s">
        <v>600</v>
      </c>
      <c r="O347" s="2626" t="s">
        <v>601</v>
      </c>
    </row>
    <row r="348" spans="2:19" ht="12" customHeight="1">
      <c r="B348" s="2628" t="s">
        <v>6</v>
      </c>
      <c r="C348" s="2629">
        <f>C69</f>
        <v>2783.7331452200001</v>
      </c>
      <c r="D348" s="2629">
        <f>D69</f>
        <v>3960.4160979000008</v>
      </c>
      <c r="E348" s="2629">
        <f>E69</f>
        <v>4177.3173732200003</v>
      </c>
      <c r="F348" s="2629">
        <f>F69</f>
        <v>1692.7069338827262</v>
      </c>
      <c r="G348" s="2629">
        <f>E348-D348</f>
        <v>216.90127531999951</v>
      </c>
      <c r="H348" s="2629">
        <f>G348/D348*100</f>
        <v>5.4767294637301056</v>
      </c>
      <c r="I348" s="2630">
        <f t="shared" ref="I348:I358" si="121">E348-F348</f>
        <v>2484.6104393372743</v>
      </c>
      <c r="J348" s="2630">
        <f>E348/F348*100</f>
        <v>246.78326115425557</v>
      </c>
      <c r="K348" s="2631">
        <v>62.150602834425769</v>
      </c>
      <c r="L348" s="2631">
        <f>'calcul-DCC-TX-Encais'!K98</f>
        <v>90.543269617708035</v>
      </c>
      <c r="M348" s="2631">
        <f>'calcul-DCC-TX-Encais'!AW98</f>
        <v>99.979065043834296</v>
      </c>
      <c r="N348" s="2631">
        <f>M348-L348</f>
        <v>9.435795426126262</v>
      </c>
      <c r="O348" s="2632">
        <f>M348-K348</f>
        <v>37.828462209408528</v>
      </c>
      <c r="P348" s="2534">
        <v>1984.45</v>
      </c>
      <c r="Q348" s="2534">
        <v>3516.6011625099995</v>
      </c>
      <c r="R348" s="2534">
        <f>E348/P348*100</f>
        <v>210.50252579908792</v>
      </c>
      <c r="S348" s="2534" t="str">
        <f>B348</f>
        <v>Blida</v>
      </c>
    </row>
    <row r="349" spans="2:19" ht="12" customHeight="1">
      <c r="B349" s="2628" t="s">
        <v>7</v>
      </c>
      <c r="C349" s="2629">
        <f>C99</f>
        <v>990.27735920999976</v>
      </c>
      <c r="D349" s="2629">
        <f>D99</f>
        <v>1975.9394760800008</v>
      </c>
      <c r="E349" s="2629">
        <f>E99</f>
        <v>2072.6230949199999</v>
      </c>
      <c r="F349" s="2629">
        <f>F99</f>
        <v>520.2083775895627</v>
      </c>
      <c r="G349" s="2629">
        <f t="shared" ref="G349:G358" si="122">E349-D349</f>
        <v>96.683618839999099</v>
      </c>
      <c r="H349" s="2629">
        <f t="shared" ref="H349:H358" si="123">G349/D349*100</f>
        <v>4.8930455618917259</v>
      </c>
      <c r="I349" s="2630">
        <f t="shared" si="121"/>
        <v>1552.4147173304373</v>
      </c>
      <c r="J349" s="2630">
        <f t="shared" ref="J349:J358" si="124">E349/F349*100</f>
        <v>398.42170641766768</v>
      </c>
      <c r="K349" s="2631">
        <v>42.195356412289286</v>
      </c>
      <c r="L349" s="2631">
        <f>'calcul-DCC-TX-Encais'!K99</f>
        <v>62.419988218756721</v>
      </c>
      <c r="M349" s="2631">
        <f>'calcul-DCC-TX-Encais'!AW99</f>
        <v>84.827222810269546</v>
      </c>
      <c r="N349" s="2631">
        <f>M349-L349</f>
        <v>22.407234591512825</v>
      </c>
      <c r="O349" s="2632">
        <f t="shared" ref="O349:O356" si="125">M349-K349</f>
        <v>42.631866397980261</v>
      </c>
      <c r="P349" s="2534">
        <v>676.13</v>
      </c>
      <c r="Q349" s="2534">
        <v>1387.0416165099998</v>
      </c>
      <c r="R349" s="2534">
        <f t="shared" ref="R349:R358" si="126">E349/P349*100</f>
        <v>306.54209914069781</v>
      </c>
      <c r="S349" s="2534" t="str">
        <f t="shared" ref="S349:S358" si="127">B349</f>
        <v>Bouira</v>
      </c>
    </row>
    <row r="350" spans="2:19" ht="12" customHeight="1">
      <c r="B350" s="2628" t="s">
        <v>8</v>
      </c>
      <c r="C350" s="2629">
        <f>C129</f>
        <v>956.16410630200062</v>
      </c>
      <c r="D350" s="2629">
        <f>D129</f>
        <v>1643.0790785099998</v>
      </c>
      <c r="E350" s="2629">
        <f>E129</f>
        <v>2281.5055263499971</v>
      </c>
      <c r="F350" s="2629">
        <f>F129</f>
        <v>415.78577037978732</v>
      </c>
      <c r="G350" s="2629">
        <f t="shared" si="122"/>
        <v>638.42644783999731</v>
      </c>
      <c r="H350" s="2629">
        <f t="shared" si="123"/>
        <v>38.855491265760875</v>
      </c>
      <c r="I350" s="2630">
        <f t="shared" si="121"/>
        <v>1865.7197559702099</v>
      </c>
      <c r="J350" s="2630">
        <f t="shared" si="124"/>
        <v>548.72140628238014</v>
      </c>
      <c r="K350" s="2631">
        <v>36.368129228474317</v>
      </c>
      <c r="L350" s="2631">
        <f>'calcul-DCC-TX-Encais'!K100</f>
        <v>75.425733313032197</v>
      </c>
      <c r="M350" s="2631">
        <f>'calcul-DCC-TX-Encais'!AW100</f>
        <v>81.855017809682494</v>
      </c>
      <c r="N350" s="2631">
        <f t="shared" ref="N350:N356" si="128">M350-L350</f>
        <v>6.4292844966502969</v>
      </c>
      <c r="O350" s="2632">
        <f t="shared" si="125"/>
        <v>45.486888581208177</v>
      </c>
      <c r="P350" s="2534">
        <v>583.29</v>
      </c>
      <c r="Q350" s="2534">
        <v>1794.8475349400019</v>
      </c>
      <c r="R350" s="2534">
        <f t="shared" si="126"/>
        <v>391.14428952150683</v>
      </c>
      <c r="S350" s="2534" t="str">
        <f t="shared" si="127"/>
        <v>Médéa</v>
      </c>
    </row>
    <row r="351" spans="2:19" ht="12" customHeight="1">
      <c r="B351" s="2628" t="s">
        <v>4</v>
      </c>
      <c r="C351" s="2629">
        <f>C159</f>
        <v>2367.1279553000004</v>
      </c>
      <c r="D351" s="2629">
        <f>D159</f>
        <v>2940.5322500099996</v>
      </c>
      <c r="E351" s="2629">
        <f>E159</f>
        <v>3708.7905809000008</v>
      </c>
      <c r="F351" s="2629">
        <f>F159</f>
        <v>1496.4250585323873</v>
      </c>
      <c r="G351" s="2629">
        <f t="shared" si="122"/>
        <v>768.25833089000116</v>
      </c>
      <c r="H351" s="2629">
        <f t="shared" si="123"/>
        <v>26.126505869384314</v>
      </c>
      <c r="I351" s="2630">
        <f t="shared" si="121"/>
        <v>2212.3655223676133</v>
      </c>
      <c r="J351" s="2630">
        <f t="shared" si="124"/>
        <v>247.84338913285654</v>
      </c>
      <c r="K351" s="2631">
        <v>69.248174432877121</v>
      </c>
      <c r="L351" s="2631">
        <f>'calcul-DCC-TX-Encais'!K101</f>
        <v>87.533243194905126</v>
      </c>
      <c r="M351" s="2631">
        <f>'calcul-DCC-TX-Encais'!AW101</f>
        <v>112.21117270486391</v>
      </c>
      <c r="N351" s="2631">
        <f t="shared" si="128"/>
        <v>24.677929509958787</v>
      </c>
      <c r="O351" s="2632">
        <f t="shared" si="125"/>
        <v>42.962998271986791</v>
      </c>
      <c r="P351" s="2534">
        <v>1367.07</v>
      </c>
      <c r="Q351" s="2534">
        <v>3082.5996050499998</v>
      </c>
      <c r="R351" s="2534">
        <f t="shared" si="126"/>
        <v>271.29485548655163</v>
      </c>
      <c r="S351" s="2534" t="str">
        <f t="shared" si="127"/>
        <v>T.Ouzou</v>
      </c>
    </row>
    <row r="352" spans="2:19" ht="12" customHeight="1">
      <c r="B352" s="2628" t="s">
        <v>3</v>
      </c>
      <c r="C352" s="2629">
        <f>C189</f>
        <v>4978.7134180400008</v>
      </c>
      <c r="D352" s="2629">
        <f>D189</f>
        <v>4891.6009613060005</v>
      </c>
      <c r="E352" s="2629">
        <f>E189</f>
        <v>6674.2515324899987</v>
      </c>
      <c r="F352" s="2629">
        <f>F189</f>
        <v>2405.8441975275236</v>
      </c>
      <c r="G352" s="2629">
        <f t="shared" si="122"/>
        <v>1782.6505711839982</v>
      </c>
      <c r="H352" s="2629">
        <f t="shared" si="123"/>
        <v>36.443090621767546</v>
      </c>
      <c r="I352" s="2630">
        <f t="shared" si="121"/>
        <v>4268.407334962475</v>
      </c>
      <c r="J352" s="2630">
        <f t="shared" si="124"/>
        <v>277.41827751560555</v>
      </c>
      <c r="K352" s="2631">
        <v>148.5714386186657</v>
      </c>
      <c r="L352" s="2631">
        <f>'calcul-DCC-TX-Encais'!K102</f>
        <v>214.19391170977471</v>
      </c>
      <c r="M352" s="2631">
        <f>'calcul-DCC-TX-Encais'!AW102</f>
        <v>194.22707062629726</v>
      </c>
      <c r="N352" s="2631">
        <f t="shared" si="128"/>
        <v>-19.966841083477448</v>
      </c>
      <c r="O352" s="2632">
        <f t="shared" si="125"/>
        <v>45.655632007631567</v>
      </c>
      <c r="P352" s="2534">
        <v>2050.58</v>
      </c>
      <c r="Q352" s="2534">
        <v>6606.6866404899993</v>
      </c>
      <c r="R352" s="2534">
        <f t="shared" si="126"/>
        <v>325.48115813525925</v>
      </c>
      <c r="S352" s="2534" t="str">
        <f t="shared" si="127"/>
        <v>Djelfa</v>
      </c>
    </row>
    <row r="353" spans="2:19" ht="12" customHeight="1">
      <c r="B353" s="2628" t="s">
        <v>397</v>
      </c>
      <c r="C353" s="2629">
        <f>C219</f>
        <v>3213.921448786532</v>
      </c>
      <c r="D353" s="2629">
        <f>D219</f>
        <v>3584.0745765165325</v>
      </c>
      <c r="E353" s="2629">
        <f>E219</f>
        <v>4013.0531907665309</v>
      </c>
      <c r="F353" s="2629">
        <f>F219</f>
        <v>2350.7520788606375</v>
      </c>
      <c r="G353" s="2629">
        <f t="shared" si="122"/>
        <v>428.97861424999837</v>
      </c>
      <c r="H353" s="2629">
        <f t="shared" si="123"/>
        <v>11.969020317287463</v>
      </c>
      <c r="I353" s="2630">
        <f t="shared" si="121"/>
        <v>1662.3011119058933</v>
      </c>
      <c r="J353" s="2630">
        <f t="shared" si="124"/>
        <v>170.71358680714545</v>
      </c>
      <c r="K353" s="2631">
        <v>162.57023899355059</v>
      </c>
      <c r="L353" s="2631">
        <f>'calcul-DCC-TX-Encais'!K103</f>
        <v>155.5846656819067</v>
      </c>
      <c r="M353" s="2631">
        <f>'calcul-DCC-TX-Encais'!AW103</f>
        <v>162.8941624846031</v>
      </c>
      <c r="N353" s="2631">
        <f t="shared" si="128"/>
        <v>7.3094968026964011</v>
      </c>
      <c r="O353" s="2632">
        <f t="shared" si="125"/>
        <v>0.32392349105251128</v>
      </c>
      <c r="P353" s="2534">
        <v>2417.23</v>
      </c>
      <c r="Q353" s="2534">
        <v>3625.0554340765316</v>
      </c>
      <c r="R353" s="2534">
        <f t="shared" si="126"/>
        <v>166.01867388566794</v>
      </c>
      <c r="S353" s="2534" t="str">
        <f t="shared" si="127"/>
        <v>Tipaza</v>
      </c>
    </row>
    <row r="354" spans="2:19" ht="12" customHeight="1">
      <c r="B354" s="2628" t="s">
        <v>399</v>
      </c>
      <c r="C354" s="2629">
        <f>C249</f>
        <v>2673.7484483620046</v>
      </c>
      <c r="D354" s="2629">
        <f>D249</f>
        <v>3296.6347596220035</v>
      </c>
      <c r="E354" s="2629">
        <f>E249</f>
        <v>3839.2642688919996</v>
      </c>
      <c r="F354" s="2629">
        <f>F249</f>
        <v>1885.5311814879551</v>
      </c>
      <c r="G354" s="2629">
        <f t="shared" si="122"/>
        <v>542.62950926999611</v>
      </c>
      <c r="H354" s="2629">
        <f t="shared" si="123"/>
        <v>16.4601039798602</v>
      </c>
      <c r="I354" s="2630">
        <f t="shared" si="121"/>
        <v>1953.7330874040445</v>
      </c>
      <c r="J354" s="2630">
        <f t="shared" si="124"/>
        <v>203.61711896285203</v>
      </c>
      <c r="K354" s="2631">
        <v>82.94751605280571</v>
      </c>
      <c r="L354" s="2631">
        <f>'calcul-DCC-TX-Encais'!K104</f>
        <v>103.79783773689978</v>
      </c>
      <c r="M354" s="2631">
        <f>'calcul-DCC-TX-Encais'!AW104</f>
        <v>123.97589933042445</v>
      </c>
      <c r="N354" s="2631">
        <f t="shared" si="128"/>
        <v>20.178061593524674</v>
      </c>
      <c r="O354" s="2632">
        <f t="shared" si="125"/>
        <v>41.028383277618744</v>
      </c>
      <c r="P354" s="2534">
        <v>1722.19</v>
      </c>
      <c r="Q354" s="2534">
        <v>3239.3308646820033</v>
      </c>
      <c r="R354" s="2534">
        <f t="shared" si="126"/>
        <v>222.92919299798507</v>
      </c>
      <c r="S354" s="2534" t="str">
        <f t="shared" si="127"/>
        <v>Boumerdes</v>
      </c>
    </row>
    <row r="355" spans="2:19" ht="12" customHeight="1">
      <c r="B355" s="2628" t="s">
        <v>883</v>
      </c>
      <c r="C355" s="2629">
        <f>C279</f>
        <v>1677.3254126998108</v>
      </c>
      <c r="D355" s="2629">
        <f>D279</f>
        <v>2317.2462311069612</v>
      </c>
      <c r="E355" s="2629">
        <f>E279</f>
        <v>2586.4355849898111</v>
      </c>
      <c r="F355" s="2629">
        <f>F279</f>
        <v>1081.7148573054933</v>
      </c>
      <c r="G355" s="2629">
        <f t="shared" si="122"/>
        <v>269.1893538828499</v>
      </c>
      <c r="H355" s="2629">
        <f t="shared" si="123"/>
        <v>11.61677815111848</v>
      </c>
      <c r="I355" s="2630">
        <f t="shared" si="121"/>
        <v>1504.7207276843178</v>
      </c>
      <c r="J355" s="2630">
        <f t="shared" si="124"/>
        <v>239.10511790810699</v>
      </c>
      <c r="K355" s="2631">
        <v>54.695526223367935</v>
      </c>
      <c r="L355" s="2631">
        <f>'calcul-DCC-TX-Encais'!K105</f>
        <v>81.857767865707771</v>
      </c>
      <c r="M355" s="2631">
        <f>'calcul-DCC-TX-Encais'!AW105</f>
        <v>125.83704645595705</v>
      </c>
      <c r="N355" s="2631">
        <f t="shared" si="128"/>
        <v>43.97927859024928</v>
      </c>
      <c r="O355" s="2632">
        <f t="shared" si="125"/>
        <v>71.141520232589116</v>
      </c>
      <c r="P355" s="2534">
        <v>954.5</v>
      </c>
      <c r="Q355" s="2534">
        <v>2188.0850954698108</v>
      </c>
      <c r="R355" s="2534">
        <f t="shared" si="126"/>
        <v>270.97282189521331</v>
      </c>
      <c r="S355" s="2534" t="str">
        <f t="shared" si="127"/>
        <v>Ain Defla</v>
      </c>
    </row>
    <row r="356" spans="2:19" ht="12" customHeight="1">
      <c r="B356" s="2628" t="s">
        <v>884</v>
      </c>
      <c r="C356" s="2629">
        <f>C309</f>
        <v>1378.6178872429946</v>
      </c>
      <c r="D356" s="2629">
        <f>D309</f>
        <v>2130.5776466529978</v>
      </c>
      <c r="E356" s="2629">
        <f>E309</f>
        <v>2226.0597109899932</v>
      </c>
      <c r="F356" s="2629">
        <f>F309</f>
        <v>818.6357985387034</v>
      </c>
      <c r="G356" s="2629">
        <f t="shared" si="122"/>
        <v>95.482064336995336</v>
      </c>
      <c r="H356" s="2629">
        <f t="shared" si="123"/>
        <v>4.4815106591863287</v>
      </c>
      <c r="I356" s="2630">
        <f t="shared" si="121"/>
        <v>1407.4239124512897</v>
      </c>
      <c r="J356" s="2630">
        <f t="shared" si="124"/>
        <v>271.92308410694915</v>
      </c>
      <c r="K356" s="2631">
        <v>37.653232385753803</v>
      </c>
      <c r="L356" s="2631">
        <f>'calcul-DCC-TX-Encais'!K106</f>
        <v>69.218514474735201</v>
      </c>
      <c r="M356" s="2631">
        <f>'calcul-DCC-TX-Encais'!AW106</f>
        <v>63.278580574584339</v>
      </c>
      <c r="N356" s="2631">
        <f t="shared" si="128"/>
        <v>-5.9399339001508622</v>
      </c>
      <c r="O356" s="2632">
        <f t="shared" si="125"/>
        <v>25.625348188830536</v>
      </c>
      <c r="P356" s="2534">
        <v>947.29</v>
      </c>
      <c r="Q356" s="2534">
        <v>1588.9508833899945</v>
      </c>
      <c r="R356" s="2534">
        <f t="shared" si="126"/>
        <v>234.99242164384646</v>
      </c>
      <c r="S356" s="2534" t="str">
        <f t="shared" si="127"/>
        <v>Chlef</v>
      </c>
    </row>
    <row r="357" spans="2:19" ht="12" customHeight="1">
      <c r="B357" s="2628" t="s">
        <v>885</v>
      </c>
      <c r="C357" s="2629">
        <f>C339</f>
        <v>442.46526932999996</v>
      </c>
      <c r="D357" s="2629">
        <f>D339</f>
        <v>654.48181721999993</v>
      </c>
      <c r="E357" s="2629">
        <f>E339</f>
        <v>722.1004914099999</v>
      </c>
      <c r="F357" s="2629">
        <f>F339</f>
        <v>270.04574589522088</v>
      </c>
      <c r="G357" s="2629">
        <f t="shared" si="122"/>
        <v>67.618674189999979</v>
      </c>
      <c r="H357" s="2629">
        <f t="shared" si="123"/>
        <v>10.331635258748586</v>
      </c>
      <c r="I357" s="2630">
        <f t="shared" si="121"/>
        <v>452.05474551477903</v>
      </c>
      <c r="J357" s="2630">
        <f t="shared" si="124"/>
        <v>267.39932118396655</v>
      </c>
      <c r="K357" s="2631">
        <v>72.29035507713138</v>
      </c>
      <c r="L357" s="2631">
        <f>'calcul-DCC-TX-Encais'!K107</f>
        <v>101.43522823232016</v>
      </c>
      <c r="M357" s="2631">
        <f>'calcul-DCC-TX-Encais'!AW107</f>
        <v>111.57916755639071</v>
      </c>
      <c r="N357" s="2631">
        <f>M357-L357</f>
        <v>10.143939324070558</v>
      </c>
      <c r="O357" s="2632">
        <f>M357-K357</f>
        <v>39.288812479259335</v>
      </c>
      <c r="P357" s="2534">
        <v>234.9</v>
      </c>
      <c r="Q357" s="2534">
        <v>631.49260525</v>
      </c>
      <c r="R357" s="2534">
        <f t="shared" si="126"/>
        <v>307.40761660706676</v>
      </c>
      <c r="S357" s="2534" t="str">
        <f t="shared" si="127"/>
        <v>Tissemssilt</v>
      </c>
    </row>
    <row r="358" spans="2:19" ht="12" customHeight="1">
      <c r="B358" s="2626" t="s">
        <v>20</v>
      </c>
      <c r="C358" s="2633">
        <f>SUM(C348:C357)</f>
        <v>21462.094450493347</v>
      </c>
      <c r="D358" s="2634">
        <f>SUM(D348:D357)</f>
        <v>27394.582894924497</v>
      </c>
      <c r="E358" s="2634">
        <f>SUM(E348:E357)</f>
        <v>32301.401354928334</v>
      </c>
      <c r="F358" s="2635">
        <f>SUM(F348:F357)</f>
        <v>12937.649999999998</v>
      </c>
      <c r="G358" s="2633">
        <f t="shared" si="122"/>
        <v>4906.8184600038367</v>
      </c>
      <c r="H358" s="2634">
        <f t="shared" si="123"/>
        <v>17.911637781909583</v>
      </c>
      <c r="I358" s="2633">
        <f t="shared" si="121"/>
        <v>19363.751354928336</v>
      </c>
      <c r="J358" s="2633">
        <f t="shared" si="124"/>
        <v>249.669772755704</v>
      </c>
      <c r="K358" s="2636">
        <v>73.108291900704756</v>
      </c>
      <c r="L358" s="2636">
        <f>'calcul-DCC-TX-Encais'!K108</f>
        <v>98.203561741737801</v>
      </c>
      <c r="M358" s="2636">
        <f>'calcul-DCC-TX-Encais'!AW108</f>
        <v>113.63435578642959</v>
      </c>
      <c r="N358" s="2636">
        <f>M358-L358</f>
        <v>15.430794044691794</v>
      </c>
      <c r="O358" s="2636">
        <f>M358-K358</f>
        <v>40.526063885724838</v>
      </c>
      <c r="P358" s="2534">
        <f>SUM(P348:P357)</f>
        <v>12937.63</v>
      </c>
      <c r="Q358" s="2534">
        <f>SUM(Q348:Q357)</f>
        <v>27660.691442368341</v>
      </c>
      <c r="R358" s="2534">
        <f t="shared" si="126"/>
        <v>249.67015871475948</v>
      </c>
      <c r="S358" s="2534" t="str">
        <f t="shared" si="127"/>
        <v>Total</v>
      </c>
    </row>
    <row r="359" spans="2:19" ht="12" customHeight="1">
      <c r="D359" s="2637">
        <f>D358-D37</f>
        <v>0</v>
      </c>
      <c r="F359" s="2538"/>
      <c r="M359" s="2638">
        <f>(M358/57)*100</f>
        <v>199.35851892356069</v>
      </c>
    </row>
    <row r="360" spans="2:19" ht="12" customHeight="1">
      <c r="E360" s="2537"/>
      <c r="F360" s="2637"/>
    </row>
    <row r="361" spans="2:19" ht="12" customHeight="1">
      <c r="E361" s="2537"/>
      <c r="F361" s="2637"/>
    </row>
    <row r="362" spans="2:19" ht="12" customHeight="1">
      <c r="E362" s="2537"/>
      <c r="F362" s="2637"/>
    </row>
    <row r="363" spans="2:19" ht="12" customHeight="1">
      <c r="E363" s="2537"/>
      <c r="F363" s="2637"/>
    </row>
    <row r="364" spans="2:19" ht="12" customHeight="1">
      <c r="B364" s="2640" t="s">
        <v>927</v>
      </c>
      <c r="C364" s="2641"/>
      <c r="D364" s="2641"/>
      <c r="E364" s="2641"/>
      <c r="F364" s="2641"/>
      <c r="G364" s="2641"/>
      <c r="H364" s="2641"/>
      <c r="I364" s="2641"/>
      <c r="J364" s="2641"/>
      <c r="K364" s="2642"/>
      <c r="L364" s="2642"/>
      <c r="M364" s="2643"/>
      <c r="N364" s="2642"/>
      <c r="O364" s="2642"/>
    </row>
    <row r="365" spans="2:19" ht="12" customHeight="1">
      <c r="B365" s="3189"/>
      <c r="C365" s="3207" t="s">
        <v>281</v>
      </c>
      <c r="D365" s="3177"/>
      <c r="E365" s="3177"/>
      <c r="F365" s="3208"/>
      <c r="G365" s="3207" t="s">
        <v>735</v>
      </c>
      <c r="H365" s="3208"/>
      <c r="I365" s="3204" t="s">
        <v>836</v>
      </c>
      <c r="J365" s="3205"/>
      <c r="K365" s="2642"/>
      <c r="L365" s="2642"/>
      <c r="M365" s="2643"/>
      <c r="N365" s="2642"/>
      <c r="O365" s="2642"/>
    </row>
    <row r="366" spans="2:19" ht="12" customHeight="1">
      <c r="B366" s="3206"/>
      <c r="C366" s="3209"/>
      <c r="D366" s="3210"/>
      <c r="E366" s="3210"/>
      <c r="F366" s="3211"/>
      <c r="G366" s="3209"/>
      <c r="H366" s="3211"/>
      <c r="I366" s="3202" t="s">
        <v>837</v>
      </c>
      <c r="J366" s="3203"/>
      <c r="K366" s="2642"/>
      <c r="L366" s="2642"/>
      <c r="M366" s="2643"/>
      <c r="N366" s="2642"/>
      <c r="O366" s="2642"/>
    </row>
    <row r="367" spans="2:19" ht="12" customHeight="1">
      <c r="B367" s="3190"/>
      <c r="C367" s="2626" t="s">
        <v>946</v>
      </c>
      <c r="D367" s="2626" t="s">
        <v>947</v>
      </c>
      <c r="E367" s="2626" t="s">
        <v>948</v>
      </c>
      <c r="F367" s="2626" t="s">
        <v>851</v>
      </c>
      <c r="G367" s="2626" t="s">
        <v>440</v>
      </c>
      <c r="H367" s="2626" t="s">
        <v>599</v>
      </c>
      <c r="I367" s="2626" t="s">
        <v>440</v>
      </c>
      <c r="J367" s="2626" t="s">
        <v>599</v>
      </c>
      <c r="K367" s="2642"/>
      <c r="L367" s="2642"/>
      <c r="M367" s="2643"/>
      <c r="N367" s="2642"/>
      <c r="O367" s="2642"/>
    </row>
    <row r="368" spans="2:19" ht="12" customHeight="1">
      <c r="B368" s="2644" t="s">
        <v>6</v>
      </c>
      <c r="C368" s="2645">
        <f>C$44</f>
        <v>971.47238308999999</v>
      </c>
      <c r="D368" s="2645">
        <f>D$44</f>
        <v>1757.32511241</v>
      </c>
      <c r="E368" s="2645">
        <f>E$44</f>
        <v>1672.5802192600001</v>
      </c>
      <c r="F368" s="2645">
        <f>F$44</f>
        <v>944.58186315348075</v>
      </c>
      <c r="G368" s="2646">
        <f t="shared" ref="G368:G378" si="129">E368-D368</f>
        <v>-84.744893149999825</v>
      </c>
      <c r="H368" s="2647">
        <f t="shared" ref="H368:H378" si="130">G368/D368*100</f>
        <v>-4.8223799086203503</v>
      </c>
      <c r="I368" s="2648">
        <f t="shared" ref="I368:I378" si="131">E368-F368</f>
        <v>727.9983561065194</v>
      </c>
      <c r="J368" s="2648">
        <f t="shared" ref="J368:J378" si="132">E368/F368*100</f>
        <v>177.07096488980864</v>
      </c>
      <c r="K368" s="2642"/>
      <c r="L368" s="2642"/>
      <c r="M368" s="2643"/>
      <c r="N368" s="2642"/>
      <c r="O368" s="2642"/>
    </row>
    <row r="369" spans="2:15" ht="12" customHeight="1">
      <c r="B369" s="2644" t="s">
        <v>7</v>
      </c>
      <c r="C369" s="2648">
        <f>C$74</f>
        <v>341.06182731999979</v>
      </c>
      <c r="D369" s="2648">
        <f>D$74</f>
        <v>985.82839340000078</v>
      </c>
      <c r="E369" s="2648">
        <f>E$74</f>
        <v>1016.6158273199995</v>
      </c>
      <c r="F369" s="2648">
        <f>F$74</f>
        <v>331.62117823231029</v>
      </c>
      <c r="G369" s="2646">
        <f t="shared" si="129"/>
        <v>30.787433919998762</v>
      </c>
      <c r="H369" s="2647">
        <f t="shared" si="130"/>
        <v>3.1230013383786495</v>
      </c>
      <c r="I369" s="2648">
        <f t="shared" si="131"/>
        <v>684.99464908768925</v>
      </c>
      <c r="J369" s="2648">
        <f t="shared" si="132"/>
        <v>306.55937981374353</v>
      </c>
      <c r="K369" s="2642"/>
      <c r="L369" s="2642"/>
      <c r="M369" s="2643"/>
      <c r="N369" s="2642"/>
      <c r="O369" s="2642"/>
    </row>
    <row r="370" spans="2:15" ht="12" customHeight="1">
      <c r="B370" s="2644" t="s">
        <v>8</v>
      </c>
      <c r="C370" s="2645">
        <f>C$104</f>
        <v>268.41853426000057</v>
      </c>
      <c r="D370" s="2645">
        <f>D$104</f>
        <v>599.67250341999988</v>
      </c>
      <c r="E370" s="2645">
        <f>E$104</f>
        <v>558.77068796000083</v>
      </c>
      <c r="F370" s="2645">
        <f>F$104</f>
        <v>260.98866381541671</v>
      </c>
      <c r="G370" s="2646">
        <f t="shared" si="129"/>
        <v>-40.901815459999057</v>
      </c>
      <c r="H370" s="2647">
        <f t="shared" si="130"/>
        <v>-6.8206921655956192</v>
      </c>
      <c r="I370" s="2648">
        <f t="shared" si="131"/>
        <v>297.78202414458411</v>
      </c>
      <c r="J370" s="2648">
        <f t="shared" si="132"/>
        <v>214.09768523708345</v>
      </c>
      <c r="K370" s="2642"/>
      <c r="L370" s="2642"/>
      <c r="M370" s="2643"/>
      <c r="N370" s="2642"/>
      <c r="O370" s="2642"/>
    </row>
    <row r="371" spans="2:15" ht="12" customHeight="1">
      <c r="B371" s="2644" t="s">
        <v>4</v>
      </c>
      <c r="C371" s="2648">
        <f>C$134</f>
        <v>983.18939429000045</v>
      </c>
      <c r="D371" s="2648">
        <f>D$134</f>
        <v>1669.7437616200004</v>
      </c>
      <c r="E371" s="2648">
        <f>E$134</f>
        <v>1689.0696134900006</v>
      </c>
      <c r="F371" s="2648">
        <f>F$134</f>
        <v>955.97454550095335</v>
      </c>
      <c r="G371" s="2646">
        <f t="shared" si="129"/>
        <v>19.325851870000179</v>
      </c>
      <c r="H371" s="2647">
        <f t="shared" si="130"/>
        <v>1.1574142281118669</v>
      </c>
      <c r="I371" s="2648">
        <f t="shared" si="131"/>
        <v>733.09506798904727</v>
      </c>
      <c r="J371" s="2648">
        <f t="shared" si="132"/>
        <v>176.68562635262302</v>
      </c>
      <c r="K371" s="2642"/>
      <c r="L371" s="2642"/>
      <c r="M371" s="2643"/>
      <c r="N371" s="2642"/>
      <c r="O371" s="2642"/>
    </row>
    <row r="372" spans="2:15" ht="12" customHeight="1">
      <c r="B372" s="2644" t="s">
        <v>3</v>
      </c>
      <c r="C372" s="2648">
        <f>C$164</f>
        <v>1850.7114404100003</v>
      </c>
      <c r="D372" s="2648">
        <f>D$164</f>
        <v>2508.4341005600004</v>
      </c>
      <c r="E372" s="2648">
        <f>E$164</f>
        <v>2863.9937023900002</v>
      </c>
      <c r="F372" s="2648">
        <f>F$164</f>
        <v>1799.4834346001028</v>
      </c>
      <c r="G372" s="2646">
        <f t="shared" si="129"/>
        <v>355.55960182999979</v>
      </c>
      <c r="H372" s="2647">
        <f t="shared" si="130"/>
        <v>14.17456419327987</v>
      </c>
      <c r="I372" s="2648">
        <f t="shared" si="131"/>
        <v>1064.5102677898974</v>
      </c>
      <c r="J372" s="2648">
        <f t="shared" si="132"/>
        <v>159.15643608169486</v>
      </c>
      <c r="K372" s="2642"/>
      <c r="L372" s="2642"/>
      <c r="M372" s="2643"/>
      <c r="N372" s="2642"/>
      <c r="O372" s="2642"/>
    </row>
    <row r="373" spans="2:15" ht="12" customHeight="1">
      <c r="B373" s="2644" t="s">
        <v>397</v>
      </c>
      <c r="C373" s="2648">
        <f>C$194</f>
        <v>1809.7843905299994</v>
      </c>
      <c r="D373" s="2648">
        <f>D$194</f>
        <v>1989.0093211799999</v>
      </c>
      <c r="E373" s="2648">
        <f>E$194</f>
        <v>2368.0157871499987</v>
      </c>
      <c r="F373" s="2648">
        <f>F$194</f>
        <v>1759.6892523856147</v>
      </c>
      <c r="G373" s="2646">
        <f t="shared" si="129"/>
        <v>379.00646596999877</v>
      </c>
      <c r="H373" s="2647">
        <f t="shared" si="130"/>
        <v>19.055037195358608</v>
      </c>
      <c r="I373" s="2648">
        <f t="shared" si="131"/>
        <v>608.32653476438395</v>
      </c>
      <c r="J373" s="2648">
        <f t="shared" si="132"/>
        <v>134.57011139550204</v>
      </c>
      <c r="K373" s="2642"/>
      <c r="L373" s="2642"/>
      <c r="M373" s="2643"/>
      <c r="N373" s="2642"/>
      <c r="O373" s="2642"/>
    </row>
    <row r="374" spans="2:15" ht="12" customHeight="1">
      <c r="B374" s="2644" t="s">
        <v>399</v>
      </c>
      <c r="C374" s="2648">
        <f>C$224</f>
        <v>1362.6618891520009</v>
      </c>
      <c r="D374" s="2648">
        <f>D$224</f>
        <v>1870.6857072320004</v>
      </c>
      <c r="E374" s="2648">
        <f>E$224</f>
        <v>1855.6029734520002</v>
      </c>
      <c r="F374" s="2648">
        <f>F$224</f>
        <v>1324.9431774986379</v>
      </c>
      <c r="G374" s="2646">
        <f t="shared" si="129"/>
        <v>-15.082733780000126</v>
      </c>
      <c r="H374" s="2647">
        <f t="shared" si="130"/>
        <v>-0.80626765477978724</v>
      </c>
      <c r="I374" s="2648">
        <f t="shared" si="131"/>
        <v>530.65979595336239</v>
      </c>
      <c r="J374" s="2648">
        <f t="shared" si="132"/>
        <v>140.05151352642881</v>
      </c>
      <c r="K374" s="2642"/>
      <c r="L374" s="2642"/>
      <c r="M374" s="2643"/>
      <c r="N374" s="2642"/>
      <c r="O374" s="2642"/>
    </row>
    <row r="375" spans="2:15" ht="12" customHeight="1">
      <c r="B375" s="2644" t="s">
        <v>883</v>
      </c>
      <c r="C375" s="2648">
        <f>C$254</f>
        <v>629.59188587299957</v>
      </c>
      <c r="D375" s="2648">
        <f>D$254</f>
        <v>1228.6176199301503</v>
      </c>
      <c r="E375" s="2648">
        <f>E$254</f>
        <v>1399.0475832529999</v>
      </c>
      <c r="F375" s="2648">
        <f>F$254</f>
        <v>612.16467594543724</v>
      </c>
      <c r="G375" s="2646">
        <f t="shared" si="129"/>
        <v>170.42996332284952</v>
      </c>
      <c r="H375" s="2647">
        <f t="shared" si="130"/>
        <v>13.871684774676993</v>
      </c>
      <c r="I375" s="2648">
        <f t="shared" si="131"/>
        <v>786.88290730756262</v>
      </c>
      <c r="J375" s="2648">
        <f t="shared" si="132"/>
        <v>228.54105083608226</v>
      </c>
      <c r="K375" s="2642"/>
      <c r="L375" s="2642"/>
      <c r="M375" s="2643"/>
      <c r="N375" s="2642"/>
      <c r="O375" s="2642"/>
    </row>
    <row r="376" spans="2:15" ht="12" customHeight="1">
      <c r="B376" s="2644" t="s">
        <v>884</v>
      </c>
      <c r="C376" s="2648">
        <f>C$284</f>
        <v>298.13228079000129</v>
      </c>
      <c r="D376" s="2648">
        <f>D$284</f>
        <v>969.915969210002</v>
      </c>
      <c r="E376" s="2648">
        <f>E$284</f>
        <v>983.32848568000145</v>
      </c>
      <c r="F376" s="2648">
        <f>F$284</f>
        <v>289.87992881391756</v>
      </c>
      <c r="G376" s="2646">
        <f t="shared" si="129"/>
        <v>13.412516469999446</v>
      </c>
      <c r="H376" s="2647">
        <f t="shared" si="130"/>
        <v>1.3828534528536487</v>
      </c>
      <c r="I376" s="2648">
        <f t="shared" si="131"/>
        <v>693.44855686608389</v>
      </c>
      <c r="J376" s="2648">
        <f t="shared" si="132"/>
        <v>339.21923801465709</v>
      </c>
      <c r="K376" s="2642"/>
      <c r="L376" s="2642"/>
      <c r="M376" s="2643"/>
      <c r="N376" s="2642"/>
      <c r="O376" s="2642"/>
    </row>
    <row r="377" spans="2:15" ht="12" customHeight="1">
      <c r="B377" s="2644" t="s">
        <v>885</v>
      </c>
      <c r="C377" s="2648">
        <f>C$314</f>
        <v>100.55670670999999</v>
      </c>
      <c r="D377" s="2648">
        <f>D$314</f>
        <v>267.8540491</v>
      </c>
      <c r="E377" s="2648">
        <f>E$314</f>
        <v>260.28319273</v>
      </c>
      <c r="F377" s="2648">
        <f>F$314</f>
        <v>97.773280054128207</v>
      </c>
      <c r="G377" s="2646">
        <f t="shared" si="129"/>
        <v>-7.5708563700000013</v>
      </c>
      <c r="H377" s="2647">
        <f t="shared" si="130"/>
        <v>-2.8264856907851019</v>
      </c>
      <c r="I377" s="2648">
        <f t="shared" si="131"/>
        <v>162.50991267587179</v>
      </c>
      <c r="J377" s="2648">
        <f t="shared" si="132"/>
        <v>266.21096539453799</v>
      </c>
      <c r="K377" s="2642"/>
      <c r="L377" s="2642"/>
      <c r="M377" s="2643"/>
      <c r="N377" s="2642"/>
      <c r="O377" s="2642"/>
    </row>
    <row r="378" spans="2:15" ht="12" customHeight="1">
      <c r="B378" s="2649" t="s">
        <v>933</v>
      </c>
      <c r="C378" s="2650">
        <f>SUM(C368:C377)</f>
        <v>8615.5807324250036</v>
      </c>
      <c r="D378" s="2650">
        <f>SUM(D368:D377)</f>
        <v>13847.086538062153</v>
      </c>
      <c r="E378" s="2650">
        <f>SUM(E368:E377)</f>
        <v>14667.308072685</v>
      </c>
      <c r="F378" s="2650">
        <v>5993.2</v>
      </c>
      <c r="G378" s="2646">
        <f t="shared" si="129"/>
        <v>820.22153462284768</v>
      </c>
      <c r="H378" s="2647">
        <f t="shared" si="130"/>
        <v>5.9234231863017923</v>
      </c>
      <c r="I378" s="2648">
        <f t="shared" si="131"/>
        <v>8674.1080726850014</v>
      </c>
      <c r="J378" s="2648">
        <f t="shared" si="132"/>
        <v>244.73249804253157</v>
      </c>
      <c r="K378" s="2642"/>
      <c r="L378" s="2642"/>
      <c r="M378" s="2643"/>
      <c r="N378" s="2642"/>
      <c r="O378" s="2642"/>
    </row>
    <row r="379" spans="2:15" ht="12" customHeight="1">
      <c r="B379" s="2641"/>
      <c r="C379" s="2641"/>
      <c r="D379" s="2641"/>
      <c r="E379" s="2651"/>
      <c r="F379" s="2652"/>
      <c r="G379" s="2641"/>
      <c r="H379" s="2641"/>
      <c r="I379" s="2641"/>
      <c r="J379" s="2641"/>
      <c r="K379" s="2642"/>
      <c r="L379" s="2642"/>
      <c r="M379" s="2643"/>
      <c r="N379" s="2642"/>
      <c r="O379" s="2642"/>
    </row>
    <row r="380" spans="2:15" ht="12" customHeight="1">
      <c r="B380" s="2641"/>
      <c r="C380" s="2641"/>
      <c r="D380" s="2641"/>
      <c r="E380" s="2641"/>
      <c r="F380" s="2641"/>
      <c r="G380" s="2641"/>
      <c r="H380" s="2641"/>
      <c r="I380" s="2641"/>
      <c r="J380" s="2641"/>
      <c r="K380" s="2642"/>
      <c r="L380" s="2642"/>
      <c r="M380" s="2643"/>
      <c r="N380" s="2642"/>
      <c r="O380" s="2642"/>
    </row>
    <row r="381" spans="2:15" ht="12" customHeight="1">
      <c r="B381" s="2640" t="s">
        <v>848</v>
      </c>
      <c r="C381" s="2641"/>
      <c r="D381" s="2641"/>
      <c r="E381" s="2641"/>
      <c r="F381" s="2641"/>
      <c r="G381" s="2641"/>
      <c r="H381" s="2641"/>
      <c r="I381" s="2641"/>
      <c r="J381" s="2641"/>
      <c r="K381" s="2642"/>
      <c r="L381" s="2642"/>
      <c r="M381" s="2643"/>
      <c r="N381" s="2642"/>
      <c r="O381" s="2642"/>
    </row>
    <row r="382" spans="2:15" ht="12" customHeight="1">
      <c r="B382" s="3189"/>
      <c r="C382" s="3207" t="s">
        <v>281</v>
      </c>
      <c r="D382" s="3177"/>
      <c r="E382" s="3177"/>
      <c r="F382" s="3208"/>
      <c r="G382" s="3207" t="s">
        <v>735</v>
      </c>
      <c r="H382" s="3208"/>
      <c r="I382" s="3204" t="s">
        <v>836</v>
      </c>
      <c r="J382" s="3205"/>
      <c r="K382" s="3196" t="s">
        <v>358</v>
      </c>
      <c r="L382" s="3197"/>
      <c r="M382" s="3197"/>
      <c r="N382" s="3197"/>
      <c r="O382" s="3198"/>
    </row>
    <row r="383" spans="2:15" ht="12" customHeight="1">
      <c r="B383" s="3206"/>
      <c r="C383" s="3209"/>
      <c r="D383" s="3210"/>
      <c r="E383" s="3210"/>
      <c r="F383" s="3211"/>
      <c r="G383" s="3209"/>
      <c r="H383" s="3211"/>
      <c r="I383" s="3202" t="s">
        <v>837</v>
      </c>
      <c r="J383" s="3203"/>
      <c r="K383" s="3199"/>
      <c r="L383" s="3200"/>
      <c r="M383" s="3200"/>
      <c r="N383" s="3200"/>
      <c r="O383" s="3201"/>
    </row>
    <row r="384" spans="2:15" ht="12" customHeight="1">
      <c r="B384" s="3190"/>
      <c r="C384" s="2626" t="s">
        <v>946</v>
      </c>
      <c r="D384" s="2626" t="s">
        <v>947</v>
      </c>
      <c r="E384" s="2626" t="s">
        <v>948</v>
      </c>
      <c r="F384" s="2626" t="s">
        <v>851</v>
      </c>
      <c r="G384" s="2626" t="s">
        <v>440</v>
      </c>
      <c r="H384" s="2626" t="s">
        <v>599</v>
      </c>
      <c r="I384" s="2626" t="s">
        <v>440</v>
      </c>
      <c r="J384" s="2626" t="s">
        <v>599</v>
      </c>
      <c r="K384" s="2626" t="s">
        <v>838</v>
      </c>
      <c r="L384" s="2626" t="s">
        <v>839</v>
      </c>
      <c r="M384" s="2653" t="s">
        <v>840</v>
      </c>
      <c r="N384" s="2654" t="s">
        <v>600</v>
      </c>
      <c r="O384" s="2654" t="s">
        <v>601</v>
      </c>
    </row>
    <row r="385" spans="2:15" ht="12" customHeight="1">
      <c r="B385" s="2644" t="s">
        <v>6</v>
      </c>
      <c r="C385" s="2645">
        <f>C$45</f>
        <v>971.47238308999897</v>
      </c>
      <c r="D385" s="2645">
        <f>D$45</f>
        <v>1757.3251124100002</v>
      </c>
      <c r="E385" s="2645">
        <f>E$45</f>
        <v>1672.5802192600001</v>
      </c>
      <c r="F385" s="2645">
        <f>F$45</f>
        <v>944.58186315347973</v>
      </c>
      <c r="G385" s="2646">
        <f t="shared" ref="G385:G395" si="133">E385-D385</f>
        <v>-84.744893150000053</v>
      </c>
      <c r="H385" s="2647">
        <f t="shared" ref="H385:H395" si="134">G385/D385*100</f>
        <v>-4.8223799086203627</v>
      </c>
      <c r="I385" s="2648">
        <f t="shared" ref="I385:I395" si="135">E385-F385</f>
        <v>727.99835610652042</v>
      </c>
      <c r="J385" s="2648">
        <f t="shared" ref="J385:J395" si="136">E385/F385*100</f>
        <v>177.07096488980883</v>
      </c>
      <c r="K385" s="2655">
        <f>K45</f>
        <v>38.060062512583357</v>
      </c>
      <c r="L385" s="2655">
        <f>L45</f>
        <v>65.916006684554887</v>
      </c>
      <c r="M385" s="2656">
        <f>M45</f>
        <v>78.268756792259808</v>
      </c>
      <c r="N385" s="2657">
        <f>M385-L385</f>
        <v>12.352750107704921</v>
      </c>
      <c r="O385" s="2657">
        <f>M385-K385</f>
        <v>40.20869427967645</v>
      </c>
    </row>
    <row r="386" spans="2:15" ht="12" customHeight="1">
      <c r="B386" s="2644" t="s">
        <v>7</v>
      </c>
      <c r="C386" s="2648">
        <f>C$75</f>
        <v>331.86796575999972</v>
      </c>
      <c r="D386" s="2648">
        <f>D$75</f>
        <v>924.79053183999929</v>
      </c>
      <c r="E386" s="2648">
        <f>E$75</f>
        <v>1007.4219657599996</v>
      </c>
      <c r="F386" s="2648">
        <f>F$75</f>
        <v>322.68180431588729</v>
      </c>
      <c r="G386" s="2646">
        <f t="shared" si="133"/>
        <v>82.631433920000291</v>
      </c>
      <c r="H386" s="2647">
        <f t="shared" si="134"/>
        <v>8.9351513748301006</v>
      </c>
      <c r="I386" s="2648">
        <f t="shared" si="135"/>
        <v>684.74016144411235</v>
      </c>
      <c r="J386" s="2648">
        <f t="shared" si="136"/>
        <v>312.20290462172773</v>
      </c>
      <c r="K386" s="2655">
        <f>K75</f>
        <v>10.880335544557759</v>
      </c>
      <c r="L386" s="2655">
        <f>L75</f>
        <v>69.869091285481602</v>
      </c>
      <c r="M386" s="2656">
        <f>M75</f>
        <v>25.934269747978632</v>
      </c>
      <c r="N386" s="2657">
        <f t="shared" ref="N386:N394" si="137">M386-L386</f>
        <v>-43.93482153750297</v>
      </c>
      <c r="O386" s="2657">
        <f t="shared" ref="O386:O394" si="138">M386-K386</f>
        <v>15.053934203420873</v>
      </c>
    </row>
    <row r="387" spans="2:15" ht="12" customHeight="1">
      <c r="B387" s="2644" t="s">
        <v>8</v>
      </c>
      <c r="C387" s="2645">
        <f>C$105</f>
        <v>190.56071314000002</v>
      </c>
      <c r="D387" s="2645">
        <f>D$105</f>
        <v>538.41600132999997</v>
      </c>
      <c r="E387" s="2645">
        <f>E$105</f>
        <v>484.43871635000085</v>
      </c>
      <c r="F387" s="2645">
        <f>F$105</f>
        <v>185.28596035751789</v>
      </c>
      <c r="G387" s="2646">
        <f t="shared" si="133"/>
        <v>-53.977284979999126</v>
      </c>
      <c r="H387" s="2647">
        <f t="shared" si="134"/>
        <v>-10.025200745643509</v>
      </c>
      <c r="I387" s="2648">
        <f t="shared" si="135"/>
        <v>299.15275599248298</v>
      </c>
      <c r="J387" s="2648">
        <f t="shared" si="136"/>
        <v>261.45462689955235</v>
      </c>
      <c r="K387" s="2655">
        <f>K105</f>
        <v>73.950868643519712</v>
      </c>
      <c r="L387" s="2655">
        <f>L105</f>
        <v>42.37646742867684</v>
      </c>
      <c r="M387" s="2656">
        <f>M105</f>
        <v>121.51019268999778</v>
      </c>
      <c r="N387" s="2657">
        <f t="shared" si="137"/>
        <v>79.133725261320933</v>
      </c>
      <c r="O387" s="2657">
        <f t="shared" si="138"/>
        <v>47.559324046478068</v>
      </c>
    </row>
    <row r="388" spans="2:15" ht="12" customHeight="1">
      <c r="B388" s="2644" t="s">
        <v>4</v>
      </c>
      <c r="C388" s="2648">
        <f>C$135</f>
        <v>855.56430489000024</v>
      </c>
      <c r="D388" s="2648">
        <f>D$135</f>
        <v>1540.8451230900007</v>
      </c>
      <c r="E388" s="2648">
        <f>E$135</f>
        <v>1669.1529274100005</v>
      </c>
      <c r="F388" s="2648">
        <f>F$135</f>
        <v>831.88214016963946</v>
      </c>
      <c r="G388" s="2646">
        <f t="shared" si="133"/>
        <v>128.30780431999983</v>
      </c>
      <c r="H388" s="2647">
        <f t="shared" si="134"/>
        <v>8.3271058458290863</v>
      </c>
      <c r="I388" s="2648">
        <f t="shared" si="135"/>
        <v>837.27078724036107</v>
      </c>
      <c r="J388" s="2648">
        <f t="shared" si="136"/>
        <v>200.64776568825278</v>
      </c>
      <c r="K388" s="2655">
        <f>K135</f>
        <v>44.847920237094321</v>
      </c>
      <c r="L388" s="2655">
        <f>L135</f>
        <v>65.039738696017082</v>
      </c>
      <c r="M388" s="2656">
        <f>M135</f>
        <v>89.067336993373544</v>
      </c>
      <c r="N388" s="2657">
        <f t="shared" si="137"/>
        <v>24.027598297356462</v>
      </c>
      <c r="O388" s="2657">
        <f t="shared" si="138"/>
        <v>44.219416756279223</v>
      </c>
    </row>
    <row r="389" spans="2:15" ht="12" customHeight="1">
      <c r="B389" s="2644" t="s">
        <v>3</v>
      </c>
      <c r="C389" s="2648">
        <f>C$165</f>
        <v>1615.5716835499991</v>
      </c>
      <c r="D389" s="2648">
        <f>D$165</f>
        <v>2262.8086117499997</v>
      </c>
      <c r="E389" s="2648">
        <f>E$165</f>
        <v>2615.5532980600001</v>
      </c>
      <c r="F389" s="2648">
        <f>F$165</f>
        <v>1570.8523859955028</v>
      </c>
      <c r="G389" s="2646">
        <f t="shared" si="133"/>
        <v>352.74468631000036</v>
      </c>
      <c r="H389" s="2647">
        <f t="shared" si="134"/>
        <v>15.588799003075934</v>
      </c>
      <c r="I389" s="2648">
        <f t="shared" si="135"/>
        <v>1044.7009120644973</v>
      </c>
      <c r="J389" s="2648">
        <f t="shared" si="136"/>
        <v>166.50535221375588</v>
      </c>
      <c r="K389" s="2655">
        <f>K165</f>
        <v>109.62226984086729</v>
      </c>
      <c r="L389" s="2655">
        <f>L165</f>
        <v>143.09706513526322</v>
      </c>
      <c r="M389" s="2656">
        <f>M165</f>
        <v>157.61925063492012</v>
      </c>
      <c r="N389" s="2657">
        <f t="shared" si="137"/>
        <v>14.522185499656899</v>
      </c>
      <c r="O389" s="2657">
        <f t="shared" si="138"/>
        <v>47.996980794052831</v>
      </c>
    </row>
    <row r="390" spans="2:15" ht="12" customHeight="1">
      <c r="B390" s="2644" t="s">
        <v>397</v>
      </c>
      <c r="C390" s="2648">
        <f>C$195</f>
        <v>1809.7843905299997</v>
      </c>
      <c r="D390" s="2648">
        <f>D$195</f>
        <v>1989.009321179999</v>
      </c>
      <c r="E390" s="2648">
        <f>E$195</f>
        <v>2368.0157871499987</v>
      </c>
      <c r="F390" s="2648">
        <f>F$195</f>
        <v>1759.6892523856147</v>
      </c>
      <c r="G390" s="2646">
        <f t="shared" si="133"/>
        <v>379.00646596999968</v>
      </c>
      <c r="H390" s="2647">
        <f t="shared" si="134"/>
        <v>19.055037195358665</v>
      </c>
      <c r="I390" s="2648">
        <f t="shared" si="135"/>
        <v>608.32653476438395</v>
      </c>
      <c r="J390" s="2648">
        <f t="shared" si="136"/>
        <v>134.57011139550204</v>
      </c>
      <c r="K390" s="2655">
        <f>K195</f>
        <v>155.65783995746162</v>
      </c>
      <c r="L390" s="2655">
        <f>L195</f>
        <v>188.00322472641722</v>
      </c>
      <c r="M390" s="2656">
        <f>M195</f>
        <v>206.58290344736758</v>
      </c>
      <c r="N390" s="2657">
        <f t="shared" si="137"/>
        <v>18.579678720950369</v>
      </c>
      <c r="O390" s="2657">
        <f t="shared" si="138"/>
        <v>50.925063489905966</v>
      </c>
    </row>
    <row r="391" spans="2:15" ht="12" customHeight="1">
      <c r="B391" s="2644" t="s">
        <v>399</v>
      </c>
      <c r="C391" s="2648">
        <f>C$225</f>
        <v>1200.9662012620001</v>
      </c>
      <c r="D391" s="2648">
        <f>D$225</f>
        <v>1708.252718082</v>
      </c>
      <c r="E391" s="2648">
        <f>E$225</f>
        <v>1694.7950696120001</v>
      </c>
      <c r="F391" s="2648">
        <f>F$225</f>
        <v>1167.7232536082531</v>
      </c>
      <c r="G391" s="2646">
        <f t="shared" si="133"/>
        <v>-13.457648469999867</v>
      </c>
      <c r="H391" s="2647">
        <f t="shared" si="134"/>
        <v>-0.78780196440195982</v>
      </c>
      <c r="I391" s="2648">
        <f t="shared" si="135"/>
        <v>527.07181600374702</v>
      </c>
      <c r="J391" s="2648">
        <f t="shared" si="136"/>
        <v>145.13670635359023</v>
      </c>
      <c r="K391" s="2655">
        <f>K225</f>
        <v>66.632520453016383</v>
      </c>
      <c r="L391" s="2655">
        <f>L225</f>
        <v>101.41916223676577</v>
      </c>
      <c r="M391" s="2656">
        <f>M225</f>
        <v>98.707330526772878</v>
      </c>
      <c r="N391" s="2657">
        <f t="shared" si="137"/>
        <v>-2.711831709992893</v>
      </c>
      <c r="O391" s="2657">
        <f t="shared" si="138"/>
        <v>32.074810073756495</v>
      </c>
    </row>
    <row r="392" spans="2:15" ht="12" customHeight="1">
      <c r="B392" s="2644" t="s">
        <v>883</v>
      </c>
      <c r="C392" s="2648">
        <f>C$255</f>
        <v>628.70756117000019</v>
      </c>
      <c r="D392" s="2648">
        <f>D$255</f>
        <v>1227.7332952271518</v>
      </c>
      <c r="E392" s="2648">
        <f>E$255</f>
        <v>1398.1632585499999</v>
      </c>
      <c r="F392" s="2648">
        <f>F$255</f>
        <v>611.30482949984412</v>
      </c>
      <c r="G392" s="2646">
        <f t="shared" si="133"/>
        <v>170.42996332284815</v>
      </c>
      <c r="H392" s="2647">
        <f t="shared" si="134"/>
        <v>13.881676418274189</v>
      </c>
      <c r="I392" s="2648">
        <f t="shared" si="135"/>
        <v>786.85842905015579</v>
      </c>
      <c r="J392" s="2648">
        <f t="shared" si="136"/>
        <v>228.71784927561353</v>
      </c>
      <c r="K392" s="2655">
        <f>K255</f>
        <v>50.44994251977333</v>
      </c>
      <c r="L392" s="2655">
        <f>L255</f>
        <v>102.57802397871386</v>
      </c>
      <c r="M392" s="2656">
        <f>M255</f>
        <v>109.32289008159682</v>
      </c>
      <c r="N392" s="2657">
        <f t="shared" si="137"/>
        <v>6.7448661028829662</v>
      </c>
      <c r="O392" s="2657">
        <f t="shared" si="138"/>
        <v>58.872947561823494</v>
      </c>
    </row>
    <row r="393" spans="2:15" ht="12" customHeight="1">
      <c r="B393" s="2644" t="s">
        <v>884</v>
      </c>
      <c r="C393" s="2648">
        <f>C$285</f>
        <v>271.01399135999935</v>
      </c>
      <c r="D393" s="2648">
        <f>D$285</f>
        <v>942.54202729999918</v>
      </c>
      <c r="E393" s="2648">
        <f>E$285</f>
        <v>956.2447640000014</v>
      </c>
      <c r="F393" s="2648">
        <f>F$285</f>
        <v>263.51227822373761</v>
      </c>
      <c r="G393" s="2646">
        <f t="shared" si="133"/>
        <v>13.70273670000222</v>
      </c>
      <c r="H393" s="2647">
        <f t="shared" si="134"/>
        <v>1.4538064407859885</v>
      </c>
      <c r="I393" s="2648">
        <f t="shared" si="135"/>
        <v>692.73248577626373</v>
      </c>
      <c r="J393" s="2648">
        <f t="shared" si="136"/>
        <v>362.88432950668533</v>
      </c>
      <c r="K393" s="2655">
        <f>K285</f>
        <v>17.673426269394874</v>
      </c>
      <c r="L393" s="2655">
        <f>L285</f>
        <v>64.244729475378421</v>
      </c>
      <c r="M393" s="2656">
        <f>M285</f>
        <v>60.628102801609423</v>
      </c>
      <c r="N393" s="2657">
        <f t="shared" si="137"/>
        <v>-3.616626673768998</v>
      </c>
      <c r="O393" s="2657">
        <f t="shared" si="138"/>
        <v>42.954676532214549</v>
      </c>
    </row>
    <row r="394" spans="2:15" ht="12" customHeight="1">
      <c r="B394" s="2644" t="s">
        <v>885</v>
      </c>
      <c r="C394" s="2648">
        <f>C$315</f>
        <v>98.097133669999948</v>
      </c>
      <c r="D394" s="2648">
        <f>D$315</f>
        <v>265.39447605999965</v>
      </c>
      <c r="E394" s="2648">
        <f>E$315</f>
        <v>257.82361968999999</v>
      </c>
      <c r="F394" s="2648">
        <f>F$315</f>
        <v>95.381788412033771</v>
      </c>
      <c r="G394" s="2646">
        <f t="shared" si="133"/>
        <v>-7.5708563699996603</v>
      </c>
      <c r="H394" s="2647">
        <f t="shared" si="134"/>
        <v>-2.8526804635858594</v>
      </c>
      <c r="I394" s="2648">
        <f t="shared" si="135"/>
        <v>162.44183127796623</v>
      </c>
      <c r="J394" s="2648">
        <f t="shared" si="136"/>
        <v>270.30696738065342</v>
      </c>
      <c r="K394" s="2655">
        <f>K315</f>
        <v>26.385952015249089</v>
      </c>
      <c r="L394" s="2655">
        <f>L315</f>
        <v>45.476366265943931</v>
      </c>
      <c r="M394" s="2656">
        <f>M315</f>
        <v>59.926414516024018</v>
      </c>
      <c r="N394" s="2657">
        <f t="shared" si="137"/>
        <v>14.450048250080087</v>
      </c>
      <c r="O394" s="2657">
        <f t="shared" si="138"/>
        <v>33.540462500774929</v>
      </c>
    </row>
    <row r="395" spans="2:15" ht="12" customHeight="1">
      <c r="B395" s="2649" t="s">
        <v>933</v>
      </c>
      <c r="C395" s="2650">
        <f>SUM(C385:C394)</f>
        <v>7973.6063284219981</v>
      </c>
      <c r="D395" s="2650">
        <f>SUM(D385:D394)</f>
        <v>13157.11721826915</v>
      </c>
      <c r="E395" s="2650">
        <f>SUM(E385:E394)</f>
        <v>14124.189625842</v>
      </c>
      <c r="F395" s="2650">
        <v>5993.2</v>
      </c>
      <c r="G395" s="2646">
        <f t="shared" si="133"/>
        <v>967.07240757285035</v>
      </c>
      <c r="H395" s="2647">
        <f t="shared" si="134"/>
        <v>7.3501846303385827</v>
      </c>
      <c r="I395" s="2648">
        <f t="shared" si="135"/>
        <v>8130.9896258420004</v>
      </c>
      <c r="J395" s="2648">
        <f t="shared" si="136"/>
        <v>235.67025338453581</v>
      </c>
      <c r="K395" s="2658">
        <f>K11</f>
        <v>53.398647832800727</v>
      </c>
      <c r="L395" s="2658">
        <f>L11</f>
        <v>80.617468575617522</v>
      </c>
      <c r="M395" s="2659">
        <f>M11</f>
        <v>93.626454733496757</v>
      </c>
      <c r="N395" s="2660">
        <f>M395-L395</f>
        <v>13.008986157879235</v>
      </c>
      <c r="O395" s="2660">
        <f>M395-K395</f>
        <v>40.227806900696031</v>
      </c>
    </row>
    <row r="396" spans="2:15" ht="12" customHeight="1">
      <c r="B396" s="2641"/>
      <c r="C396" s="2641"/>
      <c r="D396" s="2641"/>
      <c r="E396" s="2641"/>
      <c r="F396" s="2641"/>
      <c r="G396" s="2641"/>
      <c r="H396" s="2641"/>
      <c r="I396" s="2641"/>
      <c r="J396" s="2641"/>
      <c r="K396" s="2642"/>
      <c r="L396" s="2642"/>
      <c r="M396" s="2643"/>
      <c r="N396" s="2642"/>
      <c r="O396" s="2642"/>
    </row>
    <row r="397" spans="2:15" ht="12" customHeight="1">
      <c r="B397" s="2641"/>
      <c r="C397" s="2641"/>
      <c r="D397" s="2641"/>
      <c r="E397" s="2641"/>
      <c r="F397" s="2641"/>
      <c r="G397" s="2641"/>
      <c r="H397" s="2641"/>
      <c r="I397" s="2641"/>
      <c r="J397" s="2641"/>
      <c r="K397" s="2642"/>
      <c r="L397" s="2642"/>
      <c r="M397" s="2643"/>
      <c r="N397" s="2642"/>
      <c r="O397" s="2642"/>
    </row>
    <row r="398" spans="2:15" ht="12" customHeight="1">
      <c r="B398" s="2640" t="s">
        <v>842</v>
      </c>
      <c r="C398" s="2641"/>
      <c r="D398" s="2641"/>
      <c r="E398" s="2641"/>
      <c r="F398" s="2641"/>
      <c r="G398" s="2641"/>
      <c r="H398" s="2641"/>
      <c r="I398" s="2641"/>
      <c r="J398" s="2641"/>
      <c r="K398" s="2642"/>
      <c r="L398" s="2642"/>
      <c r="M398" s="2643"/>
      <c r="N398" s="2642"/>
      <c r="O398" s="2642"/>
    </row>
    <row r="399" spans="2:15" ht="12" customHeight="1">
      <c r="B399" s="3189"/>
      <c r="C399" s="3172" t="s">
        <v>281</v>
      </c>
      <c r="D399" s="3173"/>
      <c r="E399" s="3173"/>
      <c r="F399" s="3174"/>
      <c r="G399" s="3172" t="s">
        <v>735</v>
      </c>
      <c r="H399" s="3174"/>
      <c r="I399" s="3191" t="s">
        <v>736</v>
      </c>
      <c r="J399" s="3192"/>
      <c r="K399" s="3193" t="s">
        <v>358</v>
      </c>
      <c r="L399" s="3194"/>
      <c r="M399" s="3194"/>
      <c r="N399" s="3194"/>
      <c r="O399" s="3195"/>
    </row>
    <row r="400" spans="2:15" ht="12" customHeight="1">
      <c r="B400" s="3190"/>
      <c r="C400" s="2626" t="s">
        <v>946</v>
      </c>
      <c r="D400" s="2626" t="s">
        <v>947</v>
      </c>
      <c r="E400" s="2626" t="s">
        <v>948</v>
      </c>
      <c r="F400" s="2626" t="s">
        <v>851</v>
      </c>
      <c r="G400" s="2626" t="s">
        <v>440</v>
      </c>
      <c r="H400" s="2626" t="s">
        <v>599</v>
      </c>
      <c r="I400" s="2626" t="s">
        <v>440</v>
      </c>
      <c r="J400" s="2626" t="s">
        <v>599</v>
      </c>
      <c r="K400" s="2626" t="s">
        <v>838</v>
      </c>
      <c r="L400" s="2626" t="s">
        <v>839</v>
      </c>
      <c r="M400" s="2653" t="s">
        <v>840</v>
      </c>
      <c r="N400" s="2654" t="s">
        <v>600</v>
      </c>
      <c r="O400" s="2654" t="s">
        <v>601</v>
      </c>
    </row>
    <row r="401" spans="2:15" ht="12" customHeight="1">
      <c r="B401" s="2644" t="s">
        <v>6</v>
      </c>
      <c r="C401" s="2648">
        <f>C55</f>
        <v>776.8180182599998</v>
      </c>
      <c r="D401" s="2648">
        <f>D55</f>
        <v>734.34091131000014</v>
      </c>
      <c r="E401" s="2648">
        <f>E55</f>
        <v>1109.4241201999994</v>
      </c>
      <c r="F401" s="2648">
        <f>F55</f>
        <v>245.09833827925323</v>
      </c>
      <c r="G401" s="2646">
        <f t="shared" ref="G401:G411" si="139">E401-D401</f>
        <v>375.08320888999924</v>
      </c>
      <c r="H401" s="2647">
        <f t="shared" ref="H401:H411" si="140">G401/D401*100</f>
        <v>51.077531309114107</v>
      </c>
      <c r="I401" s="2648">
        <f t="shared" ref="I401:I411" si="141">E401-F401</f>
        <v>864.32578192074618</v>
      </c>
      <c r="J401" s="2648">
        <f t="shared" ref="J401:J411" si="142">E401/F401*100</f>
        <v>452.64448873414028</v>
      </c>
      <c r="K401" s="2655">
        <f>K55</f>
        <v>73.554070990868865</v>
      </c>
      <c r="L401" s="2655">
        <f>L55</f>
        <v>69.687114993509212</v>
      </c>
      <c r="M401" s="2656">
        <f>M55</f>
        <v>119.72313932061486</v>
      </c>
      <c r="N401" s="2657">
        <f t="shared" ref="N401:N410" si="143">M401-L401</f>
        <v>50.03602432710565</v>
      </c>
      <c r="O401" s="2657">
        <f t="shared" ref="O401:O410" si="144">M401-K401</f>
        <v>46.169068329745997</v>
      </c>
    </row>
    <row r="402" spans="2:15" ht="12" customHeight="1">
      <c r="B402" s="2644" t="s">
        <v>7</v>
      </c>
      <c r="C402" s="2648">
        <f>C85</f>
        <v>318.04000000000002</v>
      </c>
      <c r="D402" s="2648">
        <f>D85</f>
        <v>343.18</v>
      </c>
      <c r="E402" s="2648">
        <f>E85</f>
        <v>524.35500000000002</v>
      </c>
      <c r="F402" s="2648">
        <f>F85</f>
        <v>100.34663675919472</v>
      </c>
      <c r="G402" s="2646">
        <f t="shared" si="139"/>
        <v>181.17500000000001</v>
      </c>
      <c r="H402" s="2647">
        <f t="shared" si="140"/>
        <v>52.792994929774459</v>
      </c>
      <c r="I402" s="2648">
        <f t="shared" si="141"/>
        <v>424.00836324080529</v>
      </c>
      <c r="J402" s="2648">
        <f t="shared" si="142"/>
        <v>522.5436715515566</v>
      </c>
      <c r="K402" s="2655">
        <f>K85</f>
        <v>93.930598654372886</v>
      </c>
      <c r="L402" s="2655">
        <f>L85</f>
        <v>54.719286618854206</v>
      </c>
      <c r="M402" s="2656">
        <f>M85</f>
        <v>143.08877531769241</v>
      </c>
      <c r="N402" s="2657">
        <f t="shared" si="143"/>
        <v>88.369488698838211</v>
      </c>
      <c r="O402" s="2657">
        <f t="shared" si="144"/>
        <v>49.158176663319523</v>
      </c>
    </row>
    <row r="403" spans="2:15" ht="12" customHeight="1">
      <c r="B403" s="2644" t="s">
        <v>8</v>
      </c>
      <c r="C403" s="2648">
        <f>C115</f>
        <v>238.69598236000002</v>
      </c>
      <c r="D403" s="2648">
        <f>D115</f>
        <v>306.63920199</v>
      </c>
      <c r="E403" s="2648">
        <f>E115</f>
        <v>495.46004759000004</v>
      </c>
      <c r="F403" s="2648">
        <f>F115</f>
        <v>75.312347622179828</v>
      </c>
      <c r="G403" s="2646">
        <f t="shared" si="139"/>
        <v>188.82084560000004</v>
      </c>
      <c r="H403" s="2647">
        <f t="shared" si="140"/>
        <v>61.577529674812347</v>
      </c>
      <c r="I403" s="2648">
        <f t="shared" si="141"/>
        <v>420.14769996782024</v>
      </c>
      <c r="J403" s="2648">
        <f t="shared" si="142"/>
        <v>657.87359341867705</v>
      </c>
      <c r="K403" s="2655">
        <f>K115</f>
        <v>122.18202489371281</v>
      </c>
      <c r="L403" s="2655">
        <f>L115</f>
        <v>162.735538109473</v>
      </c>
      <c r="M403" s="2656">
        <f>M115</f>
        <v>254.25997579299559</v>
      </c>
      <c r="N403" s="2657">
        <f t="shared" si="143"/>
        <v>91.524437683522592</v>
      </c>
      <c r="O403" s="2657">
        <f t="shared" si="144"/>
        <v>132.07795089928277</v>
      </c>
    </row>
    <row r="404" spans="2:15" ht="12" customHeight="1">
      <c r="B404" s="2644" t="s">
        <v>4</v>
      </c>
      <c r="C404" s="2648">
        <f>C145</f>
        <v>758.28989641999999</v>
      </c>
      <c r="D404" s="2648">
        <f>D145</f>
        <v>504.87290181999953</v>
      </c>
      <c r="E404" s="2648">
        <f>E145</f>
        <v>1315.9505770800001</v>
      </c>
      <c r="F404" s="2648">
        <f>F145</f>
        <v>239.25242357635872</v>
      </c>
      <c r="G404" s="2646">
        <f t="shared" si="139"/>
        <v>811.07767526000066</v>
      </c>
      <c r="H404" s="2647">
        <f t="shared" si="140"/>
        <v>160.64987293557917</v>
      </c>
      <c r="I404" s="2648">
        <f t="shared" si="141"/>
        <v>1076.6981535036414</v>
      </c>
      <c r="J404" s="2648">
        <f t="shared" si="142"/>
        <v>550.0260174626851</v>
      </c>
      <c r="K404" s="2655">
        <f>K145</f>
        <v>157.73224258207517</v>
      </c>
      <c r="L404" s="2655">
        <f>L145</f>
        <v>104.59730147495317</v>
      </c>
      <c r="M404" s="2656">
        <f>M145</f>
        <v>247.07897953069644</v>
      </c>
      <c r="N404" s="2657">
        <f t="shared" si="143"/>
        <v>142.48167805574326</v>
      </c>
      <c r="O404" s="2657">
        <f t="shared" si="144"/>
        <v>89.34673694862127</v>
      </c>
    </row>
    <row r="405" spans="2:15" ht="12" customHeight="1">
      <c r="B405" s="2644" t="s">
        <v>3</v>
      </c>
      <c r="C405" s="2648">
        <f>C175</f>
        <v>363.79899999999998</v>
      </c>
      <c r="D405" s="2648">
        <f>D175</f>
        <v>353.13390029999999</v>
      </c>
      <c r="E405" s="2648">
        <f>E175</f>
        <v>580.23</v>
      </c>
      <c r="F405" s="2648">
        <f>F175</f>
        <v>114.78432306111898</v>
      </c>
      <c r="G405" s="2646">
        <f t="shared" si="139"/>
        <v>227.09609970000002</v>
      </c>
      <c r="H405" s="2647">
        <f t="shared" si="140"/>
        <v>64.308779051536462</v>
      </c>
      <c r="I405" s="2648">
        <f t="shared" si="141"/>
        <v>465.44567693888104</v>
      </c>
      <c r="J405" s="2648">
        <f t="shared" si="142"/>
        <v>505.49585912620324</v>
      </c>
      <c r="K405" s="2655">
        <f>K175</f>
        <v>122.74008625114861</v>
      </c>
      <c r="L405" s="2655">
        <f>L175</f>
        <v>126.2245097350133</v>
      </c>
      <c r="M405" s="2656">
        <f>M175</f>
        <v>156.98633015584554</v>
      </c>
      <c r="N405" s="2657">
        <f t="shared" si="143"/>
        <v>30.761820420832237</v>
      </c>
      <c r="O405" s="2657">
        <f t="shared" si="144"/>
        <v>34.246243904696925</v>
      </c>
    </row>
    <row r="406" spans="2:15" ht="12" customHeight="1">
      <c r="B406" s="2644" t="s">
        <v>397</v>
      </c>
      <c r="C406" s="2648">
        <f>C205</f>
        <v>331.70199885999972</v>
      </c>
      <c r="D406" s="2648">
        <f>D205</f>
        <v>525.37702320999995</v>
      </c>
      <c r="E406" s="2648">
        <f>E205</f>
        <v>584.20545579999964</v>
      </c>
      <c r="F406" s="2648">
        <f>F205</f>
        <v>104.65721290373291</v>
      </c>
      <c r="G406" s="2646">
        <f t="shared" si="139"/>
        <v>58.828432589999693</v>
      </c>
      <c r="H406" s="2647">
        <f t="shared" si="140"/>
        <v>11.197374455122528</v>
      </c>
      <c r="I406" s="2648">
        <f t="shared" si="141"/>
        <v>479.54824289626674</v>
      </c>
      <c r="J406" s="2648">
        <f t="shared" si="142"/>
        <v>558.20849761914712</v>
      </c>
      <c r="K406" s="2655">
        <f>K205</f>
        <v>103.29659009932649</v>
      </c>
      <c r="L406" s="2655">
        <f>L205</f>
        <v>197.66584142643941</v>
      </c>
      <c r="M406" s="2656">
        <f>M205</f>
        <v>120.40255054416379</v>
      </c>
      <c r="N406" s="2657">
        <f t="shared" si="143"/>
        <v>-77.263290882275626</v>
      </c>
      <c r="O406" s="2657">
        <f t="shared" si="144"/>
        <v>17.105960444837294</v>
      </c>
    </row>
    <row r="407" spans="2:15" ht="12" customHeight="1">
      <c r="B407" s="2644" t="s">
        <v>399</v>
      </c>
      <c r="C407" s="2648">
        <f>C235</f>
        <v>560.6413426199997</v>
      </c>
      <c r="D407" s="2648">
        <f>D235</f>
        <v>597.33677894000004</v>
      </c>
      <c r="E407" s="2648">
        <f>E235</f>
        <v>1084.1548809399994</v>
      </c>
      <c r="F407" s="2648">
        <f>F235</f>
        <v>176.89118714651096</v>
      </c>
      <c r="G407" s="2646">
        <f t="shared" si="139"/>
        <v>486.81810199999939</v>
      </c>
      <c r="H407" s="2647">
        <f t="shared" si="140"/>
        <v>81.498096076367361</v>
      </c>
      <c r="I407" s="2648">
        <f t="shared" si="141"/>
        <v>907.26369379348853</v>
      </c>
      <c r="J407" s="2648">
        <f t="shared" si="142"/>
        <v>612.89366555160439</v>
      </c>
      <c r="K407" s="2655">
        <f>K235</f>
        <v>65.729325579567444</v>
      </c>
      <c r="L407" s="2655">
        <f>L235</f>
        <v>72.174816683685151</v>
      </c>
      <c r="M407" s="2656">
        <f>M235</f>
        <v>143.54679843689797</v>
      </c>
      <c r="N407" s="2657">
        <f t="shared" si="143"/>
        <v>71.371981753212822</v>
      </c>
      <c r="O407" s="2657">
        <f t="shared" si="144"/>
        <v>77.817472857330529</v>
      </c>
    </row>
    <row r="408" spans="2:15" ht="12" customHeight="1">
      <c r="B408" s="2644" t="s">
        <v>883</v>
      </c>
      <c r="C408" s="2648">
        <f>C265</f>
        <v>61.87929793</v>
      </c>
      <c r="D408" s="2648">
        <f>D265</f>
        <v>126.35862676000001</v>
      </c>
      <c r="E408" s="2648">
        <f>E265</f>
        <v>123.11480054000009</v>
      </c>
      <c r="F408" s="2648">
        <f>F265</f>
        <v>19.52389458022796</v>
      </c>
      <c r="G408" s="2646">
        <f t="shared" si="139"/>
        <v>-3.2438262199999173</v>
      </c>
      <c r="H408" s="2647">
        <f t="shared" si="140"/>
        <v>-2.5671584941810877</v>
      </c>
      <c r="I408" s="2648">
        <f t="shared" si="141"/>
        <v>103.59090595977213</v>
      </c>
      <c r="J408" s="2648">
        <f t="shared" si="142"/>
        <v>630.58525559075531</v>
      </c>
      <c r="K408" s="2655">
        <f>K265</f>
        <v>22.730873299027806</v>
      </c>
      <c r="L408" s="2655">
        <f>L265</f>
        <v>47.177725864418733</v>
      </c>
      <c r="M408" s="2656">
        <f>M265</f>
        <v>43.782341814858604</v>
      </c>
      <c r="N408" s="2657">
        <f t="shared" si="143"/>
        <v>-3.3953840495601284</v>
      </c>
      <c r="O408" s="2657">
        <f t="shared" si="144"/>
        <v>21.051468515830798</v>
      </c>
    </row>
    <row r="409" spans="2:15" ht="12" customHeight="1">
      <c r="B409" s="2644" t="s">
        <v>884</v>
      </c>
      <c r="C409" s="2645">
        <f>C295</f>
        <v>41.458679550001271</v>
      </c>
      <c r="D409" s="2645">
        <f>D295</f>
        <v>71.215843890001295</v>
      </c>
      <c r="E409" s="2645">
        <f>E295</f>
        <v>50.225951850001231</v>
      </c>
      <c r="F409" s="2645">
        <f>F295</f>
        <v>13.080867366745794</v>
      </c>
      <c r="G409" s="2646">
        <f t="shared" si="139"/>
        <v>-20.989892040000065</v>
      </c>
      <c r="H409" s="2647">
        <f t="shared" si="140"/>
        <v>-29.473626785102304</v>
      </c>
      <c r="I409" s="2648">
        <f t="shared" si="141"/>
        <v>37.145084483255438</v>
      </c>
      <c r="J409" s="2648">
        <f t="shared" si="142"/>
        <v>383.96499591216514</v>
      </c>
      <c r="K409" s="2655">
        <f>K295</f>
        <v>17.066191830274789</v>
      </c>
      <c r="L409" s="2655">
        <f>L295</f>
        <v>29.45365773424389</v>
      </c>
      <c r="M409" s="2656">
        <f>M295</f>
        <v>19.885322256860842</v>
      </c>
      <c r="N409" s="2657">
        <f t="shared" si="143"/>
        <v>-9.568335477383048</v>
      </c>
      <c r="O409" s="2657">
        <f t="shared" si="144"/>
        <v>2.8191304265860531</v>
      </c>
    </row>
    <row r="410" spans="2:15" ht="12" customHeight="1">
      <c r="B410" s="2644" t="s">
        <v>885</v>
      </c>
      <c r="C410" s="2648">
        <f>C325</f>
        <v>3.3366595000000001</v>
      </c>
      <c r="D410" s="2648">
        <f>D325</f>
        <v>9.2145063100000009</v>
      </c>
      <c r="E410" s="2648">
        <f>E325</f>
        <v>8.5250017400000004</v>
      </c>
      <c r="F410" s="2648">
        <f>F325</f>
        <v>1.0527687046774503</v>
      </c>
      <c r="G410" s="2646">
        <f t="shared" si="139"/>
        <v>-0.68950457000000043</v>
      </c>
      <c r="H410" s="2647">
        <f t="shared" si="140"/>
        <v>-7.4828161900732413</v>
      </c>
      <c r="I410" s="2648">
        <f t="shared" si="141"/>
        <v>7.4722330353225503</v>
      </c>
      <c r="J410" s="2648">
        <f t="shared" si="142"/>
        <v>809.76967705474397</v>
      </c>
      <c r="K410" s="2655">
        <f>K325</f>
        <v>29.421494489925621</v>
      </c>
      <c r="L410" s="2655">
        <f>L325</f>
        <v>6.5856412041484216</v>
      </c>
      <c r="M410" s="2656">
        <f>M325</f>
        <v>60.983271307195942</v>
      </c>
      <c r="N410" s="2657">
        <f t="shared" si="143"/>
        <v>54.397630103047518</v>
      </c>
      <c r="O410" s="2657">
        <f t="shared" si="144"/>
        <v>31.561776817270321</v>
      </c>
    </row>
    <row r="411" spans="2:15" ht="12" customHeight="1">
      <c r="B411" s="2649" t="s">
        <v>933</v>
      </c>
      <c r="C411" s="2661">
        <f>SUM(C401:C410)</f>
        <v>3454.6608755000007</v>
      </c>
      <c r="D411" s="2661">
        <f>SUM(D401:D410)</f>
        <v>3571.6696945300009</v>
      </c>
      <c r="E411" s="2661">
        <f>SUM(E401:E410)</f>
        <v>5875.6458357400006</v>
      </c>
      <c r="F411" s="2661">
        <f>SUM(F401:F410)</f>
        <v>1090.0000000000007</v>
      </c>
      <c r="G411" s="2662">
        <f t="shared" si="139"/>
        <v>2303.9761412099997</v>
      </c>
      <c r="H411" s="2647">
        <f t="shared" si="140"/>
        <v>64.50697679963325</v>
      </c>
      <c r="I411" s="2661">
        <f t="shared" si="141"/>
        <v>4785.6458357399997</v>
      </c>
      <c r="J411" s="2661">
        <f t="shared" si="142"/>
        <v>539.05007667339419</v>
      </c>
      <c r="K411" s="2660">
        <f>K22</f>
        <v>84.452538396813864</v>
      </c>
      <c r="L411" s="2660">
        <f>L22</f>
        <v>82.747968696020365</v>
      </c>
      <c r="M411" s="2663">
        <f>M22</f>
        <v>139.88442332698611</v>
      </c>
      <c r="N411" s="2660">
        <f>M411-L411</f>
        <v>57.136454630965744</v>
      </c>
      <c r="O411" s="2660">
        <f>M411-K411</f>
        <v>55.431884930172245</v>
      </c>
    </row>
    <row r="412" spans="2:15" ht="12" customHeight="1">
      <c r="B412" s="2641"/>
      <c r="C412" s="2641"/>
      <c r="D412" s="2641"/>
      <c r="E412" s="2641"/>
      <c r="F412" s="2641"/>
      <c r="G412" s="2641"/>
      <c r="H412" s="2641"/>
      <c r="I412" s="2641"/>
      <c r="J412" s="2641"/>
      <c r="K412" s="2642"/>
      <c r="L412" s="2642"/>
      <c r="M412" s="2643"/>
      <c r="N412" s="2642"/>
      <c r="O412" s="2642"/>
    </row>
    <row r="413" spans="2:15" ht="12" customHeight="1">
      <c r="B413" s="2641"/>
      <c r="C413" s="2641"/>
      <c r="D413" s="2641"/>
      <c r="E413" s="2641"/>
      <c r="F413" s="2641"/>
      <c r="G413" s="2641"/>
      <c r="H413" s="2641"/>
      <c r="I413" s="2641"/>
      <c r="J413" s="2641"/>
      <c r="K413" s="2642"/>
      <c r="L413" s="2642"/>
      <c r="M413" s="2643"/>
      <c r="N413" s="2642"/>
      <c r="O413" s="2642"/>
    </row>
    <row r="414" spans="2:15" ht="12" customHeight="1">
      <c r="B414" s="2640" t="s">
        <v>841</v>
      </c>
      <c r="C414" s="2641"/>
      <c r="D414" s="2641"/>
      <c r="E414" s="2641"/>
      <c r="F414" s="2641"/>
      <c r="G414" s="2641"/>
      <c r="H414" s="2641"/>
      <c r="I414" s="2641"/>
      <c r="J414" s="2641"/>
      <c r="K414" s="2642"/>
      <c r="L414" s="2642"/>
      <c r="M414" s="2643"/>
      <c r="N414" s="2642"/>
      <c r="O414" s="2642"/>
    </row>
    <row r="415" spans="2:15" ht="12" customHeight="1">
      <c r="B415" s="3189"/>
      <c r="C415" s="3172" t="s">
        <v>281</v>
      </c>
      <c r="D415" s="3173"/>
      <c r="E415" s="3173"/>
      <c r="F415" s="3174"/>
      <c r="G415" s="3172" t="s">
        <v>735</v>
      </c>
      <c r="H415" s="3174"/>
      <c r="I415" s="3191" t="s">
        <v>736</v>
      </c>
      <c r="J415" s="3192"/>
      <c r="K415" s="3193" t="s">
        <v>358</v>
      </c>
      <c r="L415" s="3194"/>
      <c r="M415" s="3194"/>
      <c r="N415" s="3194"/>
      <c r="O415" s="3195"/>
    </row>
    <row r="416" spans="2:15" ht="12" customHeight="1">
      <c r="B416" s="3190"/>
      <c r="C416" s="2626" t="s">
        <v>946</v>
      </c>
      <c r="D416" s="2626" t="s">
        <v>947</v>
      </c>
      <c r="E416" s="2626" t="s">
        <v>948</v>
      </c>
      <c r="F416" s="2626" t="s">
        <v>851</v>
      </c>
      <c r="G416" s="2626" t="s">
        <v>440</v>
      </c>
      <c r="H416" s="2626" t="s">
        <v>599</v>
      </c>
      <c r="I416" s="2626" t="s">
        <v>440</v>
      </c>
      <c r="J416" s="2626" t="s">
        <v>599</v>
      </c>
      <c r="K416" s="2626" t="s">
        <v>838</v>
      </c>
      <c r="L416" s="2626" t="s">
        <v>839</v>
      </c>
      <c r="M416" s="2653" t="s">
        <v>840</v>
      </c>
      <c r="N416" s="2654" t="s">
        <v>600</v>
      </c>
      <c r="O416" s="2654" t="s">
        <v>601</v>
      </c>
    </row>
    <row r="417" spans="2:15" ht="12" customHeight="1">
      <c r="B417" s="2644" t="s">
        <v>6</v>
      </c>
      <c r="C417" s="2648">
        <f>C56</f>
        <v>202.65957825999988</v>
      </c>
      <c r="D417" s="2648">
        <f>D56</f>
        <v>339.48660998000014</v>
      </c>
      <c r="E417" s="2648">
        <f>E56</f>
        <v>216.8233301999993</v>
      </c>
      <c r="F417" s="2648">
        <f>F56</f>
        <v>63.942293690818147</v>
      </c>
      <c r="G417" s="2646">
        <f t="shared" ref="G417:G427" si="145">E417-D417</f>
        <v>-122.66327978000083</v>
      </c>
      <c r="H417" s="2664">
        <f t="shared" ref="H417:H427" si="146">G417/D417*100</f>
        <v>-36.131993478984988</v>
      </c>
      <c r="I417" s="2648">
        <f t="shared" ref="I417:I427" si="147">E417-F417</f>
        <v>152.88103650918117</v>
      </c>
      <c r="J417" s="2648">
        <f t="shared" ref="J417:J427" si="148">E417/F417*100</f>
        <v>339.09219967680684</v>
      </c>
      <c r="K417" s="2655">
        <f>K56</f>
        <v>24.173150097191524</v>
      </c>
      <c r="L417" s="2655">
        <f>L56</f>
        <v>38.556814677354829</v>
      </c>
      <c r="M417" s="2656">
        <f>M56</f>
        <v>14.507715668384037</v>
      </c>
      <c r="N417" s="2657">
        <f t="shared" ref="N417:N427" si="149">M417-L417</f>
        <v>-24.049099008970792</v>
      </c>
      <c r="O417" s="2657">
        <f t="shared" ref="O417:O427" si="150">M417-K417</f>
        <v>-9.6654344288074867</v>
      </c>
    </row>
    <row r="418" spans="2:15" ht="12" customHeight="1">
      <c r="B418" s="2644" t="s">
        <v>7</v>
      </c>
      <c r="C418" s="2648">
        <f>C86</f>
        <v>16.557000000000016</v>
      </c>
      <c r="D418" s="2648">
        <f>D86</f>
        <v>41.725999999999999</v>
      </c>
      <c r="E418" s="2648">
        <f>E86</f>
        <v>28.177000000000021</v>
      </c>
      <c r="F418" s="2648">
        <f>F86</f>
        <v>5.2239946699219866</v>
      </c>
      <c r="G418" s="2646">
        <f t="shared" si="145"/>
        <v>-13.548999999999978</v>
      </c>
      <c r="H418" s="2647">
        <f t="shared" si="146"/>
        <v>-32.47136078224603</v>
      </c>
      <c r="I418" s="2648">
        <f t="shared" si="147"/>
        <v>22.953005330078035</v>
      </c>
      <c r="J418" s="2648">
        <f t="shared" si="148"/>
        <v>539.37650745001258</v>
      </c>
      <c r="K418" s="2655">
        <f>K86</f>
        <v>6.4488761082212633</v>
      </c>
      <c r="L418" s="2655">
        <f>L86</f>
        <v>8.8899800246289384</v>
      </c>
      <c r="M418" s="2656">
        <f>M86</f>
        <v>14.507715668384037</v>
      </c>
      <c r="N418" s="2657">
        <f t="shared" si="149"/>
        <v>5.6177356437550987</v>
      </c>
      <c r="O418" s="2657">
        <f t="shared" si="150"/>
        <v>8.0588395601627738</v>
      </c>
    </row>
    <row r="419" spans="2:15" ht="12" customHeight="1">
      <c r="B419" s="2644" t="s">
        <v>8</v>
      </c>
      <c r="C419" s="2648">
        <f>C116</f>
        <v>13.640624703000043</v>
      </c>
      <c r="D419" s="2648">
        <f>D116</f>
        <v>26.925256689999969</v>
      </c>
      <c r="E419" s="2648">
        <f>E116</f>
        <v>21.908920250000051</v>
      </c>
      <c r="F419" s="2648">
        <f>F116</f>
        <v>4.3038322608490871</v>
      </c>
      <c r="G419" s="2646">
        <f t="shared" si="145"/>
        <v>-5.0163364399999182</v>
      </c>
      <c r="H419" s="2647">
        <f t="shared" si="146"/>
        <v>-18.630598392263366</v>
      </c>
      <c r="I419" s="2648">
        <f t="shared" si="147"/>
        <v>17.605087989150963</v>
      </c>
      <c r="J419" s="2648">
        <f t="shared" si="148"/>
        <v>509.05609052890276</v>
      </c>
      <c r="K419" s="2655">
        <f>K116</f>
        <v>16.489273032446974</v>
      </c>
      <c r="L419" s="2655">
        <f>L116</f>
        <v>14.289419316730831</v>
      </c>
      <c r="M419" s="2656">
        <f>M116</f>
        <v>22.058506199936875</v>
      </c>
      <c r="N419" s="2657">
        <f t="shared" si="149"/>
        <v>7.7690868832060449</v>
      </c>
      <c r="O419" s="2657">
        <f t="shared" si="150"/>
        <v>5.5692331674899016</v>
      </c>
    </row>
    <row r="420" spans="2:15" ht="12" customHeight="1">
      <c r="B420" s="2644" t="s">
        <v>4</v>
      </c>
      <c r="C420" s="2648">
        <f>C146</f>
        <v>27.77435233999995</v>
      </c>
      <c r="D420" s="2648">
        <f>D146</f>
        <v>44.526308119999555</v>
      </c>
      <c r="E420" s="2648">
        <f>E146</f>
        <v>42.104429140000093</v>
      </c>
      <c r="F420" s="2648">
        <f>F146</f>
        <v>8.7632462755749749</v>
      </c>
      <c r="G420" s="2646">
        <f t="shared" si="145"/>
        <v>-2.4218789799994624</v>
      </c>
      <c r="H420" s="2647">
        <f t="shared" si="146"/>
        <v>-5.4392090479912145</v>
      </c>
      <c r="I420" s="2648">
        <f t="shared" si="147"/>
        <v>33.341182864425122</v>
      </c>
      <c r="J420" s="2648">
        <f t="shared" si="148"/>
        <v>480.46611741762939</v>
      </c>
      <c r="K420" s="2655">
        <f>K146</f>
        <v>9.7899638004903906</v>
      </c>
      <c r="L420" s="2655">
        <f>L146</f>
        <v>15.254021305118457</v>
      </c>
      <c r="M420" s="2656">
        <f>M146</f>
        <v>12.86604048330414</v>
      </c>
      <c r="N420" s="2657">
        <f t="shared" si="149"/>
        <v>-2.3879808218143168</v>
      </c>
      <c r="O420" s="2657">
        <f t="shared" si="150"/>
        <v>3.0760766828137491</v>
      </c>
    </row>
    <row r="421" spans="2:15" ht="12" customHeight="1">
      <c r="B421" s="2644" t="s">
        <v>3</v>
      </c>
      <c r="C421" s="2648">
        <f>C176</f>
        <v>100.11548152</v>
      </c>
      <c r="D421" s="2648">
        <f>D176</f>
        <v>166.14708077999998</v>
      </c>
      <c r="E421" s="2648">
        <f>E176</f>
        <v>162.91801486000003</v>
      </c>
      <c r="F421" s="2648">
        <f>F176</f>
        <v>31.588013639980229</v>
      </c>
      <c r="G421" s="2646">
        <f t="shared" si="145"/>
        <v>-3.2290659199999538</v>
      </c>
      <c r="H421" s="2647">
        <f t="shared" si="146"/>
        <v>-1.9434984381553178</v>
      </c>
      <c r="I421" s="2648">
        <f t="shared" si="147"/>
        <v>131.3300012200198</v>
      </c>
      <c r="J421" s="2648">
        <f t="shared" si="148"/>
        <v>515.75897337779543</v>
      </c>
      <c r="K421" s="2655">
        <f>K176</f>
        <v>31.477559952647617</v>
      </c>
      <c r="L421" s="2655">
        <f>L176</f>
        <v>59.387767069496356</v>
      </c>
      <c r="M421" s="2656">
        <f>M176</f>
        <v>53.697844577024959</v>
      </c>
      <c r="N421" s="2657">
        <f t="shared" si="149"/>
        <v>-5.6899224924713963</v>
      </c>
      <c r="O421" s="2657">
        <f t="shared" si="150"/>
        <v>22.220284624377342</v>
      </c>
    </row>
    <row r="422" spans="2:15" ht="12" customHeight="1">
      <c r="B422" s="2644" t="s">
        <v>397</v>
      </c>
      <c r="C422" s="2648">
        <f>C206</f>
        <v>115.54354138999972</v>
      </c>
      <c r="D422" s="2648">
        <f>D206</f>
        <v>180.50061337</v>
      </c>
      <c r="E422" s="2648">
        <f>E206</f>
        <v>165.41160579999968</v>
      </c>
      <c r="F422" s="2648">
        <f>F206</f>
        <v>36.455809890998879</v>
      </c>
      <c r="G422" s="2646">
        <f t="shared" si="145"/>
        <v>-15.089007570000319</v>
      </c>
      <c r="H422" s="2647">
        <f t="shared" si="146"/>
        <v>-8.3595325734822019</v>
      </c>
      <c r="I422" s="2648">
        <f t="shared" si="147"/>
        <v>128.95579590900081</v>
      </c>
      <c r="J422" s="2648">
        <f t="shared" si="148"/>
        <v>453.73180926324892</v>
      </c>
      <c r="K422" s="2655">
        <f>K206</f>
        <v>35.981856831151738</v>
      </c>
      <c r="L422" s="2655">
        <f>L206</f>
        <v>295.77871459922977</v>
      </c>
      <c r="M422" s="2656">
        <f>M206</f>
        <v>34.090710776833127</v>
      </c>
      <c r="N422" s="2657">
        <f t="shared" si="149"/>
        <v>-261.68800382239664</v>
      </c>
      <c r="O422" s="2657">
        <f t="shared" si="150"/>
        <v>-1.8911460543186109</v>
      </c>
    </row>
    <row r="423" spans="2:15" ht="12" customHeight="1">
      <c r="B423" s="2644" t="s">
        <v>399</v>
      </c>
      <c r="C423" s="2648">
        <f>C236</f>
        <v>185.31006396999874</v>
      </c>
      <c r="D423" s="2648">
        <f>D236</f>
        <v>306.97636126999981</v>
      </c>
      <c r="E423" s="2648">
        <f>E236</f>
        <v>516.60769722999862</v>
      </c>
      <c r="F423" s="2648">
        <f>F236</f>
        <v>58.46824826128978</v>
      </c>
      <c r="G423" s="2646">
        <f t="shared" si="145"/>
        <v>209.63133595999881</v>
      </c>
      <c r="H423" s="2647">
        <f t="shared" si="146"/>
        <v>68.289080987450504</v>
      </c>
      <c r="I423" s="2648">
        <f t="shared" si="147"/>
        <v>458.13944896870885</v>
      </c>
      <c r="J423" s="2648">
        <f t="shared" si="148"/>
        <v>883.56965120850111</v>
      </c>
      <c r="K423" s="2655">
        <f>K236</f>
        <v>22.438382038199702</v>
      </c>
      <c r="L423" s="2655">
        <f>L236</f>
        <v>40.776807464952988</v>
      </c>
      <c r="M423" s="2656">
        <f>M236</f>
        <v>69.503631017140535</v>
      </c>
      <c r="N423" s="2657">
        <f t="shared" si="149"/>
        <v>28.726823552187547</v>
      </c>
      <c r="O423" s="2657">
        <f t="shared" si="150"/>
        <v>47.065248978940829</v>
      </c>
    </row>
    <row r="424" spans="2:15" ht="12" customHeight="1">
      <c r="B424" s="2644" t="s">
        <v>883</v>
      </c>
      <c r="C424" s="2648">
        <f>C266</f>
        <v>57.859196109999999</v>
      </c>
      <c r="D424" s="2648">
        <f>D266</f>
        <v>125.58117384000001</v>
      </c>
      <c r="E424" s="2648">
        <f>E266</f>
        <v>114.61665014000009</v>
      </c>
      <c r="F424" s="2648">
        <f>F266</f>
        <v>18.255489042979445</v>
      </c>
      <c r="G424" s="2646">
        <f t="shared" si="145"/>
        <v>-10.964523699999916</v>
      </c>
      <c r="H424" s="2647">
        <f t="shared" si="146"/>
        <v>-8.7310250133268816</v>
      </c>
      <c r="I424" s="2648">
        <f t="shared" si="147"/>
        <v>96.361161097020641</v>
      </c>
      <c r="J424" s="2648">
        <f t="shared" si="148"/>
        <v>627.84760172764845</v>
      </c>
      <c r="K424" s="2655">
        <f>K266</f>
        <v>21.254535445641451</v>
      </c>
      <c r="L424" s="2655">
        <f>L266</f>
        <v>47.026500825238358</v>
      </c>
      <c r="M424" s="2656">
        <f>M266</f>
        <v>41.029094768165479</v>
      </c>
      <c r="N424" s="2657">
        <f t="shared" si="149"/>
        <v>-5.9974060570728795</v>
      </c>
      <c r="O424" s="2657">
        <f t="shared" si="150"/>
        <v>19.774559322524027</v>
      </c>
    </row>
    <row r="425" spans="2:15" ht="12" customHeight="1">
      <c r="B425" s="2644" t="s">
        <v>884</v>
      </c>
      <c r="C425" s="2648">
        <f>C296</f>
        <v>25.73064597000117</v>
      </c>
      <c r="D425" s="2648">
        <f>D296</f>
        <v>56.720377590001192</v>
      </c>
      <c r="E425" s="2648">
        <f>E296</f>
        <v>31.987954050001118</v>
      </c>
      <c r="F425" s="2648">
        <f>F296</f>
        <v>8.1184246784402756</v>
      </c>
      <c r="G425" s="2646">
        <f t="shared" si="145"/>
        <v>-24.732423540000074</v>
      </c>
      <c r="H425" s="2647">
        <f t="shared" si="146"/>
        <v>-43.604123581081318</v>
      </c>
      <c r="I425" s="2648">
        <f t="shared" si="147"/>
        <v>23.869529371560844</v>
      </c>
      <c r="J425" s="2648">
        <f t="shared" si="148"/>
        <v>394.01676208131914</v>
      </c>
      <c r="K425" s="2655">
        <f>K296</f>
        <v>10.73337927721677</v>
      </c>
      <c r="L425" s="2655">
        <f>L296</f>
        <v>23.738265611438269</v>
      </c>
      <c r="M425" s="2656">
        <f>M296</f>
        <v>12.780250473294961</v>
      </c>
      <c r="N425" s="2657">
        <f t="shared" si="149"/>
        <v>-10.958015138143308</v>
      </c>
      <c r="O425" s="2657">
        <f t="shared" si="150"/>
        <v>2.0468711960781913</v>
      </c>
    </row>
    <row r="426" spans="2:15" ht="12" customHeight="1">
      <c r="B426" s="2644" t="s">
        <v>885</v>
      </c>
      <c r="C426" s="2648">
        <f>C326</f>
        <v>3.3366595000000001</v>
      </c>
      <c r="D426" s="2648">
        <f>D326</f>
        <v>9.2145063100000009</v>
      </c>
      <c r="E426" s="2648">
        <f>E326</f>
        <v>8.5250017400000004</v>
      </c>
      <c r="F426" s="2648">
        <f>F326</f>
        <v>1.0527687046774503</v>
      </c>
      <c r="G426" s="2646">
        <f t="shared" si="145"/>
        <v>-0.68950457000000043</v>
      </c>
      <c r="H426" s="2647">
        <f t="shared" si="146"/>
        <v>-7.4828161900732413</v>
      </c>
      <c r="I426" s="2648">
        <f t="shared" si="147"/>
        <v>7.4722330353225503</v>
      </c>
      <c r="J426" s="2648">
        <f t="shared" si="148"/>
        <v>809.76967705474397</v>
      </c>
      <c r="K426" s="2655">
        <f>K326</f>
        <v>10.149241057579582</v>
      </c>
      <c r="L426" s="2655">
        <f>L326</f>
        <v>6.5856412041484216</v>
      </c>
      <c r="M426" s="2656">
        <f>M326</f>
        <v>23.730014115359708</v>
      </c>
      <c r="N426" s="2657">
        <f t="shared" si="149"/>
        <v>17.144372911211285</v>
      </c>
      <c r="O426" s="2657">
        <f t="shared" si="150"/>
        <v>13.580773057780126</v>
      </c>
    </row>
    <row r="427" spans="2:15" ht="12" customHeight="1">
      <c r="B427" s="2649" t="s">
        <v>933</v>
      </c>
      <c r="C427" s="2661">
        <f>SUM(C417:C426)</f>
        <v>748.52714376299957</v>
      </c>
      <c r="D427" s="2661">
        <f>SUM(D417:D426)</f>
        <v>1297.8042879500006</v>
      </c>
      <c r="E427" s="2661">
        <f>SUM(E417:E426)</f>
        <v>1309.080603409999</v>
      </c>
      <c r="F427" s="2661">
        <f>SUM(F417:F426)</f>
        <v>236.17212111553025</v>
      </c>
      <c r="G427" s="2662">
        <f t="shared" si="145"/>
        <v>11.276315459998386</v>
      </c>
      <c r="H427" s="2647">
        <f t="shared" si="146"/>
        <v>0.8688764218686893</v>
      </c>
      <c r="I427" s="2661">
        <f t="shared" si="147"/>
        <v>1072.9084822944687</v>
      </c>
      <c r="J427" s="2661">
        <f t="shared" si="148"/>
        <v>554.29091174128268</v>
      </c>
      <c r="K427" s="2660">
        <f>K23</f>
        <v>21.562756846992965</v>
      </c>
      <c r="L427" s="2660">
        <f>L23</f>
        <v>34.92471375154927</v>
      </c>
      <c r="M427" s="2663">
        <f>M23</f>
        <v>35.915264943935661</v>
      </c>
      <c r="N427" s="2657">
        <f t="shared" si="149"/>
        <v>0.99055119238639122</v>
      </c>
      <c r="O427" s="2657">
        <f t="shared" si="150"/>
        <v>14.352508096942696</v>
      </c>
    </row>
    <row r="428" spans="2:15" ht="12" customHeight="1">
      <c r="B428" s="2641"/>
      <c r="C428" s="2641"/>
      <c r="D428" s="2641"/>
      <c r="E428" s="2641"/>
      <c r="F428" s="2641"/>
      <c r="G428" s="2641"/>
      <c r="H428" s="2641"/>
      <c r="I428" s="2641"/>
      <c r="J428" s="2641"/>
      <c r="K428" s="2642"/>
      <c r="L428" s="2642"/>
      <c r="M428" s="2643"/>
      <c r="N428" s="2642"/>
      <c r="O428" s="2642"/>
    </row>
    <row r="429" spans="2:15" ht="12" customHeight="1">
      <c r="B429" s="2641"/>
      <c r="C429" s="2641"/>
      <c r="D429" s="2641"/>
      <c r="E429" s="2641"/>
      <c r="F429" s="2641"/>
      <c r="G429" s="2641"/>
      <c r="H429" s="2641"/>
      <c r="I429" s="2641"/>
      <c r="J429" s="2641"/>
      <c r="K429" s="2642"/>
      <c r="L429" s="2642"/>
      <c r="M429" s="2643"/>
      <c r="N429" s="2642"/>
      <c r="O429" s="2642"/>
    </row>
    <row r="430" spans="2:15" ht="12" customHeight="1">
      <c r="B430" s="2640" t="s">
        <v>843</v>
      </c>
      <c r="C430" s="2641"/>
      <c r="D430" s="2641"/>
      <c r="E430" s="2641"/>
      <c r="F430" s="2641"/>
      <c r="G430" s="2641"/>
      <c r="H430" s="2641"/>
      <c r="I430" s="2641"/>
      <c r="J430" s="2641"/>
      <c r="K430" s="2642"/>
      <c r="L430" s="2642"/>
      <c r="M430" s="2643"/>
      <c r="N430" s="2642"/>
      <c r="O430" s="2642"/>
    </row>
    <row r="431" spans="2:15" ht="12" customHeight="1">
      <c r="B431" s="3189"/>
      <c r="C431" s="3172" t="s">
        <v>281</v>
      </c>
      <c r="D431" s="3173"/>
      <c r="E431" s="3173"/>
      <c r="F431" s="3174"/>
      <c r="G431" s="3172" t="s">
        <v>735</v>
      </c>
      <c r="H431" s="3174"/>
      <c r="I431" s="3191" t="s">
        <v>736</v>
      </c>
      <c r="J431" s="3192"/>
      <c r="K431" s="3193" t="s">
        <v>358</v>
      </c>
      <c r="L431" s="3194"/>
      <c r="M431" s="3194"/>
      <c r="N431" s="3194"/>
      <c r="O431" s="3195"/>
    </row>
    <row r="432" spans="2:15" ht="12" customHeight="1">
      <c r="B432" s="3190"/>
      <c r="C432" s="2626" t="s">
        <v>946</v>
      </c>
      <c r="D432" s="2626" t="s">
        <v>947</v>
      </c>
      <c r="E432" s="2626" t="s">
        <v>948</v>
      </c>
      <c r="F432" s="2626" t="s">
        <v>851</v>
      </c>
      <c r="G432" s="2626" t="s">
        <v>440</v>
      </c>
      <c r="H432" s="2626" t="s">
        <v>599</v>
      </c>
      <c r="I432" s="2626" t="s">
        <v>440</v>
      </c>
      <c r="J432" s="2626" t="s">
        <v>599</v>
      </c>
      <c r="K432" s="2626" t="s">
        <v>838</v>
      </c>
      <c r="L432" s="2626" t="s">
        <v>839</v>
      </c>
      <c r="M432" s="2653" t="s">
        <v>840</v>
      </c>
      <c r="N432" s="2654" t="s">
        <v>600</v>
      </c>
      <c r="O432" s="2654" t="s">
        <v>601</v>
      </c>
    </row>
    <row r="433" spans="2:15" ht="12" customHeight="1">
      <c r="B433" s="2644" t="s">
        <v>6</v>
      </c>
      <c r="C433" s="2648">
        <f>C51</f>
        <v>0.19742166000000724</v>
      </c>
      <c r="D433" s="2648">
        <f>D51</f>
        <v>1.6828933700000088</v>
      </c>
      <c r="E433" s="2648">
        <f>E51</f>
        <v>0.98603330000000278</v>
      </c>
      <c r="F433" s="2648">
        <f>F51</f>
        <v>0.16278296222383154</v>
      </c>
      <c r="G433" s="2646">
        <f t="shared" ref="G433:G443" si="151">E433-D433</f>
        <v>-0.69686007000000605</v>
      </c>
      <c r="H433" s="2647">
        <f t="shared" ref="H433:H443" si="152">G433/D433*100</f>
        <v>-41.408450613837907</v>
      </c>
      <c r="I433" s="2648">
        <f t="shared" ref="I433:I443" si="153">E433-F433</f>
        <v>0.82325033777617129</v>
      </c>
      <c r="J433" s="2648">
        <f t="shared" ref="J433:J443" si="154">E433/F433*100</f>
        <v>605.73495317291065</v>
      </c>
      <c r="K433" s="2655">
        <f>K51</f>
        <v>1.2121728987386231</v>
      </c>
      <c r="L433" s="2655">
        <f>L51</f>
        <v>10.80735070855763</v>
      </c>
      <c r="M433" s="2656">
        <f>M51</f>
        <v>9.1920316780601343</v>
      </c>
      <c r="N433" s="2657">
        <f t="shared" ref="N433:N443" si="155">M433-L433</f>
        <v>-1.6153190304974956</v>
      </c>
      <c r="O433" s="2657">
        <f t="shared" ref="O433:O443" si="156">M433-K433</f>
        <v>7.9798587793215114</v>
      </c>
    </row>
    <row r="434" spans="2:15" ht="12" customHeight="1">
      <c r="B434" s="2644" t="s">
        <v>7</v>
      </c>
      <c r="C434" s="2648">
        <f>C81</f>
        <v>0.35322000000000114</v>
      </c>
      <c r="D434" s="2648">
        <f>D81</f>
        <v>0.99421999999999389</v>
      </c>
      <c r="E434" s="2648">
        <f>E81</f>
        <v>4.7482200000000008</v>
      </c>
      <c r="F434" s="2648">
        <f>F81</f>
        <v>0.29124564101375627</v>
      </c>
      <c r="G434" s="2646">
        <f t="shared" si="151"/>
        <v>3.7540000000000067</v>
      </c>
      <c r="H434" s="2647">
        <f t="shared" si="152"/>
        <v>377.58242642473795</v>
      </c>
      <c r="I434" s="2648">
        <f t="shared" si="153"/>
        <v>4.4569743589862441</v>
      </c>
      <c r="J434" s="2648">
        <f t="shared" si="154"/>
        <v>1630.3145288192418</v>
      </c>
      <c r="K434" s="2655">
        <f>K81</f>
        <v>1.7632257005703089</v>
      </c>
      <c r="L434" s="2655">
        <f>L81</f>
        <v>2.744379425764147</v>
      </c>
      <c r="M434" s="2656">
        <f>M81</f>
        <v>18.987566606875443</v>
      </c>
      <c r="N434" s="2657">
        <f t="shared" si="155"/>
        <v>16.243187181111296</v>
      </c>
      <c r="O434" s="2657">
        <f t="shared" si="156"/>
        <v>17.224340906305134</v>
      </c>
    </row>
    <row r="435" spans="2:15" ht="12" customHeight="1">
      <c r="B435" s="2644" t="s">
        <v>8</v>
      </c>
      <c r="C435" s="2648">
        <f>C111</f>
        <v>3.8824438899999949</v>
      </c>
      <c r="D435" s="2648">
        <f>D111</f>
        <v>15.041513070000001</v>
      </c>
      <c r="E435" s="2648">
        <f>E111</f>
        <v>13.566429179999991</v>
      </c>
      <c r="F435" s="2648">
        <f>F111</f>
        <v>3.2012481157436903</v>
      </c>
      <c r="G435" s="2646">
        <f t="shared" si="151"/>
        <v>-1.4750838900000094</v>
      </c>
      <c r="H435" s="2647">
        <f t="shared" si="152"/>
        <v>-9.8067520410698243</v>
      </c>
      <c r="I435" s="2648">
        <f t="shared" si="153"/>
        <v>10.365181064256301</v>
      </c>
      <c r="J435" s="2648">
        <f t="shared" si="154"/>
        <v>423.78562015485448</v>
      </c>
      <c r="K435" s="2655">
        <f>K111</f>
        <v>13.201215869549788</v>
      </c>
      <c r="L435" s="2655">
        <f>L111</f>
        <v>52.091151516781729</v>
      </c>
      <c r="M435" s="2656">
        <f>M111</f>
        <v>42.627664904010558</v>
      </c>
      <c r="N435" s="2657">
        <f t="shared" si="155"/>
        <v>-9.4634866127711703</v>
      </c>
      <c r="O435" s="2657">
        <f t="shared" si="156"/>
        <v>29.42644903446077</v>
      </c>
    </row>
    <row r="436" spans="2:15" ht="12" customHeight="1">
      <c r="B436" s="2644" t="s">
        <v>4</v>
      </c>
      <c r="C436" s="2648">
        <f>C141</f>
        <v>6.2690328900000019</v>
      </c>
      <c r="D436" s="2648">
        <f>D141</f>
        <v>12.984259819999991</v>
      </c>
      <c r="E436" s="2648">
        <f>E141</f>
        <v>8.7440808899999976</v>
      </c>
      <c r="F436" s="2648">
        <f>F141</f>
        <v>5.1690971705576292</v>
      </c>
      <c r="G436" s="2646">
        <f t="shared" si="151"/>
        <v>-4.2401789299999937</v>
      </c>
      <c r="H436" s="2647">
        <f t="shared" si="152"/>
        <v>-32.656300696237892</v>
      </c>
      <c r="I436" s="2648">
        <f t="shared" si="153"/>
        <v>3.5749837194423684</v>
      </c>
      <c r="J436" s="2648">
        <f t="shared" si="154"/>
        <v>169.16069869618465</v>
      </c>
      <c r="K436" s="2655">
        <f>K141</f>
        <v>14.511694850569647</v>
      </c>
      <c r="L436" s="2655">
        <f>L141</f>
        <v>30.762877706260753</v>
      </c>
      <c r="M436" s="2656">
        <f>M141</f>
        <v>19.169304125669932</v>
      </c>
      <c r="N436" s="2657">
        <f t="shared" si="155"/>
        <v>-11.593573580590821</v>
      </c>
      <c r="O436" s="2657">
        <f t="shared" si="156"/>
        <v>4.6576092751002847</v>
      </c>
    </row>
    <row r="437" spans="2:15" ht="12" customHeight="1">
      <c r="B437" s="2644" t="s">
        <v>3</v>
      </c>
      <c r="C437" s="2648">
        <f>C171</f>
        <v>10.38730266</v>
      </c>
      <c r="D437" s="2648">
        <f>D171</f>
        <v>18.221117079999999</v>
      </c>
      <c r="E437" s="2648">
        <f>E171</f>
        <v>17.042999999999999</v>
      </c>
      <c r="F437" s="2648">
        <f>F171</f>
        <v>8.5647942404608628</v>
      </c>
      <c r="G437" s="2646">
        <f t="shared" si="151"/>
        <v>-1.1781170799999998</v>
      </c>
      <c r="H437" s="2647">
        <f t="shared" si="152"/>
        <v>-6.4656687887326827</v>
      </c>
      <c r="I437" s="2648">
        <f t="shared" si="153"/>
        <v>8.4782057595391365</v>
      </c>
      <c r="J437" s="2648">
        <f t="shared" si="154"/>
        <v>198.98901855093408</v>
      </c>
      <c r="K437" s="2655">
        <f>K171</f>
        <v>21.517498144895281</v>
      </c>
      <c r="L437" s="2655">
        <f>L171</f>
        <v>102.88262069992336</v>
      </c>
      <c r="M437" s="2656">
        <f>M171</f>
        <v>78.049086746500507</v>
      </c>
      <c r="N437" s="2657">
        <f t="shared" si="155"/>
        <v>-24.833533953422858</v>
      </c>
      <c r="O437" s="2657">
        <f t="shared" si="156"/>
        <v>56.531588601605222</v>
      </c>
    </row>
    <row r="438" spans="2:15" ht="12" customHeight="1">
      <c r="B438" s="2644" t="s">
        <v>397</v>
      </c>
      <c r="C438" s="2648">
        <f>C201</f>
        <v>1.3208454765299988</v>
      </c>
      <c r="D438" s="2648">
        <f>D201</f>
        <v>1.6504564865299987</v>
      </c>
      <c r="E438" s="2648">
        <f>E201</f>
        <v>1.4198499065299988</v>
      </c>
      <c r="F438" s="2648">
        <f>F201</f>
        <v>1.0890959953912538</v>
      </c>
      <c r="G438" s="2646">
        <f t="shared" si="151"/>
        <v>-0.23060657999999989</v>
      </c>
      <c r="H438" s="2647">
        <f t="shared" si="152"/>
        <v>-13.97229081057681</v>
      </c>
      <c r="I438" s="2648">
        <f t="shared" si="153"/>
        <v>0.33075391113874497</v>
      </c>
      <c r="J438" s="2648">
        <f t="shared" si="154"/>
        <v>130.36958289612687</v>
      </c>
      <c r="K438" s="2655">
        <f>K201</f>
        <v>187.36253531889838</v>
      </c>
      <c r="L438" s="2655">
        <f>L201</f>
        <v>295.77871459922977</v>
      </c>
      <c r="M438" s="2656">
        <f>M201</f>
        <v>235.74855858250092</v>
      </c>
      <c r="N438" s="2657">
        <f t="shared" si="155"/>
        <v>-60.030156016728853</v>
      </c>
      <c r="O438" s="2657">
        <f t="shared" si="156"/>
        <v>48.386023263602539</v>
      </c>
    </row>
    <row r="439" spans="2:15" ht="12" customHeight="1">
      <c r="B439" s="2644" t="s">
        <v>399</v>
      </c>
      <c r="C439" s="2648">
        <f>C231</f>
        <v>5.5537689200000022</v>
      </c>
      <c r="D439" s="2648">
        <f>D231</f>
        <v>11.433495499999999</v>
      </c>
      <c r="E439" s="2648">
        <f>E231</f>
        <v>16.490000000000016</v>
      </c>
      <c r="F439" s="2648">
        <f>F231</f>
        <v>4.5793301317809645</v>
      </c>
      <c r="G439" s="2646">
        <f t="shared" si="151"/>
        <v>5.0565045000000168</v>
      </c>
      <c r="H439" s="2647">
        <f t="shared" si="152"/>
        <v>44.225359602406954</v>
      </c>
      <c r="I439" s="2648">
        <f t="shared" si="153"/>
        <v>11.910669868219053</v>
      </c>
      <c r="J439" s="2648">
        <f t="shared" si="154"/>
        <v>360.0963356093925</v>
      </c>
      <c r="K439" s="2655">
        <f>K231</f>
        <v>18.99772664539687</v>
      </c>
      <c r="L439" s="2655">
        <f>L231</f>
        <v>284.92971166978174</v>
      </c>
      <c r="M439" s="2656">
        <f>M231</f>
        <v>47.879321715480678</v>
      </c>
      <c r="N439" s="2657">
        <f t="shared" si="155"/>
        <v>-237.05038995430107</v>
      </c>
      <c r="O439" s="2657">
        <f t="shared" si="156"/>
        <v>28.881595070083808</v>
      </c>
    </row>
    <row r="440" spans="2:15" ht="12" customHeight="1">
      <c r="B440" s="2644" t="s">
        <v>883</v>
      </c>
      <c r="C440" s="2648">
        <f>C261</f>
        <v>0.53100018000000004</v>
      </c>
      <c r="D440" s="2648">
        <f>D261</f>
        <v>0.55071534000000022</v>
      </c>
      <c r="E440" s="2648">
        <f>E261</f>
        <v>0.72659481999999975</v>
      </c>
      <c r="F440" s="2648">
        <f>F261</f>
        <v>0.43783332711205336</v>
      </c>
      <c r="G440" s="2646">
        <f t="shared" si="151"/>
        <v>0.17587947999999953</v>
      </c>
      <c r="H440" s="2647">
        <f t="shared" si="152"/>
        <v>31.936550015112974</v>
      </c>
      <c r="I440" s="2648">
        <f t="shared" si="153"/>
        <v>0.28876149288794639</v>
      </c>
      <c r="J440" s="2648">
        <f t="shared" si="154"/>
        <v>165.95237845246177</v>
      </c>
      <c r="K440" s="2655">
        <f>K261</f>
        <v>46.950470941973322</v>
      </c>
      <c r="L440" s="2655">
        <f>L261</f>
        <v>50.66407555012141</v>
      </c>
      <c r="M440" s="2656">
        <f>M261</f>
        <v>78.287020775633437</v>
      </c>
      <c r="N440" s="2657">
        <f t="shared" si="155"/>
        <v>27.622945225512026</v>
      </c>
      <c r="O440" s="2657">
        <f t="shared" si="156"/>
        <v>31.336549833660115</v>
      </c>
    </row>
    <row r="441" spans="2:15" ht="12" customHeight="1">
      <c r="B441" s="2644" t="s">
        <v>884</v>
      </c>
      <c r="C441" s="2648">
        <f>C291</f>
        <v>3.1588011599999737</v>
      </c>
      <c r="D441" s="2648">
        <f>D291</f>
        <v>5.1962285499999563</v>
      </c>
      <c r="E441" s="2648">
        <f>E291</f>
        <v>3.2725944299998666</v>
      </c>
      <c r="F441" s="2648">
        <f>F291</f>
        <v>2.6045724157159453</v>
      </c>
      <c r="G441" s="2646">
        <f t="shared" si="151"/>
        <v>-1.9236341200000897</v>
      </c>
      <c r="H441" s="2647">
        <f t="shared" si="152"/>
        <v>-37.019813533800502</v>
      </c>
      <c r="I441" s="2648">
        <f t="shared" si="153"/>
        <v>0.66802201428392127</v>
      </c>
      <c r="J441" s="2648">
        <f t="shared" si="154"/>
        <v>125.64804918661842</v>
      </c>
      <c r="K441" s="2655">
        <f>K291</f>
        <v>8.1683690823262189</v>
      </c>
      <c r="L441" s="2655">
        <f>L291</f>
        <v>13.169477772637805</v>
      </c>
      <c r="M441" s="2656">
        <f>M291</f>
        <v>7.9810710707095831</v>
      </c>
      <c r="N441" s="2657">
        <f t="shared" si="155"/>
        <v>-5.1884067019282218</v>
      </c>
      <c r="O441" s="2657">
        <f t="shared" si="156"/>
        <v>-0.18729801161663584</v>
      </c>
    </row>
    <row r="442" spans="2:15" ht="12" customHeight="1">
      <c r="B442" s="2644" t="s">
        <v>885</v>
      </c>
      <c r="C442" s="2648">
        <f>C321</f>
        <v>0</v>
      </c>
      <c r="D442" s="2648">
        <f>D321</f>
        <v>2.8229624499999999</v>
      </c>
      <c r="E442" s="2648">
        <f>E321</f>
        <v>2.6162806500000002</v>
      </c>
      <c r="F442" s="2648">
        <f>F321</f>
        <v>0</v>
      </c>
      <c r="G442" s="2646">
        <f t="shared" si="151"/>
        <v>-0.20668179999999969</v>
      </c>
      <c r="H442" s="2647">
        <f t="shared" si="152"/>
        <v>-7.3214505563118522</v>
      </c>
      <c r="I442" s="2648">
        <f t="shared" si="153"/>
        <v>2.6162806500000002</v>
      </c>
      <c r="J442" s="2648" t="e">
        <f t="shared" si="154"/>
        <v>#DIV/0!</v>
      </c>
      <c r="K442" s="2655">
        <f>K321</f>
        <v>0</v>
      </c>
      <c r="L442" s="2655">
        <f>L321</f>
        <v>10.731904364553623</v>
      </c>
      <c r="M442" s="2656">
        <f>M321</f>
        <v>22.136409084762665</v>
      </c>
      <c r="N442" s="2657">
        <f t="shared" si="155"/>
        <v>11.404504720209042</v>
      </c>
      <c r="O442" s="2657">
        <f t="shared" si="156"/>
        <v>22.136409084762665</v>
      </c>
    </row>
    <row r="443" spans="2:15" ht="12" customHeight="1">
      <c r="B443" s="2649" t="s">
        <v>933</v>
      </c>
      <c r="C443" s="2661">
        <f>SUM(C433:C442)</f>
        <v>31.65383683652998</v>
      </c>
      <c r="D443" s="2661">
        <f>SUM(D433:D442)</f>
        <v>70.577861666529955</v>
      </c>
      <c r="E443" s="2661">
        <f>SUM(E433:E442)</f>
        <v>69.613083176529869</v>
      </c>
      <c r="F443" s="2661">
        <f>SUM(F433:F442)</f>
        <v>26.099999999999987</v>
      </c>
      <c r="G443" s="2662">
        <f t="shared" si="151"/>
        <v>-0.96477849000008575</v>
      </c>
      <c r="H443" s="2647">
        <f t="shared" si="152"/>
        <v>-1.3669704170955512</v>
      </c>
      <c r="I443" s="2661">
        <f t="shared" si="153"/>
        <v>43.513083176529882</v>
      </c>
      <c r="J443" s="2661">
        <f t="shared" si="154"/>
        <v>266.71679377980809</v>
      </c>
      <c r="K443" s="2660">
        <f>K18</f>
        <v>13.31008711140797</v>
      </c>
      <c r="L443" s="2660">
        <f>L18</f>
        <v>31.884564575905952</v>
      </c>
      <c r="M443" s="2663">
        <f>M18</f>
        <v>31.104315851025817</v>
      </c>
      <c r="N443" s="2660">
        <f t="shared" si="155"/>
        <v>-0.78024872488013486</v>
      </c>
      <c r="O443" s="2660">
        <f t="shared" si="156"/>
        <v>17.794228739617846</v>
      </c>
    </row>
    <row r="444" spans="2:15" ht="12" customHeight="1">
      <c r="B444" s="2641"/>
      <c r="C444" s="2641"/>
      <c r="D444" s="2641"/>
      <c r="E444" s="2641"/>
      <c r="F444" s="2641"/>
      <c r="G444" s="2641"/>
      <c r="H444" s="2641"/>
      <c r="I444" s="2641"/>
      <c r="J444" s="2641"/>
      <c r="K444" s="2642"/>
      <c r="L444" s="2642"/>
      <c r="M444" s="2643"/>
      <c r="N444" s="2642"/>
      <c r="O444" s="2642"/>
    </row>
    <row r="445" spans="2:15" ht="12" customHeight="1">
      <c r="B445" s="2641"/>
      <c r="C445" s="2641"/>
      <c r="D445" s="2641"/>
      <c r="E445" s="2641"/>
      <c r="F445" s="2641"/>
      <c r="G445" s="2641"/>
      <c r="H445" s="2641"/>
      <c r="I445" s="2641"/>
      <c r="J445" s="2641"/>
      <c r="K445" s="2642"/>
      <c r="L445" s="2642"/>
      <c r="M445" s="2643"/>
      <c r="N445" s="2642"/>
      <c r="O445" s="2642"/>
    </row>
    <row r="446" spans="2:15" ht="12" customHeight="1">
      <c r="B446" s="2640" t="s">
        <v>187</v>
      </c>
      <c r="C446" s="2641"/>
      <c r="D446" s="2641"/>
      <c r="E446" s="2641"/>
      <c r="F446" s="2641"/>
      <c r="G446" s="2641"/>
      <c r="H446" s="2641"/>
      <c r="I446" s="2641"/>
      <c r="J446" s="2641"/>
      <c r="K446" s="2642"/>
      <c r="L446" s="2642"/>
      <c r="M446" s="2643"/>
      <c r="N446" s="2642"/>
      <c r="O446" s="2642"/>
    </row>
    <row r="447" spans="2:15" ht="12" customHeight="1">
      <c r="B447" s="3179"/>
      <c r="C447" s="3181" t="s">
        <v>281</v>
      </c>
      <c r="D447" s="3182"/>
      <c r="E447" s="3182"/>
      <c r="F447" s="3183"/>
      <c r="G447" s="3181" t="s">
        <v>735</v>
      </c>
      <c r="H447" s="3183"/>
      <c r="I447" s="3184" t="s">
        <v>736</v>
      </c>
      <c r="J447" s="3185"/>
      <c r="K447" s="3186" t="s">
        <v>358</v>
      </c>
      <c r="L447" s="3187"/>
      <c r="M447" s="3187"/>
      <c r="N447" s="3187"/>
      <c r="O447" s="3188"/>
    </row>
    <row r="448" spans="2:15" ht="12" customHeight="1">
      <c r="B448" s="3180"/>
      <c r="C448" s="2626" t="s">
        <v>946</v>
      </c>
      <c r="D448" s="2626" t="s">
        <v>947</v>
      </c>
      <c r="E448" s="2626" t="s">
        <v>948</v>
      </c>
      <c r="F448" s="2626" t="s">
        <v>851</v>
      </c>
      <c r="G448" s="2665" t="s">
        <v>440</v>
      </c>
      <c r="H448" s="2665" t="s">
        <v>599</v>
      </c>
      <c r="I448" s="2665" t="s">
        <v>440</v>
      </c>
      <c r="J448" s="2665" t="s">
        <v>599</v>
      </c>
      <c r="K448" s="2665" t="s">
        <v>838</v>
      </c>
      <c r="L448" s="2665" t="s">
        <v>839</v>
      </c>
      <c r="M448" s="2666" t="s">
        <v>840</v>
      </c>
      <c r="N448" s="2667" t="s">
        <v>600</v>
      </c>
      <c r="O448" s="2667" t="s">
        <v>601</v>
      </c>
    </row>
    <row r="449" spans="2:15" ht="12" customHeight="1">
      <c r="B449" s="2668" t="s">
        <v>6</v>
      </c>
      <c r="C449" s="2669">
        <f>C58</f>
        <v>472.67187944000005</v>
      </c>
      <c r="D449" s="2669">
        <f>D58</f>
        <v>555.55558941000015</v>
      </c>
      <c r="E449" s="2669">
        <f>E58</f>
        <v>507.93625065000003</v>
      </c>
      <c r="F449" s="2669">
        <f>F58</f>
        <v>306.51723443726826</v>
      </c>
      <c r="G449" s="2670">
        <f t="shared" ref="G449:G459" si="157">E449-D449</f>
        <v>-47.619338760000119</v>
      </c>
      <c r="H449" s="2671">
        <f t="shared" ref="H449:H459" si="158">G449/D449*100</f>
        <v>-8.5714804544711427</v>
      </c>
      <c r="I449" s="2669">
        <f t="shared" ref="I449:I459" si="159">E449-F449</f>
        <v>201.41901621273178</v>
      </c>
      <c r="J449" s="2669">
        <f t="shared" ref="J449:J459" si="160">E449/F449*100</f>
        <v>165.71213412600267</v>
      </c>
      <c r="K449" s="2672">
        <f>K58</f>
        <v>257.45820871744883</v>
      </c>
      <c r="L449" s="2672">
        <f>L58</f>
        <v>299.23174040887341</v>
      </c>
      <c r="M449" s="2673">
        <f>M58</f>
        <v>321.7449175997977</v>
      </c>
      <c r="N449" s="2674">
        <f t="shared" ref="N449:N459" si="161">M449-L449</f>
        <v>22.513177190924296</v>
      </c>
      <c r="O449" s="2674">
        <f t="shared" ref="O449:O459" si="162">M449-K449</f>
        <v>64.286708882348876</v>
      </c>
    </row>
    <row r="450" spans="2:15" ht="12" customHeight="1">
      <c r="B450" s="2668" t="s">
        <v>7</v>
      </c>
      <c r="C450" s="2669">
        <f>C88</f>
        <v>35.567999999999998</v>
      </c>
      <c r="D450" s="2669">
        <f>D88</f>
        <v>82.087999999999994</v>
      </c>
      <c r="E450" s="2669">
        <f>E88</f>
        <v>78.953000000000003</v>
      </c>
      <c r="F450" s="2669">
        <f>F88</f>
        <v>23.065059439078944</v>
      </c>
      <c r="G450" s="2670">
        <f t="shared" si="157"/>
        <v>-3.1349999999999909</v>
      </c>
      <c r="H450" s="2671">
        <f t="shared" si="158"/>
        <v>-3.8190722151836942</v>
      </c>
      <c r="I450" s="2669">
        <f t="shared" si="159"/>
        <v>55.887940560921059</v>
      </c>
      <c r="J450" s="2669">
        <f t="shared" si="160"/>
        <v>342.30564290777664</v>
      </c>
      <c r="K450" s="2672">
        <f>K88</f>
        <v>33.796947363762499</v>
      </c>
      <c r="L450" s="2672">
        <f>L88</f>
        <v>40.543216199901224</v>
      </c>
      <c r="M450" s="2673">
        <f>M88</f>
        <v>68.963260244428469</v>
      </c>
      <c r="N450" s="2674">
        <f t="shared" si="161"/>
        <v>28.420044044527245</v>
      </c>
      <c r="O450" s="2674">
        <f t="shared" si="162"/>
        <v>35.16631288066597</v>
      </c>
    </row>
    <row r="451" spans="2:15" ht="12" customHeight="1">
      <c r="B451" s="2668" t="s">
        <v>8</v>
      </c>
      <c r="C451" s="2669">
        <f>C118</f>
        <v>37.54416489200009</v>
      </c>
      <c r="D451" s="2669">
        <f>D118</f>
        <v>180.81301267999999</v>
      </c>
      <c r="E451" s="2669">
        <f>E118</f>
        <v>168.5231826400001</v>
      </c>
      <c r="F451" s="2669">
        <f>F118</f>
        <v>24.346558558945201</v>
      </c>
      <c r="G451" s="2670">
        <f t="shared" si="157"/>
        <v>-12.289830039999885</v>
      </c>
      <c r="H451" s="2671">
        <f t="shared" si="158"/>
        <v>-6.7969831694305274</v>
      </c>
      <c r="I451" s="2669">
        <f t="shared" si="159"/>
        <v>144.17662408105491</v>
      </c>
      <c r="J451" s="2669">
        <f t="shared" si="160"/>
        <v>692.18482042129438</v>
      </c>
      <c r="K451" s="2672">
        <f>K118</f>
        <v>32.439132728178969</v>
      </c>
      <c r="L451" s="2672">
        <f>L118</f>
        <v>151.67923123742023</v>
      </c>
      <c r="M451" s="2673">
        <f>M118</f>
        <v>146.75177886024053</v>
      </c>
      <c r="N451" s="2674">
        <f t="shared" si="161"/>
        <v>-4.9274523771796908</v>
      </c>
      <c r="O451" s="2674">
        <f t="shared" si="162"/>
        <v>114.31264613206156</v>
      </c>
    </row>
    <row r="452" spans="2:15" ht="12" customHeight="1">
      <c r="B452" s="2668" t="s">
        <v>4</v>
      </c>
      <c r="C452" s="2669">
        <f>C148</f>
        <v>242.17636372000001</v>
      </c>
      <c r="D452" s="2669">
        <f>D148</f>
        <v>361.76035946000002</v>
      </c>
      <c r="E452" s="2669">
        <f>E148</f>
        <v>287.96677158</v>
      </c>
      <c r="F452" s="2669">
        <f>F148</f>
        <v>157.04600269741908</v>
      </c>
      <c r="G452" s="2670">
        <f t="shared" si="157"/>
        <v>-73.793587880000018</v>
      </c>
      <c r="H452" s="2671">
        <f t="shared" si="158"/>
        <v>-20.398472621530942</v>
      </c>
      <c r="I452" s="2669">
        <f t="shared" si="159"/>
        <v>130.92076888258092</v>
      </c>
      <c r="J452" s="2669">
        <f t="shared" si="160"/>
        <v>183.36459803744657</v>
      </c>
      <c r="K452" s="2672">
        <f>K148</f>
        <v>565.65800000000002</v>
      </c>
      <c r="L452" s="2672">
        <f>L148</f>
        <v>264.78110498083777</v>
      </c>
      <c r="M452" s="2673">
        <f>M148</f>
        <v>234.87305363663663</v>
      </c>
      <c r="N452" s="2674">
        <f t="shared" si="161"/>
        <v>-29.908051344201141</v>
      </c>
      <c r="O452" s="2674">
        <f t="shared" si="162"/>
        <v>-330.78494636336336</v>
      </c>
    </row>
    <row r="453" spans="2:15" ht="12" customHeight="1">
      <c r="B453" s="2668" t="s">
        <v>3</v>
      </c>
      <c r="C453" s="2669">
        <f>C178</f>
        <v>295.21300000000002</v>
      </c>
      <c r="D453" s="2669">
        <f>D178</f>
        <v>403.90427109000001</v>
      </c>
      <c r="E453" s="2669">
        <f>E178</f>
        <v>466.99306151000002</v>
      </c>
      <c r="F453" s="2669">
        <f>F178</f>
        <v>191.43908547539397</v>
      </c>
      <c r="G453" s="2670">
        <f t="shared" si="157"/>
        <v>63.088790420000009</v>
      </c>
      <c r="H453" s="2671">
        <f t="shared" si="158"/>
        <v>15.619738372596274</v>
      </c>
      <c r="I453" s="2669">
        <f t="shared" si="159"/>
        <v>275.55397603460608</v>
      </c>
      <c r="J453" s="2669">
        <f t="shared" si="160"/>
        <v>243.93820120396654</v>
      </c>
      <c r="K453" s="2672">
        <f>K178</f>
        <v>213.41145345350688</v>
      </c>
      <c r="L453" s="2672">
        <f>L178</f>
        <v>308.98451631720991</v>
      </c>
      <c r="M453" s="2673">
        <f>M178</f>
        <v>310.43349335372733</v>
      </c>
      <c r="N453" s="2674">
        <f t="shared" si="161"/>
        <v>1.4489770365174195</v>
      </c>
      <c r="O453" s="2674">
        <f t="shared" si="162"/>
        <v>97.022039900220449</v>
      </c>
    </row>
    <row r="454" spans="2:15" ht="12" customHeight="1">
      <c r="B454" s="2668" t="s">
        <v>397</v>
      </c>
      <c r="C454" s="2669">
        <f>C208</f>
        <v>430.71517616000023</v>
      </c>
      <c r="D454" s="2669">
        <f>D208</f>
        <v>431.19723537000021</v>
      </c>
      <c r="E454" s="2669">
        <f>E208</f>
        <v>418.78904574000006</v>
      </c>
      <c r="F454" s="2669">
        <f>F208</f>
        <v>279.30924256195914</v>
      </c>
      <c r="G454" s="2670">
        <f t="shared" si="157"/>
        <v>-12.408189630000152</v>
      </c>
      <c r="H454" s="2671">
        <f t="shared" si="158"/>
        <v>-2.8776134474408157</v>
      </c>
      <c r="I454" s="2669">
        <f t="shared" si="159"/>
        <v>139.47980317804092</v>
      </c>
      <c r="J454" s="2669">
        <f t="shared" si="160"/>
        <v>149.93741055564968</v>
      </c>
      <c r="K454" s="2672">
        <f>K208</f>
        <v>446.2084849872316</v>
      </c>
      <c r="L454" s="2672">
        <f>L208</f>
        <v>431.40130373841919</v>
      </c>
      <c r="M454" s="2673">
        <f>M208</f>
        <v>195.49584069422221</v>
      </c>
      <c r="N454" s="2674">
        <f t="shared" si="161"/>
        <v>-235.90546304419698</v>
      </c>
      <c r="O454" s="2674">
        <f t="shared" si="162"/>
        <v>-250.71264429300939</v>
      </c>
    </row>
    <row r="455" spans="2:15" ht="12" customHeight="1">
      <c r="B455" s="2668" t="s">
        <v>399</v>
      </c>
      <c r="C455" s="2669">
        <f>C238</f>
        <v>257.19442016000107</v>
      </c>
      <c r="D455" s="2669">
        <f>D238</f>
        <v>261.66361362999902</v>
      </c>
      <c r="E455" s="2669">
        <f>E238</f>
        <v>246.54579957000004</v>
      </c>
      <c r="F455" s="2669">
        <f>F238</f>
        <v>166.7848793406958</v>
      </c>
      <c r="G455" s="2670">
        <f t="shared" si="157"/>
        <v>-15.117814059998977</v>
      </c>
      <c r="H455" s="2671">
        <f t="shared" si="158"/>
        <v>-5.7775759687306261</v>
      </c>
      <c r="I455" s="2669">
        <f t="shared" si="159"/>
        <v>79.760920229304247</v>
      </c>
      <c r="J455" s="2669">
        <f t="shared" si="160"/>
        <v>147.82263268984627</v>
      </c>
      <c r="K455" s="2672">
        <f>K238</f>
        <v>279.87932882410212</v>
      </c>
      <c r="L455" s="2672">
        <f>L238</f>
        <v>284.92971166978174</v>
      </c>
      <c r="M455" s="2673">
        <f>M238</f>
        <v>305.56855021036063</v>
      </c>
      <c r="N455" s="2674">
        <f t="shared" si="161"/>
        <v>20.638838540578888</v>
      </c>
      <c r="O455" s="2674">
        <f t="shared" si="162"/>
        <v>25.689221386258509</v>
      </c>
    </row>
    <row r="456" spans="2:15" ht="12" customHeight="1">
      <c r="B456" s="2668" t="s">
        <v>883</v>
      </c>
      <c r="C456" s="2669">
        <f>C268</f>
        <v>505.58654729</v>
      </c>
      <c r="D456" s="2669">
        <f>D268</f>
        <v>466.07912052</v>
      </c>
      <c r="E456" s="2669">
        <f>E268</f>
        <v>730.32995642000003</v>
      </c>
      <c r="F456" s="2669">
        <f>F268</f>
        <v>327.86166680281565</v>
      </c>
      <c r="G456" s="2670">
        <f t="shared" si="157"/>
        <v>264.25083590000003</v>
      </c>
      <c r="H456" s="2671">
        <f t="shared" si="158"/>
        <v>56.696561649270606</v>
      </c>
      <c r="I456" s="2669">
        <f t="shared" si="159"/>
        <v>402.46828961718438</v>
      </c>
      <c r="J456" s="2669">
        <f t="shared" si="160"/>
        <v>222.75551867405073</v>
      </c>
      <c r="K456" s="2672">
        <f>K268</f>
        <v>267.20310020735519</v>
      </c>
      <c r="L456" s="2672">
        <f>L268</f>
        <v>244.13478635642505</v>
      </c>
      <c r="M456" s="2673">
        <f>M268</f>
        <v>360.40336963231317</v>
      </c>
      <c r="N456" s="2674">
        <f t="shared" si="161"/>
        <v>116.26858327588812</v>
      </c>
      <c r="O456" s="2674">
        <f t="shared" si="162"/>
        <v>93.20026942495798</v>
      </c>
    </row>
    <row r="457" spans="2:15" ht="12" customHeight="1">
      <c r="B457" s="2668" t="s">
        <v>884</v>
      </c>
      <c r="C457" s="2669">
        <f>C298</f>
        <v>563.581091499992</v>
      </c>
      <c r="D457" s="2669">
        <f>D298</f>
        <v>525.95259169999508</v>
      </c>
      <c r="E457" s="2669">
        <f>E298</f>
        <v>813.20476715999098</v>
      </c>
      <c r="F457" s="2669">
        <f>F298</f>
        <v>365.46984295401217</v>
      </c>
      <c r="G457" s="2670">
        <f t="shared" si="157"/>
        <v>287.2521754599959</v>
      </c>
      <c r="H457" s="2671">
        <f t="shared" si="158"/>
        <v>54.615602241170322</v>
      </c>
      <c r="I457" s="2669">
        <f t="shared" si="159"/>
        <v>447.73492420597881</v>
      </c>
      <c r="J457" s="2669">
        <f t="shared" si="160"/>
        <v>222.5094033989333</v>
      </c>
      <c r="K457" s="2672">
        <f>K298</f>
        <v>266.30212610976645</v>
      </c>
      <c r="L457" s="2672">
        <f>L298</f>
        <v>241.75875987505509</v>
      </c>
      <c r="M457" s="2673">
        <f>M298</f>
        <v>374.24691576138895</v>
      </c>
      <c r="N457" s="2674">
        <f t="shared" si="161"/>
        <v>132.48815588633386</v>
      </c>
      <c r="O457" s="2674">
        <f t="shared" si="162"/>
        <v>107.9447896516225</v>
      </c>
    </row>
    <row r="458" spans="2:15" ht="12" customHeight="1">
      <c r="B458" s="2668" t="s">
        <v>885</v>
      </c>
      <c r="C458" s="2669">
        <f>C328</f>
        <v>204.24819740999999</v>
      </c>
      <c r="D458" s="2669">
        <f>D328</f>
        <v>190.70082451000002</v>
      </c>
      <c r="E458" s="2669">
        <f>E328</f>
        <v>305.91603242000002</v>
      </c>
      <c r="F458" s="2669">
        <f>F328</f>
        <v>132.45042773241059</v>
      </c>
      <c r="G458" s="2670">
        <f t="shared" si="157"/>
        <v>115.21520791</v>
      </c>
      <c r="H458" s="2671">
        <f t="shared" si="158"/>
        <v>60.416732966961192</v>
      </c>
      <c r="I458" s="2669">
        <f t="shared" si="159"/>
        <v>173.46560468758943</v>
      </c>
      <c r="J458" s="2669">
        <f t="shared" si="160"/>
        <v>230.96643601487023</v>
      </c>
      <c r="K458" s="2672">
        <f>K328</f>
        <v>328.76332077704569</v>
      </c>
      <c r="L458" s="2672">
        <f>L328</f>
        <v>112.65972424594841</v>
      </c>
      <c r="M458" s="2673">
        <f>M328</f>
        <v>529.31857855582416</v>
      </c>
      <c r="N458" s="2674">
        <f t="shared" si="161"/>
        <v>416.65885430987578</v>
      </c>
      <c r="O458" s="2674">
        <f t="shared" si="162"/>
        <v>200.55525777877847</v>
      </c>
    </row>
    <row r="459" spans="2:15" ht="12" customHeight="1">
      <c r="B459" s="2675" t="s">
        <v>933</v>
      </c>
      <c r="C459" s="2676">
        <f>SUM(C449:C458)</f>
        <v>3044.4988405719937</v>
      </c>
      <c r="D459" s="2676">
        <f>SUM(D449:D458)</f>
        <v>3459.7146183699947</v>
      </c>
      <c r="E459" s="2676">
        <f>SUM(E449:E458)</f>
        <v>4025.1578676899917</v>
      </c>
      <c r="F459" s="2676">
        <f>SUM(F449:F458)</f>
        <v>1974.2899999999988</v>
      </c>
      <c r="G459" s="2677">
        <f t="shared" si="157"/>
        <v>565.44324931999699</v>
      </c>
      <c r="H459" s="2671">
        <f t="shared" si="158"/>
        <v>16.343638469996094</v>
      </c>
      <c r="I459" s="2678">
        <f t="shared" si="159"/>
        <v>2050.8678676899926</v>
      </c>
      <c r="J459" s="2678">
        <f t="shared" si="160"/>
        <v>203.87875477716011</v>
      </c>
      <c r="K459" s="2679">
        <f>K25</f>
        <v>229.89056434331513</v>
      </c>
      <c r="L459" s="2679">
        <f>L25</f>
        <v>241.09130669822474</v>
      </c>
      <c r="M459" s="2680">
        <f>M25</f>
        <v>280.91791953681741</v>
      </c>
      <c r="N459" s="2679">
        <f t="shared" si="161"/>
        <v>39.826612838592666</v>
      </c>
      <c r="O459" s="2679">
        <f t="shared" si="162"/>
        <v>51.027355193502274</v>
      </c>
    </row>
    <row r="460" spans="2:15" ht="12" customHeight="1">
      <c r="B460" s="2641"/>
      <c r="C460" s="2641"/>
      <c r="D460" s="2641"/>
      <c r="E460" s="2641"/>
      <c r="F460" s="2641"/>
      <c r="G460" s="2641"/>
      <c r="H460" s="2641"/>
      <c r="I460" s="2641"/>
      <c r="J460" s="2641"/>
      <c r="K460" s="2642"/>
      <c r="L460" s="2642"/>
      <c r="M460" s="2643"/>
      <c r="N460" s="2642"/>
      <c r="O460" s="2642"/>
    </row>
    <row r="461" spans="2:15" ht="12" customHeight="1">
      <c r="B461" s="2641"/>
      <c r="C461" s="2641"/>
      <c r="D461" s="2641"/>
      <c r="E461" s="2641"/>
      <c r="F461" s="2641"/>
      <c r="G461" s="2641"/>
      <c r="H461" s="2641"/>
      <c r="I461" s="2641"/>
      <c r="J461" s="2641"/>
      <c r="K461" s="2642"/>
      <c r="L461" s="2642"/>
      <c r="M461" s="2643"/>
      <c r="N461" s="2642"/>
      <c r="O461" s="2642"/>
    </row>
    <row r="462" spans="2:15" ht="12" customHeight="1">
      <c r="B462" s="2640" t="s">
        <v>844</v>
      </c>
      <c r="C462" s="2641"/>
      <c r="D462" s="2641"/>
      <c r="E462" s="2641"/>
      <c r="F462" s="2641"/>
      <c r="G462" s="2641"/>
      <c r="H462" s="2641"/>
      <c r="I462" s="2641"/>
      <c r="J462" s="2641"/>
      <c r="K462" s="2642"/>
      <c r="L462" s="2642"/>
      <c r="M462" s="2643"/>
      <c r="N462" s="2642"/>
      <c r="O462" s="2642"/>
    </row>
    <row r="463" spans="2:15" ht="12" customHeight="1">
      <c r="B463" s="3179"/>
      <c r="C463" s="3181" t="s">
        <v>281</v>
      </c>
      <c r="D463" s="3182"/>
      <c r="E463" s="3182"/>
      <c r="F463" s="3183"/>
      <c r="G463" s="3181" t="s">
        <v>735</v>
      </c>
      <c r="H463" s="3183"/>
      <c r="I463" s="3184" t="s">
        <v>736</v>
      </c>
      <c r="J463" s="3185"/>
      <c r="K463" s="3186" t="s">
        <v>358</v>
      </c>
      <c r="L463" s="3187"/>
      <c r="M463" s="3187"/>
      <c r="N463" s="3187"/>
      <c r="O463" s="3188"/>
    </row>
    <row r="464" spans="2:15" ht="12" customHeight="1">
      <c r="B464" s="3180"/>
      <c r="C464" s="2626" t="s">
        <v>946</v>
      </c>
      <c r="D464" s="2626" t="s">
        <v>947</v>
      </c>
      <c r="E464" s="2626" t="s">
        <v>948</v>
      </c>
      <c r="F464" s="2626" t="s">
        <v>851</v>
      </c>
      <c r="G464" s="2665" t="s">
        <v>440</v>
      </c>
      <c r="H464" s="2665" t="s">
        <v>599</v>
      </c>
      <c r="I464" s="2665" t="s">
        <v>440</v>
      </c>
      <c r="J464" s="2665" t="s">
        <v>599</v>
      </c>
      <c r="K464" s="2665" t="s">
        <v>838</v>
      </c>
      <c r="L464" s="2665" t="s">
        <v>839</v>
      </c>
      <c r="M464" s="2666" t="s">
        <v>840</v>
      </c>
      <c r="N464" s="2667" t="s">
        <v>600</v>
      </c>
      <c r="O464" s="2667" t="s">
        <v>601</v>
      </c>
    </row>
    <row r="465" spans="2:15" ht="12" customHeight="1">
      <c r="B465" s="2668" t="s">
        <v>6</v>
      </c>
      <c r="C465" s="2669">
        <f>C48</f>
        <v>326.4879944999999</v>
      </c>
      <c r="D465" s="2669">
        <f>D48</f>
        <v>506.02274235999994</v>
      </c>
      <c r="E465" s="2669">
        <f>E48</f>
        <v>487.83031238999985</v>
      </c>
      <c r="F465" s="2669">
        <f>F48</f>
        <v>168.56222423200344</v>
      </c>
      <c r="G465" s="2670">
        <f t="shared" ref="G465:G475" si="163">E465-D465</f>
        <v>-18.192429970000092</v>
      </c>
      <c r="H465" s="2671">
        <f t="shared" ref="H465:H475" si="164">G465/D465*100</f>
        <v>-3.5951803045756083</v>
      </c>
      <c r="I465" s="2669">
        <f t="shared" ref="I465:I475" si="165">E465-F465</f>
        <v>319.26808815799643</v>
      </c>
      <c r="J465" s="2669">
        <f t="shared" ref="J465:J475" si="166">E465/F465*100</f>
        <v>289.40666546886951</v>
      </c>
      <c r="K465" s="2672">
        <f>K48</f>
        <v>176.13299284674619</v>
      </c>
      <c r="L465" s="2672">
        <f>L48</f>
        <v>286.2606212780762</v>
      </c>
      <c r="M465" s="2673">
        <f>M48</f>
        <v>332.36578073875791</v>
      </c>
      <c r="N465" s="2674">
        <f t="shared" ref="N465:N475" si="167">M465-L465</f>
        <v>46.105159460681705</v>
      </c>
      <c r="O465" s="2674">
        <f t="shared" ref="O465:O475" si="168">M465-K465</f>
        <v>156.23278789201171</v>
      </c>
    </row>
    <row r="466" spans="2:15" ht="12" customHeight="1">
      <c r="B466" s="2668" t="s">
        <v>7</v>
      </c>
      <c r="C466" s="2669">
        <f>C78</f>
        <v>36.146229999999981</v>
      </c>
      <c r="D466" s="2669">
        <f>D78</f>
        <v>83.91822999999998</v>
      </c>
      <c r="E466" s="2669">
        <f>E78</f>
        <v>40.47622999999998</v>
      </c>
      <c r="F466" s="2669">
        <f>F78</f>
        <v>18.661908030439289</v>
      </c>
      <c r="G466" s="2670">
        <f t="shared" si="163"/>
        <v>-43.442</v>
      </c>
      <c r="H466" s="2671">
        <f t="shared" si="164"/>
        <v>-51.767059433927542</v>
      </c>
      <c r="I466" s="2669">
        <f t="shared" si="165"/>
        <v>21.814321969560691</v>
      </c>
      <c r="J466" s="2669">
        <f t="shared" si="166"/>
        <v>216.89223810330392</v>
      </c>
      <c r="K466" s="2672">
        <f>K78</f>
        <v>24.729106437295219</v>
      </c>
      <c r="L466" s="2672">
        <f>L78</f>
        <v>29.590339207575116</v>
      </c>
      <c r="M466" s="2673">
        <f>M78</f>
        <v>24.810244956336163</v>
      </c>
      <c r="N466" s="2674">
        <f t="shared" si="167"/>
        <v>-4.7800942512389533</v>
      </c>
      <c r="O466" s="2674">
        <f t="shared" si="168"/>
        <v>8.1138519040944601E-2</v>
      </c>
    </row>
    <row r="467" spans="2:15" ht="12" customHeight="1">
      <c r="B467" s="2668" t="s">
        <v>8</v>
      </c>
      <c r="C467" s="2669">
        <f>C108</f>
        <v>51.125356579999966</v>
      </c>
      <c r="D467" s="2669">
        <f>D108</f>
        <v>263.54263537999998</v>
      </c>
      <c r="E467" s="2669">
        <f>E108</f>
        <v>251.78944397999999</v>
      </c>
      <c r="F467" s="2669">
        <f>F108</f>
        <v>26.395469251409455</v>
      </c>
      <c r="G467" s="2670">
        <f t="shared" si="163"/>
        <v>-11.753191399999992</v>
      </c>
      <c r="H467" s="2671">
        <f t="shared" si="164"/>
        <v>-4.4596925970073729</v>
      </c>
      <c r="I467" s="2669">
        <f t="shared" si="165"/>
        <v>225.39397472859054</v>
      </c>
      <c r="J467" s="2669">
        <f t="shared" si="166"/>
        <v>953.91160347170205</v>
      </c>
      <c r="K467" s="2672">
        <f>K108</f>
        <v>31.800694149952928</v>
      </c>
      <c r="L467" s="2672">
        <f>L108</f>
        <v>146.939907321959</v>
      </c>
      <c r="M467" s="2673">
        <f>M108</f>
        <v>125.91168616992712</v>
      </c>
      <c r="N467" s="2674">
        <f t="shared" si="167"/>
        <v>-21.028221152031875</v>
      </c>
      <c r="O467" s="2674">
        <f t="shared" si="168"/>
        <v>94.110992019974191</v>
      </c>
    </row>
    <row r="468" spans="2:15" ht="12" customHeight="1">
      <c r="B468" s="2668" t="s">
        <v>4</v>
      </c>
      <c r="C468" s="2669">
        <f>C138</f>
        <v>255.56014925000002</v>
      </c>
      <c r="D468" s="2669">
        <f>D138</f>
        <v>319.80739289000002</v>
      </c>
      <c r="E468" s="2669">
        <f>E138</f>
        <v>369.43392489999997</v>
      </c>
      <c r="F468" s="2669">
        <f>F138</f>
        <v>131.94294402345253</v>
      </c>
      <c r="G468" s="2670">
        <f t="shared" si="163"/>
        <v>49.626532009999949</v>
      </c>
      <c r="H468" s="2671">
        <f t="shared" si="164"/>
        <v>15.517631272229327</v>
      </c>
      <c r="I468" s="2669">
        <f t="shared" si="165"/>
        <v>237.49098087654744</v>
      </c>
      <c r="J468" s="2669">
        <f t="shared" si="166"/>
        <v>279.99521128946009</v>
      </c>
      <c r="K468" s="2672">
        <f>K138</f>
        <v>131.44275271745974</v>
      </c>
      <c r="L468" s="2672">
        <f>L138</f>
        <v>178.66212403042266</v>
      </c>
      <c r="M468" s="2673">
        <f>M138</f>
        <v>202.44554382051453</v>
      </c>
      <c r="N468" s="2674">
        <f t="shared" si="167"/>
        <v>23.78341979009187</v>
      </c>
      <c r="O468" s="2674">
        <f t="shared" si="168"/>
        <v>71.00279110305479</v>
      </c>
    </row>
    <row r="469" spans="2:15" ht="12" customHeight="1">
      <c r="B469" s="2668" t="s">
        <v>3</v>
      </c>
      <c r="C469" s="2669">
        <f>C168</f>
        <v>314.637</v>
      </c>
      <c r="D469" s="2669">
        <f>D168</f>
        <v>363.14033562999998</v>
      </c>
      <c r="E469" s="2669">
        <f>E168</f>
        <v>567.69100000000003</v>
      </c>
      <c r="F469" s="2669">
        <f>F168</f>
        <v>162.4436838080577</v>
      </c>
      <c r="G469" s="2670">
        <f t="shared" si="163"/>
        <v>204.55066437000005</v>
      </c>
      <c r="H469" s="2671">
        <f t="shared" si="164"/>
        <v>56.328268798653824</v>
      </c>
      <c r="I469" s="2669">
        <f t="shared" si="165"/>
        <v>405.24731619194233</v>
      </c>
      <c r="J469" s="2669">
        <f t="shared" si="166"/>
        <v>349.4694202273692</v>
      </c>
      <c r="K469" s="2672">
        <f>K168</f>
        <v>249.17146172750242</v>
      </c>
      <c r="L469" s="2672">
        <f>L168</f>
        <v>316.07094007579508</v>
      </c>
      <c r="M469" s="2673">
        <f>M168</f>
        <v>466.7662038410777</v>
      </c>
      <c r="N469" s="2674">
        <f t="shared" si="167"/>
        <v>150.69526376528262</v>
      </c>
      <c r="O469" s="2674">
        <f t="shared" si="168"/>
        <v>217.59474211357528</v>
      </c>
    </row>
    <row r="470" spans="2:15" ht="12" customHeight="1">
      <c r="B470" s="2668" t="s">
        <v>397</v>
      </c>
      <c r="C470" s="2669">
        <f>C198</f>
        <v>275.65200451000288</v>
      </c>
      <c r="D470" s="2669">
        <f>D198</f>
        <v>272.14329284000286</v>
      </c>
      <c r="E470" s="2669">
        <f>E198</f>
        <v>264.309000090003</v>
      </c>
      <c r="F470" s="2669">
        <f>F198</f>
        <v>142.31615182473837</v>
      </c>
      <c r="G470" s="2670">
        <f t="shared" si="163"/>
        <v>-7.8342927499998609</v>
      </c>
      <c r="H470" s="2671">
        <f t="shared" si="164"/>
        <v>-2.8787381339600975</v>
      </c>
      <c r="I470" s="2669">
        <f t="shared" si="165"/>
        <v>121.99284826526463</v>
      </c>
      <c r="J470" s="2669">
        <f t="shared" si="166"/>
        <v>185.71960856241969</v>
      </c>
      <c r="K470" s="2672">
        <f>K198</f>
        <v>206.66134463961635</v>
      </c>
      <c r="L470" s="2672">
        <f>L198</f>
        <v>197.66584142643941</v>
      </c>
      <c r="M470" s="2673">
        <f>M198</f>
        <v>73.654709143790015</v>
      </c>
      <c r="N470" s="2674">
        <f t="shared" si="167"/>
        <v>-124.0111322826494</v>
      </c>
      <c r="O470" s="2674">
        <f t="shared" si="168"/>
        <v>-133.00663549582634</v>
      </c>
    </row>
    <row r="471" spans="2:15" ht="12" customHeight="1">
      <c r="B471" s="2668" t="s">
        <v>399</v>
      </c>
      <c r="C471" s="2669">
        <f>C228</f>
        <v>373.59692632000304</v>
      </c>
      <c r="D471" s="2669">
        <f>D228</f>
        <v>375.87884878000398</v>
      </c>
      <c r="E471" s="2669">
        <f>E228</f>
        <v>454.19999999999993</v>
      </c>
      <c r="F471" s="2669">
        <f>F228</f>
        <v>192.8840567726898</v>
      </c>
      <c r="G471" s="2670">
        <f t="shared" si="163"/>
        <v>78.321151219995954</v>
      </c>
      <c r="H471" s="2671">
        <f t="shared" si="164"/>
        <v>20.836807251646157</v>
      </c>
      <c r="I471" s="2669">
        <f t="shared" si="165"/>
        <v>261.31594322731013</v>
      </c>
      <c r="J471" s="2669">
        <f t="shared" si="166"/>
        <v>235.47824926518732</v>
      </c>
      <c r="K471" s="2672">
        <f>K228</f>
        <v>224.43289111846195</v>
      </c>
      <c r="L471" s="2672">
        <f>L228</f>
        <v>228.31565613847545</v>
      </c>
      <c r="M471" s="2673">
        <f>M228</f>
        <v>261.38654175214862</v>
      </c>
      <c r="N471" s="2674">
        <f t="shared" si="167"/>
        <v>33.07088561367317</v>
      </c>
      <c r="O471" s="2674">
        <f t="shared" si="168"/>
        <v>36.953650633686664</v>
      </c>
    </row>
    <row r="472" spans="2:15" ht="12" customHeight="1">
      <c r="B472" s="2668" t="s">
        <v>883</v>
      </c>
      <c r="C472" s="2669">
        <f>C258</f>
        <v>200.26177321000014</v>
      </c>
      <c r="D472" s="2669">
        <f>D258</f>
        <v>268.08403504</v>
      </c>
      <c r="E472" s="2669">
        <f>E258</f>
        <v>237.30350101000008</v>
      </c>
      <c r="F472" s="2669">
        <f>F258</f>
        <v>103.39298990953455</v>
      </c>
      <c r="G472" s="2670">
        <f t="shared" si="163"/>
        <v>-30.780534029999927</v>
      </c>
      <c r="H472" s="2671">
        <f t="shared" si="164"/>
        <v>-11.481673657070724</v>
      </c>
      <c r="I472" s="2669">
        <f t="shared" si="165"/>
        <v>133.91051110046553</v>
      </c>
      <c r="J472" s="2669">
        <f t="shared" si="166"/>
        <v>229.51604477018489</v>
      </c>
      <c r="K472" s="2672">
        <f>K258</f>
        <v>111.04787461143407</v>
      </c>
      <c r="L472" s="2672">
        <f>L258</f>
        <v>144.68629818103111</v>
      </c>
      <c r="M472" s="2673">
        <f>M258</f>
        <v>123.46043862565168</v>
      </c>
      <c r="N472" s="2674">
        <f t="shared" si="167"/>
        <v>-21.225859555379429</v>
      </c>
      <c r="O472" s="2674">
        <f t="shared" si="168"/>
        <v>12.412564014217608</v>
      </c>
    </row>
    <row r="473" spans="2:15" ht="12" customHeight="1">
      <c r="B473" s="2668" t="s">
        <v>884</v>
      </c>
      <c r="C473" s="2669">
        <f>C288</f>
        <v>250.99722506000009</v>
      </c>
      <c r="D473" s="2669">
        <f>D288</f>
        <v>378.85588472999922</v>
      </c>
      <c r="E473" s="2669">
        <f>E288</f>
        <v>340.8547569199992</v>
      </c>
      <c r="F473" s="2669">
        <f>F288</f>
        <v>129.58715556131844</v>
      </c>
      <c r="G473" s="2670">
        <f t="shared" si="163"/>
        <v>-38.001127810000014</v>
      </c>
      <c r="H473" s="2671">
        <f t="shared" si="164"/>
        <v>-10.030496909684388</v>
      </c>
      <c r="I473" s="2669">
        <f t="shared" si="165"/>
        <v>211.26760135868076</v>
      </c>
      <c r="J473" s="2669">
        <f t="shared" si="166"/>
        <v>263.03128226216256</v>
      </c>
      <c r="K473" s="2672">
        <f>K288</f>
        <v>101.57089065940455</v>
      </c>
      <c r="L473" s="2672">
        <f>L288</f>
        <v>238.85802460944839</v>
      </c>
      <c r="M473" s="2673">
        <f>M288</f>
        <v>185.50639415488044</v>
      </c>
      <c r="N473" s="2674">
        <f t="shared" si="167"/>
        <v>-53.351630454567953</v>
      </c>
      <c r="O473" s="2674">
        <f t="shared" si="168"/>
        <v>83.935503495475885</v>
      </c>
    </row>
    <row r="474" spans="2:15" ht="12" customHeight="1">
      <c r="B474" s="2668" t="s">
        <v>885</v>
      </c>
      <c r="C474" s="2669">
        <f>C318</f>
        <v>67.178273039999993</v>
      </c>
      <c r="D474" s="2669">
        <f>D318</f>
        <v>94.641095719999797</v>
      </c>
      <c r="E474" s="2669">
        <f>E318</f>
        <v>109.11771627</v>
      </c>
      <c r="F474" s="2669">
        <f>F318</f>
        <v>34.68341658635547</v>
      </c>
      <c r="G474" s="2670">
        <f t="shared" si="163"/>
        <v>14.476620550000206</v>
      </c>
      <c r="H474" s="2671">
        <f t="shared" si="164"/>
        <v>15.296336585990064</v>
      </c>
      <c r="I474" s="2669">
        <f t="shared" si="165"/>
        <v>74.434299683644525</v>
      </c>
      <c r="J474" s="2669">
        <f t="shared" si="166"/>
        <v>314.61063242808422</v>
      </c>
      <c r="K474" s="2672">
        <f>K318</f>
        <v>96.570626723802121</v>
      </c>
      <c r="L474" s="2672">
        <f>L318</f>
        <v>82.986455897616466</v>
      </c>
      <c r="M474" s="2673">
        <f>M318</f>
        <v>137.21918924020849</v>
      </c>
      <c r="N474" s="2674">
        <f t="shared" si="167"/>
        <v>54.232733342592027</v>
      </c>
      <c r="O474" s="2674">
        <f t="shared" si="168"/>
        <v>40.648562516406372</v>
      </c>
    </row>
    <row r="475" spans="2:15" ht="12" customHeight="1">
      <c r="B475" s="2675" t="s">
        <v>933</v>
      </c>
      <c r="C475" s="2676">
        <f>SUM(C465:C474)</f>
        <v>2151.6429324700057</v>
      </c>
      <c r="D475" s="2676">
        <f>SUM(D465:D474)</f>
        <v>2926.0344933700053</v>
      </c>
      <c r="E475" s="2676">
        <f>SUM(E465:E474)</f>
        <v>3123.0058855600018</v>
      </c>
      <c r="F475" s="2676">
        <f>SUM(F465:F474)</f>
        <v>1110.8699999999988</v>
      </c>
      <c r="G475" s="2677">
        <f t="shared" si="163"/>
        <v>196.97139218999655</v>
      </c>
      <c r="H475" s="2671">
        <f t="shared" si="164"/>
        <v>6.7316838757816022</v>
      </c>
      <c r="I475" s="2678">
        <f t="shared" si="165"/>
        <v>2012.1358855600031</v>
      </c>
      <c r="J475" s="2678">
        <f t="shared" si="166"/>
        <v>281.13153524354834</v>
      </c>
      <c r="K475" s="2679">
        <f>K15</f>
        <v>133.65362120101986</v>
      </c>
      <c r="L475" s="2679">
        <f>L15</f>
        <v>176.95158328548575</v>
      </c>
      <c r="M475" s="2680">
        <f>M15</f>
        <v>173.29937183860065</v>
      </c>
      <c r="N475" s="2679">
        <f t="shared" si="167"/>
        <v>-3.6522114468851044</v>
      </c>
      <c r="O475" s="2679">
        <f t="shared" si="168"/>
        <v>39.64575063758079</v>
      </c>
    </row>
    <row r="476" spans="2:15" ht="12" customHeight="1">
      <c r="B476" s="2641"/>
      <c r="C476" s="2641"/>
      <c r="D476" s="2641"/>
      <c r="E476" s="2681">
        <f>E475+E459+E443+E411</f>
        <v>13093.422672166524</v>
      </c>
      <c r="F476" s="2681">
        <f>F475+F459+F443+F411</f>
        <v>4201.2599999999984</v>
      </c>
      <c r="G476" s="2641"/>
      <c r="H476" s="2641"/>
      <c r="I476" s="2641"/>
      <c r="J476" s="2641"/>
      <c r="K476" s="2642"/>
      <c r="L476" s="2642"/>
      <c r="M476" s="2643"/>
      <c r="N476" s="2642"/>
      <c r="O476" s="2642"/>
    </row>
    <row r="477" spans="2:15" ht="12" customHeight="1">
      <c r="B477" s="2641"/>
      <c r="C477" s="2641"/>
      <c r="D477" s="2641"/>
      <c r="E477" s="2641"/>
      <c r="F477" s="2641"/>
      <c r="G477" s="2641"/>
      <c r="H477" s="2641"/>
      <c r="I477" s="2641"/>
      <c r="J477" s="2641"/>
      <c r="K477" s="2642"/>
      <c r="L477" s="2642"/>
      <c r="M477" s="2643"/>
      <c r="N477" s="2642"/>
      <c r="O477" s="2642"/>
    </row>
    <row r="478" spans="2:15" ht="12" customHeight="1">
      <c r="B478" s="2641"/>
      <c r="C478" s="2641"/>
      <c r="D478" s="2641"/>
      <c r="E478" s="2641"/>
      <c r="F478" s="2641"/>
      <c r="G478" s="2641"/>
      <c r="H478" s="2641"/>
      <c r="I478" s="2641"/>
      <c r="J478" s="2641"/>
      <c r="K478" s="2642"/>
      <c r="L478" s="2642"/>
      <c r="M478" s="2643"/>
      <c r="N478" s="2642"/>
      <c r="O478" s="2642"/>
    </row>
    <row r="479" spans="2:15" ht="12" customHeight="1">
      <c r="B479" s="2640" t="s">
        <v>395</v>
      </c>
      <c r="C479" s="2641"/>
      <c r="D479" s="2641"/>
      <c r="E479" s="2641"/>
      <c r="F479" s="2641"/>
      <c r="G479" s="2641"/>
      <c r="H479" s="2641"/>
      <c r="I479" s="2641"/>
      <c r="J479" s="2641"/>
      <c r="K479" s="2642"/>
      <c r="L479" s="2642"/>
      <c r="M479" s="2643"/>
      <c r="N479" s="2642"/>
      <c r="O479" s="2642"/>
    </row>
    <row r="480" spans="2:15" ht="12" customHeight="1">
      <c r="B480" s="3179"/>
      <c r="C480" s="3181" t="s">
        <v>281</v>
      </c>
      <c r="D480" s="3182"/>
      <c r="E480" s="3182"/>
      <c r="F480" s="3183"/>
      <c r="G480" s="3181" t="s">
        <v>735</v>
      </c>
      <c r="H480" s="3183"/>
      <c r="I480" s="3184" t="s">
        <v>736</v>
      </c>
      <c r="J480" s="3185"/>
      <c r="K480" s="2642"/>
      <c r="L480" s="2642"/>
      <c r="M480" s="2643"/>
      <c r="N480" s="2642"/>
      <c r="O480" s="2642"/>
    </row>
    <row r="481" spans="2:15" ht="12" customHeight="1">
      <c r="B481" s="3180"/>
      <c r="C481" s="2626" t="s">
        <v>946</v>
      </c>
      <c r="D481" s="2626" t="s">
        <v>947</v>
      </c>
      <c r="E481" s="2626" t="s">
        <v>948</v>
      </c>
      <c r="F481" s="2626" t="s">
        <v>851</v>
      </c>
      <c r="G481" s="2665" t="s">
        <v>440</v>
      </c>
      <c r="H481" s="2665" t="s">
        <v>599</v>
      </c>
      <c r="I481" s="2665" t="s">
        <v>440</v>
      </c>
      <c r="J481" s="2665" t="s">
        <v>599</v>
      </c>
      <c r="K481" s="2642"/>
      <c r="L481" s="2642"/>
      <c r="M481" s="2643"/>
      <c r="N481" s="2642"/>
      <c r="O481" s="2642"/>
    </row>
    <row r="482" spans="2:15" ht="12" customHeight="1">
      <c r="B482" s="2668" t="s">
        <v>6</v>
      </c>
      <c r="C482" s="2669">
        <f>C66</f>
        <v>29.221689469999998</v>
      </c>
      <c r="D482" s="2669">
        <f>D66</f>
        <v>119.22944493</v>
      </c>
      <c r="E482" s="2669">
        <f>E66</f>
        <v>62.644678620000001</v>
      </c>
      <c r="F482" s="2669">
        <f>F66</f>
        <v>8.2884133890742238</v>
      </c>
      <c r="G482" s="2670">
        <f t="shared" ref="G482:G492" si="169">E482-D482</f>
        <v>-56.584766309999999</v>
      </c>
      <c r="H482" s="2671">
        <f t="shared" ref="H482:H492" si="170">G482/D482*100</f>
        <v>-47.458718224530109</v>
      </c>
      <c r="I482" s="2669">
        <f t="shared" ref="I482:I492" si="171">E482-F482</f>
        <v>54.356265230925779</v>
      </c>
      <c r="J482" s="2669">
        <f t="shared" ref="J482:J492" si="172">E482/F482*100</f>
        <v>755.81025799917438</v>
      </c>
      <c r="K482" s="2694">
        <v>40.516384909999992</v>
      </c>
      <c r="L482" s="2642"/>
      <c r="M482" s="2643"/>
      <c r="N482" s="2642"/>
      <c r="O482" s="2642"/>
    </row>
    <row r="483" spans="2:15" ht="12" customHeight="1">
      <c r="B483" s="2668" t="s">
        <v>7</v>
      </c>
      <c r="C483" s="2669">
        <f>C96</f>
        <v>138.3148176</v>
      </c>
      <c r="D483" s="2669">
        <f>D96</f>
        <v>415.2198176</v>
      </c>
      <c r="E483" s="2669">
        <f>E96</f>
        <v>260.36281760000003</v>
      </c>
      <c r="F483" s="2669">
        <f>F96</f>
        <v>39.2314889007408</v>
      </c>
      <c r="G483" s="2670">
        <f t="shared" si="169"/>
        <v>-154.85699999999997</v>
      </c>
      <c r="H483" s="2671">
        <f t="shared" si="170"/>
        <v>-37.295185209387263</v>
      </c>
      <c r="I483" s="2669">
        <f t="shared" si="171"/>
        <v>221.13132869925923</v>
      </c>
      <c r="J483" s="2669">
        <f t="shared" si="172"/>
        <v>663.65775272700307</v>
      </c>
      <c r="K483" s="2694">
        <v>186.85881760000001</v>
      </c>
      <c r="L483" s="2642"/>
      <c r="M483" s="2643"/>
      <c r="N483" s="2642"/>
      <c r="O483" s="2642"/>
    </row>
    <row r="484" spans="2:15" ht="12" customHeight="1">
      <c r="B484" s="2668" t="s">
        <v>8</v>
      </c>
      <c r="C484" s="2669">
        <f>C126</f>
        <v>12.958085540000001</v>
      </c>
      <c r="D484" s="2669">
        <f>D126</f>
        <v>18.899909079999993</v>
      </c>
      <c r="E484" s="2669">
        <f>E126</f>
        <v>16.583006649999994</v>
      </c>
      <c r="F484" s="2669">
        <f>F126</f>
        <v>3.6754195816353366</v>
      </c>
      <c r="G484" s="2670">
        <f t="shared" si="169"/>
        <v>-2.316902429999999</v>
      </c>
      <c r="H484" s="2671">
        <f t="shared" si="170"/>
        <v>-12.258801987845329</v>
      </c>
      <c r="I484" s="2669">
        <f t="shared" si="171"/>
        <v>12.907587068364657</v>
      </c>
      <c r="J484" s="2669">
        <f t="shared" si="172"/>
        <v>451.18676335237814</v>
      </c>
      <c r="K484" s="2694">
        <v>13.530441500000002</v>
      </c>
      <c r="L484" s="2642"/>
      <c r="M484" s="2643"/>
      <c r="N484" s="2642"/>
      <c r="O484" s="2642"/>
    </row>
    <row r="485" spans="2:15" ht="12" customHeight="1">
      <c r="B485" s="2668" t="s">
        <v>4</v>
      </c>
      <c r="C485" s="2669">
        <f>C156</f>
        <v>0</v>
      </c>
      <c r="D485" s="2669">
        <f>D156</f>
        <v>0</v>
      </c>
      <c r="E485" s="2669">
        <f>E156</f>
        <v>23.565210099999998</v>
      </c>
      <c r="F485" s="2669">
        <f>F156</f>
        <v>0</v>
      </c>
      <c r="G485" s="2670">
        <f t="shared" si="169"/>
        <v>23.565210099999998</v>
      </c>
      <c r="H485" s="2671" t="e">
        <f t="shared" si="170"/>
        <v>#DIV/0!</v>
      </c>
      <c r="I485" s="2669">
        <f t="shared" si="171"/>
        <v>23.565210099999998</v>
      </c>
      <c r="J485" s="2669" t="e">
        <f t="shared" si="172"/>
        <v>#DIV/0!</v>
      </c>
      <c r="K485" s="2694">
        <v>0</v>
      </c>
      <c r="L485" s="2642"/>
      <c r="M485" s="2643"/>
      <c r="N485" s="2642"/>
      <c r="O485" s="2642"/>
    </row>
    <row r="486" spans="2:15" ht="12" customHeight="1">
      <c r="B486" s="2668" t="s">
        <v>3</v>
      </c>
      <c r="C486" s="2669">
        <f>C186</f>
        <v>14.99511571</v>
      </c>
      <c r="D486" s="2669">
        <f>D186</f>
        <v>13.255698430000001</v>
      </c>
      <c r="E486" s="2669">
        <f>E186</f>
        <v>18.47395027</v>
      </c>
      <c r="F486" s="2669">
        <f>F186</f>
        <v>4.2532009639304835</v>
      </c>
      <c r="G486" s="2670">
        <f t="shared" si="169"/>
        <v>5.2182518399999989</v>
      </c>
      <c r="H486" s="2671">
        <f t="shared" si="170"/>
        <v>39.366102567558173</v>
      </c>
      <c r="I486" s="2669">
        <f t="shared" si="171"/>
        <v>14.220749306069516</v>
      </c>
      <c r="J486" s="2669">
        <f t="shared" si="172"/>
        <v>434.35404126608177</v>
      </c>
      <c r="K486" s="2694">
        <v>9.9028192599999993</v>
      </c>
      <c r="L486" s="2642"/>
      <c r="M486" s="2643"/>
      <c r="N486" s="2642"/>
      <c r="O486" s="2642"/>
    </row>
    <row r="487" spans="2:15" ht="12" customHeight="1">
      <c r="B487" s="2668" t="s">
        <v>397</v>
      </c>
      <c r="C487" s="2669">
        <f>C216</f>
        <v>174.70513602999966</v>
      </c>
      <c r="D487" s="2669">
        <f>D216</f>
        <v>167.70260928999977</v>
      </c>
      <c r="E487" s="2669">
        <f>E216</f>
        <v>186.27215485999966</v>
      </c>
      <c r="F487" s="2669">
        <f>F216</f>
        <v>49.553205679557955</v>
      </c>
      <c r="G487" s="2670">
        <f t="shared" si="169"/>
        <v>18.569545569999889</v>
      </c>
      <c r="H487" s="2671">
        <f t="shared" si="170"/>
        <v>11.072901995155304</v>
      </c>
      <c r="I487" s="2669">
        <f t="shared" si="171"/>
        <v>136.71894918044171</v>
      </c>
      <c r="J487" s="2669">
        <f t="shared" si="172"/>
        <v>375.90333926033367</v>
      </c>
      <c r="K487" s="2694">
        <v>181.72089863999966</v>
      </c>
      <c r="L487" s="2642"/>
      <c r="M487" s="2643"/>
      <c r="N487" s="2642"/>
      <c r="O487" s="2642"/>
    </row>
    <row r="488" spans="2:15" ht="12" customHeight="1">
      <c r="B488" s="2668" t="s">
        <v>399</v>
      </c>
      <c r="C488" s="2669">
        <f>C246</f>
        <v>56.895809969999974</v>
      </c>
      <c r="D488" s="2669">
        <f>D246</f>
        <v>92.246367250000006</v>
      </c>
      <c r="E488" s="2669">
        <f>E246</f>
        <v>134.61099999999999</v>
      </c>
      <c r="F488" s="2669">
        <f>F246</f>
        <v>16.137875724868913</v>
      </c>
      <c r="G488" s="2670">
        <f t="shared" si="169"/>
        <v>42.364632749999984</v>
      </c>
      <c r="H488" s="2671">
        <f t="shared" si="170"/>
        <v>45.925529658188225</v>
      </c>
      <c r="I488" s="2669">
        <f t="shared" si="171"/>
        <v>118.47312427513108</v>
      </c>
      <c r="J488" s="2669">
        <f t="shared" si="172"/>
        <v>834.13085027393481</v>
      </c>
      <c r="K488" s="2694">
        <v>94.409200499999969</v>
      </c>
      <c r="L488" s="2642"/>
      <c r="M488" s="2643"/>
      <c r="N488" s="2642"/>
      <c r="O488" s="2642"/>
    </row>
    <row r="489" spans="2:15" ht="12" customHeight="1">
      <c r="B489" s="2668" t="s">
        <v>883</v>
      </c>
      <c r="C489" s="2669">
        <f>C276</f>
        <v>2.8275298200000107</v>
      </c>
      <c r="D489" s="2669">
        <f>D276</f>
        <v>6.6613422800000031</v>
      </c>
      <c r="E489" s="2669">
        <f>E276</f>
        <v>6.5840602300000137</v>
      </c>
      <c r="F489" s="2669">
        <f>F276</f>
        <v>0.8019979831130114</v>
      </c>
      <c r="G489" s="2670">
        <f t="shared" si="169"/>
        <v>-7.7282049999989333E-2</v>
      </c>
      <c r="H489" s="2671">
        <f t="shared" si="170"/>
        <v>-1.1601573189238565</v>
      </c>
      <c r="I489" s="2669">
        <f t="shared" si="171"/>
        <v>5.7820622468870022</v>
      </c>
      <c r="J489" s="2669">
        <f t="shared" si="172"/>
        <v>820.95720545873723</v>
      </c>
      <c r="K489" s="2694">
        <v>7.4886015500000136</v>
      </c>
      <c r="L489" s="2642"/>
      <c r="M489" s="2643"/>
      <c r="N489" s="2642"/>
      <c r="O489" s="2642"/>
    </row>
    <row r="490" spans="2:15" ht="12" customHeight="1">
      <c r="B490" s="2668" t="s">
        <v>884</v>
      </c>
      <c r="C490" s="2669">
        <f>C306</f>
        <v>22.240932279999949</v>
      </c>
      <c r="D490" s="2669">
        <f>D306</f>
        <v>28.991820109999971</v>
      </c>
      <c r="E490" s="2669">
        <f>E306</f>
        <v>27.683548869999942</v>
      </c>
      <c r="F490" s="2669">
        <f>F306</f>
        <v>6.3083977770791329</v>
      </c>
      <c r="G490" s="2670">
        <f t="shared" si="169"/>
        <v>-1.3082712400000283</v>
      </c>
      <c r="H490" s="2671">
        <f t="shared" si="170"/>
        <v>-4.5125529719632</v>
      </c>
      <c r="I490" s="2669">
        <f t="shared" si="171"/>
        <v>21.37515109292081</v>
      </c>
      <c r="J490" s="2669">
        <f t="shared" si="172"/>
        <v>438.83645020903816</v>
      </c>
      <c r="K490" s="2694">
        <v>28.210542520000018</v>
      </c>
      <c r="L490" s="2642"/>
      <c r="M490" s="2643"/>
      <c r="N490" s="2642"/>
      <c r="O490" s="2642"/>
    </row>
    <row r="491" spans="2:15" ht="12" customHeight="1">
      <c r="B491" s="2668" t="s">
        <v>885</v>
      </c>
      <c r="C491" s="2669">
        <f>C336</f>
        <v>0</v>
      </c>
      <c r="D491" s="2669">
        <f>D336</f>
        <v>0</v>
      </c>
      <c r="E491" s="2669">
        <f>E336</f>
        <v>0</v>
      </c>
      <c r="F491" s="2669">
        <f>F336</f>
        <v>0</v>
      </c>
      <c r="G491" s="2670">
        <f t="shared" si="169"/>
        <v>0</v>
      </c>
      <c r="H491" s="2671" t="e">
        <f t="shared" si="170"/>
        <v>#DIV/0!</v>
      </c>
      <c r="I491" s="2669">
        <f t="shared" si="171"/>
        <v>0</v>
      </c>
      <c r="J491" s="2669" t="e">
        <f t="shared" si="172"/>
        <v>#DIV/0!</v>
      </c>
      <c r="K491" s="2694">
        <v>0</v>
      </c>
      <c r="L491" s="2642"/>
      <c r="M491" s="2643"/>
      <c r="N491" s="2642"/>
      <c r="O491" s="2642"/>
    </row>
    <row r="492" spans="2:15" ht="12" customHeight="1">
      <c r="B492" s="2675" t="s">
        <v>933</v>
      </c>
      <c r="C492" s="2676">
        <f>SUM(C482:C491)</f>
        <v>452.15911641999958</v>
      </c>
      <c r="D492" s="2676">
        <f>SUM(D482:D491)</f>
        <v>862.20700896999972</v>
      </c>
      <c r="E492" s="2676">
        <f>SUM(E482:E491)</f>
        <v>736.78042719999962</v>
      </c>
      <c r="F492" s="2676">
        <f>SUM(F482:F491)</f>
        <v>128.24999999999986</v>
      </c>
      <c r="G492" s="2677">
        <f t="shared" si="169"/>
        <v>-125.4265817700001</v>
      </c>
      <c r="H492" s="2671">
        <f t="shared" si="170"/>
        <v>-14.547154043648499</v>
      </c>
      <c r="I492" s="2678">
        <f t="shared" si="171"/>
        <v>608.53042719999974</v>
      </c>
      <c r="J492" s="2678">
        <f t="shared" si="172"/>
        <v>574.48766253411338</v>
      </c>
      <c r="K492" s="2642">
        <f>SUM(K482:K491)</f>
        <v>562.63770647999968</v>
      </c>
      <c r="L492" s="2642"/>
      <c r="M492" s="2643"/>
      <c r="N492" s="2642"/>
      <c r="O492" s="2642"/>
    </row>
    <row r="493" spans="2:15" ht="12" customHeight="1">
      <c r="B493" s="2641"/>
      <c r="C493" s="2641"/>
      <c r="D493" s="2641"/>
      <c r="E493" s="2641"/>
      <c r="F493" s="2641"/>
      <c r="G493" s="2641"/>
      <c r="H493" s="2641"/>
      <c r="I493" s="2641"/>
      <c r="J493" s="2641"/>
      <c r="K493" s="2642"/>
      <c r="L493" s="2642"/>
      <c r="M493" s="2643"/>
      <c r="N493" s="2642"/>
      <c r="O493" s="2642"/>
    </row>
    <row r="494" spans="2:15" ht="12" customHeight="1">
      <c r="B494" s="2641"/>
      <c r="C494" s="2641"/>
      <c r="D494" s="2641"/>
      <c r="E494" s="2641"/>
      <c r="F494" s="2641"/>
      <c r="G494" s="2641"/>
      <c r="H494" s="2641"/>
      <c r="I494" s="2641"/>
      <c r="J494" s="2641"/>
      <c r="K494" s="2642"/>
      <c r="L494" s="2642"/>
      <c r="M494" s="2643"/>
      <c r="N494" s="2642"/>
      <c r="O494" s="2642"/>
    </row>
    <row r="495" spans="2:15" ht="12" customHeight="1">
      <c r="B495" s="2641"/>
      <c r="C495" s="2641"/>
      <c r="D495" s="2641"/>
      <c r="E495" s="2641"/>
      <c r="F495" s="2641"/>
      <c r="G495" s="2641"/>
      <c r="H495" s="2641"/>
      <c r="I495" s="2641"/>
      <c r="J495" s="2641"/>
      <c r="K495" s="2642"/>
      <c r="L495" s="2642"/>
      <c r="M495" s="2643"/>
      <c r="N495" s="2642"/>
      <c r="O495" s="2642"/>
    </row>
    <row r="496" spans="2:15" ht="12" customHeight="1">
      <c r="B496" s="2641"/>
      <c r="C496" s="2641"/>
      <c r="D496" s="2641"/>
      <c r="E496" s="2641"/>
      <c r="F496" s="2641"/>
      <c r="G496" s="2641"/>
      <c r="H496" s="2641"/>
      <c r="I496" s="2641"/>
      <c r="J496" s="2641"/>
      <c r="K496" s="2642"/>
      <c r="L496" s="2642"/>
      <c r="M496" s="2643"/>
      <c r="N496" s="2642"/>
      <c r="O496" s="2642"/>
    </row>
    <row r="497" spans="2:15" ht="12" customHeight="1">
      <c r="B497" s="3217" t="s">
        <v>845</v>
      </c>
      <c r="C497" s="3219" t="s">
        <v>281</v>
      </c>
      <c r="D497" s="3220"/>
      <c r="E497" s="3220"/>
      <c r="F497" s="3221"/>
      <c r="G497" s="3219" t="s">
        <v>735</v>
      </c>
      <c r="H497" s="3221"/>
      <c r="I497" s="3219" t="s">
        <v>846</v>
      </c>
      <c r="J497" s="3221"/>
      <c r="K497" s="2682"/>
      <c r="L497" s="3217" t="s">
        <v>847</v>
      </c>
      <c r="M497" s="3219" t="s">
        <v>281</v>
      </c>
      <c r="N497" s="3220"/>
      <c r="O497" s="3220"/>
    </row>
    <row r="498" spans="2:15" ht="12" customHeight="1">
      <c r="B498" s="3218"/>
      <c r="C498" s="2683" t="s">
        <v>838</v>
      </c>
      <c r="D498" s="2683" t="s">
        <v>839</v>
      </c>
      <c r="E498" s="2683" t="s">
        <v>840</v>
      </c>
      <c r="F498" s="2683" t="s">
        <v>730</v>
      </c>
      <c r="G498" s="2683" t="s">
        <v>440</v>
      </c>
      <c r="H498" s="2683" t="s">
        <v>599</v>
      </c>
      <c r="I498" s="2683" t="s">
        <v>440</v>
      </c>
      <c r="J498" s="2683" t="s">
        <v>599</v>
      </c>
      <c r="K498" s="2682"/>
      <c r="L498" s="3218"/>
      <c r="M498" s="2653" t="s">
        <v>838</v>
      </c>
      <c r="N498" s="2683" t="s">
        <v>839</v>
      </c>
      <c r="O498" s="2683" t="s">
        <v>840</v>
      </c>
    </row>
    <row r="499" spans="2:15" ht="12" customHeight="1">
      <c r="B499" s="2644" t="s">
        <v>6</v>
      </c>
      <c r="C499" s="2648">
        <f>C63</f>
        <v>177.9647588</v>
      </c>
      <c r="D499" s="2648">
        <f>D63</f>
        <v>257.36040410999999</v>
      </c>
      <c r="E499" s="2648">
        <f>E63</f>
        <v>307.01675879999999</v>
      </c>
      <c r="F499" s="2648">
        <f>F63</f>
        <v>10.299637363427117</v>
      </c>
      <c r="G499" s="2646">
        <f t="shared" ref="G499:G509" si="173">E499-D499</f>
        <v>49.656354690000001</v>
      </c>
      <c r="H499" s="2664">
        <f t="shared" ref="H499:H509" si="174">G499/D499*100</f>
        <v>19.294481162213312</v>
      </c>
      <c r="I499" s="2648">
        <f t="shared" ref="I499:I509" si="175">E499-F499</f>
        <v>296.71712143657288</v>
      </c>
      <c r="J499" s="2648">
        <f t="shared" ref="J499:J509" si="176">E499/F499*100</f>
        <v>2980.8501791546842</v>
      </c>
      <c r="K499" s="2684"/>
      <c r="L499" s="2644" t="s">
        <v>6</v>
      </c>
      <c r="M499" s="2685">
        <f>C64</f>
        <v>28.899000000000001</v>
      </c>
      <c r="N499" s="2648">
        <f>D64</f>
        <v>28.899000000000001</v>
      </c>
      <c r="O499" s="2648">
        <f>E64</f>
        <v>28.899000000000001</v>
      </c>
    </row>
    <row r="500" spans="2:15" ht="12" customHeight="1">
      <c r="B500" s="2644" t="s">
        <v>7</v>
      </c>
      <c r="C500" s="2648">
        <f>C93</f>
        <v>120.79326428999997</v>
      </c>
      <c r="D500" s="2648">
        <f>D93</f>
        <v>64.710815079999989</v>
      </c>
      <c r="E500" s="2648">
        <f>E93</f>
        <v>147.11199999999999</v>
      </c>
      <c r="F500" s="2648">
        <f>F93</f>
        <v>6.99086058678495</v>
      </c>
      <c r="G500" s="2646">
        <f t="shared" si="173"/>
        <v>82.401184920000006</v>
      </c>
      <c r="H500" s="2664">
        <f t="shared" si="174"/>
        <v>127.33757845289068</v>
      </c>
      <c r="I500" s="2648">
        <f t="shared" si="175"/>
        <v>140.12113941321505</v>
      </c>
      <c r="J500" s="2648">
        <f t="shared" si="176"/>
        <v>2104.3475001931888</v>
      </c>
      <c r="K500" s="2684"/>
      <c r="L500" s="2644" t="s">
        <v>7</v>
      </c>
      <c r="M500" s="2685">
        <f>C94</f>
        <v>0</v>
      </c>
      <c r="N500" s="2648">
        <f>D94</f>
        <v>0</v>
      </c>
      <c r="O500" s="2648">
        <f>E94</f>
        <v>0</v>
      </c>
    </row>
    <row r="501" spans="2:15" ht="12" customHeight="1">
      <c r="B501" s="2644" t="s">
        <v>8</v>
      </c>
      <c r="C501" s="2648">
        <f>C123</f>
        <v>335.9196585900001</v>
      </c>
      <c r="D501" s="2648">
        <f>D123</f>
        <v>250.85398080000002</v>
      </c>
      <c r="E501" s="2648">
        <f>E123</f>
        <v>769.19647291999627</v>
      </c>
      <c r="F501" s="2648">
        <f>F123</f>
        <v>19.441212350426571</v>
      </c>
      <c r="G501" s="2646">
        <f t="shared" si="173"/>
        <v>518.34249211999622</v>
      </c>
      <c r="H501" s="2664">
        <f t="shared" si="174"/>
        <v>206.63116067241464</v>
      </c>
      <c r="I501" s="2648">
        <f t="shared" si="175"/>
        <v>749.75526056956971</v>
      </c>
      <c r="J501" s="2648">
        <f t="shared" si="176"/>
        <v>3956.5252364681819</v>
      </c>
      <c r="K501" s="2684"/>
      <c r="L501" s="2644" t="s">
        <v>8</v>
      </c>
      <c r="M501" s="2685">
        <f>C124</f>
        <v>7.6198801900000008</v>
      </c>
      <c r="N501" s="2648">
        <f>D124</f>
        <v>7.6163220899999997</v>
      </c>
      <c r="O501" s="2648">
        <f>E124</f>
        <v>7.6162554299999989</v>
      </c>
    </row>
    <row r="502" spans="2:15" ht="12" customHeight="1">
      <c r="B502" s="2644" t="s">
        <v>4</v>
      </c>
      <c r="C502" s="2648">
        <f>C153</f>
        <v>121.64311872999997</v>
      </c>
      <c r="D502" s="2648">
        <f>D153</f>
        <v>71.363574399999962</v>
      </c>
      <c r="E502" s="2648">
        <f>E153</f>
        <v>14.06040285999997</v>
      </c>
      <c r="F502" s="2648">
        <f>F153</f>
        <v>7.0400455636462143</v>
      </c>
      <c r="G502" s="2646">
        <f t="shared" si="173"/>
        <v>-57.303171539999994</v>
      </c>
      <c r="H502" s="2664">
        <f t="shared" si="174"/>
        <v>-80.297507547491946</v>
      </c>
      <c r="I502" s="2648">
        <f t="shared" si="175"/>
        <v>7.0203572963537555</v>
      </c>
      <c r="J502" s="2648">
        <f t="shared" si="176"/>
        <v>199.72033892231994</v>
      </c>
      <c r="K502" s="2684"/>
      <c r="L502" s="2644" t="s">
        <v>4</v>
      </c>
      <c r="M502" s="2685">
        <f>C154</f>
        <v>0</v>
      </c>
      <c r="N502" s="2648">
        <f>D154</f>
        <v>0</v>
      </c>
      <c r="O502" s="2648">
        <f>E154</f>
        <v>0</v>
      </c>
    </row>
    <row r="503" spans="2:15" ht="12" customHeight="1">
      <c r="B503" s="2644" t="s">
        <v>3</v>
      </c>
      <c r="C503" s="2648">
        <f>C183</f>
        <v>2122.5854498799999</v>
      </c>
      <c r="D503" s="2648">
        <f>D183</f>
        <v>1224.7550865060002</v>
      </c>
      <c r="E503" s="2648">
        <f>E183</f>
        <v>2149.9924635699986</v>
      </c>
      <c r="F503" s="2648">
        <f>F183</f>
        <v>122.84376161922908</v>
      </c>
      <c r="G503" s="2646">
        <f t="shared" si="173"/>
        <v>925.23737706399834</v>
      </c>
      <c r="H503" s="2646">
        <f t="shared" si="174"/>
        <v>75.544685403473565</v>
      </c>
      <c r="I503" s="2648">
        <f t="shared" si="175"/>
        <v>2027.1487019507695</v>
      </c>
      <c r="J503" s="2648">
        <f t="shared" si="176"/>
        <v>1750.1844906330628</v>
      </c>
      <c r="K503" s="2684"/>
      <c r="L503" s="2644" t="s">
        <v>3</v>
      </c>
      <c r="M503" s="2685">
        <f>C184</f>
        <v>6.3851093799999994</v>
      </c>
      <c r="N503" s="2648">
        <f>D184</f>
        <v>6.7564517099999977</v>
      </c>
      <c r="O503" s="2648">
        <f>E184</f>
        <v>9.834354750000001</v>
      </c>
    </row>
    <row r="504" spans="2:15" ht="12" customHeight="1">
      <c r="B504" s="2644" t="s">
        <v>397</v>
      </c>
      <c r="C504" s="2648">
        <f>C213</f>
        <v>177.98392722</v>
      </c>
      <c r="D504" s="2648">
        <f>D213</f>
        <v>184.93666813999999</v>
      </c>
      <c r="E504" s="2648">
        <f>E213</f>
        <v>177.98392722</v>
      </c>
      <c r="F504" s="2648">
        <f>F213</f>
        <v>10.300746727866239</v>
      </c>
      <c r="G504" s="2646">
        <f t="shared" si="173"/>
        <v>-6.9527409199999965</v>
      </c>
      <c r="H504" s="2646">
        <f t="shared" si="174"/>
        <v>-3.7595253499087917</v>
      </c>
      <c r="I504" s="2648">
        <f t="shared" si="175"/>
        <v>167.68318049213377</v>
      </c>
      <c r="J504" s="2648">
        <f t="shared" si="176"/>
        <v>1727.8740262441993</v>
      </c>
      <c r="K504" s="2684"/>
      <c r="L504" s="2644" t="s">
        <v>9</v>
      </c>
      <c r="M504" s="2685">
        <f>C214</f>
        <v>12.057969999999999</v>
      </c>
      <c r="N504" s="2648">
        <f>D214</f>
        <v>12.057969999999999</v>
      </c>
      <c r="O504" s="2648">
        <f>E214</f>
        <v>12.057969999999999</v>
      </c>
    </row>
    <row r="505" spans="2:15" ht="12" customHeight="1">
      <c r="B505" s="2644" t="s">
        <v>399</v>
      </c>
      <c r="C505" s="2648">
        <f>C243</f>
        <v>57.204291219999988</v>
      </c>
      <c r="D505" s="2648">
        <f>D243</f>
        <v>87.389948289999978</v>
      </c>
      <c r="E505" s="2648">
        <f>E243</f>
        <v>47.659614929999982</v>
      </c>
      <c r="F505" s="2648">
        <f>F243</f>
        <v>3.3106748727708082</v>
      </c>
      <c r="G505" s="2646">
        <f t="shared" si="173"/>
        <v>-39.730333359999996</v>
      </c>
      <c r="H505" s="2646">
        <f t="shared" si="174"/>
        <v>-45.463275968714967</v>
      </c>
      <c r="I505" s="2648">
        <f t="shared" si="175"/>
        <v>44.348940057229171</v>
      </c>
      <c r="J505" s="2648">
        <f t="shared" si="176"/>
        <v>1439.5740071604237</v>
      </c>
      <c r="K505" s="2684"/>
      <c r="L505" s="2644" t="s">
        <v>5</v>
      </c>
      <c r="M505" s="2685">
        <f>C244</f>
        <v>0</v>
      </c>
      <c r="N505" s="2648">
        <f>D244</f>
        <v>0</v>
      </c>
      <c r="O505" s="2648">
        <f>E244</f>
        <v>0</v>
      </c>
    </row>
    <row r="506" spans="2:15" ht="12" customHeight="1">
      <c r="B506" s="2644" t="s">
        <v>883</v>
      </c>
      <c r="C506" s="2648">
        <f>C273</f>
        <v>270.8055054699999</v>
      </c>
      <c r="D506" s="2648">
        <f>D273</f>
        <v>214.63989830999998</v>
      </c>
      <c r="E506" s="2648">
        <f>E273</f>
        <v>83.466646409999925</v>
      </c>
      <c r="F506" s="2648">
        <f>F273</f>
        <v>15.672757467084416</v>
      </c>
      <c r="G506" s="2646">
        <f t="shared" si="173"/>
        <v>-131.17325190000005</v>
      </c>
      <c r="H506" s="2646">
        <f t="shared" si="174"/>
        <v>-61.113172775803889</v>
      </c>
      <c r="I506" s="2648">
        <f t="shared" si="175"/>
        <v>67.793888942915515</v>
      </c>
      <c r="J506" s="2648">
        <f t="shared" si="176"/>
        <v>532.55878287719793</v>
      </c>
      <c r="K506" s="2684"/>
      <c r="L506" s="2644" t="s">
        <v>11</v>
      </c>
      <c r="M506" s="2685">
        <f>C274</f>
        <v>5.8418729268109892</v>
      </c>
      <c r="N506" s="2648">
        <f>D274</f>
        <v>6.2548729268109815</v>
      </c>
      <c r="O506" s="2648">
        <f>E274</f>
        <v>5.8624423068109826</v>
      </c>
    </row>
    <row r="507" spans="2:15" ht="12" customHeight="1">
      <c r="B507" s="2644" t="s">
        <v>884</v>
      </c>
      <c r="C507" s="2648">
        <f>C303</f>
        <v>198.33768066299999</v>
      </c>
      <c r="D507" s="2648">
        <f>D303</f>
        <v>146.11723602300006</v>
      </c>
      <c r="E507" s="2648">
        <f>E303</f>
        <v>7.3300276100004558</v>
      </c>
      <c r="F507" s="2648">
        <f>F303</f>
        <v>11.478711853439775</v>
      </c>
      <c r="G507" s="2646">
        <f t="shared" si="173"/>
        <v>-138.7872084129996</v>
      </c>
      <c r="H507" s="2686">
        <f t="shared" si="174"/>
        <v>-94.983461356436663</v>
      </c>
      <c r="I507" s="2648">
        <f t="shared" si="175"/>
        <v>-4.1486842434393187</v>
      </c>
      <c r="J507" s="2648">
        <f t="shared" si="176"/>
        <v>63.857580045481313</v>
      </c>
      <c r="K507" s="2684"/>
      <c r="L507" s="2644" t="s">
        <v>10</v>
      </c>
      <c r="M507" s="2685">
        <f>C304</f>
        <v>0.71119624000001935</v>
      </c>
      <c r="N507" s="2648">
        <f>D304</f>
        <v>4.3320724400000179</v>
      </c>
      <c r="O507" s="2648">
        <f>E304</f>
        <v>0.15957847000006586</v>
      </c>
    </row>
    <row r="508" spans="2:15" ht="12" customHeight="1">
      <c r="B508" s="2644" t="s">
        <v>885</v>
      </c>
      <c r="C508" s="2648">
        <f>C333</f>
        <v>66.37786337</v>
      </c>
      <c r="D508" s="2648">
        <f>D333</f>
        <v>88.479080750000094</v>
      </c>
      <c r="E508" s="2648">
        <f>E333</f>
        <v>34.874698299999999</v>
      </c>
      <c r="F508" s="2648">
        <f>F333</f>
        <v>3.8415915953249513</v>
      </c>
      <c r="G508" s="2646">
        <f t="shared" si="173"/>
        <v>-53.604382450000095</v>
      </c>
      <c r="H508" s="2686">
        <f t="shared" si="174"/>
        <v>-60.584244315852068</v>
      </c>
      <c r="I508" s="2648">
        <f t="shared" si="175"/>
        <v>31.033106704675049</v>
      </c>
      <c r="J508" s="2648">
        <f t="shared" si="176"/>
        <v>907.81899727292659</v>
      </c>
      <c r="K508" s="2684"/>
      <c r="L508" s="2644" t="s">
        <v>12</v>
      </c>
      <c r="M508" s="2685">
        <f>C334</f>
        <v>0.76756930000000001</v>
      </c>
      <c r="N508" s="2648">
        <f>D334</f>
        <v>0.76929837999999995</v>
      </c>
      <c r="O508" s="2648">
        <f>E334</f>
        <v>0.76756930000000001</v>
      </c>
    </row>
    <row r="509" spans="2:15" ht="12" customHeight="1">
      <c r="B509" s="2687" t="s">
        <v>933</v>
      </c>
      <c r="C509" s="2688">
        <f>SUM(C499:C508)</f>
        <v>3649.6155182329994</v>
      </c>
      <c r="D509" s="2688">
        <f>SUM(D499:D508)</f>
        <v>2590.606692409001</v>
      </c>
      <c r="E509" s="2688">
        <f>SUM(E499:E508)</f>
        <v>3738.6930126199954</v>
      </c>
      <c r="F509" s="2688">
        <f>SUM(F499:F508)</f>
        <v>211.22000000000011</v>
      </c>
      <c r="G509" s="2689">
        <f t="shared" si="173"/>
        <v>1148.0863202109945</v>
      </c>
      <c r="H509" s="2690">
        <f t="shared" si="174"/>
        <v>44.317276087301032</v>
      </c>
      <c r="I509" s="2691">
        <f t="shared" si="175"/>
        <v>3527.4730126199952</v>
      </c>
      <c r="J509" s="2691">
        <f t="shared" si="176"/>
        <v>1770.0468765363098</v>
      </c>
      <c r="K509" s="2684"/>
      <c r="L509" s="2692" t="s">
        <v>933</v>
      </c>
      <c r="M509" s="2693">
        <f>SUM(M499:M508)</f>
        <v>62.282598036811017</v>
      </c>
      <c r="N509" s="2691">
        <f>SUM(N499:N508)</f>
        <v>66.685987546810992</v>
      </c>
      <c r="O509" s="2691">
        <f>SUM(O499:O508)</f>
        <v>65.197170256811049</v>
      </c>
    </row>
    <row r="510" spans="2:15" ht="12" customHeight="1">
      <c r="B510" s="2641"/>
      <c r="C510" s="2641"/>
      <c r="D510" s="2641"/>
      <c r="E510" s="2641"/>
      <c r="F510" s="2641"/>
      <c r="G510" s="2641"/>
      <c r="H510" s="2641"/>
      <c r="I510" s="2641"/>
      <c r="J510" s="2641"/>
      <c r="K510" s="2642"/>
      <c r="L510" s="2642"/>
      <c r="M510" s="2643"/>
      <c r="N510" s="2642"/>
      <c r="O510" s="2642"/>
    </row>
    <row r="511" spans="2:15" ht="12" customHeight="1">
      <c r="B511" s="2641"/>
      <c r="C511" s="2641"/>
      <c r="D511" s="2641"/>
      <c r="E511" s="2641"/>
      <c r="F511" s="2641"/>
      <c r="G511" s="2641"/>
      <c r="H511" s="2641"/>
      <c r="I511" s="2641"/>
      <c r="J511" s="2641"/>
      <c r="K511" s="2642"/>
      <c r="L511" s="2642"/>
      <c r="M511" s="2643"/>
      <c r="N511" s="2642"/>
      <c r="O511" s="2642"/>
    </row>
    <row r="512" spans="2:15" ht="12" customHeight="1">
      <c r="B512" s="2641"/>
      <c r="C512" s="2641"/>
      <c r="D512" s="2641"/>
      <c r="E512" s="2641"/>
      <c r="F512" s="2641"/>
      <c r="G512" s="2641"/>
      <c r="H512" s="2641"/>
      <c r="I512" s="2641"/>
      <c r="J512" s="2641"/>
      <c r="K512" s="2642"/>
      <c r="L512" s="2642"/>
      <c r="M512" s="2643"/>
      <c r="N512" s="2642"/>
      <c r="O512" s="2642"/>
    </row>
  </sheetData>
  <sortState xmlns:xlrd2="http://schemas.microsoft.com/office/spreadsheetml/2017/richdata2" ref="B419:D432">
    <sortCondition ref="D419"/>
  </sortState>
  <mergeCells count="71">
    <mergeCell ref="L497:L498"/>
    <mergeCell ref="M497:O497"/>
    <mergeCell ref="B480:B481"/>
    <mergeCell ref="C480:F480"/>
    <mergeCell ref="G480:H480"/>
    <mergeCell ref="I480:J480"/>
    <mergeCell ref="B497:B498"/>
    <mergeCell ref="C497:F497"/>
    <mergeCell ref="G497:H497"/>
    <mergeCell ref="I497:J497"/>
    <mergeCell ref="C312:F312"/>
    <mergeCell ref="G312:H312"/>
    <mergeCell ref="C282:F282"/>
    <mergeCell ref="G282:H282"/>
    <mergeCell ref="C252:F252"/>
    <mergeCell ref="G252:H252"/>
    <mergeCell ref="C222:F222"/>
    <mergeCell ref="G222:H222"/>
    <mergeCell ref="C192:F192"/>
    <mergeCell ref="G192:H192"/>
    <mergeCell ref="C162:F162"/>
    <mergeCell ref="G162:H162"/>
    <mergeCell ref="C42:F42"/>
    <mergeCell ref="G42:H42"/>
    <mergeCell ref="C132:F132"/>
    <mergeCell ref="G132:H132"/>
    <mergeCell ref="C102:F102"/>
    <mergeCell ref="G102:H102"/>
    <mergeCell ref="C72:F72"/>
    <mergeCell ref="G72:H72"/>
    <mergeCell ref="B365:B367"/>
    <mergeCell ref="C365:F366"/>
    <mergeCell ref="G365:H366"/>
    <mergeCell ref="I365:J365"/>
    <mergeCell ref="I366:J366"/>
    <mergeCell ref="K382:O383"/>
    <mergeCell ref="I383:J383"/>
    <mergeCell ref="B399:B400"/>
    <mergeCell ref="C399:F399"/>
    <mergeCell ref="G399:H399"/>
    <mergeCell ref="I399:J399"/>
    <mergeCell ref="K399:O399"/>
    <mergeCell ref="I382:J382"/>
    <mergeCell ref="B382:B384"/>
    <mergeCell ref="C382:F383"/>
    <mergeCell ref="G382:H383"/>
    <mergeCell ref="B415:B416"/>
    <mergeCell ref="C415:F415"/>
    <mergeCell ref="G415:H415"/>
    <mergeCell ref="I415:J415"/>
    <mergeCell ref="K415:O415"/>
    <mergeCell ref="B431:B432"/>
    <mergeCell ref="C431:F431"/>
    <mergeCell ref="G431:H431"/>
    <mergeCell ref="I431:J431"/>
    <mergeCell ref="K431:O431"/>
    <mergeCell ref="B447:B448"/>
    <mergeCell ref="C447:F447"/>
    <mergeCell ref="G447:H447"/>
    <mergeCell ref="I447:J447"/>
    <mergeCell ref="K447:O447"/>
    <mergeCell ref="B463:B464"/>
    <mergeCell ref="C463:F463"/>
    <mergeCell ref="G463:H463"/>
    <mergeCell ref="I463:J463"/>
    <mergeCell ref="K463:O463"/>
    <mergeCell ref="K346:O346"/>
    <mergeCell ref="C346:E346"/>
    <mergeCell ref="F346:F347"/>
    <mergeCell ref="G346:H346"/>
    <mergeCell ref="B346:B347"/>
  </mergeCells>
  <pageMargins left="0.23622047244094491" right="0.15748031496062992" top="1.6535433070866143" bottom="0.59055118110236227" header="0.15748031496062992" footer="0.15748031496062992"/>
  <pageSetup paperSize="9" scale="65" orientation="landscape" r:id="rId1"/>
  <rowBreaks count="4" manualBreakCount="4">
    <brk id="100" max="16383" man="1"/>
    <brk id="191" max="16383" man="1"/>
    <brk id="280" max="16383" man="1"/>
    <brk id="343" max="16383" man="1"/>
  </rowBreaks>
</worksheet>
</file>

<file path=xl/worksheets/sheet3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D00-000000000000}">
  <sheetPr>
    <pageSetUpPr fitToPage="1"/>
  </sheetPr>
  <dimension ref="B1:AG422"/>
  <sheetViews>
    <sheetView showGridLines="0" topLeftCell="B1" zoomScale="115" zoomScaleNormal="115" workbookViewId="0">
      <selection activeCell="D30" sqref="D30:E30"/>
    </sheetView>
  </sheetViews>
  <sheetFormatPr baseColWidth="10" defaultColWidth="11.44140625" defaultRowHeight="12.75" customHeight="1"/>
  <cols>
    <col min="1" max="1" width="1.5546875" style="1214" customWidth="1"/>
    <col min="2" max="2" width="42.6640625" style="1214" customWidth="1"/>
    <col min="3" max="3" width="12.44140625" style="1214" hidden="1" customWidth="1"/>
    <col min="4" max="4" width="10.88671875" style="1214" customWidth="1"/>
    <col min="5" max="5" width="13" style="1214" bestFit="1" customWidth="1"/>
    <col min="6" max="6" width="15" style="1214" hidden="1" customWidth="1"/>
    <col min="7" max="7" width="12.6640625" style="1214" hidden="1" customWidth="1"/>
    <col min="8" max="12" width="10.44140625" style="1214" hidden="1" customWidth="1"/>
    <col min="13" max="13" width="10.6640625" style="1215" hidden="1" customWidth="1"/>
    <col min="14" max="14" width="12.88671875" style="1215" hidden="1" customWidth="1"/>
    <col min="15" max="15" width="14" style="1215" hidden="1" customWidth="1"/>
    <col min="16" max="16" width="12" style="1215" hidden="1" customWidth="1"/>
    <col min="17" max="17" width="14.33203125" style="1215" hidden="1" customWidth="1"/>
    <col min="18" max="18" width="14.6640625" style="1214" customWidth="1"/>
    <col min="19" max="16384" width="11.44140625" style="1214"/>
  </cols>
  <sheetData>
    <row r="1" spans="2:20" ht="12.75" customHeight="1">
      <c r="B1" s="1213"/>
      <c r="R1" s="77"/>
    </row>
    <row r="2" spans="2:20" ht="12.75" customHeight="1">
      <c r="B2" s="1213"/>
      <c r="G2" s="1232"/>
      <c r="R2" s="77"/>
    </row>
    <row r="3" spans="2:20" ht="12.75" customHeight="1">
      <c r="B3" s="1216"/>
      <c r="R3" s="77"/>
    </row>
    <row r="4" spans="2:20" ht="12.75" customHeight="1">
      <c r="B4" s="1216"/>
    </row>
    <row r="5" spans="2:20" ht="12.75" customHeight="1">
      <c r="B5" s="1213"/>
    </row>
    <row r="7" spans="2:20" ht="12.75" customHeight="1">
      <c r="C7" s="2041">
        <f>C33-'Solde créances_DCM'!C37</f>
        <v>0</v>
      </c>
      <c r="D7" s="2041">
        <f>D33-'Solde créances_DCM'!D37</f>
        <v>0</v>
      </c>
      <c r="E7" s="2041">
        <f>E33-'Solde créances_DCM'!E37</f>
        <v>0</v>
      </c>
      <c r="F7" s="1232"/>
    </row>
    <row r="8" spans="2:20" ht="12.75" customHeight="1">
      <c r="B8" s="3247" t="s">
        <v>614</v>
      </c>
      <c r="C8" s="3249" t="s">
        <v>281</v>
      </c>
      <c r="D8" s="3250"/>
      <c r="E8" s="3250"/>
      <c r="F8" s="3251"/>
      <c r="G8" s="3252" t="s">
        <v>1178</v>
      </c>
      <c r="H8" s="3253"/>
      <c r="I8" s="3242" t="s">
        <v>1179</v>
      </c>
      <c r="J8" s="3242"/>
      <c r="K8" s="3242" t="s">
        <v>1180</v>
      </c>
      <c r="L8" s="3242"/>
      <c r="M8" s="3243" t="s">
        <v>358</v>
      </c>
      <c r="N8" s="3243"/>
      <c r="O8" s="3243"/>
      <c r="P8" s="3243"/>
      <c r="Q8" s="3243"/>
    </row>
    <row r="9" spans="2:20" ht="12.75" customHeight="1">
      <c r="B9" s="3248"/>
      <c r="C9" s="1217">
        <f>'Solde créances_DCM'!C9</f>
        <v>45291</v>
      </c>
      <c r="D9" s="1217">
        <f>'Solde créances_DCM'!D9</f>
        <v>45139</v>
      </c>
      <c r="E9" s="1217">
        <f>'Solde créances_DCM'!E9</f>
        <v>45505</v>
      </c>
      <c r="F9" s="1218" t="s">
        <v>1098</v>
      </c>
      <c r="G9" s="1218" t="s">
        <v>440</v>
      </c>
      <c r="H9" s="1218" t="s">
        <v>599</v>
      </c>
      <c r="I9" s="1218" t="s">
        <v>440</v>
      </c>
      <c r="J9" s="1218" t="s">
        <v>599</v>
      </c>
      <c r="K9" s="1218" t="s">
        <v>440</v>
      </c>
      <c r="L9" s="1218" t="s">
        <v>599</v>
      </c>
      <c r="M9" s="1217">
        <f>C9</f>
        <v>45291</v>
      </c>
      <c r="N9" s="1217">
        <f>D9</f>
        <v>45139</v>
      </c>
      <c r="O9" s="1217">
        <f>E9</f>
        <v>45505</v>
      </c>
      <c r="P9" s="1269" t="s">
        <v>600</v>
      </c>
      <c r="Q9" s="1269" t="s">
        <v>601</v>
      </c>
    </row>
    <row r="10" spans="2:20" ht="12.75" customHeight="1">
      <c r="B10" s="1220" t="s">
        <v>277</v>
      </c>
      <c r="C10" s="1221">
        <f t="shared" ref="C10:F12" si="0">C42+C74+C106+C138+C170+C202+C234+C266+C298+C330</f>
        <v>8615.5807324250036</v>
      </c>
      <c r="D10" s="1221">
        <f t="shared" si="0"/>
        <v>13847.086538062153</v>
      </c>
      <c r="E10" s="1221">
        <f t="shared" si="0"/>
        <v>14667.308072685</v>
      </c>
      <c r="F10" s="1221">
        <f t="shared" si="0"/>
        <v>8377.1</v>
      </c>
      <c r="G10" s="1221">
        <f t="shared" ref="G10:G29" si="1">E10-D10</f>
        <v>820.22153462284768</v>
      </c>
      <c r="H10" s="1221">
        <f t="shared" ref="H10:H35" si="2">((E10-D10)/D10)*100</f>
        <v>5.9234231863017923</v>
      </c>
      <c r="I10" s="1221">
        <f>E10-C10</f>
        <v>6051.7273402599967</v>
      </c>
      <c r="J10" s="1221">
        <f>I10/C10*100</f>
        <v>70.24166481876415</v>
      </c>
      <c r="K10" s="1221">
        <f t="shared" ref="K10:K33" si="3">E10-F10</f>
        <v>6290.2080726849999</v>
      </c>
      <c r="L10" s="1221">
        <f t="shared" ref="L10:L35" si="4">F10/E10*100</f>
        <v>57.11409318251598</v>
      </c>
      <c r="M10" s="1269">
        <f>'Solde créances_DCM'!K10</f>
        <v>56.020828155929642</v>
      </c>
      <c r="N10" s="1269">
        <v>103.81585084683127</v>
      </c>
      <c r="O10" s="1272">
        <f>'Solde créances_DCM'!M10</f>
        <v>93.368008479339068</v>
      </c>
      <c r="P10" s="1269">
        <f>O10-N10</f>
        <v>-10.4478423674922</v>
      </c>
      <c r="Q10" s="1269">
        <f>O10-M10</f>
        <v>37.347180323409425</v>
      </c>
    </row>
    <row r="11" spans="2:20" ht="12.75" customHeight="1">
      <c r="B11" s="1314" t="s">
        <v>602</v>
      </c>
      <c r="C11" s="1315">
        <f t="shared" si="0"/>
        <v>7973.6063284219981</v>
      </c>
      <c r="D11" s="1315">
        <f t="shared" si="0"/>
        <v>13157.11721826915</v>
      </c>
      <c r="E11" s="1315">
        <f t="shared" si="0"/>
        <v>14124.189625842</v>
      </c>
      <c r="F11" s="1315">
        <f t="shared" si="0"/>
        <v>7752.8955561215107</v>
      </c>
      <c r="G11" s="1315">
        <f t="shared" si="1"/>
        <v>967.07240757285035</v>
      </c>
      <c r="H11" s="1315">
        <f t="shared" si="2"/>
        <v>7.3501846303385827</v>
      </c>
      <c r="I11" s="1315">
        <f t="shared" ref="I11:I35" si="5">E11-C11</f>
        <v>6150.5832974200021</v>
      </c>
      <c r="J11" s="1315">
        <f t="shared" ref="J11:J35" si="6">I11/C11*100</f>
        <v>77.136781577693242</v>
      </c>
      <c r="K11" s="1315">
        <f t="shared" si="3"/>
        <v>6371.2940697204895</v>
      </c>
      <c r="L11" s="1315">
        <f t="shared" si="4"/>
        <v>54.890905329793952</v>
      </c>
      <c r="M11" s="1316">
        <f>'Solde créances_DCM'!K11</f>
        <v>53.398647832800727</v>
      </c>
      <c r="N11" s="1316">
        <f>'enc-ag'!P109</f>
        <v>80.617468575617522</v>
      </c>
      <c r="O11" s="1316">
        <f>'Solde créances_DCM'!M11</f>
        <v>93.626454733496757</v>
      </c>
      <c r="P11" s="1316">
        <f>'Solde créances_DCM'!N11</f>
        <v>13.008986157879235</v>
      </c>
      <c r="Q11" s="1316">
        <f>'Solde créances_DCM'!O11</f>
        <v>40.227806900696031</v>
      </c>
      <c r="S11" s="1232"/>
      <c r="T11" s="1232"/>
    </row>
    <row r="12" spans="2:20" ht="12.75" customHeight="1">
      <c r="B12" s="1223" t="s">
        <v>185</v>
      </c>
      <c r="C12" s="1221">
        <f t="shared" si="0"/>
        <v>31.65383683652998</v>
      </c>
      <c r="D12" s="1221">
        <f t="shared" si="0"/>
        <v>70.577861666529955</v>
      </c>
      <c r="E12" s="1221">
        <f t="shared" si="0"/>
        <v>69.613083176529869</v>
      </c>
      <c r="F12" s="1221">
        <f t="shared" si="0"/>
        <v>26.099999999999987</v>
      </c>
      <c r="G12" s="1221">
        <f t="shared" si="1"/>
        <v>-0.96477849000008575</v>
      </c>
      <c r="H12" s="1221">
        <f t="shared" si="2"/>
        <v>-1.3669704170955512</v>
      </c>
      <c r="I12" s="1221">
        <f t="shared" si="5"/>
        <v>37.959246339999893</v>
      </c>
      <c r="J12" s="1221">
        <f t="shared" si="6"/>
        <v>119.91989007851707</v>
      </c>
      <c r="K12" s="1221">
        <f t="shared" si="3"/>
        <v>43.513083176529882</v>
      </c>
      <c r="L12" s="1221">
        <f t="shared" si="4"/>
        <v>37.492952199536582</v>
      </c>
      <c r="M12" s="1269">
        <f>'Solde créances_DCM'!K18</f>
        <v>13.31008711140797</v>
      </c>
      <c r="N12" s="1269">
        <f>'Solde créances_DCM'!L18</f>
        <v>31.884564575905952</v>
      </c>
      <c r="O12" s="1269">
        <f>'Solde créances_DCM'!M18</f>
        <v>31.104315851025817</v>
      </c>
      <c r="P12" s="1269">
        <f>O12-N12</f>
        <v>-0.78024872488013486</v>
      </c>
      <c r="Q12" s="1269">
        <f>O12-M12</f>
        <v>17.794228739617846</v>
      </c>
    </row>
    <row r="13" spans="2:20" ht="12.75" customHeight="1">
      <c r="B13" s="2365" t="s">
        <v>1103</v>
      </c>
      <c r="C13" s="1221">
        <f t="shared" ref="C13:F15" si="7">C45+C77+C109+C141+C173+C205+C237+C269+C301+C333</f>
        <v>5.8757628900000007</v>
      </c>
      <c r="D13" s="1221">
        <f t="shared" si="7"/>
        <v>8.7228999999999992</v>
      </c>
      <c r="E13" s="1221">
        <f t="shared" si="7"/>
        <v>9.5905406399999897</v>
      </c>
      <c r="F13" s="1221">
        <f t="shared" si="7"/>
        <v>0</v>
      </c>
      <c r="G13" s="1221">
        <f>E13-D13</f>
        <v>0.86764063999999053</v>
      </c>
      <c r="H13" s="1221">
        <f>((E13-D13)/D13)*100</f>
        <v>9.9466993775004937</v>
      </c>
      <c r="I13" s="1221">
        <f>E13-C13</f>
        <v>3.714777749999989</v>
      </c>
      <c r="J13" s="1221">
        <f>I13/C13*100</f>
        <v>63.222049962604743</v>
      </c>
      <c r="K13" s="1221">
        <f>E13-F13</f>
        <v>9.5905406399999897</v>
      </c>
      <c r="L13" s="1221">
        <f>F13/E13*100</f>
        <v>0</v>
      </c>
      <c r="M13" s="2366"/>
      <c r="N13" s="2366"/>
      <c r="O13" s="2366"/>
      <c r="P13" s="2366"/>
      <c r="Q13" s="2366"/>
    </row>
    <row r="14" spans="2:20" ht="12.75" customHeight="1">
      <c r="B14" s="2365" t="s">
        <v>1105</v>
      </c>
      <c r="C14" s="1221">
        <f t="shared" si="7"/>
        <v>25.778073946529982</v>
      </c>
      <c r="D14" s="1221">
        <f t="shared" si="7"/>
        <v>61.854961666529952</v>
      </c>
      <c r="E14" s="1221">
        <f t="shared" si="7"/>
        <v>60.02254253652989</v>
      </c>
      <c r="F14" s="1221">
        <f t="shared" si="7"/>
        <v>26.099999999999987</v>
      </c>
      <c r="G14" s="1221">
        <f>E14-D14</f>
        <v>-1.8324191300000621</v>
      </c>
      <c r="H14" s="1221">
        <f>((E14-D14)/D14)*100</f>
        <v>-2.9624448558854959</v>
      </c>
      <c r="I14" s="1221">
        <f>E14-C14</f>
        <v>34.244468589999912</v>
      </c>
      <c r="J14" s="1221">
        <f>I14/C14*100</f>
        <v>132.84339497602224</v>
      </c>
      <c r="K14" s="1221">
        <f>E14-F14</f>
        <v>33.922542536529903</v>
      </c>
      <c r="L14" s="1221">
        <f>F14/E14*100</f>
        <v>43.483662799048297</v>
      </c>
      <c r="M14" s="2366"/>
      <c r="N14" s="2366"/>
      <c r="O14" s="2366"/>
      <c r="P14" s="2366"/>
      <c r="Q14" s="2366"/>
    </row>
    <row r="15" spans="2:20" ht="12.75" customHeight="1">
      <c r="B15" s="1223" t="s">
        <v>624</v>
      </c>
      <c r="C15" s="1221">
        <f t="shared" si="7"/>
        <v>3454.6608755000007</v>
      </c>
      <c r="D15" s="1221">
        <f t="shared" si="7"/>
        <v>3571.6696945300009</v>
      </c>
      <c r="E15" s="1221">
        <f t="shared" si="7"/>
        <v>5875.6458357400006</v>
      </c>
      <c r="F15" s="1221">
        <f t="shared" si="7"/>
        <v>1090.0000000000007</v>
      </c>
      <c r="G15" s="1221">
        <f t="shared" si="1"/>
        <v>2303.9761412099997</v>
      </c>
      <c r="H15" s="1221">
        <f t="shared" si="2"/>
        <v>64.50697679963325</v>
      </c>
      <c r="I15" s="1221">
        <f t="shared" si="5"/>
        <v>2420.98496024</v>
      </c>
      <c r="J15" s="1221">
        <f t="shared" si="6"/>
        <v>70.078802159983525</v>
      </c>
      <c r="K15" s="1221">
        <f t="shared" si="3"/>
        <v>4785.6458357399997</v>
      </c>
      <c r="L15" s="1221">
        <f t="shared" si="4"/>
        <v>18.55115217070809</v>
      </c>
      <c r="M15" s="1269">
        <f>'Solde créances_DCM'!K22</f>
        <v>84.452538396813864</v>
      </c>
      <c r="N15" s="1269">
        <f>'Solde créances_DCM'!L22</f>
        <v>82.747968696020365</v>
      </c>
      <c r="O15" s="1269">
        <f>'Solde créances_DCM'!M22</f>
        <v>139.88442332698611</v>
      </c>
      <c r="P15" s="1269">
        <f>O15-N15</f>
        <v>57.136454630965744</v>
      </c>
      <c r="Q15" s="1269">
        <f>O15-M15</f>
        <v>55.431884930172245</v>
      </c>
    </row>
    <row r="16" spans="2:20" ht="12.75" customHeight="1">
      <c r="B16" s="1224" t="s">
        <v>625</v>
      </c>
      <c r="C16" s="1225">
        <f>C10+C12+C15</f>
        <v>12101.895444761532</v>
      </c>
      <c r="D16" s="1225">
        <f>D10+D12+D15</f>
        <v>17489.334094258684</v>
      </c>
      <c r="E16" s="1225">
        <f>E10+E12+E15</f>
        <v>20612.566991601532</v>
      </c>
      <c r="F16" s="1225">
        <f>F10+F12+F15</f>
        <v>9493.2000000000007</v>
      </c>
      <c r="G16" s="1225">
        <f t="shared" si="1"/>
        <v>3123.2328973428484</v>
      </c>
      <c r="H16" s="1225">
        <f t="shared" si="2"/>
        <v>17.857929184211358</v>
      </c>
      <c r="I16" s="1225">
        <f t="shared" si="5"/>
        <v>8510.6715468399998</v>
      </c>
      <c r="J16" s="1225">
        <f t="shared" si="6"/>
        <v>70.325112175084598</v>
      </c>
      <c r="K16" s="1225">
        <f t="shared" si="3"/>
        <v>11119.366991601531</v>
      </c>
      <c r="L16" s="1225">
        <f t="shared" si="4"/>
        <v>46.055399135236037</v>
      </c>
      <c r="M16" s="1226">
        <v>63.239577868616763</v>
      </c>
      <c r="N16" s="1226">
        <f>'calcul-DCC-TX-Encais'!K124</f>
        <v>85.444573952394919</v>
      </c>
      <c r="O16" s="1226">
        <f>'calcul-DCC-TX-Encais'!AW158</f>
        <v>102.38047225487033</v>
      </c>
      <c r="P16" s="1226">
        <f>O16-N16</f>
        <v>16.935898302475408</v>
      </c>
      <c r="Q16" s="1226">
        <f>O16-M16</f>
        <v>39.140894386253564</v>
      </c>
    </row>
    <row r="17" spans="2:20" ht="12.75" customHeight="1">
      <c r="B17" s="1220" t="s">
        <v>636</v>
      </c>
      <c r="C17" s="1221">
        <f>C49+C81+C113+C145+C177+C209+C241+C273+C305+C337</f>
        <v>748.52714376299957</v>
      </c>
      <c r="D17" s="1221">
        <f>D49+D81+D113+D145+D177+D209+D241+D273+D305+D337</f>
        <v>1297.8042879500006</v>
      </c>
      <c r="E17" s="1221">
        <f>E49+E81+E113+E145+E177+E209+E241+E273+E305+E337</f>
        <v>1309.080603409999</v>
      </c>
      <c r="F17" s="1221">
        <f>F49+F81+F113+F145+F177+F209+F241+F273+F305</f>
        <v>235.1193524108528</v>
      </c>
      <c r="G17" s="1221">
        <f t="shared" si="1"/>
        <v>11.276315459998386</v>
      </c>
      <c r="H17" s="1221">
        <f t="shared" si="2"/>
        <v>0.8688764218686893</v>
      </c>
      <c r="I17" s="1221">
        <f t="shared" si="5"/>
        <v>560.55345964699939</v>
      </c>
      <c r="J17" s="1221">
        <f t="shared" si="6"/>
        <v>74.887526032654222</v>
      </c>
      <c r="K17" s="1221">
        <f t="shared" si="3"/>
        <v>1073.9612509991462</v>
      </c>
      <c r="L17" s="1221">
        <f t="shared" si="4"/>
        <v>17.960647480254075</v>
      </c>
      <c r="M17" s="1269">
        <v>21.562756846992965</v>
      </c>
      <c r="N17" s="1269">
        <f>'calcul-DCC-TX-Encais'!V108</f>
        <v>34.92471375154927</v>
      </c>
      <c r="O17" s="1269">
        <f>'Solde créances_DCM'!M23</f>
        <v>35.915264943935661</v>
      </c>
      <c r="P17" s="1269">
        <f>O17-N17</f>
        <v>0.99055119238639122</v>
      </c>
      <c r="Q17" s="1269">
        <f>O17-M17</f>
        <v>14.352508096942696</v>
      </c>
      <c r="R17" s="1232"/>
    </row>
    <row r="18" spans="2:20" ht="12.75" customHeight="1">
      <c r="B18" s="1220" t="s">
        <v>626</v>
      </c>
      <c r="C18" s="1221">
        <f>C50+C82+C114+C146+C178+C210+C242+C274+C306</f>
        <v>2706.1337317370007</v>
      </c>
      <c r="D18" s="1221">
        <f>D50+D82+D114+D146+D178+D210+D242+D274+D306</f>
        <v>2273.8654065800001</v>
      </c>
      <c r="E18" s="1221">
        <f>E50+E82+E114+E146+E178+E210+E242+E274+E306</f>
        <v>4566.565232330001</v>
      </c>
      <c r="F18" s="1221">
        <f>F50+F82+F114+F146+F178+F210+F242+F274+F306</f>
        <v>853.82787888447035</v>
      </c>
      <c r="G18" s="1221">
        <f t="shared" si="1"/>
        <v>2292.6998257500009</v>
      </c>
      <c r="H18" s="1221">
        <f t="shared" si="2"/>
        <v>100.82829964849715</v>
      </c>
      <c r="I18" s="1221">
        <f t="shared" si="5"/>
        <v>1860.4315005930002</v>
      </c>
      <c r="J18" s="1221">
        <f t="shared" si="6"/>
        <v>68.748690383414086</v>
      </c>
      <c r="K18" s="1221">
        <f t="shared" si="3"/>
        <v>3712.7373534455305</v>
      </c>
      <c r="L18" s="1221">
        <f t="shared" si="4"/>
        <v>18.697376155706884</v>
      </c>
      <c r="M18" s="1269"/>
      <c r="N18" s="1269"/>
      <c r="O18" s="1269"/>
      <c r="P18" s="1269"/>
      <c r="Q18" s="1269"/>
      <c r="S18" s="1458"/>
      <c r="T18" s="1214">
        <v>34806.419418734396</v>
      </c>
    </row>
    <row r="19" spans="2:20" ht="12.75" customHeight="1">
      <c r="B19" s="1224" t="s">
        <v>620</v>
      </c>
      <c r="C19" s="1225">
        <f>C16-C18</f>
        <v>9395.7617130245308</v>
      </c>
      <c r="D19" s="1225">
        <f>D16-D18</f>
        <v>15215.468687678684</v>
      </c>
      <c r="E19" s="1225">
        <f>E16-E18</f>
        <v>16046.00175927153</v>
      </c>
      <c r="F19" s="1225">
        <f>F16-F18</f>
        <v>8639.3721211155298</v>
      </c>
      <c r="G19" s="1225">
        <f t="shared" si="1"/>
        <v>830.53307159284668</v>
      </c>
      <c r="H19" s="1225">
        <f t="shared" si="2"/>
        <v>5.4584783987982117</v>
      </c>
      <c r="I19" s="1225">
        <f t="shared" si="5"/>
        <v>6650.2400462469996</v>
      </c>
      <c r="J19" s="1225">
        <f t="shared" si="6"/>
        <v>70.779147549350341</v>
      </c>
      <c r="K19" s="1225">
        <f t="shared" si="3"/>
        <v>7406.6296381560005</v>
      </c>
      <c r="L19" s="1225">
        <f t="shared" si="4"/>
        <v>53.841276167900332</v>
      </c>
      <c r="M19" s="1226"/>
      <c r="N19" s="1226"/>
      <c r="O19" s="1226"/>
      <c r="P19" s="1226">
        <f>O19-N19</f>
        <v>0</v>
      </c>
      <c r="Q19" s="1226">
        <f>O19-M19</f>
        <v>0</v>
      </c>
    </row>
    <row r="20" spans="2:20" ht="12.75" customHeight="1">
      <c r="B20" s="1223" t="s">
        <v>234</v>
      </c>
      <c r="C20" s="1221">
        <f t="shared" ref="C20:F23" si="8">C52+C84+C116+C148+C180+C212+C244+C276+C308+C340</f>
        <v>2151.6429324700057</v>
      </c>
      <c r="D20" s="1221">
        <f t="shared" si="8"/>
        <v>2926.0344933700053</v>
      </c>
      <c r="E20" s="1221">
        <f t="shared" si="8"/>
        <v>3123.0058855600018</v>
      </c>
      <c r="F20" s="1221">
        <f t="shared" si="8"/>
        <v>1110.8699999999988</v>
      </c>
      <c r="G20" s="1221">
        <f t="shared" si="1"/>
        <v>196.97139218999655</v>
      </c>
      <c r="H20" s="1221">
        <f t="shared" si="2"/>
        <v>6.7316838757816022</v>
      </c>
      <c r="I20" s="1221">
        <f t="shared" si="5"/>
        <v>971.36295308999615</v>
      </c>
      <c r="J20" s="1221">
        <f t="shared" si="6"/>
        <v>45.1451743424225</v>
      </c>
      <c r="K20" s="1221">
        <f t="shared" si="3"/>
        <v>2012.1358855600031</v>
      </c>
      <c r="L20" s="1221">
        <f t="shared" si="4"/>
        <v>35.570538151605277</v>
      </c>
      <c r="M20" s="1269">
        <f>'Solde créances_DCM'!K15</f>
        <v>133.65362120101986</v>
      </c>
      <c r="N20" s="1269">
        <f>'Solde créances_DCM'!L15</f>
        <v>176.95158328548575</v>
      </c>
      <c r="O20" s="1269">
        <f>'Solde créances_DCM'!M15</f>
        <v>173.29937183860065</v>
      </c>
      <c r="P20" s="1269">
        <f>O20-N20</f>
        <v>-3.6522114468851044</v>
      </c>
      <c r="Q20" s="1269">
        <f>O20-M20</f>
        <v>39.64575063758079</v>
      </c>
    </row>
    <row r="21" spans="2:20" ht="12.75" customHeight="1">
      <c r="B21" s="2365" t="s">
        <v>1101</v>
      </c>
      <c r="C21" s="1221">
        <f t="shared" si="8"/>
        <v>21.678000000000001</v>
      </c>
      <c r="D21" s="1221">
        <f t="shared" si="8"/>
        <v>18.17017289</v>
      </c>
      <c r="E21" s="1221">
        <f t="shared" si="8"/>
        <v>49.747994019999979</v>
      </c>
      <c r="F21" s="1221">
        <f t="shared" si="8"/>
        <v>0</v>
      </c>
      <c r="G21" s="1221">
        <f>E21-D21</f>
        <v>31.577821129999979</v>
      </c>
      <c r="H21" s="1221">
        <f>((E21-D21)/D21)*100</f>
        <v>173.78932672335173</v>
      </c>
      <c r="I21" s="1221">
        <f>E21-C21</f>
        <v>28.069994019999978</v>
      </c>
      <c r="J21" s="1221">
        <f>I21/C21*100</f>
        <v>129.48608736968345</v>
      </c>
      <c r="K21" s="1221">
        <f>E21-F21</f>
        <v>49.747994019999979</v>
      </c>
      <c r="L21" s="1221">
        <f>F21/E21*100</f>
        <v>0</v>
      </c>
      <c r="M21" s="2366"/>
      <c r="N21" s="2366"/>
      <c r="O21" s="2366"/>
      <c r="P21" s="2366"/>
      <c r="Q21" s="2366"/>
    </row>
    <row r="22" spans="2:20" ht="12.75" customHeight="1">
      <c r="B22" s="2365" t="s">
        <v>1106</v>
      </c>
      <c r="C22" s="1221">
        <f t="shared" si="8"/>
        <v>2129.9649324700058</v>
      </c>
      <c r="D22" s="1221">
        <f t="shared" si="8"/>
        <v>2907.8643204800055</v>
      </c>
      <c r="E22" s="1221">
        <f t="shared" si="8"/>
        <v>3073.2578915400022</v>
      </c>
      <c r="F22" s="1221">
        <f t="shared" si="8"/>
        <v>1110.8699999999988</v>
      </c>
      <c r="G22" s="1221">
        <f>E22-D22</f>
        <v>165.3935710599967</v>
      </c>
      <c r="H22" s="1221">
        <f>((E22-D22)/D22)*100</f>
        <v>5.6878022091723635</v>
      </c>
      <c r="I22" s="1221">
        <f>E22-C22</f>
        <v>943.29295906999641</v>
      </c>
      <c r="J22" s="1221">
        <f>I22/C22*100</f>
        <v>44.286783537610184</v>
      </c>
      <c r="K22" s="1221">
        <f>E22-F22</f>
        <v>1962.3878915400035</v>
      </c>
      <c r="L22" s="1221">
        <f>F22/E22*100</f>
        <v>36.146331977475029</v>
      </c>
      <c r="M22" s="2366"/>
      <c r="N22" s="2366"/>
      <c r="O22" s="2366"/>
      <c r="P22" s="2366"/>
      <c r="Q22" s="2366"/>
    </row>
    <row r="23" spans="2:20" ht="12.75" customHeight="1">
      <c r="B23" s="1223" t="s">
        <v>187</v>
      </c>
      <c r="C23" s="1221">
        <f t="shared" si="8"/>
        <v>3044.4988405719937</v>
      </c>
      <c r="D23" s="1221">
        <f t="shared" si="8"/>
        <v>3459.7146183699947</v>
      </c>
      <c r="E23" s="1221">
        <f t="shared" si="8"/>
        <v>4025.1578676899917</v>
      </c>
      <c r="F23" s="1221">
        <f t="shared" si="8"/>
        <v>1974.2899999999988</v>
      </c>
      <c r="G23" s="1221">
        <f t="shared" si="1"/>
        <v>565.44324931999699</v>
      </c>
      <c r="H23" s="1221">
        <f t="shared" si="2"/>
        <v>16.343638469996094</v>
      </c>
      <c r="I23" s="1221">
        <f t="shared" si="5"/>
        <v>980.65902711799799</v>
      </c>
      <c r="J23" s="1221">
        <f t="shared" si="6"/>
        <v>32.210852375747791</v>
      </c>
      <c r="K23" s="1221">
        <f t="shared" si="3"/>
        <v>2050.8678676899926</v>
      </c>
      <c r="L23" s="1221">
        <f t="shared" si="4"/>
        <v>49.048759449850579</v>
      </c>
      <c r="M23" s="1269">
        <f>'Solde créances_DCM'!K25</f>
        <v>229.89056434331513</v>
      </c>
      <c r="N23" s="1269">
        <f>'Solde créances_DCM'!L25</f>
        <v>241.09130669822474</v>
      </c>
      <c r="O23" s="1269">
        <f>'Solde créances_DCM'!M25</f>
        <v>280.91791953681741</v>
      </c>
      <c r="P23" s="1269">
        <f>O23-N23</f>
        <v>39.826612838592666</v>
      </c>
      <c r="Q23" s="1269">
        <f>O23-M23</f>
        <v>51.027355193502274</v>
      </c>
    </row>
    <row r="24" spans="2:20" ht="12.75" customHeight="1">
      <c r="B24" s="1224" t="s">
        <v>621</v>
      </c>
      <c r="C24" s="1225">
        <f>C20+C23</f>
        <v>5196.1417730419998</v>
      </c>
      <c r="D24" s="1225">
        <f>D20+D23</f>
        <v>6385.7491117400004</v>
      </c>
      <c r="E24" s="1225">
        <f>E20+E23</f>
        <v>7148.1637532499935</v>
      </c>
      <c r="F24" s="1225">
        <f>F20+F23</f>
        <v>3085.1599999999976</v>
      </c>
      <c r="G24" s="1225">
        <f t="shared" si="1"/>
        <v>762.41464150999309</v>
      </c>
      <c r="H24" s="1225">
        <f t="shared" si="2"/>
        <v>11.939314059619372</v>
      </c>
      <c r="I24" s="1225">
        <f t="shared" si="5"/>
        <v>1952.0219802079937</v>
      </c>
      <c r="J24" s="1225">
        <f t="shared" si="6"/>
        <v>37.566757518727456</v>
      </c>
      <c r="K24" s="1225">
        <f t="shared" si="3"/>
        <v>4063.003753249996</v>
      </c>
      <c r="L24" s="1225">
        <f t="shared" si="4"/>
        <v>43.160175207196325</v>
      </c>
      <c r="M24" s="1226">
        <v>194.19496743398938</v>
      </c>
      <c r="N24" s="1226">
        <f>'calcul-DCC-TX-Encais'!J108</f>
        <v>206.7521073718363</v>
      </c>
      <c r="O24" s="1226">
        <f>'Crédit client'!J45</f>
        <v>321.05686099549649</v>
      </c>
      <c r="P24" s="1226">
        <f>O24-N24</f>
        <v>114.30475362366019</v>
      </c>
      <c r="Q24" s="1226">
        <f>O24-M24</f>
        <v>126.86189356150712</v>
      </c>
    </row>
    <row r="25" spans="2:20" ht="12.75" customHeight="1">
      <c r="B25" s="1220" t="s">
        <v>917</v>
      </c>
      <c r="C25" s="1221">
        <f t="shared" ref="C25:F26" si="9">C57+C89+C121+C153+C185+C217+C249+C281+C313+C345</f>
        <v>2127.1744001619954</v>
      </c>
      <c r="D25" s="1221">
        <f t="shared" si="9"/>
        <v>2671.2718393899972</v>
      </c>
      <c r="E25" s="1221">
        <f t="shared" si="9"/>
        <v>2550.4747471399933</v>
      </c>
      <c r="F25" s="1221">
        <f t="shared" si="9"/>
        <v>681.56657422092815</v>
      </c>
      <c r="G25" s="1221">
        <f t="shared" si="1"/>
        <v>-120.79709225000397</v>
      </c>
      <c r="H25" s="1221">
        <f t="shared" si="2"/>
        <v>-4.5220815968167729</v>
      </c>
      <c r="I25" s="1221">
        <f t="shared" si="5"/>
        <v>423.30034697799783</v>
      </c>
      <c r="J25" s="1221">
        <f t="shared" si="6"/>
        <v>19.899654064366388</v>
      </c>
      <c r="K25" s="1221">
        <f t="shared" si="3"/>
        <v>1868.9081729190652</v>
      </c>
      <c r="L25" s="1221">
        <f t="shared" si="4"/>
        <v>26.723125762574647</v>
      </c>
      <c r="M25" s="1269"/>
      <c r="N25" s="1269"/>
      <c r="O25" s="1269"/>
      <c r="P25" s="1269"/>
      <c r="Q25" s="1269"/>
      <c r="R25" s="1232"/>
    </row>
    <row r="26" spans="2:20" ht="12.75" customHeight="1">
      <c r="B26" s="1220" t="s">
        <v>918</v>
      </c>
      <c r="C26" s="1221">
        <f t="shared" si="9"/>
        <v>917.32444040999792</v>
      </c>
      <c r="D26" s="1221">
        <f t="shared" si="9"/>
        <v>788.4427789799978</v>
      </c>
      <c r="E26" s="1221">
        <f t="shared" si="9"/>
        <v>1474.683120549998</v>
      </c>
      <c r="F26" s="1221">
        <f t="shared" si="9"/>
        <v>590.3094851709651</v>
      </c>
      <c r="G26" s="1221">
        <f t="shared" si="1"/>
        <v>686.24034157000017</v>
      </c>
      <c r="H26" s="1221">
        <f t="shared" si="2"/>
        <v>87.037431233473143</v>
      </c>
      <c r="I26" s="1221">
        <f t="shared" si="5"/>
        <v>557.35868014000005</v>
      </c>
      <c r="J26" s="1221">
        <f t="shared" si="6"/>
        <v>60.759166068974324</v>
      </c>
      <c r="K26" s="1221">
        <f t="shared" si="3"/>
        <v>884.37363537903286</v>
      </c>
      <c r="L26" s="1221">
        <f t="shared" si="4"/>
        <v>40.02958174165601</v>
      </c>
      <c r="M26" s="1269"/>
      <c r="N26" s="1269"/>
      <c r="O26" s="1269"/>
      <c r="P26" s="1269"/>
      <c r="Q26" s="1269"/>
    </row>
    <row r="27" spans="2:20" ht="12.75" customHeight="1">
      <c r="B27" s="1228" t="s">
        <v>635</v>
      </c>
      <c r="C27" s="1229">
        <f>C16+C24</f>
        <v>17298.037217803532</v>
      </c>
      <c r="D27" s="1229">
        <f>D16+D24</f>
        <v>23875.083205998686</v>
      </c>
      <c r="E27" s="1229">
        <f>E16+E24</f>
        <v>27760.730744851528</v>
      </c>
      <c r="F27" s="1229">
        <f>F16+F24</f>
        <v>12578.359999999999</v>
      </c>
      <c r="G27" s="1229">
        <f t="shared" si="1"/>
        <v>3885.6475388528415</v>
      </c>
      <c r="H27" s="1229">
        <f t="shared" si="2"/>
        <v>16.274906794362757</v>
      </c>
      <c r="I27" s="1229">
        <f t="shared" si="5"/>
        <v>10462.693527047995</v>
      </c>
      <c r="J27" s="1229">
        <f t="shared" si="6"/>
        <v>60.484859613318179</v>
      </c>
      <c r="K27" s="1229">
        <f t="shared" si="3"/>
        <v>15182.370744851529</v>
      </c>
      <c r="L27" s="1229">
        <f t="shared" si="4"/>
        <v>45.30990237831822</v>
      </c>
      <c r="M27" s="1271">
        <v>73.108291900704756</v>
      </c>
      <c r="N27" s="1271">
        <f>'Solde créances_DCM'!L28</f>
        <v>98.203561741737801</v>
      </c>
      <c r="O27" s="1271">
        <f>'Solde créances_DCM'!M28</f>
        <v>113.63435578642959</v>
      </c>
      <c r="P27" s="1271">
        <f>O27-N27</f>
        <v>15.430794044691794</v>
      </c>
      <c r="Q27" s="1271">
        <f>O27-M27</f>
        <v>40.526063885724838</v>
      </c>
    </row>
    <row r="28" spans="2:20" ht="12.75" customHeight="1">
      <c r="B28" s="1228" t="s">
        <v>622</v>
      </c>
      <c r="C28" s="1229">
        <f>C27-(C18+C26)</f>
        <v>13674.579045656534</v>
      </c>
      <c r="D28" s="1229">
        <f>D27-(D18+D26)</f>
        <v>20812.775020438687</v>
      </c>
      <c r="E28" s="1229">
        <f>E27-(E18+E26)</f>
        <v>21719.482391971527</v>
      </c>
      <c r="F28" s="1229">
        <f>F19+F24</f>
        <v>11724.532121115528</v>
      </c>
      <c r="G28" s="1229">
        <f t="shared" si="1"/>
        <v>906.70737153284063</v>
      </c>
      <c r="H28" s="1229">
        <f t="shared" si="2"/>
        <v>4.3564943677257375</v>
      </c>
      <c r="I28" s="1229">
        <f t="shared" si="5"/>
        <v>8044.9033463149935</v>
      </c>
      <c r="J28" s="1229">
        <f t="shared" si="6"/>
        <v>58.831085910979489</v>
      </c>
      <c r="K28" s="1229">
        <f t="shared" si="3"/>
        <v>9994.9502708559994</v>
      </c>
      <c r="L28" s="1229">
        <f t="shared" si="4"/>
        <v>53.981636898720154</v>
      </c>
      <c r="M28" s="1271"/>
      <c r="N28" s="1271"/>
      <c r="O28" s="1271"/>
      <c r="P28" s="1271"/>
      <c r="Q28" s="1271"/>
    </row>
    <row r="29" spans="2:20" ht="12.75" customHeight="1">
      <c r="B29" s="1224" t="s">
        <v>623</v>
      </c>
      <c r="C29" s="1225">
        <f t="shared" ref="C29:F31" si="10">C61+C93+C125+C157+C189+C221+C253+C285+C317+C349</f>
        <v>3711.8981162698105</v>
      </c>
      <c r="D29" s="1225">
        <f t="shared" si="10"/>
        <v>2657.2926799558109</v>
      </c>
      <c r="E29" s="2092">
        <f t="shared" si="10"/>
        <v>3803.8901828768066</v>
      </c>
      <c r="F29" s="1225">
        <f t="shared" si="10"/>
        <v>231.04000000000016</v>
      </c>
      <c r="G29" s="1225">
        <f t="shared" si="1"/>
        <v>1146.5975029209958</v>
      </c>
      <c r="H29" s="1225">
        <f t="shared" si="2"/>
        <v>43.149085968959319</v>
      </c>
      <c r="I29" s="1225">
        <f t="shared" si="5"/>
        <v>91.992066606996104</v>
      </c>
      <c r="J29" s="1225">
        <f t="shared" si="6"/>
        <v>2.4783025752722296</v>
      </c>
      <c r="K29" s="1225">
        <f t="shared" si="3"/>
        <v>3572.8501828768067</v>
      </c>
      <c r="L29" s="1225">
        <f t="shared" si="4"/>
        <v>6.0737820728901593</v>
      </c>
      <c r="M29" s="1227"/>
      <c r="N29" s="1227"/>
      <c r="O29" s="1227"/>
      <c r="P29" s="1227"/>
      <c r="Q29" s="1227"/>
    </row>
    <row r="30" spans="2:20" ht="12.75" customHeight="1">
      <c r="B30" s="1224" t="s">
        <v>627</v>
      </c>
      <c r="C30" s="1225">
        <f t="shared" si="10"/>
        <v>452.15911641999958</v>
      </c>
      <c r="D30" s="1225">
        <f t="shared" si="10"/>
        <v>862.20700896999972</v>
      </c>
      <c r="E30" s="1225">
        <f t="shared" si="10"/>
        <v>736.78042719999962</v>
      </c>
      <c r="F30" s="1225">
        <f t="shared" si="10"/>
        <v>128.24999999999986</v>
      </c>
      <c r="G30" s="1225">
        <f>G62+G94+G126+G158+G190+G222+G254+G286+G318+G350</f>
        <v>-125.42658177000011</v>
      </c>
      <c r="H30" s="1225">
        <f>((E30-D30)/D30)*100</f>
        <v>-14.547154043648499</v>
      </c>
      <c r="I30" s="1225">
        <f t="shared" si="5"/>
        <v>284.62131078000004</v>
      </c>
      <c r="J30" s="1225">
        <f t="shared" si="6"/>
        <v>62.947157415183518</v>
      </c>
      <c r="K30" s="1225">
        <f t="shared" si="3"/>
        <v>608.53042719999974</v>
      </c>
      <c r="L30" s="1225">
        <f t="shared" si="4"/>
        <v>17.406814196651602</v>
      </c>
      <c r="M30" s="1219">
        <v>55.550523758558349</v>
      </c>
      <c r="N30" s="1219">
        <f>'Solde créances_DCM'!L34</f>
        <v>43.605267265966667</v>
      </c>
      <c r="O30" s="1219">
        <f>'Solde créances_DCM'!M34</f>
        <v>43.086392208981337</v>
      </c>
      <c r="P30" s="1219">
        <f>O30-N30</f>
        <v>-0.51887505698532976</v>
      </c>
      <c r="Q30" s="1219">
        <f>O30-M30</f>
        <v>-12.464131549577012</v>
      </c>
      <c r="R30" s="1232"/>
    </row>
    <row r="31" spans="2:20" ht="12.75" customHeight="1">
      <c r="B31" s="1220" t="s">
        <v>628</v>
      </c>
      <c r="C31" s="1222">
        <f t="shared" si="10"/>
        <v>162.82734013000001</v>
      </c>
      <c r="D31" s="1222">
        <f t="shared" si="10"/>
        <v>500.69657533000003</v>
      </c>
      <c r="E31" s="1222">
        <f t="shared" si="10"/>
        <v>356.31503320000007</v>
      </c>
      <c r="F31" s="1222">
        <f t="shared" si="10"/>
        <v>0</v>
      </c>
      <c r="G31" s="1222">
        <f>E31-D31</f>
        <v>-144.38154212999996</v>
      </c>
      <c r="H31" s="1222">
        <f t="shared" si="2"/>
        <v>-28.836135345012238</v>
      </c>
      <c r="I31" s="1222">
        <f t="shared" si="5"/>
        <v>193.48769307000006</v>
      </c>
      <c r="J31" s="1222">
        <f t="shared" si="6"/>
        <v>118.82997837802979</v>
      </c>
      <c r="K31" s="1222">
        <f t="shared" si="3"/>
        <v>356.31503320000007</v>
      </c>
      <c r="L31" s="1222">
        <f t="shared" si="4"/>
        <v>0</v>
      </c>
      <c r="M31" s="1269"/>
      <c r="N31" s="1269"/>
      <c r="O31" s="1269"/>
      <c r="P31" s="1269"/>
      <c r="Q31" s="1269"/>
    </row>
    <row r="32" spans="2:20" ht="12.75" customHeight="1">
      <c r="B32" s="1224" t="s">
        <v>629</v>
      </c>
      <c r="C32" s="1225">
        <f>C30-C31</f>
        <v>289.33177628999954</v>
      </c>
      <c r="D32" s="1225">
        <f>D30-D31</f>
        <v>361.51043363999969</v>
      </c>
      <c r="E32" s="1225">
        <f>E30-E31</f>
        <v>380.46539399999955</v>
      </c>
      <c r="F32" s="1225">
        <f>F30-F31</f>
        <v>128.24999999999986</v>
      </c>
      <c r="G32" s="1225">
        <f>E32-D32</f>
        <v>18.954960359999859</v>
      </c>
      <c r="H32" s="1225">
        <f>((E32-D32)/D32)*100</f>
        <v>5.2432678551335092</v>
      </c>
      <c r="I32" s="1225">
        <f t="shared" si="5"/>
        <v>91.13361771000001</v>
      </c>
      <c r="J32" s="1225">
        <f t="shared" si="6"/>
        <v>31.497963645256878</v>
      </c>
      <c r="K32" s="1225">
        <f t="shared" si="3"/>
        <v>252.21539399999969</v>
      </c>
      <c r="L32" s="1225">
        <f t="shared" si="4"/>
        <v>33.708716225581348</v>
      </c>
      <c r="M32" s="1219"/>
      <c r="N32" s="1219"/>
      <c r="O32" s="1219"/>
      <c r="P32" s="1219"/>
      <c r="Q32" s="1219"/>
    </row>
    <row r="33" spans="2:21" ht="12.75" customHeight="1">
      <c r="B33" s="1230" t="s">
        <v>630</v>
      </c>
      <c r="C33" s="1275">
        <f>C27+C29+C30</f>
        <v>21462.094450493343</v>
      </c>
      <c r="D33" s="1231">
        <f>D27+D29+D30</f>
        <v>27394.582894924497</v>
      </c>
      <c r="E33" s="1231">
        <f>E27+E29+E30</f>
        <v>32301.401354928334</v>
      </c>
      <c r="F33" s="1275">
        <f>F27+F29+F30</f>
        <v>12937.65</v>
      </c>
      <c r="G33" s="1275">
        <f>E33-D33</f>
        <v>4906.8184600038367</v>
      </c>
      <c r="H33" s="1275">
        <f t="shared" si="2"/>
        <v>17.911637781909583</v>
      </c>
      <c r="I33" s="1275">
        <f t="shared" si="5"/>
        <v>10839.30690443499</v>
      </c>
      <c r="J33" s="1275">
        <f t="shared" si="6"/>
        <v>50.504422713440398</v>
      </c>
      <c r="K33" s="1275">
        <f t="shared" si="3"/>
        <v>19363.751354928332</v>
      </c>
      <c r="L33" s="1275">
        <f t="shared" si="4"/>
        <v>40.052906243419244</v>
      </c>
      <c r="M33" s="1219"/>
      <c r="N33" s="1219">
        <f>'calcul-DCC-TX-Encais'!O108</f>
        <v>104.77861686770713</v>
      </c>
      <c r="O33" s="1219">
        <f>'calcul-DCC-TX-Encais'!BA108</f>
        <v>119.62246143897936</v>
      </c>
      <c r="P33" s="1219"/>
      <c r="Q33" s="1219"/>
      <c r="S33" s="1458"/>
    </row>
    <row r="34" spans="2:21" ht="12.75" customHeight="1">
      <c r="B34" s="1220" t="s">
        <v>637</v>
      </c>
      <c r="C34" s="1222">
        <f>C66+C98+C130+C162+C194+C226+C258+C290+C322+C354</f>
        <v>3813.8392751669994</v>
      </c>
      <c r="D34" s="1222">
        <f>D66+D98+D130+D162+D194+D226+D258+D290+D322+D354</f>
        <v>3589.8978337799981</v>
      </c>
      <c r="E34" s="1222">
        <f>E66+E98+E130+E162+E194+E226+E258+E290+E322+E354</f>
        <v>6456.9019207399997</v>
      </c>
      <c r="F34" s="1222">
        <f>F66+F98+F130+F162+F194+F226+F258+F290+F322+F354</f>
        <v>1444.1373640554357</v>
      </c>
      <c r="G34" s="1222">
        <f>G18+G31</f>
        <v>2148.3182836200008</v>
      </c>
      <c r="H34" s="1222">
        <f t="shared" si="2"/>
        <v>79.863110865781309</v>
      </c>
      <c r="I34" s="1222">
        <f t="shared" si="5"/>
        <v>2643.0626455730003</v>
      </c>
      <c r="J34" s="1222">
        <f t="shared" si="6"/>
        <v>69.301888592493626</v>
      </c>
      <c r="K34" s="1222">
        <f>K18+K31</f>
        <v>4069.0523866455305</v>
      </c>
      <c r="L34" s="1222">
        <f t="shared" si="4"/>
        <v>22.365793716283193</v>
      </c>
      <c r="M34" s="1269"/>
      <c r="N34" s="1269"/>
      <c r="O34" s="1269"/>
      <c r="P34" s="1269"/>
      <c r="Q34" s="1269"/>
    </row>
    <row r="35" spans="2:21" ht="12.75" customHeight="1">
      <c r="B35" s="1230" t="s">
        <v>631</v>
      </c>
      <c r="C35" s="1275">
        <f>C33-C34</f>
        <v>17648.255175326343</v>
      </c>
      <c r="D35" s="1275">
        <f>D33-D34</f>
        <v>23804.685061144497</v>
      </c>
      <c r="E35" s="1275">
        <f>E33-E34</f>
        <v>25844.499434188336</v>
      </c>
      <c r="F35" s="1275">
        <f>F33-F34</f>
        <v>11493.512635944564</v>
      </c>
      <c r="G35" s="1275">
        <f>E35-D35</f>
        <v>2039.8143730438387</v>
      </c>
      <c r="H35" s="2035">
        <f t="shared" si="2"/>
        <v>8.5689618148880786</v>
      </c>
      <c r="I35" s="1275">
        <f t="shared" si="5"/>
        <v>8196.2442588619924</v>
      </c>
      <c r="J35" s="1275">
        <f t="shared" si="6"/>
        <v>46.442235662599614</v>
      </c>
      <c r="K35" s="1275">
        <f>E35-F35</f>
        <v>14350.986798243772</v>
      </c>
      <c r="L35" s="1275">
        <f t="shared" si="4"/>
        <v>44.471794337561818</v>
      </c>
      <c r="M35" s="1269"/>
      <c r="N35" s="1269"/>
      <c r="O35" s="1269"/>
      <c r="P35" s="1269"/>
      <c r="Q35" s="1269"/>
    </row>
    <row r="36" spans="2:21" ht="12.75" customHeight="1">
      <c r="B36" s="1220" t="s">
        <v>999</v>
      </c>
      <c r="C36" s="1222">
        <f>C68+C100+C132+C164+C196+C228+C260+C292+C324+C356</f>
        <v>307.69053683000004</v>
      </c>
      <c r="D36" s="1222">
        <f>D68+D100+D132+D164+D196+D228+D260+D292+D324+D356</f>
        <v>6913.6948715379976</v>
      </c>
      <c r="E36" s="1222">
        <f>E68+E100+E132+E164+E196+E228+E260+E292+E324+E356</f>
        <v>13937.067969643002</v>
      </c>
      <c r="F36" s="1222">
        <f>F68+F100+F132+F164+F196+F228+F260+F292+F324+F356</f>
        <v>0</v>
      </c>
      <c r="G36" s="1222">
        <f>E36-D36</f>
        <v>7023.3730981050039</v>
      </c>
      <c r="H36" s="1222">
        <f>((E36-D36)/D36)*100</f>
        <v>101.58639090392208</v>
      </c>
      <c r="I36" s="1222">
        <f>E36-C36</f>
        <v>13629.377432813002</v>
      </c>
      <c r="J36" s="1222">
        <f>I36/C36*100</f>
        <v>4429.5731591977028</v>
      </c>
      <c r="K36" s="1222">
        <f>E36-F36</f>
        <v>13937.067969643002</v>
      </c>
      <c r="L36" s="1222">
        <f>F36/E36*100</f>
        <v>0</v>
      </c>
      <c r="N36" s="2145"/>
    </row>
    <row r="37" spans="2:21" ht="12.75" customHeight="1">
      <c r="B37" s="2093" t="s">
        <v>1000</v>
      </c>
      <c r="C37" s="1275">
        <f>C33-C36</f>
        <v>21154.403913663344</v>
      </c>
      <c r="D37" s="1275">
        <f>D33-D36</f>
        <v>20480.888023386498</v>
      </c>
      <c r="E37" s="1275">
        <f>E33-E36</f>
        <v>18364.333385285332</v>
      </c>
      <c r="F37" s="1275">
        <f>F33-F34</f>
        <v>11493.512635944564</v>
      </c>
      <c r="G37" s="1275">
        <f>E37-D37</f>
        <v>-2116.5546381011663</v>
      </c>
      <c r="H37" s="1231">
        <f>((E37-D37)/D37)*100</f>
        <v>-10.3342913436387</v>
      </c>
      <c r="I37" s="1275">
        <f>E37-C37</f>
        <v>-2790.0705283780117</v>
      </c>
      <c r="J37" s="1275">
        <f>I37/C37*100</f>
        <v>-13.189076561859267</v>
      </c>
      <c r="K37" s="1275">
        <f>E37-F37</f>
        <v>6870.8207493407681</v>
      </c>
      <c r="L37" s="1275">
        <f>F37/E37*100</f>
        <v>62.586059590673159</v>
      </c>
      <c r="N37" s="2146"/>
      <c r="O37" s="2147"/>
    </row>
    <row r="38" spans="2:21" s="1399" customFormat="1" ht="12.75" customHeight="1">
      <c r="B38" s="2335"/>
      <c r="C38" s="1235">
        <f>C19+C32</f>
        <v>9685.0934893145295</v>
      </c>
      <c r="D38" s="1235">
        <f>D27+D30</f>
        <v>24737.290214968685</v>
      </c>
      <c r="E38" s="1235">
        <f>E27+E30</f>
        <v>28497.511172051527</v>
      </c>
      <c r="F38" s="1235">
        <f>F27+F30</f>
        <v>12706.609999999999</v>
      </c>
      <c r="G38" s="1378"/>
      <c r="H38" s="2065">
        <f>E35/F35</f>
        <v>2.2486162631746542</v>
      </c>
      <c r="I38" s="1378"/>
      <c r="J38" s="1378"/>
      <c r="K38" s="1378"/>
      <c r="L38" s="1378"/>
      <c r="M38" s="1398"/>
      <c r="N38" s="1398">
        <f>E33-E34</f>
        <v>25844.499434188336</v>
      </c>
      <c r="O38" s="1398"/>
      <c r="P38" s="1398"/>
      <c r="Q38" s="1398"/>
    </row>
    <row r="39" spans="2:21" s="1399" customFormat="1" ht="12.75" customHeight="1">
      <c r="B39" s="1397"/>
      <c r="C39" s="1235">
        <f>'[9]Détail Solde'!C47-C37</f>
        <v>-5647.5906431926851</v>
      </c>
      <c r="D39" s="1235"/>
      <c r="E39" s="1235">
        <f>E33-E34</f>
        <v>25844.499434188336</v>
      </c>
      <c r="F39" s="1378">
        <f>E38/F38*100</f>
        <v>224.27312376827123</v>
      </c>
      <c r="G39" s="2066">
        <f>E34/E33</f>
        <v>0.19989541165076569</v>
      </c>
      <c r="H39" s="1378"/>
      <c r="I39" s="1378"/>
      <c r="J39" s="1378"/>
      <c r="K39" s="1378"/>
      <c r="L39" s="1378"/>
      <c r="M39" s="1398"/>
      <c r="N39" s="1398"/>
      <c r="O39" s="1398"/>
      <c r="P39" s="1398"/>
      <c r="Q39" s="1398"/>
    </row>
    <row r="40" spans="2:21" ht="12.75" customHeight="1">
      <c r="B40" s="3247" t="s">
        <v>6</v>
      </c>
      <c r="C40" s="3249" t="s">
        <v>281</v>
      </c>
      <c r="D40" s="3250"/>
      <c r="E40" s="3250"/>
      <c r="F40" s="3251"/>
      <c r="G40" s="3252" t="str">
        <f>G8</f>
        <v>2023/2024</v>
      </c>
      <c r="H40" s="3253"/>
      <c r="I40" s="3242" t="str">
        <f>I8</f>
        <v>Réal 24/Déc 23</v>
      </c>
      <c r="J40" s="3242"/>
      <c r="K40" s="3242" t="str">
        <f>K8</f>
        <v>Réal 24/Obj 23</v>
      </c>
      <c r="L40" s="3242"/>
      <c r="M40" s="3243" t="s">
        <v>358</v>
      </c>
      <c r="N40" s="3243"/>
      <c r="O40" s="3243"/>
      <c r="P40" s="3243"/>
      <c r="Q40" s="3243"/>
      <c r="U40" s="1214">
        <v>5.0417326300030298</v>
      </c>
    </row>
    <row r="41" spans="2:21" ht="12.75" customHeight="1">
      <c r="B41" s="3248"/>
      <c r="C41" s="1217">
        <f>C9</f>
        <v>45291</v>
      </c>
      <c r="D41" s="1217">
        <f>D9</f>
        <v>45139</v>
      </c>
      <c r="E41" s="1217">
        <f>E9</f>
        <v>45505</v>
      </c>
      <c r="F41" s="1217" t="str">
        <f>F9</f>
        <v>Obj 2024</v>
      </c>
      <c r="G41" s="1218" t="s">
        <v>440</v>
      </c>
      <c r="H41" s="1218" t="s">
        <v>599</v>
      </c>
      <c r="I41" s="1218" t="s">
        <v>440</v>
      </c>
      <c r="J41" s="1218" t="s">
        <v>599</v>
      </c>
      <c r="K41" s="1218" t="s">
        <v>440</v>
      </c>
      <c r="L41" s="1218" t="s">
        <v>599</v>
      </c>
      <c r="M41" s="1217">
        <f>M9</f>
        <v>45291</v>
      </c>
      <c r="N41" s="1217">
        <f>N9</f>
        <v>45139</v>
      </c>
      <c r="O41" s="1217">
        <f>O9</f>
        <v>45505</v>
      </c>
      <c r="P41" s="1217" t="str">
        <f>P9</f>
        <v>écart mois</v>
      </c>
      <c r="Q41" s="1217" t="str">
        <f>Q9</f>
        <v>écart année</v>
      </c>
    </row>
    <row r="42" spans="2:21" ht="12.75" customHeight="1">
      <c r="B42" s="1223" t="s">
        <v>277</v>
      </c>
      <c r="C42" s="1221">
        <f>'Solde créances_DCM'!C44</f>
        <v>971.47238308999999</v>
      </c>
      <c r="D42" s="1221">
        <f>'Solde créances_DCM'!D44</f>
        <v>1757.32511241</v>
      </c>
      <c r="E42" s="1221">
        <f>'Solde créances_DCM'!E44</f>
        <v>1672.5802192600001</v>
      </c>
      <c r="F42" s="1221">
        <f>'Solde créances_DCM'!F44</f>
        <v>944.58186315348075</v>
      </c>
      <c r="G42" s="1221">
        <f>E42-D42</f>
        <v>-84.744893149999825</v>
      </c>
      <c r="H42" s="1221">
        <f>((E42-D42)/D42)*100</f>
        <v>-4.8223799086203503</v>
      </c>
      <c r="I42" s="1221">
        <f t="shared" ref="I42:I67" si="11">E42-C42</f>
        <v>701.10783617000016</v>
      </c>
      <c r="J42" s="1221">
        <f t="shared" ref="J42:J67" si="12">I42/C42*100</f>
        <v>72.169610621349747</v>
      </c>
      <c r="K42" s="1221">
        <f>E42-F42</f>
        <v>727.9983561065194</v>
      </c>
      <c r="L42" s="1221">
        <f t="shared" ref="L42:L67" si="13">F42/E42*100</f>
        <v>56.474532717563299</v>
      </c>
      <c r="M42" s="1269">
        <f>'Solde créances_DCM'!K44</f>
        <v>40.21108289105068</v>
      </c>
      <c r="N42" s="1269">
        <f>'Solde créances_DCM'!L44</f>
        <v>75.351753796941225</v>
      </c>
      <c r="O42" s="1269">
        <f>'Solde créances_DCM'!M44</f>
        <v>71.642569105110368</v>
      </c>
      <c r="P42" s="1269">
        <f>O42-N42</f>
        <v>-3.7091846918308562</v>
      </c>
      <c r="Q42" s="1269">
        <f>O42-M42</f>
        <v>31.431486214059689</v>
      </c>
    </row>
    <row r="43" spans="2:21" ht="12.75" customHeight="1">
      <c r="B43" s="1314" t="s">
        <v>602</v>
      </c>
      <c r="C43" s="1315">
        <f>'Solde créances_DCM'!C45</f>
        <v>971.47238308999897</v>
      </c>
      <c r="D43" s="1315">
        <f>'Solde créances_DCM'!D45</f>
        <v>1757.3251124100002</v>
      </c>
      <c r="E43" s="1315">
        <f>'Solde créances_DCM'!E45</f>
        <v>1672.5802192600001</v>
      </c>
      <c r="F43" s="1315">
        <f>'Solde créances_DCM'!F45</f>
        <v>944.58186315347973</v>
      </c>
      <c r="G43" s="1315">
        <f>'Solde créances_DCM'!G45</f>
        <v>-84.744893150000053</v>
      </c>
      <c r="H43" s="1315">
        <f>'Solde créances_DCM'!H45</f>
        <v>-4.8223799086203627</v>
      </c>
      <c r="I43" s="1315">
        <f t="shared" si="11"/>
        <v>701.10783617000118</v>
      </c>
      <c r="J43" s="1315">
        <f t="shared" si="12"/>
        <v>72.169610621349932</v>
      </c>
      <c r="K43" s="1315">
        <f>'Solde créances_DCM'!I45</f>
        <v>727.99835610652042</v>
      </c>
      <c r="L43" s="1315">
        <f t="shared" si="13"/>
        <v>56.474532717563243</v>
      </c>
      <c r="M43" s="1365">
        <f>'Solde créances_DCM'!K45</f>
        <v>38.060062512583357</v>
      </c>
      <c r="N43" s="1365">
        <f>'Solde créances_DCM'!L45</f>
        <v>65.916006684554887</v>
      </c>
      <c r="O43" s="1365">
        <f>'Solde créances_DCM'!M45</f>
        <v>78.268756792259808</v>
      </c>
      <c r="P43" s="1365">
        <f>'Solde créances_DCM'!N45</f>
        <v>12.352750107704921</v>
      </c>
      <c r="Q43" s="1365">
        <f>'Solde créances_DCM'!O45</f>
        <v>40.20869427967645</v>
      </c>
    </row>
    <row r="44" spans="2:21" ht="12.75" customHeight="1">
      <c r="B44" s="1223" t="s">
        <v>185</v>
      </c>
      <c r="C44" s="1221">
        <f>'Solde créances_DCM'!C51</f>
        <v>0.19742166000000724</v>
      </c>
      <c r="D44" s="1221">
        <f>'Solde créances_DCM'!D51</f>
        <v>1.6828933700000088</v>
      </c>
      <c r="E44" s="1221">
        <f>'Solde créances_DCM'!E51</f>
        <v>0.98603330000000278</v>
      </c>
      <c r="F44" s="1221">
        <f>'Solde créances_DCM'!F51</f>
        <v>0.16278296222383154</v>
      </c>
      <c r="G44" s="1221">
        <f t="shared" ref="G44:G67" si="14">E44-D44</f>
        <v>-0.69686007000000605</v>
      </c>
      <c r="H44" s="1221">
        <f t="shared" ref="H44:H67" si="15">((E44-D44)/D44)*100</f>
        <v>-41.408450613837907</v>
      </c>
      <c r="I44" s="1221">
        <f t="shared" si="11"/>
        <v>0.78861163999999551</v>
      </c>
      <c r="J44" s="1221">
        <f t="shared" si="12"/>
        <v>399.45548021426151</v>
      </c>
      <c r="K44" s="1221">
        <f t="shared" ref="K44:K67" si="16">E44-F44</f>
        <v>0.82325033777617129</v>
      </c>
      <c r="L44" s="1221">
        <f t="shared" si="13"/>
        <v>16.508870666318376</v>
      </c>
      <c r="M44" s="1269">
        <f>'Solde créances_DCM'!K51</f>
        <v>1.2121728987386231</v>
      </c>
      <c r="N44" s="1269">
        <f>'Solde créances_DCM'!L51</f>
        <v>10.80735070855763</v>
      </c>
      <c r="O44" s="1269">
        <f>'Solde créances_DCM'!M51</f>
        <v>9.1920316780601343</v>
      </c>
      <c r="P44" s="1269">
        <f>O44-N44</f>
        <v>-1.6153190304974956</v>
      </c>
      <c r="Q44" s="1269"/>
    </row>
    <row r="45" spans="2:21" ht="12.75" customHeight="1">
      <c r="B45" s="2365" t="s">
        <v>1103</v>
      </c>
      <c r="C45" s="2367">
        <f>'Solde créances_DCM'!C52</f>
        <v>0</v>
      </c>
      <c r="D45" s="2367">
        <f>'Solde créances_DCM'!D52</f>
        <v>0</v>
      </c>
      <c r="E45" s="2367">
        <f>'Solde créances_DCM'!E52</f>
        <v>0</v>
      </c>
      <c r="F45" s="2367">
        <f>'Solde créances_DCM'!F52</f>
        <v>0</v>
      </c>
      <c r="G45" s="1221">
        <f>E45-D45</f>
        <v>0</v>
      </c>
      <c r="H45" s="1221" t="e">
        <f>((E45-D45)/D45)*100</f>
        <v>#DIV/0!</v>
      </c>
      <c r="I45" s="1221">
        <f>E45-C45</f>
        <v>0</v>
      </c>
      <c r="J45" s="1221" t="e">
        <f>I45/C45*100</f>
        <v>#DIV/0!</v>
      </c>
      <c r="K45" s="1221">
        <f>E45-F45</f>
        <v>0</v>
      </c>
      <c r="L45" s="1221" t="e">
        <f>F45/E45*100</f>
        <v>#DIV/0!</v>
      </c>
      <c r="M45" s="2366"/>
      <c r="N45" s="2366"/>
      <c r="O45" s="2366"/>
      <c r="P45" s="2366"/>
      <c r="Q45" s="2366"/>
    </row>
    <row r="46" spans="2:21" ht="12.75" customHeight="1">
      <c r="B46" s="2365" t="s">
        <v>1105</v>
      </c>
      <c r="C46" s="2367">
        <f>C44-C45</f>
        <v>0.19742166000000724</v>
      </c>
      <c r="D46" s="2367">
        <f>D44-D45</f>
        <v>1.6828933700000088</v>
      </c>
      <c r="E46" s="2367">
        <f>E44-E45</f>
        <v>0.98603330000000278</v>
      </c>
      <c r="F46" s="2367">
        <f>F44-F45</f>
        <v>0.16278296222383154</v>
      </c>
      <c r="G46" s="1221">
        <f>E46-D46</f>
        <v>-0.69686007000000605</v>
      </c>
      <c r="H46" s="1221">
        <f>((E46-D46)/D46)*100</f>
        <v>-41.408450613837907</v>
      </c>
      <c r="I46" s="1221">
        <f>E46-C46</f>
        <v>0.78861163999999551</v>
      </c>
      <c r="J46" s="1221">
        <f>I46/C46*100</f>
        <v>399.45548021426151</v>
      </c>
      <c r="K46" s="1221">
        <f>E46-F46</f>
        <v>0.82325033777617129</v>
      </c>
      <c r="L46" s="1221">
        <f>F46/E46*100</f>
        <v>16.508870666318376</v>
      </c>
      <c r="M46" s="2366"/>
      <c r="N46" s="2366"/>
      <c r="O46" s="2366"/>
      <c r="P46" s="2366"/>
      <c r="Q46" s="2366"/>
    </row>
    <row r="47" spans="2:21" ht="12.75" customHeight="1">
      <c r="B47" s="1223" t="s">
        <v>624</v>
      </c>
      <c r="C47" s="1221">
        <f>'Solde créances_DCM'!C55</f>
        <v>776.8180182599998</v>
      </c>
      <c r="D47" s="1221">
        <f>'Solde créances_DCM'!D55</f>
        <v>734.34091131000014</v>
      </c>
      <c r="E47" s="1221">
        <f>'Solde créances_DCM'!E55</f>
        <v>1109.4241201999994</v>
      </c>
      <c r="F47" s="1221">
        <f>'Solde créances_DCM'!F55</f>
        <v>245.09833827925323</v>
      </c>
      <c r="G47" s="1221">
        <f t="shared" si="14"/>
        <v>375.08320888999924</v>
      </c>
      <c r="H47" s="1221">
        <f t="shared" si="15"/>
        <v>51.077531309114107</v>
      </c>
      <c r="I47" s="1221">
        <f t="shared" si="11"/>
        <v>332.60610193999958</v>
      </c>
      <c r="J47" s="1221">
        <f t="shared" si="12"/>
        <v>42.816476204427687</v>
      </c>
      <c r="K47" s="1221">
        <f t="shared" si="16"/>
        <v>864.32578192074618</v>
      </c>
      <c r="L47" s="1221">
        <f t="shared" si="13"/>
        <v>22.092393144928973</v>
      </c>
      <c r="M47" s="1269">
        <f>'Solde créances_DCM'!K55</f>
        <v>73.554070990868865</v>
      </c>
      <c r="N47" s="1269">
        <f>'Solde créances_DCM'!L55</f>
        <v>69.687114993509212</v>
      </c>
      <c r="O47" s="1269">
        <f>'Solde créances_DCM'!M55</f>
        <v>119.72313932061486</v>
      </c>
      <c r="P47" s="1269">
        <f>O47-N47</f>
        <v>50.03602432710565</v>
      </c>
      <c r="Q47" s="1269"/>
    </row>
    <row r="48" spans="2:21" ht="12.75" customHeight="1">
      <c r="B48" s="1224" t="s">
        <v>625</v>
      </c>
      <c r="C48" s="1225">
        <f>C42+C44+C47</f>
        <v>1748.4878230099998</v>
      </c>
      <c r="D48" s="1225">
        <f>D42+D44+D47</f>
        <v>2493.3489170900002</v>
      </c>
      <c r="E48" s="1225">
        <f>E42+E44+E47</f>
        <v>2782.9903727599994</v>
      </c>
      <c r="F48" s="1225">
        <f>F42+F44+F47</f>
        <v>1189.8429843949577</v>
      </c>
      <c r="G48" s="1225">
        <f t="shared" si="14"/>
        <v>289.64145566999923</v>
      </c>
      <c r="H48" s="1225">
        <f t="shared" si="15"/>
        <v>11.616563317100487</v>
      </c>
      <c r="I48" s="1225">
        <f t="shared" si="11"/>
        <v>1034.5025497499996</v>
      </c>
      <c r="J48" s="1225">
        <f t="shared" si="12"/>
        <v>59.165556438884224</v>
      </c>
      <c r="K48" s="1225">
        <f t="shared" si="16"/>
        <v>1593.1473883650417</v>
      </c>
      <c r="L48" s="1225">
        <f t="shared" si="13"/>
        <v>42.754117874110513</v>
      </c>
      <c r="M48" s="1226"/>
      <c r="N48" s="1226"/>
      <c r="O48" s="1226"/>
      <c r="P48" s="1226">
        <f>O48-N48</f>
        <v>0</v>
      </c>
      <c r="Q48" s="1226">
        <f>O48-M48</f>
        <v>0</v>
      </c>
    </row>
    <row r="49" spans="2:18" ht="12.75" customHeight="1">
      <c r="B49" s="1220" t="s">
        <v>636</v>
      </c>
      <c r="C49" s="1221">
        <f>'Solde créances_DCM'!C56</f>
        <v>202.65957825999988</v>
      </c>
      <c r="D49" s="2029">
        <f>'Solde créances_DCM'!D56</f>
        <v>339.48660998000014</v>
      </c>
      <c r="E49" s="1221">
        <f>'Solde créances_DCM'!E56</f>
        <v>216.8233301999993</v>
      </c>
      <c r="F49" s="1221">
        <f>'Solde créances_DCM'!F56</f>
        <v>63.942293690818147</v>
      </c>
      <c r="G49" s="1221">
        <f t="shared" si="14"/>
        <v>-122.66327978000083</v>
      </c>
      <c r="H49" s="1221">
        <f t="shared" si="15"/>
        <v>-36.131993478984988</v>
      </c>
      <c r="I49" s="1221">
        <f t="shared" si="11"/>
        <v>14.163751939999429</v>
      </c>
      <c r="J49" s="1221">
        <f t="shared" si="12"/>
        <v>6.9889378343757329</v>
      </c>
      <c r="K49" s="1221">
        <f t="shared" si="16"/>
        <v>152.88103650918117</v>
      </c>
      <c r="L49" s="1221">
        <f t="shared" si="13"/>
        <v>29.49050438061132</v>
      </c>
      <c r="M49" s="1269">
        <f>'Solde créances_DCM'!K56</f>
        <v>24.173150097191524</v>
      </c>
      <c r="N49" s="1269">
        <f>'Solde créances_DCM'!L56</f>
        <v>38.556814677354829</v>
      </c>
      <c r="O49" s="1269">
        <f>'Solde créances_DCM'!M56</f>
        <v>14.507715668384037</v>
      </c>
      <c r="P49" s="1269"/>
      <c r="Q49" s="1269"/>
      <c r="R49" s="1214">
        <f>F48+F62</f>
        <v>1198.1313977840321</v>
      </c>
    </row>
    <row r="50" spans="2:18" ht="12.75" customHeight="1">
      <c r="B50" s="1220" t="s">
        <v>626</v>
      </c>
      <c r="C50" s="1221">
        <f>'Solde créances_DCM'!C57</f>
        <v>574.15843999999993</v>
      </c>
      <c r="D50" s="1221">
        <f>'Solde créances_DCM'!D57</f>
        <v>394.85430133</v>
      </c>
      <c r="E50" s="1221">
        <f>'Solde créances_DCM'!E57</f>
        <v>892.60079000000007</v>
      </c>
      <c r="F50" s="1221">
        <f>'Solde créances_DCM'!F57</f>
        <v>181.15604458843507</v>
      </c>
      <c r="G50" s="1221">
        <f t="shared" si="14"/>
        <v>497.74648867000008</v>
      </c>
      <c r="H50" s="1221">
        <f t="shared" si="15"/>
        <v>126.05826680712991</v>
      </c>
      <c r="I50" s="1221">
        <f t="shared" si="11"/>
        <v>318.44235000000015</v>
      </c>
      <c r="J50" s="1221">
        <f t="shared" si="12"/>
        <v>55.462452141259156</v>
      </c>
      <c r="K50" s="1221">
        <f t="shared" si="16"/>
        <v>711.44474541156501</v>
      </c>
      <c r="L50" s="1221">
        <f t="shared" si="13"/>
        <v>20.295304084195919</v>
      </c>
      <c r="M50" s="1269"/>
      <c r="N50" s="1269"/>
      <c r="O50" s="1269"/>
      <c r="P50" s="1269"/>
      <c r="Q50" s="1269"/>
    </row>
    <row r="51" spans="2:18" ht="12.75" customHeight="1">
      <c r="B51" s="1224" t="s">
        <v>620</v>
      </c>
      <c r="C51" s="1225">
        <f>C48-C50</f>
        <v>1174.3293830099999</v>
      </c>
      <c r="D51" s="1225">
        <f>D48-D50</f>
        <v>2098.4946157600002</v>
      </c>
      <c r="E51" s="1225">
        <f>E48-E50</f>
        <v>1890.3895827599995</v>
      </c>
      <c r="F51" s="1225">
        <f>F48-F50</f>
        <v>1008.6869398065227</v>
      </c>
      <c r="G51" s="1225">
        <f t="shared" si="14"/>
        <v>-208.10503300000073</v>
      </c>
      <c r="H51" s="1225">
        <f t="shared" si="15"/>
        <v>-9.9168723825689913</v>
      </c>
      <c r="I51" s="1225">
        <f t="shared" si="11"/>
        <v>716.06019974999958</v>
      </c>
      <c r="J51" s="1225">
        <f t="shared" si="12"/>
        <v>60.976094961927906</v>
      </c>
      <c r="K51" s="1225">
        <f t="shared" si="16"/>
        <v>881.70264295347681</v>
      </c>
      <c r="L51" s="1225">
        <f t="shared" si="13"/>
        <v>53.358680613010115</v>
      </c>
      <c r="M51" s="1226"/>
      <c r="N51" s="1226"/>
      <c r="O51" s="1226"/>
      <c r="P51" s="1226">
        <f>O51-N51</f>
        <v>0</v>
      </c>
      <c r="Q51" s="1226">
        <f>O51-M51</f>
        <v>0</v>
      </c>
    </row>
    <row r="52" spans="2:18" ht="12.75" customHeight="1">
      <c r="B52" s="1223" t="s">
        <v>234</v>
      </c>
      <c r="C52" s="1221">
        <f>'Solde créances_DCM'!C48</f>
        <v>326.4879944999999</v>
      </c>
      <c r="D52" s="1221">
        <f>'Solde créances_DCM'!D48</f>
        <v>506.02274235999994</v>
      </c>
      <c r="E52" s="1221">
        <f>'Solde créances_DCM'!E48</f>
        <v>487.83031238999985</v>
      </c>
      <c r="F52" s="1221">
        <f>'Solde créances_DCM'!F48</f>
        <v>168.56222423200344</v>
      </c>
      <c r="G52" s="1221">
        <f t="shared" si="14"/>
        <v>-18.192429970000092</v>
      </c>
      <c r="H52" s="1221">
        <f t="shared" si="15"/>
        <v>-3.5951803045756083</v>
      </c>
      <c r="I52" s="1221">
        <f t="shared" si="11"/>
        <v>161.34231788999995</v>
      </c>
      <c r="J52" s="1221">
        <f t="shared" si="12"/>
        <v>49.417534674464115</v>
      </c>
      <c r="K52" s="1221">
        <f t="shared" si="16"/>
        <v>319.26808815799643</v>
      </c>
      <c r="L52" s="1221">
        <f t="shared" si="13"/>
        <v>34.553454336647498</v>
      </c>
      <c r="M52" s="1269">
        <f>'Solde créances_DCM'!K48</f>
        <v>176.13299284674619</v>
      </c>
      <c r="N52" s="1269">
        <f>'Solde créances_DCM'!L48</f>
        <v>286.2606212780762</v>
      </c>
      <c r="O52" s="1269">
        <f>'Solde créances_DCM'!M48</f>
        <v>332.36578073875791</v>
      </c>
      <c r="P52" s="1269">
        <f>O52-N52</f>
        <v>46.105159460681705</v>
      </c>
      <c r="Q52" s="1269">
        <f>O52-M52</f>
        <v>156.23278789201171</v>
      </c>
    </row>
    <row r="53" spans="2:18" ht="12.75" customHeight="1">
      <c r="B53" s="2365" t="s">
        <v>1101</v>
      </c>
      <c r="C53" s="2367">
        <f>'Solde créances_DCM'!C49</f>
        <v>21.678000000000001</v>
      </c>
      <c r="D53" s="2367">
        <f>'Solde créances_DCM'!D49</f>
        <v>15.51141</v>
      </c>
      <c r="E53" s="2367">
        <f>'Solde créances_DCM'!E49</f>
        <v>40.528499520000004</v>
      </c>
      <c r="F53" s="2367">
        <f>'Solde créances_DCM'!F49</f>
        <v>0</v>
      </c>
      <c r="G53" s="1221">
        <f>E53-D53</f>
        <v>25.017089520000006</v>
      </c>
      <c r="H53" s="1221">
        <f>((E53-D53)/D53)*100</f>
        <v>161.28185329380119</v>
      </c>
      <c r="I53" s="1221">
        <f>E53-C53</f>
        <v>18.850499520000003</v>
      </c>
      <c r="J53" s="1221">
        <f>I53/C53*100</f>
        <v>86.956820370882937</v>
      </c>
      <c r="K53" s="1221">
        <f>E53-F53</f>
        <v>40.528499520000004</v>
      </c>
      <c r="L53" s="1221">
        <f>F53/E53*100</f>
        <v>0</v>
      </c>
      <c r="M53" s="2366"/>
      <c r="N53" s="2366"/>
      <c r="O53" s="2366"/>
      <c r="P53" s="2366"/>
      <c r="Q53" s="2366"/>
    </row>
    <row r="54" spans="2:18" ht="12.75" customHeight="1">
      <c r="B54" s="2365" t="s">
        <v>1106</v>
      </c>
      <c r="C54" s="2367">
        <f>C52-C53</f>
        <v>304.8099944999999</v>
      </c>
      <c r="D54" s="2367">
        <f>D52-D53</f>
        <v>490.51133235999993</v>
      </c>
      <c r="E54" s="2367">
        <f>E52-E53</f>
        <v>447.30181286999982</v>
      </c>
      <c r="F54" s="2367">
        <f>F52-F53</f>
        <v>168.56222423200344</v>
      </c>
      <c r="G54" s="1221">
        <f>E54-D54</f>
        <v>-43.209519490000105</v>
      </c>
      <c r="H54" s="1221">
        <f>((E54-D54)/D54)*100</f>
        <v>-8.8090767000439918</v>
      </c>
      <c r="I54" s="1221">
        <f>E54-C54</f>
        <v>142.49181836999992</v>
      </c>
      <c r="J54" s="1221">
        <f>I54/C54*100</f>
        <v>46.747751366794496</v>
      </c>
      <c r="K54" s="1221">
        <f>E54-F54</f>
        <v>278.73958863799635</v>
      </c>
      <c r="L54" s="1221">
        <f>F54/E54*100</f>
        <v>37.684225590427687</v>
      </c>
      <c r="M54" s="2366"/>
      <c r="N54" s="2366"/>
      <c r="O54" s="2366"/>
      <c r="P54" s="2366"/>
      <c r="Q54" s="2366"/>
    </row>
    <row r="55" spans="2:18" ht="12.75" customHeight="1">
      <c r="B55" s="1223" t="s">
        <v>187</v>
      </c>
      <c r="C55" s="1221">
        <f>'Solde créances_DCM'!C58</f>
        <v>472.67187944000005</v>
      </c>
      <c r="D55" s="1221">
        <f>'Solde créances_DCM'!D58</f>
        <v>555.55558941000015</v>
      </c>
      <c r="E55" s="1221">
        <f>'Solde créances_DCM'!E58</f>
        <v>507.93625065000003</v>
      </c>
      <c r="F55" s="1221">
        <f>'Solde créances_DCM'!F58</f>
        <v>306.51723443726826</v>
      </c>
      <c r="G55" s="1221">
        <f t="shared" si="14"/>
        <v>-47.619338760000119</v>
      </c>
      <c r="H55" s="1221">
        <f t="shared" si="15"/>
        <v>-8.5714804544711427</v>
      </c>
      <c r="I55" s="1221">
        <f t="shared" si="11"/>
        <v>35.264371209999979</v>
      </c>
      <c r="J55" s="1221">
        <f t="shared" si="12"/>
        <v>7.4606450571545722</v>
      </c>
      <c r="K55" s="1221">
        <f t="shared" si="16"/>
        <v>201.41901621273178</v>
      </c>
      <c r="L55" s="1221">
        <f t="shared" si="13"/>
        <v>60.345611096869298</v>
      </c>
      <c r="M55" s="1269">
        <f>'Solde créances_DCM'!K58</f>
        <v>257.45820871744883</v>
      </c>
      <c r="N55" s="1269">
        <f>'Solde créances_DCM'!L58</f>
        <v>299.23174040887341</v>
      </c>
      <c r="O55" s="1269">
        <f>'Solde créances_DCM'!M58</f>
        <v>321.7449175997977</v>
      </c>
      <c r="P55" s="1269">
        <f>O55-N55</f>
        <v>22.513177190924296</v>
      </c>
      <c r="Q55" s="1269"/>
    </row>
    <row r="56" spans="2:18" ht="12.75" customHeight="1">
      <c r="B56" s="1224" t="s">
        <v>621</v>
      </c>
      <c r="C56" s="1225">
        <f>C52+C55</f>
        <v>799.1598739399999</v>
      </c>
      <c r="D56" s="1225">
        <f>D52+D55</f>
        <v>1061.5783317700002</v>
      </c>
      <c r="E56" s="1225">
        <f>E52+E55</f>
        <v>995.76656303999994</v>
      </c>
      <c r="F56" s="1225">
        <f>SUM(F52:F55)</f>
        <v>643.64168290127509</v>
      </c>
      <c r="G56" s="1225">
        <f t="shared" si="14"/>
        <v>-65.811768730000267</v>
      </c>
      <c r="H56" s="1225">
        <f t="shared" si="15"/>
        <v>-6.1994265293895365</v>
      </c>
      <c r="I56" s="1225">
        <f t="shared" si="11"/>
        <v>196.60668910000004</v>
      </c>
      <c r="J56" s="1225">
        <f t="shared" si="12"/>
        <v>24.601671769466378</v>
      </c>
      <c r="K56" s="1225">
        <f t="shared" si="16"/>
        <v>352.12488013872485</v>
      </c>
      <c r="L56" s="1225">
        <f t="shared" si="13"/>
        <v>64.637808377124628</v>
      </c>
      <c r="M56" s="1226"/>
      <c r="N56" s="1226"/>
      <c r="O56" s="1226"/>
      <c r="P56" s="1226"/>
      <c r="Q56" s="1226"/>
    </row>
    <row r="57" spans="2:18" ht="12.75" customHeight="1">
      <c r="B57" s="1220" t="s">
        <v>917</v>
      </c>
      <c r="C57" s="1221">
        <f>C55-C58</f>
        <v>465.64761944000003</v>
      </c>
      <c r="D57" s="1221">
        <f>D55-D58</f>
        <v>542.36958257000015</v>
      </c>
      <c r="E57" s="1221">
        <f>E55-E58</f>
        <v>501.68130065000003</v>
      </c>
      <c r="F57" s="1221"/>
      <c r="G57" s="1221">
        <f t="shared" si="14"/>
        <v>-40.688281920000122</v>
      </c>
      <c r="H57" s="1221">
        <f t="shared" si="15"/>
        <v>-7.5019476068698507</v>
      </c>
      <c r="I57" s="1221">
        <f t="shared" si="11"/>
        <v>36.033681209999997</v>
      </c>
      <c r="J57" s="1221">
        <f t="shared" si="12"/>
        <v>7.7384012514302212</v>
      </c>
      <c r="K57" s="1221">
        <f t="shared" si="16"/>
        <v>501.68130065000003</v>
      </c>
      <c r="L57" s="1221">
        <f t="shared" si="13"/>
        <v>0</v>
      </c>
      <c r="M57" s="1269"/>
      <c r="N57" s="1269"/>
      <c r="O57" s="1269"/>
      <c r="P57" s="1269"/>
      <c r="Q57" s="1269"/>
    </row>
    <row r="58" spans="2:18" ht="12.75" customHeight="1">
      <c r="B58" s="1220" t="s">
        <v>918</v>
      </c>
      <c r="C58" s="1221">
        <f>'Solde créances_DCM'!C60</f>
        <v>7.0242599999999999</v>
      </c>
      <c r="D58" s="1221">
        <f>'Solde créances_DCM'!D60</f>
        <v>13.186006839999999</v>
      </c>
      <c r="E58" s="1221">
        <f>'Solde créances_DCM'!E60</f>
        <v>6.25495</v>
      </c>
      <c r="F58" s="1221"/>
      <c r="G58" s="1221">
        <f t="shared" si="14"/>
        <v>-6.9310568399999992</v>
      </c>
      <c r="H58" s="1221">
        <f t="shared" si="15"/>
        <v>-52.563728535120333</v>
      </c>
      <c r="I58" s="1221">
        <f t="shared" si="11"/>
        <v>-0.76930999999999994</v>
      </c>
      <c r="J58" s="1221">
        <f t="shared" si="12"/>
        <v>-10.952185710665606</v>
      </c>
      <c r="K58" s="1221">
        <f t="shared" si="16"/>
        <v>6.25495</v>
      </c>
      <c r="L58" s="1221">
        <f t="shared" si="13"/>
        <v>0</v>
      </c>
      <c r="M58" s="1269"/>
      <c r="N58" s="1269"/>
      <c r="O58" s="1269"/>
      <c r="P58" s="1269"/>
      <c r="Q58" s="1269"/>
    </row>
    <row r="59" spans="2:18" ht="12.75" customHeight="1">
      <c r="B59" s="1228" t="s">
        <v>635</v>
      </c>
      <c r="C59" s="1229">
        <f>C48+C56</f>
        <v>2547.64769695</v>
      </c>
      <c r="D59" s="1229">
        <f>D48+D56</f>
        <v>3554.9272488600004</v>
      </c>
      <c r="E59" s="1229">
        <f>E48+E56</f>
        <v>3778.7569357999992</v>
      </c>
      <c r="F59" s="1229">
        <f>F48+F56</f>
        <v>1833.4846672962328</v>
      </c>
      <c r="G59" s="1229">
        <f t="shared" si="14"/>
        <v>223.82968693999874</v>
      </c>
      <c r="H59" s="1229">
        <f t="shared" si="15"/>
        <v>6.2963225762714776</v>
      </c>
      <c r="I59" s="1229">
        <f t="shared" si="11"/>
        <v>1231.1092388499992</v>
      </c>
      <c r="J59" s="1229">
        <f t="shared" si="12"/>
        <v>48.323370626317839</v>
      </c>
      <c r="K59" s="1229">
        <f t="shared" si="16"/>
        <v>1945.2722685037663</v>
      </c>
      <c r="L59" s="1229">
        <f t="shared" si="13"/>
        <v>48.520841600733092</v>
      </c>
      <c r="M59" s="1271">
        <f>'Solde créances_DCM'!K61</f>
        <v>62.150602834425769</v>
      </c>
      <c r="N59" s="1271">
        <f>'Solde créances_DCM'!L61</f>
        <v>90.543269617708035</v>
      </c>
      <c r="O59" s="1271">
        <f>'Solde créances_DCM'!M61</f>
        <v>99.979065043834296</v>
      </c>
      <c r="P59" s="1271">
        <f>O59-N59</f>
        <v>9.435795426126262</v>
      </c>
      <c r="Q59" s="1271">
        <f>O59-M59</f>
        <v>37.828462209408528</v>
      </c>
    </row>
    <row r="60" spans="2:18" ht="12.75" customHeight="1">
      <c r="B60" s="1228" t="s">
        <v>622</v>
      </c>
      <c r="C60" s="1229">
        <f>C59-(C50+C58)</f>
        <v>1966.4649969500001</v>
      </c>
      <c r="D60" s="1229">
        <f>D59-(D50+D58)</f>
        <v>3146.8869406900003</v>
      </c>
      <c r="E60" s="1229">
        <f>E59-(E50+E58)</f>
        <v>2879.9011957999992</v>
      </c>
      <c r="F60" s="1229">
        <f>F59-(F50+F58)</f>
        <v>1652.3286227077979</v>
      </c>
      <c r="G60" s="1229">
        <f t="shared" si="14"/>
        <v>-266.98574489000111</v>
      </c>
      <c r="H60" s="1229">
        <f t="shared" si="15"/>
        <v>-8.4841225605474282</v>
      </c>
      <c r="I60" s="1229">
        <f t="shared" si="11"/>
        <v>913.43619884999907</v>
      </c>
      <c r="J60" s="1229">
        <f t="shared" si="12"/>
        <v>46.450671650232501</v>
      </c>
      <c r="K60" s="1229">
        <f t="shared" si="16"/>
        <v>1227.5725730922013</v>
      </c>
      <c r="L60" s="1229">
        <f t="shared" si="13"/>
        <v>57.3744899692228</v>
      </c>
      <c r="M60" s="1271"/>
      <c r="N60" s="1271"/>
      <c r="O60" s="1271"/>
      <c r="P60" s="1271"/>
      <c r="Q60" s="1271"/>
    </row>
    <row r="61" spans="2:18" ht="12.75" customHeight="1">
      <c r="B61" s="1224" t="s">
        <v>623</v>
      </c>
      <c r="C61" s="1225">
        <f>'Solde créances_DCM'!C62</f>
        <v>206.8637588</v>
      </c>
      <c r="D61" s="1225">
        <f>'Solde créances_DCM'!D62</f>
        <v>286.25940410999999</v>
      </c>
      <c r="E61" s="1225">
        <f>'Solde créances_DCM'!E62</f>
        <v>335.91575879999999</v>
      </c>
      <c r="F61" s="1225">
        <f>'Solde créances_DCM'!F62</f>
        <v>19.496077429422286</v>
      </c>
      <c r="G61" s="1225">
        <f t="shared" si="14"/>
        <v>49.656354690000001</v>
      </c>
      <c r="H61" s="1225">
        <f t="shared" si="15"/>
        <v>17.346628259911668</v>
      </c>
      <c r="I61" s="1225">
        <f t="shared" si="11"/>
        <v>129.05199999999999</v>
      </c>
      <c r="J61" s="1225">
        <f t="shared" si="12"/>
        <v>62.385021305143177</v>
      </c>
      <c r="K61" s="1225">
        <f t="shared" si="16"/>
        <v>316.41968137057768</v>
      </c>
      <c r="L61" s="1225">
        <f t="shared" si="13"/>
        <v>5.8038591279755964</v>
      </c>
      <c r="M61" s="1227"/>
      <c r="N61" s="1227"/>
      <c r="O61" s="1227"/>
      <c r="P61" s="1227"/>
      <c r="Q61" s="1227"/>
    </row>
    <row r="62" spans="2:18" ht="12.75" customHeight="1">
      <c r="B62" s="1224" t="s">
        <v>627</v>
      </c>
      <c r="C62" s="1225">
        <f>'Solde créances_DCM'!C66</f>
        <v>29.221689469999998</v>
      </c>
      <c r="D62" s="1225">
        <f>'Solde créances_DCM'!D66</f>
        <v>119.22944493</v>
      </c>
      <c r="E62" s="1225">
        <f>'Solde créances_DCM'!E66</f>
        <v>62.644678620000001</v>
      </c>
      <c r="F62" s="1225">
        <f>'Solde créances_DCM'!F66</f>
        <v>8.2884133890742238</v>
      </c>
      <c r="G62" s="1225">
        <f t="shared" si="14"/>
        <v>-56.584766309999999</v>
      </c>
      <c r="H62" s="1225">
        <f t="shared" si="15"/>
        <v>-47.458718224530109</v>
      </c>
      <c r="I62" s="1225">
        <f t="shared" si="11"/>
        <v>33.422989150000006</v>
      </c>
      <c r="J62" s="1225">
        <f t="shared" si="12"/>
        <v>114.37733326238104</v>
      </c>
      <c r="K62" s="1225">
        <f t="shared" si="16"/>
        <v>54.356265230925779</v>
      </c>
      <c r="L62" s="1225">
        <f t="shared" si="13"/>
        <v>13.230833921826612</v>
      </c>
      <c r="M62" s="1219">
        <f>'Solde créances_DCM'!K66</f>
        <v>50.645252424128877</v>
      </c>
      <c r="N62" s="1219">
        <f>'Solde créances_DCM'!L66</f>
        <v>34.217268219527028</v>
      </c>
      <c r="O62" s="1219">
        <f>'Solde créances_DCM'!M66</f>
        <v>23.589772646793403</v>
      </c>
      <c r="P62" s="1219">
        <f>O62-N62</f>
        <v>-10.627495572733626</v>
      </c>
      <c r="Q62" s="1219">
        <f>O62-M62</f>
        <v>-27.055479777335474</v>
      </c>
    </row>
    <row r="63" spans="2:18" ht="12.75" customHeight="1">
      <c r="B63" s="1273" t="s">
        <v>1021</v>
      </c>
      <c r="C63" s="1274">
        <f>'calcul-DCC-TX-Encais'!BC4</f>
        <v>15.324999999999999</v>
      </c>
      <c r="D63" s="1274">
        <f>'calcul-DCC-TX-Encais'!$Q$20</f>
        <v>77.441922049999988</v>
      </c>
      <c r="E63" s="2125">
        <f>'Feuil-saisie'!C37/1000</f>
        <v>29.963873100000001</v>
      </c>
      <c r="F63" s="1222"/>
      <c r="G63" s="1222">
        <f t="shared" si="14"/>
        <v>-47.478048949999987</v>
      </c>
      <c r="H63" s="1222">
        <f t="shared" si="15"/>
        <v>-61.307942382093806</v>
      </c>
      <c r="I63" s="1222">
        <f t="shared" si="11"/>
        <v>14.638873100000001</v>
      </c>
      <c r="J63" s="1222">
        <f t="shared" si="12"/>
        <v>95.522826101141931</v>
      </c>
      <c r="K63" s="1222">
        <f t="shared" si="16"/>
        <v>29.963873100000001</v>
      </c>
      <c r="L63" s="1222">
        <f t="shared" si="13"/>
        <v>0</v>
      </c>
      <c r="M63" s="1269"/>
      <c r="N63" s="1269"/>
      <c r="O63" s="1269"/>
      <c r="P63" s="1269"/>
      <c r="Q63" s="1269"/>
    </row>
    <row r="64" spans="2:18" ht="12.75" customHeight="1">
      <c r="B64" s="1224" t="s">
        <v>629</v>
      </c>
      <c r="C64" s="1225">
        <f>C62-C63</f>
        <v>13.896689469999998</v>
      </c>
      <c r="D64" s="1225">
        <f>D62-D63</f>
        <v>41.787522880000012</v>
      </c>
      <c r="E64" s="1225">
        <f>E62-E63</f>
        <v>32.68080552</v>
      </c>
      <c r="F64" s="1225">
        <f>F62-F63</f>
        <v>8.2884133890742238</v>
      </c>
      <c r="G64" s="1225">
        <f t="shared" si="14"/>
        <v>-9.1067173600000118</v>
      </c>
      <c r="H64" s="1225">
        <f t="shared" si="15"/>
        <v>-21.792910257330885</v>
      </c>
      <c r="I64" s="1225">
        <f t="shared" si="11"/>
        <v>18.784116050000002</v>
      </c>
      <c r="J64" s="1225">
        <f t="shared" si="12"/>
        <v>135.16971859053854</v>
      </c>
      <c r="K64" s="1225">
        <f t="shared" si="16"/>
        <v>24.392392130925778</v>
      </c>
      <c r="L64" s="1225">
        <f t="shared" si="13"/>
        <v>25.361716938102646</v>
      </c>
      <c r="M64" s="1219"/>
      <c r="N64" s="1219"/>
      <c r="O64" s="1219"/>
      <c r="P64" s="1219"/>
      <c r="Q64" s="1219"/>
    </row>
    <row r="65" spans="2:19" ht="12.75" customHeight="1">
      <c r="B65" s="1230" t="s">
        <v>632</v>
      </c>
      <c r="C65" s="1231">
        <f>C59+C61+C62</f>
        <v>2783.7331452200001</v>
      </c>
      <c r="D65" s="1231">
        <f>D59+D61+D62</f>
        <v>3960.4160979000008</v>
      </c>
      <c r="E65" s="1231">
        <f>E59+E61+E62</f>
        <v>4177.3173732199994</v>
      </c>
      <c r="F65" s="1231">
        <f>F59+F61+F62</f>
        <v>1861.2691581147294</v>
      </c>
      <c r="G65" s="1231">
        <f t="shared" si="14"/>
        <v>216.9012753199986</v>
      </c>
      <c r="H65" s="1231">
        <f t="shared" si="15"/>
        <v>5.4767294637300834</v>
      </c>
      <c r="I65" s="1275">
        <f t="shared" si="11"/>
        <v>1393.5842279999993</v>
      </c>
      <c r="J65" s="1275">
        <f t="shared" si="12"/>
        <v>50.061703306329797</v>
      </c>
      <c r="K65" s="1231">
        <f t="shared" si="16"/>
        <v>2316.0482151052702</v>
      </c>
      <c r="L65" s="1231">
        <f t="shared" si="13"/>
        <v>44.556565657351726</v>
      </c>
      <c r="M65" s="1269"/>
      <c r="N65" s="1269"/>
      <c r="O65" s="1269"/>
      <c r="P65" s="1269"/>
      <c r="Q65" s="1269"/>
    </row>
    <row r="66" spans="2:19" ht="12.75" customHeight="1">
      <c r="B66" s="1220" t="s">
        <v>638</v>
      </c>
      <c r="C66" s="1222">
        <f>C45+C50+C58+C53+C63</f>
        <v>618.1857</v>
      </c>
      <c r="D66" s="1222">
        <f>D45+D50+D58+D53+D63</f>
        <v>500.99364021999997</v>
      </c>
      <c r="E66" s="1222">
        <f>E45+E50+E58+E53+E63</f>
        <v>969.34811262000005</v>
      </c>
      <c r="F66" s="1222">
        <f>F45+F50+F58+F53+F63</f>
        <v>181.15604458843507</v>
      </c>
      <c r="G66" s="1222">
        <f t="shared" si="14"/>
        <v>468.35447240000008</v>
      </c>
      <c r="H66" s="1222">
        <f t="shared" si="15"/>
        <v>93.485113342822643</v>
      </c>
      <c r="I66" s="1222">
        <f t="shared" si="11"/>
        <v>351.16241262000005</v>
      </c>
      <c r="J66" s="1222">
        <f t="shared" si="12"/>
        <v>56.805327690368777</v>
      </c>
      <c r="K66" s="1222">
        <f t="shared" si="16"/>
        <v>788.19206803156499</v>
      </c>
      <c r="L66" s="1222">
        <f t="shared" si="13"/>
        <v>18.688440430218396</v>
      </c>
      <c r="M66" s="1269"/>
      <c r="N66" s="1269"/>
      <c r="O66" s="1269"/>
      <c r="P66" s="1269"/>
      <c r="Q66" s="1269"/>
    </row>
    <row r="67" spans="2:19" ht="12.75" customHeight="1">
      <c r="B67" s="1230" t="s">
        <v>633</v>
      </c>
      <c r="C67" s="1231">
        <f>C65-C66</f>
        <v>2165.5474452200001</v>
      </c>
      <c r="D67" s="1231">
        <f>D65-D66</f>
        <v>3459.4224576800007</v>
      </c>
      <c r="E67" s="1231">
        <f>E65-E66</f>
        <v>3207.9692605999994</v>
      </c>
      <c r="F67" s="1231">
        <f>F65-F66</f>
        <v>1680.1131135262945</v>
      </c>
      <c r="G67" s="1231">
        <f t="shared" si="14"/>
        <v>-251.45319708000125</v>
      </c>
      <c r="H67" s="1231">
        <f t="shared" si="15"/>
        <v>-7.2686467222807414</v>
      </c>
      <c r="I67" s="1275">
        <f t="shared" si="11"/>
        <v>1042.4218153799993</v>
      </c>
      <c r="J67" s="1275">
        <f t="shared" si="12"/>
        <v>48.13664173837109</v>
      </c>
      <c r="K67" s="1231">
        <f t="shared" si="16"/>
        <v>1527.856147073705</v>
      </c>
      <c r="L67" s="1231">
        <f t="shared" si="13"/>
        <v>52.373105134182495</v>
      </c>
      <c r="M67" s="1269"/>
      <c r="N67" s="1269"/>
      <c r="O67" s="1269"/>
      <c r="P67" s="1269"/>
      <c r="Q67" s="1269"/>
    </row>
    <row r="68" spans="2:19" ht="12.75" customHeight="1">
      <c r="B68" s="1220" t="s">
        <v>999</v>
      </c>
      <c r="C68" s="1222">
        <v>161.54921523000002</v>
      </c>
      <c r="D68" s="1222">
        <f>'Sans ADE APC DSA'!$E$133</f>
        <v>825.35928552999997</v>
      </c>
      <c r="E68" s="1222">
        <f>'Sans ADE APC DSA'!$F$133</f>
        <v>1408.7135862399998</v>
      </c>
      <c r="F68" s="1222"/>
      <c r="G68" s="1222"/>
      <c r="H68" s="1222"/>
      <c r="I68" s="1222"/>
      <c r="J68" s="1222"/>
      <c r="K68" s="1222"/>
      <c r="L68" s="1222"/>
    </row>
    <row r="69" spans="2:19" ht="12.75" customHeight="1">
      <c r="B69" s="2093" t="s">
        <v>1000</v>
      </c>
      <c r="C69" s="1275">
        <f>C67-C68</f>
        <v>2003.99822999</v>
      </c>
      <c r="D69" s="1275">
        <f>D67-D68</f>
        <v>2634.0631721500008</v>
      </c>
      <c r="E69" s="1275">
        <f>E67-E68</f>
        <v>1799.2556743599996</v>
      </c>
      <c r="F69" s="1275">
        <f>F67-F68</f>
        <v>1680.1131135262945</v>
      </c>
      <c r="G69" s="1275">
        <f>E69-D69</f>
        <v>-834.80749779000121</v>
      </c>
      <c r="H69" s="2035">
        <f>((E69-D69)/D69)*100</f>
        <v>-31.692766772507071</v>
      </c>
      <c r="I69" s="1275">
        <f>E69-C69</f>
        <v>-204.74255563000042</v>
      </c>
      <c r="J69" s="1275">
        <f>I69/C69*100</f>
        <v>-10.216703416500629</v>
      </c>
      <c r="K69" s="1275">
        <f>E69-F69</f>
        <v>119.14256083370515</v>
      </c>
      <c r="L69" s="1275">
        <f>F69/E69*100</f>
        <v>93.378230646620892</v>
      </c>
    </row>
    <row r="70" spans="2:19" ht="12.75" customHeight="1">
      <c r="C70" s="1232">
        <f>C51+C64</f>
        <v>1188.2260724799999</v>
      </c>
      <c r="D70" s="1232">
        <f>D51+D64</f>
        <v>2140.2821386400001</v>
      </c>
      <c r="F70" s="1232">
        <f>F48+F62</f>
        <v>1198.1313977840321</v>
      </c>
    </row>
    <row r="72" spans="2:19" ht="12.75" customHeight="1">
      <c r="B72" s="3247" t="s">
        <v>7</v>
      </c>
      <c r="C72" s="3249" t="s">
        <v>281</v>
      </c>
      <c r="D72" s="3250"/>
      <c r="E72" s="3250"/>
      <c r="F72" s="3251"/>
      <c r="G72" s="3252" t="s">
        <v>989</v>
      </c>
      <c r="H72" s="3253"/>
      <c r="I72" s="3242" t="s">
        <v>920</v>
      </c>
      <c r="J72" s="3242"/>
      <c r="K72" s="3242" t="s">
        <v>990</v>
      </c>
      <c r="L72" s="3242"/>
      <c r="M72" s="3243" t="s">
        <v>358</v>
      </c>
      <c r="N72" s="3243"/>
      <c r="O72" s="3243"/>
      <c r="P72" s="3243"/>
      <c r="Q72" s="3243"/>
    </row>
    <row r="73" spans="2:19" ht="12.75" customHeight="1">
      <c r="B73" s="3248"/>
      <c r="C73" s="1217">
        <f>C41</f>
        <v>45291</v>
      </c>
      <c r="D73" s="1217">
        <f>D41</f>
        <v>45139</v>
      </c>
      <c r="E73" s="1217">
        <f>E41</f>
        <v>45505</v>
      </c>
      <c r="F73" s="1217" t="str">
        <f>F41</f>
        <v>Obj 2024</v>
      </c>
      <c r="G73" s="1218" t="s">
        <v>440</v>
      </c>
      <c r="H73" s="1218" t="s">
        <v>599</v>
      </c>
      <c r="I73" s="1218" t="s">
        <v>440</v>
      </c>
      <c r="J73" s="1218" t="s">
        <v>599</v>
      </c>
      <c r="K73" s="1218" t="s">
        <v>440</v>
      </c>
      <c r="L73" s="1218" t="s">
        <v>599</v>
      </c>
      <c r="M73" s="1217">
        <f>M41</f>
        <v>45291</v>
      </c>
      <c r="N73" s="1217">
        <f>N41</f>
        <v>45139</v>
      </c>
      <c r="O73" s="1217">
        <f>O41</f>
        <v>45505</v>
      </c>
      <c r="P73" s="1217" t="str">
        <f>P41</f>
        <v>écart mois</v>
      </c>
      <c r="Q73" s="1217" t="str">
        <f>Q41</f>
        <v>écart année</v>
      </c>
    </row>
    <row r="74" spans="2:19" ht="12.75" customHeight="1">
      <c r="B74" s="1223" t="s">
        <v>277</v>
      </c>
      <c r="C74" s="1221">
        <f>'Solde créances_DCM'!C74</f>
        <v>341.06182731999979</v>
      </c>
      <c r="D74" s="1221">
        <f>'Solde créances_DCM'!D74</f>
        <v>985.82839340000078</v>
      </c>
      <c r="E74" s="1221">
        <f>'Solde créances_DCM'!E74</f>
        <v>1016.6158273199995</v>
      </c>
      <c r="F74" s="1221">
        <f>'Solde créances_DCM'!F74</f>
        <v>331.62117823231029</v>
      </c>
      <c r="G74" s="1221">
        <f>E74-D74</f>
        <v>30.787433919998762</v>
      </c>
      <c r="H74" s="1221">
        <f>((E74-D74)/D74)*100</f>
        <v>3.1230013383786495</v>
      </c>
      <c r="I74" s="1221">
        <f t="shared" ref="I74:I99" si="17">E74-C74</f>
        <v>675.55399999999975</v>
      </c>
      <c r="J74" s="1221">
        <f t="shared" ref="J74:J99" si="18">I74/C74*100</f>
        <v>198.07376431082218</v>
      </c>
      <c r="K74" s="1221">
        <f>E74-F74</f>
        <v>684.99464908768925</v>
      </c>
      <c r="L74" s="1221">
        <f t="shared" ref="L74:L99" si="19">F74/E74*100</f>
        <v>32.620107745767577</v>
      </c>
      <c r="M74" s="1269">
        <f>'Solde créances_DCM'!K74</f>
        <v>26.969083451840007</v>
      </c>
      <c r="N74" s="1269">
        <f>'Solde créances_DCM'!L74</f>
        <v>56.899743396439298</v>
      </c>
      <c r="O74" s="1269">
        <f>'Solde créances_DCM'!M74</f>
        <v>73.750550369550353</v>
      </c>
      <c r="P74" s="1269">
        <f>O74-N74</f>
        <v>16.850806973111055</v>
      </c>
      <c r="Q74" s="1269">
        <f>O74-M74</f>
        <v>46.781466917710347</v>
      </c>
    </row>
    <row r="75" spans="2:19" ht="12.75" customHeight="1">
      <c r="B75" s="1314" t="s">
        <v>602</v>
      </c>
      <c r="C75" s="1315">
        <f>'Solde créances_DCM'!C75</f>
        <v>331.86796575999972</v>
      </c>
      <c r="D75" s="1315">
        <f>'Solde créances_DCM'!D75</f>
        <v>924.79053183999929</v>
      </c>
      <c r="E75" s="1315">
        <f>'Solde créances_DCM'!E75</f>
        <v>1007.4219657599996</v>
      </c>
      <c r="F75" s="1315">
        <f>'Solde créances_DCM'!F75</f>
        <v>322.68180431588729</v>
      </c>
      <c r="G75" s="1315">
        <f>'Solde créances_DCM'!G75</f>
        <v>82.631433920000291</v>
      </c>
      <c r="H75" s="1315">
        <f>'Solde créances_DCM'!H75</f>
        <v>8.9351513748301006</v>
      </c>
      <c r="I75" s="1315">
        <f t="shared" si="17"/>
        <v>675.55399999999986</v>
      </c>
      <c r="J75" s="1315">
        <f t="shared" si="18"/>
        <v>203.56107539724007</v>
      </c>
      <c r="K75" s="1315">
        <f>'Solde créances_DCM'!I75</f>
        <v>684.74016144411235</v>
      </c>
      <c r="L75" s="1315">
        <f t="shared" si="19"/>
        <v>32.030451517151107</v>
      </c>
      <c r="M75" s="1365">
        <f>'Solde créances_DCM'!K75</f>
        <v>10.880335544557759</v>
      </c>
      <c r="N75" s="1365">
        <f>'Solde créances_DCM'!L75</f>
        <v>69.869091285481602</v>
      </c>
      <c r="O75" s="1365">
        <f>'Solde créances_DCM'!M75</f>
        <v>25.934269747978632</v>
      </c>
      <c r="P75" s="1365">
        <f>'Solde créances_DCM'!N75</f>
        <v>-43.93482153750297</v>
      </c>
      <c r="Q75" s="1365">
        <f>'Solde créances_DCM'!O75</f>
        <v>15.053934203420873</v>
      </c>
    </row>
    <row r="76" spans="2:19" ht="12.75" customHeight="1">
      <c r="B76" s="1223" t="s">
        <v>185</v>
      </c>
      <c r="C76" s="1221">
        <f>'Solde créances_DCM'!C81</f>
        <v>0.35322000000000114</v>
      </c>
      <c r="D76" s="1221">
        <f>'Solde créances_DCM'!D81</f>
        <v>0.99421999999999389</v>
      </c>
      <c r="E76" s="1221">
        <f>'Solde créances_DCM'!E81</f>
        <v>4.7482200000000008</v>
      </c>
      <c r="F76" s="1221">
        <f>'Solde créances_DCM'!F81</f>
        <v>0.29124564101375627</v>
      </c>
      <c r="G76" s="1221">
        <f t="shared" ref="G76:G99" si="20">E76-D76</f>
        <v>3.7540000000000067</v>
      </c>
      <c r="H76" s="1221">
        <f t="shared" ref="H76:H99" si="21">((E76-D76)/D76)*100</f>
        <v>377.58242642473795</v>
      </c>
      <c r="I76" s="1221">
        <f t="shared" si="17"/>
        <v>4.3949999999999996</v>
      </c>
      <c r="J76" s="1221">
        <f t="shared" si="18"/>
        <v>1244.2670290470487</v>
      </c>
      <c r="K76" s="1221">
        <f t="shared" ref="K76:K99" si="22">E76-F76</f>
        <v>4.4569743589862441</v>
      </c>
      <c r="L76" s="1221">
        <f t="shared" si="19"/>
        <v>6.1337857347333573</v>
      </c>
      <c r="M76" s="1269">
        <f>'Solde créances_DCM'!K81</f>
        <v>1.7632257005703089</v>
      </c>
      <c r="N76" s="1269">
        <f>'Solde créances_DCM'!L81</f>
        <v>2.744379425764147</v>
      </c>
      <c r="O76" s="1269">
        <f>'Solde créances_DCM'!M81</f>
        <v>18.987566606875443</v>
      </c>
      <c r="P76" s="1269"/>
      <c r="Q76" s="1269"/>
      <c r="S76" s="1232">
        <f>C76+C94</f>
        <v>138.66803759999999</v>
      </c>
    </row>
    <row r="77" spans="2:19" ht="12.75" customHeight="1">
      <c r="B77" s="2365" t="s">
        <v>1103</v>
      </c>
      <c r="C77" s="2367">
        <f>'Solde créances_DCM'!C82</f>
        <v>0</v>
      </c>
      <c r="D77" s="2367">
        <f>'Solde créances_DCM'!D82</f>
        <v>0</v>
      </c>
      <c r="E77" s="2367">
        <f>'Solde créances_DCM'!E82</f>
        <v>0</v>
      </c>
      <c r="F77" s="2367">
        <f>'Solde créances_DCM'!F82</f>
        <v>0</v>
      </c>
      <c r="G77" s="1221">
        <f>E77-D77</f>
        <v>0</v>
      </c>
      <c r="H77" s="1221" t="e">
        <f>((E77-D77)/D77)*100</f>
        <v>#DIV/0!</v>
      </c>
      <c r="I77" s="1221">
        <f>E77-C77</f>
        <v>0</v>
      </c>
      <c r="J77" s="1221" t="e">
        <f>I77/C77*100</f>
        <v>#DIV/0!</v>
      </c>
      <c r="K77" s="1221">
        <f>E77-F77</f>
        <v>0</v>
      </c>
      <c r="L77" s="1221" t="e">
        <f>F77/E77*100</f>
        <v>#DIV/0!</v>
      </c>
      <c r="M77" s="2366"/>
      <c r="N77" s="2366"/>
      <c r="O77" s="2366"/>
      <c r="P77" s="2366"/>
      <c r="Q77" s="2366"/>
    </row>
    <row r="78" spans="2:19" ht="12.75" customHeight="1">
      <c r="B78" s="2365" t="s">
        <v>1105</v>
      </c>
      <c r="C78" s="2367">
        <f>C76-C77</f>
        <v>0.35322000000000114</v>
      </c>
      <c r="D78" s="2367">
        <f>D76-D77</f>
        <v>0.99421999999999389</v>
      </c>
      <c r="E78" s="2367">
        <f>E76-E77</f>
        <v>4.7482200000000008</v>
      </c>
      <c r="F78" s="2367">
        <f>F76-F77</f>
        <v>0.29124564101375627</v>
      </c>
      <c r="G78" s="1221">
        <f>E78-D78</f>
        <v>3.7540000000000067</v>
      </c>
      <c r="H78" s="1221">
        <f>((E78-D78)/D78)*100</f>
        <v>377.58242642473795</v>
      </c>
      <c r="I78" s="1221">
        <f>E78-C78</f>
        <v>4.3949999999999996</v>
      </c>
      <c r="J78" s="1221">
        <f>I78/C78*100</f>
        <v>1244.2670290470487</v>
      </c>
      <c r="K78" s="1221">
        <f>E78-F78</f>
        <v>4.4569743589862441</v>
      </c>
      <c r="L78" s="1221">
        <f>F78/E78*100</f>
        <v>6.1337857347333573</v>
      </c>
      <c r="M78" s="2366"/>
      <c r="N78" s="2366"/>
      <c r="O78" s="2366"/>
      <c r="P78" s="2366"/>
      <c r="Q78" s="2366"/>
    </row>
    <row r="79" spans="2:19" ht="12.75" customHeight="1">
      <c r="B79" s="1223" t="s">
        <v>624</v>
      </c>
      <c r="C79" s="1221">
        <f>'Solde créances_DCM'!C85</f>
        <v>318.04000000000002</v>
      </c>
      <c r="D79" s="1221">
        <f>'Solde créances_DCM'!D85</f>
        <v>343.18</v>
      </c>
      <c r="E79" s="1221">
        <f>'Solde créances_DCM'!E85</f>
        <v>524.35500000000002</v>
      </c>
      <c r="F79" s="1221">
        <f>'Solde créances_DCM'!F85</f>
        <v>100.34663675919472</v>
      </c>
      <c r="G79" s="1221">
        <f t="shared" si="20"/>
        <v>181.17500000000001</v>
      </c>
      <c r="H79" s="1221">
        <f t="shared" si="21"/>
        <v>52.792994929774459</v>
      </c>
      <c r="I79" s="1221">
        <f t="shared" si="17"/>
        <v>206.315</v>
      </c>
      <c r="J79" s="1221">
        <f t="shared" si="18"/>
        <v>64.870770972204753</v>
      </c>
      <c r="K79" s="1221">
        <f t="shared" si="22"/>
        <v>424.00836324080529</v>
      </c>
      <c r="L79" s="1221">
        <f t="shared" si="19"/>
        <v>19.137156460641116</v>
      </c>
      <c r="M79" s="1269">
        <f>'Solde créances_DCM'!K85</f>
        <v>93.930598654372886</v>
      </c>
      <c r="N79" s="1269">
        <f>'Solde créances_DCM'!L85</f>
        <v>54.719286618854206</v>
      </c>
      <c r="O79" s="1269">
        <f>'Solde créances_DCM'!M85</f>
        <v>143.08877531769241</v>
      </c>
      <c r="P79" s="1269"/>
      <c r="Q79" s="1269"/>
    </row>
    <row r="80" spans="2:19" ht="12.75" customHeight="1">
      <c r="B80" s="1224" t="s">
        <v>625</v>
      </c>
      <c r="C80" s="1225">
        <f>C74+C76+C79</f>
        <v>659.45504731999984</v>
      </c>
      <c r="D80" s="1225">
        <f>D74+D76+D79</f>
        <v>1330.0026134000009</v>
      </c>
      <c r="E80" s="1225">
        <f>E74+E76+E79</f>
        <v>1545.7190473199994</v>
      </c>
      <c r="F80" s="1225">
        <f>F74+F76+F79</f>
        <v>432.25906063251875</v>
      </c>
      <c r="G80" s="1225">
        <f t="shared" si="20"/>
        <v>215.71643391999851</v>
      </c>
      <c r="H80" s="1225">
        <f t="shared" si="21"/>
        <v>16.219248875650244</v>
      </c>
      <c r="I80" s="1225">
        <f t="shared" si="17"/>
        <v>886.26399999999956</v>
      </c>
      <c r="J80" s="1225">
        <f t="shared" si="18"/>
        <v>134.39339096754856</v>
      </c>
      <c r="K80" s="1225">
        <f t="shared" si="22"/>
        <v>1113.4599866874805</v>
      </c>
      <c r="L80" s="1225">
        <f t="shared" si="19"/>
        <v>27.964917776097714</v>
      </c>
      <c r="M80" s="1226"/>
      <c r="N80" s="1226"/>
      <c r="O80" s="1226"/>
      <c r="P80" s="1226">
        <f>O80-N80</f>
        <v>0</v>
      </c>
      <c r="Q80" s="1226">
        <f>O80-M80</f>
        <v>0</v>
      </c>
      <c r="S80" s="1232">
        <f>C83+C96</f>
        <v>371.68701761999978</v>
      </c>
    </row>
    <row r="81" spans="2:18" ht="12.75" customHeight="1">
      <c r="B81" s="1220" t="s">
        <v>636</v>
      </c>
      <c r="C81" s="1221">
        <f>'Solde créances_DCM'!C86</f>
        <v>16.557000000000016</v>
      </c>
      <c r="D81" s="1221">
        <f>'Solde créances_DCM'!D86</f>
        <v>41.725999999999999</v>
      </c>
      <c r="E81" s="1221">
        <f>'Solde créances_DCM'!E86</f>
        <v>28.177000000000021</v>
      </c>
      <c r="F81" s="1221">
        <f>'Solde créances_DCM'!F86</f>
        <v>5.2239946699219866</v>
      </c>
      <c r="G81" s="1221">
        <f t="shared" si="20"/>
        <v>-13.548999999999978</v>
      </c>
      <c r="H81" s="1221">
        <f t="shared" si="21"/>
        <v>-32.47136078224603</v>
      </c>
      <c r="I81" s="1221">
        <f t="shared" si="17"/>
        <v>11.620000000000005</v>
      </c>
      <c r="J81" s="1221">
        <f t="shared" si="18"/>
        <v>70.181796219121779</v>
      </c>
      <c r="K81" s="1221">
        <f t="shared" si="22"/>
        <v>22.953005330078035</v>
      </c>
      <c r="L81" s="1221">
        <f t="shared" si="19"/>
        <v>18.53992500948285</v>
      </c>
      <c r="M81" s="1269">
        <f>'Solde créances_DCM'!K86</f>
        <v>6.4488761082212633</v>
      </c>
      <c r="N81" s="1269">
        <f>'Solde créances_DCM'!L86</f>
        <v>8.8899800246289384</v>
      </c>
      <c r="O81" s="1269">
        <f>'Solde créances_DCM'!M86</f>
        <v>14.507715668384037</v>
      </c>
      <c r="P81" s="1269"/>
      <c r="Q81" s="1269"/>
      <c r="R81" s="1214">
        <f>F80+F94</f>
        <v>471.49054953325958</v>
      </c>
    </row>
    <row r="82" spans="2:18" ht="12.75" customHeight="1">
      <c r="B82" s="1220" t="s">
        <v>626</v>
      </c>
      <c r="C82" s="1221">
        <f>'Solde créances_DCM'!C87</f>
        <v>301.483</v>
      </c>
      <c r="D82" s="1221">
        <f>'Solde créances_DCM'!D87</f>
        <v>301.45400000000001</v>
      </c>
      <c r="E82" s="1221">
        <f>'Solde créances_DCM'!E87</f>
        <v>496.178</v>
      </c>
      <c r="F82" s="1221">
        <f>'Solde créances_DCM'!F87</f>
        <v>95.12264208927273</v>
      </c>
      <c r="G82" s="1221">
        <f t="shared" si="20"/>
        <v>194.72399999999999</v>
      </c>
      <c r="H82" s="1221">
        <f t="shared" si="21"/>
        <v>64.594929906387051</v>
      </c>
      <c r="I82" s="1221">
        <f t="shared" si="17"/>
        <v>194.69499999999999</v>
      </c>
      <c r="J82" s="1221">
        <f t="shared" si="18"/>
        <v>64.579097328870944</v>
      </c>
      <c r="K82" s="1221">
        <f t="shared" si="22"/>
        <v>401.05535791072725</v>
      </c>
      <c r="L82" s="1221">
        <f t="shared" si="19"/>
        <v>19.171072092932924</v>
      </c>
      <c r="M82" s="1269"/>
      <c r="N82" s="1269"/>
      <c r="O82" s="1269"/>
      <c r="P82" s="1269"/>
      <c r="Q82" s="1269"/>
    </row>
    <row r="83" spans="2:18" ht="12.75" customHeight="1">
      <c r="B83" s="1224" t="s">
        <v>620</v>
      </c>
      <c r="C83" s="1225">
        <f>C80-C82</f>
        <v>357.97204731999983</v>
      </c>
      <c r="D83" s="1225">
        <f>D80-D82</f>
        <v>1028.5486134000009</v>
      </c>
      <c r="E83" s="1225">
        <f>E80-E82</f>
        <v>1049.5410473199995</v>
      </c>
      <c r="F83" s="1225">
        <f>F80-F82</f>
        <v>337.13641854324601</v>
      </c>
      <c r="G83" s="1225">
        <f t="shared" si="20"/>
        <v>20.992433919998575</v>
      </c>
      <c r="H83" s="1225">
        <f t="shared" si="21"/>
        <v>2.0409763473021814</v>
      </c>
      <c r="I83" s="1225">
        <f t="shared" si="17"/>
        <v>691.56899999999973</v>
      </c>
      <c r="J83" s="1225">
        <f t="shared" si="18"/>
        <v>193.19078268191973</v>
      </c>
      <c r="K83" s="1225">
        <f t="shared" si="22"/>
        <v>712.4046287767535</v>
      </c>
      <c r="L83" s="1225">
        <f t="shared" si="19"/>
        <v>32.122270911092329</v>
      </c>
      <c r="M83" s="1226"/>
      <c r="N83" s="1226"/>
      <c r="O83" s="1226"/>
      <c r="P83" s="1226">
        <f>O83-N83</f>
        <v>0</v>
      </c>
      <c r="Q83" s="1226">
        <f>O83-M83</f>
        <v>0</v>
      </c>
    </row>
    <row r="84" spans="2:18" ht="12.75" customHeight="1">
      <c r="B84" s="1223" t="s">
        <v>234</v>
      </c>
      <c r="C84" s="1221">
        <f>'Solde créances_DCM'!C78</f>
        <v>36.146229999999981</v>
      </c>
      <c r="D84" s="1221">
        <f>'Solde créances_DCM'!D78</f>
        <v>83.91822999999998</v>
      </c>
      <c r="E84" s="1221">
        <f>'Solde créances_DCM'!E78</f>
        <v>40.47622999999998</v>
      </c>
      <c r="F84" s="1221">
        <f>'Solde créances_DCM'!F78</f>
        <v>18.661908030439289</v>
      </c>
      <c r="G84" s="1221">
        <f t="shared" si="20"/>
        <v>-43.442</v>
      </c>
      <c r="H84" s="1221">
        <f t="shared" si="21"/>
        <v>-51.767059433927542</v>
      </c>
      <c r="I84" s="1221">
        <f t="shared" si="17"/>
        <v>4.3299999999999983</v>
      </c>
      <c r="J84" s="1221">
        <f t="shared" si="18"/>
        <v>11.979119260846845</v>
      </c>
      <c r="K84" s="1221">
        <f t="shared" si="22"/>
        <v>21.814321969560691</v>
      </c>
      <c r="L84" s="1221">
        <f t="shared" si="19"/>
        <v>46.105845407142162</v>
      </c>
      <c r="M84" s="1269">
        <f>'Solde créances_DCM'!K78</f>
        <v>24.729106437295219</v>
      </c>
      <c r="N84" s="1269">
        <f>'Solde créances_DCM'!L78</f>
        <v>29.590339207575116</v>
      </c>
      <c r="O84" s="1269">
        <f>'Solde créances_DCM'!M78</f>
        <v>24.810244956336163</v>
      </c>
      <c r="P84" s="1269">
        <f>O84-N84</f>
        <v>-4.7800942512389533</v>
      </c>
      <c r="Q84" s="1269">
        <f>O84-M84</f>
        <v>8.1138519040944601E-2</v>
      </c>
    </row>
    <row r="85" spans="2:18" ht="12.75" customHeight="1">
      <c r="B85" s="2365" t="s">
        <v>1101</v>
      </c>
      <c r="C85" s="2367">
        <f>'Solde créances_DCM'!C79</f>
        <v>0</v>
      </c>
      <c r="D85" s="2367">
        <f>'Solde créances_DCM'!D79</f>
        <v>0</v>
      </c>
      <c r="E85" s="2367">
        <f>'Solde créances_DCM'!E79</f>
        <v>0</v>
      </c>
      <c r="F85" s="2367">
        <f>'Solde créances_DCM'!F79</f>
        <v>0</v>
      </c>
      <c r="G85" s="1221">
        <f>E85-D85</f>
        <v>0</v>
      </c>
      <c r="H85" s="1221" t="e">
        <f>((E85-D85)/D85)*100</f>
        <v>#DIV/0!</v>
      </c>
      <c r="I85" s="1221">
        <f>E85-C85</f>
        <v>0</v>
      </c>
      <c r="J85" s="1221" t="e">
        <f>I85/C85*100</f>
        <v>#DIV/0!</v>
      </c>
      <c r="K85" s="1221">
        <f>E85-F85</f>
        <v>0</v>
      </c>
      <c r="L85" s="1221" t="e">
        <f>F85/E85*100</f>
        <v>#DIV/0!</v>
      </c>
      <c r="M85" s="2366"/>
      <c r="N85" s="2366"/>
      <c r="O85" s="2366"/>
      <c r="P85" s="2366"/>
      <c r="Q85" s="2366"/>
    </row>
    <row r="86" spans="2:18" ht="12.75" customHeight="1">
      <c r="B86" s="2365" t="s">
        <v>1106</v>
      </c>
      <c r="C86" s="2367">
        <f>C84-C85</f>
        <v>36.146229999999981</v>
      </c>
      <c r="D86" s="2367">
        <f>D84-D85</f>
        <v>83.91822999999998</v>
      </c>
      <c r="E86" s="2367">
        <f>E84-E85</f>
        <v>40.47622999999998</v>
      </c>
      <c r="F86" s="2367">
        <f>F84-F85</f>
        <v>18.661908030439289</v>
      </c>
      <c r="G86" s="1221">
        <f>E86-D86</f>
        <v>-43.442</v>
      </c>
      <c r="H86" s="1221">
        <f>((E86-D86)/D86)*100</f>
        <v>-51.767059433927542</v>
      </c>
      <c r="I86" s="1221">
        <f>E86-C86</f>
        <v>4.3299999999999983</v>
      </c>
      <c r="J86" s="1221">
        <f>I86/C86*100</f>
        <v>11.979119260846845</v>
      </c>
      <c r="K86" s="1221">
        <f>E86-F86</f>
        <v>21.814321969560691</v>
      </c>
      <c r="L86" s="1221">
        <f>F86/E86*100</f>
        <v>46.105845407142162</v>
      </c>
      <c r="M86" s="2366"/>
      <c r="N86" s="2366"/>
      <c r="O86" s="2366"/>
      <c r="P86" s="2366"/>
      <c r="Q86" s="2366"/>
    </row>
    <row r="87" spans="2:18" ht="12.75" customHeight="1">
      <c r="B87" s="1223" t="s">
        <v>187</v>
      </c>
      <c r="C87" s="1221">
        <f>'Solde créances_DCM'!C88</f>
        <v>35.567999999999998</v>
      </c>
      <c r="D87" s="1221">
        <f>'Solde créances_DCM'!D88</f>
        <v>82.087999999999994</v>
      </c>
      <c r="E87" s="1221">
        <f>'Solde créances_DCM'!E88</f>
        <v>78.953000000000003</v>
      </c>
      <c r="F87" s="1221">
        <f>'Solde créances_DCM'!F88</f>
        <v>23.065059439078944</v>
      </c>
      <c r="G87" s="1221">
        <f t="shared" si="20"/>
        <v>-3.1349999999999909</v>
      </c>
      <c r="H87" s="1221">
        <f t="shared" si="21"/>
        <v>-3.8190722151836942</v>
      </c>
      <c r="I87" s="1221">
        <f t="shared" si="17"/>
        <v>43.385000000000005</v>
      </c>
      <c r="J87" s="1221">
        <f t="shared" si="18"/>
        <v>121.9776203328835</v>
      </c>
      <c r="K87" s="1221">
        <f t="shared" si="22"/>
        <v>55.887940560921059</v>
      </c>
      <c r="L87" s="1221">
        <f t="shared" si="19"/>
        <v>29.2136580485592</v>
      </c>
      <c r="M87" s="1269">
        <f>'Solde créances_DCM'!K88</f>
        <v>33.796947363762499</v>
      </c>
      <c r="N87" s="1269">
        <f>'Solde créances_DCM'!L88</f>
        <v>40.543216199901224</v>
      </c>
      <c r="O87" s="1269">
        <f>'Solde créances_DCM'!M88</f>
        <v>68.963260244428469</v>
      </c>
      <c r="P87" s="1269"/>
      <c r="Q87" s="1269"/>
    </row>
    <row r="88" spans="2:18" ht="12.75" customHeight="1">
      <c r="B88" s="1224" t="s">
        <v>621</v>
      </c>
      <c r="C88" s="1225">
        <f>C84+C87</f>
        <v>71.714229999999986</v>
      </c>
      <c r="D88" s="1225">
        <f>D84+D87</f>
        <v>166.00622999999996</v>
      </c>
      <c r="E88" s="1225">
        <f>E84+E87</f>
        <v>119.42922999999999</v>
      </c>
      <c r="F88" s="1225">
        <f>SUM(F84:F87)</f>
        <v>60.388875499957521</v>
      </c>
      <c r="G88" s="1225">
        <f t="shared" si="20"/>
        <v>-46.57699999999997</v>
      </c>
      <c r="H88" s="1225">
        <f t="shared" si="21"/>
        <v>-28.057380738060239</v>
      </c>
      <c r="I88" s="1225">
        <f t="shared" si="17"/>
        <v>47.715000000000003</v>
      </c>
      <c r="J88" s="1225">
        <f t="shared" si="18"/>
        <v>66.534912248238626</v>
      </c>
      <c r="K88" s="1225">
        <f t="shared" si="22"/>
        <v>59.040354500042469</v>
      </c>
      <c r="L88" s="1225">
        <f t="shared" si="19"/>
        <v>50.564569075725871</v>
      </c>
      <c r="M88" s="1226"/>
      <c r="N88" s="1226"/>
      <c r="O88" s="1226"/>
      <c r="P88" s="1226"/>
      <c r="Q88" s="1226"/>
    </row>
    <row r="89" spans="2:18" ht="12.75" customHeight="1">
      <c r="B89" s="1220" t="s">
        <v>917</v>
      </c>
      <c r="C89" s="1221">
        <f>C87-C90</f>
        <v>35.567999999999998</v>
      </c>
      <c r="D89" s="1221">
        <f>D87-D90</f>
        <v>82.087999999999994</v>
      </c>
      <c r="E89" s="1221">
        <f>E87-E90</f>
        <v>78.953000000000003</v>
      </c>
      <c r="F89" s="1221"/>
      <c r="G89" s="1221">
        <f t="shared" si="20"/>
        <v>-3.1349999999999909</v>
      </c>
      <c r="H89" s="1221">
        <f t="shared" si="21"/>
        <v>-3.8190722151836942</v>
      </c>
      <c r="I89" s="1221">
        <f t="shared" si="17"/>
        <v>43.385000000000005</v>
      </c>
      <c r="J89" s="1221">
        <f t="shared" si="18"/>
        <v>121.9776203328835</v>
      </c>
      <c r="K89" s="1221">
        <f t="shared" si="22"/>
        <v>78.953000000000003</v>
      </c>
      <c r="L89" s="1221">
        <f t="shared" si="19"/>
        <v>0</v>
      </c>
      <c r="M89" s="1269"/>
      <c r="N89" s="1269"/>
      <c r="O89" s="1269"/>
      <c r="P89" s="1269"/>
      <c r="Q89" s="1269"/>
    </row>
    <row r="90" spans="2:18" ht="12.75" customHeight="1">
      <c r="B90" s="1220" t="s">
        <v>918</v>
      </c>
      <c r="C90" s="1221">
        <f>'Solde créances_DCM'!C90</f>
        <v>0</v>
      </c>
      <c r="D90" s="1221">
        <f>'Solde créances_DCM'!D90</f>
        <v>0</v>
      </c>
      <c r="E90" s="1221">
        <f>'Solde créances_DCM'!E90</f>
        <v>0</v>
      </c>
      <c r="F90" s="1221"/>
      <c r="G90" s="1221">
        <f t="shared" si="20"/>
        <v>0</v>
      </c>
      <c r="H90" s="1221" t="e">
        <f t="shared" si="21"/>
        <v>#DIV/0!</v>
      </c>
      <c r="I90" s="1221">
        <f t="shared" si="17"/>
        <v>0</v>
      </c>
      <c r="J90" s="1221" t="e">
        <f t="shared" si="18"/>
        <v>#DIV/0!</v>
      </c>
      <c r="K90" s="1221">
        <f t="shared" si="22"/>
        <v>0</v>
      </c>
      <c r="L90" s="1221" t="e">
        <f t="shared" si="19"/>
        <v>#DIV/0!</v>
      </c>
      <c r="M90" s="1269"/>
      <c r="N90" s="1269"/>
      <c r="O90" s="1269"/>
      <c r="P90" s="1269"/>
      <c r="Q90" s="1269"/>
    </row>
    <row r="91" spans="2:18" ht="12.75" customHeight="1">
      <c r="B91" s="1228" t="s">
        <v>635</v>
      </c>
      <c r="C91" s="1229">
        <f>C80+C88</f>
        <v>731.16927731999976</v>
      </c>
      <c r="D91" s="1229">
        <f>D80+D88</f>
        <v>1496.0088434000008</v>
      </c>
      <c r="E91" s="1229">
        <f>E80+E88</f>
        <v>1665.1482773199994</v>
      </c>
      <c r="F91" s="1229">
        <f>F80+F88</f>
        <v>492.64793613247627</v>
      </c>
      <c r="G91" s="1229">
        <f t="shared" si="20"/>
        <v>169.13943391999851</v>
      </c>
      <c r="H91" s="1229">
        <f t="shared" si="21"/>
        <v>11.30604505890439</v>
      </c>
      <c r="I91" s="1229">
        <f t="shared" si="17"/>
        <v>933.97899999999959</v>
      </c>
      <c r="J91" s="1229">
        <f t="shared" si="18"/>
        <v>127.73772489776525</v>
      </c>
      <c r="K91" s="1229">
        <f t="shared" si="22"/>
        <v>1172.5003411875232</v>
      </c>
      <c r="L91" s="1229">
        <f t="shared" si="19"/>
        <v>29.585829853265484</v>
      </c>
      <c r="M91" s="1271">
        <f>'Solde créances_DCM'!K91</f>
        <v>42.195356412289286</v>
      </c>
      <c r="N91" s="1271">
        <f>'Solde créances_DCM'!L91</f>
        <v>62.419988218756721</v>
      </c>
      <c r="O91" s="1271">
        <f>'Solde créances_DCM'!M91</f>
        <v>84.827222810269546</v>
      </c>
      <c r="P91" s="1271">
        <f>O91-N91</f>
        <v>22.407234591512825</v>
      </c>
      <c r="Q91" s="1271">
        <f>O91-M91</f>
        <v>42.631866397980261</v>
      </c>
    </row>
    <row r="92" spans="2:18" ht="12.75" customHeight="1">
      <c r="B92" s="1228" t="s">
        <v>622</v>
      </c>
      <c r="C92" s="1229">
        <f>C91-(C82+C90)</f>
        <v>429.68627731999976</v>
      </c>
      <c r="D92" s="1229">
        <f>D91-(D82+D90)</f>
        <v>1194.5548434000009</v>
      </c>
      <c r="E92" s="1229">
        <f>E91-(E82+E90)</f>
        <v>1168.9702773199992</v>
      </c>
      <c r="F92" s="1229">
        <f>F91-(F82+F90)</f>
        <v>397.52529404320353</v>
      </c>
      <c r="G92" s="1229">
        <f t="shared" si="20"/>
        <v>-25.58456608000165</v>
      </c>
      <c r="H92" s="1229">
        <f t="shared" si="21"/>
        <v>-2.1417657147646394</v>
      </c>
      <c r="I92" s="1229">
        <f t="shared" si="17"/>
        <v>739.28399999999942</v>
      </c>
      <c r="J92" s="1229">
        <f t="shared" si="18"/>
        <v>172.05203866667432</v>
      </c>
      <c r="K92" s="1229">
        <f t="shared" si="22"/>
        <v>771.44498327679571</v>
      </c>
      <c r="L92" s="1229">
        <f t="shared" si="19"/>
        <v>34.006450100217826</v>
      </c>
      <c r="M92" s="1271"/>
      <c r="N92" s="1271"/>
      <c r="O92" s="1271"/>
      <c r="P92" s="1271"/>
      <c r="Q92" s="1271"/>
    </row>
    <row r="93" spans="2:18" ht="12.75" customHeight="1">
      <c r="B93" s="1224" t="s">
        <v>623</v>
      </c>
      <c r="C93" s="1225">
        <f>'Solde créances_DCM'!C92</f>
        <v>120.79326428999997</v>
      </c>
      <c r="D93" s="1225">
        <f>'Solde créances_DCM'!D92</f>
        <v>64.710815079999989</v>
      </c>
      <c r="E93" s="1225">
        <f>'Solde créances_DCM'!E92</f>
        <v>147.11199999999999</v>
      </c>
      <c r="F93" s="1225">
        <f>'Solde créances_DCM'!F92</f>
        <v>6.99086058678495</v>
      </c>
      <c r="G93" s="1225">
        <f t="shared" si="20"/>
        <v>82.401184920000006</v>
      </c>
      <c r="H93" s="1225">
        <f t="shared" si="21"/>
        <v>127.33757845289068</v>
      </c>
      <c r="I93" s="1225">
        <f t="shared" si="17"/>
        <v>26.318735710000027</v>
      </c>
      <c r="J93" s="1225">
        <f t="shared" si="18"/>
        <v>21.788247767536205</v>
      </c>
      <c r="K93" s="1225">
        <f t="shared" si="22"/>
        <v>140.12113941321505</v>
      </c>
      <c r="L93" s="1225">
        <f t="shared" si="19"/>
        <v>4.7520668516402136</v>
      </c>
      <c r="M93" s="1227"/>
      <c r="N93" s="1227"/>
      <c r="O93" s="1227"/>
      <c r="P93" s="1227"/>
      <c r="Q93" s="1227"/>
    </row>
    <row r="94" spans="2:18" ht="12.75" customHeight="1">
      <c r="B94" s="1224" t="s">
        <v>627</v>
      </c>
      <c r="C94" s="1225">
        <f>'Solde créances_DCM'!C96</f>
        <v>138.3148176</v>
      </c>
      <c r="D94" s="1225">
        <f>'Solde créances_DCM'!D96</f>
        <v>415.2198176</v>
      </c>
      <c r="E94" s="1225">
        <f>'Solde créances_DCM'!E96</f>
        <v>260.36281760000003</v>
      </c>
      <c r="F94" s="1225">
        <f>'Solde créances_DCM'!F96</f>
        <v>39.2314889007408</v>
      </c>
      <c r="G94" s="1225">
        <f t="shared" si="20"/>
        <v>-154.85699999999997</v>
      </c>
      <c r="H94" s="1225">
        <f t="shared" si="21"/>
        <v>-37.295185209387263</v>
      </c>
      <c r="I94" s="1225">
        <f t="shared" si="17"/>
        <v>122.04800000000003</v>
      </c>
      <c r="J94" s="1225">
        <f t="shared" si="18"/>
        <v>88.239280590281481</v>
      </c>
      <c r="K94" s="1225">
        <f t="shared" si="22"/>
        <v>221.13132869925923</v>
      </c>
      <c r="L94" s="1225">
        <f t="shared" si="19"/>
        <v>15.068007506745001</v>
      </c>
      <c r="M94" s="1219">
        <f>'Solde créances_DCM'!K96</f>
        <v>178.54077466534306</v>
      </c>
      <c r="N94" s="1219">
        <f>'Solde créances_DCM'!L96</f>
        <v>111.07117937514072</v>
      </c>
      <c r="O94" s="1219">
        <f>'Solde créances_DCM'!M96</f>
        <v>117.08056101704221</v>
      </c>
      <c r="P94" s="1219">
        <f>O94-N94</f>
        <v>6.0093816419014985</v>
      </c>
      <c r="Q94" s="1219">
        <f>O94-M94</f>
        <v>-61.460213648300851</v>
      </c>
    </row>
    <row r="95" spans="2:18" ht="12.75" customHeight="1">
      <c r="B95" s="1273" t="s">
        <v>628</v>
      </c>
      <c r="C95" s="1274">
        <f>'calcul-DCC-TX-Encais'!BC5</f>
        <v>124.59984730000002</v>
      </c>
      <c r="D95" s="1274">
        <f>'calcul-DCC-TX-Encais'!$Q$21</f>
        <v>391.3578473</v>
      </c>
      <c r="E95" s="1274">
        <f>'Feuil-saisie'!C60/1000</f>
        <v>245.05284730000002</v>
      </c>
      <c r="F95" s="1222"/>
      <c r="G95" s="1222">
        <f t="shared" si="20"/>
        <v>-146.30499999999998</v>
      </c>
      <c r="H95" s="1222">
        <f t="shared" si="21"/>
        <v>-37.383944389863771</v>
      </c>
      <c r="I95" s="1222">
        <f t="shared" si="17"/>
        <v>120.453</v>
      </c>
      <c r="J95" s="1222">
        <f t="shared" si="18"/>
        <v>96.671868072185021</v>
      </c>
      <c r="K95" s="1222">
        <f t="shared" si="22"/>
        <v>245.05284730000002</v>
      </c>
      <c r="L95" s="1222">
        <f t="shared" si="19"/>
        <v>0</v>
      </c>
      <c r="M95" s="1269"/>
      <c r="N95" s="1269"/>
      <c r="O95" s="1269"/>
      <c r="P95" s="1269"/>
      <c r="Q95" s="1269"/>
    </row>
    <row r="96" spans="2:18" ht="12.75" customHeight="1">
      <c r="B96" s="1224" t="s">
        <v>629</v>
      </c>
      <c r="C96" s="1225">
        <f>C94-C95</f>
        <v>13.714970299999976</v>
      </c>
      <c r="D96" s="1225">
        <f>D94-D95</f>
        <v>23.861970299999996</v>
      </c>
      <c r="E96" s="1225">
        <f>E94-E95</f>
        <v>15.309970300000003</v>
      </c>
      <c r="F96" s="1225">
        <f>F94-F95</f>
        <v>39.2314889007408</v>
      </c>
      <c r="G96" s="1225">
        <f t="shared" si="20"/>
        <v>-8.5519999999999925</v>
      </c>
      <c r="H96" s="1225">
        <f t="shared" si="21"/>
        <v>-35.839454548311103</v>
      </c>
      <c r="I96" s="1225">
        <f t="shared" si="17"/>
        <v>1.5950000000000273</v>
      </c>
      <c r="J96" s="1225">
        <f t="shared" si="18"/>
        <v>11.62962780896456</v>
      </c>
      <c r="K96" s="1225">
        <f t="shared" si="22"/>
        <v>-23.921518600740797</v>
      </c>
      <c r="L96" s="1225">
        <f t="shared" si="19"/>
        <v>256.24797522135492</v>
      </c>
      <c r="M96" s="1219"/>
      <c r="N96" s="1219"/>
      <c r="O96" s="1219"/>
      <c r="P96" s="1219">
        <f>O96-N96</f>
        <v>0</v>
      </c>
      <c r="Q96" s="1219">
        <f>O96-M96</f>
        <v>0</v>
      </c>
    </row>
    <row r="97" spans="2:21" ht="12.75" customHeight="1">
      <c r="B97" s="1230" t="s">
        <v>632</v>
      </c>
      <c r="C97" s="1231">
        <f>C91+C93+C94</f>
        <v>990.27735920999976</v>
      </c>
      <c r="D97" s="1231">
        <f>D91+D93+D94</f>
        <v>1975.9394760800008</v>
      </c>
      <c r="E97" s="1231">
        <f>E91+E93+E94</f>
        <v>2072.6230949199994</v>
      </c>
      <c r="F97" s="1231">
        <f>F91+F93+F94</f>
        <v>538.87028562000205</v>
      </c>
      <c r="G97" s="1231">
        <f t="shared" si="20"/>
        <v>96.683618839998644</v>
      </c>
      <c r="H97" s="1231">
        <f t="shared" si="21"/>
        <v>4.8930455618917028</v>
      </c>
      <c r="I97" s="1275">
        <f t="shared" si="17"/>
        <v>1082.3457357099996</v>
      </c>
      <c r="J97" s="1275">
        <f t="shared" si="18"/>
        <v>109.29723129017592</v>
      </c>
      <c r="K97" s="1231">
        <f t="shared" si="22"/>
        <v>1533.7528092999974</v>
      </c>
      <c r="L97" s="1231">
        <f t="shared" si="19"/>
        <v>25.999434578374309</v>
      </c>
      <c r="M97" s="1269"/>
      <c r="N97" s="1269"/>
      <c r="O97" s="1269"/>
      <c r="P97" s="1269"/>
      <c r="Q97" s="1269"/>
    </row>
    <row r="98" spans="2:21" ht="12.75" customHeight="1">
      <c r="B98" s="1220" t="s">
        <v>638</v>
      </c>
      <c r="C98" s="1222">
        <f>C77+C82+C90+C85+C95</f>
        <v>426.08284730000003</v>
      </c>
      <c r="D98" s="1222">
        <f>D77+D82+D90+D85+D95</f>
        <v>692.81184729999995</v>
      </c>
      <c r="E98" s="1222">
        <f>E77+E82+E90+E85+E95</f>
        <v>741.23084730000005</v>
      </c>
      <c r="F98" s="1222">
        <f>F77+F82+F90+F85+F95</f>
        <v>95.12264208927273</v>
      </c>
      <c r="G98" s="1222">
        <f t="shared" si="20"/>
        <v>48.419000000000096</v>
      </c>
      <c r="H98" s="1222">
        <f t="shared" si="21"/>
        <v>6.9887661691549861</v>
      </c>
      <c r="I98" s="1222">
        <f t="shared" si="17"/>
        <v>315.14800000000002</v>
      </c>
      <c r="J98" s="1222">
        <f t="shared" si="18"/>
        <v>73.96401943824506</v>
      </c>
      <c r="K98" s="1222">
        <f t="shared" si="22"/>
        <v>646.10820521072731</v>
      </c>
      <c r="L98" s="1222">
        <f t="shared" si="19"/>
        <v>12.83306576294895</v>
      </c>
      <c r="M98" s="1269"/>
      <c r="N98" s="1269"/>
      <c r="O98" s="1269"/>
      <c r="P98" s="1269"/>
      <c r="Q98" s="1269"/>
    </row>
    <row r="99" spans="2:21" ht="12.75" customHeight="1">
      <c r="B99" s="1230" t="s">
        <v>633</v>
      </c>
      <c r="C99" s="1231">
        <f>C97-C98</f>
        <v>564.19451190999973</v>
      </c>
      <c r="D99" s="1231">
        <f>D97-D98</f>
        <v>1283.1276287800008</v>
      </c>
      <c r="E99" s="1231">
        <f>E97-E98</f>
        <v>1331.3922476199994</v>
      </c>
      <c r="F99" s="1231">
        <f>F97-F98</f>
        <v>443.74764353072931</v>
      </c>
      <c r="G99" s="1231">
        <f t="shared" si="20"/>
        <v>48.264618839998548</v>
      </c>
      <c r="H99" s="1231">
        <f t="shared" si="21"/>
        <v>3.7614823153553791</v>
      </c>
      <c r="I99" s="1275">
        <f t="shared" si="17"/>
        <v>767.19773570999962</v>
      </c>
      <c r="J99" s="1275">
        <f t="shared" si="18"/>
        <v>135.98107027180424</v>
      </c>
      <c r="K99" s="1231">
        <f t="shared" si="22"/>
        <v>887.64460408927005</v>
      </c>
      <c r="L99" s="1231">
        <f t="shared" si="19"/>
        <v>33.329594965268413</v>
      </c>
      <c r="M99" s="1269"/>
      <c r="N99" s="1269"/>
      <c r="O99" s="1269"/>
      <c r="P99" s="1269"/>
      <c r="Q99" s="1269"/>
    </row>
    <row r="100" spans="2:21" ht="12.75" customHeight="1">
      <c r="B100" s="1220" t="s">
        <v>999</v>
      </c>
      <c r="C100" s="1222">
        <v>0</v>
      </c>
      <c r="D100" s="1222">
        <f>'Sans ADE APC DSA'!$E$134</f>
        <v>812.23666237999998</v>
      </c>
      <c r="E100" s="1222">
        <f>'Sans ADE APC DSA'!$F$134</f>
        <v>1075.99975608</v>
      </c>
      <c r="F100" s="1222"/>
      <c r="G100" s="1222"/>
      <c r="H100" s="1222"/>
      <c r="I100" s="1222"/>
      <c r="J100" s="1222"/>
      <c r="K100" s="1222"/>
      <c r="L100" s="1222"/>
    </row>
    <row r="101" spans="2:21" ht="12.75" customHeight="1">
      <c r="B101" s="2093" t="s">
        <v>1000</v>
      </c>
      <c r="C101" s="1275">
        <f>C99-C100</f>
        <v>564.19451190999973</v>
      </c>
      <c r="D101" s="1275">
        <f>D99-D100</f>
        <v>470.89096640000082</v>
      </c>
      <c r="E101" s="1275">
        <f>E99-E100</f>
        <v>255.39249153999936</v>
      </c>
      <c r="F101" s="1275">
        <f>F99-F100</f>
        <v>443.74764353072931</v>
      </c>
      <c r="G101" s="1275">
        <f>E101-D101</f>
        <v>-215.49847486000147</v>
      </c>
      <c r="H101" s="2035">
        <f>((E101-D101)/D101)*100</f>
        <v>-45.763985770953433</v>
      </c>
      <c r="I101" s="1275">
        <f>E101-C101</f>
        <v>-308.80202037000038</v>
      </c>
      <c r="J101" s="1275">
        <f>I101/C101*100</f>
        <v>-54.733254906113025</v>
      </c>
      <c r="K101" s="1275">
        <f>E101-F101</f>
        <v>-188.35515199072995</v>
      </c>
      <c r="L101" s="1275">
        <f>F101/E101*100</f>
        <v>173.75124885424827</v>
      </c>
    </row>
    <row r="102" spans="2:21" ht="12.75" customHeight="1">
      <c r="C102" s="1232">
        <f>C83+C96</f>
        <v>371.68701761999978</v>
      </c>
      <c r="D102" s="1232">
        <f>D83+D96</f>
        <v>1052.4105837000009</v>
      </c>
      <c r="F102" s="1214">
        <f>F80+F94</f>
        <v>471.49054953325958</v>
      </c>
    </row>
    <row r="104" spans="2:21" ht="12.75" customHeight="1">
      <c r="B104" s="3247" t="s">
        <v>8</v>
      </c>
      <c r="C104" s="3249" t="s">
        <v>281</v>
      </c>
      <c r="D104" s="3250"/>
      <c r="E104" s="3250"/>
      <c r="F104" s="3251"/>
      <c r="G104" s="3252" t="s">
        <v>989</v>
      </c>
      <c r="H104" s="3253"/>
      <c r="I104" s="3242" t="s">
        <v>920</v>
      </c>
      <c r="J104" s="3242"/>
      <c r="K104" s="3242" t="s">
        <v>990</v>
      </c>
      <c r="L104" s="3242"/>
      <c r="M104" s="3243" t="s">
        <v>358</v>
      </c>
      <c r="N104" s="3243"/>
      <c r="O104" s="3243"/>
      <c r="P104" s="3243"/>
      <c r="Q104" s="3243"/>
    </row>
    <row r="105" spans="2:21" ht="12.75" customHeight="1">
      <c r="B105" s="3248"/>
      <c r="C105" s="1217">
        <f>C73</f>
        <v>45291</v>
      </c>
      <c r="D105" s="1217">
        <f>D73</f>
        <v>45139</v>
      </c>
      <c r="E105" s="1217">
        <f>E73</f>
        <v>45505</v>
      </c>
      <c r="F105" s="1218" t="str">
        <f>F73</f>
        <v>Obj 2024</v>
      </c>
      <c r="G105" s="1218" t="s">
        <v>440</v>
      </c>
      <c r="H105" s="1218" t="s">
        <v>599</v>
      </c>
      <c r="I105" s="1218" t="s">
        <v>440</v>
      </c>
      <c r="J105" s="1218" t="s">
        <v>599</v>
      </c>
      <c r="K105" s="1218" t="s">
        <v>440</v>
      </c>
      <c r="L105" s="1218" t="s">
        <v>599</v>
      </c>
      <c r="M105" s="1217">
        <f>M73</f>
        <v>45291</v>
      </c>
      <c r="N105" s="1217">
        <f>N73</f>
        <v>45139</v>
      </c>
      <c r="O105" s="1217">
        <f>O73</f>
        <v>45505</v>
      </c>
      <c r="P105" s="1269" t="str">
        <f>P73</f>
        <v>écart mois</v>
      </c>
      <c r="Q105" s="1269" t="str">
        <f>Q73</f>
        <v>écart année</v>
      </c>
    </row>
    <row r="106" spans="2:21" ht="12.75" customHeight="1">
      <c r="B106" s="1223" t="s">
        <v>277</v>
      </c>
      <c r="C106" s="1221">
        <f>'Solde créances_DCM'!C104</f>
        <v>268.41853426000057</v>
      </c>
      <c r="D106" s="2029">
        <f>'Solde créances_DCM'!D104</f>
        <v>599.67250341999988</v>
      </c>
      <c r="E106" s="1221">
        <f>'Solde créances_DCM'!E104</f>
        <v>558.77068796000083</v>
      </c>
      <c r="F106" s="1221">
        <f>'Solde créances_DCM'!F104</f>
        <v>260.98866381541671</v>
      </c>
      <c r="G106" s="1221">
        <f>E106-D106</f>
        <v>-40.901815459999057</v>
      </c>
      <c r="H106" s="1221">
        <f>((E106-D106)/D106)*100</f>
        <v>-6.8206921655956192</v>
      </c>
      <c r="I106" s="1221">
        <f t="shared" ref="I106:I131" si="23">E106-C106</f>
        <v>290.35215370000026</v>
      </c>
      <c r="J106" s="1221">
        <f t="shared" ref="J106:J131" si="24">I106/C106*100</f>
        <v>108.17142508451147</v>
      </c>
      <c r="K106" s="1221">
        <f>E106-F106</f>
        <v>297.78202414458411</v>
      </c>
      <c r="L106" s="1221">
        <f t="shared" ref="L106:L131" si="25">F106/E106*100</f>
        <v>46.70765117766868</v>
      </c>
      <c r="M106" s="1269">
        <f>'Solde créances_DCM'!K104</f>
        <v>23.649299124988975</v>
      </c>
      <c r="N106" s="1269">
        <f>'Solde créances_DCM'!L104</f>
        <v>47.197710035135984</v>
      </c>
      <c r="O106" s="1269">
        <f>'Solde créances_DCM'!M104</f>
        <v>45.022305849358787</v>
      </c>
      <c r="P106" s="1269">
        <f>O106-N106</f>
        <v>-2.1754041857771966</v>
      </c>
      <c r="Q106" s="1269">
        <f>O106-M106</f>
        <v>21.373006724369812</v>
      </c>
    </row>
    <row r="107" spans="2:21" ht="12.75" customHeight="1">
      <c r="B107" s="1314" t="s">
        <v>602</v>
      </c>
      <c r="C107" s="1315">
        <f>'Solde créances_DCM'!C105</f>
        <v>190.56071314000002</v>
      </c>
      <c r="D107" s="2196">
        <f>'Solde créances_DCM'!D105</f>
        <v>538.41600132999997</v>
      </c>
      <c r="E107" s="1315">
        <f>'Solde créances_DCM'!E105</f>
        <v>484.43871635000085</v>
      </c>
      <c r="F107" s="1315">
        <f>'Solde créances_DCM'!F105</f>
        <v>185.28596035751789</v>
      </c>
      <c r="G107" s="1315">
        <f>'Solde créances_DCM'!G105</f>
        <v>-53.977284979999126</v>
      </c>
      <c r="H107" s="1315">
        <f>'Solde créances_DCM'!H105</f>
        <v>-10.025200745643509</v>
      </c>
      <c r="I107" s="1315">
        <f t="shared" si="23"/>
        <v>293.87800321000083</v>
      </c>
      <c r="J107" s="1315">
        <f t="shared" si="24"/>
        <v>154.21751858899492</v>
      </c>
      <c r="K107" s="1315">
        <f>'Solde créances_DCM'!I105</f>
        <v>299.15275599248298</v>
      </c>
      <c r="L107" s="1315">
        <f t="shared" si="25"/>
        <v>38.247554149584346</v>
      </c>
      <c r="M107" s="1365">
        <f>'Solde créances_DCM'!K105</f>
        <v>73.950868643519712</v>
      </c>
      <c r="N107" s="1365">
        <f>'Solde créances_DCM'!L105</f>
        <v>42.37646742867684</v>
      </c>
      <c r="O107" s="1365">
        <f>'Solde créances_DCM'!M105</f>
        <v>121.51019268999778</v>
      </c>
      <c r="P107" s="1365">
        <f>'Solde créances_DCM'!N105</f>
        <v>79.133725261320933</v>
      </c>
      <c r="Q107" s="1365">
        <f>'Solde créances_DCM'!O105</f>
        <v>47.559324046478068</v>
      </c>
    </row>
    <row r="108" spans="2:21" ht="12.75" customHeight="1">
      <c r="B108" s="1223" t="s">
        <v>185</v>
      </c>
      <c r="C108" s="1221">
        <f>'Solde créances_DCM'!C111</f>
        <v>3.8824438899999949</v>
      </c>
      <c r="D108" s="2029">
        <f>'Solde créances_DCM'!D111</f>
        <v>15.041513070000001</v>
      </c>
      <c r="E108" s="1221">
        <f>'Solde créances_DCM'!E111</f>
        <v>13.566429179999991</v>
      </c>
      <c r="F108" s="1221">
        <f>'Solde créances_DCM'!F111</f>
        <v>3.2012481157436903</v>
      </c>
      <c r="G108" s="1221">
        <f t="shared" ref="G108:G131" si="26">E108-D108</f>
        <v>-1.4750838900000094</v>
      </c>
      <c r="H108" s="1221">
        <f t="shared" ref="H108:H131" si="27">((E108-D108)/D108)*100</f>
        <v>-9.8067520410698243</v>
      </c>
      <c r="I108" s="1221">
        <f t="shared" si="23"/>
        <v>9.6839852899999954</v>
      </c>
      <c r="J108" s="1221">
        <f t="shared" si="24"/>
        <v>249.43014153901936</v>
      </c>
      <c r="K108" s="1221">
        <f t="shared" ref="K108:K131" si="28">E108-F108</f>
        <v>10.365181064256301</v>
      </c>
      <c r="L108" s="1221">
        <f t="shared" si="25"/>
        <v>23.596836523962104</v>
      </c>
      <c r="M108" s="1269">
        <f>'Solde créances_DCM'!K111</f>
        <v>13.201215869549788</v>
      </c>
      <c r="N108" s="1269">
        <f>'Solde créances_DCM'!L111</f>
        <v>52.091151516781729</v>
      </c>
      <c r="O108" s="1269">
        <f>'Solde créances_DCM'!M111</f>
        <v>42.627664904010558</v>
      </c>
      <c r="P108" s="1269"/>
      <c r="Q108" s="1269"/>
    </row>
    <row r="109" spans="2:21" ht="12.75" customHeight="1">
      <c r="B109" s="2365" t="s">
        <v>1103</v>
      </c>
      <c r="C109" s="2367">
        <f>'Solde créances_DCM'!C112</f>
        <v>3.2170000000000001</v>
      </c>
      <c r="D109" s="2367">
        <f>'Solde créances_DCM'!D112</f>
        <v>8.7228999999999992</v>
      </c>
      <c r="E109" s="2367">
        <f>'Solde créances_DCM'!E112</f>
        <v>8.9441671300000003</v>
      </c>
      <c r="F109" s="2367">
        <f>'Solde créances_DCM'!F112</f>
        <v>0</v>
      </c>
      <c r="G109" s="1221">
        <f>E109-D109</f>
        <v>0.22126713000000109</v>
      </c>
      <c r="H109" s="1221">
        <f>((E109-D109)/D109)*100</f>
        <v>2.5366234853087977</v>
      </c>
      <c r="I109" s="1221">
        <f>E109-C109</f>
        <v>5.7271671299999998</v>
      </c>
      <c r="J109" s="1221">
        <f>I109/C109*100</f>
        <v>178.02819801056884</v>
      </c>
      <c r="K109" s="1221">
        <f>E109-F109</f>
        <v>8.9441671300000003</v>
      </c>
      <c r="L109" s="1221">
        <f>F109/E109*100</f>
        <v>0</v>
      </c>
      <c r="M109" s="2366"/>
      <c r="N109" s="2366"/>
      <c r="O109" s="2366"/>
      <c r="P109" s="2366"/>
      <c r="Q109" s="2366"/>
    </row>
    <row r="110" spans="2:21" ht="12.75" customHeight="1">
      <c r="B110" s="2365" t="s">
        <v>1105</v>
      </c>
      <c r="C110" s="2367">
        <f>C108-C109</f>
        <v>0.66544388999999482</v>
      </c>
      <c r="D110" s="2367">
        <f>D108-D109</f>
        <v>6.3186130700000014</v>
      </c>
      <c r="E110" s="2367">
        <f>E108-E109</f>
        <v>4.6222620499999909</v>
      </c>
      <c r="F110" s="2367">
        <f>F108-F109</f>
        <v>3.2012481157436903</v>
      </c>
      <c r="G110" s="1221">
        <f>E110-D110</f>
        <v>-1.6963510200000105</v>
      </c>
      <c r="H110" s="1221">
        <f>((E110-D110)/D110)*100</f>
        <v>-26.846888727117612</v>
      </c>
      <c r="I110" s="1221">
        <f>E110-C110</f>
        <v>3.9568181599999961</v>
      </c>
      <c r="J110" s="1221">
        <f>I110/C110*100</f>
        <v>594.61334298223505</v>
      </c>
      <c r="K110" s="1221">
        <f>E110-F110</f>
        <v>1.4210139342563006</v>
      </c>
      <c r="L110" s="1221">
        <f>F110/E110*100</f>
        <v>69.257174974398012</v>
      </c>
      <c r="M110" s="2366"/>
      <c r="N110" s="2366"/>
      <c r="O110" s="2366"/>
      <c r="P110" s="2366"/>
      <c r="Q110" s="2366"/>
    </row>
    <row r="111" spans="2:21" ht="12.75" customHeight="1">
      <c r="B111" s="1223" t="s">
        <v>624</v>
      </c>
      <c r="C111" s="1221">
        <f>'Solde créances_DCM'!C115</f>
        <v>238.69598236000002</v>
      </c>
      <c r="D111" s="2029">
        <f>'Solde créances_DCM'!D115</f>
        <v>306.63920199</v>
      </c>
      <c r="E111" s="1221">
        <f>'Solde créances_DCM'!E115</f>
        <v>495.46004759000004</v>
      </c>
      <c r="F111" s="1221">
        <f>'Solde créances_DCM'!F115</f>
        <v>75.312347622179828</v>
      </c>
      <c r="G111" s="1221">
        <f t="shared" si="26"/>
        <v>188.82084560000004</v>
      </c>
      <c r="H111" s="1221">
        <f t="shared" si="27"/>
        <v>61.577529674812347</v>
      </c>
      <c r="I111" s="1221">
        <f t="shared" si="23"/>
        <v>256.76406523000003</v>
      </c>
      <c r="J111" s="1221">
        <f t="shared" si="24"/>
        <v>107.56949601386663</v>
      </c>
      <c r="K111" s="1221">
        <f t="shared" si="28"/>
        <v>420.14769996782024</v>
      </c>
      <c r="L111" s="1221">
        <f t="shared" si="25"/>
        <v>15.200488513354729</v>
      </c>
      <c r="M111" s="1269">
        <f>'Solde créances_DCM'!K115</f>
        <v>122.18202489371281</v>
      </c>
      <c r="N111" s="1269">
        <f>'Solde créances_DCM'!L115</f>
        <v>162.735538109473</v>
      </c>
      <c r="O111" s="1269">
        <f>'Solde créances_DCM'!M115</f>
        <v>254.25997579299559</v>
      </c>
      <c r="P111" s="1269"/>
      <c r="Q111" s="1269"/>
      <c r="S111" s="1232">
        <f>C108+C126</f>
        <v>16.840529429999997</v>
      </c>
      <c r="T111" s="1232">
        <f>D108+D126</f>
        <v>33.941422149999994</v>
      </c>
      <c r="U111" s="1232">
        <f>E108+E126</f>
        <v>30.149435829999987</v>
      </c>
    </row>
    <row r="112" spans="2:21" ht="12.75" customHeight="1">
      <c r="B112" s="1224" t="s">
        <v>625</v>
      </c>
      <c r="C112" s="1225">
        <f>C106+C108+C111</f>
        <v>510.99696051000058</v>
      </c>
      <c r="D112" s="1945">
        <f>D106+D108+D111</f>
        <v>921.3532184799999</v>
      </c>
      <c r="E112" s="1225">
        <f>E106+E108+E111</f>
        <v>1067.797164730001</v>
      </c>
      <c r="F112" s="1225">
        <f>F106+F108+F111</f>
        <v>339.5022595533402</v>
      </c>
      <c r="G112" s="1225">
        <f t="shared" si="26"/>
        <v>146.44394625000109</v>
      </c>
      <c r="H112" s="1225">
        <f t="shared" si="27"/>
        <v>15.894441275366317</v>
      </c>
      <c r="I112" s="1225">
        <f t="shared" si="23"/>
        <v>556.80020422000041</v>
      </c>
      <c r="J112" s="1225">
        <f t="shared" si="24"/>
        <v>108.96350609684369</v>
      </c>
      <c r="K112" s="1225">
        <f t="shared" si="28"/>
        <v>728.29490517666079</v>
      </c>
      <c r="L112" s="1225">
        <f t="shared" si="25"/>
        <v>31.794639540851882</v>
      </c>
      <c r="M112" s="1226"/>
      <c r="N112" s="1226"/>
      <c r="O112" s="1226"/>
      <c r="P112" s="1226">
        <f>O112-N112</f>
        <v>0</v>
      </c>
      <c r="Q112" s="1226">
        <f>O112-M112</f>
        <v>0</v>
      </c>
    </row>
    <row r="113" spans="2:21" ht="12.75" customHeight="1">
      <c r="B113" s="1220" t="s">
        <v>636</v>
      </c>
      <c r="C113" s="1221">
        <f>'Solde créances_DCM'!C116</f>
        <v>13.640624703000043</v>
      </c>
      <c r="D113" s="2029">
        <f>'Solde créances_DCM'!D116</f>
        <v>26.925256689999969</v>
      </c>
      <c r="E113" s="1221">
        <f>'Solde créances_DCM'!E116</f>
        <v>21.908920250000051</v>
      </c>
      <c r="F113" s="1221">
        <f>'Solde créances_DCM'!F116</f>
        <v>4.3038322608490871</v>
      </c>
      <c r="G113" s="1221">
        <f t="shared" si="26"/>
        <v>-5.0163364399999182</v>
      </c>
      <c r="H113" s="1221">
        <f t="shared" si="27"/>
        <v>-18.630598392263366</v>
      </c>
      <c r="I113" s="1221">
        <f t="shared" si="23"/>
        <v>8.2682955470000081</v>
      </c>
      <c r="J113" s="1221">
        <f t="shared" si="24"/>
        <v>60.615226406614099</v>
      </c>
      <c r="K113" s="1221">
        <f t="shared" si="28"/>
        <v>17.605087989150963</v>
      </c>
      <c r="L113" s="1221">
        <f t="shared" si="25"/>
        <v>19.644200680538226</v>
      </c>
      <c r="M113" s="1269">
        <f>'Solde créances_DCM'!K116</f>
        <v>16.489273032446974</v>
      </c>
      <c r="N113" s="1269">
        <f>'Solde créances_DCM'!L116</f>
        <v>14.289419316730831</v>
      </c>
      <c r="O113" s="1269">
        <f>'Solde créances_DCM'!M116</f>
        <v>22.058506199936875</v>
      </c>
      <c r="P113" s="1269"/>
      <c r="Q113" s="1269"/>
      <c r="T113" s="1232">
        <f>D115+D128</f>
        <v>660.53918225999996</v>
      </c>
      <c r="U113" s="1232">
        <f>E115+E128</f>
        <v>610.82904404000101</v>
      </c>
    </row>
    <row r="114" spans="2:21" ht="12.75" customHeight="1">
      <c r="B114" s="1220" t="s">
        <v>626</v>
      </c>
      <c r="C114" s="1221">
        <f>'Solde créances_DCM'!C117</f>
        <v>225.05535765699997</v>
      </c>
      <c r="D114" s="2029">
        <f>'Solde créances_DCM'!D117</f>
        <v>279.71394530000003</v>
      </c>
      <c r="E114" s="1221">
        <f>'Solde créances_DCM'!E117</f>
        <v>473.55112733999999</v>
      </c>
      <c r="F114" s="1221">
        <f>'Solde créances_DCM'!F117</f>
        <v>71.008515361330737</v>
      </c>
      <c r="G114" s="1221">
        <f t="shared" si="26"/>
        <v>193.83718203999996</v>
      </c>
      <c r="H114" s="1221">
        <f t="shared" si="27"/>
        <v>69.298361878992083</v>
      </c>
      <c r="I114" s="1221">
        <f t="shared" si="23"/>
        <v>248.49576968300002</v>
      </c>
      <c r="J114" s="1221">
        <f t="shared" si="24"/>
        <v>110.41539835800083</v>
      </c>
      <c r="K114" s="1221">
        <f t="shared" si="28"/>
        <v>402.54261197866924</v>
      </c>
      <c r="L114" s="1221">
        <f t="shared" si="25"/>
        <v>14.994899444162463</v>
      </c>
      <c r="M114" s="1269"/>
      <c r="N114" s="1269"/>
      <c r="O114" s="1269"/>
      <c r="P114" s="1269"/>
      <c r="Q114" s="1269"/>
    </row>
    <row r="115" spans="2:21" ht="12.75" customHeight="1">
      <c r="B115" s="1224" t="s">
        <v>620</v>
      </c>
      <c r="C115" s="1225">
        <f>C112-C114</f>
        <v>285.94160285300063</v>
      </c>
      <c r="D115" s="1945">
        <f>D112-D114</f>
        <v>641.63927317999992</v>
      </c>
      <c r="E115" s="1225">
        <f>E112-E114</f>
        <v>594.24603739000099</v>
      </c>
      <c r="F115" s="1225">
        <f>F112-F114</f>
        <v>268.49374419200944</v>
      </c>
      <c r="G115" s="1225">
        <f t="shared" si="26"/>
        <v>-47.393235789998926</v>
      </c>
      <c r="H115" s="1225">
        <f t="shared" si="27"/>
        <v>-7.3862741529388334</v>
      </c>
      <c r="I115" s="1225">
        <f t="shared" si="23"/>
        <v>308.30443453700036</v>
      </c>
      <c r="J115" s="1225">
        <f t="shared" si="24"/>
        <v>107.82076880764224</v>
      </c>
      <c r="K115" s="1225">
        <f t="shared" si="28"/>
        <v>325.75229319799155</v>
      </c>
      <c r="L115" s="1225">
        <f t="shared" si="25"/>
        <v>45.18225234976169</v>
      </c>
      <c r="M115" s="1226"/>
      <c r="N115" s="1226"/>
      <c r="O115" s="1226"/>
      <c r="P115" s="1226">
        <f>O115-N115</f>
        <v>0</v>
      </c>
      <c r="Q115" s="1226">
        <f>O115-M115</f>
        <v>0</v>
      </c>
    </row>
    <row r="116" spans="2:21" ht="12.75" customHeight="1">
      <c r="B116" s="1223" t="s">
        <v>234</v>
      </c>
      <c r="C116" s="1221">
        <f>'Solde créances_DCM'!C108</f>
        <v>51.125356579999966</v>
      </c>
      <c r="D116" s="2029">
        <f>'Solde créances_DCM'!D108</f>
        <v>263.54263537999998</v>
      </c>
      <c r="E116" s="1221">
        <f>'Solde créances_DCM'!E108</f>
        <v>251.78944397999999</v>
      </c>
      <c r="F116" s="1221">
        <f>'Solde créances_DCM'!F108</f>
        <v>26.395469251409455</v>
      </c>
      <c r="G116" s="1221">
        <f t="shared" si="26"/>
        <v>-11.753191399999992</v>
      </c>
      <c r="H116" s="1221">
        <f t="shared" si="27"/>
        <v>-4.4596925970073729</v>
      </c>
      <c r="I116" s="1221">
        <f t="shared" si="23"/>
        <v>200.66408740000003</v>
      </c>
      <c r="J116" s="1221">
        <f t="shared" si="24"/>
        <v>392.49425495156157</v>
      </c>
      <c r="K116" s="1221">
        <f t="shared" si="28"/>
        <v>225.39397472859054</v>
      </c>
      <c r="L116" s="1221">
        <f t="shared" si="25"/>
        <v>10.483151650116868</v>
      </c>
      <c r="M116" s="1269">
        <f>'Solde créances_DCM'!K108</f>
        <v>31.800694149952928</v>
      </c>
      <c r="N116" s="1269">
        <f>'Solde créances_DCM'!L108</f>
        <v>146.939907321959</v>
      </c>
      <c r="O116" s="1269">
        <f>'Solde créances_DCM'!M108</f>
        <v>125.91168616992712</v>
      </c>
      <c r="P116" s="1269">
        <f>O116-N116</f>
        <v>-21.028221152031875</v>
      </c>
      <c r="Q116" s="1269">
        <f>O116-M116</f>
        <v>94.110992019974191</v>
      </c>
    </row>
    <row r="117" spans="2:21" ht="12.75" customHeight="1">
      <c r="B117" s="2365" t="s">
        <v>1101</v>
      </c>
      <c r="C117" s="2367">
        <f>'Solde créances_DCM'!C109</f>
        <v>0</v>
      </c>
      <c r="D117" s="2367">
        <f>'Solde créances_DCM'!D109</f>
        <v>0</v>
      </c>
      <c r="E117" s="2367">
        <f>'Solde créances_DCM'!E109</f>
        <v>0</v>
      </c>
      <c r="F117" s="2367">
        <f>'Solde créances_DCM'!F109</f>
        <v>0</v>
      </c>
      <c r="G117" s="1221">
        <f>E117-D117</f>
        <v>0</v>
      </c>
      <c r="H117" s="1221" t="e">
        <f>((E117-D117)/D117)*100</f>
        <v>#DIV/0!</v>
      </c>
      <c r="I117" s="1221">
        <f>E117-C117</f>
        <v>0</v>
      </c>
      <c r="J117" s="1221" t="e">
        <f>I117/C117*100</f>
        <v>#DIV/0!</v>
      </c>
      <c r="K117" s="1221">
        <f>E117-F117</f>
        <v>0</v>
      </c>
      <c r="L117" s="1221" t="e">
        <f>F117/E117*100</f>
        <v>#DIV/0!</v>
      </c>
      <c r="M117" s="2366"/>
      <c r="N117" s="2366"/>
      <c r="O117" s="2366"/>
      <c r="P117" s="2366"/>
      <c r="Q117" s="2366"/>
    </row>
    <row r="118" spans="2:21" ht="12.75" customHeight="1">
      <c r="B118" s="2365" t="s">
        <v>1106</v>
      </c>
      <c r="C118" s="2367">
        <f>C116-C117</f>
        <v>51.125356579999966</v>
      </c>
      <c r="D118" s="2367">
        <f>D116-D117</f>
        <v>263.54263537999998</v>
      </c>
      <c r="E118" s="2367">
        <f>E116-E117</f>
        <v>251.78944397999999</v>
      </c>
      <c r="F118" s="2367">
        <f>F116-F117</f>
        <v>26.395469251409455</v>
      </c>
      <c r="G118" s="1221">
        <f>E118-D118</f>
        <v>-11.753191399999992</v>
      </c>
      <c r="H118" s="1221">
        <f>((E118-D118)/D118)*100</f>
        <v>-4.4596925970073729</v>
      </c>
      <c r="I118" s="1221">
        <f>E118-C118</f>
        <v>200.66408740000003</v>
      </c>
      <c r="J118" s="1221">
        <f>I118/C118*100</f>
        <v>392.49425495156157</v>
      </c>
      <c r="K118" s="1221">
        <f>E118-F118</f>
        <v>225.39397472859054</v>
      </c>
      <c r="L118" s="1221">
        <f>F118/E118*100</f>
        <v>10.483151650116868</v>
      </c>
      <c r="M118" s="2366"/>
      <c r="N118" s="2366"/>
      <c r="O118" s="2366"/>
      <c r="P118" s="2366"/>
      <c r="Q118" s="2366"/>
    </row>
    <row r="119" spans="2:21" ht="12.75" customHeight="1">
      <c r="B119" s="1223" t="s">
        <v>187</v>
      </c>
      <c r="C119" s="1221">
        <f>'Solde créances_DCM'!C118</f>
        <v>37.54416489200009</v>
      </c>
      <c r="D119" s="2029">
        <f>'Solde créances_DCM'!D118</f>
        <v>180.81301267999999</v>
      </c>
      <c r="E119" s="1221">
        <f>'Solde créances_DCM'!E118</f>
        <v>168.5231826400001</v>
      </c>
      <c r="F119" s="1221">
        <f>'Solde créances_DCM'!F118</f>
        <v>24.346558558945201</v>
      </c>
      <c r="G119" s="1221">
        <f t="shared" si="26"/>
        <v>-12.289830039999885</v>
      </c>
      <c r="H119" s="1221">
        <f t="shared" si="27"/>
        <v>-6.7969831694305274</v>
      </c>
      <c r="I119" s="1221">
        <f t="shared" si="23"/>
        <v>130.97901774800002</v>
      </c>
      <c r="J119" s="1221">
        <f t="shared" si="24"/>
        <v>348.86650994841818</v>
      </c>
      <c r="K119" s="1221">
        <f t="shared" si="28"/>
        <v>144.17662408105491</v>
      </c>
      <c r="L119" s="1221">
        <f t="shared" si="25"/>
        <v>14.447008522830012</v>
      </c>
      <c r="M119" s="1269">
        <f>'Solde créances_DCM'!K118</f>
        <v>32.439132728178969</v>
      </c>
      <c r="N119" s="1269">
        <f>'Solde créances_DCM'!L118</f>
        <v>151.67923123742023</v>
      </c>
      <c r="O119" s="1269">
        <f>'Solde créances_DCM'!M118</f>
        <v>146.75177886024053</v>
      </c>
      <c r="P119" s="1269"/>
      <c r="Q119" s="1269"/>
    </row>
    <row r="120" spans="2:21" ht="12.75" customHeight="1">
      <c r="B120" s="1224" t="s">
        <v>621</v>
      </c>
      <c r="C120" s="1225">
        <f>C116+C119</f>
        <v>88.669521472000056</v>
      </c>
      <c r="D120" s="1945">
        <f>D116+D119</f>
        <v>444.35564805999996</v>
      </c>
      <c r="E120" s="1225">
        <f>E116+E119</f>
        <v>420.31262662000006</v>
      </c>
      <c r="F120" s="1225">
        <f>SUM(F116:F119)</f>
        <v>77.137497061764108</v>
      </c>
      <c r="G120" s="1225">
        <f t="shared" si="26"/>
        <v>-24.043021439999904</v>
      </c>
      <c r="H120" s="1225">
        <f t="shared" si="27"/>
        <v>-5.4107608500012701</v>
      </c>
      <c r="I120" s="1225">
        <f t="shared" si="23"/>
        <v>331.64310514800002</v>
      </c>
      <c r="J120" s="1225">
        <f t="shared" si="24"/>
        <v>374.02153484354358</v>
      </c>
      <c r="K120" s="1225">
        <f t="shared" si="28"/>
        <v>343.17512955823594</v>
      </c>
      <c r="L120" s="1225">
        <f t="shared" si="25"/>
        <v>18.352410129116407</v>
      </c>
      <c r="M120" s="1226"/>
      <c r="N120" s="1226"/>
      <c r="O120" s="1226"/>
      <c r="P120" s="1226"/>
      <c r="Q120" s="1226"/>
    </row>
    <row r="121" spans="2:21" ht="12.75" customHeight="1">
      <c r="B121" s="1220" t="s">
        <v>917</v>
      </c>
      <c r="C121" s="1221">
        <f>C119-C122</f>
        <v>37.54416489200009</v>
      </c>
      <c r="D121" s="2029">
        <f>D119-D122</f>
        <v>119.09932570000001</v>
      </c>
      <c r="E121" s="1221">
        <f>E119-E122</f>
        <v>96.700626310000089</v>
      </c>
      <c r="F121" s="1221"/>
      <c r="G121" s="1221">
        <f t="shared" si="26"/>
        <v>-22.398699389999919</v>
      </c>
      <c r="H121" s="1221">
        <f t="shared" si="27"/>
        <v>-18.806739046046435</v>
      </c>
      <c r="I121" s="1221">
        <f t="shared" si="23"/>
        <v>59.156461417999999</v>
      </c>
      <c r="J121" s="1221">
        <f t="shared" si="24"/>
        <v>157.56499468870874</v>
      </c>
      <c r="K121" s="1221">
        <f t="shared" si="28"/>
        <v>96.700626310000089</v>
      </c>
      <c r="L121" s="1221">
        <f t="shared" si="25"/>
        <v>0</v>
      </c>
      <c r="M121" s="1269"/>
      <c r="N121" s="1269"/>
      <c r="O121" s="1269"/>
      <c r="P121" s="1269"/>
      <c r="Q121" s="1269"/>
    </row>
    <row r="122" spans="2:21" ht="12.75" customHeight="1">
      <c r="B122" s="1220" t="s">
        <v>918</v>
      </c>
      <c r="C122" s="1221">
        <f>'Solde créances_DCM'!C120</f>
        <v>0</v>
      </c>
      <c r="D122" s="2029">
        <f>'Solde créances_DCM'!D120</f>
        <v>61.71368697999997</v>
      </c>
      <c r="E122" s="1221">
        <f>'Solde créances_DCM'!E120</f>
        <v>71.822556330000012</v>
      </c>
      <c r="F122" s="1221"/>
      <c r="G122" s="1221">
        <f t="shared" si="26"/>
        <v>10.108869350000042</v>
      </c>
      <c r="H122" s="1221">
        <f t="shared" si="27"/>
        <v>16.380271289375568</v>
      </c>
      <c r="I122" s="1221">
        <f t="shared" si="23"/>
        <v>71.822556330000012</v>
      </c>
      <c r="J122" s="1221" t="e">
        <f t="shared" si="24"/>
        <v>#DIV/0!</v>
      </c>
      <c r="K122" s="1221">
        <f t="shared" si="28"/>
        <v>71.822556330000012</v>
      </c>
      <c r="L122" s="1221">
        <f t="shared" si="25"/>
        <v>0</v>
      </c>
      <c r="M122" s="1269"/>
      <c r="N122" s="1269"/>
      <c r="O122" s="1269"/>
      <c r="P122" s="1269"/>
      <c r="Q122" s="1269"/>
    </row>
    <row r="123" spans="2:21" ht="12.75" customHeight="1">
      <c r="B123" s="1228" t="s">
        <v>635</v>
      </c>
      <c r="C123" s="1229">
        <f>C112+C120</f>
        <v>599.66648198200062</v>
      </c>
      <c r="D123" s="1946">
        <f>D112+D120</f>
        <v>1365.7088665399999</v>
      </c>
      <c r="E123" s="1946">
        <f>E112+E120</f>
        <v>1488.1097913500012</v>
      </c>
      <c r="F123" s="1229">
        <f>F112+F120</f>
        <v>416.63975661510432</v>
      </c>
      <c r="G123" s="1229">
        <f t="shared" si="26"/>
        <v>122.40092481000124</v>
      </c>
      <c r="H123" s="1229">
        <f t="shared" si="27"/>
        <v>8.9624463755662571</v>
      </c>
      <c r="I123" s="1229">
        <f t="shared" si="23"/>
        <v>888.44330936800054</v>
      </c>
      <c r="J123" s="1229">
        <f t="shared" si="24"/>
        <v>148.15623952026516</v>
      </c>
      <c r="K123" s="1229">
        <f t="shared" si="28"/>
        <v>1071.4700347348969</v>
      </c>
      <c r="L123" s="1229">
        <f t="shared" si="25"/>
        <v>27.997917830856561</v>
      </c>
      <c r="M123" s="1271">
        <f>'Solde créances_DCM'!K121</f>
        <v>36.368129228474317</v>
      </c>
      <c r="N123" s="1271">
        <f>'Solde créances_DCM'!L121</f>
        <v>75.425733313032197</v>
      </c>
      <c r="O123" s="1271">
        <f>'Solde créances_DCM'!M121</f>
        <v>81.855017809682494</v>
      </c>
      <c r="P123" s="1271">
        <f>O123-N123</f>
        <v>6.4292844966502969</v>
      </c>
      <c r="Q123" s="1271">
        <f>O123-M123</f>
        <v>45.486888581208177</v>
      </c>
    </row>
    <row r="124" spans="2:21" ht="12.75" customHeight="1">
      <c r="B124" s="1228" t="s">
        <v>622</v>
      </c>
      <c r="C124" s="1229">
        <f>C123-(C114+C122)</f>
        <v>374.61112432500067</v>
      </c>
      <c r="D124" s="1946">
        <f>D123-(D114+D122)</f>
        <v>1024.28123426</v>
      </c>
      <c r="E124" s="1229">
        <f>E123-(E114+E122)</f>
        <v>942.73610768000117</v>
      </c>
      <c r="F124" s="1229">
        <f>F123-(F114+F122)</f>
        <v>345.63124125377357</v>
      </c>
      <c r="G124" s="1229">
        <f t="shared" si="26"/>
        <v>-81.545126579998851</v>
      </c>
      <c r="H124" s="1229">
        <f t="shared" si="27"/>
        <v>-7.961204779750922</v>
      </c>
      <c r="I124" s="1229">
        <f t="shared" si="23"/>
        <v>568.1249833550005</v>
      </c>
      <c r="J124" s="1229">
        <f t="shared" si="24"/>
        <v>151.65726441751724</v>
      </c>
      <c r="K124" s="1229">
        <f t="shared" si="28"/>
        <v>597.10486642622755</v>
      </c>
      <c r="L124" s="1229">
        <f t="shared" si="25"/>
        <v>36.662565317917505</v>
      </c>
      <c r="M124" s="1271"/>
      <c r="N124" s="1271"/>
      <c r="O124" s="1271"/>
      <c r="P124" s="1271"/>
      <c r="Q124" s="1271"/>
    </row>
    <row r="125" spans="2:21" ht="12.75" customHeight="1">
      <c r="B125" s="1224" t="s">
        <v>623</v>
      </c>
      <c r="C125" s="1225">
        <f>'Solde créances_DCM'!C122</f>
        <v>343.5395387800001</v>
      </c>
      <c r="D125" s="1945">
        <f>'Solde créances_DCM'!D122</f>
        <v>258.47030289000003</v>
      </c>
      <c r="E125" s="1225">
        <f>'Solde créances_DCM'!E122</f>
        <v>776.81272834999629</v>
      </c>
      <c r="F125" s="1225">
        <f>'Solde créances_DCM'!F122</f>
        <v>21.866063434457121</v>
      </c>
      <c r="G125" s="1225">
        <f t="shared" si="26"/>
        <v>518.34242545999632</v>
      </c>
      <c r="H125" s="1225">
        <f t="shared" si="27"/>
        <v>200.54235231836009</v>
      </c>
      <c r="I125" s="1225">
        <f t="shared" si="23"/>
        <v>433.27318956999619</v>
      </c>
      <c r="J125" s="1225">
        <f t="shared" si="24"/>
        <v>126.12032696692323</v>
      </c>
      <c r="K125" s="1225">
        <f t="shared" si="28"/>
        <v>754.94666491553915</v>
      </c>
      <c r="L125" s="1225">
        <f t="shared" si="25"/>
        <v>2.8148436085621493</v>
      </c>
      <c r="M125" s="1227"/>
      <c r="N125" s="1227"/>
      <c r="O125" s="1227"/>
      <c r="P125" s="1227"/>
      <c r="Q125" s="1227"/>
    </row>
    <row r="126" spans="2:21" ht="12.75" customHeight="1">
      <c r="B126" s="1224" t="s">
        <v>627</v>
      </c>
      <c r="C126" s="1225">
        <f>'Solde créances_DCM'!C126</f>
        <v>12.958085540000001</v>
      </c>
      <c r="D126" s="1945">
        <f>'Solde créances_DCM'!D126</f>
        <v>18.899909079999993</v>
      </c>
      <c r="E126" s="1921">
        <f>'Solde créances_DCM'!E126</f>
        <v>16.583006649999994</v>
      </c>
      <c r="F126" s="1225">
        <f>'Solde créances_DCM'!F126</f>
        <v>3.6754195816353366</v>
      </c>
      <c r="G126" s="1225">
        <f t="shared" si="26"/>
        <v>-2.316902429999999</v>
      </c>
      <c r="H126" s="1225">
        <f t="shared" si="27"/>
        <v>-12.258801987845329</v>
      </c>
      <c r="I126" s="1225">
        <f t="shared" si="23"/>
        <v>3.6249211099999936</v>
      </c>
      <c r="J126" s="1225">
        <f t="shared" si="24"/>
        <v>27.974202661421799</v>
      </c>
      <c r="K126" s="1225">
        <f t="shared" si="28"/>
        <v>12.907587068364657</v>
      </c>
      <c r="L126" s="1225">
        <f t="shared" si="25"/>
        <v>22.163770775761812</v>
      </c>
      <c r="M126" s="1219">
        <f>'Solde créances_DCM'!K126</f>
        <v>26.504851449827456</v>
      </c>
      <c r="N126" s="1219">
        <f>'Solde créances_DCM'!L126</f>
        <v>24.513977116164842</v>
      </c>
      <c r="O126" s="1219">
        <f>'Solde créances_DCM'!M126</f>
        <v>29.80070104375055</v>
      </c>
      <c r="P126" s="1219">
        <f>O126-N126</f>
        <v>5.2867239275857081</v>
      </c>
      <c r="Q126" s="1219">
        <f>O126-M126</f>
        <v>3.2958495939230943</v>
      </c>
    </row>
    <row r="127" spans="2:21" ht="12.75" customHeight="1">
      <c r="B127" s="1220" t="s">
        <v>628</v>
      </c>
      <c r="C127" s="1222">
        <f>'calcul-DCC-TX-Encais'!BC6</f>
        <v>0</v>
      </c>
      <c r="D127" s="2030">
        <f>'calcul-DCC-TX-Encais'!$Q$22</f>
        <v>0</v>
      </c>
      <c r="E127" s="1222">
        <f>'Feuil-saisie'!C84/1000</f>
        <v>0</v>
      </c>
      <c r="F127" s="1222"/>
      <c r="G127" s="1222">
        <f t="shared" si="26"/>
        <v>0</v>
      </c>
      <c r="H127" s="1222" t="e">
        <f t="shared" si="27"/>
        <v>#DIV/0!</v>
      </c>
      <c r="I127" s="1222">
        <f t="shared" si="23"/>
        <v>0</v>
      </c>
      <c r="J127" s="1222" t="e">
        <f t="shared" si="24"/>
        <v>#DIV/0!</v>
      </c>
      <c r="K127" s="1222">
        <f t="shared" si="28"/>
        <v>0</v>
      </c>
      <c r="L127" s="1222" t="e">
        <f t="shared" si="25"/>
        <v>#DIV/0!</v>
      </c>
      <c r="M127" s="1269"/>
      <c r="N127" s="1269"/>
      <c r="O127" s="1269"/>
      <c r="P127" s="1269"/>
      <c r="Q127" s="1269"/>
    </row>
    <row r="128" spans="2:21" ht="12.75" customHeight="1">
      <c r="B128" s="1224" t="s">
        <v>629</v>
      </c>
      <c r="C128" s="1225">
        <f>C126-C127</f>
        <v>12.958085540000001</v>
      </c>
      <c r="D128" s="1945">
        <f>D126-D127</f>
        <v>18.899909079999993</v>
      </c>
      <c r="E128" s="1921">
        <f>E126-E127</f>
        <v>16.583006649999994</v>
      </c>
      <c r="F128" s="1225">
        <f>F126-F127</f>
        <v>3.6754195816353366</v>
      </c>
      <c r="G128" s="1225">
        <f t="shared" si="26"/>
        <v>-2.316902429999999</v>
      </c>
      <c r="H128" s="1225">
        <f t="shared" si="27"/>
        <v>-12.258801987845329</v>
      </c>
      <c r="I128" s="1225">
        <f t="shared" si="23"/>
        <v>3.6249211099999936</v>
      </c>
      <c r="J128" s="1225">
        <f t="shared" si="24"/>
        <v>27.974202661421799</v>
      </c>
      <c r="K128" s="1225">
        <f t="shared" si="28"/>
        <v>12.907587068364657</v>
      </c>
      <c r="L128" s="1225">
        <f t="shared" si="25"/>
        <v>22.163770775761812</v>
      </c>
      <c r="M128" s="1219"/>
      <c r="N128" s="1219"/>
      <c r="O128" s="1219"/>
      <c r="P128" s="1219">
        <f>O128-N128</f>
        <v>0</v>
      </c>
      <c r="Q128" s="1219">
        <f>O128-M128</f>
        <v>0</v>
      </c>
    </row>
    <row r="129" spans="2:19" ht="12.75" customHeight="1">
      <c r="B129" s="1230" t="s">
        <v>632</v>
      </c>
      <c r="C129" s="1231">
        <f>C123+C125+C126</f>
        <v>956.16410630200062</v>
      </c>
      <c r="D129" s="1231">
        <f>D123+D125+D126</f>
        <v>1643.07907851</v>
      </c>
      <c r="E129" s="1231">
        <f>E123+E125+E126</f>
        <v>2281.5055263499971</v>
      </c>
      <c r="F129" s="1231">
        <f>F123+F125+F126</f>
        <v>442.18123963119677</v>
      </c>
      <c r="G129" s="1231">
        <f t="shared" si="26"/>
        <v>638.42644783999708</v>
      </c>
      <c r="H129" s="1231">
        <f t="shared" si="27"/>
        <v>38.855491265760861</v>
      </c>
      <c r="I129" s="1275">
        <f t="shared" si="23"/>
        <v>1325.3414200479965</v>
      </c>
      <c r="J129" s="1275">
        <f t="shared" si="24"/>
        <v>138.61024601454687</v>
      </c>
      <c r="K129" s="1231">
        <f t="shared" si="28"/>
        <v>1839.3242867188003</v>
      </c>
      <c r="L129" s="1231">
        <f t="shared" si="25"/>
        <v>19.381116307818377</v>
      </c>
      <c r="M129" s="1269"/>
      <c r="N129" s="1269"/>
      <c r="O129" s="1269"/>
      <c r="P129" s="1269"/>
      <c r="Q129" s="1269"/>
    </row>
    <row r="130" spans="2:19" ht="12.75" customHeight="1">
      <c r="B130" s="1220" t="s">
        <v>638</v>
      </c>
      <c r="C130" s="1222">
        <f>C109+C114+C122+C117+C127</f>
        <v>228.27235765699999</v>
      </c>
      <c r="D130" s="2030">
        <f>D109+D114+D122+D117+D127</f>
        <v>350.15053227999999</v>
      </c>
      <c r="E130" s="1222">
        <f>E109+E114+E122+E117+E127</f>
        <v>554.31785079999997</v>
      </c>
      <c r="F130" s="1222">
        <f>F109+F114+F122+F117+F127</f>
        <v>71.008515361330737</v>
      </c>
      <c r="G130" s="1222">
        <f t="shared" si="26"/>
        <v>204.16731851999998</v>
      </c>
      <c r="H130" s="1222">
        <f t="shared" si="27"/>
        <v>58.308441569563676</v>
      </c>
      <c r="I130" s="1222">
        <f t="shared" si="23"/>
        <v>326.04549314299999</v>
      </c>
      <c r="J130" s="1222">
        <f t="shared" si="24"/>
        <v>142.83178939822099</v>
      </c>
      <c r="K130" s="1222">
        <f t="shared" si="28"/>
        <v>483.30933543866922</v>
      </c>
      <c r="L130" s="1222">
        <f t="shared" si="25"/>
        <v>12.810071921524838</v>
      </c>
      <c r="M130" s="1269"/>
      <c r="N130" s="1269"/>
      <c r="O130" s="1269"/>
      <c r="P130" s="1269"/>
      <c r="Q130" s="1269"/>
    </row>
    <row r="131" spans="2:19" ht="12.75" customHeight="1">
      <c r="B131" s="1230" t="s">
        <v>633</v>
      </c>
      <c r="C131" s="1231">
        <f>C129-C130</f>
        <v>727.89174864500069</v>
      </c>
      <c r="D131" s="1231">
        <f>D129-D130</f>
        <v>1292.9285462299999</v>
      </c>
      <c r="E131" s="1231">
        <f>E129-E130</f>
        <v>1727.187675549997</v>
      </c>
      <c r="F131" s="1231">
        <f>F129-F130</f>
        <v>371.17272426986602</v>
      </c>
      <c r="G131" s="1231">
        <f t="shared" si="26"/>
        <v>434.2591293199971</v>
      </c>
      <c r="H131" s="1231">
        <f t="shared" si="27"/>
        <v>33.587248930827343</v>
      </c>
      <c r="I131" s="1275">
        <f t="shared" si="23"/>
        <v>999.29592690499635</v>
      </c>
      <c r="J131" s="1275">
        <f t="shared" si="24"/>
        <v>137.28633808052163</v>
      </c>
      <c r="K131" s="1231">
        <f t="shared" si="28"/>
        <v>1356.0149512801311</v>
      </c>
      <c r="L131" s="1231">
        <f t="shared" si="25"/>
        <v>21.490005372558695</v>
      </c>
      <c r="M131" s="1269"/>
      <c r="N131" s="1269"/>
      <c r="O131" s="1269"/>
      <c r="P131" s="1269"/>
      <c r="Q131" s="1269"/>
    </row>
    <row r="132" spans="2:19" ht="12.75" customHeight="1">
      <c r="B132" s="1220" t="s">
        <v>999</v>
      </c>
      <c r="C132" s="1222">
        <v>22.667574610000003</v>
      </c>
      <c r="D132" s="2030">
        <f>'Sans ADE APC DSA'!$E$135</f>
        <v>570.6448863999999</v>
      </c>
      <c r="E132" s="2030">
        <f>'Sans ADE APC DSA'!$F$135</f>
        <v>1331.9316949400004</v>
      </c>
      <c r="F132" s="1222"/>
      <c r="G132" s="1222"/>
      <c r="H132" s="1222"/>
      <c r="I132" s="1222"/>
      <c r="J132" s="1222"/>
      <c r="K132" s="1222"/>
      <c r="L132" s="1222"/>
    </row>
    <row r="133" spans="2:19" ht="12.75" customHeight="1">
      <c r="B133" s="2093" t="s">
        <v>1000</v>
      </c>
      <c r="C133" s="1275">
        <f>C131-C132</f>
        <v>705.22417403500071</v>
      </c>
      <c r="D133" s="1231">
        <f>D131-D132</f>
        <v>722.28365983000003</v>
      </c>
      <c r="E133" s="1275">
        <f>E131-E132</f>
        <v>395.25598060999664</v>
      </c>
      <c r="F133" s="1275">
        <f>F131-F132</f>
        <v>371.17272426986602</v>
      </c>
      <c r="G133" s="1275">
        <f>E133-D133</f>
        <v>-327.02767922000339</v>
      </c>
      <c r="H133" s="2035">
        <f>((E133-D133)/D133)*100</f>
        <v>-45.27690399322811</v>
      </c>
      <c r="I133" s="1275">
        <f>E133-C133</f>
        <v>-309.96819342500407</v>
      </c>
      <c r="J133" s="1275">
        <f>I133/C133*100</f>
        <v>-43.953143530445701</v>
      </c>
      <c r="K133" s="1275">
        <f>E133-F133</f>
        <v>24.083256340130617</v>
      </c>
      <c r="L133" s="1275">
        <f>F133/E133*100</f>
        <v>93.90692171109896</v>
      </c>
    </row>
    <row r="134" spans="2:19" ht="12.75" customHeight="1">
      <c r="C134" s="1232">
        <f>C115+C128</f>
        <v>298.89968839300064</v>
      </c>
      <c r="D134" s="1214">
        <f>D115+D128</f>
        <v>660.53918225999996</v>
      </c>
      <c r="F134" s="1214">
        <f>F112+F126</f>
        <v>343.17767913497551</v>
      </c>
    </row>
    <row r="136" spans="2:19" ht="12.75" customHeight="1">
      <c r="B136" s="3247" t="s">
        <v>634</v>
      </c>
      <c r="C136" s="3249" t="s">
        <v>281</v>
      </c>
      <c r="D136" s="3250"/>
      <c r="E136" s="3250"/>
      <c r="F136" s="3251"/>
      <c r="G136" s="3252" t="str">
        <f>G8</f>
        <v>2023/2024</v>
      </c>
      <c r="H136" s="3253"/>
      <c r="I136" s="3242" t="s">
        <v>920</v>
      </c>
      <c r="J136" s="3242"/>
      <c r="K136" s="3252" t="str">
        <f>K8</f>
        <v>Réal 24/Obj 23</v>
      </c>
      <c r="L136" s="3253"/>
      <c r="M136" s="3243" t="s">
        <v>358</v>
      </c>
      <c r="N136" s="3243"/>
      <c r="O136" s="3243"/>
      <c r="P136" s="3243"/>
      <c r="Q136" s="3243"/>
    </row>
    <row r="137" spans="2:19" ht="12.75" customHeight="1">
      <c r="B137" s="3248"/>
      <c r="C137" s="1217">
        <f>C105</f>
        <v>45291</v>
      </c>
      <c r="D137" s="1217">
        <f>D105</f>
        <v>45139</v>
      </c>
      <c r="E137" s="1217">
        <f>E105</f>
        <v>45505</v>
      </c>
      <c r="F137" s="1218" t="str">
        <f>F105</f>
        <v>Obj 2024</v>
      </c>
      <c r="G137" s="1218" t="s">
        <v>440</v>
      </c>
      <c r="H137" s="1218" t="s">
        <v>599</v>
      </c>
      <c r="I137" s="1218" t="s">
        <v>440</v>
      </c>
      <c r="J137" s="1218" t="s">
        <v>599</v>
      </c>
      <c r="K137" s="1218" t="s">
        <v>440</v>
      </c>
      <c r="L137" s="1218" t="s">
        <v>599</v>
      </c>
      <c r="M137" s="1217">
        <f>M105</f>
        <v>45291</v>
      </c>
      <c r="N137" s="1217">
        <f>N105</f>
        <v>45139</v>
      </c>
      <c r="O137" s="1217">
        <f>O105</f>
        <v>45505</v>
      </c>
      <c r="P137" s="1269" t="str">
        <f>P105</f>
        <v>écart mois</v>
      </c>
      <c r="Q137" s="1269" t="str">
        <f>Q105</f>
        <v>écart année</v>
      </c>
    </row>
    <row r="138" spans="2:19" ht="12.75" customHeight="1">
      <c r="B138" s="1223" t="s">
        <v>277</v>
      </c>
      <c r="C138" s="1221">
        <f>'Solde créances_DCM'!C134</f>
        <v>983.18939429000045</v>
      </c>
      <c r="D138" s="1221">
        <f>'Solde créances_DCM'!D134</f>
        <v>1669.7437616200004</v>
      </c>
      <c r="E138" s="1221">
        <f>'Solde créances_DCM'!E134</f>
        <v>1689.0696134900006</v>
      </c>
      <c r="F138" s="1221">
        <f>'Solde créances_DCM'!F134</f>
        <v>955.97454550095335</v>
      </c>
      <c r="G138" s="1221">
        <f>E138-D138</f>
        <v>19.325851870000179</v>
      </c>
      <c r="H138" s="1221">
        <f>((E138-D138)/D138)*100</f>
        <v>1.1574142281118669</v>
      </c>
      <c r="I138" s="1221">
        <f t="shared" ref="I138:I163" si="29">E138-C138</f>
        <v>705.88021920000017</v>
      </c>
      <c r="J138" s="1221">
        <f t="shared" ref="J138:J163" si="30">I138/C138*100</f>
        <v>71.79493832007249</v>
      </c>
      <c r="K138" s="1221">
        <f>E138-F138</f>
        <v>733.09506798904727</v>
      </c>
      <c r="L138" s="1221">
        <f t="shared" ref="L138:L163" si="31">F138/E138*100</f>
        <v>56.597699577680125</v>
      </c>
      <c r="M138" s="1269">
        <f>'Solde créances_DCM'!K134</f>
        <v>42.173071767674543</v>
      </c>
      <c r="N138" s="1269">
        <f>'Solde créances_DCM'!L134</f>
        <v>70.316160822001578</v>
      </c>
      <c r="O138" s="1269">
        <f>'Solde créances_DCM'!M134</f>
        <v>72.059740437923381</v>
      </c>
      <c r="P138" s="1269">
        <f>O138-N138</f>
        <v>1.7435796159218029</v>
      </c>
      <c r="Q138" s="1269">
        <f>O138-M138</f>
        <v>29.886668670248838</v>
      </c>
      <c r="R138" s="1232">
        <f>F138+F140+F145+F160</f>
        <v>969.90688894708592</v>
      </c>
    </row>
    <row r="139" spans="2:19" ht="12.75" customHeight="1">
      <c r="B139" s="1314" t="s">
        <v>602</v>
      </c>
      <c r="C139" s="1315">
        <f>'Solde créances_DCM'!C135</f>
        <v>855.56430489000024</v>
      </c>
      <c r="D139" s="1315">
        <f>'Solde créances_DCM'!D135</f>
        <v>1540.8451230900007</v>
      </c>
      <c r="E139" s="1315">
        <f>'Solde créances_DCM'!E135</f>
        <v>1669.1529274100005</v>
      </c>
      <c r="F139" s="1315">
        <f>'Solde créances_DCM'!F135</f>
        <v>831.88214016963946</v>
      </c>
      <c r="G139" s="1315">
        <f>'Solde créances_DCM'!G135</f>
        <v>128.30780431999983</v>
      </c>
      <c r="H139" s="1315">
        <f>'Solde créances_DCM'!H135</f>
        <v>8.3271058458290863</v>
      </c>
      <c r="I139" s="1315">
        <f t="shared" si="29"/>
        <v>813.58862252000029</v>
      </c>
      <c r="J139" s="1315">
        <f t="shared" si="30"/>
        <v>95.093801584511311</v>
      </c>
      <c r="K139" s="1315">
        <f>'Solde créances_DCM'!I135</f>
        <v>837.27078724036107</v>
      </c>
      <c r="L139" s="1315">
        <f t="shared" si="31"/>
        <v>49.838581385137573</v>
      </c>
      <c r="M139" s="1365">
        <f>'Solde créances_DCM'!K135</f>
        <v>44.847920237094321</v>
      </c>
      <c r="N139" s="1365">
        <f>'Solde créances_DCM'!L135</f>
        <v>65.039738696017082</v>
      </c>
      <c r="O139" s="1365">
        <f>'Solde créances_DCM'!M135</f>
        <v>89.067336993373544</v>
      </c>
      <c r="P139" s="1365">
        <f>'Solde créances_DCM'!N135</f>
        <v>24.027598297356462</v>
      </c>
      <c r="Q139" s="1365">
        <f>'Solde créances_DCM'!O135</f>
        <v>44.219416756279223</v>
      </c>
    </row>
    <row r="140" spans="2:19" ht="12.75" customHeight="1">
      <c r="B140" s="1223" t="s">
        <v>185</v>
      </c>
      <c r="C140" s="1221">
        <f>'Solde créances_DCM'!C141</f>
        <v>6.2690328900000019</v>
      </c>
      <c r="D140" s="1221">
        <f>'Solde créances_DCM'!D141</f>
        <v>12.984259819999991</v>
      </c>
      <c r="E140" s="1221">
        <f>'Solde créances_DCM'!E141</f>
        <v>8.7440808899999976</v>
      </c>
      <c r="F140" s="1221">
        <f>'Solde créances_DCM'!F141</f>
        <v>5.1690971705576292</v>
      </c>
      <c r="G140" s="1221">
        <f t="shared" ref="G140:G163" si="32">E140-D140</f>
        <v>-4.2401789299999937</v>
      </c>
      <c r="H140" s="1221">
        <f t="shared" ref="H140:H163" si="33">((E140-D140)/D140)*100</f>
        <v>-32.656300696237892</v>
      </c>
      <c r="I140" s="1221">
        <f t="shared" si="29"/>
        <v>2.4750479999999957</v>
      </c>
      <c r="J140" s="1221">
        <f t="shared" si="30"/>
        <v>39.480539397839962</v>
      </c>
      <c r="K140" s="1221">
        <f t="shared" ref="K140:K163" si="34">E140-F140</f>
        <v>3.5749837194423684</v>
      </c>
      <c r="L140" s="1221">
        <f t="shared" si="31"/>
        <v>59.115386003223833</v>
      </c>
      <c r="M140" s="1269">
        <f>'Solde créances_DCM'!K141</f>
        <v>14.511694850569647</v>
      </c>
      <c r="N140" s="1269">
        <f>'Solde créances_DCM'!L141</f>
        <v>30.762877706260753</v>
      </c>
      <c r="O140" s="1269">
        <f>'Solde créances_DCM'!M141</f>
        <v>19.169304125669932</v>
      </c>
      <c r="P140" s="1269"/>
      <c r="Q140" s="1269"/>
      <c r="S140" s="1232">
        <f>C140+C158</f>
        <v>6.2690328900000019</v>
      </c>
    </row>
    <row r="141" spans="2:19" ht="12.75" customHeight="1">
      <c r="B141" s="2365" t="s">
        <v>1103</v>
      </c>
      <c r="C141" s="2367">
        <f>'Solde créances_DCM'!C142</f>
        <v>0</v>
      </c>
      <c r="D141" s="2367">
        <f>'Solde créances_DCM'!D142</f>
        <v>0</v>
      </c>
      <c r="E141" s="2367">
        <f>'Solde créances_DCM'!E142</f>
        <v>0</v>
      </c>
      <c r="F141" s="2367">
        <f>'Solde créances_DCM'!F142</f>
        <v>0</v>
      </c>
      <c r="G141" s="1221">
        <f>E141-D141</f>
        <v>0</v>
      </c>
      <c r="H141" s="1221" t="e">
        <f>((E141-D141)/D141)*100</f>
        <v>#DIV/0!</v>
      </c>
      <c r="I141" s="1221">
        <f>E141-C141</f>
        <v>0</v>
      </c>
      <c r="J141" s="1221" t="e">
        <f>I141/C141*100</f>
        <v>#DIV/0!</v>
      </c>
      <c r="K141" s="1221">
        <f>E141-F141</f>
        <v>0</v>
      </c>
      <c r="L141" s="1221" t="e">
        <f>F141/E141*100</f>
        <v>#DIV/0!</v>
      </c>
      <c r="M141" s="2366"/>
      <c r="N141" s="2366"/>
      <c r="O141" s="2366"/>
      <c r="P141" s="2366"/>
      <c r="Q141" s="2366"/>
    </row>
    <row r="142" spans="2:19" ht="12.75" customHeight="1">
      <c r="B142" s="2365" t="s">
        <v>1105</v>
      </c>
      <c r="C142" s="2367">
        <f>C140-C141</f>
        <v>6.2690328900000019</v>
      </c>
      <c r="D142" s="2367">
        <f>D140-D141</f>
        <v>12.984259819999991</v>
      </c>
      <c r="E142" s="2367">
        <f>E140-E141</f>
        <v>8.7440808899999976</v>
      </c>
      <c r="F142" s="2367">
        <f>F140-F141</f>
        <v>5.1690971705576292</v>
      </c>
      <c r="G142" s="1221">
        <f>E142-D142</f>
        <v>-4.2401789299999937</v>
      </c>
      <c r="H142" s="1221">
        <f>((E142-D142)/D142)*100</f>
        <v>-32.656300696237892</v>
      </c>
      <c r="I142" s="1221">
        <f>E142-C142</f>
        <v>2.4750479999999957</v>
      </c>
      <c r="J142" s="1221">
        <f>I142/C142*100</f>
        <v>39.480539397839962</v>
      </c>
      <c r="K142" s="1221">
        <f>E142-F142</f>
        <v>3.5749837194423684</v>
      </c>
      <c r="L142" s="1221">
        <f>F142/E142*100</f>
        <v>59.115386003223833</v>
      </c>
      <c r="M142" s="2366"/>
      <c r="N142" s="2366"/>
      <c r="O142" s="2366"/>
      <c r="P142" s="2366"/>
      <c r="Q142" s="2366"/>
    </row>
    <row r="143" spans="2:19" ht="12.75" customHeight="1">
      <c r="B143" s="1223" t="s">
        <v>624</v>
      </c>
      <c r="C143" s="1221">
        <f>'Solde créances_DCM'!C145</f>
        <v>758.28989641999999</v>
      </c>
      <c r="D143" s="1221">
        <f>'Solde créances_DCM'!D145</f>
        <v>504.87290181999953</v>
      </c>
      <c r="E143" s="1221">
        <f>'Solde créances_DCM'!E145</f>
        <v>1315.9505770800001</v>
      </c>
      <c r="F143" s="1221">
        <f>'Solde créances_DCM'!F145</f>
        <v>239.25242357635872</v>
      </c>
      <c r="G143" s="1221">
        <f t="shared" si="32"/>
        <v>811.07767526000066</v>
      </c>
      <c r="H143" s="1221">
        <f t="shared" si="33"/>
        <v>160.64987293557917</v>
      </c>
      <c r="I143" s="1221">
        <f t="shared" si="29"/>
        <v>557.66068066000014</v>
      </c>
      <c r="J143" s="1221">
        <f t="shared" si="30"/>
        <v>73.541884613364843</v>
      </c>
      <c r="K143" s="1221">
        <f t="shared" si="34"/>
        <v>1076.6981535036414</v>
      </c>
      <c r="L143" s="1221">
        <f t="shared" si="31"/>
        <v>18.18095814109088</v>
      </c>
      <c r="M143" s="1269">
        <f>'Solde créances_DCM'!K145</f>
        <v>157.73224258207517</v>
      </c>
      <c r="N143" s="1269">
        <f>'Solde créances_DCM'!L145</f>
        <v>104.59730147495317</v>
      </c>
      <c r="O143" s="1269">
        <f>'Solde créances_DCM'!M145</f>
        <v>247.07897953069644</v>
      </c>
      <c r="P143" s="1269"/>
      <c r="Q143" s="1269"/>
    </row>
    <row r="144" spans="2:19" ht="12.75" customHeight="1">
      <c r="B144" s="1224" t="s">
        <v>625</v>
      </c>
      <c r="C144" s="1225">
        <f>C138+C140+C143</f>
        <v>1747.7483236000003</v>
      </c>
      <c r="D144" s="1225">
        <f>D138+D140+D143</f>
        <v>2187.6009232599999</v>
      </c>
      <c r="E144" s="1945">
        <f>E138+E140+E143</f>
        <v>3013.7642714600006</v>
      </c>
      <c r="F144" s="1225">
        <f>F138+F140+F143</f>
        <v>1200.3960662478696</v>
      </c>
      <c r="G144" s="1225">
        <f t="shared" si="32"/>
        <v>826.16334820000066</v>
      </c>
      <c r="H144" s="1225">
        <f t="shared" si="33"/>
        <v>37.765724973677465</v>
      </c>
      <c r="I144" s="1225">
        <f t="shared" si="29"/>
        <v>1266.0159478600003</v>
      </c>
      <c r="J144" s="1225">
        <f t="shared" si="30"/>
        <v>72.436971088163844</v>
      </c>
      <c r="K144" s="1225">
        <f t="shared" si="34"/>
        <v>1813.368205212131</v>
      </c>
      <c r="L144" s="1225">
        <f t="shared" si="31"/>
        <v>39.830456469853388</v>
      </c>
      <c r="M144" s="1226"/>
      <c r="N144" s="1226"/>
      <c r="O144" s="1226"/>
      <c r="P144" s="1226">
        <f>O144-N144</f>
        <v>0</v>
      </c>
      <c r="Q144" s="1226">
        <f>O144-M144</f>
        <v>0</v>
      </c>
      <c r="S144" s="1232">
        <f>C147+C160</f>
        <v>1017.2327795200002</v>
      </c>
    </row>
    <row r="145" spans="2:18" ht="12.75" customHeight="1">
      <c r="B145" s="1220" t="s">
        <v>636</v>
      </c>
      <c r="C145" s="1221">
        <f>'Solde créances_DCM'!C146</f>
        <v>27.77435233999995</v>
      </c>
      <c r="D145" s="1221">
        <f>'Solde créances_DCM'!D146</f>
        <v>44.526308119999555</v>
      </c>
      <c r="E145" s="1221">
        <f>'Solde créances_DCM'!E146</f>
        <v>42.104429140000093</v>
      </c>
      <c r="F145" s="1221">
        <f>'Solde créances_DCM'!F146</f>
        <v>8.7632462755749749</v>
      </c>
      <c r="G145" s="1221">
        <f t="shared" si="32"/>
        <v>-2.4218789799994624</v>
      </c>
      <c r="H145" s="1221">
        <f t="shared" si="33"/>
        <v>-5.4392090479912145</v>
      </c>
      <c r="I145" s="1221">
        <f t="shared" si="29"/>
        <v>14.330076800000143</v>
      </c>
      <c r="J145" s="1221">
        <f t="shared" si="30"/>
        <v>51.594638912109978</v>
      </c>
      <c r="K145" s="1221">
        <f t="shared" si="34"/>
        <v>33.341182864425122</v>
      </c>
      <c r="L145" s="1221">
        <f t="shared" si="31"/>
        <v>20.813122169253464</v>
      </c>
      <c r="M145" s="1269">
        <f>'Solde créances_DCM'!K146</f>
        <v>9.7899638004903906</v>
      </c>
      <c r="N145" s="1269">
        <f>'Solde créances_DCM'!L146</f>
        <v>15.254021305118457</v>
      </c>
      <c r="O145" s="1269">
        <f>'Solde créances_DCM'!M146</f>
        <v>12.86604048330414</v>
      </c>
      <c r="P145" s="1269"/>
      <c r="Q145" s="1269"/>
    </row>
    <row r="146" spans="2:18" ht="12.75" customHeight="1">
      <c r="B146" s="1220" t="s">
        <v>626</v>
      </c>
      <c r="C146" s="1221">
        <f>'Solde créances_DCM'!C147</f>
        <v>730.51554408000004</v>
      </c>
      <c r="D146" s="1221">
        <f>'Solde créances_DCM'!D147</f>
        <v>460.34659369999997</v>
      </c>
      <c r="E146" s="1221">
        <f>'Solde créances_DCM'!E147</f>
        <v>1273.84614794</v>
      </c>
      <c r="F146" s="1221">
        <f>'Solde créances_DCM'!F147</f>
        <v>230.48917730078375</v>
      </c>
      <c r="G146" s="1221">
        <f t="shared" si="32"/>
        <v>813.49955424000007</v>
      </c>
      <c r="H146" s="1221">
        <f t="shared" si="33"/>
        <v>176.71458100766222</v>
      </c>
      <c r="I146" s="1221">
        <f t="shared" si="29"/>
        <v>543.33060386</v>
      </c>
      <c r="J146" s="1221">
        <f t="shared" si="30"/>
        <v>74.376323442133213</v>
      </c>
      <c r="K146" s="1221">
        <f t="shared" si="34"/>
        <v>1043.3569706392163</v>
      </c>
      <c r="L146" s="1221">
        <f t="shared" si="31"/>
        <v>18.093957239146917</v>
      </c>
      <c r="M146" s="1269"/>
      <c r="N146" s="1269"/>
      <c r="O146" s="1269"/>
      <c r="P146" s="1269"/>
      <c r="Q146" s="1269"/>
    </row>
    <row r="147" spans="2:18" ht="12.75" customHeight="1">
      <c r="B147" s="1224" t="s">
        <v>620</v>
      </c>
      <c r="C147" s="1225">
        <f>C144-C146</f>
        <v>1017.2327795200002</v>
      </c>
      <c r="D147" s="1225">
        <f>D144-D146</f>
        <v>1727.2543295599999</v>
      </c>
      <c r="E147" s="1225">
        <f>E144-E146</f>
        <v>1739.9181235200006</v>
      </c>
      <c r="F147" s="1225">
        <f>F144-F146</f>
        <v>969.90688894708592</v>
      </c>
      <c r="G147" s="1225">
        <f t="shared" si="32"/>
        <v>12.663793960000703</v>
      </c>
      <c r="H147" s="1225">
        <f t="shared" si="33"/>
        <v>0.73317482800733069</v>
      </c>
      <c r="I147" s="1225">
        <f t="shared" si="29"/>
        <v>722.68534400000033</v>
      </c>
      <c r="J147" s="1225">
        <f t="shared" si="30"/>
        <v>71.044244596700139</v>
      </c>
      <c r="K147" s="1225">
        <f t="shared" si="34"/>
        <v>770.01123457291465</v>
      </c>
      <c r="L147" s="1225">
        <f t="shared" si="31"/>
        <v>55.744398304495093</v>
      </c>
      <c r="M147" s="1226"/>
      <c r="N147" s="1226"/>
      <c r="O147" s="1226"/>
      <c r="P147" s="1226">
        <f>O147-N147</f>
        <v>0</v>
      </c>
      <c r="Q147" s="1226">
        <f>O147-M147</f>
        <v>0</v>
      </c>
    </row>
    <row r="148" spans="2:18" ht="12.75" customHeight="1">
      <c r="B148" s="1223" t="s">
        <v>234</v>
      </c>
      <c r="C148" s="1221">
        <f>'Solde créances_DCM'!C138</f>
        <v>255.56014925000002</v>
      </c>
      <c r="D148" s="1221">
        <f>'Solde créances_DCM'!D138</f>
        <v>319.80739289000002</v>
      </c>
      <c r="E148" s="1221">
        <f>'Solde créances_DCM'!E138</f>
        <v>369.43392489999997</v>
      </c>
      <c r="F148" s="1221">
        <f>'Solde créances_DCM'!F138</f>
        <v>131.94294402345253</v>
      </c>
      <c r="G148" s="1221">
        <f t="shared" si="32"/>
        <v>49.626532009999949</v>
      </c>
      <c r="H148" s="1221">
        <f t="shared" si="33"/>
        <v>15.517631272229327</v>
      </c>
      <c r="I148" s="1221">
        <f t="shared" si="29"/>
        <v>113.87377564999994</v>
      </c>
      <c r="J148" s="1221">
        <f t="shared" si="30"/>
        <v>44.558502561603873</v>
      </c>
      <c r="K148" s="1221">
        <f t="shared" si="34"/>
        <v>237.49098087654744</v>
      </c>
      <c r="L148" s="1221">
        <f t="shared" si="31"/>
        <v>35.714896529648009</v>
      </c>
      <c r="M148" s="1269">
        <f>'Solde créances_DCM'!K138</f>
        <v>131.44275271745974</v>
      </c>
      <c r="N148" s="1269">
        <f>'Solde créances_DCM'!L138</f>
        <v>178.66212403042266</v>
      </c>
      <c r="O148" s="1269">
        <f>'Solde créances_DCM'!M138</f>
        <v>202.44554382051453</v>
      </c>
      <c r="P148" s="1269">
        <f>O148-N148</f>
        <v>23.78341979009187</v>
      </c>
      <c r="Q148" s="1269">
        <f>O148-M148</f>
        <v>71.00279110305479</v>
      </c>
    </row>
    <row r="149" spans="2:18" ht="12.75" customHeight="1">
      <c r="B149" s="2365" t="s">
        <v>1101</v>
      </c>
      <c r="C149" s="2367">
        <f>'Solde créances_DCM'!C139</f>
        <v>0</v>
      </c>
      <c r="D149" s="2367">
        <f>'Solde créances_DCM'!D139</f>
        <v>0</v>
      </c>
      <c r="E149" s="2367">
        <f>'Solde créances_DCM'!E139</f>
        <v>0</v>
      </c>
      <c r="F149" s="2367">
        <f>'Solde créances_DCM'!F139</f>
        <v>0</v>
      </c>
      <c r="G149" s="1221">
        <f>E149-D149</f>
        <v>0</v>
      </c>
      <c r="H149" s="1221" t="e">
        <f>((E149-D149)/D149)*100</f>
        <v>#DIV/0!</v>
      </c>
      <c r="I149" s="1221">
        <f>E149-C149</f>
        <v>0</v>
      </c>
      <c r="J149" s="1221" t="e">
        <f>I149/C149*100</f>
        <v>#DIV/0!</v>
      </c>
      <c r="K149" s="1221">
        <f>E149-F149</f>
        <v>0</v>
      </c>
      <c r="L149" s="1221" t="e">
        <f>F149/E149*100</f>
        <v>#DIV/0!</v>
      </c>
      <c r="M149" s="2366"/>
      <c r="N149" s="2366"/>
      <c r="O149" s="2366"/>
      <c r="P149" s="2366"/>
      <c r="Q149" s="2366"/>
    </row>
    <row r="150" spans="2:18" ht="12.75" customHeight="1">
      <c r="B150" s="2365" t="s">
        <v>1106</v>
      </c>
      <c r="C150" s="2367">
        <f>C148-C149</f>
        <v>255.56014925000002</v>
      </c>
      <c r="D150" s="2367">
        <f>D148-D149</f>
        <v>319.80739289000002</v>
      </c>
      <c r="E150" s="2367">
        <f>E148-E149</f>
        <v>369.43392489999997</v>
      </c>
      <c r="F150" s="2367">
        <f>F148-F149</f>
        <v>131.94294402345253</v>
      </c>
      <c r="G150" s="1221">
        <f>E150-D150</f>
        <v>49.626532009999949</v>
      </c>
      <c r="H150" s="1221">
        <f>((E150-D150)/D150)*100</f>
        <v>15.517631272229327</v>
      </c>
      <c r="I150" s="1221">
        <f>E150-C150</f>
        <v>113.87377564999994</v>
      </c>
      <c r="J150" s="1221">
        <f>I150/C150*100</f>
        <v>44.558502561603873</v>
      </c>
      <c r="K150" s="1221">
        <f>E150-F150</f>
        <v>237.49098087654744</v>
      </c>
      <c r="L150" s="1221">
        <f>F150/E150*100</f>
        <v>35.714896529648009</v>
      </c>
      <c r="M150" s="2366"/>
      <c r="N150" s="2366"/>
      <c r="O150" s="2366"/>
      <c r="P150" s="2366"/>
      <c r="Q150" s="2366"/>
    </row>
    <row r="151" spans="2:18" ht="12.75" customHeight="1">
      <c r="B151" s="1223" t="s">
        <v>187</v>
      </c>
      <c r="C151" s="1221">
        <f>'Solde créances_DCM'!C148</f>
        <v>242.17636372000001</v>
      </c>
      <c r="D151" s="1221">
        <f>'Solde créances_DCM'!D148</f>
        <v>361.76035946000002</v>
      </c>
      <c r="E151" s="1221">
        <f>'Solde créances_DCM'!E148</f>
        <v>287.96677158</v>
      </c>
      <c r="F151" s="1221">
        <f>'Solde créances_DCM'!F148</f>
        <v>157.04600269741908</v>
      </c>
      <c r="G151" s="1221">
        <f t="shared" si="32"/>
        <v>-73.793587880000018</v>
      </c>
      <c r="H151" s="1221">
        <f t="shared" si="33"/>
        <v>-20.398472621530942</v>
      </c>
      <c r="I151" s="1221">
        <f t="shared" si="29"/>
        <v>45.790407859999988</v>
      </c>
      <c r="J151" s="1221">
        <f t="shared" si="30"/>
        <v>18.907876539488402</v>
      </c>
      <c r="K151" s="1221">
        <f t="shared" si="34"/>
        <v>130.92076888258092</v>
      </c>
      <c r="L151" s="1221">
        <f t="shared" si="31"/>
        <v>54.536154236041831</v>
      </c>
      <c r="M151" s="1269">
        <f>'Solde créances_DCM'!K148</f>
        <v>565.65800000000002</v>
      </c>
      <c r="N151" s="1269">
        <f>'Solde créances_DCM'!L148</f>
        <v>264.78110498083777</v>
      </c>
      <c r="O151" s="1269">
        <f>'Solde créances_DCM'!M148</f>
        <v>234.87305363663663</v>
      </c>
      <c r="P151" s="1269"/>
      <c r="Q151" s="1269"/>
    </row>
    <row r="152" spans="2:18" ht="12.75" customHeight="1">
      <c r="B152" s="1224" t="s">
        <v>621</v>
      </c>
      <c r="C152" s="1225">
        <f>C148+C151</f>
        <v>497.73651297000004</v>
      </c>
      <c r="D152" s="1225">
        <f>D148+D151</f>
        <v>681.56775235000009</v>
      </c>
      <c r="E152" s="1945">
        <f>E148+E151</f>
        <v>657.40069647999997</v>
      </c>
      <c r="F152" s="1225">
        <f>SUM(F148:F151)</f>
        <v>420.93189074432416</v>
      </c>
      <c r="G152" s="1225">
        <f t="shared" si="32"/>
        <v>-24.167055870000127</v>
      </c>
      <c r="H152" s="1225">
        <f t="shared" si="33"/>
        <v>-3.5458038891472974</v>
      </c>
      <c r="I152" s="1225">
        <f t="shared" si="29"/>
        <v>159.66418350999993</v>
      </c>
      <c r="J152" s="1225">
        <f t="shared" si="30"/>
        <v>32.078053216807774</v>
      </c>
      <c r="K152" s="1225">
        <f t="shared" si="34"/>
        <v>236.4688057356758</v>
      </c>
      <c r="L152" s="1225">
        <f t="shared" si="31"/>
        <v>64.029729965022966</v>
      </c>
      <c r="M152" s="1226"/>
      <c r="N152" s="1226"/>
      <c r="O152" s="1226"/>
      <c r="P152" s="1226"/>
      <c r="Q152" s="1226"/>
    </row>
    <row r="153" spans="2:18" ht="12.75" customHeight="1">
      <c r="B153" s="1220" t="s">
        <v>917</v>
      </c>
      <c r="C153" s="1221">
        <f>C151-C154</f>
        <v>242.17636372000001</v>
      </c>
      <c r="D153" s="1221">
        <f>D151-D154</f>
        <v>328.58845057000002</v>
      </c>
      <c r="E153" s="1221">
        <f>E151-E154</f>
        <v>287.96677158</v>
      </c>
      <c r="F153" s="1221"/>
      <c r="G153" s="1221">
        <f t="shared" si="32"/>
        <v>-40.621678990000021</v>
      </c>
      <c r="H153" s="1221">
        <f t="shared" si="33"/>
        <v>-12.362479240987895</v>
      </c>
      <c r="I153" s="1221">
        <f t="shared" si="29"/>
        <v>45.790407859999988</v>
      </c>
      <c r="J153" s="1221">
        <f t="shared" si="30"/>
        <v>18.907876539488402</v>
      </c>
      <c r="K153" s="1221">
        <f t="shared" si="34"/>
        <v>287.96677158</v>
      </c>
      <c r="L153" s="1221">
        <f t="shared" si="31"/>
        <v>0</v>
      </c>
      <c r="M153" s="1269"/>
      <c r="N153" s="1269"/>
      <c r="O153" s="1269"/>
      <c r="P153" s="1269"/>
      <c r="Q153" s="1269"/>
    </row>
    <row r="154" spans="2:18" ht="12.75" customHeight="1">
      <c r="B154" s="1220" t="s">
        <v>918</v>
      </c>
      <c r="C154" s="1221">
        <f>'Solde créances_DCM'!C150</f>
        <v>0</v>
      </c>
      <c r="D154" s="1221">
        <f>'Solde créances_DCM'!D150</f>
        <v>33.171908889999997</v>
      </c>
      <c r="E154" s="1221">
        <f>'Solde créances_DCM'!E150</f>
        <v>0</v>
      </c>
      <c r="F154" s="1221"/>
      <c r="G154" s="1221">
        <f t="shared" si="32"/>
        <v>-33.171908889999997</v>
      </c>
      <c r="H154" s="1221">
        <f t="shared" si="33"/>
        <v>-100</v>
      </c>
      <c r="I154" s="1221">
        <f t="shared" si="29"/>
        <v>0</v>
      </c>
      <c r="J154" s="1221" t="e">
        <f t="shared" si="30"/>
        <v>#DIV/0!</v>
      </c>
      <c r="K154" s="1221">
        <f t="shared" si="34"/>
        <v>0</v>
      </c>
      <c r="L154" s="1221" t="e">
        <f t="shared" si="31"/>
        <v>#DIV/0!</v>
      </c>
      <c r="M154" s="1269"/>
      <c r="N154" s="1269"/>
      <c r="O154" s="1269"/>
      <c r="P154" s="1269"/>
      <c r="Q154" s="1269"/>
    </row>
    <row r="155" spans="2:18" ht="12.75" customHeight="1">
      <c r="B155" s="1228" t="s">
        <v>635</v>
      </c>
      <c r="C155" s="1229">
        <f>C144+C152</f>
        <v>2245.4848365700004</v>
      </c>
      <c r="D155" s="1229">
        <f>D144+D152</f>
        <v>2869.1686756099998</v>
      </c>
      <c r="E155" s="1229">
        <f>E144+E152</f>
        <v>3671.1649679400007</v>
      </c>
      <c r="F155" s="1229">
        <f>F144+F152</f>
        <v>1621.3279569921938</v>
      </c>
      <c r="G155" s="1229">
        <f t="shared" si="32"/>
        <v>801.99629233000087</v>
      </c>
      <c r="H155" s="1229">
        <f t="shared" si="33"/>
        <v>27.952218325382784</v>
      </c>
      <c r="I155" s="1229">
        <f t="shared" si="29"/>
        <v>1425.6801313700003</v>
      </c>
      <c r="J155" s="1229">
        <f t="shared" si="30"/>
        <v>63.490971221508687</v>
      </c>
      <c r="K155" s="1229">
        <f t="shared" si="34"/>
        <v>2049.8370109478069</v>
      </c>
      <c r="L155" s="1229">
        <f t="shared" si="31"/>
        <v>44.16385455709905</v>
      </c>
      <c r="M155" s="1271">
        <f>'Solde créances_DCM'!K151</f>
        <v>69.248174432877121</v>
      </c>
      <c r="N155" s="1271">
        <f>'Solde créances_DCM'!L151</f>
        <v>87.533243194905126</v>
      </c>
      <c r="O155" s="1271">
        <f>'Solde créances_DCM'!M151</f>
        <v>112.21117270486391</v>
      </c>
      <c r="P155" s="1271">
        <f>O155-N155</f>
        <v>24.677929509958787</v>
      </c>
      <c r="Q155" s="1271">
        <f>O155-M155</f>
        <v>42.962998271986791</v>
      </c>
    </row>
    <row r="156" spans="2:18" ht="12.75" customHeight="1">
      <c r="B156" s="1228" t="s">
        <v>622</v>
      </c>
      <c r="C156" s="1229">
        <f>C155-(C146+C154)</f>
        <v>1514.9692924900005</v>
      </c>
      <c r="D156" s="1229">
        <f>D155-(D146+D154)</f>
        <v>2375.6501730199998</v>
      </c>
      <c r="E156" s="1229">
        <f>E155-(E146+E154)</f>
        <v>2397.3188200000004</v>
      </c>
      <c r="F156" s="1229">
        <f>F155-(F146+F154)</f>
        <v>1390.8387796914101</v>
      </c>
      <c r="G156" s="1229">
        <f t="shared" si="32"/>
        <v>21.668646980000631</v>
      </c>
      <c r="H156" s="1229">
        <f t="shared" si="33"/>
        <v>0.91211438561489799</v>
      </c>
      <c r="I156" s="1229">
        <f t="shared" si="29"/>
        <v>882.34952750999992</v>
      </c>
      <c r="J156" s="1229">
        <f t="shared" si="30"/>
        <v>58.24207341257538</v>
      </c>
      <c r="K156" s="1229">
        <f t="shared" si="34"/>
        <v>1006.4800403085903</v>
      </c>
      <c r="L156" s="1229">
        <f t="shared" si="31"/>
        <v>58.016429358002952</v>
      </c>
      <c r="M156" s="1271"/>
      <c r="N156" s="1271"/>
      <c r="O156" s="1271"/>
      <c r="P156" s="1271"/>
      <c r="Q156" s="1271"/>
      <c r="R156" s="1232"/>
    </row>
    <row r="157" spans="2:18" ht="12.75" customHeight="1">
      <c r="B157" s="1224" t="s">
        <v>623</v>
      </c>
      <c r="C157" s="1225">
        <f>'Solde créances_DCM'!C152</f>
        <v>121.64311872999997</v>
      </c>
      <c r="D157" s="1225">
        <f>'Solde créances_DCM'!D152</f>
        <v>71.363574399999962</v>
      </c>
      <c r="E157" s="1945">
        <f>'Solde créances_DCM'!E152</f>
        <v>14.06040285999997</v>
      </c>
      <c r="F157" s="1225">
        <f>'Solde créances_DCM'!F152</f>
        <v>7.0400455636462143</v>
      </c>
      <c r="G157" s="1225">
        <f t="shared" si="32"/>
        <v>-57.303171539999994</v>
      </c>
      <c r="H157" s="1225">
        <f t="shared" si="33"/>
        <v>-80.297507547491946</v>
      </c>
      <c r="I157" s="1225">
        <f t="shared" si="29"/>
        <v>-107.58271587</v>
      </c>
      <c r="J157" s="1225">
        <f t="shared" si="30"/>
        <v>-88.441267367364574</v>
      </c>
      <c r="K157" s="1225">
        <f t="shared" si="34"/>
        <v>7.0203572963537555</v>
      </c>
      <c r="L157" s="1225">
        <f t="shared" si="31"/>
        <v>50.070013169211776</v>
      </c>
      <c r="M157" s="1227"/>
      <c r="N157" s="1227"/>
      <c r="O157" s="1227"/>
      <c r="P157" s="1227"/>
      <c r="Q157" s="1227"/>
    </row>
    <row r="158" spans="2:18" ht="12.75" customHeight="1">
      <c r="B158" s="1224" t="s">
        <v>627</v>
      </c>
      <c r="C158" s="1225">
        <f>'Solde créances_DCM'!C156</f>
        <v>0</v>
      </c>
      <c r="D158" s="1225">
        <f>'Solde créances_DCM'!D156</f>
        <v>0</v>
      </c>
      <c r="E158" s="1225">
        <f>'Solde créances_DCM'!E156</f>
        <v>23.565210099999998</v>
      </c>
      <c r="F158" s="1225">
        <f>'Solde créances_DCM'!F156</f>
        <v>0</v>
      </c>
      <c r="G158" s="1225">
        <f t="shared" si="32"/>
        <v>23.565210099999998</v>
      </c>
      <c r="H158" s="1225" t="e">
        <f t="shared" si="33"/>
        <v>#DIV/0!</v>
      </c>
      <c r="I158" s="1225">
        <f t="shared" si="29"/>
        <v>23.565210099999998</v>
      </c>
      <c r="J158" s="1225" t="e">
        <f t="shared" si="30"/>
        <v>#DIV/0!</v>
      </c>
      <c r="K158" s="1225">
        <f t="shared" si="34"/>
        <v>23.565210099999998</v>
      </c>
      <c r="L158" s="1225">
        <f t="shared" si="31"/>
        <v>0</v>
      </c>
      <c r="M158" s="1219">
        <f>'Solde créances_DCM'!K156</f>
        <v>0</v>
      </c>
      <c r="N158" s="1219">
        <f>'Solde créances_DCM'!L156</f>
        <v>36.052395323746467</v>
      </c>
      <c r="O158" s="1219">
        <f>'Solde créances_DCM'!M156</f>
        <v>36.052395323746467</v>
      </c>
      <c r="P158" s="1219">
        <f>O158-N158</f>
        <v>0</v>
      </c>
      <c r="Q158" s="1219">
        <f>O158-M158</f>
        <v>36.052395323746467</v>
      </c>
    </row>
    <row r="159" spans="2:18" ht="12.75" customHeight="1">
      <c r="B159" s="1220" t="s">
        <v>628</v>
      </c>
      <c r="C159" s="1222">
        <f>'calcul-DCC-TX-Encais'!BC7</f>
        <v>0</v>
      </c>
      <c r="D159" s="1222">
        <f>'calcul-DCC-TX-Encais'!$Q$23</f>
        <v>0</v>
      </c>
      <c r="E159" s="1222">
        <f>'Feuil-saisie'!C107/1000</f>
        <v>0</v>
      </c>
      <c r="F159" s="1222"/>
      <c r="G159" s="1222">
        <f t="shared" si="32"/>
        <v>0</v>
      </c>
      <c r="H159" s="1222" t="e">
        <f t="shared" si="33"/>
        <v>#DIV/0!</v>
      </c>
      <c r="I159" s="1222">
        <f t="shared" si="29"/>
        <v>0</v>
      </c>
      <c r="J159" s="1222" t="e">
        <f t="shared" si="30"/>
        <v>#DIV/0!</v>
      </c>
      <c r="K159" s="1222">
        <f t="shared" si="34"/>
        <v>0</v>
      </c>
      <c r="L159" s="1222" t="e">
        <f t="shared" si="31"/>
        <v>#DIV/0!</v>
      </c>
      <c r="M159" s="1269"/>
      <c r="N159" s="1269"/>
      <c r="O159" s="1269"/>
      <c r="P159" s="1269"/>
      <c r="Q159" s="1269"/>
    </row>
    <row r="160" spans="2:18" ht="12.75" customHeight="1">
      <c r="B160" s="1224" t="s">
        <v>629</v>
      </c>
      <c r="C160" s="1225">
        <f>C158-C159</f>
        <v>0</v>
      </c>
      <c r="D160" s="1225">
        <f>D158-D159</f>
        <v>0</v>
      </c>
      <c r="E160" s="1225">
        <f>E158-E159</f>
        <v>23.565210099999998</v>
      </c>
      <c r="F160" s="1225">
        <f>F158-F159</f>
        <v>0</v>
      </c>
      <c r="G160" s="1225">
        <f t="shared" si="32"/>
        <v>23.565210099999998</v>
      </c>
      <c r="H160" s="1225" t="e">
        <f t="shared" si="33"/>
        <v>#DIV/0!</v>
      </c>
      <c r="I160" s="1225">
        <f t="shared" si="29"/>
        <v>23.565210099999998</v>
      </c>
      <c r="J160" s="1225" t="e">
        <f t="shared" si="30"/>
        <v>#DIV/0!</v>
      </c>
      <c r="K160" s="1225">
        <f t="shared" si="34"/>
        <v>23.565210099999998</v>
      </c>
      <c r="L160" s="1225">
        <f t="shared" si="31"/>
        <v>0</v>
      </c>
      <c r="M160" s="1219"/>
      <c r="N160" s="1219"/>
      <c r="O160" s="1219"/>
      <c r="P160" s="1219">
        <f>O160-N160</f>
        <v>0</v>
      </c>
      <c r="Q160" s="1219">
        <f>O160-M160</f>
        <v>0</v>
      </c>
    </row>
    <row r="161" spans="2:18" ht="12.75" customHeight="1">
      <c r="B161" s="1230" t="s">
        <v>632</v>
      </c>
      <c r="C161" s="1231">
        <f>C155+C157+C158</f>
        <v>2367.1279553000004</v>
      </c>
      <c r="D161" s="1231">
        <f>D155+D157+D158</f>
        <v>2940.5322500099996</v>
      </c>
      <c r="E161" s="1231">
        <f>E155+E157+E158</f>
        <v>3708.7905809000008</v>
      </c>
      <c r="F161" s="1231">
        <f>F155+F157+F158</f>
        <v>1628.3680025558399</v>
      </c>
      <c r="G161" s="1231">
        <f t="shared" si="32"/>
        <v>768.25833089000116</v>
      </c>
      <c r="H161" s="1231">
        <f t="shared" si="33"/>
        <v>26.126505869384314</v>
      </c>
      <c r="I161" s="1275">
        <f t="shared" si="29"/>
        <v>1341.6626256000004</v>
      </c>
      <c r="J161" s="1275">
        <f t="shared" si="30"/>
        <v>56.67892276782154</v>
      </c>
      <c r="K161" s="1231">
        <f t="shared" si="34"/>
        <v>2080.4225783441607</v>
      </c>
      <c r="L161" s="1231">
        <f t="shared" si="31"/>
        <v>43.905633576126284</v>
      </c>
      <c r="M161" s="1269"/>
      <c r="N161" s="1269"/>
      <c r="O161" s="1269"/>
      <c r="P161" s="1269"/>
      <c r="Q161" s="1269"/>
    </row>
    <row r="162" spans="2:18" ht="12.75" customHeight="1">
      <c r="B162" s="1220" t="s">
        <v>638</v>
      </c>
      <c r="C162" s="1222">
        <f>C141+C146+C154+C149+C159</f>
        <v>730.51554408000004</v>
      </c>
      <c r="D162" s="1222">
        <f>D141+D146+D154+D149+D159</f>
        <v>493.51850258999997</v>
      </c>
      <c r="E162" s="1222">
        <f>E141+E146+E154+E149+E159</f>
        <v>1273.84614794</v>
      </c>
      <c r="F162" s="1222">
        <f>F141+F146+F154+F149+F159</f>
        <v>230.48917730078375</v>
      </c>
      <c r="G162" s="1222">
        <f t="shared" si="32"/>
        <v>780.32764535000001</v>
      </c>
      <c r="H162" s="1222">
        <f t="shared" si="33"/>
        <v>158.115175267962</v>
      </c>
      <c r="I162" s="1222">
        <f t="shared" si="29"/>
        <v>543.33060386</v>
      </c>
      <c r="J162" s="1222">
        <f t="shared" si="30"/>
        <v>74.376323442133213</v>
      </c>
      <c r="K162" s="1222">
        <f t="shared" si="34"/>
        <v>1043.3569706392163</v>
      </c>
      <c r="L162" s="1222">
        <f t="shared" si="31"/>
        <v>18.093957239146917</v>
      </c>
      <c r="M162" s="1269"/>
      <c r="N162" s="1269"/>
      <c r="O162" s="1269"/>
      <c r="P162" s="1269"/>
      <c r="Q162" s="1269"/>
    </row>
    <row r="163" spans="2:18" ht="12.75" customHeight="1">
      <c r="B163" s="1230" t="s">
        <v>633</v>
      </c>
      <c r="C163" s="1231">
        <f>C161-C162</f>
        <v>1636.6124112200005</v>
      </c>
      <c r="D163" s="1231">
        <f>D161-D162</f>
        <v>2447.0137474199996</v>
      </c>
      <c r="E163" s="1231">
        <f>E161-E162</f>
        <v>2434.944432960001</v>
      </c>
      <c r="F163" s="1231">
        <f>F161-F162</f>
        <v>1397.8788252550562</v>
      </c>
      <c r="G163" s="1231">
        <f t="shared" si="32"/>
        <v>-12.069314459998623</v>
      </c>
      <c r="H163" s="1231">
        <f t="shared" si="33"/>
        <v>-0.49322626293881111</v>
      </c>
      <c r="I163" s="1275">
        <f t="shared" si="29"/>
        <v>798.33202174000053</v>
      </c>
      <c r="J163" s="1275">
        <f t="shared" si="30"/>
        <v>48.779540975428013</v>
      </c>
      <c r="K163" s="1231">
        <f t="shared" si="34"/>
        <v>1037.0656077049448</v>
      </c>
      <c r="L163" s="1231">
        <f t="shared" si="31"/>
        <v>57.409064713470585</v>
      </c>
      <c r="M163" s="1269"/>
      <c r="N163" s="1269"/>
      <c r="O163" s="1269"/>
      <c r="P163" s="1269"/>
      <c r="Q163" s="1269"/>
    </row>
    <row r="164" spans="2:18" ht="12.75" customHeight="1">
      <c r="B164" s="1220" t="s">
        <v>999</v>
      </c>
      <c r="C164" s="1222">
        <v>13.65962169</v>
      </c>
      <c r="D164" s="1222">
        <f>'Sans ADE APC DSA'!$E$136</f>
        <v>698.60768669999993</v>
      </c>
      <c r="E164" s="1222">
        <f>'Sans ADE APC DSA'!$F$136</f>
        <v>1810.1341198</v>
      </c>
      <c r="F164" s="1222"/>
      <c r="G164" s="1222"/>
      <c r="H164" s="1222"/>
      <c r="I164" s="1222"/>
      <c r="J164" s="1222"/>
      <c r="K164" s="1222"/>
      <c r="L164" s="1222"/>
    </row>
    <row r="165" spans="2:18" ht="12.75" customHeight="1">
      <c r="B165" s="2093" t="s">
        <v>1000</v>
      </c>
      <c r="C165" s="1275">
        <f>C163-C164</f>
        <v>1622.9527895300005</v>
      </c>
      <c r="D165" s="1275">
        <f>D163-D164</f>
        <v>1748.4060607199997</v>
      </c>
      <c r="E165" s="1275">
        <f>E163-E164</f>
        <v>624.81031316000099</v>
      </c>
      <c r="F165" s="1275">
        <f>F163-F164</f>
        <v>1397.8788252550562</v>
      </c>
      <c r="G165" s="1275">
        <f>E165-D165</f>
        <v>-1123.5957475599987</v>
      </c>
      <c r="H165" s="2035">
        <f>((E165-D165)/D165)*100</f>
        <v>-64.264004386789765</v>
      </c>
      <c r="I165" s="1275">
        <f>E165-C165</f>
        <v>-998.14247636999949</v>
      </c>
      <c r="J165" s="1275">
        <f>I165/C165*100</f>
        <v>-61.501633492312301</v>
      </c>
      <c r="K165" s="1275">
        <f>E165-F165</f>
        <v>-773.06851209505521</v>
      </c>
      <c r="L165" s="1275">
        <f>F165/E165*100</f>
        <v>223.72851340837076</v>
      </c>
    </row>
    <row r="166" spans="2:18" ht="12.75" customHeight="1">
      <c r="C166" s="1232">
        <f>C147+C160</f>
        <v>1017.2327795200002</v>
      </c>
      <c r="D166" s="1214">
        <f>D147+D160</f>
        <v>1727.2543295599999</v>
      </c>
      <c r="F166" s="1214">
        <f>F144+F158</f>
        <v>1200.3960662478696</v>
      </c>
    </row>
    <row r="168" spans="2:18" ht="12.75" customHeight="1">
      <c r="B168" s="3247" t="s">
        <v>3</v>
      </c>
      <c r="C168" s="3249" t="s">
        <v>281</v>
      </c>
      <c r="D168" s="3250"/>
      <c r="E168" s="3250"/>
      <c r="F168" s="3251"/>
      <c r="G168" s="3252" t="s">
        <v>989</v>
      </c>
      <c r="H168" s="3253"/>
      <c r="I168" s="3242" t="s">
        <v>920</v>
      </c>
      <c r="J168" s="3242"/>
      <c r="K168" s="3242" t="s">
        <v>990</v>
      </c>
      <c r="L168" s="3242"/>
      <c r="M168" s="3243" t="s">
        <v>358</v>
      </c>
      <c r="N168" s="3243"/>
      <c r="O168" s="3243"/>
      <c r="P168" s="3243"/>
      <c r="Q168" s="3243"/>
    </row>
    <row r="169" spans="2:18" ht="12.75" customHeight="1">
      <c r="B169" s="3248"/>
      <c r="C169" s="1217">
        <f>C137</f>
        <v>45291</v>
      </c>
      <c r="D169" s="1217">
        <f>D137</f>
        <v>45139</v>
      </c>
      <c r="E169" s="1217">
        <f>E137</f>
        <v>45505</v>
      </c>
      <c r="F169" s="1218" t="str">
        <f>F137</f>
        <v>Obj 2024</v>
      </c>
      <c r="G169" s="1218" t="s">
        <v>440</v>
      </c>
      <c r="H169" s="1218" t="s">
        <v>599</v>
      </c>
      <c r="I169" s="1218" t="s">
        <v>440</v>
      </c>
      <c r="J169" s="1218" t="s">
        <v>599</v>
      </c>
      <c r="K169" s="1218" t="s">
        <v>440</v>
      </c>
      <c r="L169" s="1218" t="s">
        <v>599</v>
      </c>
      <c r="M169" s="1217">
        <f>M137</f>
        <v>45291</v>
      </c>
      <c r="N169" s="1217">
        <f>N137</f>
        <v>45139</v>
      </c>
      <c r="O169" s="1217">
        <f>O137</f>
        <v>45505</v>
      </c>
      <c r="P169" s="1269" t="str">
        <f>P137</f>
        <v>écart mois</v>
      </c>
      <c r="Q169" s="1269" t="str">
        <f>Q137</f>
        <v>écart année</v>
      </c>
    </row>
    <row r="170" spans="2:18" ht="12.75" customHeight="1">
      <c r="B170" s="1223" t="s">
        <v>277</v>
      </c>
      <c r="C170" s="1221">
        <f>'Solde créances_DCM'!C164</f>
        <v>1850.7114404100003</v>
      </c>
      <c r="D170" s="1221">
        <f>'Solde créances_DCM'!D164</f>
        <v>2508.4341005600004</v>
      </c>
      <c r="E170" s="1221">
        <f>'Solde créances_DCM'!E164</f>
        <v>2863.9937023900002</v>
      </c>
      <c r="F170" s="1221">
        <f>'Solde créances_DCM'!F164</f>
        <v>1799.4834346001028</v>
      </c>
      <c r="G170" s="1221">
        <f>E170-D170</f>
        <v>355.55960182999979</v>
      </c>
      <c r="H170" s="1221">
        <f>((E170-D170)/D170)*100</f>
        <v>14.17456419327987</v>
      </c>
      <c r="I170" s="1221">
        <f t="shared" ref="I170:I195" si="35">E170-C170</f>
        <v>1013.2822619799999</v>
      </c>
      <c r="J170" s="1221">
        <f t="shared" ref="J170:J195" si="36">I170/C170*100</f>
        <v>54.750959001772905</v>
      </c>
      <c r="K170" s="1221">
        <f>E170-F170</f>
        <v>1064.5102677898974</v>
      </c>
      <c r="L170" s="1221">
        <f t="shared" ref="L170:L195" si="37">F170/E170*100</f>
        <v>62.831263668577044</v>
      </c>
      <c r="M170" s="1269">
        <f>'Solde créances_DCM'!K164</f>
        <v>142.15479245350966</v>
      </c>
      <c r="N170" s="1269">
        <f>'Solde créances_DCM'!L164</f>
        <v>216.51914122310092</v>
      </c>
      <c r="O170" s="1269">
        <f>'Solde créances_DCM'!M164</f>
        <v>173.17614822782022</v>
      </c>
      <c r="P170" s="1269">
        <f>O170-N170</f>
        <v>-43.342992995280696</v>
      </c>
      <c r="Q170" s="1269">
        <f>O170-M170</f>
        <v>31.021355774310564</v>
      </c>
      <c r="R170" s="1232">
        <f>F170+F172+F177+F192</f>
        <v>1843.8894434444746</v>
      </c>
    </row>
    <row r="171" spans="2:18" ht="12.75" customHeight="1">
      <c r="B171" s="1314" t="s">
        <v>602</v>
      </c>
      <c r="C171" s="1315">
        <f>'Solde créances_DCM'!C165</f>
        <v>1615.5716835499991</v>
      </c>
      <c r="D171" s="1315">
        <f>'Solde créances_DCM'!D165</f>
        <v>2262.8086117499997</v>
      </c>
      <c r="E171" s="1315">
        <f>'Solde créances_DCM'!E165</f>
        <v>2615.5532980600001</v>
      </c>
      <c r="F171" s="1315">
        <f>'Solde créances_DCM'!F165</f>
        <v>1570.8523859955028</v>
      </c>
      <c r="G171" s="1315">
        <f>'Solde créances_DCM'!G165</f>
        <v>352.74468631000036</v>
      </c>
      <c r="H171" s="1315">
        <f>'Solde créances_DCM'!H165</f>
        <v>15.588799003075934</v>
      </c>
      <c r="I171" s="1315">
        <f t="shared" si="35"/>
        <v>999.98161451000101</v>
      </c>
      <c r="J171" s="1315">
        <f t="shared" si="36"/>
        <v>61.896455891865934</v>
      </c>
      <c r="K171" s="1315">
        <f>'Solde créances_DCM'!I165</f>
        <v>1044.7009120644973</v>
      </c>
      <c r="L171" s="1315">
        <f t="shared" si="37"/>
        <v>60.058129465785704</v>
      </c>
      <c r="M171" s="1365">
        <f>'Solde créances_DCM'!K165</f>
        <v>109.62226984086729</v>
      </c>
      <c r="N171" s="1365">
        <f>'Solde créances_DCM'!L165</f>
        <v>143.09706513526322</v>
      </c>
      <c r="O171" s="1365">
        <f>'Solde créances_DCM'!M165</f>
        <v>157.61925063492012</v>
      </c>
      <c r="P171" s="1365">
        <f>'Solde créances_DCM'!N165</f>
        <v>14.522185499656899</v>
      </c>
      <c r="Q171" s="1365">
        <f>'Solde créances_DCM'!O165</f>
        <v>47.996980794052831</v>
      </c>
    </row>
    <row r="172" spans="2:18" ht="12.75" customHeight="1">
      <c r="B172" s="1223" t="s">
        <v>185</v>
      </c>
      <c r="C172" s="1221">
        <f>'Solde créances_DCM'!C171</f>
        <v>10.38730266</v>
      </c>
      <c r="D172" s="1221">
        <f>'Solde créances_DCM'!D171</f>
        <v>18.221117079999999</v>
      </c>
      <c r="E172" s="1221">
        <f>'Solde créances_DCM'!E171</f>
        <v>17.042999999999999</v>
      </c>
      <c r="F172" s="1221">
        <f>'Solde créances_DCM'!F171</f>
        <v>8.5647942404608628</v>
      </c>
      <c r="G172" s="1221">
        <f t="shared" ref="G172:G195" si="38">E172-D172</f>
        <v>-1.1781170799999998</v>
      </c>
      <c r="H172" s="1221">
        <f t="shared" ref="H172:H195" si="39">((E172-D172)/D172)*100</f>
        <v>-6.4656687887326827</v>
      </c>
      <c r="I172" s="1221">
        <f t="shared" si="35"/>
        <v>6.6556973399999997</v>
      </c>
      <c r="J172" s="1221">
        <f t="shared" si="36"/>
        <v>64.075319241732771</v>
      </c>
      <c r="K172" s="1221">
        <f t="shared" ref="K172:K195" si="40">E172-F172</f>
        <v>8.4782057595391365</v>
      </c>
      <c r="L172" s="1221">
        <f t="shared" si="37"/>
        <v>50.25402945761229</v>
      </c>
      <c r="M172" s="1269">
        <f>'Solde créances_DCM'!K171</f>
        <v>21.517498144895281</v>
      </c>
      <c r="N172" s="1269">
        <f>'Solde créances_DCM'!L171</f>
        <v>102.88262069992336</v>
      </c>
      <c r="O172" s="1269">
        <f>'Solde créances_DCM'!M171</f>
        <v>78.049086746500507</v>
      </c>
      <c r="P172" s="1269"/>
      <c r="Q172" s="1269"/>
    </row>
    <row r="173" spans="2:18" ht="12.75" customHeight="1">
      <c r="B173" s="2365" t="s">
        <v>1103</v>
      </c>
      <c r="C173" s="2367">
        <f>'Solde créances_DCM'!C172</f>
        <v>2.6587628900000002</v>
      </c>
      <c r="D173" s="2367">
        <f>'Solde créances_DCM'!D172</f>
        <v>0</v>
      </c>
      <c r="E173" s="2367">
        <f>'Solde créances_DCM'!E172</f>
        <v>0</v>
      </c>
      <c r="F173" s="2367">
        <f>'Solde créances_DCM'!F172</f>
        <v>0</v>
      </c>
      <c r="G173" s="1221">
        <f>E173-D173</f>
        <v>0</v>
      </c>
      <c r="H173" s="1221" t="e">
        <f>((E173-D173)/D173)*100</f>
        <v>#DIV/0!</v>
      </c>
      <c r="I173" s="1221">
        <f>E173-C173</f>
        <v>-2.6587628900000002</v>
      </c>
      <c r="J173" s="1221">
        <f>I173/C173*100</f>
        <v>-100</v>
      </c>
      <c r="K173" s="1221">
        <f>E173-F173</f>
        <v>0</v>
      </c>
      <c r="L173" s="1221" t="e">
        <f>F173/E173*100</f>
        <v>#DIV/0!</v>
      </c>
      <c r="M173" s="2366"/>
      <c r="N173" s="2366"/>
      <c r="O173" s="2366"/>
      <c r="P173" s="2366"/>
      <c r="Q173" s="2366"/>
    </row>
    <row r="174" spans="2:18" ht="12.75" customHeight="1">
      <c r="B174" s="2365" t="s">
        <v>1105</v>
      </c>
      <c r="C174" s="2367">
        <f>C172-C173</f>
        <v>7.7285397699999994</v>
      </c>
      <c r="D174" s="2367">
        <f>D172-D173</f>
        <v>18.221117079999999</v>
      </c>
      <c r="E174" s="2367">
        <f>E172-E173</f>
        <v>17.042999999999999</v>
      </c>
      <c r="F174" s="2367">
        <f>F172-F173</f>
        <v>8.5647942404608628</v>
      </c>
      <c r="G174" s="1221">
        <f>E174-D174</f>
        <v>-1.1781170799999998</v>
      </c>
      <c r="H174" s="1221">
        <f>((E174-D174)/D174)*100</f>
        <v>-6.4656687887326827</v>
      </c>
      <c r="I174" s="1221">
        <f>E174-C174</f>
        <v>9.3144602299999999</v>
      </c>
      <c r="J174" s="1221">
        <f>I174/C174*100</f>
        <v>120.5203118208189</v>
      </c>
      <c r="K174" s="1221">
        <f>E174-F174</f>
        <v>8.4782057595391365</v>
      </c>
      <c r="L174" s="1221">
        <f>F174/E174*100</f>
        <v>50.25402945761229</v>
      </c>
      <c r="M174" s="2366"/>
      <c r="N174" s="2366"/>
      <c r="O174" s="2366"/>
      <c r="P174" s="2366"/>
      <c r="Q174" s="2366"/>
    </row>
    <row r="175" spans="2:18" ht="12.75" customHeight="1">
      <c r="B175" s="1223" t="s">
        <v>624</v>
      </c>
      <c r="C175" s="1221">
        <f>'Solde créances_DCM'!C175</f>
        <v>363.79899999999998</v>
      </c>
      <c r="D175" s="1221">
        <f>'Solde créances_DCM'!D175</f>
        <v>353.13390029999999</v>
      </c>
      <c r="E175" s="1221">
        <f>'Solde créances_DCM'!E175</f>
        <v>580.23</v>
      </c>
      <c r="F175" s="1221">
        <f>'Solde créances_DCM'!F175</f>
        <v>114.78432306111898</v>
      </c>
      <c r="G175" s="1221">
        <f t="shared" si="38"/>
        <v>227.09609970000002</v>
      </c>
      <c r="H175" s="1221">
        <f t="shared" si="39"/>
        <v>64.308779051536462</v>
      </c>
      <c r="I175" s="1221">
        <f t="shared" si="35"/>
        <v>216.43100000000004</v>
      </c>
      <c r="J175" s="1221">
        <f t="shared" si="36"/>
        <v>59.491917240014416</v>
      </c>
      <c r="K175" s="1221">
        <f t="shared" si="40"/>
        <v>465.44567693888104</v>
      </c>
      <c r="L175" s="1221">
        <f t="shared" si="37"/>
        <v>19.782555721200037</v>
      </c>
      <c r="M175" s="1269">
        <f>'Solde créances_DCM'!K175</f>
        <v>122.74008625114861</v>
      </c>
      <c r="N175" s="1269">
        <f>'Solde créances_DCM'!L175</f>
        <v>126.2245097350133</v>
      </c>
      <c r="O175" s="1269">
        <f>'Solde créances_DCM'!M175</f>
        <v>156.98633015584554</v>
      </c>
      <c r="P175" s="1269"/>
      <c r="Q175" s="1269"/>
      <c r="R175" s="1232">
        <f>C179+C192</f>
        <v>1976.2093403000001</v>
      </c>
    </row>
    <row r="176" spans="2:18" ht="12.75" customHeight="1">
      <c r="B176" s="1224" t="s">
        <v>625</v>
      </c>
      <c r="C176" s="1225">
        <f>C170+C172+C175</f>
        <v>2224.8977430700002</v>
      </c>
      <c r="D176" s="1225">
        <f>D170+D172+D175</f>
        <v>2879.7891179400003</v>
      </c>
      <c r="E176" s="1225">
        <f>E170+E172+E175</f>
        <v>3461.2667023900003</v>
      </c>
      <c r="F176" s="1225">
        <f>F170+F172+F175</f>
        <v>1922.8325519016828</v>
      </c>
      <c r="G176" s="1225">
        <f t="shared" si="38"/>
        <v>581.47758444999999</v>
      </c>
      <c r="H176" s="1225">
        <f t="shared" si="39"/>
        <v>20.191672398079913</v>
      </c>
      <c r="I176" s="1225">
        <f t="shared" si="35"/>
        <v>1236.3689593200002</v>
      </c>
      <c r="J176" s="1225">
        <f t="shared" si="36"/>
        <v>55.569698120777922</v>
      </c>
      <c r="K176" s="1225">
        <f t="shared" si="40"/>
        <v>1538.4341504883175</v>
      </c>
      <c r="L176" s="1225">
        <f t="shared" si="37"/>
        <v>55.552857298571332</v>
      </c>
      <c r="M176" s="1226"/>
      <c r="N176" s="1226"/>
      <c r="O176" s="1226"/>
      <c r="P176" s="1226">
        <f>O176-N176</f>
        <v>0</v>
      </c>
      <c r="Q176" s="1226">
        <f>O176-M176</f>
        <v>0</v>
      </c>
    </row>
    <row r="177" spans="2:17" ht="12.75" customHeight="1">
      <c r="B177" s="1220" t="s">
        <v>636</v>
      </c>
      <c r="C177" s="1221">
        <f>'Solde créances_DCM'!C176</f>
        <v>100.11548152</v>
      </c>
      <c r="D177" s="1221">
        <f>'Solde créances_DCM'!D176</f>
        <v>166.14708077999998</v>
      </c>
      <c r="E177" s="1221">
        <f>'Solde créances_DCM'!E176</f>
        <v>162.91801486000003</v>
      </c>
      <c r="F177" s="1221">
        <f>'Solde créances_DCM'!F176</f>
        <v>31.588013639980229</v>
      </c>
      <c r="G177" s="1221">
        <f t="shared" si="38"/>
        <v>-3.2290659199999538</v>
      </c>
      <c r="H177" s="1221">
        <f t="shared" si="39"/>
        <v>-1.9434984381553178</v>
      </c>
      <c r="I177" s="1221">
        <f t="shared" si="35"/>
        <v>62.802533340000025</v>
      </c>
      <c r="J177" s="1221">
        <f t="shared" si="36"/>
        <v>62.730091676634444</v>
      </c>
      <c r="K177" s="1221">
        <f t="shared" si="40"/>
        <v>131.3300012200198</v>
      </c>
      <c r="L177" s="1221">
        <f t="shared" si="37"/>
        <v>19.388901630752549</v>
      </c>
      <c r="M177" s="1269">
        <f>'Solde créances_DCM'!K176</f>
        <v>31.477559952647617</v>
      </c>
      <c r="N177" s="1269">
        <f>'Solde créances_DCM'!L176</f>
        <v>59.387767069496356</v>
      </c>
      <c r="O177" s="1269">
        <f>'Solde créances_DCM'!M176</f>
        <v>53.697844577024959</v>
      </c>
      <c r="P177" s="1269"/>
      <c r="Q177" s="1269"/>
    </row>
    <row r="178" spans="2:17" ht="12.75" customHeight="1">
      <c r="B178" s="1220" t="s">
        <v>626</v>
      </c>
      <c r="C178" s="1221">
        <f>'Solde créances_DCM'!C177</f>
        <v>263.68351847999998</v>
      </c>
      <c r="D178" s="1221">
        <f>'Solde créances_DCM'!D177</f>
        <v>186.98681952000001</v>
      </c>
      <c r="E178" s="1221">
        <f>'Solde créances_DCM'!E177</f>
        <v>417.31198513999999</v>
      </c>
      <c r="F178" s="1221">
        <f>'Solde créances_DCM'!F177</f>
        <v>83.19630942113875</v>
      </c>
      <c r="G178" s="1221">
        <f t="shared" si="38"/>
        <v>230.32516561999998</v>
      </c>
      <c r="H178" s="1221">
        <f t="shared" si="39"/>
        <v>123.17721976942045</v>
      </c>
      <c r="I178" s="1221">
        <f t="shared" si="35"/>
        <v>153.62846666000002</v>
      </c>
      <c r="J178" s="1221">
        <f t="shared" si="36"/>
        <v>58.262445656667964</v>
      </c>
      <c r="K178" s="1221">
        <f t="shared" si="40"/>
        <v>334.11567571886121</v>
      </c>
      <c r="L178" s="1221">
        <f t="shared" si="37"/>
        <v>19.936237727087569</v>
      </c>
      <c r="M178" s="1269"/>
      <c r="N178" s="1269"/>
      <c r="O178" s="1269"/>
      <c r="P178" s="1269"/>
      <c r="Q178" s="1269"/>
    </row>
    <row r="179" spans="2:17" ht="12.75" customHeight="1">
      <c r="B179" s="1224" t="s">
        <v>620</v>
      </c>
      <c r="C179" s="1225">
        <f>C176-C178</f>
        <v>1961.2142245900002</v>
      </c>
      <c r="D179" s="1225">
        <f>D176-D178</f>
        <v>2692.8022984200002</v>
      </c>
      <c r="E179" s="1225">
        <f>E176-E178</f>
        <v>3043.9547172500002</v>
      </c>
      <c r="F179" s="1225">
        <f>F176-F178</f>
        <v>1839.6362424805441</v>
      </c>
      <c r="G179" s="1225">
        <f t="shared" si="38"/>
        <v>351.15241882999999</v>
      </c>
      <c r="H179" s="1225">
        <f t="shared" si="39"/>
        <v>13.040408463556288</v>
      </c>
      <c r="I179" s="1225">
        <f t="shared" si="35"/>
        <v>1082.74049266</v>
      </c>
      <c r="J179" s="1225">
        <f t="shared" si="36"/>
        <v>55.207660595381988</v>
      </c>
      <c r="K179" s="1225">
        <f t="shared" si="40"/>
        <v>1204.3184747694561</v>
      </c>
      <c r="L179" s="1225">
        <f t="shared" si="37"/>
        <v>60.435729613695656</v>
      </c>
      <c r="M179" s="1226"/>
      <c r="N179" s="1226"/>
      <c r="O179" s="1226"/>
      <c r="P179" s="1226">
        <f>O179-N179</f>
        <v>0</v>
      </c>
      <c r="Q179" s="1226">
        <f>O179-M179</f>
        <v>0</v>
      </c>
    </row>
    <row r="180" spans="2:17" ht="12.75" customHeight="1">
      <c r="B180" s="1223" t="s">
        <v>234</v>
      </c>
      <c r="C180" s="1221">
        <f>'Solde créances_DCM'!C168</f>
        <v>314.637</v>
      </c>
      <c r="D180" s="1221">
        <f>'Solde créances_DCM'!D168</f>
        <v>363.14033562999998</v>
      </c>
      <c r="E180" s="1221">
        <f>'Solde créances_DCM'!E168</f>
        <v>567.69100000000003</v>
      </c>
      <c r="F180" s="1221">
        <f>'Solde créances_DCM'!F168</f>
        <v>162.4436838080577</v>
      </c>
      <c r="G180" s="1221">
        <f t="shared" si="38"/>
        <v>204.55066437000005</v>
      </c>
      <c r="H180" s="1221">
        <f t="shared" si="39"/>
        <v>56.328268798653824</v>
      </c>
      <c r="I180" s="1221">
        <f t="shared" si="35"/>
        <v>253.05400000000003</v>
      </c>
      <c r="J180" s="1221">
        <f t="shared" si="36"/>
        <v>80.427286047095549</v>
      </c>
      <c r="K180" s="1221">
        <f t="shared" si="40"/>
        <v>405.24731619194233</v>
      </c>
      <c r="L180" s="1221">
        <f t="shared" si="37"/>
        <v>28.614806965066858</v>
      </c>
      <c r="M180" s="1269">
        <f>'Solde créances_DCM'!K168</f>
        <v>249.17146172750242</v>
      </c>
      <c r="N180" s="1269">
        <f>'Solde créances_DCM'!L168</f>
        <v>316.07094007579508</v>
      </c>
      <c r="O180" s="1269">
        <f>'Solde créances_DCM'!M168</f>
        <v>466.7662038410777</v>
      </c>
      <c r="P180" s="1269">
        <f>O180-N180</f>
        <v>150.69526376528262</v>
      </c>
      <c r="Q180" s="1269">
        <f>O180-M180</f>
        <v>217.59474211357528</v>
      </c>
    </row>
    <row r="181" spans="2:17" ht="12.75" customHeight="1">
      <c r="B181" s="2365" t="s">
        <v>1101</v>
      </c>
      <c r="C181" s="2367">
        <f>'Solde créances_DCM'!C169</f>
        <v>0</v>
      </c>
      <c r="D181" s="2367">
        <f>'Solde créances_DCM'!D169</f>
        <v>2.6587628900000002</v>
      </c>
      <c r="E181" s="2367">
        <f>'Solde créances_DCM'!E169</f>
        <v>5.0248015300000004</v>
      </c>
      <c r="F181" s="2367">
        <f>'Solde créances_DCM'!F169</f>
        <v>0</v>
      </c>
      <c r="G181" s="1221">
        <f>E181-D181</f>
        <v>2.3660386400000002</v>
      </c>
      <c r="H181" s="1221">
        <f>((E181-D181)/D181)*100</f>
        <v>88.990208525138542</v>
      </c>
      <c r="I181" s="1221">
        <f>E181-C181</f>
        <v>5.0248015300000004</v>
      </c>
      <c r="J181" s="1221" t="e">
        <f>I181/C181*100</f>
        <v>#DIV/0!</v>
      </c>
      <c r="K181" s="1221">
        <f>E181-F181</f>
        <v>5.0248015300000004</v>
      </c>
      <c r="L181" s="1221">
        <f>F181/E181*100</f>
        <v>0</v>
      </c>
      <c r="M181" s="2366"/>
      <c r="N181" s="2366"/>
      <c r="O181" s="2366"/>
      <c r="P181" s="2366"/>
      <c r="Q181" s="2366"/>
    </row>
    <row r="182" spans="2:17" ht="12.75" customHeight="1">
      <c r="B182" s="2365" t="s">
        <v>1106</v>
      </c>
      <c r="C182" s="2367">
        <f>C180-C181</f>
        <v>314.637</v>
      </c>
      <c r="D182" s="2367">
        <f>D180-D181</f>
        <v>360.48157273999999</v>
      </c>
      <c r="E182" s="2367">
        <f>E180-E181</f>
        <v>562.66619847000004</v>
      </c>
      <c r="F182" s="2367">
        <f>F180-F181</f>
        <v>162.4436838080577</v>
      </c>
      <c r="G182" s="1221">
        <f>E182-D182</f>
        <v>202.18462573000005</v>
      </c>
      <c r="H182" s="1221">
        <f>((E182-D182)/D182)*100</f>
        <v>56.087367848849027</v>
      </c>
      <c r="I182" s="1221">
        <f>E182-C182</f>
        <v>248.02919847000004</v>
      </c>
      <c r="J182" s="1221">
        <f>I182/C182*100</f>
        <v>78.830270588010947</v>
      </c>
      <c r="K182" s="1221">
        <f>E182-F182</f>
        <v>400.22251466194234</v>
      </c>
      <c r="L182" s="1221">
        <f>F182/E182*100</f>
        <v>28.870346974773675</v>
      </c>
      <c r="M182" s="2366"/>
      <c r="N182" s="2366"/>
      <c r="O182" s="2366"/>
      <c r="P182" s="2366"/>
      <c r="Q182" s="2366"/>
    </row>
    <row r="183" spans="2:17" ht="12.75" customHeight="1">
      <c r="B183" s="1223" t="s">
        <v>187</v>
      </c>
      <c r="C183" s="1221">
        <f>'Solde créances_DCM'!C178</f>
        <v>295.21300000000002</v>
      </c>
      <c r="D183" s="1221">
        <f>'Solde créances_DCM'!D178</f>
        <v>403.90427109000001</v>
      </c>
      <c r="E183" s="1221">
        <f>'Solde créances_DCM'!E178</f>
        <v>466.99306151000002</v>
      </c>
      <c r="F183" s="1221">
        <f>'Solde créances_DCM'!F178</f>
        <v>191.43908547539397</v>
      </c>
      <c r="G183" s="1221">
        <f t="shared" si="38"/>
        <v>63.088790420000009</v>
      </c>
      <c r="H183" s="1221">
        <f t="shared" si="39"/>
        <v>15.619738372596274</v>
      </c>
      <c r="I183" s="1221">
        <f t="shared" si="35"/>
        <v>171.78006151</v>
      </c>
      <c r="J183" s="1221">
        <f t="shared" si="36"/>
        <v>58.188515244924844</v>
      </c>
      <c r="K183" s="1221">
        <f t="shared" si="40"/>
        <v>275.55397603460608</v>
      </c>
      <c r="L183" s="1221">
        <f t="shared" si="37"/>
        <v>40.993989258937752</v>
      </c>
      <c r="M183" s="1269">
        <f>'Solde créances_DCM'!K178</f>
        <v>213.41145345350688</v>
      </c>
      <c r="N183" s="1269">
        <f>'Solde créances_DCM'!L178</f>
        <v>308.98451631720991</v>
      </c>
      <c r="O183" s="1269">
        <f>'Solde créances_DCM'!M178</f>
        <v>310.43349335372733</v>
      </c>
      <c r="P183" s="1269"/>
      <c r="Q183" s="1269"/>
    </row>
    <row r="184" spans="2:17" ht="12.75" customHeight="1">
      <c r="B184" s="1224" t="s">
        <v>621</v>
      </c>
      <c r="C184" s="1225">
        <f>C180+C183</f>
        <v>609.85</v>
      </c>
      <c r="D184" s="1225">
        <f>D180+D183</f>
        <v>767.04460672000005</v>
      </c>
      <c r="E184" s="1225">
        <f>E180+E183</f>
        <v>1034.68406151</v>
      </c>
      <c r="F184" s="1225">
        <f>SUM(F180:F183)</f>
        <v>516.32645309150939</v>
      </c>
      <c r="G184" s="1225">
        <f t="shared" si="38"/>
        <v>267.63945478999995</v>
      </c>
      <c r="H184" s="1225">
        <f t="shared" si="39"/>
        <v>34.892293413608257</v>
      </c>
      <c r="I184" s="1225">
        <f t="shared" si="35"/>
        <v>424.83406150999997</v>
      </c>
      <c r="J184" s="1225">
        <f t="shared" si="36"/>
        <v>69.662058130687868</v>
      </c>
      <c r="K184" s="1225">
        <f t="shared" si="40"/>
        <v>518.3576084184906</v>
      </c>
      <c r="L184" s="1225">
        <f t="shared" si="37"/>
        <v>49.901846592474953</v>
      </c>
      <c r="M184" s="1226"/>
      <c r="N184" s="1226"/>
      <c r="O184" s="1226"/>
      <c r="P184" s="1226"/>
      <c r="Q184" s="1226"/>
    </row>
    <row r="185" spans="2:17" ht="12.75" customHeight="1">
      <c r="B185" s="1220" t="s">
        <v>917</v>
      </c>
      <c r="C185" s="1221">
        <f>C183-C186</f>
        <v>295.21300000000002</v>
      </c>
      <c r="D185" s="1221">
        <f>D183-D186</f>
        <v>403.90427109000001</v>
      </c>
      <c r="E185" s="1221">
        <f>E183-E186</f>
        <v>466.99306151000002</v>
      </c>
      <c r="F185" s="1221"/>
      <c r="G185" s="1221">
        <f t="shared" si="38"/>
        <v>63.088790420000009</v>
      </c>
      <c r="H185" s="1221">
        <f t="shared" si="39"/>
        <v>15.619738372596274</v>
      </c>
      <c r="I185" s="1221">
        <f t="shared" si="35"/>
        <v>171.78006151</v>
      </c>
      <c r="J185" s="1221">
        <f t="shared" si="36"/>
        <v>58.188515244924844</v>
      </c>
      <c r="K185" s="1221">
        <f t="shared" si="40"/>
        <v>466.99306151000002</v>
      </c>
      <c r="L185" s="1221">
        <f t="shared" si="37"/>
        <v>0</v>
      </c>
      <c r="M185" s="1269"/>
      <c r="N185" s="1269"/>
      <c r="O185" s="1269"/>
      <c r="P185" s="1269"/>
      <c r="Q185" s="1269"/>
    </row>
    <row r="186" spans="2:17" ht="12.75" customHeight="1">
      <c r="B186" s="1220" t="s">
        <v>918</v>
      </c>
      <c r="C186" s="1221">
        <f>'Solde créances_DCM'!C180</f>
        <v>0</v>
      </c>
      <c r="D186" s="1221">
        <f>'Solde créances_DCM'!D180</f>
        <v>0</v>
      </c>
      <c r="E186" s="1221">
        <f>'Solde créances_DCM'!E180</f>
        <v>0</v>
      </c>
      <c r="F186" s="1221"/>
      <c r="G186" s="1221">
        <f t="shared" si="38"/>
        <v>0</v>
      </c>
      <c r="H186" s="1221" t="e">
        <f t="shared" si="39"/>
        <v>#DIV/0!</v>
      </c>
      <c r="I186" s="1221">
        <f t="shared" si="35"/>
        <v>0</v>
      </c>
      <c r="J186" s="1221" t="e">
        <f t="shared" si="36"/>
        <v>#DIV/0!</v>
      </c>
      <c r="K186" s="1221">
        <f t="shared" si="40"/>
        <v>0</v>
      </c>
      <c r="L186" s="1221" t="e">
        <f t="shared" si="37"/>
        <v>#DIV/0!</v>
      </c>
      <c r="M186" s="1269"/>
      <c r="N186" s="1269"/>
      <c r="O186" s="1269"/>
      <c r="P186" s="1269"/>
      <c r="Q186" s="1269"/>
    </row>
    <row r="187" spans="2:17" ht="12.75" customHeight="1">
      <c r="B187" s="1228" t="s">
        <v>635</v>
      </c>
      <c r="C187" s="1229">
        <f>C176+C184</f>
        <v>2834.7477430700001</v>
      </c>
      <c r="D187" s="1229">
        <f>D176+D184</f>
        <v>3646.8337246600004</v>
      </c>
      <c r="E187" s="1229">
        <f>E176+E184</f>
        <v>4495.9507639000003</v>
      </c>
      <c r="F187" s="1229">
        <f>F176+F184</f>
        <v>2439.159004993192</v>
      </c>
      <c r="G187" s="1229">
        <f t="shared" si="38"/>
        <v>849.11703923999994</v>
      </c>
      <c r="H187" s="1229">
        <f t="shared" si="39"/>
        <v>23.283678482466716</v>
      </c>
      <c r="I187" s="1229">
        <f t="shared" si="35"/>
        <v>1661.2030208300002</v>
      </c>
      <c r="J187" s="1229">
        <f t="shared" si="36"/>
        <v>58.601440812187967</v>
      </c>
      <c r="K187" s="1229">
        <f t="shared" si="40"/>
        <v>2056.7917589068084</v>
      </c>
      <c r="L187" s="1229">
        <f t="shared" si="37"/>
        <v>54.252351350870889</v>
      </c>
      <c r="M187" s="1271">
        <f>'Solde créances_DCM'!K181</f>
        <v>148.5714386186657</v>
      </c>
      <c r="N187" s="1271">
        <f>'Solde créances_DCM'!L181</f>
        <v>214.19391170977471</v>
      </c>
      <c r="O187" s="1271">
        <f>'Solde créances_DCM'!M181</f>
        <v>194.22707062629726</v>
      </c>
      <c r="P187" s="1271">
        <f>O187-N187</f>
        <v>-19.966841083477448</v>
      </c>
      <c r="Q187" s="1271">
        <f>O187-M187</f>
        <v>45.655632007631567</v>
      </c>
    </row>
    <row r="188" spans="2:17" ht="12.75" customHeight="1">
      <c r="B188" s="1228" t="s">
        <v>622</v>
      </c>
      <c r="C188" s="1229">
        <f>C187-(C178+C186)</f>
        <v>2571.0642245899999</v>
      </c>
      <c r="D188" s="1229">
        <f>D187-(D178+D186)</f>
        <v>3459.8469051400002</v>
      </c>
      <c r="E188" s="1229">
        <f>E187-(E178+E186)</f>
        <v>4078.6387787600002</v>
      </c>
      <c r="F188" s="1229">
        <f>F187-(F178+F186)</f>
        <v>2355.9626955720532</v>
      </c>
      <c r="G188" s="1229">
        <f t="shared" si="38"/>
        <v>618.79187361999993</v>
      </c>
      <c r="H188" s="1229">
        <f t="shared" si="39"/>
        <v>17.884949553713302</v>
      </c>
      <c r="I188" s="1229">
        <f t="shared" si="35"/>
        <v>1507.5745541700003</v>
      </c>
      <c r="J188" s="1229">
        <f t="shared" si="36"/>
        <v>58.636207518713725</v>
      </c>
      <c r="K188" s="1229">
        <f t="shared" si="40"/>
        <v>1722.6760831879469</v>
      </c>
      <c r="L188" s="1229">
        <f t="shared" si="37"/>
        <v>57.763455490126049</v>
      </c>
      <c r="M188" s="1271"/>
      <c r="N188" s="1271"/>
      <c r="O188" s="1271"/>
      <c r="P188" s="1271"/>
      <c r="Q188" s="1271"/>
    </row>
    <row r="189" spans="2:17" ht="12.75" customHeight="1">
      <c r="B189" s="1224" t="s">
        <v>623</v>
      </c>
      <c r="C189" s="1225">
        <f>'Solde créances_DCM'!C182</f>
        <v>2128.9705592599998</v>
      </c>
      <c r="D189" s="1225">
        <f>'Solde créances_DCM'!D182</f>
        <v>1231.5115382160002</v>
      </c>
      <c r="E189" s="1225">
        <f>'Solde créances_DCM'!E182</f>
        <v>2159.8268183199984</v>
      </c>
      <c r="F189" s="1225">
        <f>'Solde créances_DCM'!F182</f>
        <v>124.87567537845929</v>
      </c>
      <c r="G189" s="1225">
        <f t="shared" si="38"/>
        <v>928.31528010399825</v>
      </c>
      <c r="H189" s="1225">
        <f t="shared" si="39"/>
        <v>75.380152868789196</v>
      </c>
      <c r="I189" s="1225">
        <f t="shared" si="35"/>
        <v>30.856259059998592</v>
      </c>
      <c r="J189" s="1225">
        <f t="shared" si="36"/>
        <v>1.4493511394879877</v>
      </c>
      <c r="K189" s="1225">
        <f t="shared" si="40"/>
        <v>2034.951142941539</v>
      </c>
      <c r="L189" s="1225">
        <f t="shared" si="37"/>
        <v>5.7817448287632942</v>
      </c>
      <c r="M189" s="1227"/>
      <c r="N189" s="1227"/>
      <c r="O189" s="1227"/>
      <c r="P189" s="1227"/>
      <c r="Q189" s="1227"/>
    </row>
    <row r="190" spans="2:17" ht="12.75" customHeight="1">
      <c r="B190" s="1224" t="s">
        <v>627</v>
      </c>
      <c r="C190" s="1225">
        <f>'Solde créances_DCM'!C186</f>
        <v>14.99511571</v>
      </c>
      <c r="D190" s="1225">
        <f>'Solde créances_DCM'!D186</f>
        <v>13.255698430000001</v>
      </c>
      <c r="E190" s="1225">
        <f>'Solde créances_DCM'!E186</f>
        <v>18.47395027</v>
      </c>
      <c r="F190" s="1225">
        <f>'Solde créances_DCM'!F186</f>
        <v>4.2532009639304835</v>
      </c>
      <c r="G190" s="1225">
        <f t="shared" si="38"/>
        <v>5.2182518399999989</v>
      </c>
      <c r="H190" s="1225">
        <f t="shared" si="39"/>
        <v>39.366102567558173</v>
      </c>
      <c r="I190" s="1225">
        <f t="shared" si="35"/>
        <v>3.4788345599999992</v>
      </c>
      <c r="J190" s="1225">
        <f t="shared" si="36"/>
        <v>23.199784698426974</v>
      </c>
      <c r="K190" s="1225">
        <f t="shared" si="40"/>
        <v>14.220749306069516</v>
      </c>
      <c r="L190" s="1225">
        <f t="shared" si="37"/>
        <v>23.022693586207666</v>
      </c>
      <c r="M190" s="1219">
        <f>'Solde créances_DCM'!K186</f>
        <v>224.29682274785327</v>
      </c>
      <c r="N190" s="1219">
        <f>'Solde créances_DCM'!L186</f>
        <v>263.82471025159464</v>
      </c>
      <c r="O190" s="1219">
        <f>'Solde créances_DCM'!M186</f>
        <v>263.82471025159464</v>
      </c>
      <c r="P190" s="1219">
        <f>O190-N190</f>
        <v>0</v>
      </c>
      <c r="Q190" s="1219">
        <f>O190-M190</f>
        <v>39.527887503741368</v>
      </c>
    </row>
    <row r="191" spans="2:17" ht="12.75" customHeight="1">
      <c r="B191" s="1220" t="s">
        <v>628</v>
      </c>
      <c r="C191" s="1222">
        <f>'calcul-DCC-TX-Encais'!BC8</f>
        <v>0</v>
      </c>
      <c r="D191" s="1222">
        <f>'calcul-DCC-TX-Encais'!$Q$24</f>
        <v>0</v>
      </c>
      <c r="E191" s="1222">
        <f>'Feuil-saisie'!C132/1000</f>
        <v>0</v>
      </c>
      <c r="F191" s="1222"/>
      <c r="G191" s="1222">
        <f t="shared" si="38"/>
        <v>0</v>
      </c>
      <c r="H191" s="1222" t="e">
        <f t="shared" si="39"/>
        <v>#DIV/0!</v>
      </c>
      <c r="I191" s="1222">
        <f t="shared" si="35"/>
        <v>0</v>
      </c>
      <c r="J191" s="1222" t="e">
        <f t="shared" si="36"/>
        <v>#DIV/0!</v>
      </c>
      <c r="K191" s="1222">
        <f t="shared" si="40"/>
        <v>0</v>
      </c>
      <c r="L191" s="1222" t="e">
        <f t="shared" si="37"/>
        <v>#DIV/0!</v>
      </c>
      <c r="M191" s="1269"/>
      <c r="N191" s="1269"/>
      <c r="O191" s="1269"/>
      <c r="P191" s="1269"/>
      <c r="Q191" s="1269"/>
    </row>
    <row r="192" spans="2:17" ht="12.75" customHeight="1">
      <c r="B192" s="1224" t="s">
        <v>629</v>
      </c>
      <c r="C192" s="1225">
        <f>C190-C191</f>
        <v>14.99511571</v>
      </c>
      <c r="D192" s="1225">
        <f>D190-D191</f>
        <v>13.255698430000001</v>
      </c>
      <c r="E192" s="1225">
        <f>E190-E191</f>
        <v>18.47395027</v>
      </c>
      <c r="F192" s="1225">
        <f>F190-F191</f>
        <v>4.2532009639304835</v>
      </c>
      <c r="G192" s="1225">
        <f t="shared" si="38"/>
        <v>5.2182518399999989</v>
      </c>
      <c r="H192" s="1225">
        <f t="shared" si="39"/>
        <v>39.366102567558173</v>
      </c>
      <c r="I192" s="1225">
        <f t="shared" si="35"/>
        <v>3.4788345599999992</v>
      </c>
      <c r="J192" s="1225">
        <f t="shared" si="36"/>
        <v>23.199784698426974</v>
      </c>
      <c r="K192" s="1225">
        <f t="shared" si="40"/>
        <v>14.220749306069516</v>
      </c>
      <c r="L192" s="1225">
        <f t="shared" si="37"/>
        <v>23.022693586207666</v>
      </c>
      <c r="M192" s="1219"/>
      <c r="N192" s="1219"/>
      <c r="O192" s="1219"/>
      <c r="P192" s="1219">
        <f>O192-N192</f>
        <v>0</v>
      </c>
      <c r="Q192" s="1219">
        <f>O192-M192</f>
        <v>0</v>
      </c>
    </row>
    <row r="193" spans="2:17" ht="12.75" customHeight="1">
      <c r="B193" s="1230" t="s">
        <v>632</v>
      </c>
      <c r="C193" s="1231">
        <f>C187+C189+C190</f>
        <v>4978.7134180400008</v>
      </c>
      <c r="D193" s="1231">
        <f>D187+D189+D190</f>
        <v>4891.6009613060005</v>
      </c>
      <c r="E193" s="1231">
        <f>E187+E189+E190</f>
        <v>6674.2515324899987</v>
      </c>
      <c r="F193" s="1231">
        <f>F187+F189+F190</f>
        <v>2568.2878813355815</v>
      </c>
      <c r="G193" s="1231">
        <f t="shared" si="38"/>
        <v>1782.6505711839982</v>
      </c>
      <c r="H193" s="1231">
        <f t="shared" si="39"/>
        <v>36.443090621767546</v>
      </c>
      <c r="I193" s="1275">
        <f t="shared" si="35"/>
        <v>1695.5381144499979</v>
      </c>
      <c r="J193" s="1275">
        <f t="shared" si="36"/>
        <v>34.055748384840562</v>
      </c>
      <c r="K193" s="1231">
        <f t="shared" si="40"/>
        <v>4105.9636511544177</v>
      </c>
      <c r="L193" s="1231">
        <f t="shared" si="37"/>
        <v>38.480537762672789</v>
      </c>
      <c r="M193" s="1269"/>
      <c r="N193" s="1269"/>
      <c r="O193" s="1269"/>
      <c r="P193" s="1269"/>
      <c r="Q193" s="1269"/>
    </row>
    <row r="194" spans="2:17" ht="12.75" customHeight="1">
      <c r="B194" s="1220" t="s">
        <v>638</v>
      </c>
      <c r="C194" s="1222">
        <f>C173+C178+C186+C181+C191</f>
        <v>266.34228136999997</v>
      </c>
      <c r="D194" s="1222">
        <f>D173+D178+D186+D181+D191</f>
        <v>189.64558241</v>
      </c>
      <c r="E194" s="1222">
        <f>E173+E178+E186+E181+E191</f>
        <v>422.33678666999998</v>
      </c>
      <c r="F194" s="1222">
        <f>F173+F178+F186+F181+F191</f>
        <v>83.19630942113875</v>
      </c>
      <c r="G194" s="1222">
        <f t="shared" si="38"/>
        <v>232.69120425999998</v>
      </c>
      <c r="H194" s="1222">
        <f t="shared" si="39"/>
        <v>122.69793016160982</v>
      </c>
      <c r="I194" s="1222">
        <f t="shared" si="35"/>
        <v>155.99450530000001</v>
      </c>
      <c r="J194" s="1222">
        <f t="shared" si="36"/>
        <v>58.569185672512148</v>
      </c>
      <c r="K194" s="1222">
        <f t="shared" si="40"/>
        <v>339.1404772488612</v>
      </c>
      <c r="L194" s="1222">
        <f t="shared" si="37"/>
        <v>19.699043996881475</v>
      </c>
      <c r="M194" s="1269"/>
      <c r="N194" s="1269"/>
      <c r="O194" s="1269"/>
      <c r="P194" s="1269"/>
      <c r="Q194" s="1269"/>
    </row>
    <row r="195" spans="2:17" ht="12.75" customHeight="1">
      <c r="B195" s="1230" t="s">
        <v>633</v>
      </c>
      <c r="C195" s="1231">
        <f>C193-C194</f>
        <v>4712.3711366700009</v>
      </c>
      <c r="D195" s="1231">
        <f>D193-D194</f>
        <v>4701.9553788960002</v>
      </c>
      <c r="E195" s="1231">
        <f>E193-E194</f>
        <v>6251.9147458199986</v>
      </c>
      <c r="F195" s="1231">
        <f>F193-F194</f>
        <v>2485.0915719144427</v>
      </c>
      <c r="G195" s="1231">
        <f t="shared" si="38"/>
        <v>1549.9593669239985</v>
      </c>
      <c r="H195" s="1231">
        <f t="shared" si="39"/>
        <v>32.964144531884578</v>
      </c>
      <c r="I195" s="1275">
        <f t="shared" si="35"/>
        <v>1539.5436091499978</v>
      </c>
      <c r="J195" s="1275">
        <f t="shared" si="36"/>
        <v>32.670253774576786</v>
      </c>
      <c r="K195" s="1231">
        <f t="shared" si="40"/>
        <v>3766.8231739055559</v>
      </c>
      <c r="L195" s="1231">
        <f t="shared" si="37"/>
        <v>39.749287585470732</v>
      </c>
      <c r="M195" s="1269"/>
      <c r="N195" s="1269"/>
      <c r="O195" s="1269"/>
      <c r="P195" s="1269"/>
      <c r="Q195" s="1269"/>
    </row>
    <row r="196" spans="2:17" ht="12.75" customHeight="1">
      <c r="B196" s="1220" t="s">
        <v>999</v>
      </c>
      <c r="C196" s="1222">
        <v>0</v>
      </c>
      <c r="D196" s="1222">
        <f>'Sans ADE APC DSA'!$E$137</f>
        <v>1419.3360273550002</v>
      </c>
      <c r="E196" s="1222">
        <f>'Sans ADE APC DSA'!$F$137</f>
        <v>3615.5858732100014</v>
      </c>
      <c r="F196" s="1222"/>
      <c r="G196" s="1222"/>
      <c r="H196" s="1222"/>
      <c r="I196" s="1222"/>
      <c r="J196" s="1222"/>
      <c r="K196" s="1222"/>
      <c r="L196" s="1222"/>
    </row>
    <row r="197" spans="2:17" ht="12.75" customHeight="1">
      <c r="B197" s="2093" t="s">
        <v>1000</v>
      </c>
      <c r="C197" s="1275">
        <f>C195-C196</f>
        <v>4712.3711366700009</v>
      </c>
      <c r="D197" s="1275">
        <f>D195-D196</f>
        <v>3282.619351541</v>
      </c>
      <c r="E197" s="1275">
        <f>E195-E196</f>
        <v>2636.3288726099972</v>
      </c>
      <c r="F197" s="1275">
        <f>F195-F196</f>
        <v>2485.0915719144427</v>
      </c>
      <c r="G197" s="1275">
        <f>E197-D197</f>
        <v>-646.29047893100278</v>
      </c>
      <c r="H197" s="2035">
        <f>((E197-D197)/D197)*100</f>
        <v>-19.688255314391139</v>
      </c>
      <c r="I197" s="1275">
        <f>E197-C197</f>
        <v>-2076.0422640600036</v>
      </c>
      <c r="J197" s="1275">
        <f>I197/C197*100</f>
        <v>-44.055151936250923</v>
      </c>
      <c r="K197" s="1275">
        <f>E197-F197</f>
        <v>151.2373006955545</v>
      </c>
      <c r="L197" s="1275">
        <f>F197/E197*100</f>
        <v>94.263337087158334</v>
      </c>
    </row>
    <row r="198" spans="2:17" ht="12.75" customHeight="1">
      <c r="C198" s="1232">
        <f>C179+C192</f>
        <v>1976.2093403000001</v>
      </c>
      <c r="D198" s="1214">
        <f>D179+D192</f>
        <v>2706.0579968500001</v>
      </c>
      <c r="F198" s="1214">
        <f>F176+F190</f>
        <v>1927.0857528656134</v>
      </c>
    </row>
    <row r="199" spans="2:17" ht="12.75" customHeight="1">
      <c r="D199" s="1214">
        <f>D190+D179</f>
        <v>2706.0579968500001</v>
      </c>
      <c r="E199" s="1232">
        <f>E190+E179</f>
        <v>3062.4286675200001</v>
      </c>
    </row>
    <row r="200" spans="2:17" ht="12.75" customHeight="1">
      <c r="B200" s="3247" t="s">
        <v>397</v>
      </c>
      <c r="C200" s="3249" t="s">
        <v>281</v>
      </c>
      <c r="D200" s="3250"/>
      <c r="E200" s="3250"/>
      <c r="F200" s="3251"/>
      <c r="G200" s="3252" t="s">
        <v>989</v>
      </c>
      <c r="H200" s="3253"/>
      <c r="I200" s="3242" t="s">
        <v>920</v>
      </c>
      <c r="J200" s="3242"/>
      <c r="K200" s="3242" t="s">
        <v>990</v>
      </c>
      <c r="L200" s="3242"/>
      <c r="M200" s="3243" t="s">
        <v>358</v>
      </c>
      <c r="N200" s="3243"/>
      <c r="O200" s="3243"/>
      <c r="P200" s="3243"/>
      <c r="Q200" s="3243"/>
    </row>
    <row r="201" spans="2:17" ht="12.75" customHeight="1">
      <c r="B201" s="3248"/>
      <c r="C201" s="1217">
        <f>C169</f>
        <v>45291</v>
      </c>
      <c r="D201" s="1217">
        <f>D169</f>
        <v>45139</v>
      </c>
      <c r="E201" s="1217">
        <f>E169</f>
        <v>45505</v>
      </c>
      <c r="F201" s="1218" t="str">
        <f>F169</f>
        <v>Obj 2024</v>
      </c>
      <c r="G201" s="1218" t="s">
        <v>440</v>
      </c>
      <c r="H201" s="1218" t="s">
        <v>599</v>
      </c>
      <c r="I201" s="1218" t="s">
        <v>440</v>
      </c>
      <c r="J201" s="1218" t="s">
        <v>599</v>
      </c>
      <c r="K201" s="1218" t="s">
        <v>440</v>
      </c>
      <c r="L201" s="1218" t="s">
        <v>599</v>
      </c>
      <c r="M201" s="1217">
        <f>M169</f>
        <v>45291</v>
      </c>
      <c r="N201" s="1217">
        <f>N169</f>
        <v>45139</v>
      </c>
      <c r="O201" s="1217">
        <f>O169</f>
        <v>45505</v>
      </c>
      <c r="P201" s="1269" t="str">
        <f>P169</f>
        <v>écart mois</v>
      </c>
      <c r="Q201" s="1269" t="str">
        <f>Q169</f>
        <v>écart année</v>
      </c>
    </row>
    <row r="202" spans="2:17" ht="12.75" customHeight="1">
      <c r="B202" s="1223" t="s">
        <v>277</v>
      </c>
      <c r="C202" s="1221">
        <f>'Solde créances_DCM'!C194</f>
        <v>1809.7843905299994</v>
      </c>
      <c r="D202" s="1221">
        <f>'Solde créances_DCM'!D194</f>
        <v>1989.0093211799999</v>
      </c>
      <c r="E202" s="1221">
        <f>'Solde créances_DCM'!E194</f>
        <v>2368.0157871499987</v>
      </c>
      <c r="F202" s="1221">
        <f>'Solde créances_DCM'!F194</f>
        <v>1759.6892523856147</v>
      </c>
      <c r="G202" s="1221">
        <f>E202-D202</f>
        <v>379.00646596999877</v>
      </c>
      <c r="H202" s="1221">
        <f>((E202-D202)/D202)*100</f>
        <v>19.055037195358608</v>
      </c>
      <c r="I202" s="1221">
        <f t="shared" ref="I202:I227" si="41">E202-C202</f>
        <v>558.23139661999926</v>
      </c>
      <c r="J202" s="1221">
        <f t="shared" ref="J202:J227" si="42">I202/C202*100</f>
        <v>30.845187942886387</v>
      </c>
      <c r="K202" s="1221">
        <f>E202-F202</f>
        <v>608.32653476438395</v>
      </c>
      <c r="L202" s="1221">
        <f t="shared" ref="L202:L227" si="43">F202/E202*100</f>
        <v>74.310706116679697</v>
      </c>
      <c r="M202" s="1269">
        <f>'Solde créances_DCM'!K194</f>
        <v>155.65783995746156</v>
      </c>
      <c r="N202" s="1269">
        <f>'Solde créances_DCM'!L194</f>
        <v>134.58805955040293</v>
      </c>
      <c r="O202" s="1269">
        <f>'Solde créances_DCM'!M194</f>
        <v>206.58290344736758</v>
      </c>
      <c r="P202" s="1269">
        <f>O202-N202</f>
        <v>71.994843896964653</v>
      </c>
      <c r="Q202" s="1269">
        <f>O202-M202</f>
        <v>50.925063489906023</v>
      </c>
    </row>
    <row r="203" spans="2:17" ht="12.75" customHeight="1">
      <c r="B203" s="1314" t="s">
        <v>602</v>
      </c>
      <c r="C203" s="1315">
        <f>'Solde créances_DCM'!C195</f>
        <v>1809.7843905299997</v>
      </c>
      <c r="D203" s="1315">
        <f>'Solde créances_DCM'!D195</f>
        <v>1989.009321179999</v>
      </c>
      <c r="E203" s="1315">
        <f>'Solde créances_DCM'!E195</f>
        <v>2368.0157871499987</v>
      </c>
      <c r="F203" s="1315">
        <f>'Solde créances_DCM'!F195</f>
        <v>1759.6892523856147</v>
      </c>
      <c r="G203" s="1315">
        <f>'Solde créances_DCM'!G195</f>
        <v>379.00646596999968</v>
      </c>
      <c r="H203" s="1315">
        <f>'Solde créances_DCM'!H195</f>
        <v>19.055037195358665</v>
      </c>
      <c r="I203" s="1315">
        <f t="shared" si="41"/>
        <v>558.23139661999903</v>
      </c>
      <c r="J203" s="1315">
        <f t="shared" si="42"/>
        <v>30.845187942886369</v>
      </c>
      <c r="K203" s="1315">
        <f>'Solde créances_DCM'!I195</f>
        <v>608.32653476438395</v>
      </c>
      <c r="L203" s="1315">
        <f t="shared" si="43"/>
        <v>74.310706116679697</v>
      </c>
      <c r="M203" s="1365">
        <f>'Solde créances_DCM'!K195</f>
        <v>155.65783995746162</v>
      </c>
      <c r="N203" s="1365">
        <f>'Solde créances_DCM'!L195</f>
        <v>188.00322472641722</v>
      </c>
      <c r="O203" s="1365">
        <f>'Solde créances_DCM'!M195</f>
        <v>206.58290344736758</v>
      </c>
      <c r="P203" s="1365">
        <f>'Solde créances_DCM'!N195</f>
        <v>18.579678720950369</v>
      </c>
      <c r="Q203" s="1365">
        <f>'Solde créances_DCM'!O195</f>
        <v>50.925063489905966</v>
      </c>
    </row>
    <row r="204" spans="2:17" ht="12.75" customHeight="1">
      <c r="B204" s="1223" t="s">
        <v>185</v>
      </c>
      <c r="C204" s="1221">
        <f>'Solde créances_DCM'!C201</f>
        <v>1.3208454765299988</v>
      </c>
      <c r="D204" s="1221">
        <f>'Solde créances_DCM'!D201</f>
        <v>1.6504564865299987</v>
      </c>
      <c r="E204" s="1221">
        <f>'Solde créances_DCM'!E201</f>
        <v>1.4198499065299988</v>
      </c>
      <c r="F204" s="1221">
        <f>'Solde créances_DCM'!F201</f>
        <v>1.0890959953912538</v>
      </c>
      <c r="G204" s="1221">
        <f t="shared" ref="G204:G227" si="44">E204-D204</f>
        <v>-0.23060657999999989</v>
      </c>
      <c r="H204" s="1221">
        <f t="shared" ref="H204:H227" si="45">((E204-D204)/D204)*100</f>
        <v>-13.97229081057681</v>
      </c>
      <c r="I204" s="1221">
        <f t="shared" si="41"/>
        <v>9.9004429999999921E-2</v>
      </c>
      <c r="J204" s="1221">
        <f t="shared" si="42"/>
        <v>7.4955346222705073</v>
      </c>
      <c r="K204" s="1221">
        <f t="shared" ref="K204:K227" si="46">E204-F204</f>
        <v>0.33075391113874497</v>
      </c>
      <c r="L204" s="1221">
        <f t="shared" si="43"/>
        <v>76.705008774689333</v>
      </c>
      <c r="M204" s="1269">
        <f>'Solde créances_DCM'!K201</f>
        <v>187.36253531889838</v>
      </c>
      <c r="N204" s="1269">
        <f>'Solde créances_DCM'!L201</f>
        <v>295.77871459922977</v>
      </c>
      <c r="O204" s="1269">
        <f>'Solde créances_DCM'!M201</f>
        <v>235.74855858250092</v>
      </c>
      <c r="P204" s="1269"/>
      <c r="Q204" s="1269"/>
    </row>
    <row r="205" spans="2:17" ht="12.75" customHeight="1">
      <c r="B205" s="2365" t="s">
        <v>1103</v>
      </c>
      <c r="C205" s="2367">
        <f>'Solde créances_DCM'!C202</f>
        <v>0</v>
      </c>
      <c r="D205" s="2367">
        <f>'Solde créances_DCM'!D202</f>
        <v>0</v>
      </c>
      <c r="E205" s="2367">
        <f>'Solde créances_DCM'!E202</f>
        <v>0</v>
      </c>
      <c r="F205" s="2367">
        <f>'Solde créances_DCM'!F202</f>
        <v>0</v>
      </c>
      <c r="G205" s="1221">
        <f>E205-D205</f>
        <v>0</v>
      </c>
      <c r="H205" s="1221" t="e">
        <f>((E205-D205)/D205)*100</f>
        <v>#DIV/0!</v>
      </c>
      <c r="I205" s="1221">
        <f>E205-C205</f>
        <v>0</v>
      </c>
      <c r="J205" s="1221" t="e">
        <f>I205/C205*100</f>
        <v>#DIV/0!</v>
      </c>
      <c r="K205" s="1221">
        <f>E205-F205</f>
        <v>0</v>
      </c>
      <c r="L205" s="1221" t="e">
        <f>F205/E205*100</f>
        <v>#DIV/0!</v>
      </c>
      <c r="M205" s="2366"/>
      <c r="N205" s="2366"/>
      <c r="O205" s="2366"/>
      <c r="P205" s="2366"/>
      <c r="Q205" s="2366"/>
    </row>
    <row r="206" spans="2:17" ht="12.75" customHeight="1">
      <c r="B206" s="2365" t="s">
        <v>1105</v>
      </c>
      <c r="C206" s="2367">
        <f>C204-C205</f>
        <v>1.3208454765299988</v>
      </c>
      <c r="D206" s="2367">
        <f>D204-D205</f>
        <v>1.6504564865299987</v>
      </c>
      <c r="E206" s="2367">
        <f>E204-E205</f>
        <v>1.4198499065299988</v>
      </c>
      <c r="F206" s="2367">
        <f>F204-F205</f>
        <v>1.0890959953912538</v>
      </c>
      <c r="G206" s="1221">
        <f>E206-D206</f>
        <v>-0.23060657999999989</v>
      </c>
      <c r="H206" s="1221">
        <f>((E206-D206)/D206)*100</f>
        <v>-13.97229081057681</v>
      </c>
      <c r="I206" s="1221">
        <f>E206-C206</f>
        <v>9.9004429999999921E-2</v>
      </c>
      <c r="J206" s="1221">
        <f>I206/C206*100</f>
        <v>7.4955346222705073</v>
      </c>
      <c r="K206" s="1221">
        <f>E206-F206</f>
        <v>0.33075391113874497</v>
      </c>
      <c r="L206" s="1221">
        <f>F206/E206*100</f>
        <v>76.705008774689333</v>
      </c>
      <c r="M206" s="2366"/>
      <c r="N206" s="2366"/>
      <c r="O206" s="2366"/>
      <c r="P206" s="2366"/>
      <c r="Q206" s="2366"/>
    </row>
    <row r="207" spans="2:17" ht="12.75" customHeight="1">
      <c r="B207" s="1223" t="s">
        <v>624</v>
      </c>
      <c r="C207" s="1221">
        <f>'Solde créances_DCM'!C205</f>
        <v>331.70199885999972</v>
      </c>
      <c r="D207" s="1221">
        <f>'Solde créances_DCM'!D205</f>
        <v>525.37702320999995</v>
      </c>
      <c r="E207" s="1221">
        <f>'Solde créances_DCM'!E205</f>
        <v>584.20545579999964</v>
      </c>
      <c r="F207" s="1221">
        <f>'Solde créances_DCM'!F205</f>
        <v>104.65721290373291</v>
      </c>
      <c r="G207" s="1221">
        <f t="shared" si="44"/>
        <v>58.828432589999693</v>
      </c>
      <c r="H207" s="1221">
        <f t="shared" si="45"/>
        <v>11.197374455122528</v>
      </c>
      <c r="I207" s="1221">
        <f t="shared" si="41"/>
        <v>252.50345693999992</v>
      </c>
      <c r="J207" s="1221">
        <f t="shared" si="42"/>
        <v>76.123586173073733</v>
      </c>
      <c r="K207" s="1221">
        <f t="shared" si="46"/>
        <v>479.54824289626674</v>
      </c>
      <c r="L207" s="1221">
        <f t="shared" si="43"/>
        <v>17.914453188462158</v>
      </c>
      <c r="M207" s="1269">
        <f>'Solde créances_DCM'!K205</f>
        <v>103.29659009932649</v>
      </c>
      <c r="N207" s="1269">
        <f>'Solde créances_DCM'!L205</f>
        <v>197.66584142643941</v>
      </c>
      <c r="O207" s="1269">
        <f>'Solde créances_DCM'!M205</f>
        <v>120.40255054416379</v>
      </c>
      <c r="P207" s="1269"/>
      <c r="Q207" s="1269"/>
    </row>
    <row r="208" spans="2:17" ht="12.75" customHeight="1">
      <c r="B208" s="1224" t="s">
        <v>625</v>
      </c>
      <c r="C208" s="1225">
        <f>C202+C204+C207</f>
        <v>2142.8072348665291</v>
      </c>
      <c r="D208" s="1225">
        <f>D202+D204+D207</f>
        <v>2516.0368008765299</v>
      </c>
      <c r="E208" s="1225">
        <f>E202+E204+E207</f>
        <v>2953.6410928565283</v>
      </c>
      <c r="F208" s="1225">
        <f>F202+F204+F207</f>
        <v>1865.4355612847389</v>
      </c>
      <c r="G208" s="1225">
        <f t="shared" si="44"/>
        <v>437.60429197999838</v>
      </c>
      <c r="H208" s="1225">
        <f t="shared" si="45"/>
        <v>17.392602994818958</v>
      </c>
      <c r="I208" s="1225">
        <f t="shared" si="41"/>
        <v>810.83385798999916</v>
      </c>
      <c r="J208" s="1225">
        <f t="shared" si="42"/>
        <v>37.839794676654812</v>
      </c>
      <c r="K208" s="1225">
        <f t="shared" si="46"/>
        <v>1088.2055315717894</v>
      </c>
      <c r="L208" s="1225">
        <f t="shared" si="43"/>
        <v>63.157150873758908</v>
      </c>
      <c r="M208" s="1226"/>
      <c r="N208" s="1226"/>
      <c r="O208" s="1226"/>
      <c r="P208" s="1226">
        <f>O208-N208</f>
        <v>0</v>
      </c>
      <c r="Q208" s="1226">
        <f>O208-M208</f>
        <v>0</v>
      </c>
    </row>
    <row r="209" spans="2:17" ht="12.75" customHeight="1">
      <c r="B209" s="1220" t="s">
        <v>636</v>
      </c>
      <c r="C209" s="1221">
        <f>'Solde créances_DCM'!C206</f>
        <v>115.54354138999972</v>
      </c>
      <c r="D209" s="1221">
        <f>'Solde créances_DCM'!D206</f>
        <v>180.50061337</v>
      </c>
      <c r="E209" s="1221">
        <f>'Solde créances_DCM'!E206</f>
        <v>165.41160579999968</v>
      </c>
      <c r="F209" s="1221">
        <f>'Solde créances_DCM'!F206</f>
        <v>36.455809890998879</v>
      </c>
      <c r="G209" s="1221">
        <f t="shared" si="44"/>
        <v>-15.089007570000319</v>
      </c>
      <c r="H209" s="1221">
        <f t="shared" si="45"/>
        <v>-8.3595325734822019</v>
      </c>
      <c r="I209" s="1221">
        <f t="shared" si="41"/>
        <v>49.86806440999996</v>
      </c>
      <c r="J209" s="1221">
        <f t="shared" si="42"/>
        <v>43.159542982742636</v>
      </c>
      <c r="K209" s="1221">
        <f t="shared" si="46"/>
        <v>128.95579590900081</v>
      </c>
      <c r="L209" s="1221">
        <f t="shared" si="43"/>
        <v>22.03945104981198</v>
      </c>
      <c r="M209" s="1269">
        <f>'Solde créances_DCM'!K206</f>
        <v>35.981856831151738</v>
      </c>
      <c r="N209" s="1269">
        <f>'Solde créances_DCM'!L206</f>
        <v>295.77871459922977</v>
      </c>
      <c r="O209" s="1269">
        <f>'Solde créances_DCM'!M206</f>
        <v>34.090710776833127</v>
      </c>
      <c r="P209" s="1269"/>
      <c r="Q209" s="1269"/>
    </row>
    <row r="210" spans="2:17" ht="12.75" customHeight="1">
      <c r="B210" s="1220" t="s">
        <v>626</v>
      </c>
      <c r="C210" s="1221">
        <f>'Solde créances_DCM'!C207</f>
        <v>216.15845747</v>
      </c>
      <c r="D210" s="1221">
        <f>'Solde créances_DCM'!D207</f>
        <v>344.87640983999995</v>
      </c>
      <c r="E210" s="1221">
        <f>'Solde créances_DCM'!E207</f>
        <v>418.79384999999996</v>
      </c>
      <c r="F210" s="1221">
        <f>'Solde créances_DCM'!F207</f>
        <v>68.201403012734033</v>
      </c>
      <c r="G210" s="1221">
        <f t="shared" si="44"/>
        <v>73.917440160000012</v>
      </c>
      <c r="H210" s="1221">
        <f t="shared" si="45"/>
        <v>21.433022976054772</v>
      </c>
      <c r="I210" s="1221">
        <f t="shared" si="41"/>
        <v>202.63539252999996</v>
      </c>
      <c r="J210" s="1221">
        <f t="shared" si="42"/>
        <v>93.743911249978794</v>
      </c>
      <c r="K210" s="1221">
        <f t="shared" si="46"/>
        <v>350.59244698726593</v>
      </c>
      <c r="L210" s="1221">
        <f t="shared" si="43"/>
        <v>16.285196884513475</v>
      </c>
      <c r="M210" s="1269"/>
      <c r="N210" s="1269"/>
      <c r="O210" s="1269"/>
      <c r="P210" s="1269"/>
      <c r="Q210" s="1269"/>
    </row>
    <row r="211" spans="2:17" ht="12.75" customHeight="1">
      <c r="B211" s="1224" t="s">
        <v>620</v>
      </c>
      <c r="C211" s="1225">
        <f>C208-C210</f>
        <v>1926.6487773965291</v>
      </c>
      <c r="D211" s="1225">
        <f>D208-D210</f>
        <v>2171.1603910365302</v>
      </c>
      <c r="E211" s="1225">
        <f>E208-E210</f>
        <v>2534.8472428565283</v>
      </c>
      <c r="F211" s="1225">
        <f>F208-F210</f>
        <v>1797.2341582720048</v>
      </c>
      <c r="G211" s="1225">
        <f t="shared" si="44"/>
        <v>363.68685181999808</v>
      </c>
      <c r="H211" s="1225">
        <f t="shared" si="45"/>
        <v>16.750805390585214</v>
      </c>
      <c r="I211" s="1225">
        <f t="shared" si="41"/>
        <v>608.19846545999917</v>
      </c>
      <c r="J211" s="1225">
        <f t="shared" si="42"/>
        <v>31.567687509804188</v>
      </c>
      <c r="K211" s="1225">
        <f t="shared" si="46"/>
        <v>737.61308458452345</v>
      </c>
      <c r="L211" s="1225">
        <f t="shared" si="43"/>
        <v>70.901083421764511</v>
      </c>
      <c r="M211" s="1226"/>
      <c r="N211" s="1226"/>
      <c r="O211" s="1226"/>
      <c r="P211" s="1226">
        <f>O211-N211</f>
        <v>0</v>
      </c>
      <c r="Q211" s="1226">
        <f>O211-M211</f>
        <v>0</v>
      </c>
    </row>
    <row r="212" spans="2:17" ht="12.75" customHeight="1">
      <c r="B212" s="1223" t="s">
        <v>234</v>
      </c>
      <c r="C212" s="1221">
        <f>'Solde créances_DCM'!C198</f>
        <v>275.65200451000288</v>
      </c>
      <c r="D212" s="1221">
        <f>'Solde créances_DCM'!D198</f>
        <v>272.14329284000286</v>
      </c>
      <c r="E212" s="1221">
        <f>'Solde créances_DCM'!E198</f>
        <v>264.309000090003</v>
      </c>
      <c r="F212" s="1221">
        <f>'Solde créances_DCM'!F198</f>
        <v>142.31615182473837</v>
      </c>
      <c r="G212" s="1221">
        <f t="shared" si="44"/>
        <v>-7.8342927499998609</v>
      </c>
      <c r="H212" s="1221">
        <f t="shared" si="45"/>
        <v>-2.8787381339600975</v>
      </c>
      <c r="I212" s="1221">
        <f t="shared" si="41"/>
        <v>-11.343004419999886</v>
      </c>
      <c r="J212" s="1221">
        <f t="shared" si="42"/>
        <v>-4.1149725865999534</v>
      </c>
      <c r="K212" s="1221">
        <f t="shared" si="46"/>
        <v>121.99284826526463</v>
      </c>
      <c r="L212" s="1221">
        <f t="shared" si="43"/>
        <v>53.84461057938875</v>
      </c>
      <c r="M212" s="1269">
        <f>'Solde créances_DCM'!K198</f>
        <v>206.66134463961635</v>
      </c>
      <c r="N212" s="1269">
        <f>'Solde créances_DCM'!L198</f>
        <v>197.66584142643941</v>
      </c>
      <c r="O212" s="1269">
        <f>'Solde créances_DCM'!M198</f>
        <v>73.654709143790015</v>
      </c>
      <c r="P212" s="1269">
        <f>O212-N212</f>
        <v>-124.0111322826494</v>
      </c>
      <c r="Q212" s="1269">
        <f>O212-M212</f>
        <v>-133.00663549582634</v>
      </c>
    </row>
    <row r="213" spans="2:17" ht="12.75" customHeight="1">
      <c r="B213" s="2365" t="s">
        <v>1101</v>
      </c>
      <c r="C213" s="2367">
        <f>'Solde créances_DCM'!C199</f>
        <v>0</v>
      </c>
      <c r="D213" s="2367">
        <f>'Solde créances_DCM'!D199</f>
        <v>0</v>
      </c>
      <c r="E213" s="2367">
        <f>'Solde créances_DCM'!E199</f>
        <v>0</v>
      </c>
      <c r="F213" s="2367">
        <f>'Solde créances_DCM'!F199</f>
        <v>0</v>
      </c>
      <c r="G213" s="1221">
        <f>E213-D213</f>
        <v>0</v>
      </c>
      <c r="H213" s="1221" t="e">
        <f>((E213-D213)/D213)*100</f>
        <v>#DIV/0!</v>
      </c>
      <c r="I213" s="1221">
        <f>E213-C213</f>
        <v>0</v>
      </c>
      <c r="J213" s="1221" t="e">
        <f>I213/C213*100</f>
        <v>#DIV/0!</v>
      </c>
      <c r="K213" s="1221">
        <f>E213-F213</f>
        <v>0</v>
      </c>
      <c r="L213" s="1221" t="e">
        <f>F213/E213*100</f>
        <v>#DIV/0!</v>
      </c>
      <c r="M213" s="2366"/>
      <c r="N213" s="2366"/>
      <c r="O213" s="2366"/>
      <c r="P213" s="2366"/>
      <c r="Q213" s="2366"/>
    </row>
    <row r="214" spans="2:17" ht="12.75" customHeight="1">
      <c r="B214" s="2365" t="s">
        <v>1106</v>
      </c>
      <c r="C214" s="2367">
        <f>C212-C213</f>
        <v>275.65200451000288</v>
      </c>
      <c r="D214" s="2367">
        <f>D212-D213</f>
        <v>272.14329284000286</v>
      </c>
      <c r="E214" s="2367">
        <f>E212-E213</f>
        <v>264.309000090003</v>
      </c>
      <c r="F214" s="2367">
        <f>F212-F213</f>
        <v>142.31615182473837</v>
      </c>
      <c r="G214" s="1221">
        <f>E214-D214</f>
        <v>-7.8342927499998609</v>
      </c>
      <c r="H214" s="1221">
        <f>((E214-D214)/D214)*100</f>
        <v>-2.8787381339600975</v>
      </c>
      <c r="I214" s="1221">
        <f>E214-C214</f>
        <v>-11.343004419999886</v>
      </c>
      <c r="J214" s="1221">
        <f>I214/C214*100</f>
        <v>-4.1149725865999534</v>
      </c>
      <c r="K214" s="1221">
        <f>E214-F214</f>
        <v>121.99284826526463</v>
      </c>
      <c r="L214" s="1221">
        <f>F214/E214*100</f>
        <v>53.84461057938875</v>
      </c>
      <c r="M214" s="2366"/>
      <c r="N214" s="2366"/>
      <c r="O214" s="2366"/>
      <c r="P214" s="2366"/>
      <c r="Q214" s="2366"/>
    </row>
    <row r="215" spans="2:17" ht="12.75" customHeight="1">
      <c r="B215" s="1223" t="s">
        <v>187</v>
      </c>
      <c r="C215" s="1221">
        <f>'Solde créances_DCM'!C208</f>
        <v>430.71517616000023</v>
      </c>
      <c r="D215" s="1221">
        <f>'Solde créances_DCM'!D208</f>
        <v>431.19723537000021</v>
      </c>
      <c r="E215" s="1221">
        <f>'Solde créances_DCM'!E208</f>
        <v>418.78904574000006</v>
      </c>
      <c r="F215" s="1221">
        <f>'Solde créances_DCM'!F208</f>
        <v>279.30924256195914</v>
      </c>
      <c r="G215" s="1221">
        <f t="shared" si="44"/>
        <v>-12.408189630000152</v>
      </c>
      <c r="H215" s="1221">
        <f t="shared" si="45"/>
        <v>-2.8776134474408157</v>
      </c>
      <c r="I215" s="1221">
        <f t="shared" si="41"/>
        <v>-11.926130420000163</v>
      </c>
      <c r="J215" s="1221">
        <f t="shared" si="42"/>
        <v>-2.7689134444545078</v>
      </c>
      <c r="K215" s="1221">
        <f t="shared" si="46"/>
        <v>139.47980317804092</v>
      </c>
      <c r="L215" s="1221">
        <f t="shared" si="43"/>
        <v>66.694495809559641</v>
      </c>
      <c r="M215" s="1269">
        <f>'Solde créances_DCM'!K208</f>
        <v>446.2084849872316</v>
      </c>
      <c r="N215" s="1269">
        <f>'Solde créances_DCM'!L208</f>
        <v>431.40130373841919</v>
      </c>
      <c r="O215" s="1269">
        <f>'Solde créances_DCM'!M208</f>
        <v>195.49584069422221</v>
      </c>
      <c r="P215" s="1269"/>
      <c r="Q215" s="1269"/>
    </row>
    <row r="216" spans="2:17" ht="12.75" customHeight="1">
      <c r="B216" s="1224" t="s">
        <v>621</v>
      </c>
      <c r="C216" s="1225">
        <f>C212+C215</f>
        <v>706.36718067000311</v>
      </c>
      <c r="D216" s="1225">
        <f>D212+D215</f>
        <v>703.34052821000307</v>
      </c>
      <c r="E216" s="1225">
        <f>E212+E215</f>
        <v>683.098045830003</v>
      </c>
      <c r="F216" s="1225">
        <f>SUM(F212:F215)</f>
        <v>563.94154621143593</v>
      </c>
      <c r="G216" s="1225">
        <f t="shared" si="44"/>
        <v>-20.242482380000069</v>
      </c>
      <c r="H216" s="1225">
        <f t="shared" si="45"/>
        <v>-2.8780486219835861</v>
      </c>
      <c r="I216" s="1225">
        <f t="shared" si="41"/>
        <v>-23.269134840000106</v>
      </c>
      <c r="J216" s="1225">
        <f t="shared" si="42"/>
        <v>-3.2941981842826951</v>
      </c>
      <c r="K216" s="1225">
        <f t="shared" si="46"/>
        <v>119.15649961856707</v>
      </c>
      <c r="L216" s="1225">
        <f t="shared" si="43"/>
        <v>82.55645725442163</v>
      </c>
      <c r="M216" s="1226"/>
      <c r="N216" s="1226"/>
      <c r="O216" s="1226"/>
      <c r="P216" s="1226"/>
      <c r="Q216" s="1226"/>
    </row>
    <row r="217" spans="2:17" ht="12.75" customHeight="1">
      <c r="B217" s="1220" t="s">
        <v>917</v>
      </c>
      <c r="C217" s="1221">
        <f>C215-C218</f>
        <v>421.61584808000021</v>
      </c>
      <c r="D217" s="1221">
        <f>D215-D218</f>
        <v>422.23567668000021</v>
      </c>
      <c r="E217" s="1221">
        <f>E215-E218</f>
        <v>414.10227762000005</v>
      </c>
      <c r="F217" s="1221">
        <f>'Solde créances_DCM'!$F$209</f>
        <v>273.40853003887997</v>
      </c>
      <c r="G217" s="1221">
        <f t="shared" si="44"/>
        <v>-8.1333990600001584</v>
      </c>
      <c r="H217" s="1221">
        <f t="shared" si="45"/>
        <v>-1.9262699741415308</v>
      </c>
      <c r="I217" s="1221">
        <f t="shared" si="41"/>
        <v>-7.5135704600001532</v>
      </c>
      <c r="J217" s="1221">
        <f t="shared" si="42"/>
        <v>-1.7820891919068653</v>
      </c>
      <c r="K217" s="1221">
        <f t="shared" si="46"/>
        <v>140.69374758112008</v>
      </c>
      <c r="L217" s="1221">
        <f t="shared" si="43"/>
        <v>66.024396583921387</v>
      </c>
      <c r="M217" s="1269"/>
      <c r="N217" s="1269"/>
      <c r="O217" s="1269"/>
      <c r="P217" s="1269"/>
      <c r="Q217" s="1269"/>
    </row>
    <row r="218" spans="2:17" ht="12.75" customHeight="1">
      <c r="B218" s="1220" t="s">
        <v>918</v>
      </c>
      <c r="C218" s="1221">
        <f>'Solde créances_DCM'!C210</f>
        <v>9.0993280799999994</v>
      </c>
      <c r="D218" s="1221">
        <f>'Solde créances_DCM'!D210</f>
        <v>8.9615586900000004</v>
      </c>
      <c r="E218" s="1221">
        <f>'Solde créances_DCM'!E210</f>
        <v>4.68676812</v>
      </c>
      <c r="F218" s="1221">
        <f>'Solde créances_DCM'!$F$210</f>
        <v>5.9007125230791644</v>
      </c>
      <c r="G218" s="1221">
        <f t="shared" si="44"/>
        <v>-4.2747905700000004</v>
      </c>
      <c r="H218" s="1221">
        <f t="shared" si="45"/>
        <v>-47.70141799964042</v>
      </c>
      <c r="I218" s="1221">
        <f t="shared" si="41"/>
        <v>-4.4125599599999994</v>
      </c>
      <c r="J218" s="1221">
        <f t="shared" si="42"/>
        <v>-48.493250503832805</v>
      </c>
      <c r="K218" s="1221">
        <f t="shared" si="46"/>
        <v>-1.2139444030791644</v>
      </c>
      <c r="L218" s="1221">
        <f t="shared" si="43"/>
        <v>125.90152471804311</v>
      </c>
      <c r="M218" s="1269"/>
      <c r="N218" s="1269"/>
      <c r="O218" s="1269"/>
      <c r="P218" s="1269"/>
      <c r="Q218" s="1269"/>
    </row>
    <row r="219" spans="2:17" ht="12.75" customHeight="1">
      <c r="B219" s="1228" t="s">
        <v>635</v>
      </c>
      <c r="C219" s="1229">
        <f>C208+C216</f>
        <v>2849.1744155365323</v>
      </c>
      <c r="D219" s="1229">
        <f>D208+D216</f>
        <v>3219.3773290865329</v>
      </c>
      <c r="E219" s="1229">
        <f>E208+E216</f>
        <v>3636.7391386865311</v>
      </c>
      <c r="F219" s="1229">
        <f>F208+F216</f>
        <v>2429.3771074961751</v>
      </c>
      <c r="G219" s="1229">
        <f t="shared" si="44"/>
        <v>417.3618095999982</v>
      </c>
      <c r="H219" s="1229">
        <f t="shared" si="45"/>
        <v>12.964053819637867</v>
      </c>
      <c r="I219" s="1229">
        <f t="shared" si="41"/>
        <v>787.56472314999883</v>
      </c>
      <c r="J219" s="1229">
        <f t="shared" si="42"/>
        <v>27.64185719397917</v>
      </c>
      <c r="K219" s="1229">
        <f t="shared" si="46"/>
        <v>1207.362031190356</v>
      </c>
      <c r="L219" s="1229">
        <f t="shared" si="43"/>
        <v>66.800972378062426</v>
      </c>
      <c r="M219" s="1271">
        <f>'Solde créances_DCM'!K211</f>
        <v>162.57023899355059</v>
      </c>
      <c r="N219" s="1271">
        <f>'Solde créances_DCM'!L211</f>
        <v>155.5846656819067</v>
      </c>
      <c r="O219" s="1271">
        <f>'Solde créances_DCM'!M211</f>
        <v>162.8941624846031</v>
      </c>
      <c r="P219" s="1271">
        <f>O219-N219</f>
        <v>7.3094968026964011</v>
      </c>
      <c r="Q219" s="1271">
        <f>O219-M219</f>
        <v>0.32392349105251128</v>
      </c>
    </row>
    <row r="220" spans="2:17" ht="12.75" customHeight="1">
      <c r="B220" s="1228" t="s">
        <v>622</v>
      </c>
      <c r="C220" s="1229">
        <f>C219-(C210+C218)</f>
        <v>2623.9166299865324</v>
      </c>
      <c r="D220" s="1229">
        <f>D219-(D210+D218)</f>
        <v>2865.5393605565328</v>
      </c>
      <c r="E220" s="1229">
        <f>E219-(E210+E218)</f>
        <v>3213.2585205665309</v>
      </c>
      <c r="F220" s="1229">
        <f>F219-(F210+F218)</f>
        <v>2355.2749919603621</v>
      </c>
      <c r="G220" s="1229">
        <f t="shared" si="44"/>
        <v>347.71916000999818</v>
      </c>
      <c r="H220" s="1229">
        <f t="shared" si="45"/>
        <v>12.134509991252246</v>
      </c>
      <c r="I220" s="1229">
        <f t="shared" si="41"/>
        <v>589.34189057999856</v>
      </c>
      <c r="J220" s="1229">
        <f t="shared" si="42"/>
        <v>22.46038932201224</v>
      </c>
      <c r="K220" s="1229">
        <f t="shared" si="46"/>
        <v>857.98352860616887</v>
      </c>
      <c r="L220" s="1229">
        <f t="shared" si="43"/>
        <v>73.298646121542149</v>
      </c>
      <c r="M220" s="1271"/>
      <c r="N220" s="1271"/>
      <c r="O220" s="1271"/>
      <c r="P220" s="1271"/>
      <c r="Q220" s="1271"/>
    </row>
    <row r="221" spans="2:17" ht="12.75" customHeight="1">
      <c r="B221" s="1224" t="s">
        <v>623</v>
      </c>
      <c r="C221" s="1225">
        <f>'Solde créances_DCM'!C212</f>
        <v>190.04189722000001</v>
      </c>
      <c r="D221" s="1225">
        <f>'Solde créances_DCM'!D212</f>
        <v>196.99463814000001</v>
      </c>
      <c r="E221" s="1225">
        <f>'Solde créances_DCM'!E212</f>
        <v>190.04189722000001</v>
      </c>
      <c r="F221" s="1225">
        <f>'Solde créances_DCM'!F212</f>
        <v>14.137917509643039</v>
      </c>
      <c r="G221" s="1225">
        <f t="shared" si="44"/>
        <v>-6.9527409199999965</v>
      </c>
      <c r="H221" s="1225">
        <f t="shared" si="45"/>
        <v>-3.5294061735115996</v>
      </c>
      <c r="I221" s="1225">
        <f t="shared" si="41"/>
        <v>0</v>
      </c>
      <c r="J221" s="1225">
        <f t="shared" si="42"/>
        <v>0</v>
      </c>
      <c r="K221" s="1225">
        <f t="shared" si="46"/>
        <v>175.90397971035696</v>
      </c>
      <c r="L221" s="1225">
        <f t="shared" si="43"/>
        <v>7.4393687478695432</v>
      </c>
      <c r="M221" s="1227"/>
      <c r="N221" s="1227"/>
      <c r="O221" s="1227"/>
      <c r="P221" s="1227"/>
      <c r="Q221" s="1227"/>
    </row>
    <row r="222" spans="2:17" ht="12.75" customHeight="1">
      <c r="B222" s="1224" t="s">
        <v>627</v>
      </c>
      <c r="C222" s="1225">
        <f>'Solde créances_DCM'!C216</f>
        <v>174.70513602999966</v>
      </c>
      <c r="D222" s="1225">
        <f>'Solde créances_DCM'!D216</f>
        <v>167.70260928999977</v>
      </c>
      <c r="E222" s="1225">
        <f>'Solde créances_DCM'!E216</f>
        <v>186.27215485999966</v>
      </c>
      <c r="F222" s="1225">
        <f>'Solde créances_DCM'!F216</f>
        <v>49.553205679557955</v>
      </c>
      <c r="G222" s="1225">
        <f t="shared" si="44"/>
        <v>18.569545569999889</v>
      </c>
      <c r="H222" s="1225">
        <f t="shared" si="45"/>
        <v>11.072901995155304</v>
      </c>
      <c r="I222" s="1225">
        <f t="shared" si="41"/>
        <v>11.567018829999995</v>
      </c>
      <c r="J222" s="1225">
        <f t="shared" si="42"/>
        <v>6.6208808125788314</v>
      </c>
      <c r="K222" s="1225">
        <f t="shared" si="46"/>
        <v>136.71894918044171</v>
      </c>
      <c r="L222" s="1225">
        <f t="shared" si="43"/>
        <v>26.602583578206662</v>
      </c>
      <c r="M222" s="1219">
        <f>'Solde créances_DCM'!K216</f>
        <v>95.714484812639753</v>
      </c>
      <c r="N222" s="1219">
        <f>'Solde créances_DCM'!L216</f>
        <v>77.395647091061448</v>
      </c>
      <c r="O222" s="1219">
        <f>'Solde créances_DCM'!M216</f>
        <v>131.38966599796407</v>
      </c>
      <c r="P222" s="1219">
        <f>O222-N222</f>
        <v>53.994018906902625</v>
      </c>
      <c r="Q222" s="1219">
        <f>O222-M222</f>
        <v>35.67518118532432</v>
      </c>
    </row>
    <row r="223" spans="2:17" ht="12.75" customHeight="1">
      <c r="B223" s="1220" t="s">
        <v>628</v>
      </c>
      <c r="C223" s="1222">
        <f>'calcul-DCC-TX-Encais'!BC9</f>
        <v>0</v>
      </c>
      <c r="D223" s="1222">
        <f>'calcul-DCC-TX-Encais'!$Q$25</f>
        <v>0</v>
      </c>
      <c r="E223" s="2056">
        <f>'Feuil-saisie'!C155/1000</f>
        <v>0</v>
      </c>
      <c r="F223" s="1222"/>
      <c r="G223" s="1222">
        <f t="shared" si="44"/>
        <v>0</v>
      </c>
      <c r="H223" s="1222" t="e">
        <f t="shared" si="45"/>
        <v>#DIV/0!</v>
      </c>
      <c r="I223" s="1222">
        <f t="shared" si="41"/>
        <v>0</v>
      </c>
      <c r="J223" s="1222" t="e">
        <f t="shared" si="42"/>
        <v>#DIV/0!</v>
      </c>
      <c r="K223" s="1222">
        <f t="shared" si="46"/>
        <v>0</v>
      </c>
      <c r="L223" s="1222" t="e">
        <f t="shared" si="43"/>
        <v>#DIV/0!</v>
      </c>
      <c r="M223" s="1269"/>
      <c r="N223" s="1269"/>
      <c r="O223" s="1269"/>
      <c r="P223" s="1269"/>
      <c r="Q223" s="1269"/>
    </row>
    <row r="224" spans="2:17" ht="12.75" customHeight="1">
      <c r="B224" s="1224" t="s">
        <v>629</v>
      </c>
      <c r="C224" s="1225">
        <f>C222-C223</f>
        <v>174.70513602999966</v>
      </c>
      <c r="D224" s="1225">
        <f>D222-D223</f>
        <v>167.70260928999977</v>
      </c>
      <c r="E224" s="1225">
        <f>E222-E223</f>
        <v>186.27215485999966</v>
      </c>
      <c r="F224" s="1225">
        <f>F222-F223</f>
        <v>49.553205679557955</v>
      </c>
      <c r="G224" s="1225">
        <f t="shared" si="44"/>
        <v>18.569545569999889</v>
      </c>
      <c r="H224" s="1225">
        <f t="shared" si="45"/>
        <v>11.072901995155304</v>
      </c>
      <c r="I224" s="1225">
        <f t="shared" si="41"/>
        <v>11.567018829999995</v>
      </c>
      <c r="J224" s="1225">
        <f t="shared" si="42"/>
        <v>6.6208808125788314</v>
      </c>
      <c r="K224" s="1225">
        <f t="shared" si="46"/>
        <v>136.71894918044171</v>
      </c>
      <c r="L224" s="1225">
        <f t="shared" si="43"/>
        <v>26.602583578206662</v>
      </c>
      <c r="M224" s="1219"/>
      <c r="N224" s="1219"/>
      <c r="O224" s="1219"/>
      <c r="P224" s="1219">
        <f>O224-N224</f>
        <v>0</v>
      </c>
      <c r="Q224" s="1219">
        <f>O224-M224</f>
        <v>0</v>
      </c>
    </row>
    <row r="225" spans="2:17" ht="12.75" customHeight="1">
      <c r="B225" s="1230" t="s">
        <v>632</v>
      </c>
      <c r="C225" s="1231">
        <f>C219+C221+C222</f>
        <v>3213.921448786532</v>
      </c>
      <c r="D225" s="1231">
        <f>D219+D221+D222</f>
        <v>3584.0745765165325</v>
      </c>
      <c r="E225" s="1231">
        <f>E219+E221+E222</f>
        <v>4013.0531907665309</v>
      </c>
      <c r="F225" s="1231">
        <f>F219+F221+F222</f>
        <v>2493.068230685376</v>
      </c>
      <c r="G225" s="1231">
        <f t="shared" si="44"/>
        <v>428.97861424999837</v>
      </c>
      <c r="H225" s="1231">
        <f t="shared" si="45"/>
        <v>11.969020317287463</v>
      </c>
      <c r="I225" s="1275">
        <f t="shared" si="41"/>
        <v>799.13174197999888</v>
      </c>
      <c r="J225" s="1275">
        <f t="shared" si="42"/>
        <v>24.864694259460634</v>
      </c>
      <c r="K225" s="1231">
        <f t="shared" si="46"/>
        <v>1519.9849600811549</v>
      </c>
      <c r="L225" s="1231">
        <f t="shared" si="43"/>
        <v>62.123976737252676</v>
      </c>
      <c r="M225" s="1269"/>
      <c r="N225" s="1269"/>
      <c r="O225" s="1269"/>
      <c r="P225" s="1269"/>
      <c r="Q225" s="1269"/>
    </row>
    <row r="226" spans="2:17" ht="12.75" customHeight="1">
      <c r="B226" s="1220" t="s">
        <v>638</v>
      </c>
      <c r="C226" s="1222">
        <f>C205+C210+C218+C213+C223</f>
        <v>225.25778554999999</v>
      </c>
      <c r="D226" s="1222">
        <f>D205+D210+D218+D213+D223</f>
        <v>353.83796852999996</v>
      </c>
      <c r="E226" s="1222">
        <f>E205+E210+E218+E213+E223</f>
        <v>423.48061811999997</v>
      </c>
      <c r="F226" s="1222">
        <f>F205+F210+F218+F213+F223</f>
        <v>74.102115535813198</v>
      </c>
      <c r="G226" s="1222">
        <f t="shared" si="44"/>
        <v>69.642649590000019</v>
      </c>
      <c r="H226" s="1222">
        <f t="shared" si="45"/>
        <v>19.682073656291468</v>
      </c>
      <c r="I226" s="1222">
        <f t="shared" si="41"/>
        <v>198.22283256999998</v>
      </c>
      <c r="J226" s="1222">
        <f t="shared" si="42"/>
        <v>87.998215948900409</v>
      </c>
      <c r="K226" s="1222">
        <f t="shared" si="46"/>
        <v>349.37850258418678</v>
      </c>
      <c r="L226" s="1222">
        <f t="shared" si="43"/>
        <v>17.49834877090294</v>
      </c>
      <c r="M226" s="1269"/>
      <c r="N226" s="1269"/>
      <c r="O226" s="1269"/>
      <c r="P226" s="1269"/>
      <c r="Q226" s="1269"/>
    </row>
    <row r="227" spans="2:17" ht="12.75" customHeight="1">
      <c r="B227" s="1230" t="s">
        <v>633</v>
      </c>
      <c r="C227" s="1231">
        <f>C225-C226</f>
        <v>2988.6636632365321</v>
      </c>
      <c r="D227" s="1231">
        <f>D225-D226</f>
        <v>3230.2366079865324</v>
      </c>
      <c r="E227" s="1231">
        <f>E225-E226</f>
        <v>3589.5725726465307</v>
      </c>
      <c r="F227" s="1231">
        <f>F225-F226</f>
        <v>2418.9661151495629</v>
      </c>
      <c r="G227" s="1231">
        <f t="shared" si="44"/>
        <v>359.33596465999835</v>
      </c>
      <c r="H227" s="1231">
        <f t="shared" si="45"/>
        <v>11.124137587059893</v>
      </c>
      <c r="I227" s="1275">
        <f t="shared" si="41"/>
        <v>600.90890940999861</v>
      </c>
      <c r="J227" s="1275">
        <f t="shared" si="42"/>
        <v>20.106274145256364</v>
      </c>
      <c r="K227" s="1231">
        <f t="shared" si="46"/>
        <v>1170.6064574969678</v>
      </c>
      <c r="L227" s="1231">
        <f t="shared" si="43"/>
        <v>67.388695065889152</v>
      </c>
      <c r="M227" s="1269"/>
      <c r="N227" s="1269"/>
      <c r="O227" s="1269"/>
      <c r="P227" s="1269"/>
      <c r="Q227" s="1269"/>
    </row>
    <row r="228" spans="2:17" ht="12.75" customHeight="1">
      <c r="B228" s="1220" t="s">
        <v>999</v>
      </c>
      <c r="C228" s="1222">
        <v>84.987307299999998</v>
      </c>
      <c r="D228" s="1222">
        <f>'Sans ADE APC DSA'!$E$138</f>
        <v>453.99970944999995</v>
      </c>
      <c r="E228" s="1222">
        <f>'Sans ADE APC DSA'!$F$138</f>
        <v>971.03216250999992</v>
      </c>
      <c r="F228" s="1222"/>
      <c r="G228" s="1222"/>
      <c r="H228" s="1222"/>
      <c r="I228" s="1222"/>
      <c r="J228" s="1222"/>
      <c r="K228" s="1222"/>
      <c r="L228" s="1222"/>
    </row>
    <row r="229" spans="2:17" ht="12.75" customHeight="1">
      <c r="B229" s="2093" t="s">
        <v>1000</v>
      </c>
      <c r="C229" s="1275">
        <f>C227-C228</f>
        <v>2903.6763559365322</v>
      </c>
      <c r="D229" s="1275">
        <f>D227-D228</f>
        <v>2776.2368985365324</v>
      </c>
      <c r="E229" s="1275">
        <f>E227-E228</f>
        <v>2618.5404101365307</v>
      </c>
      <c r="F229" s="1275">
        <f>F227-F228</f>
        <v>2418.9661151495629</v>
      </c>
      <c r="G229" s="1275">
        <f>E229-D229</f>
        <v>-157.69648840000173</v>
      </c>
      <c r="H229" s="2035">
        <f>((E229-D229)/D229)*100</f>
        <v>-5.6802244968046489</v>
      </c>
      <c r="I229" s="1275">
        <f>E229-C229</f>
        <v>-285.13594580000154</v>
      </c>
      <c r="J229" s="1275">
        <f>I229/C229*100</f>
        <v>-9.8198253127296518</v>
      </c>
      <c r="K229" s="1275">
        <f>E229-F229</f>
        <v>199.57429498696774</v>
      </c>
      <c r="L229" s="1275">
        <f>F229/E229*100</f>
        <v>92.378414546729786</v>
      </c>
    </row>
    <row r="230" spans="2:17" ht="12.75" customHeight="1">
      <c r="C230" s="1232">
        <f>C211+C224</f>
        <v>2101.3539134265288</v>
      </c>
      <c r="D230" s="1232">
        <f>D211+D224</f>
        <v>2338.8630003265298</v>
      </c>
      <c r="F230" s="1214">
        <f>F208+F222</f>
        <v>1914.9887669642969</v>
      </c>
    </row>
    <row r="231" spans="2:17" ht="12.75" customHeight="1">
      <c r="D231" s="1232">
        <f>D222+D211</f>
        <v>2338.8630003265298</v>
      </c>
      <c r="E231" s="1232">
        <f>E222+E211</f>
        <v>2721.1193977165281</v>
      </c>
    </row>
    <row r="232" spans="2:17" ht="12.75" customHeight="1">
      <c r="B232" s="3247" t="s">
        <v>399</v>
      </c>
      <c r="C232" s="3249" t="s">
        <v>281</v>
      </c>
      <c r="D232" s="3250"/>
      <c r="E232" s="3250"/>
      <c r="F232" s="3251"/>
      <c r="G232" s="3252" t="s">
        <v>989</v>
      </c>
      <c r="H232" s="3253"/>
      <c r="I232" s="3242" t="s">
        <v>920</v>
      </c>
      <c r="J232" s="3242"/>
      <c r="K232" s="3242" t="s">
        <v>990</v>
      </c>
      <c r="L232" s="3242"/>
      <c r="M232" s="3243" t="s">
        <v>358</v>
      </c>
      <c r="N232" s="3243"/>
      <c r="O232" s="3243"/>
      <c r="P232" s="3243"/>
      <c r="Q232" s="3243"/>
    </row>
    <row r="233" spans="2:17" ht="12.75" customHeight="1">
      <c r="B233" s="3248"/>
      <c r="C233" s="1217">
        <f>C201</f>
        <v>45291</v>
      </c>
      <c r="D233" s="1217">
        <f>D201</f>
        <v>45139</v>
      </c>
      <c r="E233" s="1217">
        <f>E201</f>
        <v>45505</v>
      </c>
      <c r="F233" s="1218" t="str">
        <f>F201</f>
        <v>Obj 2024</v>
      </c>
      <c r="G233" s="1218" t="s">
        <v>440</v>
      </c>
      <c r="H233" s="1218" t="s">
        <v>599</v>
      </c>
      <c r="I233" s="1218" t="s">
        <v>440</v>
      </c>
      <c r="J233" s="1218" t="s">
        <v>599</v>
      </c>
      <c r="K233" s="1218" t="s">
        <v>440</v>
      </c>
      <c r="L233" s="1218" t="s">
        <v>599</v>
      </c>
      <c r="M233" s="1217">
        <f>M201</f>
        <v>45291</v>
      </c>
      <c r="N233" s="1217">
        <f>N201</f>
        <v>45139</v>
      </c>
      <c r="O233" s="1217">
        <f>O201</f>
        <v>45505</v>
      </c>
      <c r="P233" s="1269" t="str">
        <f>P201</f>
        <v>écart mois</v>
      </c>
      <c r="Q233" s="1269" t="str">
        <f>Q201</f>
        <v>écart année</v>
      </c>
    </row>
    <row r="234" spans="2:17" ht="12.75" customHeight="1">
      <c r="B234" s="1223" t="s">
        <v>277</v>
      </c>
      <c r="C234" s="1221">
        <f>'Solde créances_DCM'!C224</f>
        <v>1362.6618891520009</v>
      </c>
      <c r="D234" s="1221">
        <f>'Solde créances_DCM'!D224</f>
        <v>1870.6857072320004</v>
      </c>
      <c r="E234" s="1221">
        <f>'Solde créances_DCM'!E224</f>
        <v>1855.6029734520002</v>
      </c>
      <c r="F234" s="1221">
        <f>'Solde créances_DCM'!F224</f>
        <v>1324.9431774986379</v>
      </c>
      <c r="G234" s="1221">
        <f>E234-D234</f>
        <v>-15.082733780000126</v>
      </c>
      <c r="H234" s="1221">
        <f>((E234-D234)/D234)*100</f>
        <v>-0.80626765477978724</v>
      </c>
      <c r="I234" s="1221">
        <f t="shared" ref="I234:I259" si="47">E234-C234</f>
        <v>492.94108429999937</v>
      </c>
      <c r="J234" s="1221">
        <f t="shared" ref="J234:J259" si="48">I234/C234*100</f>
        <v>36.174863935378859</v>
      </c>
      <c r="K234" s="1221">
        <f>E234-F234</f>
        <v>530.65979595336239</v>
      </c>
      <c r="L234" s="1221">
        <f t="shared" ref="L234:L259" si="49">F234/E234*100</f>
        <v>71.40229868428321</v>
      </c>
      <c r="M234" s="1269">
        <f>'Solde créances_DCM'!K224</f>
        <v>75.620804187325064</v>
      </c>
      <c r="N234" s="1269">
        <f>'Solde créances_DCM'!L224</f>
        <v>104.64900042998957</v>
      </c>
      <c r="O234" s="1269">
        <f>'Solde créances_DCM'!M224</f>
        <v>106.87457201950902</v>
      </c>
      <c r="P234" s="1269">
        <f>O234-N234</f>
        <v>2.225571589519447</v>
      </c>
      <c r="Q234" s="1269">
        <f>O234-M234</f>
        <v>31.253767832183954</v>
      </c>
    </row>
    <row r="235" spans="2:17" ht="12.75" customHeight="1">
      <c r="B235" s="1314" t="s">
        <v>602</v>
      </c>
      <c r="C235" s="1315">
        <f>'Solde créances_DCM'!C225</f>
        <v>1200.9662012620001</v>
      </c>
      <c r="D235" s="1315">
        <f>'Solde créances_DCM'!D225</f>
        <v>1708.252718082</v>
      </c>
      <c r="E235" s="1315">
        <f>'Solde créances_DCM'!E225</f>
        <v>1694.7950696120001</v>
      </c>
      <c r="F235" s="1315">
        <f>'Solde créances_DCM'!F225</f>
        <v>1167.7232536082531</v>
      </c>
      <c r="G235" s="1315">
        <f>'Solde créances_DCM'!G225</f>
        <v>-13.457648469999867</v>
      </c>
      <c r="H235" s="1315">
        <f>'Solde créances_DCM'!H225</f>
        <v>-0.78780196440195982</v>
      </c>
      <c r="I235" s="1315">
        <f t="shared" si="47"/>
        <v>493.82886834999999</v>
      </c>
      <c r="J235" s="1315">
        <f t="shared" si="48"/>
        <v>41.11929776467268</v>
      </c>
      <c r="K235" s="1315">
        <f>'Solde créances_DCM'!I225</f>
        <v>527.07181600374702</v>
      </c>
      <c r="L235" s="1315">
        <f t="shared" si="49"/>
        <v>68.900557627630292</v>
      </c>
      <c r="M235" s="1365">
        <f>'Solde créances_DCM'!K225</f>
        <v>66.632520453016383</v>
      </c>
      <c r="N235" s="1365">
        <f>'Solde créances_DCM'!L225</f>
        <v>101.41916223676577</v>
      </c>
      <c r="O235" s="1365">
        <f>'Solde créances_DCM'!M225</f>
        <v>98.707330526772878</v>
      </c>
      <c r="P235" s="1365">
        <f>'Solde créances_DCM'!N225</f>
        <v>-2.711831709992893</v>
      </c>
      <c r="Q235" s="1365">
        <f>'Solde créances_DCM'!O225</f>
        <v>32.074810073756495</v>
      </c>
    </row>
    <row r="236" spans="2:17" ht="12.75" customHeight="1">
      <c r="B236" s="1223" t="s">
        <v>185</v>
      </c>
      <c r="C236" s="1221">
        <f>'Solde créances_DCM'!C231</f>
        <v>5.5537689200000022</v>
      </c>
      <c r="D236" s="1221">
        <f>'Solde créances_DCM'!D231</f>
        <v>11.433495499999999</v>
      </c>
      <c r="E236" s="1221">
        <f>'Solde créances_DCM'!E231</f>
        <v>16.490000000000016</v>
      </c>
      <c r="F236" s="1221">
        <f>'Solde créances_DCM'!F231</f>
        <v>4.5793301317809645</v>
      </c>
      <c r="G236" s="1221">
        <f t="shared" ref="G236:G259" si="50">E236-D236</f>
        <v>5.0565045000000168</v>
      </c>
      <c r="H236" s="1221">
        <f t="shared" ref="H236:H259" si="51">((E236-D236)/D236)*100</f>
        <v>44.225359602406954</v>
      </c>
      <c r="I236" s="1221">
        <f t="shared" si="47"/>
        <v>10.936231080000013</v>
      </c>
      <c r="J236" s="1221">
        <f t="shared" si="48"/>
        <v>196.91548635768606</v>
      </c>
      <c r="K236" s="1221">
        <f t="shared" ref="K236:K259" si="52">E236-F236</f>
        <v>11.910669868219053</v>
      </c>
      <c r="L236" s="1221">
        <f t="shared" si="49"/>
        <v>27.770346463195633</v>
      </c>
      <c r="M236" s="1269">
        <f>'Solde créances_DCM'!K231</f>
        <v>18.99772664539687</v>
      </c>
      <c r="N236" s="1269">
        <f>'Solde créances_DCM'!L231</f>
        <v>284.92971166978174</v>
      </c>
      <c r="O236" s="1269">
        <f>'Solde créances_DCM'!M231</f>
        <v>47.879321715480678</v>
      </c>
      <c r="P236" s="1269"/>
      <c r="Q236" s="1269"/>
    </row>
    <row r="237" spans="2:17" ht="12.75" customHeight="1">
      <c r="B237" s="2365" t="s">
        <v>1103</v>
      </c>
      <c r="C237" s="2367">
        <f>'Solde créances_DCM'!C232</f>
        <v>0</v>
      </c>
      <c r="D237" s="2367">
        <f>'Solde créances_DCM'!D232</f>
        <v>0</v>
      </c>
      <c r="E237" s="2367">
        <f>'Solde créances_DCM'!E232</f>
        <v>0</v>
      </c>
      <c r="F237" s="2367">
        <f>'Solde créances_DCM'!F232</f>
        <v>0</v>
      </c>
      <c r="G237" s="1221">
        <f>E237-D237</f>
        <v>0</v>
      </c>
      <c r="H237" s="1221" t="e">
        <f>((E237-D237)/D237)*100</f>
        <v>#DIV/0!</v>
      </c>
      <c r="I237" s="1221">
        <f>E237-C237</f>
        <v>0</v>
      </c>
      <c r="J237" s="1221" t="e">
        <f>I237/C237*100</f>
        <v>#DIV/0!</v>
      </c>
      <c r="K237" s="1221">
        <f>E237-F237</f>
        <v>0</v>
      </c>
      <c r="L237" s="1221" t="e">
        <f>F237/E237*100</f>
        <v>#DIV/0!</v>
      </c>
      <c r="M237" s="2366"/>
      <c r="N237" s="2366"/>
      <c r="O237" s="2366"/>
      <c r="P237" s="2366"/>
      <c r="Q237" s="2366"/>
    </row>
    <row r="238" spans="2:17" ht="12.75" customHeight="1">
      <c r="B238" s="2365" t="s">
        <v>1105</v>
      </c>
      <c r="C238" s="2367">
        <f>C236-C237</f>
        <v>5.5537689200000022</v>
      </c>
      <c r="D238" s="2367">
        <f>D236-D237</f>
        <v>11.433495499999999</v>
      </c>
      <c r="E238" s="2367">
        <f>E236-E237</f>
        <v>16.490000000000016</v>
      </c>
      <c r="F238" s="2367">
        <f>F236-F237</f>
        <v>4.5793301317809645</v>
      </c>
      <c r="G238" s="1221">
        <f>E238-D238</f>
        <v>5.0565045000000168</v>
      </c>
      <c r="H238" s="1221">
        <f>((E238-D238)/D238)*100</f>
        <v>44.225359602406954</v>
      </c>
      <c r="I238" s="1221">
        <f>E238-C238</f>
        <v>10.936231080000013</v>
      </c>
      <c r="J238" s="1221">
        <f>I238/C238*100</f>
        <v>196.91548635768606</v>
      </c>
      <c r="K238" s="1221">
        <f>E238-F238</f>
        <v>11.910669868219053</v>
      </c>
      <c r="L238" s="1221">
        <f>F238/E238*100</f>
        <v>27.770346463195633</v>
      </c>
      <c r="M238" s="2366"/>
      <c r="N238" s="2366"/>
      <c r="O238" s="2366"/>
      <c r="P238" s="2366"/>
      <c r="Q238" s="2366"/>
    </row>
    <row r="239" spans="2:17" ht="12.75" customHeight="1">
      <c r="B239" s="1223" t="s">
        <v>624</v>
      </c>
      <c r="C239" s="1221">
        <f>'Solde créances_DCM'!C235</f>
        <v>560.6413426199997</v>
      </c>
      <c r="D239" s="1221">
        <f>'Solde créances_DCM'!D235</f>
        <v>597.33677894000004</v>
      </c>
      <c r="E239" s="1221">
        <f>'Solde créances_DCM'!E235</f>
        <v>1084.1548809399994</v>
      </c>
      <c r="F239" s="1221">
        <f>'Solde créances_DCM'!F235</f>
        <v>176.89118714651096</v>
      </c>
      <c r="G239" s="1221">
        <f t="shared" si="50"/>
        <v>486.81810199999939</v>
      </c>
      <c r="H239" s="1221">
        <f t="shared" si="51"/>
        <v>81.498096076367361</v>
      </c>
      <c r="I239" s="1221">
        <f t="shared" si="47"/>
        <v>523.51353831999972</v>
      </c>
      <c r="J239" s="1221">
        <f t="shared" si="48"/>
        <v>93.377619258955534</v>
      </c>
      <c r="K239" s="1221">
        <f t="shared" si="52"/>
        <v>907.26369379348853</v>
      </c>
      <c r="L239" s="1221">
        <f t="shared" si="49"/>
        <v>16.316043976404941</v>
      </c>
      <c r="M239" s="1269">
        <f>'Solde créances_DCM'!K235</f>
        <v>65.729325579567444</v>
      </c>
      <c r="N239" s="1269">
        <f>'Solde créances_DCM'!L235</f>
        <v>72.174816683685151</v>
      </c>
      <c r="O239" s="1269">
        <f>'Solde créances_DCM'!M235</f>
        <v>143.54679843689797</v>
      </c>
      <c r="P239" s="1269"/>
      <c r="Q239" s="1269"/>
    </row>
    <row r="240" spans="2:17" ht="12.75" customHeight="1">
      <c r="B240" s="1224" t="s">
        <v>625</v>
      </c>
      <c r="C240" s="1225">
        <f>C234+C236+C239</f>
        <v>1928.8570006920006</v>
      </c>
      <c r="D240" s="1225">
        <f>D234+D236+D239</f>
        <v>2479.4559816720002</v>
      </c>
      <c r="E240" s="1225">
        <f>E234+E236+E239</f>
        <v>2956.2478543919997</v>
      </c>
      <c r="F240" s="1225">
        <f>F234+F236+F239</f>
        <v>1506.4136947769298</v>
      </c>
      <c r="G240" s="1225">
        <f t="shared" si="50"/>
        <v>476.79187271999945</v>
      </c>
      <c r="H240" s="1225">
        <f t="shared" si="51"/>
        <v>19.229697007908921</v>
      </c>
      <c r="I240" s="1225">
        <f t="shared" si="47"/>
        <v>1027.3908536999991</v>
      </c>
      <c r="J240" s="1225">
        <f t="shared" si="48"/>
        <v>53.264231269161485</v>
      </c>
      <c r="K240" s="1225">
        <f t="shared" si="52"/>
        <v>1449.8341596150699</v>
      </c>
      <c r="L240" s="1225">
        <f t="shared" si="49"/>
        <v>50.95694843512193</v>
      </c>
      <c r="M240" s="1226"/>
      <c r="N240" s="1226"/>
      <c r="O240" s="1226"/>
      <c r="P240" s="1226">
        <f>O240-N240</f>
        <v>0</v>
      </c>
      <c r="Q240" s="1226">
        <f>O240-M240</f>
        <v>0</v>
      </c>
    </row>
    <row r="241" spans="2:20" ht="12.75" customHeight="1">
      <c r="B241" s="1220" t="s">
        <v>636</v>
      </c>
      <c r="C241" s="1221">
        <f>'Solde créances_DCM'!C236</f>
        <v>185.31006396999874</v>
      </c>
      <c r="D241" s="1221">
        <f>'Solde créances_DCM'!D236</f>
        <v>306.97636126999981</v>
      </c>
      <c r="E241" s="1221">
        <f>'Solde créances_DCM'!E236</f>
        <v>516.60769722999862</v>
      </c>
      <c r="F241" s="1221">
        <f>'Solde créances_DCM'!F236</f>
        <v>58.46824826128978</v>
      </c>
      <c r="G241" s="1221">
        <f t="shared" si="50"/>
        <v>209.63133595999881</v>
      </c>
      <c r="H241" s="1221">
        <f t="shared" si="51"/>
        <v>68.289080987450504</v>
      </c>
      <c r="I241" s="1221">
        <f t="shared" si="47"/>
        <v>331.29763325999988</v>
      </c>
      <c r="J241" s="1221">
        <f t="shared" si="48"/>
        <v>178.78016237349971</v>
      </c>
      <c r="K241" s="1221">
        <f t="shared" si="52"/>
        <v>458.13944896870885</v>
      </c>
      <c r="L241" s="1221">
        <f t="shared" si="49"/>
        <v>11.317726889241289</v>
      </c>
      <c r="M241" s="1269">
        <f>'Solde créances_DCM'!K236</f>
        <v>22.438382038199702</v>
      </c>
      <c r="N241" s="1269">
        <f>'Solde créances_DCM'!L236</f>
        <v>40.776807464952988</v>
      </c>
      <c r="O241" s="1269">
        <f>'Solde créances_DCM'!M236</f>
        <v>69.503631017140535</v>
      </c>
      <c r="P241" s="1269"/>
      <c r="Q241" s="1269"/>
    </row>
    <row r="242" spans="2:20" ht="12.75" customHeight="1">
      <c r="B242" s="1220" t="s">
        <v>626</v>
      </c>
      <c r="C242" s="1221">
        <f>'Solde créances_DCM'!C237</f>
        <v>375.33127865000097</v>
      </c>
      <c r="D242" s="1221">
        <f>'Solde créances_DCM'!D237</f>
        <v>290.36041767000023</v>
      </c>
      <c r="E242" s="1221">
        <f>'Solde créances_DCM'!E237</f>
        <v>567.54718371000081</v>
      </c>
      <c r="F242" s="1221">
        <f>'Solde créances_DCM'!F237</f>
        <v>118.42293888522119</v>
      </c>
      <c r="G242" s="1221">
        <f t="shared" si="50"/>
        <v>277.18676604000058</v>
      </c>
      <c r="H242" s="1221">
        <f t="shared" si="51"/>
        <v>95.463000178980408</v>
      </c>
      <c r="I242" s="1221">
        <f t="shared" si="47"/>
        <v>192.21590505999984</v>
      </c>
      <c r="J242" s="1221">
        <f t="shared" si="48"/>
        <v>51.212333209042917</v>
      </c>
      <c r="K242" s="1221">
        <f t="shared" si="52"/>
        <v>449.12424482477962</v>
      </c>
      <c r="L242" s="1221">
        <f t="shared" si="49"/>
        <v>20.865743375044509</v>
      </c>
      <c r="M242" s="1269"/>
      <c r="N242" s="1269"/>
      <c r="O242" s="1269"/>
      <c r="P242" s="1269"/>
      <c r="Q242" s="1269"/>
      <c r="T242" s="1232">
        <f>C243+C256</f>
        <v>1587.5190391819997</v>
      </c>
    </row>
    <row r="243" spans="2:20" ht="12.75" customHeight="1">
      <c r="B243" s="1224" t="s">
        <v>620</v>
      </c>
      <c r="C243" s="1225">
        <f>C240-C242</f>
        <v>1553.5257220419996</v>
      </c>
      <c r="D243" s="1225">
        <f>D240-D242</f>
        <v>2189.0955640020002</v>
      </c>
      <c r="E243" s="1225">
        <f>E240-E242</f>
        <v>2388.7006706819989</v>
      </c>
      <c r="F243" s="1225">
        <f>F240-F242</f>
        <v>1387.9907558917087</v>
      </c>
      <c r="G243" s="1225">
        <f t="shared" si="50"/>
        <v>199.6051066799987</v>
      </c>
      <c r="H243" s="1225">
        <f t="shared" si="51"/>
        <v>9.1181540889466763</v>
      </c>
      <c r="I243" s="1225">
        <f t="shared" si="47"/>
        <v>835.17494863999923</v>
      </c>
      <c r="J243" s="1225">
        <f t="shared" si="48"/>
        <v>53.759969132807207</v>
      </c>
      <c r="K243" s="1225">
        <f t="shared" si="52"/>
        <v>1000.7099147902902</v>
      </c>
      <c r="L243" s="1225">
        <f t="shared" si="49"/>
        <v>58.106516774051173</v>
      </c>
      <c r="M243" s="1226"/>
      <c r="N243" s="1226"/>
      <c r="O243" s="1226"/>
      <c r="P243" s="1226">
        <f>O243-N243</f>
        <v>0</v>
      </c>
      <c r="Q243" s="1226">
        <f>O243-M243</f>
        <v>0</v>
      </c>
    </row>
    <row r="244" spans="2:20" ht="12.75" customHeight="1">
      <c r="B244" s="1223" t="s">
        <v>234</v>
      </c>
      <c r="C244" s="1221">
        <f>'Solde créances_DCM'!C228</f>
        <v>373.59692632000304</v>
      </c>
      <c r="D244" s="1221">
        <f>'Solde créances_DCM'!D228</f>
        <v>375.87884878000398</v>
      </c>
      <c r="E244" s="1221">
        <f>'Solde créances_DCM'!E228</f>
        <v>454.19999999999993</v>
      </c>
      <c r="F244" s="1221">
        <f>'Solde créances_DCM'!F228</f>
        <v>192.8840567726898</v>
      </c>
      <c r="G244" s="1221">
        <f t="shared" si="50"/>
        <v>78.321151219995954</v>
      </c>
      <c r="H244" s="1221">
        <f t="shared" si="51"/>
        <v>20.836807251646157</v>
      </c>
      <c r="I244" s="1221">
        <f t="shared" si="47"/>
        <v>80.603073679996896</v>
      </c>
      <c r="J244" s="1221">
        <f t="shared" si="48"/>
        <v>21.574876023192076</v>
      </c>
      <c r="K244" s="1221">
        <f t="shared" si="52"/>
        <v>261.31594322731013</v>
      </c>
      <c r="L244" s="1221">
        <f t="shared" si="49"/>
        <v>42.466767233088909</v>
      </c>
      <c r="M244" s="1269">
        <f>'Solde créances_DCM'!K228</f>
        <v>224.43289111846195</v>
      </c>
      <c r="N244" s="1269">
        <f>'Solde créances_DCM'!L228</f>
        <v>228.31565613847545</v>
      </c>
      <c r="O244" s="1269">
        <f>'Solde créances_DCM'!M228</f>
        <v>261.38654175214862</v>
      </c>
      <c r="P244" s="1269">
        <f>O244-N244</f>
        <v>33.07088561367317</v>
      </c>
      <c r="Q244" s="1269">
        <f>O244-M244</f>
        <v>36.953650633686664</v>
      </c>
    </row>
    <row r="245" spans="2:20" ht="12.75" customHeight="1">
      <c r="B245" s="2365" t="s">
        <v>1101</v>
      </c>
      <c r="C245" s="2367">
        <f>'Solde créances_DCM'!C229</f>
        <v>0</v>
      </c>
      <c r="D245" s="2367">
        <f>'Solde créances_DCM'!D229</f>
        <v>0</v>
      </c>
      <c r="E245" s="2367">
        <f>'Solde créances_DCM'!E229</f>
        <v>0</v>
      </c>
      <c r="F245" s="2367">
        <f>'Solde créances_DCM'!F229</f>
        <v>0</v>
      </c>
      <c r="G245" s="1221">
        <f>E245-D245</f>
        <v>0</v>
      </c>
      <c r="H245" s="1221" t="e">
        <f>((E245-D245)/D245)*100</f>
        <v>#DIV/0!</v>
      </c>
      <c r="I245" s="1221">
        <f>E245-C245</f>
        <v>0</v>
      </c>
      <c r="J245" s="1221" t="e">
        <f>I245/C245*100</f>
        <v>#DIV/0!</v>
      </c>
      <c r="K245" s="1221">
        <f>E245-F245</f>
        <v>0</v>
      </c>
      <c r="L245" s="1221" t="e">
        <f>F245/E245*100</f>
        <v>#DIV/0!</v>
      </c>
      <c r="M245" s="2366"/>
      <c r="N245" s="2366"/>
      <c r="O245" s="2366"/>
      <c r="P245" s="2366"/>
      <c r="Q245" s="2366"/>
    </row>
    <row r="246" spans="2:20" ht="12.75" customHeight="1">
      <c r="B246" s="2365" t="s">
        <v>1106</v>
      </c>
      <c r="C246" s="2367">
        <f>C244-C245</f>
        <v>373.59692632000304</v>
      </c>
      <c r="D246" s="2367">
        <f>D244-D245</f>
        <v>375.87884878000398</v>
      </c>
      <c r="E246" s="2367">
        <f>E244-E245</f>
        <v>454.19999999999993</v>
      </c>
      <c r="F246" s="2367">
        <f>F244-F245</f>
        <v>192.8840567726898</v>
      </c>
      <c r="G246" s="1221">
        <f>E246-D246</f>
        <v>78.321151219995954</v>
      </c>
      <c r="H246" s="1221">
        <f>((E246-D246)/D246)*100</f>
        <v>20.836807251646157</v>
      </c>
      <c r="I246" s="1221">
        <f>E246-C246</f>
        <v>80.603073679996896</v>
      </c>
      <c r="J246" s="1221">
        <f>I246/C246*100</f>
        <v>21.574876023192076</v>
      </c>
      <c r="K246" s="1221">
        <f>E246-F246</f>
        <v>261.31594322731013</v>
      </c>
      <c r="L246" s="1221">
        <f>F246/E246*100</f>
        <v>42.466767233088909</v>
      </c>
      <c r="M246" s="2366"/>
      <c r="N246" s="2366"/>
      <c r="O246" s="2366"/>
      <c r="P246" s="2366"/>
      <c r="Q246" s="2366"/>
    </row>
    <row r="247" spans="2:20" ht="12.75" customHeight="1">
      <c r="B247" s="1223" t="s">
        <v>187</v>
      </c>
      <c r="C247" s="1221">
        <f>'Solde créances_DCM'!C238</f>
        <v>257.19442016000107</v>
      </c>
      <c r="D247" s="1221">
        <f>'Solde créances_DCM'!D238</f>
        <v>261.66361362999902</v>
      </c>
      <c r="E247" s="1221">
        <f>'Solde créances_DCM'!E238</f>
        <v>246.54579957000004</v>
      </c>
      <c r="F247" s="1221">
        <f>'Solde créances_DCM'!F238</f>
        <v>166.7848793406958</v>
      </c>
      <c r="G247" s="1221">
        <f t="shared" si="50"/>
        <v>-15.117814059998977</v>
      </c>
      <c r="H247" s="1221">
        <f t="shared" si="51"/>
        <v>-5.7775759687306261</v>
      </c>
      <c r="I247" s="1221">
        <f t="shared" si="47"/>
        <v>-10.64862059000103</v>
      </c>
      <c r="J247" s="1221">
        <f t="shared" si="48"/>
        <v>-4.1403000047110297</v>
      </c>
      <c r="K247" s="1221">
        <f t="shared" si="52"/>
        <v>79.760920229304247</v>
      </c>
      <c r="L247" s="1221">
        <f t="shared" si="49"/>
        <v>67.648639575926623</v>
      </c>
      <c r="M247" s="1269">
        <f>'Solde créances_DCM'!K238</f>
        <v>279.87932882410212</v>
      </c>
      <c r="N247" s="1269">
        <f>'Solde créances_DCM'!L238</f>
        <v>284.92971166978174</v>
      </c>
      <c r="O247" s="1269">
        <f>'Solde créances_DCM'!M238</f>
        <v>305.56855021036063</v>
      </c>
      <c r="P247" s="1269"/>
      <c r="Q247" s="1269"/>
    </row>
    <row r="248" spans="2:20" ht="12.75" customHeight="1">
      <c r="B248" s="1224" t="s">
        <v>621</v>
      </c>
      <c r="C248" s="1225">
        <f>C244+C247</f>
        <v>630.79134648000411</v>
      </c>
      <c r="D248" s="1225">
        <f>D244+D247</f>
        <v>637.54246241000305</v>
      </c>
      <c r="E248" s="1225">
        <f>E244+E247</f>
        <v>700.74579956999992</v>
      </c>
      <c r="F248" s="1225">
        <f>SUM(F244:F247)</f>
        <v>552.55299288607534</v>
      </c>
      <c r="G248" s="1225">
        <f t="shared" si="50"/>
        <v>63.203337159996863</v>
      </c>
      <c r="H248" s="1225">
        <f t="shared" si="51"/>
        <v>9.9135886449161479</v>
      </c>
      <c r="I248" s="1225">
        <f t="shared" si="47"/>
        <v>69.954453089995809</v>
      </c>
      <c r="J248" s="1225">
        <f t="shared" si="48"/>
        <v>11.089951293777514</v>
      </c>
      <c r="K248" s="1225">
        <f t="shared" si="52"/>
        <v>148.19280668392457</v>
      </c>
      <c r="L248" s="1225">
        <f t="shared" si="49"/>
        <v>78.852130576471467</v>
      </c>
      <c r="M248" s="1226"/>
      <c r="N248" s="1226"/>
      <c r="O248" s="1226"/>
      <c r="P248" s="1226"/>
      <c r="Q248" s="1226"/>
      <c r="R248" s="1214">
        <f>E253/E257</f>
        <v>1.2413736484921474E-2</v>
      </c>
    </row>
    <row r="249" spans="2:20" ht="12.75" customHeight="1">
      <c r="B249" s="1220" t="s">
        <v>917</v>
      </c>
      <c r="C249" s="1221">
        <f>C247-C250</f>
        <v>243.72250869000106</v>
      </c>
      <c r="D249" s="1221">
        <f>D247-D250</f>
        <v>247.06883602999901</v>
      </c>
      <c r="E249" s="1221">
        <f>E247-E250</f>
        <v>213.49439697000003</v>
      </c>
      <c r="F249" s="1221">
        <f>'Solde créances_DCM'!$F$239</f>
        <v>158.04864343163263</v>
      </c>
      <c r="G249" s="1221">
        <f t="shared" si="50"/>
        <v>-33.57443905999898</v>
      </c>
      <c r="H249" s="1221">
        <f t="shared" si="51"/>
        <v>-13.589103182532655</v>
      </c>
      <c r="I249" s="1221">
        <f t="shared" si="47"/>
        <v>-30.228111720001039</v>
      </c>
      <c r="J249" s="1221">
        <f t="shared" si="48"/>
        <v>-12.402675437109176</v>
      </c>
      <c r="K249" s="1221">
        <f t="shared" si="52"/>
        <v>55.445753538367399</v>
      </c>
      <c r="L249" s="1221">
        <f t="shared" si="49"/>
        <v>74.029410455133132</v>
      </c>
      <c r="M249" s="1269"/>
      <c r="N249" s="1269"/>
      <c r="O249" s="1269"/>
      <c r="P249" s="1269"/>
      <c r="Q249" s="1269"/>
    </row>
    <row r="250" spans="2:20" ht="12.75" customHeight="1">
      <c r="B250" s="1220" t="s">
        <v>918</v>
      </c>
      <c r="C250" s="1221">
        <f>'Solde créances_DCM'!C240</f>
        <v>13.47191147</v>
      </c>
      <c r="D250" s="1221">
        <f>'Solde créances_DCM'!D240</f>
        <v>14.594777600000008</v>
      </c>
      <c r="E250" s="1221">
        <f>'Solde créances_DCM'!E240</f>
        <v>33.051402600000017</v>
      </c>
      <c r="F250" s="1221">
        <f>'Solde créances_DCM'!$F$240</f>
        <v>8.7362359090631685</v>
      </c>
      <c r="G250" s="1221">
        <f t="shared" si="50"/>
        <v>18.45662500000001</v>
      </c>
      <c r="H250" s="1221">
        <f t="shared" si="51"/>
        <v>126.46047446450983</v>
      </c>
      <c r="I250" s="1221">
        <f t="shared" si="47"/>
        <v>19.579491130000015</v>
      </c>
      <c r="J250" s="1221">
        <f t="shared" si="48"/>
        <v>145.33565762810062</v>
      </c>
      <c r="K250" s="1221">
        <f t="shared" si="52"/>
        <v>24.315166690936849</v>
      </c>
      <c r="L250" s="1221">
        <f t="shared" si="49"/>
        <v>26.432269803470199</v>
      </c>
      <c r="M250" s="1269"/>
      <c r="N250" s="1269"/>
      <c r="O250" s="1269"/>
      <c r="P250" s="1269"/>
      <c r="Q250" s="1269"/>
    </row>
    <row r="251" spans="2:20" ht="12.75" customHeight="1">
      <c r="B251" s="1228" t="s">
        <v>635</v>
      </c>
      <c r="C251" s="1229">
        <f>C240+C248</f>
        <v>2559.6483471720048</v>
      </c>
      <c r="D251" s="1229">
        <f>D240+D248</f>
        <v>3116.9984440820035</v>
      </c>
      <c r="E251" s="1229">
        <f>E240+E248</f>
        <v>3656.9936539619994</v>
      </c>
      <c r="F251" s="1229">
        <f>F240+F248</f>
        <v>2058.9666876630054</v>
      </c>
      <c r="G251" s="1229">
        <f t="shared" si="50"/>
        <v>539.99520987999585</v>
      </c>
      <c r="H251" s="1229">
        <f t="shared" si="51"/>
        <v>17.324205307360412</v>
      </c>
      <c r="I251" s="1229">
        <f t="shared" si="47"/>
        <v>1097.3453067899945</v>
      </c>
      <c r="J251" s="1229">
        <f t="shared" si="48"/>
        <v>42.870939986829939</v>
      </c>
      <c r="K251" s="1229">
        <f t="shared" si="52"/>
        <v>1598.026966298994</v>
      </c>
      <c r="L251" s="1229">
        <f t="shared" si="49"/>
        <v>56.302167367239306</v>
      </c>
      <c r="M251" s="1271">
        <f>'Solde créances_DCM'!K241</f>
        <v>82.94751605280571</v>
      </c>
      <c r="N251" s="1271">
        <f>'Solde créances_DCM'!L241</f>
        <v>103.79783773689978</v>
      </c>
      <c r="O251" s="1271">
        <f>'Solde créances_DCM'!M241</f>
        <v>123.97589933042445</v>
      </c>
      <c r="P251" s="1271">
        <f>O251-N251</f>
        <v>20.178061593524674</v>
      </c>
      <c r="Q251" s="1271">
        <f>O251-M251</f>
        <v>41.028383277618744</v>
      </c>
    </row>
    <row r="252" spans="2:20" ht="12.75" customHeight="1">
      <c r="B252" s="1228" t="s">
        <v>622</v>
      </c>
      <c r="C252" s="1229">
        <f>C251-(C242+C250)</f>
        <v>2170.8451570520037</v>
      </c>
      <c r="D252" s="1229">
        <f>D251-(D242+D250)</f>
        <v>2812.0432488120032</v>
      </c>
      <c r="E252" s="1229">
        <f>E251-(E242+E250)</f>
        <v>3056.3950676519985</v>
      </c>
      <c r="F252" s="1229">
        <f>F251-(F242+F250)</f>
        <v>1931.807512868721</v>
      </c>
      <c r="G252" s="1229">
        <f t="shared" si="50"/>
        <v>244.3518188399953</v>
      </c>
      <c r="H252" s="1229">
        <f t="shared" si="51"/>
        <v>8.6894758444140567</v>
      </c>
      <c r="I252" s="1229">
        <f t="shared" si="47"/>
        <v>885.54991059999475</v>
      </c>
      <c r="J252" s="1229">
        <f t="shared" si="48"/>
        <v>40.792863909398626</v>
      </c>
      <c r="K252" s="1229">
        <f t="shared" si="52"/>
        <v>1124.5875547832775</v>
      </c>
      <c r="L252" s="1229">
        <f t="shared" si="49"/>
        <v>63.205425676621886</v>
      </c>
      <c r="M252" s="1271"/>
      <c r="N252" s="1271"/>
      <c r="O252" s="1271"/>
      <c r="P252" s="1271"/>
      <c r="Q252" s="1271"/>
    </row>
    <row r="253" spans="2:20" ht="12.75" customHeight="1">
      <c r="B253" s="1224" t="s">
        <v>623</v>
      </c>
      <c r="C253" s="1225">
        <f>'Solde créances_DCM'!C242</f>
        <v>57.204291219999988</v>
      </c>
      <c r="D253" s="1225">
        <f>'Solde créances_DCM'!D242</f>
        <v>87.389948289999978</v>
      </c>
      <c r="E253" s="1225">
        <f>'Solde créances_DCM'!E242</f>
        <v>47.659614929999982</v>
      </c>
      <c r="F253" s="1225">
        <f>'Solde créances_DCM'!F242</f>
        <v>3.3106748727708082</v>
      </c>
      <c r="G253" s="1225">
        <f t="shared" si="50"/>
        <v>-39.730333359999996</v>
      </c>
      <c r="H253" s="1225">
        <f t="shared" si="51"/>
        <v>-45.463275968714967</v>
      </c>
      <c r="I253" s="1225">
        <f t="shared" si="47"/>
        <v>-9.5446762900000053</v>
      </c>
      <c r="J253" s="1225">
        <f t="shared" si="48"/>
        <v>-16.685245261220818</v>
      </c>
      <c r="K253" s="1225">
        <f t="shared" si="52"/>
        <v>44.348940057229171</v>
      </c>
      <c r="L253" s="1225">
        <f t="shared" si="49"/>
        <v>6.9464994159800897</v>
      </c>
      <c r="M253" s="1227"/>
      <c r="N253" s="1227"/>
      <c r="O253" s="1227"/>
      <c r="P253" s="1227"/>
      <c r="Q253" s="1227"/>
    </row>
    <row r="254" spans="2:20" ht="12.75" customHeight="1">
      <c r="B254" s="1224" t="s">
        <v>627</v>
      </c>
      <c r="C254" s="1225">
        <f>'Solde créances_DCM'!C246</f>
        <v>56.895809969999974</v>
      </c>
      <c r="D254" s="1225">
        <f>'Solde créances_DCM'!D246</f>
        <v>92.246367250000006</v>
      </c>
      <c r="E254" s="1225">
        <f>'Solde créances_DCM'!E246</f>
        <v>134.61099999999999</v>
      </c>
      <c r="F254" s="1225">
        <f>'Solde créances_DCM'!F246</f>
        <v>16.137875724868913</v>
      </c>
      <c r="G254" s="1225">
        <f t="shared" si="50"/>
        <v>42.364632749999984</v>
      </c>
      <c r="H254" s="1225">
        <f t="shared" si="51"/>
        <v>45.925529658188225</v>
      </c>
      <c r="I254" s="1225">
        <f t="shared" si="47"/>
        <v>77.715190030000016</v>
      </c>
      <c r="J254" s="1225">
        <f t="shared" si="48"/>
        <v>136.59211472862006</v>
      </c>
      <c r="K254" s="1225">
        <f t="shared" si="52"/>
        <v>118.47312427513108</v>
      </c>
      <c r="L254" s="1225">
        <f t="shared" si="49"/>
        <v>11.988526736202029</v>
      </c>
      <c r="M254" s="1219">
        <f>'Solde créances_DCM'!K246</f>
        <v>41.724888638674088</v>
      </c>
      <c r="N254" s="1219">
        <f>'Solde créances_DCM'!L246</f>
        <v>14.690657363988077</v>
      </c>
      <c r="O254" s="1219">
        <f>'Solde créances_DCM'!M246</f>
        <v>48.431074119398232</v>
      </c>
      <c r="P254" s="1219">
        <f>O254-N254</f>
        <v>33.740416755410152</v>
      </c>
      <c r="Q254" s="1219">
        <f>O254-M254</f>
        <v>6.7061854807241446</v>
      </c>
    </row>
    <row r="255" spans="2:20" ht="12.75" customHeight="1">
      <c r="B255" s="1220" t="s">
        <v>1021</v>
      </c>
      <c r="C255" s="1222">
        <f>'calcul-DCC-TX-Encais'!BC10</f>
        <v>22.90249283</v>
      </c>
      <c r="D255" s="1222">
        <f>'calcul-DCC-TX-Encais'!$Q$26</f>
        <v>31.896805980000003</v>
      </c>
      <c r="E255" s="1222">
        <f>'Feuil-saisie'!C178/1000</f>
        <v>81.298312800000019</v>
      </c>
      <c r="F255" s="1222"/>
      <c r="G255" s="1222">
        <f t="shared" si="50"/>
        <v>49.401506820000016</v>
      </c>
      <c r="H255" s="1222">
        <f t="shared" si="51"/>
        <v>154.87916517715237</v>
      </c>
      <c r="I255" s="1222">
        <f t="shared" si="47"/>
        <v>58.395819970000019</v>
      </c>
      <c r="J255" s="1222">
        <f t="shared" si="48"/>
        <v>254.97582469934136</v>
      </c>
      <c r="K255" s="1222">
        <f t="shared" si="52"/>
        <v>81.298312800000019</v>
      </c>
      <c r="L255" s="1222">
        <f t="shared" si="49"/>
        <v>0</v>
      </c>
      <c r="M255" s="1269"/>
      <c r="N255" s="1269"/>
      <c r="O255" s="1269"/>
      <c r="P255" s="1269"/>
      <c r="Q255" s="1269"/>
    </row>
    <row r="256" spans="2:20" ht="12.75" customHeight="1">
      <c r="B256" s="1224" t="s">
        <v>629</v>
      </c>
      <c r="C256" s="1225">
        <f>C254-C255</f>
        <v>33.993317139999974</v>
      </c>
      <c r="D256" s="1225">
        <f>D254-D255</f>
        <v>60.349561270000002</v>
      </c>
      <c r="E256" s="1225">
        <f>E254-E255</f>
        <v>53.312687199999971</v>
      </c>
      <c r="F256" s="1225">
        <f>F254-F255</f>
        <v>16.137875724868913</v>
      </c>
      <c r="G256" s="1225">
        <f t="shared" si="50"/>
        <v>-7.0368740700000316</v>
      </c>
      <c r="H256" s="1225">
        <f t="shared" si="51"/>
        <v>-11.660190930829664</v>
      </c>
      <c r="I256" s="1225">
        <f t="shared" si="47"/>
        <v>19.319370059999997</v>
      </c>
      <c r="J256" s="1225">
        <f t="shared" si="48"/>
        <v>56.832847410666119</v>
      </c>
      <c r="K256" s="1225">
        <f t="shared" si="52"/>
        <v>37.174811475131058</v>
      </c>
      <c r="L256" s="1225">
        <f t="shared" si="49"/>
        <v>30.270235046169127</v>
      </c>
      <c r="M256" s="1219"/>
      <c r="N256" s="1219"/>
      <c r="O256" s="1219"/>
      <c r="P256" s="1219">
        <f>O256-N256</f>
        <v>0</v>
      </c>
      <c r="Q256" s="1219">
        <f>O256-M256</f>
        <v>0</v>
      </c>
    </row>
    <row r="257" spans="2:18" ht="12.75" customHeight="1">
      <c r="B257" s="1230" t="s">
        <v>632</v>
      </c>
      <c r="C257" s="1231">
        <f>C251+C253+C254</f>
        <v>2673.7484483620046</v>
      </c>
      <c r="D257" s="1231">
        <f>D251+D253+D254</f>
        <v>3296.6347596220035</v>
      </c>
      <c r="E257" s="1231">
        <f>E251+E253+E254</f>
        <v>3839.2642688919991</v>
      </c>
      <c r="F257" s="1231">
        <f>F251+F253+F254</f>
        <v>2078.4152382606453</v>
      </c>
      <c r="G257" s="1231">
        <f t="shared" si="50"/>
        <v>542.62950926999565</v>
      </c>
      <c r="H257" s="1231">
        <f t="shared" si="51"/>
        <v>16.460103979860186</v>
      </c>
      <c r="I257" s="1275">
        <f t="shared" si="47"/>
        <v>1165.5158205299945</v>
      </c>
      <c r="J257" s="1275">
        <f t="shared" si="48"/>
        <v>43.591079828172106</v>
      </c>
      <c r="K257" s="1231">
        <f t="shared" si="52"/>
        <v>1760.8490306313538</v>
      </c>
      <c r="L257" s="1231">
        <f t="shared" si="49"/>
        <v>54.135769061306895</v>
      </c>
      <c r="M257" s="1269"/>
      <c r="N257" s="1269"/>
      <c r="O257" s="1269"/>
      <c r="P257" s="1269"/>
      <c r="Q257" s="1269"/>
    </row>
    <row r="258" spans="2:18" ht="12.75" customHeight="1">
      <c r="B258" s="1220" t="s">
        <v>638</v>
      </c>
      <c r="C258" s="1222">
        <f>C237+C242+C250+C245+C255</f>
        <v>411.70568295000101</v>
      </c>
      <c r="D258" s="1222">
        <f>D237+D242+D250+D245+D255</f>
        <v>336.85200125000023</v>
      </c>
      <c r="E258" s="1222">
        <f>E237+E242+E250+E245+E255</f>
        <v>681.89689911000096</v>
      </c>
      <c r="F258" s="1222">
        <f>F237+F242+F250+F245+F255</f>
        <v>127.15917479428435</v>
      </c>
      <c r="G258" s="1222">
        <f t="shared" si="50"/>
        <v>345.04489786000073</v>
      </c>
      <c r="H258" s="1222">
        <f t="shared" si="51"/>
        <v>102.43219472634809</v>
      </c>
      <c r="I258" s="1222">
        <f t="shared" si="47"/>
        <v>270.19121615999995</v>
      </c>
      <c r="J258" s="1222">
        <f t="shared" si="48"/>
        <v>65.627273887500095</v>
      </c>
      <c r="K258" s="1222">
        <f t="shared" si="52"/>
        <v>554.7377243157166</v>
      </c>
      <c r="L258" s="1222">
        <f t="shared" si="49"/>
        <v>18.647859369979557</v>
      </c>
      <c r="M258" s="1269"/>
      <c r="N258" s="1269"/>
      <c r="O258" s="1269"/>
      <c r="P258" s="1269"/>
      <c r="Q258" s="1269"/>
    </row>
    <row r="259" spans="2:18" ht="12.75" customHeight="1">
      <c r="B259" s="1230" t="s">
        <v>633</v>
      </c>
      <c r="C259" s="1231">
        <f>C257-C258</f>
        <v>2262.0427654120035</v>
      </c>
      <c r="D259" s="1231">
        <f>D257-D258</f>
        <v>2959.7827583720032</v>
      </c>
      <c r="E259" s="1231">
        <f>E257-E258</f>
        <v>3157.3673697819981</v>
      </c>
      <c r="F259" s="1231">
        <f>F257-F258</f>
        <v>1951.256063466361</v>
      </c>
      <c r="G259" s="1231">
        <f t="shared" si="50"/>
        <v>197.58461140999498</v>
      </c>
      <c r="H259" s="1231">
        <f t="shared" si="51"/>
        <v>6.6756457328197376</v>
      </c>
      <c r="I259" s="1275">
        <f t="shared" si="47"/>
        <v>895.32460436999463</v>
      </c>
      <c r="J259" s="1275">
        <f t="shared" si="48"/>
        <v>39.580357102882715</v>
      </c>
      <c r="K259" s="1231">
        <f t="shared" si="52"/>
        <v>1206.1113063156372</v>
      </c>
      <c r="L259" s="1231">
        <f t="shared" si="49"/>
        <v>61.800095932488411</v>
      </c>
      <c r="M259" s="1269"/>
      <c r="N259" s="1269"/>
      <c r="O259" s="1269"/>
      <c r="P259" s="1269"/>
      <c r="Q259" s="1269"/>
    </row>
    <row r="260" spans="2:18" ht="12.75" customHeight="1">
      <c r="B260" s="1220" t="s">
        <v>999</v>
      </c>
      <c r="C260" s="1222">
        <v>0</v>
      </c>
      <c r="D260" s="1222">
        <f>'Sans ADE APC DSA'!$E$139</f>
        <v>622.74229659000048</v>
      </c>
      <c r="E260" s="1222">
        <f>'Sans ADE APC DSA'!$F$139</f>
        <v>1061.9841137400031</v>
      </c>
      <c r="F260" s="1222"/>
      <c r="G260" s="1222"/>
      <c r="H260" s="1222"/>
      <c r="I260" s="1222"/>
      <c r="J260" s="1222"/>
      <c r="K260" s="1222"/>
      <c r="L260" s="1222"/>
    </row>
    <row r="261" spans="2:18" ht="12.75" customHeight="1">
      <c r="B261" s="2093" t="s">
        <v>1000</v>
      </c>
      <c r="C261" s="1275">
        <f>C259-C260</f>
        <v>2262.0427654120035</v>
      </c>
      <c r="D261" s="1275">
        <f>D259-D260</f>
        <v>2337.0404617820027</v>
      </c>
      <c r="E261" s="1275">
        <f>E259-E260</f>
        <v>2095.3832560419951</v>
      </c>
      <c r="F261" s="1275">
        <f>F259-F260</f>
        <v>1951.256063466361</v>
      </c>
      <c r="G261" s="1275">
        <f>E261-D261</f>
        <v>-241.65720574000761</v>
      </c>
      <c r="H261" s="2035">
        <f>((E261-D261)/D261)*100</f>
        <v>-10.340309022965869</v>
      </c>
      <c r="I261" s="1275">
        <f>E261-C261</f>
        <v>-166.65950937000844</v>
      </c>
      <c r="J261" s="1275">
        <f>I261/C261*100</f>
        <v>-7.3676551088393518</v>
      </c>
      <c r="K261" s="1275">
        <f>E261-F261</f>
        <v>144.12719257563413</v>
      </c>
      <c r="L261" s="1275">
        <f>F261/E261*100</f>
        <v>93.121678711517504</v>
      </c>
    </row>
    <row r="262" spans="2:18" ht="12.75" customHeight="1">
      <c r="C262" s="1232">
        <f>C243+C256</f>
        <v>1587.5190391819997</v>
      </c>
      <c r="D262" s="1232">
        <f>D243+D256</f>
        <v>2249.445125272</v>
      </c>
      <c r="F262" s="1214">
        <f>F240+F254</f>
        <v>1522.5515705017988</v>
      </c>
    </row>
    <row r="264" spans="2:18" ht="12.75" customHeight="1">
      <c r="B264" s="3247" t="s">
        <v>883</v>
      </c>
      <c r="C264" s="3249" t="s">
        <v>281</v>
      </c>
      <c r="D264" s="3250"/>
      <c r="E264" s="3250"/>
      <c r="F264" s="3251"/>
      <c r="G264" s="3252" t="s">
        <v>989</v>
      </c>
      <c r="H264" s="3253"/>
      <c r="I264" s="3242" t="s">
        <v>920</v>
      </c>
      <c r="J264" s="3242"/>
      <c r="K264" s="3242" t="s">
        <v>990</v>
      </c>
      <c r="L264" s="3242"/>
      <c r="M264" s="3243" t="s">
        <v>358</v>
      </c>
      <c r="N264" s="3243"/>
      <c r="O264" s="3243"/>
      <c r="P264" s="3243"/>
      <c r="Q264" s="3243"/>
    </row>
    <row r="265" spans="2:18" ht="12.75" customHeight="1">
      <c r="B265" s="3248"/>
      <c r="C265" s="1217">
        <f>C233</f>
        <v>45291</v>
      </c>
      <c r="D265" s="1217">
        <f>D233</f>
        <v>45139</v>
      </c>
      <c r="E265" s="1217">
        <f>E233</f>
        <v>45505</v>
      </c>
      <c r="F265" s="1218" t="str">
        <f>F233</f>
        <v>Obj 2024</v>
      </c>
      <c r="G265" s="1218" t="s">
        <v>440</v>
      </c>
      <c r="H265" s="1218" t="s">
        <v>599</v>
      </c>
      <c r="I265" s="1218" t="s">
        <v>440</v>
      </c>
      <c r="J265" s="1218" t="s">
        <v>599</v>
      </c>
      <c r="K265" s="1218" t="s">
        <v>440</v>
      </c>
      <c r="L265" s="1218" t="s">
        <v>599</v>
      </c>
      <c r="M265" s="1217">
        <f>M233</f>
        <v>45291</v>
      </c>
      <c r="N265" s="1217">
        <f>N233</f>
        <v>45139</v>
      </c>
      <c r="O265" s="1217">
        <f>O233</f>
        <v>45505</v>
      </c>
      <c r="P265" s="1269" t="str">
        <f>P233</f>
        <v>écart mois</v>
      </c>
      <c r="Q265" s="1269" t="str">
        <f>Q233</f>
        <v>écart année</v>
      </c>
    </row>
    <row r="266" spans="2:18" ht="12.75" customHeight="1">
      <c r="B266" s="1223" t="s">
        <v>277</v>
      </c>
      <c r="C266" s="1221">
        <f>'Solde créances_DCM'!C254</f>
        <v>629.59188587299957</v>
      </c>
      <c r="D266" s="1221">
        <f>'Solde créances_DCM'!D254</f>
        <v>1228.6176199301503</v>
      </c>
      <c r="E266" s="1221">
        <f>'Solde créances_DCM'!E254</f>
        <v>1399.0475832529999</v>
      </c>
      <c r="F266" s="1221">
        <f>'Solde créances_DCM'!F254</f>
        <v>612.16467594543724</v>
      </c>
      <c r="G266" s="1221">
        <f>E266-D266</f>
        <v>170.42996332284952</v>
      </c>
      <c r="H266" s="1221">
        <f>((E266-D266)/D266)*100</f>
        <v>13.871684774676993</v>
      </c>
      <c r="I266" s="1221">
        <f t="shared" ref="I266:I291" si="53">E266-C266</f>
        <v>769.45569738000029</v>
      </c>
      <c r="J266" s="1221">
        <f t="shared" ref="J266:J291" si="54">I266/C266*100</f>
        <v>122.21499587992051</v>
      </c>
      <c r="K266" s="1221">
        <f>E266-F266</f>
        <v>786.88290730756262</v>
      </c>
      <c r="L266" s="1221">
        <f t="shared" ref="L266:L291" si="55">F266/E266*100</f>
        <v>43.755815261269433</v>
      </c>
      <c r="M266" s="1269">
        <f>'Solde créances_DCM'!K254</f>
        <v>33.311179046690448</v>
      </c>
      <c r="N266" s="1269">
        <f>'Solde créances_DCM'!L254</f>
        <v>65.049119889732211</v>
      </c>
      <c r="O266" s="1269">
        <f>'Solde créances_DCM'!M254</f>
        <v>109.39203574946592</v>
      </c>
      <c r="P266" s="1269">
        <f>O266-N266</f>
        <v>44.342915859733708</v>
      </c>
      <c r="Q266" s="1269">
        <f>O266-M266</f>
        <v>76.080856702775463</v>
      </c>
      <c r="R266" s="1214">
        <f>F266/C266</f>
        <v>0.97231983080055495</v>
      </c>
    </row>
    <row r="267" spans="2:18" ht="12.75" customHeight="1">
      <c r="B267" s="1314" t="s">
        <v>602</v>
      </c>
      <c r="C267" s="1315">
        <f>'Solde créances_DCM'!C255</f>
        <v>628.70756117000019</v>
      </c>
      <c r="D267" s="1315">
        <f>'Solde créances_DCM'!D255</f>
        <v>1227.7332952271518</v>
      </c>
      <c r="E267" s="1315">
        <f>'Solde créances_DCM'!E255</f>
        <v>1398.1632585499999</v>
      </c>
      <c r="F267" s="1315">
        <f>'Solde créances_DCM'!F255</f>
        <v>611.30482949984412</v>
      </c>
      <c r="G267" s="1315">
        <f>'Solde créances_DCM'!G255</f>
        <v>170.42996332284815</v>
      </c>
      <c r="H267" s="1315">
        <f>'Solde créances_DCM'!H255</f>
        <v>13.881676418274189</v>
      </c>
      <c r="I267" s="1315">
        <f t="shared" si="53"/>
        <v>769.45569737999972</v>
      </c>
      <c r="J267" s="1315">
        <f t="shared" si="54"/>
        <v>122.3869005087314</v>
      </c>
      <c r="K267" s="1315">
        <f>'Solde créances_DCM'!I255</f>
        <v>786.85842905015579</v>
      </c>
      <c r="L267" s="1315">
        <f t="shared" si="55"/>
        <v>43.721992103684158</v>
      </c>
      <c r="M267" s="1365">
        <f>'Solde créances_DCM'!K255</f>
        <v>50.44994251977333</v>
      </c>
      <c r="N267" s="1365">
        <f>'Solde créances_DCM'!L255</f>
        <v>102.57802397871386</v>
      </c>
      <c r="O267" s="1365">
        <f>'Solde créances_DCM'!M255</f>
        <v>109.32289008159682</v>
      </c>
      <c r="P267" s="1365">
        <f>'Solde créances_DCM'!N255</f>
        <v>6.7448661028829662</v>
      </c>
      <c r="Q267" s="1365">
        <f>'Solde créances_DCM'!O255</f>
        <v>58.872947561823494</v>
      </c>
      <c r="R267" s="1214">
        <f>1-R266</f>
        <v>2.7680169199445048E-2</v>
      </c>
    </row>
    <row r="268" spans="2:18" ht="12.75" customHeight="1">
      <c r="B268" s="1223" t="s">
        <v>185</v>
      </c>
      <c r="C268" s="1221">
        <f>'Solde créances_DCM'!C261</f>
        <v>0.53100018000000004</v>
      </c>
      <c r="D268" s="1221">
        <f>'Solde créances_DCM'!D261</f>
        <v>0.55071534000000022</v>
      </c>
      <c r="E268" s="1221">
        <f>'Solde créances_DCM'!E261</f>
        <v>0.72659481999999975</v>
      </c>
      <c r="F268" s="1221">
        <f>'Solde créances_DCM'!F261</f>
        <v>0.43783332711205336</v>
      </c>
      <c r="G268" s="1221">
        <f t="shared" ref="G268:G291" si="56">E268-D268</f>
        <v>0.17587947999999953</v>
      </c>
      <c r="H268" s="1221">
        <f t="shared" ref="H268:H291" si="57">((E268-D268)/D268)*100</f>
        <v>31.936550015112974</v>
      </c>
      <c r="I268" s="1221">
        <f t="shared" si="53"/>
        <v>0.19559463999999971</v>
      </c>
      <c r="J268" s="1221">
        <f t="shared" si="54"/>
        <v>36.835136289407608</v>
      </c>
      <c r="K268" s="1221">
        <f t="shared" ref="K268:K291" si="58">E268-F268</f>
        <v>0.28876149288794639</v>
      </c>
      <c r="L268" s="1221">
        <f t="shared" si="55"/>
        <v>60.258250549054772</v>
      </c>
      <c r="M268" s="1269">
        <f>'Solde créances_DCM'!K261</f>
        <v>46.950470941973322</v>
      </c>
      <c r="N268" s="1269">
        <f>'Solde créances_DCM'!L261</f>
        <v>50.66407555012141</v>
      </c>
      <c r="O268" s="1269">
        <f>'Solde créances_DCM'!M261</f>
        <v>78.287020775633437</v>
      </c>
      <c r="P268" s="1269"/>
      <c r="Q268" s="1269"/>
    </row>
    <row r="269" spans="2:18" ht="12.75" customHeight="1">
      <c r="B269" s="2365" t="s">
        <v>1103</v>
      </c>
      <c r="C269" s="2367">
        <f>'Solde créances_DCM'!C262</f>
        <v>0</v>
      </c>
      <c r="D269" s="2367">
        <f>'Solde créances_DCM'!D262</f>
        <v>0</v>
      </c>
      <c r="E269" s="2367">
        <f>'Solde créances_DCM'!E262</f>
        <v>0</v>
      </c>
      <c r="F269" s="2367">
        <f>'Solde créances_DCM'!F262</f>
        <v>0</v>
      </c>
      <c r="G269" s="1221">
        <f>E269-D269</f>
        <v>0</v>
      </c>
      <c r="H269" s="1221" t="e">
        <f>((E269-D269)/D269)*100</f>
        <v>#DIV/0!</v>
      </c>
      <c r="I269" s="1221">
        <f>E269-C269</f>
        <v>0</v>
      </c>
      <c r="J269" s="1221" t="e">
        <f>I269/C269*100</f>
        <v>#DIV/0!</v>
      </c>
      <c r="K269" s="1221">
        <f>E269-F269</f>
        <v>0</v>
      </c>
      <c r="L269" s="1221" t="e">
        <f>F269/E269*100</f>
        <v>#DIV/0!</v>
      </c>
      <c r="M269" s="2366"/>
      <c r="N269" s="2366"/>
      <c r="O269" s="2366"/>
      <c r="P269" s="2366"/>
      <c r="Q269" s="2366"/>
    </row>
    <row r="270" spans="2:18" ht="12.75" customHeight="1">
      <c r="B270" s="2365" t="s">
        <v>1105</v>
      </c>
      <c r="C270" s="2367">
        <f>C268-C269</f>
        <v>0.53100018000000004</v>
      </c>
      <c r="D270" s="2367">
        <f>D268-D269</f>
        <v>0.55071534000000022</v>
      </c>
      <c r="E270" s="2367">
        <f>E268-E269</f>
        <v>0.72659481999999975</v>
      </c>
      <c r="F270" s="2367">
        <f>F268-F269</f>
        <v>0.43783332711205336</v>
      </c>
      <c r="G270" s="1221">
        <f>E270-D270</f>
        <v>0.17587947999999953</v>
      </c>
      <c r="H270" s="1221">
        <f>((E270-D270)/D270)*100</f>
        <v>31.936550015112974</v>
      </c>
      <c r="I270" s="1221">
        <f>E270-C270</f>
        <v>0.19559463999999971</v>
      </c>
      <c r="J270" s="1221">
        <f>I270/C270*100</f>
        <v>36.835136289407608</v>
      </c>
      <c r="K270" s="1221">
        <f>E270-F270</f>
        <v>0.28876149288794639</v>
      </c>
      <c r="L270" s="1221">
        <f>F270/E270*100</f>
        <v>60.258250549054772</v>
      </c>
      <c r="M270" s="2366"/>
      <c r="N270" s="2366"/>
      <c r="O270" s="2366"/>
      <c r="P270" s="2366"/>
      <c r="Q270" s="2366"/>
    </row>
    <row r="271" spans="2:18" ht="12.75" customHeight="1">
      <c r="B271" s="1223" t="s">
        <v>624</v>
      </c>
      <c r="C271" s="1221">
        <f>'Solde créances_DCM'!C265</f>
        <v>61.87929793</v>
      </c>
      <c r="D271" s="1221">
        <f>'Solde créances_DCM'!D265</f>
        <v>126.35862676000001</v>
      </c>
      <c r="E271" s="1221">
        <f>'Solde créances_DCM'!E265</f>
        <v>123.11480054000009</v>
      </c>
      <c r="F271" s="1221">
        <f>'Solde créances_DCM'!F265</f>
        <v>19.52389458022796</v>
      </c>
      <c r="G271" s="1221">
        <f t="shared" si="56"/>
        <v>-3.2438262199999173</v>
      </c>
      <c r="H271" s="1221">
        <f t="shared" si="57"/>
        <v>-2.5671584941810877</v>
      </c>
      <c r="I271" s="1221">
        <f t="shared" si="53"/>
        <v>61.23550261000009</v>
      </c>
      <c r="J271" s="1221">
        <f t="shared" si="54"/>
        <v>98.959594983239469</v>
      </c>
      <c r="K271" s="1221">
        <f t="shared" si="58"/>
        <v>103.59090595977213</v>
      </c>
      <c r="L271" s="1221">
        <f t="shared" si="55"/>
        <v>15.85828388998984</v>
      </c>
      <c r="M271" s="1269">
        <f>'Solde créances_DCM'!K265</f>
        <v>22.730873299027806</v>
      </c>
      <c r="N271" s="1269">
        <f>'Solde créances_DCM'!L265</f>
        <v>47.177725864418733</v>
      </c>
      <c r="O271" s="1269">
        <f>'Solde créances_DCM'!M265</f>
        <v>43.782341814858604</v>
      </c>
      <c r="P271" s="1269"/>
      <c r="Q271" s="1269"/>
      <c r="R271" s="1214">
        <f>F271/C271</f>
        <v>0.315515773988161</v>
      </c>
    </row>
    <row r="272" spans="2:18" ht="12.75" customHeight="1">
      <c r="B272" s="1224" t="s">
        <v>625</v>
      </c>
      <c r="C272" s="1225">
        <f>C266+C268+C271</f>
        <v>692.00218398299955</v>
      </c>
      <c r="D272" s="1225">
        <f>D266+D268+D271</f>
        <v>1355.5269620301503</v>
      </c>
      <c r="E272" s="1225">
        <f>E266+E268+E271</f>
        <v>1522.8889786129998</v>
      </c>
      <c r="F272" s="1225">
        <f>F266+F268+F271</f>
        <v>632.12640385277723</v>
      </c>
      <c r="G272" s="1225">
        <f t="shared" si="56"/>
        <v>167.36201658284949</v>
      </c>
      <c r="H272" s="1225">
        <f t="shared" si="57"/>
        <v>12.346638707369875</v>
      </c>
      <c r="I272" s="1225">
        <f t="shared" si="53"/>
        <v>830.88679463000028</v>
      </c>
      <c r="J272" s="1225">
        <f t="shared" si="54"/>
        <v>120.06996709860277</v>
      </c>
      <c r="K272" s="1225">
        <f t="shared" si="58"/>
        <v>890.76257476022261</v>
      </c>
      <c r="L272" s="1225">
        <f t="shared" si="55"/>
        <v>41.508370782780133</v>
      </c>
      <c r="M272" s="1226"/>
      <c r="N272" s="1226"/>
      <c r="O272" s="1226"/>
      <c r="P272" s="1226">
        <f>O272-N272</f>
        <v>0</v>
      </c>
      <c r="Q272" s="1226">
        <f>O272-M272</f>
        <v>0</v>
      </c>
      <c r="R272" s="1214">
        <f>1-R271</f>
        <v>0.684484226011839</v>
      </c>
    </row>
    <row r="273" spans="2:18" ht="12.75" customHeight="1">
      <c r="B273" s="1220" t="s">
        <v>636</v>
      </c>
      <c r="C273" s="1221">
        <f>'Solde créances_DCM'!C266</f>
        <v>57.859196109999999</v>
      </c>
      <c r="D273" s="1221">
        <f>'Solde créances_DCM'!D266</f>
        <v>125.58117384000001</v>
      </c>
      <c r="E273" s="1221">
        <f>'Solde créances_DCM'!E266</f>
        <v>114.61665014000009</v>
      </c>
      <c r="F273" s="1221">
        <f>'Solde créances_DCM'!F266</f>
        <v>18.255489042979445</v>
      </c>
      <c r="G273" s="1221">
        <f t="shared" si="56"/>
        <v>-10.964523699999916</v>
      </c>
      <c r="H273" s="1221">
        <f t="shared" si="57"/>
        <v>-8.7310250133268816</v>
      </c>
      <c r="I273" s="1221">
        <f t="shared" si="53"/>
        <v>56.75745403000009</v>
      </c>
      <c r="J273" s="1221">
        <f t="shared" si="54"/>
        <v>98.095822005709664</v>
      </c>
      <c r="K273" s="1221">
        <f t="shared" si="58"/>
        <v>96.361161097020641</v>
      </c>
      <c r="L273" s="1221">
        <f t="shared" si="55"/>
        <v>15.927432027267441</v>
      </c>
      <c r="M273" s="1269">
        <f>'Solde créances_DCM'!K266</f>
        <v>21.254535445641451</v>
      </c>
      <c r="N273" s="1269">
        <f>'Solde créances_DCM'!L266</f>
        <v>47.026500825238358</v>
      </c>
      <c r="O273" s="1269">
        <f>'Solde créances_DCM'!M266</f>
        <v>41.029094768165479</v>
      </c>
      <c r="P273" s="1269"/>
      <c r="Q273" s="1269"/>
    </row>
    <row r="274" spans="2:18" ht="12.75" customHeight="1">
      <c r="B274" s="1220" t="s">
        <v>626</v>
      </c>
      <c r="C274" s="1221">
        <f>'Solde créances_DCM'!C267</f>
        <v>4.0201018199999998</v>
      </c>
      <c r="D274" s="1221">
        <f>'Solde créances_DCM'!D267</f>
        <v>0.77745291999999999</v>
      </c>
      <c r="E274" s="1221">
        <f>'Solde créances_DCM'!E267</f>
        <v>8.4981504000000001</v>
      </c>
      <c r="F274" s="1221">
        <f>'Solde créances_DCM'!F267</f>
        <v>1.2684055372485155</v>
      </c>
      <c r="G274" s="1221">
        <f t="shared" si="56"/>
        <v>7.7206974800000001</v>
      </c>
      <c r="H274" s="1221">
        <f t="shared" si="57"/>
        <v>993.07588683312179</v>
      </c>
      <c r="I274" s="1221">
        <f t="shared" si="53"/>
        <v>4.4780485800000003</v>
      </c>
      <c r="J274" s="1221">
        <f t="shared" si="54"/>
        <v>111.39142192174627</v>
      </c>
      <c r="K274" s="1221">
        <f t="shared" si="58"/>
        <v>7.2297448627514846</v>
      </c>
      <c r="L274" s="1221">
        <f t="shared" si="55"/>
        <v>14.925665910178706</v>
      </c>
      <c r="M274" s="1269"/>
      <c r="N274" s="1269"/>
      <c r="O274" s="1269"/>
      <c r="P274" s="1269"/>
      <c r="Q274" s="1269"/>
    </row>
    <row r="275" spans="2:18" ht="12.75" customHeight="1">
      <c r="B275" s="1224" t="s">
        <v>620</v>
      </c>
      <c r="C275" s="1225">
        <f>C272-C274</f>
        <v>687.98208216299952</v>
      </c>
      <c r="D275" s="1225">
        <f>D272-D274</f>
        <v>1354.7495091101503</v>
      </c>
      <c r="E275" s="1225">
        <f>E272-E274</f>
        <v>1514.3908282129998</v>
      </c>
      <c r="F275" s="1225">
        <f>F272-F274</f>
        <v>630.85799831552868</v>
      </c>
      <c r="G275" s="1225">
        <f t="shared" si="56"/>
        <v>159.64131910284959</v>
      </c>
      <c r="H275" s="1225">
        <f t="shared" si="57"/>
        <v>11.783825572869773</v>
      </c>
      <c r="I275" s="1225">
        <f t="shared" si="53"/>
        <v>826.40874605000033</v>
      </c>
      <c r="J275" s="1225">
        <f t="shared" si="54"/>
        <v>120.12067864497149</v>
      </c>
      <c r="K275" s="1225">
        <f t="shared" si="58"/>
        <v>883.53282989747117</v>
      </c>
      <c r="L275" s="1225">
        <f t="shared" si="55"/>
        <v>41.657542198664068</v>
      </c>
      <c r="M275" s="1226"/>
      <c r="N275" s="1226"/>
      <c r="O275" s="1226"/>
      <c r="P275" s="1226">
        <f>O275-N275</f>
        <v>0</v>
      </c>
      <c r="Q275" s="1226">
        <f>O275-M275</f>
        <v>0</v>
      </c>
    </row>
    <row r="276" spans="2:18" ht="12.75" customHeight="1">
      <c r="B276" s="1223" t="s">
        <v>234</v>
      </c>
      <c r="C276" s="1221">
        <f>'Solde créances_DCM'!C258</f>
        <v>200.26177321000014</v>
      </c>
      <c r="D276" s="1221">
        <f>'Solde créances_DCM'!D258</f>
        <v>268.08403504</v>
      </c>
      <c r="E276" s="1221">
        <f>'Solde créances_DCM'!E258</f>
        <v>237.30350101000008</v>
      </c>
      <c r="F276" s="1221">
        <f>'Solde créances_DCM'!F258</f>
        <v>103.39298990953455</v>
      </c>
      <c r="G276" s="1221">
        <f t="shared" si="56"/>
        <v>-30.780534029999927</v>
      </c>
      <c r="H276" s="1221">
        <f t="shared" si="57"/>
        <v>-11.481673657070724</v>
      </c>
      <c r="I276" s="1221">
        <f t="shared" si="53"/>
        <v>37.041727799999933</v>
      </c>
      <c r="J276" s="1221">
        <f t="shared" si="54"/>
        <v>18.496654257204113</v>
      </c>
      <c r="K276" s="1221">
        <f t="shared" si="58"/>
        <v>133.91051110046553</v>
      </c>
      <c r="L276" s="1221">
        <f t="shared" si="55"/>
        <v>43.569938694321038</v>
      </c>
      <c r="M276" s="1269">
        <f>'Solde créances_DCM'!K258</f>
        <v>111.04787461143407</v>
      </c>
      <c r="N276" s="1269">
        <f>'Solde créances_DCM'!L258</f>
        <v>144.68629818103111</v>
      </c>
      <c r="O276" s="1269">
        <f>'Solde créances_DCM'!M258</f>
        <v>123.46043862565168</v>
      </c>
      <c r="P276" s="1269">
        <f>O276-N276</f>
        <v>-21.225859555379429</v>
      </c>
      <c r="Q276" s="1269">
        <f>O276-M276</f>
        <v>12.412564014217608</v>
      </c>
    </row>
    <row r="277" spans="2:18" ht="12.75" customHeight="1">
      <c r="B277" s="2365" t="s">
        <v>1101</v>
      </c>
      <c r="C277" s="2367">
        <f>'Solde créances_DCM'!C259</f>
        <v>0</v>
      </c>
      <c r="D277" s="2367">
        <f>'Solde créances_DCM'!D259</f>
        <v>0</v>
      </c>
      <c r="E277" s="2367">
        <f>'Solde créances_DCM'!E259</f>
        <v>0</v>
      </c>
      <c r="F277" s="2367">
        <f>'Solde créances_DCM'!F259</f>
        <v>0</v>
      </c>
      <c r="G277" s="1221">
        <f>E277-D277</f>
        <v>0</v>
      </c>
      <c r="H277" s="1221" t="e">
        <f>((E277-D277)/D277)*100</f>
        <v>#DIV/0!</v>
      </c>
      <c r="I277" s="1221">
        <f>E277-C277</f>
        <v>0</v>
      </c>
      <c r="J277" s="1221" t="e">
        <f>I277/C277*100</f>
        <v>#DIV/0!</v>
      </c>
      <c r="K277" s="1221">
        <f>E277-F277</f>
        <v>0</v>
      </c>
      <c r="L277" s="1221" t="e">
        <f>F277/E277*100</f>
        <v>#DIV/0!</v>
      </c>
      <c r="M277" s="2366"/>
      <c r="N277" s="2366"/>
      <c r="O277" s="2366"/>
      <c r="P277" s="2366"/>
      <c r="Q277" s="2366"/>
    </row>
    <row r="278" spans="2:18" ht="12.75" customHeight="1">
      <c r="B278" s="2365" t="s">
        <v>1106</v>
      </c>
      <c r="C278" s="2367">
        <f>C276-C277</f>
        <v>200.26177321000014</v>
      </c>
      <c r="D278" s="2367">
        <f>D276-D277</f>
        <v>268.08403504</v>
      </c>
      <c r="E278" s="2367">
        <f>E276-E277</f>
        <v>237.30350101000008</v>
      </c>
      <c r="F278" s="2367">
        <f>F276-F277</f>
        <v>103.39298990953455</v>
      </c>
      <c r="G278" s="1221">
        <f>E278-D278</f>
        <v>-30.780534029999927</v>
      </c>
      <c r="H278" s="1221">
        <f>((E278-D278)/D278)*100</f>
        <v>-11.481673657070724</v>
      </c>
      <c r="I278" s="1221">
        <f>E278-C278</f>
        <v>37.041727799999933</v>
      </c>
      <c r="J278" s="1221">
        <f>I278/C278*100</f>
        <v>18.496654257204113</v>
      </c>
      <c r="K278" s="1221">
        <f>E278-F278</f>
        <v>133.91051110046553</v>
      </c>
      <c r="L278" s="1221">
        <f>F278/E278*100</f>
        <v>43.569938694321038</v>
      </c>
      <c r="M278" s="2366"/>
      <c r="N278" s="2366"/>
      <c r="O278" s="2366"/>
      <c r="P278" s="2366"/>
      <c r="Q278" s="2366"/>
    </row>
    <row r="279" spans="2:18" ht="12.75" customHeight="1">
      <c r="B279" s="1223" t="s">
        <v>187</v>
      </c>
      <c r="C279" s="1221">
        <f>'Solde créances_DCM'!C268</f>
        <v>505.58654729</v>
      </c>
      <c r="D279" s="1221">
        <f>'Solde créances_DCM'!D268</f>
        <v>466.07912052</v>
      </c>
      <c r="E279" s="1221">
        <f>'Solde créances_DCM'!E268</f>
        <v>730.32995642000003</v>
      </c>
      <c r="F279" s="1221">
        <f>'Solde créances_DCM'!F268</f>
        <v>327.86166680281565</v>
      </c>
      <c r="G279" s="1221">
        <f t="shared" si="56"/>
        <v>264.25083590000003</v>
      </c>
      <c r="H279" s="1221">
        <f t="shared" si="57"/>
        <v>56.696561649270606</v>
      </c>
      <c r="I279" s="1221">
        <f t="shared" si="53"/>
        <v>224.74340913000003</v>
      </c>
      <c r="J279" s="1221">
        <f t="shared" si="54"/>
        <v>44.452015255281147</v>
      </c>
      <c r="K279" s="1221">
        <f t="shared" si="58"/>
        <v>402.46828961718438</v>
      </c>
      <c r="L279" s="1221">
        <f t="shared" si="55"/>
        <v>44.892266012195194</v>
      </c>
      <c r="M279" s="1269">
        <f>'Solde créances_DCM'!K268</f>
        <v>267.20310020735519</v>
      </c>
      <c r="N279" s="1269">
        <f>'Solde créances_DCM'!L268</f>
        <v>244.13478635642505</v>
      </c>
      <c r="O279" s="1269">
        <f>'Solde créances_DCM'!M268</f>
        <v>360.40336963231317</v>
      </c>
      <c r="P279" s="1269"/>
      <c r="Q279" s="1269"/>
    </row>
    <row r="280" spans="2:18" ht="12.75" customHeight="1">
      <c r="B280" s="1224" t="s">
        <v>621</v>
      </c>
      <c r="C280" s="1225">
        <f>C276+C279</f>
        <v>705.84832050000011</v>
      </c>
      <c r="D280" s="1225">
        <f>D276+D279</f>
        <v>734.16315555999995</v>
      </c>
      <c r="E280" s="1225">
        <f>E276+E279</f>
        <v>967.63345743000013</v>
      </c>
      <c r="F280" s="1225">
        <f>SUM(F276:F279)</f>
        <v>534.64764662188475</v>
      </c>
      <c r="G280" s="1225">
        <f t="shared" si="56"/>
        <v>233.47030187000018</v>
      </c>
      <c r="H280" s="1225">
        <f t="shared" si="57"/>
        <v>31.800874247348371</v>
      </c>
      <c r="I280" s="1225">
        <f t="shared" si="53"/>
        <v>261.78513693000002</v>
      </c>
      <c r="J280" s="1225">
        <f t="shared" si="54"/>
        <v>37.088015842349797</v>
      </c>
      <c r="K280" s="1225">
        <f t="shared" si="58"/>
        <v>432.98581080811539</v>
      </c>
      <c r="L280" s="1225">
        <f t="shared" si="55"/>
        <v>55.25311702655361</v>
      </c>
      <c r="M280" s="1226"/>
      <c r="N280" s="1226"/>
      <c r="O280" s="1226"/>
      <c r="P280" s="1226"/>
      <c r="Q280" s="1226"/>
    </row>
    <row r="281" spans="2:18" ht="12.75" customHeight="1">
      <c r="B281" s="1220" t="s">
        <v>917</v>
      </c>
      <c r="C281" s="1221">
        <f>C279-C282</f>
        <v>141.65824011000001</v>
      </c>
      <c r="D281" s="1221">
        <f>D279-D282</f>
        <v>193.84221681000002</v>
      </c>
      <c r="E281" s="1221">
        <f>E279-E282</f>
        <v>168.79651611999998</v>
      </c>
      <c r="F281" s="1221">
        <f>'Solde créances_DCM'!$F$269</f>
        <v>91.862228075024376</v>
      </c>
      <c r="G281" s="1221">
        <f t="shared" si="56"/>
        <v>-25.045700690000047</v>
      </c>
      <c r="H281" s="1221">
        <f t="shared" si="57"/>
        <v>-12.920663569664653</v>
      </c>
      <c r="I281" s="1221">
        <f t="shared" si="53"/>
        <v>27.13827600999997</v>
      </c>
      <c r="J281" s="1221">
        <f t="shared" si="54"/>
        <v>19.157569647149817</v>
      </c>
      <c r="K281" s="1221">
        <f t="shared" si="58"/>
        <v>76.934288044975602</v>
      </c>
      <c r="L281" s="1221">
        <f t="shared" si="55"/>
        <v>54.421874447762974</v>
      </c>
      <c r="M281" s="1269"/>
      <c r="N281" s="1269"/>
      <c r="O281" s="1269"/>
      <c r="P281" s="1269"/>
      <c r="Q281" s="1269"/>
    </row>
    <row r="282" spans="2:18" ht="12.75" customHeight="1">
      <c r="B282" s="1220" t="s">
        <v>918</v>
      </c>
      <c r="C282" s="1221">
        <f>'Solde créances_DCM'!C270</f>
        <v>363.92830717999999</v>
      </c>
      <c r="D282" s="1221">
        <f>'Solde créances_DCM'!D270</f>
        <v>272.23690370999998</v>
      </c>
      <c r="E282" s="1221">
        <f>'Solde créances_DCM'!E270</f>
        <v>561.53344030000005</v>
      </c>
      <c r="F282" s="1221">
        <f>'Solde créances_DCM'!$F$270</f>
        <v>235.99943872779127</v>
      </c>
      <c r="G282" s="1221">
        <f t="shared" si="56"/>
        <v>289.29653659000007</v>
      </c>
      <c r="H282" s="1221">
        <f t="shared" si="57"/>
        <v>106.26646595208594</v>
      </c>
      <c r="I282" s="1221">
        <f t="shared" si="53"/>
        <v>197.60513312000006</v>
      </c>
      <c r="J282" s="1221">
        <f t="shared" si="54"/>
        <v>54.297818889439675</v>
      </c>
      <c r="K282" s="1221">
        <f t="shared" si="58"/>
        <v>325.53400157220881</v>
      </c>
      <c r="L282" s="1221">
        <f t="shared" si="55"/>
        <v>42.027673116263252</v>
      </c>
      <c r="M282" s="1269"/>
      <c r="N282" s="1269"/>
      <c r="O282" s="1269"/>
      <c r="P282" s="1269"/>
      <c r="Q282" s="1269"/>
    </row>
    <row r="283" spans="2:18" ht="12.75" customHeight="1">
      <c r="B283" s="1228" t="s">
        <v>635</v>
      </c>
      <c r="C283" s="1229">
        <f>C272+C280</f>
        <v>1397.8505044829997</v>
      </c>
      <c r="D283" s="1229">
        <f>D272+D280</f>
        <v>2089.6901175901503</v>
      </c>
      <c r="E283" s="1229">
        <f>E272+E280</f>
        <v>2490.5224360430002</v>
      </c>
      <c r="F283" s="1229">
        <f>F272+F280</f>
        <v>1166.7740504746621</v>
      </c>
      <c r="G283" s="1229">
        <f t="shared" si="56"/>
        <v>400.8323184528499</v>
      </c>
      <c r="H283" s="1229">
        <f t="shared" si="57"/>
        <v>19.181423842645788</v>
      </c>
      <c r="I283" s="1229">
        <f t="shared" si="53"/>
        <v>1092.6719315600005</v>
      </c>
      <c r="J283" s="1229">
        <f t="shared" si="54"/>
        <v>78.168010674655747</v>
      </c>
      <c r="K283" s="1229">
        <f t="shared" si="58"/>
        <v>1323.7483855683381</v>
      </c>
      <c r="L283" s="1229">
        <f t="shared" si="55"/>
        <v>46.848566131709283</v>
      </c>
      <c r="M283" s="1271">
        <f>'Solde créances_DCM'!K271</f>
        <v>54.695526223367935</v>
      </c>
      <c r="N283" s="1271">
        <f>'Solde créances_DCM'!L271</f>
        <v>81.857767865707771</v>
      </c>
      <c r="O283" s="1271">
        <f>'Solde créances_DCM'!M271</f>
        <v>125.83704645595705</v>
      </c>
      <c r="P283" s="1271">
        <f>O283-N283</f>
        <v>43.97927859024928</v>
      </c>
      <c r="Q283" s="1271">
        <f>O283-M283</f>
        <v>71.141520232589116</v>
      </c>
    </row>
    <row r="284" spans="2:18" ht="12.75" customHeight="1">
      <c r="B284" s="1228" t="s">
        <v>622</v>
      </c>
      <c r="C284" s="1229">
        <f>C283-(C274+C282)</f>
        <v>1029.9020954829998</v>
      </c>
      <c r="D284" s="1229">
        <f>D283-(D274+D282)</f>
        <v>1816.6757609601505</v>
      </c>
      <c r="E284" s="1229">
        <f>E283-(E274+E282)</f>
        <v>1920.4908453430003</v>
      </c>
      <c r="F284" s="1229">
        <f>F283-(F274+F282)</f>
        <v>929.50620620962229</v>
      </c>
      <c r="G284" s="1229">
        <f t="shared" si="56"/>
        <v>103.81508438284982</v>
      </c>
      <c r="H284" s="1229">
        <f t="shared" si="57"/>
        <v>5.7145631935982575</v>
      </c>
      <c r="I284" s="1229">
        <f t="shared" si="53"/>
        <v>890.58874986000046</v>
      </c>
      <c r="J284" s="1229">
        <f t="shared" si="54"/>
        <v>86.473146696758135</v>
      </c>
      <c r="K284" s="1229">
        <f t="shared" si="58"/>
        <v>990.98463913337798</v>
      </c>
      <c r="L284" s="1229">
        <f t="shared" si="55"/>
        <v>48.399408331655557</v>
      </c>
      <c r="M284" s="1271"/>
      <c r="N284" s="1271"/>
      <c r="O284" s="1271"/>
      <c r="P284" s="1271"/>
      <c r="Q284" s="1271"/>
    </row>
    <row r="285" spans="2:18" ht="12.75" customHeight="1">
      <c r="B285" s="1224" t="s">
        <v>623</v>
      </c>
      <c r="C285" s="1225">
        <f>'Solde créances_DCM'!C272</f>
        <v>276.64737839681089</v>
      </c>
      <c r="D285" s="1225">
        <f>'Solde créances_DCM'!D272</f>
        <v>220.89477123681095</v>
      </c>
      <c r="E285" s="1225">
        <f>'Solde créances_DCM'!E272</f>
        <v>89.329088716810901</v>
      </c>
      <c r="F285" s="1225">
        <f>'Solde créances_DCM'!F272</f>
        <v>17.531798757252833</v>
      </c>
      <c r="G285" s="1225">
        <f t="shared" si="56"/>
        <v>-131.56568252000005</v>
      </c>
      <c r="H285" s="1225">
        <f t="shared" si="57"/>
        <v>-59.560342593602925</v>
      </c>
      <c r="I285" s="1225">
        <f t="shared" si="53"/>
        <v>-187.31828967999999</v>
      </c>
      <c r="J285" s="1225">
        <f t="shared" si="54"/>
        <v>-67.710126430809268</v>
      </c>
      <c r="K285" s="1225">
        <f t="shared" si="58"/>
        <v>71.797289959558071</v>
      </c>
      <c r="L285" s="1225">
        <f t="shared" si="55"/>
        <v>19.626080383324801</v>
      </c>
      <c r="M285" s="1227"/>
      <c r="N285" s="1227"/>
      <c r="O285" s="1227"/>
      <c r="P285" s="1227"/>
      <c r="Q285" s="1227"/>
    </row>
    <row r="286" spans="2:18" ht="12.75" customHeight="1">
      <c r="B286" s="1224" t="s">
        <v>627</v>
      </c>
      <c r="C286" s="1225">
        <f>'Solde créances_DCM'!C276</f>
        <v>2.8275298200000107</v>
      </c>
      <c r="D286" s="1225">
        <f>'Solde créances_DCM'!D276</f>
        <v>6.6613422800000031</v>
      </c>
      <c r="E286" s="1225">
        <f>'Solde créances_DCM'!E276</f>
        <v>6.5840602300000137</v>
      </c>
      <c r="F286" s="1225">
        <f>'Solde créances_DCM'!F276</f>
        <v>0.8019979831130114</v>
      </c>
      <c r="G286" s="1225">
        <f t="shared" si="56"/>
        <v>-7.7282049999989333E-2</v>
      </c>
      <c r="H286" s="1225">
        <f t="shared" si="57"/>
        <v>-1.1601573189238565</v>
      </c>
      <c r="I286" s="1225">
        <f t="shared" si="53"/>
        <v>3.756530410000003</v>
      </c>
      <c r="J286" s="1225">
        <f t="shared" si="54"/>
        <v>132.85555411047756</v>
      </c>
      <c r="K286" s="1225">
        <f t="shared" si="58"/>
        <v>5.7820622468870022</v>
      </c>
      <c r="L286" s="1225">
        <f t="shared" si="55"/>
        <v>12.18090289421623</v>
      </c>
      <c r="M286" s="1219"/>
      <c r="N286" s="1219"/>
      <c r="O286" s="1219"/>
      <c r="P286" s="1219">
        <f>O286-N286</f>
        <v>0</v>
      </c>
      <c r="Q286" s="1219">
        <f>O286-M286</f>
        <v>0</v>
      </c>
      <c r="R286" s="1214">
        <f>F286/C286</f>
        <v>0.28363908929986398</v>
      </c>
    </row>
    <row r="287" spans="2:18" ht="12.75" customHeight="1">
      <c r="B287" s="1220" t="s">
        <v>628</v>
      </c>
      <c r="C287" s="1222">
        <f>'calcul-DCC-TX-Encais'!BC11</f>
        <v>0</v>
      </c>
      <c r="D287" s="1222">
        <f>'calcul-DCC-TX-Encais'!$Q$27</f>
        <v>0</v>
      </c>
      <c r="E287" s="1222">
        <f>'Feuil-saisie'!C201/1000</f>
        <v>0</v>
      </c>
      <c r="F287" s="1222"/>
      <c r="G287" s="1222">
        <f t="shared" si="56"/>
        <v>0</v>
      </c>
      <c r="H287" s="1222" t="e">
        <f t="shared" si="57"/>
        <v>#DIV/0!</v>
      </c>
      <c r="I287" s="1222">
        <f t="shared" si="53"/>
        <v>0</v>
      </c>
      <c r="J287" s="1222" t="e">
        <f t="shared" si="54"/>
        <v>#DIV/0!</v>
      </c>
      <c r="K287" s="1222">
        <f t="shared" si="58"/>
        <v>0</v>
      </c>
      <c r="L287" s="1222" t="e">
        <f t="shared" si="55"/>
        <v>#DIV/0!</v>
      </c>
      <c r="M287" s="1269"/>
      <c r="N287" s="1269"/>
      <c r="O287" s="1269"/>
      <c r="P287" s="1269"/>
      <c r="Q287" s="1269"/>
      <c r="R287" s="1214">
        <f>1-R286</f>
        <v>0.71636091070013608</v>
      </c>
    </row>
    <row r="288" spans="2:18" ht="12.75" customHeight="1">
      <c r="B288" s="1224" t="s">
        <v>629</v>
      </c>
      <c r="C288" s="1225">
        <f>C286-C287</f>
        <v>2.8275298200000107</v>
      </c>
      <c r="D288" s="1225">
        <f>D286-D287</f>
        <v>6.6613422800000031</v>
      </c>
      <c r="E288" s="1225">
        <f>E286-E287</f>
        <v>6.5840602300000137</v>
      </c>
      <c r="F288" s="1225">
        <f>F286-F287</f>
        <v>0.8019979831130114</v>
      </c>
      <c r="G288" s="1225">
        <f t="shared" si="56"/>
        <v>-7.7282049999989333E-2</v>
      </c>
      <c r="H288" s="1225">
        <f t="shared" si="57"/>
        <v>-1.1601573189238565</v>
      </c>
      <c r="I288" s="1225">
        <f t="shared" si="53"/>
        <v>3.756530410000003</v>
      </c>
      <c r="J288" s="1225">
        <f t="shared" si="54"/>
        <v>132.85555411047756</v>
      </c>
      <c r="K288" s="1225">
        <f t="shared" si="58"/>
        <v>5.7820622468870022</v>
      </c>
      <c r="L288" s="1225">
        <f t="shared" si="55"/>
        <v>12.18090289421623</v>
      </c>
      <c r="M288" s="1219"/>
      <c r="N288" s="1219"/>
      <c r="O288" s="1219"/>
      <c r="P288" s="1219">
        <f>O288-N288</f>
        <v>0</v>
      </c>
      <c r="Q288" s="1219">
        <f>O288-M288</f>
        <v>0</v>
      </c>
    </row>
    <row r="289" spans="2:17" ht="12.75" customHeight="1">
      <c r="B289" s="1230" t="s">
        <v>632</v>
      </c>
      <c r="C289" s="1231">
        <f>C283+C285+C286</f>
        <v>1677.3254126998106</v>
      </c>
      <c r="D289" s="1231">
        <f>D283+D285+D286</f>
        <v>2317.2462311069612</v>
      </c>
      <c r="E289" s="1231">
        <f>E283+E285+E286</f>
        <v>2586.4355849898111</v>
      </c>
      <c r="F289" s="1231">
        <f>F283+F285+F286</f>
        <v>1185.107847215028</v>
      </c>
      <c r="G289" s="1231">
        <f t="shared" si="56"/>
        <v>269.1893538828499</v>
      </c>
      <c r="H289" s="1231">
        <f t="shared" si="57"/>
        <v>11.61677815111848</v>
      </c>
      <c r="I289" s="1275">
        <f t="shared" si="53"/>
        <v>909.11017229000049</v>
      </c>
      <c r="J289" s="1275">
        <f t="shared" si="54"/>
        <v>54.199987993188714</v>
      </c>
      <c r="K289" s="1231">
        <f t="shared" si="58"/>
        <v>1401.3277377747831</v>
      </c>
      <c r="L289" s="1231">
        <f t="shared" si="55"/>
        <v>45.82011839354184</v>
      </c>
      <c r="M289" s="1269"/>
      <c r="N289" s="1269"/>
      <c r="O289" s="1269"/>
      <c r="P289" s="1269"/>
      <c r="Q289" s="1269"/>
    </row>
    <row r="290" spans="2:17" ht="12.75" customHeight="1">
      <c r="B290" s="1220" t="s">
        <v>638</v>
      </c>
      <c r="C290" s="1222">
        <f>C269+C274+C282+C277+C287</f>
        <v>367.94840899999997</v>
      </c>
      <c r="D290" s="1222">
        <f>D269+D274+D282+D277+D287</f>
        <v>273.01435662999995</v>
      </c>
      <c r="E290" s="1222">
        <f>E269+E274+E282+E277+E287</f>
        <v>570.03159070000004</v>
      </c>
      <c r="F290" s="1222">
        <f>F269+F274+F282+F277+F287</f>
        <v>237.2678442650398</v>
      </c>
      <c r="G290" s="1222">
        <f t="shared" si="56"/>
        <v>297.01723407000009</v>
      </c>
      <c r="H290" s="1222">
        <f t="shared" si="57"/>
        <v>108.791800451919</v>
      </c>
      <c r="I290" s="1222">
        <f t="shared" si="53"/>
        <v>202.08318170000007</v>
      </c>
      <c r="J290" s="1222">
        <f t="shared" si="54"/>
        <v>54.921607692017517</v>
      </c>
      <c r="K290" s="1222">
        <f t="shared" si="58"/>
        <v>332.76374643496024</v>
      </c>
      <c r="L290" s="1222">
        <f t="shared" si="55"/>
        <v>41.623630713812609</v>
      </c>
      <c r="M290" s="1269"/>
      <c r="N290" s="1269"/>
      <c r="O290" s="1269"/>
      <c r="P290" s="1269"/>
      <c r="Q290" s="1269"/>
    </row>
    <row r="291" spans="2:17" ht="12.75" customHeight="1">
      <c r="B291" s="1230" t="s">
        <v>633</v>
      </c>
      <c r="C291" s="1231">
        <f>C289-C290</f>
        <v>1309.3770036998108</v>
      </c>
      <c r="D291" s="1231">
        <f>D289-D290</f>
        <v>2044.2318744769614</v>
      </c>
      <c r="E291" s="1231">
        <f>E289-E290</f>
        <v>2016.4039942898112</v>
      </c>
      <c r="F291" s="1231">
        <f>F289-F290</f>
        <v>947.84000294998816</v>
      </c>
      <c r="G291" s="1231">
        <f t="shared" si="56"/>
        <v>-27.827880187150186</v>
      </c>
      <c r="H291" s="1231">
        <f t="shared" si="57"/>
        <v>-1.3612878526449084</v>
      </c>
      <c r="I291" s="1275">
        <f t="shared" si="53"/>
        <v>707.02699059000042</v>
      </c>
      <c r="J291" s="1275">
        <f t="shared" si="54"/>
        <v>53.997205433744902</v>
      </c>
      <c r="K291" s="1231">
        <f t="shared" si="58"/>
        <v>1068.5639913398231</v>
      </c>
      <c r="L291" s="1231">
        <f t="shared" si="55"/>
        <v>47.006453351319742</v>
      </c>
      <c r="M291" s="1269"/>
      <c r="N291" s="1269"/>
      <c r="O291" s="1269"/>
      <c r="P291" s="1269"/>
      <c r="Q291" s="1269"/>
    </row>
    <row r="292" spans="2:17" ht="12.75" customHeight="1">
      <c r="B292" s="1220" t="s">
        <v>999</v>
      </c>
      <c r="C292" s="1222">
        <v>24.826817999999999</v>
      </c>
      <c r="D292" s="1222">
        <f>'Sans ADE APC DSA'!$E$140</f>
        <v>616.65037545999996</v>
      </c>
      <c r="E292" s="1222">
        <f>'Sans ADE APC DSA'!$F$140</f>
        <v>930.82674476</v>
      </c>
      <c r="F292" s="1222"/>
      <c r="G292" s="1222"/>
      <c r="H292" s="1222"/>
      <c r="I292" s="1222"/>
      <c r="J292" s="1222"/>
      <c r="K292" s="1222"/>
      <c r="L292" s="1222"/>
    </row>
    <row r="293" spans="2:17" ht="12.75" customHeight="1">
      <c r="B293" s="2093" t="s">
        <v>1000</v>
      </c>
      <c r="C293" s="1275">
        <f>C291-C292</f>
        <v>1284.5501856998108</v>
      </c>
      <c r="D293" s="1275">
        <f>D291-D292</f>
        <v>1427.5814990169615</v>
      </c>
      <c r="E293" s="1275">
        <f>E291-E292</f>
        <v>1085.5772495298111</v>
      </c>
      <c r="F293" s="1275">
        <f>F291-F292</f>
        <v>947.84000294998816</v>
      </c>
      <c r="G293" s="1275">
        <f>E293-D293</f>
        <v>-342.00424948715045</v>
      </c>
      <c r="H293" s="2035">
        <f>((E293-D293)/D293)*100</f>
        <v>-23.956898413341442</v>
      </c>
      <c r="I293" s="1275">
        <f>E293-C293</f>
        <v>-198.97293616999968</v>
      </c>
      <c r="J293" s="1275">
        <f>I293/C293*100</f>
        <v>-15.489697357491808</v>
      </c>
      <c r="K293" s="1275">
        <f>E293-F293</f>
        <v>137.73724657982291</v>
      </c>
      <c r="L293" s="1275">
        <f>F293/E293*100</f>
        <v>87.312073218236634</v>
      </c>
    </row>
    <row r="294" spans="2:17" ht="12.75" customHeight="1">
      <c r="C294" s="1232">
        <f>C275+C288</f>
        <v>690.80961198299951</v>
      </c>
      <c r="D294" s="1232">
        <f>D286+D272</f>
        <v>1362.1883043101504</v>
      </c>
      <c r="E294" s="1232">
        <f>E286+E272</f>
        <v>1529.4730388429998</v>
      </c>
      <c r="F294" s="1214">
        <f>F272+F286</f>
        <v>632.92840183589021</v>
      </c>
    </row>
    <row r="295" spans="2:17" ht="12.75" customHeight="1">
      <c r="D295" s="1232">
        <f>D286+D275</f>
        <v>1361.4108513901504</v>
      </c>
      <c r="E295" s="1232">
        <f>E286+E275</f>
        <v>1520.9748884429998</v>
      </c>
    </row>
    <row r="296" spans="2:17" ht="12.75" customHeight="1">
      <c r="B296" s="3247" t="s">
        <v>884</v>
      </c>
      <c r="C296" s="3249" t="s">
        <v>281</v>
      </c>
      <c r="D296" s="3250"/>
      <c r="E296" s="3250"/>
      <c r="F296" s="3251"/>
      <c r="G296" s="3252" t="s">
        <v>989</v>
      </c>
      <c r="H296" s="3253"/>
      <c r="I296" s="3242" t="s">
        <v>920</v>
      </c>
      <c r="J296" s="3242"/>
      <c r="K296" s="3242" t="s">
        <v>990</v>
      </c>
      <c r="L296" s="3242"/>
      <c r="M296" s="3243" t="s">
        <v>358</v>
      </c>
      <c r="N296" s="3243"/>
      <c r="O296" s="3243"/>
      <c r="P296" s="3243"/>
      <c r="Q296" s="3243"/>
    </row>
    <row r="297" spans="2:17" ht="12.75" customHeight="1">
      <c r="B297" s="3248"/>
      <c r="C297" s="1217">
        <f>C265</f>
        <v>45291</v>
      </c>
      <c r="D297" s="1217">
        <f>D265</f>
        <v>45139</v>
      </c>
      <c r="E297" s="1217">
        <f>E265</f>
        <v>45505</v>
      </c>
      <c r="F297" s="1218" t="str">
        <f>F265</f>
        <v>Obj 2024</v>
      </c>
      <c r="G297" s="1218" t="s">
        <v>440</v>
      </c>
      <c r="H297" s="1218" t="s">
        <v>599</v>
      </c>
      <c r="I297" s="1218" t="s">
        <v>440</v>
      </c>
      <c r="J297" s="1218" t="s">
        <v>599</v>
      </c>
      <c r="K297" s="1218" t="s">
        <v>440</v>
      </c>
      <c r="L297" s="1218" t="s">
        <v>599</v>
      </c>
      <c r="M297" s="1217">
        <f>M265</f>
        <v>45291</v>
      </c>
      <c r="N297" s="1217">
        <f>N265</f>
        <v>45139</v>
      </c>
      <c r="O297" s="1217">
        <f>O265</f>
        <v>45505</v>
      </c>
      <c r="P297" s="1269" t="str">
        <f>P265</f>
        <v>écart mois</v>
      </c>
      <c r="Q297" s="1269" t="str">
        <f>Q265</f>
        <v>écart année</v>
      </c>
    </row>
    <row r="298" spans="2:17" ht="12.75" customHeight="1">
      <c r="B298" s="1223" t="s">
        <v>277</v>
      </c>
      <c r="C298" s="1221">
        <f>'Solde créances_DCM'!C284</f>
        <v>298.13228079000129</v>
      </c>
      <c r="D298" s="1221">
        <f>'Solde créances_DCM'!D284</f>
        <v>969.915969210002</v>
      </c>
      <c r="E298" s="1221">
        <f>'Solde créances_DCM'!E284</f>
        <v>983.32848568000145</v>
      </c>
      <c r="F298" s="1221">
        <f>'Solde créances_DCM'!F284</f>
        <v>289.87992881391756</v>
      </c>
      <c r="G298" s="1221">
        <f>E298-D298</f>
        <v>13.412516469999446</v>
      </c>
      <c r="H298" s="1221">
        <f>((E298-D298)/D298)*100</f>
        <v>1.3828534528536487</v>
      </c>
      <c r="I298" s="1221">
        <f t="shared" ref="I298:I323" si="59">E298-C298</f>
        <v>685.19620489000022</v>
      </c>
      <c r="J298" s="1221">
        <f t="shared" ref="J298:J323" si="60">I298/C298*100</f>
        <v>229.82959211070454</v>
      </c>
      <c r="K298" s="1221">
        <f>E298-F298</f>
        <v>693.44855686608389</v>
      </c>
      <c r="L298" s="1221">
        <f t="shared" ref="L298:L323" si="61">F298/E298*100</f>
        <v>29.479460122977809</v>
      </c>
      <c r="M298" s="1269">
        <f>'Solde créances_DCM'!K284</f>
        <v>17.193207308255044</v>
      </c>
      <c r="N298" s="1269">
        <f>'Solde créances_DCM'!L284</f>
        <v>63.239517621062042</v>
      </c>
      <c r="O298" s="1269">
        <f>'Solde créances_DCM'!M284</f>
        <v>45.33729486539557</v>
      </c>
      <c r="P298" s="1269">
        <f>O298-N298</f>
        <v>-17.902222755666472</v>
      </c>
      <c r="Q298" s="1269">
        <f>O298-M298</f>
        <v>28.144087557140526</v>
      </c>
    </row>
    <row r="299" spans="2:17" ht="12.75" customHeight="1">
      <c r="B299" s="1314" t="s">
        <v>602</v>
      </c>
      <c r="C299" s="1315">
        <f>'Solde créances_DCM'!C285</f>
        <v>271.01399135999935</v>
      </c>
      <c r="D299" s="1315">
        <f>'Solde créances_DCM'!D285</f>
        <v>942.54202729999918</v>
      </c>
      <c r="E299" s="1315">
        <f>'Solde créances_DCM'!E285</f>
        <v>956.2447640000014</v>
      </c>
      <c r="F299" s="1315">
        <f>'Solde créances_DCM'!F285</f>
        <v>263.51227822373761</v>
      </c>
      <c r="G299" s="1315">
        <f>'Solde créances_DCM'!G285</f>
        <v>13.70273670000222</v>
      </c>
      <c r="H299" s="1315">
        <f>'Solde créances_DCM'!H285</f>
        <v>1.4538064407859885</v>
      </c>
      <c r="I299" s="1315">
        <f t="shared" si="59"/>
        <v>685.23077264000199</v>
      </c>
      <c r="J299" s="1315">
        <f t="shared" si="60"/>
        <v>252.83962986611309</v>
      </c>
      <c r="K299" s="1315">
        <f>'Solde créances_DCM'!I285</f>
        <v>692.73248577626373</v>
      </c>
      <c r="L299" s="1315">
        <f t="shared" si="61"/>
        <v>27.556990442641233</v>
      </c>
      <c r="M299" s="1365">
        <f>'Solde créances_DCM'!K285</f>
        <v>17.673426269394874</v>
      </c>
      <c r="N299" s="1365">
        <f>'Solde créances_DCM'!L285</f>
        <v>64.244729475378421</v>
      </c>
      <c r="O299" s="1365">
        <f>'Solde créances_DCM'!M285</f>
        <v>60.628102801609423</v>
      </c>
      <c r="P299" s="1365">
        <f>'Solde créances_DCM'!N285</f>
        <v>-3.616626673768998</v>
      </c>
      <c r="Q299" s="1365">
        <f>'Solde créances_DCM'!O285</f>
        <v>42.954676532214549</v>
      </c>
    </row>
    <row r="300" spans="2:17" ht="12.75" customHeight="1">
      <c r="B300" s="1223" t="s">
        <v>185</v>
      </c>
      <c r="C300" s="1221">
        <f>'Solde créances_DCM'!C291</f>
        <v>3.1588011599999737</v>
      </c>
      <c r="D300" s="1221">
        <f>'Solde créances_DCM'!D291</f>
        <v>5.1962285499999563</v>
      </c>
      <c r="E300" s="1221">
        <f>'Solde créances_DCM'!E291</f>
        <v>3.2725944299998666</v>
      </c>
      <c r="F300" s="1221">
        <f>'Solde créances_DCM'!F291</f>
        <v>2.6045724157159453</v>
      </c>
      <c r="G300" s="1221">
        <f t="shared" ref="G300:G323" si="62">E300-D300</f>
        <v>-1.9236341200000897</v>
      </c>
      <c r="H300" s="1221">
        <f t="shared" ref="H300:H323" si="63">((E300-D300)/D300)*100</f>
        <v>-37.019813533800502</v>
      </c>
      <c r="I300" s="1221">
        <f t="shared" si="59"/>
        <v>0.11379326999989292</v>
      </c>
      <c r="J300" s="1221">
        <f t="shared" si="60"/>
        <v>3.6024195331083733</v>
      </c>
      <c r="K300" s="1221">
        <f t="shared" ref="K300:K323" si="64">E300-F300</f>
        <v>0.66802201428392127</v>
      </c>
      <c r="L300" s="1221">
        <f t="shared" si="61"/>
        <v>79.587387665267499</v>
      </c>
      <c r="M300" s="1269">
        <f>'Solde créances_DCM'!K291</f>
        <v>8.1683690823262189</v>
      </c>
      <c r="N300" s="1269">
        <f>'Solde créances_DCM'!L291</f>
        <v>13.169477772637805</v>
      </c>
      <c r="O300" s="1269">
        <f>'Solde créances_DCM'!M291</f>
        <v>7.9810710707095831</v>
      </c>
      <c r="P300" s="1269"/>
      <c r="Q300" s="1269"/>
    </row>
    <row r="301" spans="2:17" ht="12.75" customHeight="1">
      <c r="B301" s="2365" t="s">
        <v>1103</v>
      </c>
      <c r="C301" s="2367">
        <f>'Solde créances_DCM'!C292</f>
        <v>0</v>
      </c>
      <c r="D301" s="2367">
        <f>'Solde créances_DCM'!D292</f>
        <v>0</v>
      </c>
      <c r="E301" s="2367">
        <f>'Solde créances_DCM'!E292</f>
        <v>0.64637350999998866</v>
      </c>
      <c r="F301" s="2367">
        <f>'Solde créances_DCM'!F292</f>
        <v>0</v>
      </c>
      <c r="G301" s="1221">
        <f>E301-D301</f>
        <v>0.64637350999998866</v>
      </c>
      <c r="H301" s="1221" t="e">
        <f>((E301-D301)/D301)*100</f>
        <v>#DIV/0!</v>
      </c>
      <c r="I301" s="1221">
        <f>E301-C301</f>
        <v>0.64637350999998866</v>
      </c>
      <c r="J301" s="1221" t="e">
        <f>I301/C301*100</f>
        <v>#DIV/0!</v>
      </c>
      <c r="K301" s="1221">
        <f>E301-F301</f>
        <v>0.64637350999998866</v>
      </c>
      <c r="L301" s="1221">
        <f>F301/E301*100</f>
        <v>0</v>
      </c>
      <c r="M301" s="2366"/>
      <c r="N301" s="2366"/>
      <c r="O301" s="2366"/>
      <c r="P301" s="2366"/>
      <c r="Q301" s="2366"/>
    </row>
    <row r="302" spans="2:17" ht="12.75" customHeight="1">
      <c r="B302" s="2365" t="s">
        <v>1105</v>
      </c>
      <c r="C302" s="2367">
        <f>C300-C301</f>
        <v>3.1588011599999737</v>
      </c>
      <c r="D302" s="2367">
        <f>D300-D301</f>
        <v>5.1962285499999563</v>
      </c>
      <c r="E302" s="2367">
        <f>E300-E301</f>
        <v>2.6262209199998781</v>
      </c>
      <c r="F302" s="2367">
        <f>F300-F301</f>
        <v>2.6045724157159453</v>
      </c>
      <c r="G302" s="1221">
        <f>E302-D302</f>
        <v>-2.5700076300000783</v>
      </c>
      <c r="H302" s="1221">
        <f>((E302-D302)/D302)*100</f>
        <v>-49.459095289411394</v>
      </c>
      <c r="I302" s="1221">
        <f>E302-C302</f>
        <v>-0.53258024000009563</v>
      </c>
      <c r="J302" s="1221">
        <f>I302/C302*100</f>
        <v>-16.860201482264241</v>
      </c>
      <c r="K302" s="1221">
        <f>E302-F302</f>
        <v>2.1648504283932724E-2</v>
      </c>
      <c r="L302" s="1221">
        <f>F302/E302*100</f>
        <v>99.175678477043974</v>
      </c>
      <c r="M302" s="2366"/>
      <c r="N302" s="2366"/>
      <c r="O302" s="2366"/>
      <c r="P302" s="2366"/>
      <c r="Q302" s="2366"/>
    </row>
    <row r="303" spans="2:17" ht="12.75" customHeight="1">
      <c r="B303" s="1223" t="s">
        <v>624</v>
      </c>
      <c r="C303" s="1221">
        <f>'Solde créances_DCM'!C295</f>
        <v>41.458679550001271</v>
      </c>
      <c r="D303" s="1221">
        <f>'Solde créances_DCM'!D295</f>
        <v>71.215843890001295</v>
      </c>
      <c r="E303" s="1221">
        <f>'Solde créances_DCM'!E295</f>
        <v>50.225951850001231</v>
      </c>
      <c r="F303" s="1221">
        <f>'Solde créances_DCM'!F295</f>
        <v>13.080867366745794</v>
      </c>
      <c r="G303" s="1221">
        <f t="shared" si="62"/>
        <v>-20.989892040000065</v>
      </c>
      <c r="H303" s="1221">
        <f t="shared" si="63"/>
        <v>-29.473626785102304</v>
      </c>
      <c r="I303" s="1221">
        <f t="shared" si="59"/>
        <v>8.7672722999999593</v>
      </c>
      <c r="J303" s="1221">
        <f t="shared" si="60"/>
        <v>21.147012869587861</v>
      </c>
      <c r="K303" s="1221">
        <f t="shared" si="64"/>
        <v>37.145084483255438</v>
      </c>
      <c r="L303" s="1221">
        <f t="shared" si="61"/>
        <v>26.044040749713481</v>
      </c>
      <c r="M303" s="1269">
        <f>'Solde créances_DCM'!K295</f>
        <v>17.066191830274789</v>
      </c>
      <c r="N303" s="1269">
        <f>'Solde créances_DCM'!L295</f>
        <v>29.45365773424389</v>
      </c>
      <c r="O303" s="1269">
        <f>'Solde créances_DCM'!M295</f>
        <v>19.885322256860842</v>
      </c>
      <c r="P303" s="1269"/>
      <c r="Q303" s="1269"/>
    </row>
    <row r="304" spans="2:17" ht="12.75" customHeight="1">
      <c r="B304" s="1224" t="s">
        <v>625</v>
      </c>
      <c r="C304" s="1225">
        <f>C298+C300+C303</f>
        <v>342.74976150000253</v>
      </c>
      <c r="D304" s="1225">
        <f>D298+D300+D303</f>
        <v>1046.3280416500033</v>
      </c>
      <c r="E304" s="1225">
        <f>E298+E300+E303</f>
        <v>1036.8270319600026</v>
      </c>
      <c r="F304" s="1225">
        <f>F298+F300+F303</f>
        <v>305.5653685963793</v>
      </c>
      <c r="G304" s="1225">
        <f t="shared" si="62"/>
        <v>-9.5010096900007284</v>
      </c>
      <c r="H304" s="1225">
        <f t="shared" si="63"/>
        <v>-0.90803355274872921</v>
      </c>
      <c r="I304" s="1225">
        <f t="shared" si="59"/>
        <v>694.07727046000014</v>
      </c>
      <c r="J304" s="1225">
        <f t="shared" si="60"/>
        <v>202.50262682093654</v>
      </c>
      <c r="K304" s="1225">
        <f t="shared" si="64"/>
        <v>731.26166336362326</v>
      </c>
      <c r="L304" s="1225">
        <f t="shared" si="61"/>
        <v>29.471200034083122</v>
      </c>
      <c r="M304" s="1226"/>
      <c r="N304" s="1226"/>
      <c r="O304" s="1226"/>
      <c r="P304" s="1226">
        <f>O304-N304</f>
        <v>0</v>
      </c>
      <c r="Q304" s="1226">
        <f>O304-M304</f>
        <v>0</v>
      </c>
    </row>
    <row r="305" spans="2:17" ht="12.75" customHeight="1">
      <c r="B305" s="1220" t="s">
        <v>636</v>
      </c>
      <c r="C305" s="1221">
        <f>'Solde créances_DCM'!C296</f>
        <v>25.73064597000117</v>
      </c>
      <c r="D305" s="1221">
        <f>'Solde créances_DCM'!D296</f>
        <v>56.720377590001192</v>
      </c>
      <c r="E305" s="1221">
        <f>'Solde créances_DCM'!E296</f>
        <v>31.987954050001118</v>
      </c>
      <c r="F305" s="1221">
        <f>'Solde créances_DCM'!F296</f>
        <v>8.1184246784402756</v>
      </c>
      <c r="G305" s="1221">
        <f t="shared" si="62"/>
        <v>-24.732423540000074</v>
      </c>
      <c r="H305" s="1221">
        <f t="shared" si="63"/>
        <v>-43.604123581081318</v>
      </c>
      <c r="I305" s="1221">
        <f t="shared" si="59"/>
        <v>6.2573080799999481</v>
      </c>
      <c r="J305" s="1221">
        <f t="shared" si="60"/>
        <v>24.318503652396505</v>
      </c>
      <c r="K305" s="1221">
        <f t="shared" si="64"/>
        <v>23.869529371560844</v>
      </c>
      <c r="L305" s="1221">
        <f t="shared" si="61"/>
        <v>25.379630925285738</v>
      </c>
      <c r="M305" s="1269">
        <f>'Solde créances_DCM'!K296</f>
        <v>10.73337927721677</v>
      </c>
      <c r="N305" s="1269">
        <f>'Solde créances_DCM'!L296</f>
        <v>23.738265611438269</v>
      </c>
      <c r="O305" s="1269">
        <f>'Solde créances_DCM'!M296</f>
        <v>12.780250473294961</v>
      </c>
      <c r="P305" s="1269"/>
      <c r="Q305" s="1269"/>
    </row>
    <row r="306" spans="2:17" ht="12.75" customHeight="1">
      <c r="B306" s="1220" t="s">
        <v>626</v>
      </c>
      <c r="C306" s="1221">
        <f>'Solde créances_DCM'!C297</f>
        <v>15.728033580000099</v>
      </c>
      <c r="D306" s="1221">
        <f>'Solde créances_DCM'!D297</f>
        <v>14.495466300000105</v>
      </c>
      <c r="E306" s="1221">
        <f>'Solde créances_DCM'!E297</f>
        <v>18.237997800000112</v>
      </c>
      <c r="F306" s="1221">
        <f>'Solde créances_DCM'!F297</f>
        <v>4.9624426883055186</v>
      </c>
      <c r="G306" s="1221">
        <f t="shared" si="62"/>
        <v>3.7425315000000072</v>
      </c>
      <c r="H306" s="1221">
        <f t="shared" si="63"/>
        <v>25.818634754785226</v>
      </c>
      <c r="I306" s="1221">
        <f t="shared" si="59"/>
        <v>2.509964220000013</v>
      </c>
      <c r="J306" s="1221">
        <f t="shared" si="60"/>
        <v>15.958538028502842</v>
      </c>
      <c r="K306" s="1221">
        <f t="shared" si="64"/>
        <v>13.275555111694594</v>
      </c>
      <c r="L306" s="1221">
        <f t="shared" si="61"/>
        <v>27.209361152053042</v>
      </c>
      <c r="M306" s="1269"/>
      <c r="N306" s="1269"/>
      <c r="O306" s="1269"/>
      <c r="P306" s="1269"/>
      <c r="Q306" s="1269"/>
    </row>
    <row r="307" spans="2:17" ht="12.75" customHeight="1">
      <c r="B307" s="1224" t="s">
        <v>620</v>
      </c>
      <c r="C307" s="1225">
        <f>C304-C306</f>
        <v>327.02172792000243</v>
      </c>
      <c r="D307" s="1225">
        <f>D304-D306</f>
        <v>1031.8325753500033</v>
      </c>
      <c r="E307" s="1225">
        <f>E304-E306</f>
        <v>1018.5890341600025</v>
      </c>
      <c r="F307" s="1225">
        <f>F304-F306</f>
        <v>300.60292590807376</v>
      </c>
      <c r="G307" s="1225">
        <f t="shared" si="62"/>
        <v>-13.243541190000769</v>
      </c>
      <c r="H307" s="1225">
        <f t="shared" si="63"/>
        <v>-1.2834971008265064</v>
      </c>
      <c r="I307" s="1225">
        <f t="shared" si="59"/>
        <v>691.56730624000011</v>
      </c>
      <c r="J307" s="1225">
        <f t="shared" si="60"/>
        <v>211.47442117643465</v>
      </c>
      <c r="K307" s="1225">
        <f t="shared" si="64"/>
        <v>717.98610825192873</v>
      </c>
      <c r="L307" s="1225">
        <f t="shared" si="61"/>
        <v>29.511698617094506</v>
      </c>
      <c r="M307" s="1226"/>
      <c r="N307" s="1226"/>
      <c r="O307" s="1226"/>
      <c r="P307" s="1226">
        <f>O307-N307</f>
        <v>0</v>
      </c>
      <c r="Q307" s="1226">
        <f>O307-M307</f>
        <v>0</v>
      </c>
    </row>
    <row r="308" spans="2:17" ht="12.75" customHeight="1">
      <c r="B308" s="1223" t="s">
        <v>234</v>
      </c>
      <c r="C308" s="1221">
        <f>'Solde créances_DCM'!C288</f>
        <v>250.99722506000009</v>
      </c>
      <c r="D308" s="1221">
        <f>'Solde créances_DCM'!D288</f>
        <v>378.85588472999922</v>
      </c>
      <c r="E308" s="1221">
        <f>'Solde créances_DCM'!E288</f>
        <v>340.8547569199992</v>
      </c>
      <c r="F308" s="1221">
        <f>'Solde créances_DCM'!F288</f>
        <v>129.58715556131844</v>
      </c>
      <c r="G308" s="1221">
        <f t="shared" si="62"/>
        <v>-38.001127810000014</v>
      </c>
      <c r="H308" s="1221">
        <f t="shared" si="63"/>
        <v>-10.030496909684388</v>
      </c>
      <c r="I308" s="1221">
        <f t="shared" si="59"/>
        <v>89.857531859999114</v>
      </c>
      <c r="J308" s="1221">
        <f t="shared" si="60"/>
        <v>35.800209280608165</v>
      </c>
      <c r="K308" s="1221">
        <f t="shared" si="64"/>
        <v>211.26760135868076</v>
      </c>
      <c r="L308" s="1221">
        <f t="shared" si="61"/>
        <v>38.01829164195393</v>
      </c>
      <c r="M308" s="1269">
        <f>'Solde créances_DCM'!K288</f>
        <v>101.57089065940455</v>
      </c>
      <c r="N308" s="1269">
        <f>'Solde créances_DCM'!L288</f>
        <v>238.85802460944839</v>
      </c>
      <c r="O308" s="1269">
        <f>'Solde créances_DCM'!M288</f>
        <v>185.50639415488044</v>
      </c>
      <c r="P308" s="1269">
        <f>O308-N308</f>
        <v>-53.351630454567953</v>
      </c>
      <c r="Q308" s="1269">
        <f>O308-M308</f>
        <v>83.935503495475885</v>
      </c>
    </row>
    <row r="309" spans="2:17" ht="12.75" customHeight="1">
      <c r="B309" s="2365" t="s">
        <v>1101</v>
      </c>
      <c r="C309" s="2367">
        <f>'Solde créances_DCM'!C289</f>
        <v>0</v>
      </c>
      <c r="D309" s="2367">
        <f>'Solde créances_DCM'!D289</f>
        <v>0</v>
      </c>
      <c r="E309" s="2367">
        <f>'Solde créances_DCM'!E289</f>
        <v>4.1946929699999806</v>
      </c>
      <c r="F309" s="2367">
        <f>'Solde créances_DCM'!F289</f>
        <v>0</v>
      </c>
      <c r="G309" s="1221">
        <f>E309-D309</f>
        <v>4.1946929699999806</v>
      </c>
      <c r="H309" s="1221" t="e">
        <f>((E309-D309)/D309)*100</f>
        <v>#DIV/0!</v>
      </c>
      <c r="I309" s="1221">
        <f>E309-C309</f>
        <v>4.1946929699999806</v>
      </c>
      <c r="J309" s="1221" t="e">
        <f>I309/C309*100</f>
        <v>#DIV/0!</v>
      </c>
      <c r="K309" s="1221">
        <f>E309-F309</f>
        <v>4.1946929699999806</v>
      </c>
      <c r="L309" s="1221">
        <f>F309/E309*100</f>
        <v>0</v>
      </c>
      <c r="M309" s="2366"/>
      <c r="N309" s="2366"/>
      <c r="O309" s="2366"/>
      <c r="P309" s="2366"/>
      <c r="Q309" s="2366"/>
    </row>
    <row r="310" spans="2:17" ht="12.75" customHeight="1">
      <c r="B310" s="2365" t="s">
        <v>1106</v>
      </c>
      <c r="C310" s="2367">
        <f>C308-C309</f>
        <v>250.99722506000009</v>
      </c>
      <c r="D310" s="2367">
        <f>D308-D309</f>
        <v>378.85588472999922</v>
      </c>
      <c r="E310" s="2367">
        <f>E308-E309</f>
        <v>336.6600639499992</v>
      </c>
      <c r="F310" s="2367">
        <f>F308-F309</f>
        <v>129.58715556131844</v>
      </c>
      <c r="G310" s="1221">
        <f>E310-D310</f>
        <v>-42.19582078000002</v>
      </c>
      <c r="H310" s="1221">
        <f>((E310-D310)/D310)*100</f>
        <v>-11.137697071822412</v>
      </c>
      <c r="I310" s="1221">
        <f>E310-C310</f>
        <v>85.662838889999108</v>
      </c>
      <c r="J310" s="1221">
        <f>I310/C310*100</f>
        <v>34.128998386146172</v>
      </c>
      <c r="K310" s="1221">
        <f>E310-F310</f>
        <v>207.07290838868076</v>
      </c>
      <c r="L310" s="1221">
        <f>F310/E310*100</f>
        <v>38.491989231180312</v>
      </c>
      <c r="M310" s="2366"/>
      <c r="N310" s="2366"/>
      <c r="O310" s="2366"/>
      <c r="P310" s="2366"/>
      <c r="Q310" s="2366"/>
    </row>
    <row r="311" spans="2:17" ht="12.75" customHeight="1">
      <c r="B311" s="1223" t="s">
        <v>187</v>
      </c>
      <c r="C311" s="1221">
        <f>'Solde créances_DCM'!C298</f>
        <v>563.581091499992</v>
      </c>
      <c r="D311" s="1221">
        <f>'Solde créances_DCM'!D298</f>
        <v>525.95259169999508</v>
      </c>
      <c r="E311" s="1221">
        <f>'Solde créances_DCM'!E298</f>
        <v>813.20476715999098</v>
      </c>
      <c r="F311" s="1221">
        <f>'Solde créances_DCM'!F298</f>
        <v>365.46984295401217</v>
      </c>
      <c r="G311" s="1221">
        <f t="shared" si="62"/>
        <v>287.2521754599959</v>
      </c>
      <c r="H311" s="1221">
        <f t="shared" si="63"/>
        <v>54.615602241170322</v>
      </c>
      <c r="I311" s="1221">
        <f t="shared" si="59"/>
        <v>249.62367565999898</v>
      </c>
      <c r="J311" s="1221">
        <f t="shared" si="60"/>
        <v>44.2924149558702</v>
      </c>
      <c r="K311" s="1221">
        <f t="shared" si="64"/>
        <v>447.73492420597881</v>
      </c>
      <c r="L311" s="1221">
        <f t="shared" si="61"/>
        <v>44.94192086826628</v>
      </c>
      <c r="M311" s="1269">
        <f>'Solde créances_DCM'!K298</f>
        <v>266.30212610976645</v>
      </c>
      <c r="N311" s="1269">
        <f>'Solde créances_DCM'!L298</f>
        <v>241.75875987505509</v>
      </c>
      <c r="O311" s="1269">
        <f>'Solde créances_DCM'!M298</f>
        <v>374.24691576138895</v>
      </c>
      <c r="P311" s="1269"/>
      <c r="Q311" s="1269"/>
    </row>
    <row r="312" spans="2:17" ht="12.75" customHeight="1">
      <c r="B312" s="1224" t="s">
        <v>621</v>
      </c>
      <c r="C312" s="1225">
        <f>C308+C311</f>
        <v>814.57831655999212</v>
      </c>
      <c r="D312" s="1225">
        <f>D308+D311</f>
        <v>904.80847642999424</v>
      </c>
      <c r="E312" s="1225">
        <f>E308+E311</f>
        <v>1154.0595240799903</v>
      </c>
      <c r="F312" s="1225">
        <f>SUM(F308:F311)</f>
        <v>624.6441540766491</v>
      </c>
      <c r="G312" s="1225">
        <f t="shared" si="62"/>
        <v>249.25104764999605</v>
      </c>
      <c r="H312" s="1225">
        <f t="shared" si="63"/>
        <v>27.547382030884499</v>
      </c>
      <c r="I312" s="1225">
        <f t="shared" si="59"/>
        <v>339.48120751999818</v>
      </c>
      <c r="J312" s="1225">
        <f t="shared" si="60"/>
        <v>41.675699023470884</v>
      </c>
      <c r="K312" s="1225">
        <f t="shared" si="64"/>
        <v>529.4153700033412</v>
      </c>
      <c r="L312" s="1225">
        <f t="shared" si="61"/>
        <v>54.125817693382139</v>
      </c>
      <c r="M312" s="1226"/>
      <c r="N312" s="1226"/>
      <c r="O312" s="1226"/>
      <c r="P312" s="1226"/>
      <c r="Q312" s="1226"/>
    </row>
    <row r="313" spans="2:17" ht="12.75" customHeight="1">
      <c r="B313" s="1220" t="s">
        <v>917</v>
      </c>
      <c r="C313" s="1221">
        <f>C311-C314</f>
        <v>200.39060336999404</v>
      </c>
      <c r="D313" s="1221">
        <f>D311-D314</f>
        <v>267.76146077999726</v>
      </c>
      <c r="E313" s="1221">
        <f>E311-E314</f>
        <v>267.66994349999311</v>
      </c>
      <c r="F313" s="1221">
        <f>'Solde créances_DCM'!$F$299</f>
        <v>129.94886352231796</v>
      </c>
      <c r="G313" s="1221">
        <f t="shared" si="62"/>
        <v>-9.15172800041546E-2</v>
      </c>
      <c r="H313" s="1221">
        <f t="shared" si="63"/>
        <v>-3.4178660266328834E-2</v>
      </c>
      <c r="I313" s="1221">
        <f t="shared" si="59"/>
        <v>67.279340129999071</v>
      </c>
      <c r="J313" s="1221">
        <f t="shared" si="60"/>
        <v>33.574099283376526</v>
      </c>
      <c r="K313" s="1221">
        <f t="shared" si="64"/>
        <v>137.72107997767515</v>
      </c>
      <c r="L313" s="1221">
        <f t="shared" si="61"/>
        <v>48.548171611326737</v>
      </c>
      <c r="M313" s="1269"/>
      <c r="N313" s="1269"/>
      <c r="O313" s="1269"/>
      <c r="P313" s="1269"/>
      <c r="Q313" s="1269"/>
    </row>
    <row r="314" spans="2:17" ht="12.75" customHeight="1">
      <c r="B314" s="1220" t="s">
        <v>918</v>
      </c>
      <c r="C314" s="1221">
        <f>'Solde créances_DCM'!C300</f>
        <v>363.19048812999796</v>
      </c>
      <c r="D314" s="1221">
        <f>'Solde créances_DCM'!D300</f>
        <v>258.19113091999782</v>
      </c>
      <c r="E314" s="1221">
        <f>'Solde créances_DCM'!E300</f>
        <v>545.53482365999787</v>
      </c>
      <c r="F314" s="1221">
        <f>'Solde créances_DCM'!$F$300</f>
        <v>235.5209794316942</v>
      </c>
      <c r="G314" s="1221">
        <f t="shared" si="62"/>
        <v>287.34369274000005</v>
      </c>
      <c r="H314" s="1221">
        <f t="shared" si="63"/>
        <v>111.29107793754362</v>
      </c>
      <c r="I314" s="1221">
        <f t="shared" si="59"/>
        <v>182.34433552999991</v>
      </c>
      <c r="J314" s="1221">
        <f t="shared" si="60"/>
        <v>50.206253051630803</v>
      </c>
      <c r="K314" s="1221">
        <f t="shared" si="64"/>
        <v>310.0138442283037</v>
      </c>
      <c r="L314" s="1221">
        <f t="shared" si="61"/>
        <v>43.172492243773164</v>
      </c>
      <c r="M314" s="1269"/>
      <c r="N314" s="1269"/>
      <c r="O314" s="1269"/>
      <c r="P314" s="1269"/>
      <c r="Q314" s="1269"/>
    </row>
    <row r="315" spans="2:17" ht="12.75" customHeight="1">
      <c r="B315" s="1228" t="s">
        <v>635</v>
      </c>
      <c r="C315" s="1229">
        <f>C304+C312</f>
        <v>1157.3280780599946</v>
      </c>
      <c r="D315" s="1229">
        <f>D304+D312</f>
        <v>1951.1365180799976</v>
      </c>
      <c r="E315" s="1229">
        <f>E304+E312</f>
        <v>2190.8865560399927</v>
      </c>
      <c r="F315" s="1229">
        <f>F304+F312</f>
        <v>930.20952267302846</v>
      </c>
      <c r="G315" s="1229">
        <f t="shared" si="62"/>
        <v>239.7500379599951</v>
      </c>
      <c r="H315" s="1229">
        <f t="shared" si="63"/>
        <v>12.287712096943348</v>
      </c>
      <c r="I315" s="1229">
        <f t="shared" si="59"/>
        <v>1033.5584779799981</v>
      </c>
      <c r="J315" s="1229">
        <f t="shared" si="60"/>
        <v>89.305573551151639</v>
      </c>
      <c r="K315" s="1229">
        <f t="shared" si="64"/>
        <v>1260.6770333669642</v>
      </c>
      <c r="L315" s="1229">
        <f t="shared" si="61"/>
        <v>42.458132764042958</v>
      </c>
      <c r="M315" s="1271">
        <f>'Solde créances_DCM'!K301</f>
        <v>37.653232385753803</v>
      </c>
      <c r="N315" s="1271">
        <f>'Solde créances_DCM'!L301</f>
        <v>69.218514474735201</v>
      </c>
      <c r="O315" s="1271">
        <f>'Solde créances_DCM'!M301</f>
        <v>63.278580574584339</v>
      </c>
      <c r="P315" s="1271">
        <f>O315-N315</f>
        <v>-5.9399339001508622</v>
      </c>
      <c r="Q315" s="1271">
        <f>O315-M315</f>
        <v>25.625348188830536</v>
      </c>
    </row>
    <row r="316" spans="2:17" ht="12.75" customHeight="1">
      <c r="B316" s="1228" t="s">
        <v>622</v>
      </c>
      <c r="C316" s="1229">
        <f>C315-(C306+C314)</f>
        <v>778.40955634999659</v>
      </c>
      <c r="D316" s="1229">
        <f>D315-(D306+D314)</f>
        <v>1678.4499208599996</v>
      </c>
      <c r="E316" s="1229">
        <f>E315-(E306+E314)</f>
        <v>1627.1137345799948</v>
      </c>
      <c r="F316" s="1229">
        <f>F315-(F306+F314)</f>
        <v>689.7261005530288</v>
      </c>
      <c r="G316" s="1229">
        <f t="shared" si="62"/>
        <v>-51.336186280004767</v>
      </c>
      <c r="H316" s="1229">
        <f t="shared" si="63"/>
        <v>-3.0585473919711155</v>
      </c>
      <c r="I316" s="1229">
        <f t="shared" si="59"/>
        <v>848.70417822999821</v>
      </c>
      <c r="J316" s="1229">
        <f t="shared" si="60"/>
        <v>109.03054456443428</v>
      </c>
      <c r="K316" s="1229">
        <f t="shared" si="64"/>
        <v>937.387634026966</v>
      </c>
      <c r="L316" s="1229">
        <f t="shared" si="61"/>
        <v>42.389544498010586</v>
      </c>
      <c r="M316" s="1271"/>
      <c r="N316" s="1271"/>
      <c r="O316" s="1271"/>
      <c r="P316" s="1271"/>
      <c r="Q316" s="1271"/>
    </row>
    <row r="317" spans="2:17" ht="12.75" customHeight="1">
      <c r="B317" s="1224" t="s">
        <v>623</v>
      </c>
      <c r="C317" s="1225">
        <f>'Solde créances_DCM'!C302</f>
        <v>199.04887690300001</v>
      </c>
      <c r="D317" s="1225">
        <f>'Solde créances_DCM'!D302</f>
        <v>150.44930846300008</v>
      </c>
      <c r="E317" s="1225">
        <f>'Solde créances_DCM'!E302</f>
        <v>7.489606080000522</v>
      </c>
      <c r="F317" s="1225">
        <f>'Solde créances_DCM'!F302</f>
        <v>11.705033649914437</v>
      </c>
      <c r="G317" s="1225">
        <f t="shared" si="62"/>
        <v>-142.95970238299955</v>
      </c>
      <c r="H317" s="1225">
        <f t="shared" si="63"/>
        <v>-95.02184080703671</v>
      </c>
      <c r="I317" s="1225">
        <f t="shared" si="59"/>
        <v>-191.55927082299948</v>
      </c>
      <c r="J317" s="1225">
        <f t="shared" si="60"/>
        <v>-96.237303019976167</v>
      </c>
      <c r="K317" s="1225">
        <f t="shared" si="64"/>
        <v>-4.2154275699139152</v>
      </c>
      <c r="L317" s="1225">
        <f t="shared" si="61"/>
        <v>156.28370203835368</v>
      </c>
      <c r="M317" s="1227"/>
      <c r="N317" s="1227"/>
      <c r="O317" s="1227"/>
      <c r="P317" s="1227"/>
      <c r="Q317" s="1227"/>
    </row>
    <row r="318" spans="2:17" ht="12.75" customHeight="1">
      <c r="B318" s="1224" t="s">
        <v>627</v>
      </c>
      <c r="C318" s="1225">
        <f>'Solde créances_DCM'!C306</f>
        <v>22.240932279999949</v>
      </c>
      <c r="D318" s="1225">
        <f>'Solde créances_DCM'!D306</f>
        <v>28.991820109999971</v>
      </c>
      <c r="E318" s="1225">
        <f>'Solde créances_DCM'!E306</f>
        <v>27.683548869999942</v>
      </c>
      <c r="F318" s="1225">
        <f>'Solde créances_DCM'!F306</f>
        <v>6.3083977770791329</v>
      </c>
      <c r="G318" s="1225">
        <f t="shared" si="62"/>
        <v>-1.3082712400000283</v>
      </c>
      <c r="H318" s="1225">
        <f t="shared" si="63"/>
        <v>-4.5125529719632</v>
      </c>
      <c r="I318" s="1225">
        <f t="shared" si="59"/>
        <v>5.442616589999993</v>
      </c>
      <c r="J318" s="1225">
        <f t="shared" si="60"/>
        <v>24.471171088876702</v>
      </c>
      <c r="K318" s="1225">
        <f t="shared" si="64"/>
        <v>21.37515109292081</v>
      </c>
      <c r="L318" s="1225">
        <f t="shared" si="61"/>
        <v>22.78753279322293</v>
      </c>
      <c r="M318" s="1219">
        <f>'Solde créances_DCM'!K306</f>
        <v>4.2347979615883995</v>
      </c>
      <c r="N318" s="1219">
        <f>'Solde créances_DCM'!L306</f>
        <v>5.6339344137764922</v>
      </c>
      <c r="O318" s="1219">
        <f>'Solde créances_DCM'!M306</f>
        <v>4.3087051929725844</v>
      </c>
      <c r="P318" s="1219">
        <f>O318-N318</f>
        <v>-1.3252292208039078</v>
      </c>
      <c r="Q318" s="1219">
        <f>O318-M318</f>
        <v>7.3907231384184868E-2</v>
      </c>
    </row>
    <row r="319" spans="2:17" ht="12.75" customHeight="1">
      <c r="B319" s="1220" t="s">
        <v>628</v>
      </c>
      <c r="C319" s="1222">
        <f>'calcul-DCC-TX-Encais'!BC12</f>
        <v>0</v>
      </c>
      <c r="D319" s="1222">
        <f>'calcul-DCC-TX-Encais'!$Q$28</f>
        <v>0</v>
      </c>
      <c r="E319" s="1222">
        <f>'Feuil-saisie'!C226/1000</f>
        <v>0</v>
      </c>
      <c r="F319" s="1222"/>
      <c r="G319" s="1222">
        <f t="shared" si="62"/>
        <v>0</v>
      </c>
      <c r="H319" s="1222" t="e">
        <f t="shared" si="63"/>
        <v>#DIV/0!</v>
      </c>
      <c r="I319" s="1222">
        <f t="shared" si="59"/>
        <v>0</v>
      </c>
      <c r="J319" s="1222" t="e">
        <f t="shared" si="60"/>
        <v>#DIV/0!</v>
      </c>
      <c r="K319" s="1222">
        <f t="shared" si="64"/>
        <v>0</v>
      </c>
      <c r="L319" s="1222" t="e">
        <f t="shared" si="61"/>
        <v>#DIV/0!</v>
      </c>
      <c r="M319" s="1269"/>
      <c r="N319" s="1269"/>
      <c r="O319" s="1269"/>
      <c r="P319" s="1269"/>
      <c r="Q319" s="1269"/>
    </row>
    <row r="320" spans="2:17" ht="12.75" customHeight="1">
      <c r="B320" s="1224" t="s">
        <v>629</v>
      </c>
      <c r="C320" s="1225">
        <f>C318-C319</f>
        <v>22.240932279999949</v>
      </c>
      <c r="D320" s="1225">
        <f>D318-D319</f>
        <v>28.991820109999971</v>
      </c>
      <c r="E320" s="1225">
        <f>E318-E319</f>
        <v>27.683548869999942</v>
      </c>
      <c r="F320" s="1225">
        <f>F318-F319</f>
        <v>6.3083977770791329</v>
      </c>
      <c r="G320" s="1225">
        <f t="shared" si="62"/>
        <v>-1.3082712400000283</v>
      </c>
      <c r="H320" s="1225">
        <f t="shared" si="63"/>
        <v>-4.5125529719632</v>
      </c>
      <c r="I320" s="1225">
        <f t="shared" si="59"/>
        <v>5.442616589999993</v>
      </c>
      <c r="J320" s="1225">
        <f t="shared" si="60"/>
        <v>24.471171088876702</v>
      </c>
      <c r="K320" s="1225">
        <f t="shared" si="64"/>
        <v>21.37515109292081</v>
      </c>
      <c r="L320" s="1225">
        <f t="shared" si="61"/>
        <v>22.78753279322293</v>
      </c>
      <c r="M320" s="1219"/>
      <c r="N320" s="1219"/>
      <c r="O320" s="1219"/>
      <c r="P320" s="1219">
        <f>O320-N320</f>
        <v>0</v>
      </c>
      <c r="Q320" s="1219">
        <f>O320-M320</f>
        <v>0</v>
      </c>
    </row>
    <row r="321" spans="2:21" ht="12.75" customHeight="1">
      <c r="B321" s="1230" t="s">
        <v>632</v>
      </c>
      <c r="C321" s="1231">
        <f>C315+C317+C318</f>
        <v>1378.6178872429946</v>
      </c>
      <c r="D321" s="1231">
        <f>D315+D317+D318</f>
        <v>2130.5776466529978</v>
      </c>
      <c r="E321" s="1231">
        <f>E315+E317+E318</f>
        <v>2226.0597109899932</v>
      </c>
      <c r="F321" s="1231">
        <f>F315+F317+F318</f>
        <v>948.22295410002198</v>
      </c>
      <c r="G321" s="1231">
        <f>E321-D321</f>
        <v>95.482064336995336</v>
      </c>
      <c r="H321" s="1231">
        <f t="shared" si="63"/>
        <v>4.4815106591863287</v>
      </c>
      <c r="I321" s="1275">
        <f t="shared" si="59"/>
        <v>847.44182374699858</v>
      </c>
      <c r="J321" s="1275">
        <f t="shared" si="60"/>
        <v>61.470392310210087</v>
      </c>
      <c r="K321" s="1231">
        <f t="shared" si="64"/>
        <v>1277.8367568899712</v>
      </c>
      <c r="L321" s="1231">
        <f t="shared" si="61"/>
        <v>42.596474363139151</v>
      </c>
      <c r="M321" s="1269"/>
      <c r="N321" s="1269"/>
      <c r="O321" s="1269"/>
      <c r="P321" s="1269"/>
      <c r="Q321" s="1269"/>
    </row>
    <row r="322" spans="2:21" ht="12.75" customHeight="1">
      <c r="B322" s="1220" t="s">
        <v>638</v>
      </c>
      <c r="C322" s="1222">
        <f>C301+C306+C314+C309+C319</f>
        <v>378.91852170999806</v>
      </c>
      <c r="D322" s="1222">
        <f>D301+D306+D314+D309+D319</f>
        <v>272.68659721999791</v>
      </c>
      <c r="E322" s="1222">
        <f>E301+E306+E314+E309+E319</f>
        <v>568.61388793999799</v>
      </c>
      <c r="F322" s="1222">
        <f>F301+F306+F314+F309+F319</f>
        <v>240.48342211999972</v>
      </c>
      <c r="G322" s="1222">
        <f t="shared" si="62"/>
        <v>295.92729072000009</v>
      </c>
      <c r="H322" s="1222">
        <f t="shared" si="63"/>
        <v>108.52285874587817</v>
      </c>
      <c r="I322" s="1222">
        <f t="shared" si="59"/>
        <v>189.69536622999993</v>
      </c>
      <c r="J322" s="1222">
        <f t="shared" si="60"/>
        <v>50.062310328335336</v>
      </c>
      <c r="K322" s="1222">
        <f t="shared" si="64"/>
        <v>328.13046581999828</v>
      </c>
      <c r="L322" s="1222">
        <f t="shared" si="61"/>
        <v>42.292920946977702</v>
      </c>
      <c r="M322" s="1269"/>
      <c r="N322" s="1269"/>
      <c r="O322" s="1269"/>
      <c r="P322" s="1269"/>
      <c r="Q322" s="1269"/>
    </row>
    <row r="323" spans="2:21" ht="12.75" customHeight="1">
      <c r="B323" s="1230" t="s">
        <v>633</v>
      </c>
      <c r="C323" s="1231">
        <f>C321-C322</f>
        <v>999.69936553299658</v>
      </c>
      <c r="D323" s="1231">
        <f>D321-D322</f>
        <v>1857.8910494329998</v>
      </c>
      <c r="E323" s="1231">
        <f>E321-E322</f>
        <v>1657.4458230499952</v>
      </c>
      <c r="F323" s="1231">
        <f>F321-F322</f>
        <v>707.73953198002232</v>
      </c>
      <c r="G323" s="1231">
        <f t="shared" si="62"/>
        <v>-200.44522638300464</v>
      </c>
      <c r="H323" s="1231">
        <f t="shared" si="63"/>
        <v>-10.788857960437319</v>
      </c>
      <c r="I323" s="1275">
        <f t="shared" si="59"/>
        <v>657.74645751699859</v>
      </c>
      <c r="J323" s="1275">
        <f t="shared" si="60"/>
        <v>65.794425823839205</v>
      </c>
      <c r="K323" s="1231">
        <f t="shared" si="64"/>
        <v>949.70629106997285</v>
      </c>
      <c r="L323" s="1231">
        <f t="shared" si="61"/>
        <v>42.70061332548751</v>
      </c>
      <c r="M323" s="1269"/>
      <c r="N323" s="1269"/>
      <c r="O323" s="1269"/>
      <c r="P323" s="1269"/>
      <c r="Q323" s="1269"/>
    </row>
    <row r="324" spans="2:21" ht="12.75" customHeight="1">
      <c r="B324" s="1220" t="s">
        <v>999</v>
      </c>
      <c r="C324" s="1222">
        <v>0</v>
      </c>
      <c r="D324" s="1222">
        <f>'Sans ADE APC DSA'!$E$141</f>
        <v>709.05734119299802</v>
      </c>
      <c r="E324" s="1222">
        <f>'Sans ADE APC DSA'!$F$141</f>
        <v>1335.6123436129976</v>
      </c>
      <c r="F324" s="1222"/>
      <c r="G324" s="1222"/>
      <c r="H324" s="1222"/>
      <c r="I324" s="1222"/>
      <c r="J324" s="1222"/>
      <c r="K324" s="1222"/>
      <c r="L324" s="1222"/>
    </row>
    <row r="325" spans="2:21" ht="12.75" customHeight="1">
      <c r="B325" s="2093" t="s">
        <v>1000</v>
      </c>
      <c r="C325" s="1275">
        <f>C323-C324</f>
        <v>999.69936553299658</v>
      </c>
      <c r="D325" s="1275">
        <f>D323-D324</f>
        <v>1148.8337082400017</v>
      </c>
      <c r="E325" s="1275">
        <f>E323-E324</f>
        <v>321.83347943699755</v>
      </c>
      <c r="F325" s="1275">
        <f>F323-F324</f>
        <v>707.73953198002232</v>
      </c>
      <c r="G325" s="1275">
        <f>E325-D325</f>
        <v>-827.00022880300412</v>
      </c>
      <c r="H325" s="2035">
        <f>((E325-D325)/D325)*100</f>
        <v>-71.986069251916163</v>
      </c>
      <c r="I325" s="1275">
        <f>E325-C325</f>
        <v>-677.86588609599903</v>
      </c>
      <c r="J325" s="1275">
        <f>I325/C325*100</f>
        <v>-67.806973723004234</v>
      </c>
      <c r="K325" s="1275">
        <f>E325-F325</f>
        <v>-385.90605254302477</v>
      </c>
      <c r="L325" s="1275">
        <f>F325/E325*100</f>
        <v>219.90861025960169</v>
      </c>
    </row>
    <row r="326" spans="2:21" ht="12.75" customHeight="1">
      <c r="C326" s="1232">
        <f>C307+C320</f>
        <v>349.26266020000236</v>
      </c>
      <c r="D326" s="1232">
        <f>D307+D320</f>
        <v>1060.8243954600032</v>
      </c>
      <c r="F326" s="1214">
        <f>F304+F318</f>
        <v>311.87376637345841</v>
      </c>
    </row>
    <row r="328" spans="2:21" ht="12.75" customHeight="1">
      <c r="B328" s="3247" t="s">
        <v>891</v>
      </c>
      <c r="C328" s="3249" t="s">
        <v>281</v>
      </c>
      <c r="D328" s="3250"/>
      <c r="E328" s="3250"/>
      <c r="F328" s="3251"/>
      <c r="G328" s="3252" t="s">
        <v>989</v>
      </c>
      <c r="H328" s="3253"/>
      <c r="I328" s="3242" t="s">
        <v>920</v>
      </c>
      <c r="J328" s="3242"/>
      <c r="K328" s="3242" t="s">
        <v>990</v>
      </c>
      <c r="L328" s="3242"/>
      <c r="M328" s="3243" t="s">
        <v>358</v>
      </c>
      <c r="N328" s="3243"/>
      <c r="O328" s="3243"/>
      <c r="P328" s="3243"/>
      <c r="Q328" s="3243"/>
    </row>
    <row r="329" spans="2:21" ht="12.75" customHeight="1">
      <c r="B329" s="3248"/>
      <c r="C329" s="1217">
        <f>C297</f>
        <v>45291</v>
      </c>
      <c r="D329" s="1217">
        <f>D297</f>
        <v>45139</v>
      </c>
      <c r="E329" s="1217">
        <f>E297</f>
        <v>45505</v>
      </c>
      <c r="F329" s="1218" t="str">
        <f>F297</f>
        <v>Obj 2024</v>
      </c>
      <c r="G329" s="1218" t="s">
        <v>440</v>
      </c>
      <c r="H329" s="1218" t="s">
        <v>599</v>
      </c>
      <c r="I329" s="1218" t="s">
        <v>440</v>
      </c>
      <c r="J329" s="1218" t="s">
        <v>599</v>
      </c>
      <c r="K329" s="1218" t="s">
        <v>440</v>
      </c>
      <c r="L329" s="1218" t="s">
        <v>599</v>
      </c>
      <c r="M329" s="1217">
        <f>M297</f>
        <v>45291</v>
      </c>
      <c r="N329" s="1217">
        <f>N297</f>
        <v>45139</v>
      </c>
      <c r="O329" s="1217">
        <f>O297</f>
        <v>45505</v>
      </c>
      <c r="P329" s="1269" t="str">
        <f>P297</f>
        <v>écart mois</v>
      </c>
      <c r="Q329" s="1269" t="str">
        <f>Q297</f>
        <v>écart année</v>
      </c>
    </row>
    <row r="330" spans="2:21" ht="12.75" customHeight="1">
      <c r="B330" s="1223" t="s">
        <v>277</v>
      </c>
      <c r="C330" s="1221">
        <f>'Solde créances_DCM'!C314</f>
        <v>100.55670670999999</v>
      </c>
      <c r="D330" s="1221">
        <f>'Solde créances_DCM'!D314</f>
        <v>267.8540491</v>
      </c>
      <c r="E330" s="1221">
        <f>'Solde créances_DCM'!E314</f>
        <v>260.28319273</v>
      </c>
      <c r="F330" s="1221">
        <f>'Solde créances_DCM'!F314</f>
        <v>97.773280054128207</v>
      </c>
      <c r="G330" s="1221">
        <f>E330-D330</f>
        <v>-7.5708563700000013</v>
      </c>
      <c r="H330" s="1221">
        <f>((E330-D330)/D330)*100</f>
        <v>-2.8264856907851019</v>
      </c>
      <c r="I330" s="1221">
        <f t="shared" ref="I330:I355" si="65">E330-C330</f>
        <v>159.72648602000001</v>
      </c>
      <c r="J330" s="1221">
        <f t="shared" ref="J330:J355" si="66">I330/C330*100</f>
        <v>158.84220082966957</v>
      </c>
      <c r="K330" s="1221">
        <f>E330-F330</f>
        <v>162.50991267587179</v>
      </c>
      <c r="L330" s="1221">
        <f t="shared" ref="L330:L355" si="67">F330/E330*100</f>
        <v>37.564192688980704</v>
      </c>
      <c r="M330" s="1269">
        <f>'Solde créances_DCM'!K314</f>
        <v>29.421494489925621</v>
      </c>
      <c r="N330" s="1269">
        <f>'Solde créances_DCM'!L314</f>
        <v>48.786401909622541</v>
      </c>
      <c r="O330" s="1269">
        <f>'Solde créances_DCM'!M314</f>
        <v>60.983271307195942</v>
      </c>
      <c r="P330" s="1269">
        <f>O330-N330</f>
        <v>12.196869397573401</v>
      </c>
      <c r="Q330" s="1269">
        <f>O330-M330</f>
        <v>31.561776817270321</v>
      </c>
    </row>
    <row r="331" spans="2:21" ht="12.75" customHeight="1">
      <c r="B331" s="1314" t="s">
        <v>602</v>
      </c>
      <c r="C331" s="1315">
        <f>'Solde créances_DCM'!C315</f>
        <v>98.097133669999948</v>
      </c>
      <c r="D331" s="1315">
        <f>'Solde créances_DCM'!D315</f>
        <v>265.39447605999965</v>
      </c>
      <c r="E331" s="1315">
        <f>'Solde créances_DCM'!E315</f>
        <v>257.82361968999999</v>
      </c>
      <c r="F331" s="1315">
        <f>'Solde créances_DCM'!F315</f>
        <v>95.381788412033771</v>
      </c>
      <c r="G331" s="1315">
        <f>'Solde créances_DCM'!G315</f>
        <v>-7.5708563699996603</v>
      </c>
      <c r="H331" s="1315">
        <f>'Solde créances_DCM'!H315</f>
        <v>-2.8526804635858594</v>
      </c>
      <c r="I331" s="1315">
        <f t="shared" si="65"/>
        <v>159.72648602000004</v>
      </c>
      <c r="J331" s="1315">
        <f t="shared" si="66"/>
        <v>162.82482478776805</v>
      </c>
      <c r="K331" s="1315">
        <f>'Solde créances_DCM'!I315</f>
        <v>162.44183127796623</v>
      </c>
      <c r="L331" s="1315">
        <f t="shared" si="67"/>
        <v>36.994976847628699</v>
      </c>
      <c r="M331" s="1365">
        <f>'Solde créances_DCM'!K315</f>
        <v>26.385952015249089</v>
      </c>
      <c r="N331" s="1365">
        <f>'Solde créances_DCM'!L315</f>
        <v>45.476366265943931</v>
      </c>
      <c r="O331" s="1365">
        <f>'Solde créances_DCM'!M315</f>
        <v>59.926414516024018</v>
      </c>
      <c r="P331" s="1365">
        <f>'Solde créances_DCM'!N315</f>
        <v>14.450048250080087</v>
      </c>
      <c r="Q331" s="1365">
        <f>'Solde créances_DCM'!O315</f>
        <v>33.540462500774929</v>
      </c>
      <c r="S331" s="1214" t="e">
        <f>((E331-[10]Créances!$C$61)/[10]Créances!$C$61)</f>
        <v>#DIV/0!</v>
      </c>
    </row>
    <row r="332" spans="2:21" ht="12.75" customHeight="1">
      <c r="B332" s="1223" t="s">
        <v>185</v>
      </c>
      <c r="C332" s="1221">
        <f>'Solde créances_DCM'!C321</f>
        <v>0</v>
      </c>
      <c r="D332" s="1221">
        <f>'Solde créances_DCM'!D321</f>
        <v>2.8229624499999999</v>
      </c>
      <c r="E332" s="1221">
        <f>'Solde créances_DCM'!E321</f>
        <v>2.6162806500000002</v>
      </c>
      <c r="F332" s="1221">
        <f>'Solde créances_DCM'!F321</f>
        <v>0</v>
      </c>
      <c r="G332" s="1221">
        <f t="shared" ref="G332:G355" si="68">E332-D332</f>
        <v>-0.20668179999999969</v>
      </c>
      <c r="H332" s="1221">
        <f t="shared" ref="H332:H355" si="69">((E332-D332)/D332)*100</f>
        <v>-7.3214505563118522</v>
      </c>
      <c r="I332" s="1221">
        <f t="shared" si="65"/>
        <v>2.6162806500000002</v>
      </c>
      <c r="J332" s="1221" t="e">
        <f t="shared" si="66"/>
        <v>#DIV/0!</v>
      </c>
      <c r="K332" s="1221">
        <f t="shared" ref="K332:K355" si="70">E332-F332</f>
        <v>2.6162806500000002</v>
      </c>
      <c r="L332" s="1221">
        <f t="shared" si="67"/>
        <v>0</v>
      </c>
      <c r="M332" s="1269">
        <f>'Solde créances_DCM'!K321</f>
        <v>0</v>
      </c>
      <c r="N332" s="1269">
        <f>'Solde créances_DCM'!L321</f>
        <v>10.731904364553623</v>
      </c>
      <c r="O332" s="1269">
        <f>'Solde créances_DCM'!M321</f>
        <v>22.136409084762665</v>
      </c>
      <c r="P332" s="1269"/>
      <c r="Q332" s="1269"/>
      <c r="S332" s="1214" t="e">
        <f>S331*100</f>
        <v>#DIV/0!</v>
      </c>
      <c r="U332" s="1232">
        <f>C339+C352</f>
        <v>103.89336620999998</v>
      </c>
    </row>
    <row r="333" spans="2:21" ht="12.75" customHeight="1">
      <c r="B333" s="2365" t="s">
        <v>1103</v>
      </c>
      <c r="C333" s="2367">
        <f>'Solde créances_DCM'!C322</f>
        <v>0</v>
      </c>
      <c r="D333" s="2367">
        <f>'Solde créances_DCM'!D322</f>
        <v>0</v>
      </c>
      <c r="E333" s="2367">
        <f>'Solde créances_DCM'!E322</f>
        <v>0</v>
      </c>
      <c r="F333" s="2367">
        <f>'Solde créances_DCM'!F322</f>
        <v>0</v>
      </c>
      <c r="G333" s="1221">
        <f>E333-D333</f>
        <v>0</v>
      </c>
      <c r="H333" s="1221" t="e">
        <f>((E333-D333)/D333)*100</f>
        <v>#DIV/0!</v>
      </c>
      <c r="I333" s="1221">
        <f>E333-C333</f>
        <v>0</v>
      </c>
      <c r="J333" s="1221" t="e">
        <f>I333/C333*100</f>
        <v>#DIV/0!</v>
      </c>
      <c r="K333" s="1221">
        <f>E333-F333</f>
        <v>0</v>
      </c>
      <c r="L333" s="1221" t="e">
        <f>F333/E333*100</f>
        <v>#DIV/0!</v>
      </c>
      <c r="M333" s="2366"/>
      <c r="N333" s="2366"/>
      <c r="O333" s="2366"/>
      <c r="P333" s="2366"/>
      <c r="Q333" s="2366"/>
    </row>
    <row r="334" spans="2:21" ht="12.75" customHeight="1">
      <c r="B334" s="2365" t="s">
        <v>1105</v>
      </c>
      <c r="C334" s="2367">
        <f>C332-C333</f>
        <v>0</v>
      </c>
      <c r="D334" s="2367">
        <f>D332-D333</f>
        <v>2.8229624499999999</v>
      </c>
      <c r="E334" s="2367">
        <f>E332-E333</f>
        <v>2.6162806500000002</v>
      </c>
      <c r="F334" s="2367">
        <f>F332-F333</f>
        <v>0</v>
      </c>
      <c r="G334" s="1221">
        <f>E334-D334</f>
        <v>-0.20668179999999969</v>
      </c>
      <c r="H334" s="1221">
        <f>((E334-D334)/D334)*100</f>
        <v>-7.3214505563118522</v>
      </c>
      <c r="I334" s="1221">
        <f>E334-C334</f>
        <v>2.6162806500000002</v>
      </c>
      <c r="J334" s="1221" t="e">
        <f>I334/C334*100</f>
        <v>#DIV/0!</v>
      </c>
      <c r="K334" s="1221">
        <f>E334-F334</f>
        <v>2.6162806500000002</v>
      </c>
      <c r="L334" s="1221">
        <f>F334/E334*100</f>
        <v>0</v>
      </c>
      <c r="M334" s="2366"/>
      <c r="N334" s="2366"/>
      <c r="O334" s="2366"/>
      <c r="P334" s="2366"/>
      <c r="Q334" s="2366"/>
    </row>
    <row r="335" spans="2:21" ht="12.75" customHeight="1">
      <c r="B335" s="1223" t="s">
        <v>624</v>
      </c>
      <c r="C335" s="1221">
        <f>'Solde créances_DCM'!C325</f>
        <v>3.3366595000000001</v>
      </c>
      <c r="D335" s="1221">
        <f>'Solde créances_DCM'!D325</f>
        <v>9.2145063100000009</v>
      </c>
      <c r="E335" s="1221">
        <f>'Solde créances_DCM'!E325</f>
        <v>8.5250017400000004</v>
      </c>
      <c r="F335" s="1221">
        <f>'Solde créances_DCM'!F325</f>
        <v>1.0527687046774503</v>
      </c>
      <c r="G335" s="1221">
        <f t="shared" si="68"/>
        <v>-0.68950457000000043</v>
      </c>
      <c r="H335" s="1221">
        <f t="shared" si="69"/>
        <v>-7.4828161900732413</v>
      </c>
      <c r="I335" s="1221">
        <f t="shared" si="65"/>
        <v>5.1883422400000008</v>
      </c>
      <c r="J335" s="1221">
        <f t="shared" si="66"/>
        <v>155.49510640807071</v>
      </c>
      <c r="K335" s="1221">
        <f t="shared" si="70"/>
        <v>7.4722330353225503</v>
      </c>
      <c r="L335" s="1221">
        <f t="shared" si="67"/>
        <v>12.349190496205695</v>
      </c>
      <c r="M335" s="1269">
        <f>'Solde créances_DCM'!K325</f>
        <v>29.421494489925621</v>
      </c>
      <c r="N335" s="1269">
        <f>'Solde créances_DCM'!L325</f>
        <v>6.5856412041484216</v>
      </c>
      <c r="O335" s="1269">
        <f>'Solde créances_DCM'!M325</f>
        <v>60.983271307195942</v>
      </c>
      <c r="P335" s="1269"/>
      <c r="Q335" s="1269"/>
    </row>
    <row r="336" spans="2:21" ht="12.75" customHeight="1">
      <c r="B336" s="1224" t="s">
        <v>625</v>
      </c>
      <c r="C336" s="1225">
        <f>C330+C332+C335</f>
        <v>103.89336620999998</v>
      </c>
      <c r="D336" s="1225">
        <f>D330+D332+D335</f>
        <v>279.89151785999996</v>
      </c>
      <c r="E336" s="1225">
        <f>E330+E332+E335</f>
        <v>271.42447512000001</v>
      </c>
      <c r="F336" s="1225">
        <f>F330+F332+F335</f>
        <v>98.826048758805655</v>
      </c>
      <c r="G336" s="1225">
        <f t="shared" si="68"/>
        <v>-8.4670427399999539</v>
      </c>
      <c r="H336" s="1225">
        <f t="shared" si="69"/>
        <v>-3.025115875156716</v>
      </c>
      <c r="I336" s="1225">
        <f t="shared" si="65"/>
        <v>167.53110891000003</v>
      </c>
      <c r="J336" s="1225">
        <f t="shared" si="66"/>
        <v>161.25294137776697</v>
      </c>
      <c r="K336" s="1225">
        <f t="shared" si="70"/>
        <v>172.59842636119436</v>
      </c>
      <c r="L336" s="1225">
        <f t="shared" si="67"/>
        <v>36.410146400803931</v>
      </c>
      <c r="M336" s="1226"/>
      <c r="N336" s="1226"/>
      <c r="O336" s="1226"/>
      <c r="P336" s="1226">
        <f>O336-N336</f>
        <v>0</v>
      </c>
      <c r="Q336" s="1226">
        <f>O336-M336</f>
        <v>0</v>
      </c>
      <c r="U336" s="1232">
        <f>C332+C350</f>
        <v>0</v>
      </c>
    </row>
    <row r="337" spans="2:19" ht="12.75" customHeight="1">
      <c r="B337" s="1220" t="s">
        <v>636</v>
      </c>
      <c r="C337" s="1221">
        <f>'Solde créances_DCM'!C326</f>
        <v>3.3366595000000001</v>
      </c>
      <c r="D337" s="1221">
        <f>'Solde créances_DCM'!D326</f>
        <v>9.2145063100000009</v>
      </c>
      <c r="E337" s="1221">
        <f>'Solde créances_DCM'!E326</f>
        <v>8.5250017400000004</v>
      </c>
      <c r="F337" s="1221">
        <f>'Solde créances_DCM'!F326</f>
        <v>1.0527687046774503</v>
      </c>
      <c r="G337" s="1221">
        <f t="shared" si="68"/>
        <v>-0.68950457000000043</v>
      </c>
      <c r="H337" s="1221">
        <f t="shared" si="69"/>
        <v>-7.4828161900732413</v>
      </c>
      <c r="I337" s="1221">
        <f t="shared" si="65"/>
        <v>5.1883422400000008</v>
      </c>
      <c r="J337" s="1221">
        <f t="shared" si="66"/>
        <v>155.49510640807071</v>
      </c>
      <c r="K337" s="1221">
        <f t="shared" si="70"/>
        <v>7.4722330353225503</v>
      </c>
      <c r="L337" s="1221">
        <f t="shared" si="67"/>
        <v>12.349190496205695</v>
      </c>
      <c r="M337" s="1269">
        <f>'Solde créances_DCM'!K326</f>
        <v>10.149241057579582</v>
      </c>
      <c r="N337" s="1269">
        <f>'Solde créances_DCM'!L326</f>
        <v>6.5856412041484216</v>
      </c>
      <c r="O337" s="1269">
        <f>'Solde créances_DCM'!M326</f>
        <v>23.730014115359708</v>
      </c>
      <c r="P337" s="1269"/>
      <c r="Q337" s="1269"/>
    </row>
    <row r="338" spans="2:19" ht="12.75" customHeight="1">
      <c r="B338" s="1220" t="s">
        <v>626</v>
      </c>
      <c r="C338" s="1221">
        <f>'Solde créances_DCM'!C327</f>
        <v>0</v>
      </c>
      <c r="D338" s="1221">
        <f>'Solde créances_DCM'!D327</f>
        <v>0</v>
      </c>
      <c r="E338" s="1221">
        <f>'Solde créances_DCM'!E327</f>
        <v>0</v>
      </c>
      <c r="F338" s="1221">
        <f>'Solde créances_DCM'!F327</f>
        <v>0</v>
      </c>
      <c r="G338" s="1221">
        <f t="shared" si="68"/>
        <v>0</v>
      </c>
      <c r="H338" s="1221" t="e">
        <f t="shared" si="69"/>
        <v>#DIV/0!</v>
      </c>
      <c r="I338" s="1221">
        <f t="shared" si="65"/>
        <v>0</v>
      </c>
      <c r="J338" s="1221" t="e">
        <f>I338/C338*100</f>
        <v>#DIV/0!</v>
      </c>
      <c r="K338" s="1221">
        <f t="shared" si="70"/>
        <v>0</v>
      </c>
      <c r="L338" s="1221" t="e">
        <f t="shared" si="67"/>
        <v>#DIV/0!</v>
      </c>
      <c r="M338" s="1269"/>
      <c r="N338" s="1269"/>
      <c r="O338" s="1269"/>
      <c r="P338" s="1269"/>
      <c r="Q338" s="1269"/>
      <c r="S338" s="1214">
        <f>E336/E347*100</f>
        <v>39.539838799443928</v>
      </c>
    </row>
    <row r="339" spans="2:19" ht="12.75" customHeight="1">
      <c r="B339" s="1224" t="s">
        <v>620</v>
      </c>
      <c r="C339" s="1225">
        <f>C336-C338</f>
        <v>103.89336620999998</v>
      </c>
      <c r="D339" s="1225">
        <f>D336-D338</f>
        <v>279.89151785999996</v>
      </c>
      <c r="E339" s="1225">
        <f>E336-E338</f>
        <v>271.42447512000001</v>
      </c>
      <c r="F339" s="1225">
        <f>F336-F338</f>
        <v>98.826048758805655</v>
      </c>
      <c r="G339" s="1225">
        <f t="shared" si="68"/>
        <v>-8.4670427399999539</v>
      </c>
      <c r="H339" s="1225">
        <f t="shared" si="69"/>
        <v>-3.025115875156716</v>
      </c>
      <c r="I339" s="1225">
        <f t="shared" si="65"/>
        <v>167.53110891000003</v>
      </c>
      <c r="J339" s="1225">
        <f t="shared" si="66"/>
        <v>161.25294137776697</v>
      </c>
      <c r="K339" s="1225">
        <f t="shared" si="70"/>
        <v>172.59842636119436</v>
      </c>
      <c r="L339" s="1225">
        <f t="shared" si="67"/>
        <v>36.410146400803931</v>
      </c>
      <c r="M339" s="1226"/>
      <c r="N339" s="1226"/>
      <c r="O339" s="1226"/>
      <c r="P339" s="1226">
        <f>O339-N339</f>
        <v>0</v>
      </c>
      <c r="Q339" s="1226">
        <f>O339-M339</f>
        <v>0</v>
      </c>
      <c r="S339" s="1214">
        <f>E344/E347*100</f>
        <v>60.460161200556072</v>
      </c>
    </row>
    <row r="340" spans="2:19" ht="12.75" customHeight="1">
      <c r="B340" s="1223" t="s">
        <v>234</v>
      </c>
      <c r="C340" s="1221">
        <f>'Solde créances_DCM'!C318</f>
        <v>67.178273039999993</v>
      </c>
      <c r="D340" s="1221">
        <f>'Solde créances_DCM'!D318</f>
        <v>94.641095719999797</v>
      </c>
      <c r="E340" s="1221">
        <f>'Solde créances_DCM'!E318</f>
        <v>109.11771627</v>
      </c>
      <c r="F340" s="1221">
        <f>'Solde créances_DCM'!F318</f>
        <v>34.68341658635547</v>
      </c>
      <c r="G340" s="1221">
        <f t="shared" si="68"/>
        <v>14.476620550000206</v>
      </c>
      <c r="H340" s="1221">
        <f t="shared" si="69"/>
        <v>15.296336585990064</v>
      </c>
      <c r="I340" s="1221">
        <f t="shared" si="65"/>
        <v>41.939443230000009</v>
      </c>
      <c r="J340" s="1221">
        <f t="shared" si="66"/>
        <v>62.430070515548955</v>
      </c>
      <c r="K340" s="1221">
        <f t="shared" si="70"/>
        <v>74.434299683644525</v>
      </c>
      <c r="L340" s="1221">
        <f t="shared" si="67"/>
        <v>31.78532118518234</v>
      </c>
      <c r="M340" s="1269">
        <f>'Solde créances_DCM'!K318</f>
        <v>96.570626723802121</v>
      </c>
      <c r="N340" s="1269">
        <f>'Solde créances_DCM'!L318</f>
        <v>82.986455897616466</v>
      </c>
      <c r="O340" s="1269">
        <f>'Solde créances_DCM'!M318</f>
        <v>137.21918924020849</v>
      </c>
      <c r="P340" s="1269">
        <f>O340-N340</f>
        <v>54.232733342592027</v>
      </c>
      <c r="Q340" s="1269">
        <f>O340-M340</f>
        <v>40.648562516406372</v>
      </c>
    </row>
    <row r="341" spans="2:19" ht="12.75" customHeight="1">
      <c r="B341" s="2365" t="s">
        <v>1101</v>
      </c>
      <c r="C341" s="2367">
        <f>'Solde créances_DCM'!C319</f>
        <v>0</v>
      </c>
      <c r="D341" s="2367">
        <f>'Solde créances_DCM'!D319</f>
        <v>0</v>
      </c>
      <c r="E341" s="2367">
        <f>'Solde créances_DCM'!E319</f>
        <v>0</v>
      </c>
      <c r="F341" s="2367">
        <f>'Solde créances_DCM'!F319</f>
        <v>0</v>
      </c>
      <c r="G341" s="1221">
        <f>E341-D341</f>
        <v>0</v>
      </c>
      <c r="H341" s="1221" t="e">
        <f>((E341-D341)/D341)*100</f>
        <v>#DIV/0!</v>
      </c>
      <c r="I341" s="1221">
        <f>E341-C341</f>
        <v>0</v>
      </c>
      <c r="J341" s="1221" t="e">
        <f>I341/C341*100</f>
        <v>#DIV/0!</v>
      </c>
      <c r="K341" s="1221">
        <f>E341-F341</f>
        <v>0</v>
      </c>
      <c r="L341" s="1221" t="e">
        <f>F341/E341*100</f>
        <v>#DIV/0!</v>
      </c>
      <c r="M341" s="2366"/>
      <c r="N341" s="2366"/>
      <c r="O341" s="2366"/>
      <c r="P341" s="2366"/>
      <c r="Q341" s="2366"/>
    </row>
    <row r="342" spans="2:19" ht="12.75" customHeight="1">
      <c r="B342" s="2365" t="s">
        <v>1106</v>
      </c>
      <c r="C342" s="2367">
        <f>C340-C341</f>
        <v>67.178273039999993</v>
      </c>
      <c r="D342" s="2367">
        <f>D340-D341</f>
        <v>94.641095719999797</v>
      </c>
      <c r="E342" s="2367">
        <f>E340-E341</f>
        <v>109.11771627</v>
      </c>
      <c r="F342" s="2367">
        <f>F340-F341</f>
        <v>34.68341658635547</v>
      </c>
      <c r="G342" s="1221">
        <f>E342-D342</f>
        <v>14.476620550000206</v>
      </c>
      <c r="H342" s="1221">
        <f>((E342-D342)/D342)*100</f>
        <v>15.296336585990064</v>
      </c>
      <c r="I342" s="1221">
        <f>E342-C342</f>
        <v>41.939443230000009</v>
      </c>
      <c r="J342" s="1221">
        <f>I342/C342*100</f>
        <v>62.430070515548955</v>
      </c>
      <c r="K342" s="1221">
        <f>E342-F342</f>
        <v>74.434299683644525</v>
      </c>
      <c r="L342" s="1221">
        <f>F342/E342*100</f>
        <v>31.78532118518234</v>
      </c>
      <c r="M342" s="2366"/>
      <c r="N342" s="2366"/>
      <c r="O342" s="2366"/>
      <c r="P342" s="2366"/>
      <c r="Q342" s="2366"/>
    </row>
    <row r="343" spans="2:19" ht="12.75" customHeight="1">
      <c r="B343" s="1223" t="s">
        <v>187</v>
      </c>
      <c r="C343" s="1221">
        <f>'Solde créances_DCM'!C328</f>
        <v>204.24819740999999</v>
      </c>
      <c r="D343" s="1221">
        <f>'Solde créances_DCM'!D328</f>
        <v>190.70082451000002</v>
      </c>
      <c r="E343" s="1221">
        <f>'Solde créances_DCM'!E328</f>
        <v>305.91603242000002</v>
      </c>
      <c r="F343" s="1221">
        <f>'Solde créances_DCM'!F328</f>
        <v>132.45042773241059</v>
      </c>
      <c r="G343" s="1221">
        <f t="shared" si="68"/>
        <v>115.21520791</v>
      </c>
      <c r="H343" s="1221">
        <f t="shared" si="69"/>
        <v>60.416732966961192</v>
      </c>
      <c r="I343" s="1221">
        <f t="shared" si="65"/>
        <v>101.66783501000003</v>
      </c>
      <c r="J343" s="1221">
        <f t="shared" si="66"/>
        <v>49.776613110526469</v>
      </c>
      <c r="K343" s="1221">
        <f t="shared" si="70"/>
        <v>173.46560468758943</v>
      </c>
      <c r="L343" s="1221">
        <f t="shared" si="67"/>
        <v>43.296334188384733</v>
      </c>
      <c r="M343" s="1269">
        <f>'Solde créances_DCM'!K328</f>
        <v>328.76332077704569</v>
      </c>
      <c r="N343" s="1269">
        <f>'Solde créances_DCM'!L328</f>
        <v>112.65972424594841</v>
      </c>
      <c r="O343" s="1269">
        <f>'Solde créances_DCM'!M328</f>
        <v>529.31857855582416</v>
      </c>
      <c r="P343" s="1269"/>
      <c r="Q343" s="1269"/>
    </row>
    <row r="344" spans="2:19" ht="12.75" customHeight="1">
      <c r="B344" s="1224" t="s">
        <v>621</v>
      </c>
      <c r="C344" s="1225">
        <f>C340+C343</f>
        <v>271.42647045000001</v>
      </c>
      <c r="D344" s="1225">
        <f>D340+D343</f>
        <v>285.3419202299998</v>
      </c>
      <c r="E344" s="1225">
        <f>E340+E343</f>
        <v>415.03374869000004</v>
      </c>
      <c r="F344" s="1225">
        <f>SUM(F340:F343)</f>
        <v>201.81726090512154</v>
      </c>
      <c r="G344" s="1225">
        <f t="shared" si="68"/>
        <v>129.69182846000024</v>
      </c>
      <c r="H344" s="1225">
        <f t="shared" si="69"/>
        <v>45.451375793455853</v>
      </c>
      <c r="I344" s="1225">
        <f t="shared" si="65"/>
        <v>143.60727824000003</v>
      </c>
      <c r="J344" s="1225">
        <f t="shared" si="66"/>
        <v>52.908354149067492</v>
      </c>
      <c r="K344" s="1225">
        <f t="shared" si="70"/>
        <v>213.2164877848785</v>
      </c>
      <c r="L344" s="1225">
        <f t="shared" si="67"/>
        <v>48.626710849932429</v>
      </c>
      <c r="M344" s="1226"/>
      <c r="N344" s="1226"/>
      <c r="O344" s="1226"/>
      <c r="P344" s="1226"/>
      <c r="Q344" s="1226"/>
    </row>
    <row r="345" spans="2:19" ht="12.75" customHeight="1">
      <c r="B345" s="1220" t="s">
        <v>917</v>
      </c>
      <c r="C345" s="1221">
        <f>C343-C346</f>
        <v>43.63805185999999</v>
      </c>
      <c r="D345" s="1221">
        <f>D343-D346</f>
        <v>64.314019160000029</v>
      </c>
      <c r="E345" s="1221">
        <f>E343-E346</f>
        <v>54.11685288000001</v>
      </c>
      <c r="F345" s="1221">
        <f>'Solde créances_DCM'!$F$329</f>
        <v>28.298309153073248</v>
      </c>
      <c r="G345" s="1221">
        <f t="shared" si="68"/>
        <v>-10.197166280000019</v>
      </c>
      <c r="H345" s="1221">
        <f t="shared" si="69"/>
        <v>-15.855277610051971</v>
      </c>
      <c r="I345" s="1221">
        <f t="shared" si="65"/>
        <v>10.47880102000002</v>
      </c>
      <c r="J345" s="1221">
        <f t="shared" si="66"/>
        <v>24.01298997860447</v>
      </c>
      <c r="K345" s="1221">
        <f t="shared" si="70"/>
        <v>25.818543726926762</v>
      </c>
      <c r="L345" s="1221">
        <f t="shared" si="67"/>
        <v>52.291121244287041</v>
      </c>
      <c r="M345" s="1269"/>
      <c r="N345" s="1269"/>
      <c r="O345" s="1269"/>
      <c r="P345" s="1269"/>
      <c r="Q345" s="1269"/>
    </row>
    <row r="346" spans="2:19" ht="12.75" customHeight="1">
      <c r="B346" s="1220" t="s">
        <v>918</v>
      </c>
      <c r="C346" s="1221">
        <f>'Solde créances_DCM'!C330</f>
        <v>160.61014555</v>
      </c>
      <c r="D346" s="1221">
        <f>'Solde créances_DCM'!D330</f>
        <v>126.38680534999999</v>
      </c>
      <c r="E346" s="1221">
        <f>'Solde créances_DCM'!E330</f>
        <v>251.79917954000001</v>
      </c>
      <c r="F346" s="1221">
        <f>'Solde créances_DCM'!$F$330</f>
        <v>104.15211857933734</v>
      </c>
      <c r="G346" s="1221">
        <f t="shared" si="68"/>
        <v>125.41237419000002</v>
      </c>
      <c r="H346" s="1221">
        <f t="shared" si="69"/>
        <v>99.229008789879998</v>
      </c>
      <c r="I346" s="1221">
        <f t="shared" si="65"/>
        <v>91.189033990000013</v>
      </c>
      <c r="J346" s="1221">
        <f t="shared" si="66"/>
        <v>56.776633678855426</v>
      </c>
      <c r="K346" s="1221">
        <f t="shared" si="70"/>
        <v>147.64706096066266</v>
      </c>
      <c r="L346" s="1221">
        <f t="shared" si="67"/>
        <v>41.36316836679449</v>
      </c>
      <c r="M346" s="1269"/>
      <c r="N346" s="1269"/>
      <c r="O346" s="1269"/>
      <c r="P346" s="1269"/>
      <c r="Q346" s="1269"/>
    </row>
    <row r="347" spans="2:19" ht="12.75" customHeight="1">
      <c r="B347" s="1228" t="s">
        <v>635</v>
      </c>
      <c r="C347" s="1229">
        <f>C336+C344</f>
        <v>375.31983665999996</v>
      </c>
      <c r="D347" s="1229">
        <f>D336+D344</f>
        <v>565.23343808999971</v>
      </c>
      <c r="E347" s="1229">
        <f>E336+E344</f>
        <v>686.45822381000005</v>
      </c>
      <c r="F347" s="1229">
        <f>F336+F344</f>
        <v>300.6433096639272</v>
      </c>
      <c r="G347" s="1229">
        <f t="shared" si="68"/>
        <v>121.22478572000034</v>
      </c>
      <c r="H347" s="1229">
        <f t="shared" si="69"/>
        <v>21.446853202746691</v>
      </c>
      <c r="I347" s="1229">
        <f t="shared" si="65"/>
        <v>311.13838715000009</v>
      </c>
      <c r="J347" s="1229">
        <f t="shared" si="66"/>
        <v>82.899531748400108</v>
      </c>
      <c r="K347" s="1229">
        <f t="shared" si="70"/>
        <v>385.81491414607285</v>
      </c>
      <c r="L347" s="1229">
        <f t="shared" si="67"/>
        <v>43.796300959916849</v>
      </c>
      <c r="M347" s="1271">
        <f>'Solde créances_DCM'!K331</f>
        <v>72.29035507713138</v>
      </c>
      <c r="N347" s="1271">
        <f>'Solde créances_DCM'!L331</f>
        <v>58.849233176695144</v>
      </c>
      <c r="O347" s="1271">
        <f>'Solde créances_DCM'!M331</f>
        <v>111.57916755639071</v>
      </c>
      <c r="P347" s="1271">
        <f>O347-N347</f>
        <v>52.729934379695571</v>
      </c>
      <c r="Q347" s="1271">
        <f>O347-M347</f>
        <v>39.288812479259335</v>
      </c>
    </row>
    <row r="348" spans="2:19" ht="12.75" customHeight="1">
      <c r="B348" s="1228" t="s">
        <v>622</v>
      </c>
      <c r="C348" s="1229">
        <f>C347-(C338+C346)</f>
        <v>214.70969110999997</v>
      </c>
      <c r="D348" s="1229">
        <f>D347-(D338+D346)</f>
        <v>438.84663273999973</v>
      </c>
      <c r="E348" s="1229">
        <f>E347-(E338+E346)</f>
        <v>434.65904427000004</v>
      </c>
      <c r="F348" s="1229">
        <f>F347-(F338+F346)</f>
        <v>196.49119108458984</v>
      </c>
      <c r="G348" s="1229">
        <f t="shared" si="68"/>
        <v>-4.1875884699996959</v>
      </c>
      <c r="H348" s="1229">
        <f t="shared" si="69"/>
        <v>-0.95422595448754099</v>
      </c>
      <c r="I348" s="1229">
        <f t="shared" si="65"/>
        <v>219.94935316000007</v>
      </c>
      <c r="J348" s="1229">
        <f t="shared" si="66"/>
        <v>102.44034725349948</v>
      </c>
      <c r="K348" s="1229">
        <f t="shared" si="70"/>
        <v>238.16785318541019</v>
      </c>
      <c r="L348" s="1229">
        <f t="shared" si="67"/>
        <v>45.205821361566819</v>
      </c>
      <c r="M348" s="1271"/>
      <c r="N348" s="1271"/>
      <c r="O348" s="1271"/>
      <c r="P348" s="1271"/>
      <c r="Q348" s="1271"/>
    </row>
    <row r="349" spans="2:19" ht="12.75" customHeight="1">
      <c r="B349" s="1224" t="s">
        <v>623</v>
      </c>
      <c r="C349" s="1225">
        <f>'Solde créances_DCM'!C332</f>
        <v>67.145432670000005</v>
      </c>
      <c r="D349" s="1225">
        <f>'Solde créances_DCM'!D332</f>
        <v>89.248379130000089</v>
      </c>
      <c r="E349" s="1225">
        <f>'Solde créances_DCM'!E332</f>
        <v>35.642267599999997</v>
      </c>
      <c r="F349" s="1225">
        <f>'Solde créances_DCM'!F332</f>
        <v>4.0858528176491795</v>
      </c>
      <c r="G349" s="1225">
        <f t="shared" si="68"/>
        <v>-53.606111530000092</v>
      </c>
      <c r="H349" s="1225">
        <f t="shared" si="69"/>
        <v>-60.063960883723041</v>
      </c>
      <c r="I349" s="1225">
        <f t="shared" si="65"/>
        <v>-31.503165070000009</v>
      </c>
      <c r="J349" s="1225">
        <f t="shared" si="66"/>
        <v>-46.917807834866103</v>
      </c>
      <c r="K349" s="1225">
        <f t="shared" si="70"/>
        <v>31.556414782350817</v>
      </c>
      <c r="L349" s="1225">
        <f t="shared" si="67"/>
        <v>11.463504128029104</v>
      </c>
      <c r="M349" s="1227"/>
      <c r="N349" s="1227"/>
      <c r="O349" s="1227"/>
      <c r="P349" s="1227"/>
      <c r="Q349" s="1227"/>
    </row>
    <row r="350" spans="2:19" ht="12.75" customHeight="1">
      <c r="B350" s="1224" t="s">
        <v>627</v>
      </c>
      <c r="C350" s="1225">
        <f>'Solde créances_DCM'!C336</f>
        <v>0</v>
      </c>
      <c r="D350" s="1225">
        <f>'Solde créances_DCM'!D336</f>
        <v>0</v>
      </c>
      <c r="E350" s="1225">
        <f>'Solde créances_DCM'!E336</f>
        <v>0</v>
      </c>
      <c r="F350" s="1225">
        <f>'Solde créances_DCM'!F336</f>
        <v>0</v>
      </c>
      <c r="G350" s="1225">
        <f t="shared" si="68"/>
        <v>0</v>
      </c>
      <c r="H350" s="1225" t="e">
        <f t="shared" si="69"/>
        <v>#DIV/0!</v>
      </c>
      <c r="I350" s="1225">
        <f t="shared" si="65"/>
        <v>0</v>
      </c>
      <c r="J350" s="1225" t="e">
        <f t="shared" si="66"/>
        <v>#DIV/0!</v>
      </c>
      <c r="K350" s="1225">
        <f t="shared" si="70"/>
        <v>0</v>
      </c>
      <c r="L350" s="1225" t="e">
        <f t="shared" si="67"/>
        <v>#DIV/0!</v>
      </c>
      <c r="M350" s="1219">
        <f>'Solde créances_DCM'!K336</f>
        <v>0</v>
      </c>
      <c r="N350" s="1219">
        <f>'Solde créances_DCM'!L336</f>
        <v>0</v>
      </c>
      <c r="O350" s="1219">
        <f>'Solde créances_DCM'!M336</f>
        <v>0</v>
      </c>
      <c r="P350" s="1219">
        <f>O350-N350</f>
        <v>0</v>
      </c>
      <c r="Q350" s="1219">
        <f>O350-M350</f>
        <v>0</v>
      </c>
      <c r="S350" s="1214">
        <f>E349/E353*100</f>
        <v>4.9359151564076065</v>
      </c>
    </row>
    <row r="351" spans="2:19" ht="12.75" customHeight="1">
      <c r="B351" s="1220" t="s">
        <v>628</v>
      </c>
      <c r="C351" s="1222">
        <f>'calcul-DCC-TX-Encais'!BC13</f>
        <v>0</v>
      </c>
      <c r="D351" s="1222">
        <f>'calcul-DCC-TX-Encais'!$Q$29</f>
        <v>0</v>
      </c>
      <c r="E351" s="1222">
        <f>'Feuil-saisie'!C249/1000</f>
        <v>0</v>
      </c>
      <c r="F351" s="1222"/>
      <c r="G351" s="1222">
        <f t="shared" si="68"/>
        <v>0</v>
      </c>
      <c r="H351" s="1222" t="e">
        <f t="shared" si="69"/>
        <v>#DIV/0!</v>
      </c>
      <c r="I351" s="1222">
        <f t="shared" si="65"/>
        <v>0</v>
      </c>
      <c r="J351" s="1222" t="e">
        <f t="shared" si="66"/>
        <v>#DIV/0!</v>
      </c>
      <c r="K351" s="1222">
        <f t="shared" si="70"/>
        <v>0</v>
      </c>
      <c r="L351" s="1222" t="e">
        <f t="shared" si="67"/>
        <v>#DIV/0!</v>
      </c>
      <c r="M351" s="1269"/>
      <c r="N351" s="1269"/>
      <c r="O351" s="1269"/>
      <c r="P351" s="1269"/>
      <c r="Q351" s="1269"/>
    </row>
    <row r="352" spans="2:19" ht="12.75" customHeight="1">
      <c r="B352" s="1224" t="s">
        <v>629</v>
      </c>
      <c r="C352" s="1225">
        <f>C350-C351</f>
        <v>0</v>
      </c>
      <c r="D352" s="1225">
        <f>D350-D351</f>
        <v>0</v>
      </c>
      <c r="E352" s="1225">
        <f>E350-E351</f>
        <v>0</v>
      </c>
      <c r="F352" s="1225">
        <f>F350-F351</f>
        <v>0</v>
      </c>
      <c r="G352" s="1225">
        <f t="shared" si="68"/>
        <v>0</v>
      </c>
      <c r="H352" s="1225" t="e">
        <f t="shared" si="69"/>
        <v>#DIV/0!</v>
      </c>
      <c r="I352" s="1225">
        <f t="shared" si="65"/>
        <v>0</v>
      </c>
      <c r="J352" s="1225" t="e">
        <f t="shared" si="66"/>
        <v>#DIV/0!</v>
      </c>
      <c r="K352" s="1225">
        <f t="shared" si="70"/>
        <v>0</v>
      </c>
      <c r="L352" s="1225" t="e">
        <f t="shared" si="67"/>
        <v>#DIV/0!</v>
      </c>
      <c r="M352" s="1219"/>
      <c r="N352" s="1219"/>
      <c r="O352" s="1219"/>
      <c r="P352" s="1219">
        <f>O352-N352</f>
        <v>0</v>
      </c>
      <c r="Q352" s="1219">
        <f>O352-M352</f>
        <v>0</v>
      </c>
    </row>
    <row r="353" spans="2:20" ht="12.75" customHeight="1">
      <c r="B353" s="1230" t="s">
        <v>632</v>
      </c>
      <c r="C353" s="1231">
        <f>C347+C349+C350</f>
        <v>442.46526932999996</v>
      </c>
      <c r="D353" s="1231">
        <f>D347+D349+D350</f>
        <v>654.48181721999981</v>
      </c>
      <c r="E353" s="1231">
        <f>E347+E349+E350</f>
        <v>722.10049141000002</v>
      </c>
      <c r="F353" s="1231">
        <f>F347+F349+F350</f>
        <v>304.7291624815764</v>
      </c>
      <c r="G353" s="1231">
        <f t="shared" si="68"/>
        <v>67.618674190000206</v>
      </c>
      <c r="H353" s="1231">
        <f t="shared" si="69"/>
        <v>10.331635258748621</v>
      </c>
      <c r="I353" s="1275">
        <f t="shared" si="65"/>
        <v>279.63522208000006</v>
      </c>
      <c r="J353" s="1275">
        <f t="shared" si="66"/>
        <v>63.199360822926465</v>
      </c>
      <c r="K353" s="1231">
        <f t="shared" si="70"/>
        <v>417.37132892842362</v>
      </c>
      <c r="L353" s="1231">
        <f t="shared" si="67"/>
        <v>42.200381540601228</v>
      </c>
      <c r="M353" s="1269"/>
      <c r="N353" s="1269"/>
      <c r="O353" s="1269"/>
      <c r="P353" s="1269"/>
      <c r="Q353" s="1269"/>
    </row>
    <row r="354" spans="2:20" ht="12.75" customHeight="1">
      <c r="B354" s="1220" t="s">
        <v>638</v>
      </c>
      <c r="C354" s="1222">
        <f>C333+C338+C346+C341+C351</f>
        <v>160.61014555</v>
      </c>
      <c r="D354" s="1222">
        <f>D333+D338+D346+D341+D351</f>
        <v>126.38680534999999</v>
      </c>
      <c r="E354" s="1222">
        <f>E333+E338+E346+E341+E351</f>
        <v>251.79917954000001</v>
      </c>
      <c r="F354" s="1222">
        <f>F333+F338+F346+F341+F351</f>
        <v>104.15211857933734</v>
      </c>
      <c r="G354" s="1222">
        <f t="shared" si="68"/>
        <v>125.41237419000002</v>
      </c>
      <c r="H354" s="1222">
        <f t="shared" si="69"/>
        <v>99.229008789879998</v>
      </c>
      <c r="I354" s="1222">
        <f t="shared" si="65"/>
        <v>91.189033990000013</v>
      </c>
      <c r="J354" s="1222">
        <f t="shared" si="66"/>
        <v>56.776633678855426</v>
      </c>
      <c r="K354" s="1222">
        <f t="shared" si="70"/>
        <v>147.64706096066266</v>
      </c>
      <c r="L354" s="1222">
        <f t="shared" si="67"/>
        <v>41.36316836679449</v>
      </c>
      <c r="M354" s="1269"/>
      <c r="N354" s="1269"/>
      <c r="O354" s="1269"/>
      <c r="P354" s="1269"/>
      <c r="Q354" s="1269"/>
    </row>
    <row r="355" spans="2:20" ht="12.75" customHeight="1">
      <c r="B355" s="1230" t="s">
        <v>633</v>
      </c>
      <c r="C355" s="1231">
        <f>C353-C354</f>
        <v>281.85512377999999</v>
      </c>
      <c r="D355" s="1231">
        <f>D353-D354</f>
        <v>528.09501186999978</v>
      </c>
      <c r="E355" s="1231">
        <f>E353-E354</f>
        <v>470.30131187000001</v>
      </c>
      <c r="F355" s="1231">
        <f>F353-F354</f>
        <v>200.57704390223904</v>
      </c>
      <c r="G355" s="1231">
        <f t="shared" si="68"/>
        <v>-57.793699999999774</v>
      </c>
      <c r="H355" s="1231">
        <f t="shared" si="69"/>
        <v>-10.943807212901065</v>
      </c>
      <c r="I355" s="1275">
        <f t="shared" si="65"/>
        <v>188.44618809000002</v>
      </c>
      <c r="J355" s="1275">
        <f t="shared" si="66"/>
        <v>66.859238023677136</v>
      </c>
      <c r="K355" s="1231">
        <f t="shared" si="70"/>
        <v>269.72426796776097</v>
      </c>
      <c r="L355" s="1231">
        <f t="shared" si="67"/>
        <v>42.648625219587366</v>
      </c>
      <c r="M355" s="1269"/>
      <c r="N355" s="1269"/>
      <c r="O355" s="1269"/>
      <c r="P355" s="1269"/>
      <c r="Q355" s="1269"/>
    </row>
    <row r="356" spans="2:20" ht="12.75" customHeight="1">
      <c r="B356" s="1220" t="s">
        <v>999</v>
      </c>
      <c r="C356" s="1222">
        <v>0</v>
      </c>
      <c r="D356" s="1222">
        <f>'Sans ADE APC DSA'!$E$142</f>
        <v>185.06060048000001</v>
      </c>
      <c r="E356" s="1222">
        <f>'Sans ADE APC DSA'!$F$142</f>
        <v>395.24757475000001</v>
      </c>
      <c r="F356" s="1222"/>
      <c r="G356" s="1222"/>
      <c r="H356" s="1222"/>
      <c r="I356" s="1222"/>
      <c r="J356" s="1222"/>
      <c r="K356" s="1222"/>
      <c r="L356" s="1222"/>
    </row>
    <row r="357" spans="2:20" ht="12.75" customHeight="1">
      <c r="B357" s="2093" t="s">
        <v>1000</v>
      </c>
      <c r="C357" s="1275">
        <f>C355-C356</f>
        <v>281.85512377999999</v>
      </c>
      <c r="D357" s="1275">
        <f>D355-D356</f>
        <v>343.03441138999978</v>
      </c>
      <c r="E357" s="1275">
        <f>E355-E356</f>
        <v>75.053737119999994</v>
      </c>
      <c r="F357" s="1275">
        <f>F355-F356</f>
        <v>200.57704390223904</v>
      </c>
      <c r="G357" s="1275">
        <f>E357-D357</f>
        <v>-267.98067426999978</v>
      </c>
      <c r="H357" s="2035">
        <f>((E357-D357)/D357)*100</f>
        <v>-78.120639029805517</v>
      </c>
      <c r="I357" s="1275">
        <f>E357-C357</f>
        <v>-206.80138665999999</v>
      </c>
      <c r="J357" s="1275">
        <f>I357/C357*100</f>
        <v>-73.371519341765577</v>
      </c>
      <c r="K357" s="1275">
        <f>E357-F357</f>
        <v>-125.52330678223905</v>
      </c>
      <c r="L357" s="1275">
        <f>F357/E357*100</f>
        <v>267.2445791493974</v>
      </c>
    </row>
    <row r="358" spans="2:20" ht="12.75" customHeight="1">
      <c r="C358" s="1232">
        <f>C339+C352</f>
        <v>103.89336620999998</v>
      </c>
      <c r="D358" s="1214">
        <f>D339+D352</f>
        <v>279.89151785999996</v>
      </c>
      <c r="F358" s="1214">
        <f>F336+F350</f>
        <v>98.826048758805655</v>
      </c>
    </row>
    <row r="360" spans="2:20" ht="12.75" customHeight="1">
      <c r="B360" s="3238" t="s">
        <v>308</v>
      </c>
      <c r="C360" s="3257">
        <v>2022</v>
      </c>
      <c r="D360" s="3232"/>
      <c r="E360" s="3232"/>
      <c r="F360" s="3232"/>
      <c r="G360" s="3232"/>
      <c r="H360" s="3232"/>
      <c r="I360" s="3232"/>
      <c r="J360" s="3232"/>
      <c r="K360" s="3232"/>
      <c r="L360" s="3232"/>
      <c r="M360" s="3232"/>
      <c r="N360" s="3232"/>
      <c r="O360" s="3232"/>
      <c r="P360" s="3232"/>
      <c r="Q360" s="3232"/>
      <c r="R360" s="3232"/>
      <c r="S360" s="3232"/>
      <c r="T360" s="3232"/>
    </row>
    <row r="361" spans="2:20" ht="12.75" customHeight="1">
      <c r="B361" s="3224"/>
      <c r="C361" s="3262" t="s">
        <v>711</v>
      </c>
      <c r="D361" s="3260"/>
      <c r="E361" s="3260"/>
      <c r="F361" s="3260"/>
      <c r="G361" s="3261"/>
      <c r="H361" s="3258" t="s">
        <v>699</v>
      </c>
      <c r="I361" s="3259"/>
      <c r="J361" s="3259"/>
      <c r="K361" s="3260"/>
      <c r="L361" s="3260"/>
      <c r="M361" s="3261"/>
      <c r="N361" s="3266" t="s">
        <v>712</v>
      </c>
      <c r="O361" s="3258" t="s">
        <v>713</v>
      </c>
      <c r="P361" s="3260"/>
      <c r="Q361" s="3261"/>
      <c r="R361" s="3238" t="s">
        <v>714</v>
      </c>
      <c r="S361" s="3240" t="s">
        <v>715</v>
      </c>
      <c r="T361" s="3240" t="s">
        <v>716</v>
      </c>
    </row>
    <row r="362" spans="2:20" ht="12.75" customHeight="1">
      <c r="B362" s="3239"/>
      <c r="C362" s="1468" t="s">
        <v>717</v>
      </c>
      <c r="D362" s="1469" t="s">
        <v>718</v>
      </c>
      <c r="E362" s="1469" t="s">
        <v>719</v>
      </c>
      <c r="F362" s="1469" t="s">
        <v>720</v>
      </c>
      <c r="G362" s="1469" t="s">
        <v>725</v>
      </c>
      <c r="H362" s="1469" t="s">
        <v>718</v>
      </c>
      <c r="I362" s="1943"/>
      <c r="J362" s="1943"/>
      <c r="K362" s="1469" t="s">
        <v>721</v>
      </c>
      <c r="L362" s="1469" t="s">
        <v>722</v>
      </c>
      <c r="M362" s="1469" t="s">
        <v>726</v>
      </c>
      <c r="N362" s="3267"/>
      <c r="O362" s="1469" t="s">
        <v>723</v>
      </c>
      <c r="P362" s="1469" t="s">
        <v>717</v>
      </c>
      <c r="Q362" s="1469" t="s">
        <v>727</v>
      </c>
      <c r="R362" s="3239"/>
      <c r="S362" s="3241"/>
      <c r="T362" s="3241"/>
    </row>
    <row r="363" spans="2:20" ht="12.75" customHeight="1">
      <c r="B363" s="1470" t="s">
        <v>68</v>
      </c>
      <c r="C363" s="1471">
        <f>E42</f>
        <v>1672.5802192600001</v>
      </c>
      <c r="D363" s="1472">
        <f>E47</f>
        <v>1109.4241201999994</v>
      </c>
      <c r="E363" s="1472">
        <f>E44</f>
        <v>0.98603330000000278</v>
      </c>
      <c r="F363" s="1472">
        <f>E62</f>
        <v>62.644678620000001</v>
      </c>
      <c r="G363" s="1472">
        <f t="shared" ref="G363:G372" si="71">SUM(C363:F363)</f>
        <v>2845.6350513799998</v>
      </c>
      <c r="H363" s="1472">
        <f>E55</f>
        <v>507.93625065000003</v>
      </c>
      <c r="I363" s="1472"/>
      <c r="J363" s="1472"/>
      <c r="K363" s="1472">
        <f>E52</f>
        <v>487.83031238999985</v>
      </c>
      <c r="L363" s="1472"/>
      <c r="M363" s="1472">
        <f>SUM(H363:L363)</f>
        <v>995.76656303999994</v>
      </c>
      <c r="N363" s="1472">
        <f>E62</f>
        <v>62.644678620000001</v>
      </c>
      <c r="O363" s="1472">
        <f>'Solde créances_DCM'!E63</f>
        <v>307.01675879999999</v>
      </c>
      <c r="P363" s="1472">
        <f>'Solde créances_DCM'!E64</f>
        <v>28.899000000000001</v>
      </c>
      <c r="Q363" s="1472">
        <f>O363+P363</f>
        <v>335.91575879999999</v>
      </c>
      <c r="R363" s="1473">
        <f>G363+M363+Q363</f>
        <v>4177.3173732199994</v>
      </c>
      <c r="S363" s="1478" t="e">
        <f>#REF!</f>
        <v>#REF!</v>
      </c>
      <c r="T363" s="1473" t="e">
        <f>#REF!</f>
        <v>#REF!</v>
      </c>
    </row>
    <row r="364" spans="2:20" ht="12.75" customHeight="1">
      <c r="B364" s="1474" t="s">
        <v>7</v>
      </c>
      <c r="C364" s="1475">
        <f>E74</f>
        <v>1016.6158273199995</v>
      </c>
      <c r="D364" s="1476">
        <f>E79</f>
        <v>524.35500000000002</v>
      </c>
      <c r="E364" s="1476">
        <f>E76</f>
        <v>4.7482200000000008</v>
      </c>
      <c r="F364" s="1476">
        <f>E94</f>
        <v>260.36281760000003</v>
      </c>
      <c r="G364" s="1476">
        <f t="shared" si="71"/>
        <v>1806.0818649199994</v>
      </c>
      <c r="H364" s="1476">
        <f>E87</f>
        <v>78.953000000000003</v>
      </c>
      <c r="I364" s="1476"/>
      <c r="J364" s="1476"/>
      <c r="K364" s="1476">
        <f>E84</f>
        <v>40.47622999999998</v>
      </c>
      <c r="L364" s="1476"/>
      <c r="M364" s="1476">
        <f t="shared" ref="M364:M372" si="72">SUM(H364:L364)</f>
        <v>119.42922999999999</v>
      </c>
      <c r="N364" s="1476">
        <f>E94</f>
        <v>260.36281760000003</v>
      </c>
      <c r="O364" s="1476">
        <f>'Solde créances_DCM'!E93</f>
        <v>147.11199999999999</v>
      </c>
      <c r="P364" s="1476">
        <f>'Solde créances_DCM'!E94</f>
        <v>0</v>
      </c>
      <c r="Q364" s="1476">
        <f>E93</f>
        <v>147.11199999999999</v>
      </c>
      <c r="R364" s="1477">
        <f t="shared" ref="R364:R372" si="73">G364+M364+Q364</f>
        <v>2072.6230949199994</v>
      </c>
      <c r="S364" s="1478" t="e">
        <f>#REF!</f>
        <v>#REF!</v>
      </c>
      <c r="T364" s="1477" t="e">
        <f>#REF!</f>
        <v>#REF!</v>
      </c>
    </row>
    <row r="365" spans="2:20" ht="12.75" customHeight="1">
      <c r="B365" s="1474" t="s">
        <v>8</v>
      </c>
      <c r="C365" s="1475">
        <f>E106</f>
        <v>558.77068796000083</v>
      </c>
      <c r="D365" s="1476">
        <f>E111</f>
        <v>495.46004759000004</v>
      </c>
      <c r="E365" s="1476">
        <f>E108</f>
        <v>13.566429179999991</v>
      </c>
      <c r="F365" s="1476">
        <f>E126</f>
        <v>16.583006649999994</v>
      </c>
      <c r="G365" s="1476">
        <f t="shared" si="71"/>
        <v>1084.3801713800008</v>
      </c>
      <c r="H365" s="1476">
        <f>E119</f>
        <v>168.5231826400001</v>
      </c>
      <c r="I365" s="1476"/>
      <c r="J365" s="1476"/>
      <c r="K365" s="1476">
        <f>E116</f>
        <v>251.78944397999999</v>
      </c>
      <c r="L365" s="1476"/>
      <c r="M365" s="1476">
        <f t="shared" si="72"/>
        <v>420.31262662000006</v>
      </c>
      <c r="N365" s="1476">
        <f>E126</f>
        <v>16.583006649999994</v>
      </c>
      <c r="O365" s="1476">
        <f>'Solde créances_DCM'!E123</f>
        <v>769.19647291999627</v>
      </c>
      <c r="P365" s="1476">
        <f>'Solde créances_DCM'!E124</f>
        <v>7.6162554299999989</v>
      </c>
      <c r="Q365" s="1476">
        <f>E125</f>
        <v>776.81272834999629</v>
      </c>
      <c r="R365" s="1477">
        <f t="shared" si="73"/>
        <v>2281.5055263499971</v>
      </c>
      <c r="S365" s="1478" t="e">
        <f>#REF!</f>
        <v>#REF!</v>
      </c>
      <c r="T365" s="1477" t="e">
        <f>#REF!</f>
        <v>#REF!</v>
      </c>
    </row>
    <row r="366" spans="2:20" ht="12.75" customHeight="1">
      <c r="B366" s="1474" t="s">
        <v>4</v>
      </c>
      <c r="C366" s="1475">
        <f>E138</f>
        <v>1689.0696134900006</v>
      </c>
      <c r="D366" s="1476">
        <f>E143</f>
        <v>1315.9505770800001</v>
      </c>
      <c r="E366" s="1476">
        <f>E140</f>
        <v>8.7440808899999976</v>
      </c>
      <c r="F366" s="1476">
        <f>E158</f>
        <v>23.565210099999998</v>
      </c>
      <c r="G366" s="1476">
        <f t="shared" si="71"/>
        <v>3037.3294815600007</v>
      </c>
      <c r="H366" s="1476">
        <f>E151</f>
        <v>287.96677158</v>
      </c>
      <c r="I366" s="1476"/>
      <c r="J366" s="1476"/>
      <c r="K366" s="1476">
        <f>E148</f>
        <v>369.43392489999997</v>
      </c>
      <c r="L366" s="1476"/>
      <c r="M366" s="1476">
        <f t="shared" si="72"/>
        <v>657.40069647999997</v>
      </c>
      <c r="N366" s="1476">
        <f>E158</f>
        <v>23.565210099999998</v>
      </c>
      <c r="O366" s="1476">
        <f>'Solde créances_DCM'!E153</f>
        <v>14.06040285999997</v>
      </c>
      <c r="P366" s="1476">
        <f>'Solde créances_DCM'!E154</f>
        <v>0</v>
      </c>
      <c r="Q366" s="1476">
        <f>E157</f>
        <v>14.06040285999997</v>
      </c>
      <c r="R366" s="1477">
        <f t="shared" si="73"/>
        <v>3708.7905809000008</v>
      </c>
      <c r="S366" s="1478" t="e">
        <f>#REF!</f>
        <v>#REF!</v>
      </c>
      <c r="T366" s="1477" t="e">
        <f>#REF!</f>
        <v>#REF!</v>
      </c>
    </row>
    <row r="367" spans="2:20" ht="12.75" customHeight="1">
      <c r="B367" s="1474" t="s">
        <v>3</v>
      </c>
      <c r="C367" s="1475">
        <f>E170</f>
        <v>2863.9937023900002</v>
      </c>
      <c r="D367" s="1476">
        <f>E175</f>
        <v>580.23</v>
      </c>
      <c r="E367" s="1476">
        <f>E172</f>
        <v>17.042999999999999</v>
      </c>
      <c r="F367" s="1476">
        <f>E190</f>
        <v>18.47395027</v>
      </c>
      <c r="G367" s="1476">
        <f t="shared" si="71"/>
        <v>3479.7406526600003</v>
      </c>
      <c r="H367" s="1476">
        <f>E183</f>
        <v>466.99306151000002</v>
      </c>
      <c r="I367" s="1476"/>
      <c r="J367" s="1476"/>
      <c r="K367" s="1476">
        <f>E180</f>
        <v>567.69100000000003</v>
      </c>
      <c r="L367" s="1476"/>
      <c r="M367" s="1476">
        <f t="shared" si="72"/>
        <v>1034.68406151</v>
      </c>
      <c r="N367" s="1476">
        <f>E190</f>
        <v>18.47395027</v>
      </c>
      <c r="O367" s="1476">
        <f>'Solde créances_DCM'!E183</f>
        <v>2149.9924635699986</v>
      </c>
      <c r="P367" s="1476">
        <f>'Solde créances_DCM'!E184</f>
        <v>9.834354750000001</v>
      </c>
      <c r="Q367" s="1476">
        <f>E189</f>
        <v>2159.8268183199984</v>
      </c>
      <c r="R367" s="1477">
        <f t="shared" si="73"/>
        <v>6674.2515324899978</v>
      </c>
      <c r="S367" s="1478" t="e">
        <f>#REF!</f>
        <v>#REF!</v>
      </c>
      <c r="T367" s="1477" t="e">
        <f>#REF!</f>
        <v>#REF!</v>
      </c>
    </row>
    <row r="368" spans="2:20" ht="12.75" customHeight="1">
      <c r="B368" s="1474" t="s">
        <v>397</v>
      </c>
      <c r="C368" s="1475">
        <f>E202</f>
        <v>2368.0157871499987</v>
      </c>
      <c r="D368" s="1476">
        <f>E207</f>
        <v>584.20545579999964</v>
      </c>
      <c r="E368" s="1476">
        <f>E204</f>
        <v>1.4198499065299988</v>
      </c>
      <c r="F368" s="1476">
        <f>E222</f>
        <v>186.27215485999966</v>
      </c>
      <c r="G368" s="1476">
        <f t="shared" si="71"/>
        <v>3139.9132477165281</v>
      </c>
      <c r="H368" s="1476">
        <f>E215</f>
        <v>418.78904574000006</v>
      </c>
      <c r="I368" s="1476"/>
      <c r="J368" s="1476"/>
      <c r="K368" s="1476">
        <f>E212</f>
        <v>264.309000090003</v>
      </c>
      <c r="L368" s="1476"/>
      <c r="M368" s="1476">
        <f t="shared" si="72"/>
        <v>683.098045830003</v>
      </c>
      <c r="N368" s="1476">
        <f>E222</f>
        <v>186.27215485999966</v>
      </c>
      <c r="O368" s="1476">
        <f>'Solde créances_DCM'!E213</f>
        <v>177.98392722</v>
      </c>
      <c r="P368" s="1476">
        <f>'Solde créances_DCM'!E214</f>
        <v>12.057969999999999</v>
      </c>
      <c r="Q368" s="1476">
        <f>E221</f>
        <v>190.04189722000001</v>
      </c>
      <c r="R368" s="1477">
        <f t="shared" si="73"/>
        <v>4013.0531907665313</v>
      </c>
      <c r="S368" s="1478" t="e">
        <f>#REF!</f>
        <v>#REF!</v>
      </c>
      <c r="T368" s="1477" t="e">
        <f>#REF!</f>
        <v>#REF!</v>
      </c>
    </row>
    <row r="369" spans="2:20" ht="12.75" customHeight="1">
      <c r="B369" s="1474" t="s">
        <v>399</v>
      </c>
      <c r="C369" s="1475">
        <f>E234</f>
        <v>1855.6029734520002</v>
      </c>
      <c r="D369" s="1476">
        <f>E239</f>
        <v>1084.1548809399994</v>
      </c>
      <c r="E369" s="1476">
        <f>E236</f>
        <v>16.490000000000016</v>
      </c>
      <c r="F369" s="1476">
        <f>E254</f>
        <v>134.61099999999999</v>
      </c>
      <c r="G369" s="1476">
        <f t="shared" si="71"/>
        <v>3090.858854392</v>
      </c>
      <c r="H369" s="1476">
        <f>E247</f>
        <v>246.54579957000004</v>
      </c>
      <c r="I369" s="1476"/>
      <c r="J369" s="1476"/>
      <c r="K369" s="1476">
        <f>E244</f>
        <v>454.19999999999993</v>
      </c>
      <c r="L369" s="1476"/>
      <c r="M369" s="1476">
        <f t="shared" si="72"/>
        <v>700.74579956999992</v>
      </c>
      <c r="N369" s="1476">
        <f>E254</f>
        <v>134.61099999999999</v>
      </c>
      <c r="O369" s="1476">
        <f>'Solde créances_DCM'!E243</f>
        <v>47.659614929999982</v>
      </c>
      <c r="P369" s="1476">
        <f>'Solde créances_DCM'!E244</f>
        <v>0</v>
      </c>
      <c r="Q369" s="1476">
        <f>E253</f>
        <v>47.659614929999982</v>
      </c>
      <c r="R369" s="1477">
        <f t="shared" si="73"/>
        <v>3839.264268892</v>
      </c>
      <c r="S369" s="1478" t="e">
        <f>#REF!</f>
        <v>#REF!</v>
      </c>
      <c r="T369" s="1477" t="e">
        <f>#REF!</f>
        <v>#REF!</v>
      </c>
    </row>
    <row r="370" spans="2:20" ht="12.75" customHeight="1">
      <c r="B370" s="1931" t="s">
        <v>883</v>
      </c>
      <c r="C370" s="1475">
        <f>E266</f>
        <v>1399.0475832529999</v>
      </c>
      <c r="D370" s="1476">
        <f>E271</f>
        <v>123.11480054000009</v>
      </c>
      <c r="E370" s="1476">
        <f>E268</f>
        <v>0.72659481999999975</v>
      </c>
      <c r="F370" s="1476">
        <f>E286</f>
        <v>6.5840602300000137</v>
      </c>
      <c r="G370" s="1476">
        <f t="shared" si="71"/>
        <v>1529.4730388429998</v>
      </c>
      <c r="H370" s="1476">
        <f>E279</f>
        <v>730.32995642000003</v>
      </c>
      <c r="I370" s="1476"/>
      <c r="J370" s="1476"/>
      <c r="K370" s="1476">
        <f>E276</f>
        <v>237.30350101000008</v>
      </c>
      <c r="L370" s="1476"/>
      <c r="M370" s="1476">
        <f t="shared" si="72"/>
        <v>967.63345743000013</v>
      </c>
      <c r="N370" s="1476">
        <f>E286</f>
        <v>6.5840602300000137</v>
      </c>
      <c r="O370" s="1476">
        <f>'Solde créances_DCM'!E273</f>
        <v>83.466646409999925</v>
      </c>
      <c r="P370" s="1476">
        <f>'Solde créances_DCM'!E274</f>
        <v>5.8624423068109826</v>
      </c>
      <c r="Q370" s="1476">
        <f>E285</f>
        <v>89.329088716810901</v>
      </c>
      <c r="R370" s="1477">
        <f t="shared" si="73"/>
        <v>2586.4355849898106</v>
      </c>
      <c r="S370" s="1478" t="e">
        <f>#REF!</f>
        <v>#REF!</v>
      </c>
      <c r="T370" s="1477" t="e">
        <f>#REF!</f>
        <v>#REF!</v>
      </c>
    </row>
    <row r="371" spans="2:20" ht="12.75" customHeight="1">
      <c r="B371" s="1931" t="s">
        <v>884</v>
      </c>
      <c r="C371" s="1475">
        <f>E298</f>
        <v>983.32848568000145</v>
      </c>
      <c r="D371" s="1476">
        <f>E303</f>
        <v>50.225951850001231</v>
      </c>
      <c r="E371" s="1476">
        <f>E300</f>
        <v>3.2725944299998666</v>
      </c>
      <c r="F371" s="1476">
        <f>E318</f>
        <v>27.683548869999942</v>
      </c>
      <c r="G371" s="1476">
        <f t="shared" si="71"/>
        <v>1064.5105808300023</v>
      </c>
      <c r="H371" s="1476">
        <f>E311</f>
        <v>813.20476715999098</v>
      </c>
      <c r="I371" s="1476"/>
      <c r="J371" s="1476"/>
      <c r="K371" s="1476">
        <f>E308</f>
        <v>340.8547569199992</v>
      </c>
      <c r="L371" s="1476"/>
      <c r="M371" s="1476">
        <f t="shared" si="72"/>
        <v>1154.0595240799903</v>
      </c>
      <c r="N371" s="1476">
        <f>E318</f>
        <v>27.683548869999942</v>
      </c>
      <c r="O371" s="1476">
        <f>'Solde créances_DCM'!E303</f>
        <v>7.3300276100004558</v>
      </c>
      <c r="P371" s="1476">
        <f>'Solde créances_DCM'!E304</f>
        <v>0.15957847000006586</v>
      </c>
      <c r="Q371" s="1476">
        <f>E317</f>
        <v>7.489606080000522</v>
      </c>
      <c r="R371" s="1477">
        <f t="shared" si="73"/>
        <v>2226.0597109899932</v>
      </c>
      <c r="S371" s="1478" t="e">
        <f>#REF!</f>
        <v>#REF!</v>
      </c>
      <c r="T371" s="1477" t="e">
        <f>#REF!</f>
        <v>#REF!</v>
      </c>
    </row>
    <row r="372" spans="2:20" ht="12.75" customHeight="1">
      <c r="B372" s="1931" t="s">
        <v>891</v>
      </c>
      <c r="C372" s="1475">
        <f>E330</f>
        <v>260.28319273</v>
      </c>
      <c r="D372" s="1476">
        <f>E335</f>
        <v>8.5250017400000004</v>
      </c>
      <c r="E372" s="1476">
        <f>E332</f>
        <v>2.6162806500000002</v>
      </c>
      <c r="F372" s="1476">
        <f>E350</f>
        <v>0</v>
      </c>
      <c r="G372" s="1476">
        <f t="shared" si="71"/>
        <v>271.42447512000001</v>
      </c>
      <c r="H372" s="1476">
        <f>E343</f>
        <v>305.91603242000002</v>
      </c>
      <c r="I372" s="1476"/>
      <c r="J372" s="1476"/>
      <c r="K372" s="1476">
        <f>E340</f>
        <v>109.11771627</v>
      </c>
      <c r="L372" s="1476"/>
      <c r="M372" s="1476">
        <f t="shared" si="72"/>
        <v>415.03374869000004</v>
      </c>
      <c r="N372" s="1476">
        <f>E350</f>
        <v>0</v>
      </c>
      <c r="O372" s="1476">
        <f>'Solde créances_DCM'!E333</f>
        <v>34.874698299999999</v>
      </c>
      <c r="P372" s="1476">
        <f>'Solde créances_DCM'!E334</f>
        <v>0.76756930000000001</v>
      </c>
      <c r="Q372" s="1476">
        <f>E349</f>
        <v>35.642267599999997</v>
      </c>
      <c r="R372" s="1477">
        <f t="shared" si="73"/>
        <v>722.10049141000002</v>
      </c>
      <c r="S372" s="1478" t="e">
        <f>#REF!</f>
        <v>#REF!</v>
      </c>
      <c r="T372" s="1477" t="e">
        <f>#REF!</f>
        <v>#REF!</v>
      </c>
    </row>
    <row r="373" spans="2:20" ht="12.75" customHeight="1">
      <c r="B373" s="1479" t="s">
        <v>724</v>
      </c>
      <c r="C373" s="1480">
        <f t="shared" ref="C373:K373" si="74">SUM(C363:C372)</f>
        <v>14667.308072685</v>
      </c>
      <c r="D373" s="1481">
        <f t="shared" si="74"/>
        <v>5875.6458357400006</v>
      </c>
      <c r="E373" s="1481">
        <f t="shared" si="74"/>
        <v>69.613083176529869</v>
      </c>
      <c r="F373" s="1481">
        <f t="shared" si="74"/>
        <v>736.78042719999962</v>
      </c>
      <c r="G373" s="1481">
        <f t="shared" si="74"/>
        <v>21349.347418801532</v>
      </c>
      <c r="H373" s="1481">
        <f t="shared" si="74"/>
        <v>4025.1578676899917</v>
      </c>
      <c r="I373" s="1481"/>
      <c r="J373" s="1481"/>
      <c r="K373" s="1481">
        <f t="shared" si="74"/>
        <v>3123.0058855600018</v>
      </c>
      <c r="L373" s="1481"/>
      <c r="M373" s="1481">
        <f t="shared" ref="M373:R373" si="75">SUM(M363:M372)</f>
        <v>7148.1637532499926</v>
      </c>
      <c r="N373" s="1481">
        <f t="shared" si="75"/>
        <v>736.78042719999962</v>
      </c>
      <c r="O373" s="1481">
        <f t="shared" si="75"/>
        <v>3738.6930126199954</v>
      </c>
      <c r="P373" s="1481">
        <f t="shared" si="75"/>
        <v>65.197170256811049</v>
      </c>
      <c r="Q373" s="1481">
        <f t="shared" si="75"/>
        <v>3803.8901828768066</v>
      </c>
      <c r="R373" s="1482">
        <f t="shared" si="75"/>
        <v>32301.40135492833</v>
      </c>
      <c r="S373" s="1483" t="e">
        <f>#REF!</f>
        <v>#REF!</v>
      </c>
      <c r="T373" s="1482" t="e">
        <f>#REF!</f>
        <v>#REF!</v>
      </c>
    </row>
    <row r="374" spans="2:20" ht="12.75" customHeight="1" thickBot="1"/>
    <row r="375" spans="2:20" ht="12.75" customHeight="1" thickBot="1">
      <c r="B375" s="2017"/>
      <c r="C375" s="3263" t="s">
        <v>949</v>
      </c>
      <c r="D375" s="3264"/>
      <c r="E375" s="3265"/>
      <c r="F375" s="3263" t="s">
        <v>950</v>
      </c>
      <c r="G375" s="3264"/>
      <c r="H375" s="3265"/>
      <c r="I375" s="3263" t="s">
        <v>951</v>
      </c>
      <c r="J375" s="3264"/>
      <c r="K375" s="3265"/>
    </row>
    <row r="376" spans="2:20" ht="12.75" customHeight="1">
      <c r="B376" s="2017"/>
      <c r="C376" s="2031">
        <v>44531</v>
      </c>
      <c r="D376" s="2018">
        <v>2023</v>
      </c>
      <c r="E376" s="2019">
        <v>2024</v>
      </c>
      <c r="F376" s="2031">
        <v>44531</v>
      </c>
      <c r="G376" s="2018">
        <v>2023</v>
      </c>
      <c r="H376" s="2019">
        <v>2024</v>
      </c>
      <c r="I376" s="2031">
        <v>44531</v>
      </c>
      <c r="J376" s="2018">
        <v>2023</v>
      </c>
      <c r="K376" s="2019">
        <v>2024</v>
      </c>
    </row>
    <row r="377" spans="2:20" ht="12.75" customHeight="1">
      <c r="B377" s="2020" t="s">
        <v>68</v>
      </c>
      <c r="C377" s="2021">
        <f>C50</f>
        <v>574.15843999999993</v>
      </c>
      <c r="D377" s="2022">
        <f>D50</f>
        <v>394.85430133</v>
      </c>
      <c r="E377" s="2023">
        <f>E50</f>
        <v>892.60079000000007</v>
      </c>
      <c r="F377" s="2021">
        <f>C63</f>
        <v>15.324999999999999</v>
      </c>
      <c r="G377" s="2022">
        <f>D63</f>
        <v>77.441922049999988</v>
      </c>
      <c r="H377" s="2023">
        <f>E63</f>
        <v>29.963873100000001</v>
      </c>
      <c r="I377" s="2021">
        <f>C58</f>
        <v>7.0242599999999999</v>
      </c>
      <c r="J377" s="2022">
        <f>D58</f>
        <v>13.186006839999999</v>
      </c>
      <c r="K377" s="2023">
        <f>E58</f>
        <v>6.25495</v>
      </c>
    </row>
    <row r="378" spans="2:20" ht="12.75" customHeight="1">
      <c r="B378" s="2020" t="s">
        <v>7</v>
      </c>
      <c r="C378" s="2021">
        <f>C82</f>
        <v>301.483</v>
      </c>
      <c r="D378" s="2022">
        <f>D82</f>
        <v>301.45400000000001</v>
      </c>
      <c r="E378" s="2023">
        <f>E82</f>
        <v>496.178</v>
      </c>
      <c r="F378" s="2021">
        <f>C95</f>
        <v>124.59984730000002</v>
      </c>
      <c r="G378" s="2022">
        <f>D95</f>
        <v>391.3578473</v>
      </c>
      <c r="H378" s="2023">
        <f>E95</f>
        <v>245.05284730000002</v>
      </c>
      <c r="I378" s="2021">
        <f>C90</f>
        <v>0</v>
      </c>
      <c r="J378" s="2022">
        <f>D90</f>
        <v>0</v>
      </c>
      <c r="K378" s="2023">
        <f>E90</f>
        <v>0</v>
      </c>
    </row>
    <row r="379" spans="2:20" ht="12.75" customHeight="1">
      <c r="B379" s="2020" t="s">
        <v>8</v>
      </c>
      <c r="C379" s="2021">
        <f>C114</f>
        <v>225.05535765699997</v>
      </c>
      <c r="D379" s="2022">
        <f>D114</f>
        <v>279.71394530000003</v>
      </c>
      <c r="E379" s="2023">
        <f>E114</f>
        <v>473.55112733999999</v>
      </c>
      <c r="F379" s="2021">
        <f>C127</f>
        <v>0</v>
      </c>
      <c r="G379" s="2022">
        <f>D127</f>
        <v>0</v>
      </c>
      <c r="H379" s="2023">
        <f>E127</f>
        <v>0</v>
      </c>
      <c r="I379" s="2021">
        <f>C122</f>
        <v>0</v>
      </c>
      <c r="J379" s="2022">
        <f>D122</f>
        <v>61.71368697999997</v>
      </c>
      <c r="K379" s="2023">
        <f>E122</f>
        <v>71.822556330000012</v>
      </c>
    </row>
    <row r="380" spans="2:20" ht="12.75" customHeight="1">
      <c r="B380" s="2020" t="s">
        <v>4</v>
      </c>
      <c r="C380" s="2021">
        <f>C146</f>
        <v>730.51554408000004</v>
      </c>
      <c r="D380" s="2022">
        <f>D146</f>
        <v>460.34659369999997</v>
      </c>
      <c r="E380" s="2023">
        <f>E146</f>
        <v>1273.84614794</v>
      </c>
      <c r="F380" s="2021">
        <f>C159</f>
        <v>0</v>
      </c>
      <c r="G380" s="2022">
        <f>D159</f>
        <v>0</v>
      </c>
      <c r="H380" s="2023">
        <f>E159</f>
        <v>0</v>
      </c>
      <c r="I380" s="2021">
        <f>C154</f>
        <v>0</v>
      </c>
      <c r="J380" s="2022">
        <f>D154</f>
        <v>33.171908889999997</v>
      </c>
      <c r="K380" s="2023">
        <f>E154</f>
        <v>0</v>
      </c>
    </row>
    <row r="381" spans="2:20" ht="12.75" customHeight="1">
      <c r="B381" s="2020" t="s">
        <v>3</v>
      </c>
      <c r="C381" s="2021">
        <f>C178</f>
        <v>263.68351847999998</v>
      </c>
      <c r="D381" s="2022">
        <f>D178</f>
        <v>186.98681952000001</v>
      </c>
      <c r="E381" s="2023">
        <f>E178</f>
        <v>417.31198513999999</v>
      </c>
      <c r="F381" s="2021">
        <f>C191</f>
        <v>0</v>
      </c>
      <c r="G381" s="2022">
        <f>D191</f>
        <v>0</v>
      </c>
      <c r="H381" s="2023">
        <f>E191</f>
        <v>0</v>
      </c>
      <c r="I381" s="2021">
        <f>C186</f>
        <v>0</v>
      </c>
      <c r="J381" s="2022">
        <f>D186</f>
        <v>0</v>
      </c>
      <c r="K381" s="2023">
        <f>E186</f>
        <v>0</v>
      </c>
    </row>
    <row r="382" spans="2:20" ht="12.75" customHeight="1">
      <c r="B382" s="2020" t="s">
        <v>397</v>
      </c>
      <c r="C382" s="2021">
        <f>C210</f>
        <v>216.15845747</v>
      </c>
      <c r="D382" s="2022">
        <f>D210</f>
        <v>344.87640983999995</v>
      </c>
      <c r="E382" s="2023">
        <f>E210</f>
        <v>418.79384999999996</v>
      </c>
      <c r="F382" s="2021">
        <f>C223</f>
        <v>0</v>
      </c>
      <c r="G382" s="2022">
        <f>D223</f>
        <v>0</v>
      </c>
      <c r="H382" s="2023">
        <f>E223</f>
        <v>0</v>
      </c>
      <c r="I382" s="2021">
        <f>C218</f>
        <v>9.0993280799999994</v>
      </c>
      <c r="J382" s="2022">
        <f>D218</f>
        <v>8.9615586900000004</v>
      </c>
      <c r="K382" s="2023">
        <f>E218</f>
        <v>4.68676812</v>
      </c>
    </row>
    <row r="383" spans="2:20" ht="12.75" customHeight="1">
      <c r="B383" s="2020" t="s">
        <v>399</v>
      </c>
      <c r="C383" s="2021">
        <f>C242</f>
        <v>375.33127865000097</v>
      </c>
      <c r="D383" s="2022">
        <f>D242</f>
        <v>290.36041767000023</v>
      </c>
      <c r="E383" s="2023">
        <f>E242</f>
        <v>567.54718371000081</v>
      </c>
      <c r="F383" s="2021">
        <f>C255</f>
        <v>22.90249283</v>
      </c>
      <c r="G383" s="2022">
        <f>D255</f>
        <v>31.896805980000003</v>
      </c>
      <c r="H383" s="2023">
        <f>E255</f>
        <v>81.298312800000019</v>
      </c>
      <c r="I383" s="2021">
        <f>C250</f>
        <v>13.47191147</v>
      </c>
      <c r="J383" s="2022">
        <f>D250</f>
        <v>14.594777600000008</v>
      </c>
      <c r="K383" s="2023">
        <f>E250</f>
        <v>33.051402600000017</v>
      </c>
    </row>
    <row r="384" spans="2:20" ht="12.75" customHeight="1">
      <c r="B384" s="2020" t="s">
        <v>883</v>
      </c>
      <c r="C384" s="2021">
        <f>C274</f>
        <v>4.0201018199999998</v>
      </c>
      <c r="D384" s="2022">
        <f>D274</f>
        <v>0.77745291999999999</v>
      </c>
      <c r="E384" s="2023">
        <f>E274</f>
        <v>8.4981504000000001</v>
      </c>
      <c r="F384" s="2021">
        <f>C287</f>
        <v>0</v>
      </c>
      <c r="G384" s="2022">
        <f>D287</f>
        <v>0</v>
      </c>
      <c r="H384" s="2023">
        <f>E287</f>
        <v>0</v>
      </c>
      <c r="I384" s="2021">
        <f>C282</f>
        <v>363.92830717999999</v>
      </c>
      <c r="J384" s="2022">
        <f>D282</f>
        <v>272.23690370999998</v>
      </c>
      <c r="K384" s="2023">
        <f>E282</f>
        <v>561.53344030000005</v>
      </c>
    </row>
    <row r="385" spans="2:15" ht="12.75" customHeight="1">
      <c r="B385" s="2020" t="s">
        <v>884</v>
      </c>
      <c r="C385" s="2021">
        <f>C306</f>
        <v>15.728033580000099</v>
      </c>
      <c r="D385" s="2022">
        <f>D306</f>
        <v>14.495466300000105</v>
      </c>
      <c r="E385" s="2023">
        <f>E306</f>
        <v>18.237997800000112</v>
      </c>
      <c r="F385" s="2021">
        <f>C319</f>
        <v>0</v>
      </c>
      <c r="G385" s="2022">
        <f>D319</f>
        <v>0</v>
      </c>
      <c r="H385" s="2023">
        <f>E319</f>
        <v>0</v>
      </c>
      <c r="I385" s="2021">
        <f>C314</f>
        <v>363.19048812999796</v>
      </c>
      <c r="J385" s="2022">
        <f>D314</f>
        <v>258.19113091999782</v>
      </c>
      <c r="K385" s="2023">
        <f>E314</f>
        <v>545.53482365999787</v>
      </c>
    </row>
    <row r="386" spans="2:15" ht="12.75" customHeight="1">
      <c r="B386" s="2020" t="s">
        <v>891</v>
      </c>
      <c r="C386" s="2021">
        <f>C338</f>
        <v>0</v>
      </c>
      <c r="D386" s="2022">
        <f>D338</f>
        <v>0</v>
      </c>
      <c r="E386" s="2023">
        <f>E338</f>
        <v>0</v>
      </c>
      <c r="F386" s="2021">
        <f>C351</f>
        <v>0</v>
      </c>
      <c r="G386" s="2022">
        <f>D351</f>
        <v>0</v>
      </c>
      <c r="H386" s="2023">
        <f>E351</f>
        <v>0</v>
      </c>
      <c r="I386" s="2021">
        <f>C346</f>
        <v>160.61014555</v>
      </c>
      <c r="J386" s="2022">
        <f>D346</f>
        <v>126.38680534999999</v>
      </c>
      <c r="K386" s="2023">
        <f>E346</f>
        <v>251.79917954000001</v>
      </c>
    </row>
    <row r="387" spans="2:15" ht="12.75" customHeight="1" thickBot="1">
      <c r="B387" s="2024" t="s">
        <v>724</v>
      </c>
      <c r="C387" s="2025">
        <f t="shared" ref="C387:K387" si="76">SUM(C377:C386)</f>
        <v>2706.1337317370007</v>
      </c>
      <c r="D387" s="2026">
        <f t="shared" si="76"/>
        <v>2273.8654065800001</v>
      </c>
      <c r="E387" s="2027">
        <f t="shared" si="76"/>
        <v>4566.565232330001</v>
      </c>
      <c r="F387" s="2028">
        <f t="shared" si="76"/>
        <v>162.82734013000001</v>
      </c>
      <c r="G387" s="2026">
        <f t="shared" si="76"/>
        <v>500.69657533000003</v>
      </c>
      <c r="H387" s="2027">
        <f t="shared" si="76"/>
        <v>356.31503320000007</v>
      </c>
      <c r="I387" s="2028">
        <f t="shared" si="76"/>
        <v>917.32444040999792</v>
      </c>
      <c r="J387" s="2026">
        <f t="shared" si="76"/>
        <v>788.4427789799978</v>
      </c>
      <c r="K387" s="2027">
        <f t="shared" si="76"/>
        <v>1474.683120549998</v>
      </c>
    </row>
    <row r="388" spans="2:15" ht="12.75" customHeight="1">
      <c r="F388" s="1232">
        <f>C387+F387+I387</f>
        <v>3786.2855122769984</v>
      </c>
    </row>
    <row r="390" spans="2:15" ht="12.75" customHeight="1">
      <c r="C390" s="3254" t="s">
        <v>881</v>
      </c>
      <c r="D390" s="3255"/>
      <c r="E390" s="3256"/>
      <c r="G390" s="3244" t="s">
        <v>919</v>
      </c>
      <c r="H390" s="3246"/>
      <c r="I390" s="1781" t="s">
        <v>598</v>
      </c>
      <c r="J390" s="1781"/>
      <c r="K390" s="3244" t="s">
        <v>358</v>
      </c>
      <c r="L390" s="3245"/>
      <c r="M390" s="3245"/>
      <c r="N390" s="3245"/>
      <c r="O390" s="3246"/>
    </row>
    <row r="391" spans="2:15" ht="12.75" customHeight="1">
      <c r="C391" s="1903">
        <f>C329</f>
        <v>45291</v>
      </c>
      <c r="D391" s="1903">
        <f>D329</f>
        <v>45139</v>
      </c>
      <c r="E391" s="1903">
        <f>E329</f>
        <v>45505</v>
      </c>
      <c r="F391" s="1903" t="s">
        <v>879</v>
      </c>
      <c r="G391" s="1781" t="s">
        <v>440</v>
      </c>
      <c r="H391" s="1781" t="s">
        <v>599</v>
      </c>
      <c r="I391" s="1781" t="s">
        <v>440</v>
      </c>
      <c r="J391" s="1781" t="s">
        <v>599</v>
      </c>
      <c r="K391" s="1800">
        <f>K343</f>
        <v>173.46560468758943</v>
      </c>
      <c r="L391" s="1800">
        <f>D391</f>
        <v>45139</v>
      </c>
      <c r="M391" s="1800">
        <f>E391</f>
        <v>45505</v>
      </c>
      <c r="N391" s="1781" t="s">
        <v>600</v>
      </c>
      <c r="O391" s="1781" t="s">
        <v>601</v>
      </c>
    </row>
    <row r="392" spans="2:15" ht="12.75" customHeight="1">
      <c r="B392" s="1470" t="s">
        <v>68</v>
      </c>
      <c r="C392" s="1471">
        <f>C60+C64</f>
        <v>1980.3616864200001</v>
      </c>
      <c r="D392" s="1471">
        <f>D60+D64</f>
        <v>3188.6744635700002</v>
      </c>
      <c r="E392" s="1471">
        <f>E60+E64</f>
        <v>2912.5820013199991</v>
      </c>
      <c r="F392" s="1471">
        <f>F60+F64</f>
        <v>1660.6170360968722</v>
      </c>
      <c r="G392" s="2071">
        <f>E392-D392</f>
        <v>-276.09246225000106</v>
      </c>
      <c r="H392" s="2071">
        <f>G392/D392*100</f>
        <v>-8.6585339897284896</v>
      </c>
      <c r="I392" s="1278">
        <f>E392-F392</f>
        <v>1251.9649652231269</v>
      </c>
      <c r="J392" s="1278">
        <f>E392/F392*100</f>
        <v>175.39155253795033</v>
      </c>
      <c r="K392" s="1279">
        <v>61.854985172679982</v>
      </c>
      <c r="L392" s="1279">
        <f>'calcul-DCC-TX-Encais'!K124</f>
        <v>85.444573952394919</v>
      </c>
      <c r="M392" s="1279">
        <f>'calcul-DCC-TX-Encais'!AW124</f>
        <v>0.21446853202746691</v>
      </c>
      <c r="N392" s="1279">
        <f>M392-L392</f>
        <v>-85.230105420367451</v>
      </c>
      <c r="O392" s="1319">
        <f>M392-K392</f>
        <v>-61.640516640652514</v>
      </c>
    </row>
    <row r="393" spans="2:15" ht="12.75" customHeight="1">
      <c r="B393" s="1474" t="s">
        <v>7</v>
      </c>
      <c r="C393" s="1471">
        <f>C92+C96</f>
        <v>443.40124761999971</v>
      </c>
      <c r="D393" s="1471">
        <f>D92+D96</f>
        <v>1218.4168137000008</v>
      </c>
      <c r="E393" s="1471">
        <f>E92+E96</f>
        <v>1184.2802476199993</v>
      </c>
      <c r="F393" s="1471">
        <f>F92+F96</f>
        <v>436.75678294394436</v>
      </c>
      <c r="G393" s="2071">
        <f t="shared" ref="G393:G402" si="77">E393-D393</f>
        <v>-34.136566080001558</v>
      </c>
      <c r="H393" s="2071">
        <f t="shared" ref="H393:H402" si="78">G393/D393*100</f>
        <v>-2.8017149546991296</v>
      </c>
      <c r="I393" s="1278">
        <f t="shared" ref="I393:I402" si="79">E393-F393</f>
        <v>747.52346467605491</v>
      </c>
      <c r="J393" s="1278">
        <f t="shared" ref="J393:J402" si="80">E393/F393*100</f>
        <v>271.15325825907001</v>
      </c>
      <c r="K393" s="1279">
        <v>61.183695523001667</v>
      </c>
      <c r="L393" s="1279">
        <f>'calcul-DCC-TX-Encais'!K125</f>
        <v>0</v>
      </c>
      <c r="M393" s="1279">
        <f>'calcul-DCC-TX-Encais'!AW125</f>
        <v>0.15200617870454999</v>
      </c>
      <c r="N393" s="1279">
        <f>M393-L393</f>
        <v>0.15200617870454999</v>
      </c>
      <c r="O393" s="1319">
        <f t="shared" ref="O393:O400" si="81">M393-K393</f>
        <v>-61.031689344297114</v>
      </c>
    </row>
    <row r="394" spans="2:15" ht="12.75" customHeight="1">
      <c r="B394" s="1474" t="s">
        <v>8</v>
      </c>
      <c r="C394" s="1471">
        <f>C124+C128</f>
        <v>387.56920986500069</v>
      </c>
      <c r="D394" s="1471">
        <f>D124+D128</f>
        <v>1043.1811433400001</v>
      </c>
      <c r="E394" s="1471">
        <f>E124+E128</f>
        <v>959.31911433000118</v>
      </c>
      <c r="F394" s="1471">
        <f>F124+F128</f>
        <v>349.30666083540888</v>
      </c>
      <c r="G394" s="2071">
        <f t="shared" si="77"/>
        <v>-83.862029009998878</v>
      </c>
      <c r="H394" s="2071">
        <f t="shared" si="78"/>
        <v>-8.0390668049744498</v>
      </c>
      <c r="I394" s="1278">
        <f t="shared" si="79"/>
        <v>610.01245349459236</v>
      </c>
      <c r="J394" s="1278">
        <f t="shared" si="80"/>
        <v>274.63521939022695</v>
      </c>
      <c r="K394" s="1279">
        <v>46.232057854331075</v>
      </c>
      <c r="L394" s="1279">
        <f>'calcul-DCC-TX-Encais'!K126</f>
        <v>0</v>
      </c>
      <c r="M394" s="1279">
        <f>'calcul-DCC-TX-Encais'!AW126</f>
        <v>0</v>
      </c>
      <c r="N394" s="1279">
        <f t="shared" ref="N394:N400" si="82">M394-L394</f>
        <v>0</v>
      </c>
      <c r="O394" s="1319">
        <f t="shared" si="81"/>
        <v>-46.232057854331075</v>
      </c>
    </row>
    <row r="395" spans="2:15" ht="12.75" customHeight="1">
      <c r="B395" s="1474" t="s">
        <v>4</v>
      </c>
      <c r="C395" s="1471">
        <f>C156+C160</f>
        <v>1514.9692924900005</v>
      </c>
      <c r="D395" s="1471">
        <f>D156+D160</f>
        <v>2375.6501730199998</v>
      </c>
      <c r="E395" s="1471">
        <f>E156+E160</f>
        <v>2420.8840301000005</v>
      </c>
      <c r="F395" s="1471">
        <f>F156+F160</f>
        <v>1390.8387796914101</v>
      </c>
      <c r="G395" s="2071">
        <f t="shared" si="77"/>
        <v>45.233857080000689</v>
      </c>
      <c r="H395" s="2071">
        <f t="shared" si="78"/>
        <v>1.9040622055265826</v>
      </c>
      <c r="I395" s="1278">
        <f t="shared" si="79"/>
        <v>1030.0452504085904</v>
      </c>
      <c r="J395" s="1278">
        <f t="shared" si="80"/>
        <v>174.05928461651968</v>
      </c>
      <c r="K395" s="1279">
        <v>48.578383232457604</v>
      </c>
      <c r="L395" s="1279">
        <f>'calcul-DCC-TX-Encais'!K127</f>
        <v>0</v>
      </c>
      <c r="M395" s="1279">
        <f>'calcul-DCC-TX-Encais'!AW127</f>
        <v>0</v>
      </c>
      <c r="N395" s="1279">
        <f t="shared" si="82"/>
        <v>0</v>
      </c>
      <c r="O395" s="1319">
        <f t="shared" si="81"/>
        <v>-48.578383232457604</v>
      </c>
    </row>
    <row r="396" spans="2:15" ht="12.75" customHeight="1">
      <c r="B396" s="1474" t="s">
        <v>3</v>
      </c>
      <c r="C396" s="1471">
        <f>C188+C192</f>
        <v>2586.0593402999998</v>
      </c>
      <c r="D396" s="1471">
        <f>D188+D192</f>
        <v>3473.1026035700002</v>
      </c>
      <c r="E396" s="1471">
        <f>E188+E192</f>
        <v>4097.1127290300001</v>
      </c>
      <c r="F396" s="1471">
        <f>F188+F192</f>
        <v>2360.2158965359836</v>
      </c>
      <c r="G396" s="2071">
        <f t="shared" si="77"/>
        <v>624.01012545999993</v>
      </c>
      <c r="H396" s="2071">
        <f t="shared" si="78"/>
        <v>17.966936099687359</v>
      </c>
      <c r="I396" s="1278">
        <f t="shared" si="79"/>
        <v>1736.8968324940165</v>
      </c>
      <c r="J396" s="1278">
        <f t="shared" si="80"/>
        <v>173.59059122698085</v>
      </c>
      <c r="K396" s="1279">
        <v>126.4330009597726</v>
      </c>
      <c r="L396" s="1279">
        <f>'calcul-DCC-TX-Encais'!K128</f>
        <v>0</v>
      </c>
      <c r="M396" s="1279">
        <f>'calcul-DCC-TX-Encais'!AW128</f>
        <v>0</v>
      </c>
      <c r="N396" s="1279">
        <f t="shared" si="82"/>
        <v>0</v>
      </c>
      <c r="O396" s="1319">
        <f t="shared" si="81"/>
        <v>-126.4330009597726</v>
      </c>
    </row>
    <row r="397" spans="2:15" ht="12.75" customHeight="1">
      <c r="B397" s="1474" t="s">
        <v>397</v>
      </c>
      <c r="C397" s="1471">
        <f>C220+C224</f>
        <v>2798.6217660165321</v>
      </c>
      <c r="D397" s="1471">
        <f>D220+D224</f>
        <v>3033.2419698465324</v>
      </c>
      <c r="E397" s="1471">
        <f>E220+E224</f>
        <v>3399.5306754265307</v>
      </c>
      <c r="F397" s="1471">
        <f>F220+F224</f>
        <v>2404.8281976399198</v>
      </c>
      <c r="G397" s="2071">
        <f t="shared" si="77"/>
        <v>366.28870557999835</v>
      </c>
      <c r="H397" s="2071">
        <f t="shared" si="78"/>
        <v>12.075815553829054</v>
      </c>
      <c r="I397" s="1278">
        <f t="shared" si="79"/>
        <v>994.70247778661087</v>
      </c>
      <c r="J397" s="1278">
        <f t="shared" si="80"/>
        <v>141.36272515279072</v>
      </c>
      <c r="K397" s="1279">
        <v>130.40781979519224</v>
      </c>
      <c r="L397" s="1279">
        <f>'calcul-DCC-TX-Encais'!K129</f>
        <v>0</v>
      </c>
      <c r="M397" s="1279">
        <f>'calcul-DCC-TX-Encais'!AW129</f>
        <v>0</v>
      </c>
      <c r="N397" s="1279">
        <f t="shared" si="82"/>
        <v>0</v>
      </c>
      <c r="O397" s="1319">
        <f t="shared" si="81"/>
        <v>-130.40781979519224</v>
      </c>
    </row>
    <row r="398" spans="2:15" ht="12.75" customHeight="1">
      <c r="B398" s="1474" t="s">
        <v>399</v>
      </c>
      <c r="C398" s="1471">
        <f>C252+C256</f>
        <v>2204.8384741920036</v>
      </c>
      <c r="D398" s="1471">
        <f>D252+D256</f>
        <v>2872.3928100820031</v>
      </c>
      <c r="E398" s="1471">
        <f>E252+E256</f>
        <v>3109.7077548519983</v>
      </c>
      <c r="F398" s="1471">
        <f>F252+F256</f>
        <v>1947.94538859359</v>
      </c>
      <c r="G398" s="2071">
        <f t="shared" si="77"/>
        <v>237.31494476999524</v>
      </c>
      <c r="H398" s="2071">
        <f t="shared" si="78"/>
        <v>8.2619251774000997</v>
      </c>
      <c r="I398" s="1278">
        <f t="shared" si="79"/>
        <v>1161.7623662584083</v>
      </c>
      <c r="J398" s="1278">
        <f t="shared" si="80"/>
        <v>159.64039716211946</v>
      </c>
      <c r="K398" s="1279">
        <v>73.062728594811631</v>
      </c>
      <c r="L398" s="1279">
        <f>'calcul-DCC-TX-Encais'!K130</f>
        <v>0</v>
      </c>
      <c r="M398" s="1279">
        <f>'calcul-DCC-TX-Encais'!AW130</f>
        <v>0</v>
      </c>
      <c r="N398" s="1279">
        <f t="shared" si="82"/>
        <v>0</v>
      </c>
      <c r="O398" s="1319">
        <f t="shared" si="81"/>
        <v>-73.062728594811631</v>
      </c>
    </row>
    <row r="399" spans="2:15" ht="12.75" customHeight="1">
      <c r="B399" s="1474" t="s">
        <v>883</v>
      </c>
      <c r="C399" s="1471">
        <f>C284+C288</f>
        <v>1032.7296253029999</v>
      </c>
      <c r="D399" s="1471">
        <f>D284+D288</f>
        <v>1823.3371032401506</v>
      </c>
      <c r="E399" s="1471">
        <f>E284+E288</f>
        <v>1927.0749055730003</v>
      </c>
      <c r="F399" s="1471">
        <f>F284+F288</f>
        <v>930.30820419273527</v>
      </c>
      <c r="G399" s="2071">
        <f t="shared" si="77"/>
        <v>103.7378023328497</v>
      </c>
      <c r="H399" s="2071">
        <f t="shared" si="78"/>
        <v>5.6894472310415365</v>
      </c>
      <c r="I399" s="1278">
        <f t="shared" si="79"/>
        <v>996.76670138026498</v>
      </c>
      <c r="J399" s="1278">
        <f t="shared" si="80"/>
        <v>207.14370752488401</v>
      </c>
      <c r="K399" s="1279">
        <v>65.316338898159316</v>
      </c>
      <c r="L399" s="1279">
        <f>'calcul-DCC-TX-Encais'!K131</f>
        <v>0</v>
      </c>
      <c r="M399" s="1279" t="str">
        <f>'calcul-DCC-TX-Encais'!AW131</f>
        <v>Total Energie</v>
      </c>
      <c r="N399" s="1279" t="e">
        <f t="shared" si="82"/>
        <v>#VALUE!</v>
      </c>
      <c r="O399" s="1319" t="e">
        <f t="shared" si="81"/>
        <v>#VALUE!</v>
      </c>
    </row>
    <row r="400" spans="2:15" ht="12.75" customHeight="1">
      <c r="B400" s="1474" t="s">
        <v>884</v>
      </c>
      <c r="C400" s="1471">
        <f>C316+C320</f>
        <v>800.65048862999652</v>
      </c>
      <c r="D400" s="1471">
        <f>D316+D320</f>
        <v>1707.4417409699995</v>
      </c>
      <c r="E400" s="1471">
        <f>E316+E320</f>
        <v>1654.7972834499947</v>
      </c>
      <c r="F400" s="1471">
        <f>F316+F320</f>
        <v>696.03449833010791</v>
      </c>
      <c r="G400" s="2071">
        <f t="shared" si="77"/>
        <v>-52.644457520004835</v>
      </c>
      <c r="H400" s="2071">
        <f t="shared" si="78"/>
        <v>-3.0832359463168251</v>
      </c>
      <c r="I400" s="1278">
        <f t="shared" si="79"/>
        <v>958.76278511988676</v>
      </c>
      <c r="J400" s="1278">
        <f t="shared" si="80"/>
        <v>237.74644610577548</v>
      </c>
      <c r="K400" s="1279">
        <v>32.438261734602939</v>
      </c>
      <c r="L400" s="1279">
        <f>'calcul-DCC-TX-Encais'!K132</f>
        <v>0</v>
      </c>
      <c r="M400" s="1279">
        <f>'calcul-DCC-TX-Encais'!AW132</f>
        <v>0</v>
      </c>
      <c r="N400" s="1279">
        <f t="shared" si="82"/>
        <v>0</v>
      </c>
      <c r="O400" s="1319">
        <f t="shared" si="81"/>
        <v>-32.438261734602939</v>
      </c>
    </row>
    <row r="401" spans="2:33" ht="12.75" customHeight="1">
      <c r="B401" s="1474" t="s">
        <v>891</v>
      </c>
      <c r="C401" s="1471">
        <f>C348+C352</f>
        <v>214.70969110999997</v>
      </c>
      <c r="D401" s="1471">
        <f>D348+D352</f>
        <v>438.84663273999973</v>
      </c>
      <c r="E401" s="1471">
        <f>E348+E352</f>
        <v>434.65904427000004</v>
      </c>
      <c r="F401" s="1471">
        <f>F348+F352</f>
        <v>196.49119108458984</v>
      </c>
      <c r="G401" s="2071">
        <f t="shared" si="77"/>
        <v>-4.1875884699996959</v>
      </c>
      <c r="H401" s="2071">
        <f t="shared" si="78"/>
        <v>-0.95422595448754099</v>
      </c>
      <c r="I401" s="1278">
        <f t="shared" si="79"/>
        <v>238.16785318541019</v>
      </c>
      <c r="J401" s="1278">
        <f t="shared" si="80"/>
        <v>221.21044809732894</v>
      </c>
      <c r="K401" s="1279">
        <v>58.492280490141937</v>
      </c>
      <c r="L401" s="1279">
        <f>'calcul-DCC-TX-Encais'!K133</f>
        <v>0</v>
      </c>
      <c r="M401" s="1279">
        <f>'calcul-DCC-TX-Encais'!AW133</f>
        <v>0.49072422322374398</v>
      </c>
      <c r="N401" s="1279">
        <f>M401-L401</f>
        <v>0.49072422322374398</v>
      </c>
      <c r="O401" s="1319">
        <f>M401-K401</f>
        <v>-58.001556266918193</v>
      </c>
    </row>
    <row r="402" spans="2:33" ht="12.75" customHeight="1">
      <c r="B402" s="1479" t="s">
        <v>724</v>
      </c>
      <c r="C402" s="1480">
        <f>SUM(C392:C401)</f>
        <v>13963.910821946532</v>
      </c>
      <c r="D402" s="1480">
        <f>SUM(D392:D401)</f>
        <v>21174.285454078687</v>
      </c>
      <c r="E402" s="1480">
        <f>SUM(E392:E401)</f>
        <v>22099.947785971526</v>
      </c>
      <c r="F402" s="1480">
        <f>SUM(F392:F401)</f>
        <v>12373.342635944562</v>
      </c>
      <c r="G402" s="2072">
        <f t="shared" si="77"/>
        <v>925.66233189283957</v>
      </c>
      <c r="H402" s="2073">
        <f t="shared" si="78"/>
        <v>4.3716343292922515</v>
      </c>
      <c r="I402" s="2072">
        <f t="shared" si="79"/>
        <v>9726.6051500269641</v>
      </c>
      <c r="J402" s="2072">
        <f t="shared" si="80"/>
        <v>178.60935752131502</v>
      </c>
      <c r="K402" s="2074">
        <v>69.425151483790572</v>
      </c>
      <c r="L402" s="2074">
        <f>'calcul-DCC-TX-Encais'!K134</f>
        <v>0</v>
      </c>
      <c r="M402" s="2074">
        <f>'calcul-DCC-TX-Encais'!AW134</f>
        <v>1.2145443558656051</v>
      </c>
      <c r="N402" s="2074">
        <f>M402-L402</f>
        <v>1.2145443558656051</v>
      </c>
      <c r="O402" s="2074">
        <f>M402-K402</f>
        <v>-68.210607127924973</v>
      </c>
    </row>
    <row r="406" spans="2:33" ht="45" customHeight="1">
      <c r="B406" s="2106" t="s">
        <v>998</v>
      </c>
      <c r="Y406"/>
      <c r="Z406"/>
      <c r="AA406"/>
      <c r="AB406"/>
      <c r="AC406"/>
      <c r="AD406"/>
      <c r="AE406"/>
      <c r="AF406"/>
      <c r="AG406"/>
    </row>
    <row r="407" spans="2:33" ht="12.75" customHeight="1">
      <c r="B407" s="3222" t="s">
        <v>308</v>
      </c>
      <c r="C407" s="3225" t="s">
        <v>1018</v>
      </c>
      <c r="D407" s="3228">
        <v>44561</v>
      </c>
      <c r="E407" s="3229"/>
      <c r="F407" s="3229"/>
      <c r="G407" s="3229"/>
      <c r="H407" s="3229"/>
      <c r="I407" s="3229"/>
      <c r="J407" s="3229"/>
      <c r="K407" s="3229"/>
      <c r="L407" s="3229"/>
      <c r="M407" s="3230"/>
      <c r="N407" s="3231">
        <v>2021</v>
      </c>
      <c r="O407" s="3232"/>
      <c r="P407" s="3232"/>
      <c r="Q407" s="3232"/>
      <c r="R407" s="3232"/>
      <c r="S407" s="3232"/>
      <c r="T407" s="3232"/>
      <c r="U407" s="3232"/>
      <c r="V407" s="3232"/>
      <c r="W407" s="3233"/>
      <c r="X407" s="3231">
        <v>2022</v>
      </c>
      <c r="Y407" s="3232"/>
      <c r="Z407" s="3232"/>
      <c r="AA407" s="3232"/>
      <c r="AB407" s="3232"/>
      <c r="AC407" s="3232"/>
      <c r="AD407" s="3232"/>
      <c r="AE407" s="3232"/>
      <c r="AF407" s="3232"/>
      <c r="AG407" s="3233"/>
    </row>
    <row r="408" spans="2:33" ht="12.75" customHeight="1">
      <c r="B408" s="3224"/>
      <c r="C408" s="3226"/>
      <c r="D408" s="3234" t="s">
        <v>711</v>
      </c>
      <c r="E408" s="3235"/>
      <c r="F408" s="3236"/>
      <c r="G408" s="3237" t="s">
        <v>699</v>
      </c>
      <c r="H408" s="3235"/>
      <c r="I408" s="3236"/>
      <c r="J408" s="3237" t="s">
        <v>713</v>
      </c>
      <c r="K408" s="3235"/>
      <c r="L408" s="3236"/>
      <c r="M408" s="3222" t="s">
        <v>714</v>
      </c>
      <c r="N408" s="3234" t="s">
        <v>711</v>
      </c>
      <c r="O408" s="3235"/>
      <c r="P408" s="3236"/>
      <c r="Q408" s="3237" t="s">
        <v>699</v>
      </c>
      <c r="R408" s="3235"/>
      <c r="S408" s="3236"/>
      <c r="T408" s="3237" t="s">
        <v>713</v>
      </c>
      <c r="U408" s="3235"/>
      <c r="V408" s="3236"/>
      <c r="W408" s="3222" t="s">
        <v>714</v>
      </c>
      <c r="X408" s="3234" t="s">
        <v>711</v>
      </c>
      <c r="Y408" s="3235"/>
      <c r="Z408" s="3236"/>
      <c r="AA408" s="3237" t="s">
        <v>699</v>
      </c>
      <c r="AB408" s="3235"/>
      <c r="AC408" s="3236"/>
      <c r="AD408" s="3237" t="s">
        <v>713</v>
      </c>
      <c r="AE408" s="3235"/>
      <c r="AF408" s="3236"/>
      <c r="AG408" s="3222" t="s">
        <v>714</v>
      </c>
    </row>
    <row r="409" spans="2:33" ht="12.75" customHeight="1">
      <c r="B409" s="3223"/>
      <c r="C409" s="3227"/>
      <c r="D409" s="2107" t="s">
        <v>718</v>
      </c>
      <c r="E409" s="2107" t="s">
        <v>1019</v>
      </c>
      <c r="F409" s="2107" t="s">
        <v>725</v>
      </c>
      <c r="G409" s="2107" t="s">
        <v>718</v>
      </c>
      <c r="H409" s="2107" t="s">
        <v>1019</v>
      </c>
      <c r="I409" s="2107" t="s">
        <v>726</v>
      </c>
      <c r="J409" s="2107" t="s">
        <v>318</v>
      </c>
      <c r="K409" s="2107" t="s">
        <v>766</v>
      </c>
      <c r="L409" s="2107" t="s">
        <v>727</v>
      </c>
      <c r="M409" s="3223"/>
      <c r="N409" s="2107" t="s">
        <v>718</v>
      </c>
      <c r="O409" s="2107" t="s">
        <v>720</v>
      </c>
      <c r="P409" s="2107" t="s">
        <v>725</v>
      </c>
      <c r="Q409" s="2107" t="s">
        <v>718</v>
      </c>
      <c r="R409" s="2107" t="s">
        <v>722</v>
      </c>
      <c r="S409" s="2107" t="s">
        <v>726</v>
      </c>
      <c r="T409" s="2107" t="s">
        <v>318</v>
      </c>
      <c r="U409" s="2107" t="s">
        <v>766</v>
      </c>
      <c r="V409" s="2107" t="s">
        <v>727</v>
      </c>
      <c r="W409" s="3223"/>
      <c r="X409" s="2107" t="s">
        <v>718</v>
      </c>
      <c r="Y409" s="2107" t="s">
        <v>720</v>
      </c>
      <c r="Z409" s="2107" t="s">
        <v>725</v>
      </c>
      <c r="AA409" s="2107" t="s">
        <v>718</v>
      </c>
      <c r="AB409" s="2107" t="s">
        <v>722</v>
      </c>
      <c r="AC409" s="2107" t="s">
        <v>726</v>
      </c>
      <c r="AD409" s="2107" t="s">
        <v>318</v>
      </c>
      <c r="AE409" s="2107" t="s">
        <v>766</v>
      </c>
      <c r="AF409" s="2107" t="s">
        <v>727</v>
      </c>
      <c r="AG409" s="3223"/>
    </row>
    <row r="410" spans="2:33" ht="12.75" customHeight="1">
      <c r="B410" s="2108" t="s">
        <v>68</v>
      </c>
      <c r="C410" s="2109" t="e">
        <f>#REF!</f>
        <v>#REF!</v>
      </c>
      <c r="D410" s="2109"/>
      <c r="E410" s="2109"/>
      <c r="F410" s="2109">
        <f t="shared" ref="F410:F417" si="83">SUM(D410:E410)</f>
        <v>0</v>
      </c>
      <c r="G410" s="2109"/>
      <c r="H410" s="2109"/>
      <c r="I410" s="2109">
        <f t="shared" ref="I410:I417" si="84">SUM(G410:H410)</f>
        <v>0</v>
      </c>
      <c r="J410" s="2109"/>
      <c r="K410" s="2109"/>
      <c r="L410" s="2109">
        <f t="shared" ref="L410:L421" si="85">J410+K410</f>
        <v>0</v>
      </c>
      <c r="M410" s="2109">
        <f t="shared" ref="M410:M417" si="86">F410+I410+L410</f>
        <v>0</v>
      </c>
      <c r="N410" s="2109"/>
      <c r="O410" s="2109"/>
      <c r="P410" s="2109">
        <f t="shared" ref="P410:P417" si="87">SUM(N410:O410)</f>
        <v>0</v>
      </c>
      <c r="Q410" s="2109"/>
      <c r="R410" s="2109"/>
      <c r="S410" s="2109">
        <f t="shared" ref="S410:S417" si="88">SUM(Q410:R410)</f>
        <v>0</v>
      </c>
      <c r="T410" s="2109"/>
      <c r="U410" s="2109"/>
      <c r="V410" s="2109">
        <f t="shared" ref="V410:V421" si="89">T410+U410</f>
        <v>0</v>
      </c>
      <c r="W410" s="2109">
        <f t="shared" ref="W410:W417" si="90">P410+S410+V410</f>
        <v>0</v>
      </c>
      <c r="X410" s="2109"/>
      <c r="Y410" s="2109"/>
      <c r="Z410" s="2109">
        <f t="shared" ref="Z410:Z417" si="91">SUM(X410:Y410)</f>
        <v>0</v>
      </c>
      <c r="AA410" s="2109"/>
      <c r="AB410" s="2109">
        <v>58.997478899999997</v>
      </c>
      <c r="AC410" s="2109">
        <f t="shared" ref="AC410:AC417" si="92">SUM(AA410:AB410)</f>
        <v>58.997478899999997</v>
      </c>
      <c r="AD410" s="2109"/>
      <c r="AE410" s="2109"/>
      <c r="AF410" s="2109">
        <f t="shared" ref="AF410:AF421" si="93">AD410+AE410</f>
        <v>0</v>
      </c>
      <c r="AG410" s="2109">
        <f t="shared" ref="AG410:AG417" si="94">Z410+AC410+AF410</f>
        <v>58.997478899999997</v>
      </c>
    </row>
    <row r="411" spans="2:33" ht="12.75" customHeight="1">
      <c r="B411" s="2108" t="s">
        <v>7</v>
      </c>
      <c r="C411" s="2109"/>
      <c r="D411" s="2109"/>
      <c r="E411" s="2109"/>
      <c r="F411" s="2109">
        <f t="shared" si="83"/>
        <v>0</v>
      </c>
      <c r="G411" s="2109"/>
      <c r="H411" s="2109"/>
      <c r="I411" s="2109">
        <f t="shared" si="84"/>
        <v>0</v>
      </c>
      <c r="J411" s="2109"/>
      <c r="K411" s="2109"/>
      <c r="L411" s="2109">
        <f t="shared" si="85"/>
        <v>0</v>
      </c>
      <c r="M411" s="2109">
        <f t="shared" si="86"/>
        <v>0</v>
      </c>
      <c r="N411" s="2109"/>
      <c r="O411" s="2109"/>
      <c r="P411" s="2109">
        <f t="shared" si="87"/>
        <v>0</v>
      </c>
      <c r="Q411" s="2109"/>
      <c r="R411" s="2109"/>
      <c r="S411" s="2109">
        <f t="shared" si="88"/>
        <v>0</v>
      </c>
      <c r="T411" s="2109"/>
      <c r="U411" s="2109"/>
      <c r="V411" s="2109">
        <f t="shared" si="89"/>
        <v>0</v>
      </c>
      <c r="W411" s="2109">
        <f t="shared" si="90"/>
        <v>0</v>
      </c>
      <c r="X411" s="2109"/>
      <c r="Y411" s="2109"/>
      <c r="Z411" s="2109">
        <f t="shared" si="91"/>
        <v>0</v>
      </c>
      <c r="AA411" s="2109"/>
      <c r="AB411" s="2109"/>
      <c r="AC411" s="2109">
        <f t="shared" si="92"/>
        <v>0</v>
      </c>
      <c r="AD411" s="2109"/>
      <c r="AE411" s="2109"/>
      <c r="AF411" s="2109">
        <f t="shared" si="93"/>
        <v>0</v>
      </c>
      <c r="AG411" s="2109">
        <f t="shared" si="94"/>
        <v>0</v>
      </c>
    </row>
    <row r="412" spans="2:33" ht="12.75" customHeight="1">
      <c r="B412" s="2108" t="s">
        <v>8</v>
      </c>
      <c r="C412" s="2109"/>
      <c r="D412" s="2109"/>
      <c r="E412" s="2109"/>
      <c r="F412" s="2109">
        <f t="shared" si="83"/>
        <v>0</v>
      </c>
      <c r="G412" s="2109"/>
      <c r="H412" s="2109"/>
      <c r="I412" s="2109">
        <f t="shared" si="84"/>
        <v>0</v>
      </c>
      <c r="J412" s="2109"/>
      <c r="K412" s="2109"/>
      <c r="L412" s="2109">
        <f t="shared" si="85"/>
        <v>0</v>
      </c>
      <c r="M412" s="2109">
        <f t="shared" si="86"/>
        <v>0</v>
      </c>
      <c r="N412" s="2109"/>
      <c r="O412" s="2109"/>
      <c r="P412" s="2109">
        <f t="shared" si="87"/>
        <v>0</v>
      </c>
      <c r="Q412" s="2109"/>
      <c r="R412" s="2109"/>
      <c r="S412" s="2109">
        <f t="shared" si="88"/>
        <v>0</v>
      </c>
      <c r="T412" s="2109"/>
      <c r="U412" s="2109"/>
      <c r="V412" s="2109">
        <f t="shared" si="89"/>
        <v>0</v>
      </c>
      <c r="W412" s="2109">
        <f t="shared" si="90"/>
        <v>0</v>
      </c>
      <c r="X412" s="2109"/>
      <c r="Y412" s="2109"/>
      <c r="Z412" s="2109">
        <f t="shared" si="91"/>
        <v>0</v>
      </c>
      <c r="AA412" s="2109"/>
      <c r="AB412" s="2109"/>
      <c r="AC412" s="2109">
        <f t="shared" si="92"/>
        <v>0</v>
      </c>
      <c r="AD412" s="2109"/>
      <c r="AE412" s="2109"/>
      <c r="AF412" s="2109">
        <f t="shared" si="93"/>
        <v>0</v>
      </c>
      <c r="AG412" s="2109">
        <f t="shared" si="94"/>
        <v>0</v>
      </c>
    </row>
    <row r="413" spans="2:33" ht="12.75" customHeight="1">
      <c r="B413" s="2110" t="s">
        <v>4</v>
      </c>
      <c r="C413" s="2111" t="s">
        <v>1006</v>
      </c>
      <c r="D413" s="2112"/>
      <c r="E413" s="2112"/>
      <c r="F413" s="2112">
        <f t="shared" si="83"/>
        <v>0</v>
      </c>
      <c r="G413" s="2112"/>
      <c r="H413" s="2112">
        <v>1.6259679599999999E-3</v>
      </c>
      <c r="I413" s="2112">
        <f t="shared" si="84"/>
        <v>1.6259679599999999E-3</v>
      </c>
      <c r="J413" s="2112"/>
      <c r="K413" s="2112"/>
      <c r="L413" s="2112">
        <f t="shared" si="85"/>
        <v>0</v>
      </c>
      <c r="M413" s="2113">
        <f t="shared" si="86"/>
        <v>1.6259679599999999E-3</v>
      </c>
      <c r="N413" s="2112"/>
      <c r="O413" s="2112"/>
      <c r="P413" s="2112">
        <f t="shared" si="87"/>
        <v>0</v>
      </c>
      <c r="Q413" s="2112"/>
      <c r="R413" s="2112">
        <v>2.63205812E-3</v>
      </c>
      <c r="S413" s="2112">
        <f t="shared" si="88"/>
        <v>2.63205812E-3</v>
      </c>
      <c r="T413" s="2112"/>
      <c r="U413" s="2112"/>
      <c r="V413" s="2112">
        <f t="shared" si="89"/>
        <v>0</v>
      </c>
      <c r="W413" s="2113">
        <f t="shared" si="90"/>
        <v>2.63205812E-3</v>
      </c>
      <c r="X413" s="2112"/>
      <c r="Y413" s="2112"/>
      <c r="Z413" s="2112">
        <f t="shared" si="91"/>
        <v>0</v>
      </c>
      <c r="AA413" s="2112"/>
      <c r="AB413" s="2112">
        <v>2.95053224E-3</v>
      </c>
      <c r="AC413" s="2112">
        <f t="shared" si="92"/>
        <v>2.95053224E-3</v>
      </c>
      <c r="AD413" s="2112"/>
      <c r="AE413" s="2112"/>
      <c r="AF413" s="2112">
        <f t="shared" si="93"/>
        <v>0</v>
      </c>
      <c r="AG413" s="2114">
        <f t="shared" si="94"/>
        <v>2.95053224E-3</v>
      </c>
    </row>
    <row r="414" spans="2:33" ht="12.75" customHeight="1">
      <c r="B414" s="2115"/>
      <c r="C414" s="2116" t="s">
        <v>318</v>
      </c>
      <c r="D414" s="2117"/>
      <c r="E414" s="2117"/>
      <c r="F414" s="2117">
        <f t="shared" si="83"/>
        <v>0</v>
      </c>
      <c r="G414" s="2117">
        <v>0.26267262164999999</v>
      </c>
      <c r="H414" s="2117"/>
      <c r="I414" s="2117">
        <f t="shared" si="84"/>
        <v>0.26267262164999999</v>
      </c>
      <c r="J414" s="2117"/>
      <c r="K414" s="2117"/>
      <c r="L414" s="2118">
        <f t="shared" si="85"/>
        <v>0</v>
      </c>
      <c r="M414" s="2119">
        <f t="shared" si="86"/>
        <v>0.26267262164999999</v>
      </c>
      <c r="N414" s="2117"/>
      <c r="O414" s="2117"/>
      <c r="P414" s="2117">
        <f t="shared" si="87"/>
        <v>0</v>
      </c>
      <c r="Q414" s="2117">
        <v>0.25960351887999999</v>
      </c>
      <c r="R414" s="2117"/>
      <c r="S414" s="2117">
        <f t="shared" si="88"/>
        <v>0.25960351887999999</v>
      </c>
      <c r="T414" s="2117"/>
      <c r="U414" s="2117"/>
      <c r="V414" s="2118">
        <f t="shared" si="89"/>
        <v>0</v>
      </c>
      <c r="W414" s="2119">
        <f t="shared" si="90"/>
        <v>0.25960351887999999</v>
      </c>
      <c r="X414" s="2117"/>
      <c r="Y414" s="2117"/>
      <c r="Z414" s="2117">
        <f t="shared" si="91"/>
        <v>0</v>
      </c>
      <c r="AA414" s="2117">
        <v>0.28330043343</v>
      </c>
      <c r="AB414" s="2117"/>
      <c r="AC414" s="2117">
        <f t="shared" si="92"/>
        <v>0.28330043343</v>
      </c>
      <c r="AD414" s="2117"/>
      <c r="AE414" s="2117"/>
      <c r="AF414" s="2118">
        <f t="shared" si="93"/>
        <v>0</v>
      </c>
      <c r="AG414" s="2120">
        <f t="shared" si="94"/>
        <v>0.28330043343</v>
      </c>
    </row>
    <row r="415" spans="2:33" ht="12.75" customHeight="1">
      <c r="B415" s="2108" t="s">
        <v>3</v>
      </c>
      <c r="C415" s="2109" t="s">
        <v>318</v>
      </c>
      <c r="D415" s="2109"/>
      <c r="E415" s="2109"/>
      <c r="F415" s="2109">
        <f t="shared" si="83"/>
        <v>0</v>
      </c>
      <c r="G415" s="2109"/>
      <c r="H415" s="2109"/>
      <c r="I415" s="2109">
        <f t="shared" si="84"/>
        <v>0</v>
      </c>
      <c r="J415" s="2109"/>
      <c r="K415" s="2109"/>
      <c r="L415" s="2109">
        <f t="shared" si="85"/>
        <v>0</v>
      </c>
      <c r="M415" s="2109">
        <f t="shared" si="86"/>
        <v>0</v>
      </c>
      <c r="N415" s="2109"/>
      <c r="O415" s="2109"/>
      <c r="P415" s="2109">
        <f t="shared" si="87"/>
        <v>0</v>
      </c>
      <c r="Q415" s="2109"/>
      <c r="R415" s="2109"/>
      <c r="S415" s="2109">
        <f t="shared" si="88"/>
        <v>0</v>
      </c>
      <c r="T415" s="2109"/>
      <c r="U415" s="2109"/>
      <c r="V415" s="2109">
        <f t="shared" si="89"/>
        <v>0</v>
      </c>
      <c r="W415" s="2109">
        <f t="shared" si="90"/>
        <v>0</v>
      </c>
      <c r="X415" s="2109"/>
      <c r="Y415" s="2109"/>
      <c r="Z415" s="2109">
        <f t="shared" si="91"/>
        <v>0</v>
      </c>
      <c r="AA415" s="2109">
        <v>17.705221959999999</v>
      </c>
      <c r="AB415" s="2109"/>
      <c r="AC415" s="2109">
        <f t="shared" si="92"/>
        <v>17.705221959999999</v>
      </c>
      <c r="AD415" s="2109"/>
      <c r="AE415" s="2109"/>
      <c r="AF415" s="2109">
        <f t="shared" si="93"/>
        <v>0</v>
      </c>
      <c r="AG415" s="2109">
        <f t="shared" si="94"/>
        <v>17.705221959999999</v>
      </c>
    </row>
    <row r="416" spans="2:33" ht="12.75" customHeight="1">
      <c r="B416" s="2108" t="s">
        <v>397</v>
      </c>
      <c r="C416" s="2109" t="s">
        <v>1017</v>
      </c>
      <c r="D416" s="2109"/>
      <c r="E416" s="2109"/>
      <c r="F416" s="2109">
        <f t="shared" si="83"/>
        <v>0</v>
      </c>
      <c r="G416" s="2109"/>
      <c r="H416" s="2109"/>
      <c r="I416" s="2109">
        <f t="shared" si="84"/>
        <v>0</v>
      </c>
      <c r="J416" s="2109"/>
      <c r="K416" s="2109"/>
      <c r="L416" s="2109">
        <f t="shared" si="85"/>
        <v>0</v>
      </c>
      <c r="M416" s="2109">
        <f t="shared" si="86"/>
        <v>0</v>
      </c>
      <c r="N416" s="2109"/>
      <c r="O416" s="2109"/>
      <c r="P416" s="2109">
        <f t="shared" si="87"/>
        <v>0</v>
      </c>
      <c r="Q416" s="2109"/>
      <c r="R416" s="2109"/>
      <c r="S416" s="2109">
        <f t="shared" si="88"/>
        <v>0</v>
      </c>
      <c r="T416" s="2109"/>
      <c r="U416" s="2109"/>
      <c r="V416" s="2109">
        <f t="shared" si="89"/>
        <v>0</v>
      </c>
      <c r="W416" s="2109">
        <f t="shared" si="90"/>
        <v>0</v>
      </c>
      <c r="X416" s="2109"/>
      <c r="Y416" s="2109">
        <v>84.987307299999998</v>
      </c>
      <c r="Z416" s="2109">
        <f t="shared" si="91"/>
        <v>84.987307299999998</v>
      </c>
      <c r="AA416" s="2109"/>
      <c r="AB416" s="2109"/>
      <c r="AC416" s="2109">
        <f t="shared" si="92"/>
        <v>0</v>
      </c>
      <c r="AD416" s="2109"/>
      <c r="AE416" s="2109"/>
      <c r="AF416" s="2109">
        <f t="shared" si="93"/>
        <v>0</v>
      </c>
      <c r="AG416" s="2109">
        <f t="shared" si="94"/>
        <v>84.987307299999998</v>
      </c>
    </row>
    <row r="417" spans="2:33" ht="12.75" customHeight="1">
      <c r="B417" s="2110" t="s">
        <v>399</v>
      </c>
      <c r="C417" s="2111" t="s">
        <v>1006</v>
      </c>
      <c r="D417" s="2112"/>
      <c r="E417" s="2112"/>
      <c r="F417" s="2112">
        <f t="shared" si="83"/>
        <v>0</v>
      </c>
      <c r="G417" s="2112"/>
      <c r="H417" s="2112">
        <v>58.566293289999997</v>
      </c>
      <c r="I417" s="2112">
        <f t="shared" si="84"/>
        <v>58.566293289999997</v>
      </c>
      <c r="J417" s="2112"/>
      <c r="K417" s="2112"/>
      <c r="L417" s="2109">
        <f t="shared" si="85"/>
        <v>0</v>
      </c>
      <c r="M417" s="2113">
        <f t="shared" si="86"/>
        <v>58.566293289999997</v>
      </c>
      <c r="N417" s="2112"/>
      <c r="O417" s="2112"/>
      <c r="P417" s="2112">
        <f t="shared" si="87"/>
        <v>0</v>
      </c>
      <c r="Q417" s="2112"/>
      <c r="R417" s="2112">
        <v>88.650000599999998</v>
      </c>
      <c r="S417" s="2112">
        <f t="shared" si="88"/>
        <v>88.650000599999998</v>
      </c>
      <c r="T417" s="2112"/>
      <c r="U417" s="2112"/>
      <c r="V417" s="2112">
        <f t="shared" si="89"/>
        <v>0</v>
      </c>
      <c r="W417" s="2113">
        <f t="shared" si="90"/>
        <v>88.650000599999998</v>
      </c>
      <c r="X417" s="2112"/>
      <c r="Y417" s="2112"/>
      <c r="Z417" s="2112">
        <f t="shared" si="91"/>
        <v>0</v>
      </c>
      <c r="AA417" s="2112"/>
      <c r="AB417" s="2112">
        <v>59.279428869999997</v>
      </c>
      <c r="AC417" s="2112">
        <f t="shared" si="92"/>
        <v>59.279428869999997</v>
      </c>
      <c r="AD417" s="2112"/>
      <c r="AE417" s="2112"/>
      <c r="AF417" s="2112">
        <f t="shared" si="93"/>
        <v>0</v>
      </c>
      <c r="AG417" s="2114">
        <f t="shared" si="94"/>
        <v>59.279428869999997</v>
      </c>
    </row>
    <row r="418" spans="2:33" ht="12.75" customHeight="1">
      <c r="B418" s="2115"/>
      <c r="C418" s="2116" t="s">
        <v>1020</v>
      </c>
      <c r="D418" s="2117"/>
      <c r="E418" s="2117"/>
      <c r="F418" s="2112">
        <f>SUM(D418:E418)</f>
        <v>0</v>
      </c>
      <c r="G418" s="2117"/>
      <c r="H418" s="2117"/>
      <c r="I418" s="2112">
        <f>SUM(G418:H418)</f>
        <v>0</v>
      </c>
      <c r="J418" s="2117"/>
      <c r="K418" s="2117"/>
      <c r="L418" s="2109">
        <f t="shared" si="85"/>
        <v>0</v>
      </c>
      <c r="M418" s="2113">
        <f>F418+I418+L418</f>
        <v>0</v>
      </c>
      <c r="N418" s="2117"/>
      <c r="O418" s="2117"/>
      <c r="P418" s="2112">
        <f>SUM(N418:O418)</f>
        <v>0</v>
      </c>
      <c r="Q418" s="2117"/>
      <c r="R418" s="2117"/>
      <c r="S418" s="2117">
        <f>SUM(Q418:R418)</f>
        <v>0</v>
      </c>
      <c r="T418" s="2117"/>
      <c r="U418" s="2117"/>
      <c r="V418" s="2118">
        <f t="shared" si="89"/>
        <v>0</v>
      </c>
      <c r="W418" s="2119">
        <f>P418+S418+V418</f>
        <v>0</v>
      </c>
      <c r="X418" s="2117">
        <v>94.92</v>
      </c>
      <c r="Y418" s="2117"/>
      <c r="Z418" s="2117">
        <f>SUM(X418:Y418)</f>
        <v>94.92</v>
      </c>
      <c r="AA418" s="2117"/>
      <c r="AB418" s="2117"/>
      <c r="AC418" s="2117">
        <f>SUM(AA418:AB418)</f>
        <v>0</v>
      </c>
      <c r="AD418" s="2117"/>
      <c r="AE418" s="2117"/>
      <c r="AF418" s="2118">
        <f t="shared" si="93"/>
        <v>0</v>
      </c>
      <c r="AG418" s="2120">
        <f>Z418+AC418+AF418</f>
        <v>94.92</v>
      </c>
    </row>
    <row r="419" spans="2:33" ht="12.75" customHeight="1">
      <c r="B419" s="2124" t="s">
        <v>883</v>
      </c>
      <c r="C419" s="2109"/>
      <c r="D419" s="2109"/>
      <c r="E419" s="2109"/>
      <c r="F419" s="2112">
        <f>SUM(D419:E419)</f>
        <v>0</v>
      </c>
      <c r="G419" s="2109"/>
      <c r="H419" s="2109"/>
      <c r="I419" s="2112">
        <f>SUM(G419:H419)</f>
        <v>0</v>
      </c>
      <c r="J419" s="2109"/>
      <c r="K419" s="2109"/>
      <c r="L419" s="2109">
        <f t="shared" si="85"/>
        <v>0</v>
      </c>
      <c r="M419" s="2113">
        <f>F419+I419+L419</f>
        <v>0</v>
      </c>
      <c r="N419" s="2109"/>
      <c r="O419" s="2109"/>
      <c r="P419" s="2112">
        <f>SUM(N419:O419)</f>
        <v>0</v>
      </c>
      <c r="Q419" s="2109"/>
      <c r="R419" s="2109"/>
      <c r="S419" s="2109">
        <f>SUM(Q419:R419)</f>
        <v>0</v>
      </c>
      <c r="T419" s="2109"/>
      <c r="U419" s="2109"/>
      <c r="V419" s="2109">
        <f t="shared" si="89"/>
        <v>0</v>
      </c>
      <c r="W419" s="2109">
        <f>P419+S419+V419</f>
        <v>0</v>
      </c>
      <c r="X419" s="2109"/>
      <c r="Y419" s="2109"/>
      <c r="Z419" s="2109">
        <f>SUM(X419:Y419)</f>
        <v>0</v>
      </c>
      <c r="AA419" s="2109"/>
      <c r="AB419" s="2109"/>
      <c r="AC419" s="2109">
        <f>SUM(AA419:AB419)</f>
        <v>0</v>
      </c>
      <c r="AD419" s="2109"/>
      <c r="AE419" s="2109"/>
      <c r="AF419" s="2109">
        <f t="shared" si="93"/>
        <v>0</v>
      </c>
      <c r="AG419" s="2109">
        <f>Z419+AC419+AF419</f>
        <v>0</v>
      </c>
    </row>
    <row r="420" spans="2:33" ht="12.75" customHeight="1">
      <c r="B420" s="2124" t="s">
        <v>884</v>
      </c>
      <c r="C420" s="2109"/>
      <c r="D420" s="2109"/>
      <c r="E420" s="2109"/>
      <c r="F420" s="2112">
        <f>SUM(D420:E420)</f>
        <v>0</v>
      </c>
      <c r="G420" s="2109"/>
      <c r="H420" s="2109"/>
      <c r="I420" s="2109">
        <f>SUM(G420:H420)</f>
        <v>0</v>
      </c>
      <c r="J420" s="2109"/>
      <c r="K420" s="2109"/>
      <c r="L420" s="2109">
        <f t="shared" si="85"/>
        <v>0</v>
      </c>
      <c r="M420" s="2113">
        <f>F420+I420+L420</f>
        <v>0</v>
      </c>
      <c r="N420" s="2109"/>
      <c r="O420" s="2109"/>
      <c r="P420" s="2109">
        <f>SUM(N420:O420)</f>
        <v>0</v>
      </c>
      <c r="Q420" s="2109"/>
      <c r="R420" s="2109"/>
      <c r="S420" s="2109">
        <f>SUM(Q420:R420)</f>
        <v>0</v>
      </c>
      <c r="T420" s="2109"/>
      <c r="U420" s="2109"/>
      <c r="V420" s="2109">
        <f t="shared" si="89"/>
        <v>0</v>
      </c>
      <c r="W420" s="2109">
        <f>P420+S420+V420</f>
        <v>0</v>
      </c>
      <c r="X420" s="2109"/>
      <c r="Y420" s="2109"/>
      <c r="Z420" s="2109">
        <f>SUM(X420:Y420)</f>
        <v>0</v>
      </c>
      <c r="AA420" s="2109"/>
      <c r="AB420" s="2109"/>
      <c r="AC420" s="2109">
        <f>SUM(AA420:AB420)</f>
        <v>0</v>
      </c>
      <c r="AD420" s="2109"/>
      <c r="AE420" s="2109"/>
      <c r="AF420" s="2109">
        <f t="shared" si="93"/>
        <v>0</v>
      </c>
      <c r="AG420" s="2109">
        <f>Z420+AC420+AF420</f>
        <v>0</v>
      </c>
    </row>
    <row r="421" spans="2:33" ht="12.75" customHeight="1">
      <c r="B421" s="2124" t="s">
        <v>891</v>
      </c>
      <c r="C421" s="2109"/>
      <c r="D421" s="2109"/>
      <c r="E421" s="2109"/>
      <c r="F421" s="2109">
        <f>SUM(D421:E421)</f>
        <v>0</v>
      </c>
      <c r="G421" s="2109"/>
      <c r="H421" s="2109"/>
      <c r="I421" s="2109">
        <f>SUM(G421:H421)</f>
        <v>0</v>
      </c>
      <c r="J421" s="2109"/>
      <c r="K421" s="2109"/>
      <c r="L421" s="2109">
        <f t="shared" si="85"/>
        <v>0</v>
      </c>
      <c r="M421" s="2109">
        <f>F421+I421+L421</f>
        <v>0</v>
      </c>
      <c r="N421" s="2109"/>
      <c r="O421" s="2109"/>
      <c r="P421" s="2109">
        <f>SUM(N421:O421)</f>
        <v>0</v>
      </c>
      <c r="Q421" s="2109"/>
      <c r="R421" s="2109"/>
      <c r="S421" s="2109">
        <f>SUM(Q421:R421)</f>
        <v>0</v>
      </c>
      <c r="T421" s="2109"/>
      <c r="U421" s="2109"/>
      <c r="V421" s="2109">
        <f t="shared" si="89"/>
        <v>0</v>
      </c>
      <c r="W421" s="2109">
        <f>P421+S421+V421</f>
        <v>0</v>
      </c>
      <c r="X421" s="2109"/>
      <c r="Y421" s="2109"/>
      <c r="Z421" s="2109">
        <f>SUM(X421:Y421)</f>
        <v>0</v>
      </c>
      <c r="AA421" s="2109"/>
      <c r="AB421" s="2109"/>
      <c r="AC421" s="2109">
        <f>SUM(AA421:AB421)</f>
        <v>0</v>
      </c>
      <c r="AD421" s="2109"/>
      <c r="AE421" s="2109"/>
      <c r="AF421" s="2109">
        <f t="shared" si="93"/>
        <v>0</v>
      </c>
      <c r="AG421" s="2109">
        <f>Z421+AC421+AF421</f>
        <v>0</v>
      </c>
    </row>
    <row r="422" spans="2:33" ht="12.75" customHeight="1">
      <c r="B422" s="2121" t="s">
        <v>724</v>
      </c>
      <c r="C422" s="2122"/>
      <c r="D422" s="2123">
        <f>SUM(D410:D421)</f>
        <v>0</v>
      </c>
      <c r="E422" s="2123">
        <f t="shared" ref="E422:AG422" si="95">SUM(E410:E421)</f>
        <v>0</v>
      </c>
      <c r="F422" s="2123">
        <f t="shared" si="95"/>
        <v>0</v>
      </c>
      <c r="G422" s="2123">
        <f t="shared" si="95"/>
        <v>0.26267262164999999</v>
      </c>
      <c r="H422" s="2123">
        <f t="shared" si="95"/>
        <v>58.56791925796</v>
      </c>
      <c r="I422" s="2123">
        <f t="shared" si="95"/>
        <v>58.830591879609997</v>
      </c>
      <c r="J422" s="2123">
        <f t="shared" si="95"/>
        <v>0</v>
      </c>
      <c r="K422" s="2123">
        <f t="shared" si="95"/>
        <v>0</v>
      </c>
      <c r="L422" s="2123">
        <f t="shared" si="95"/>
        <v>0</v>
      </c>
      <c r="M422" s="2123">
        <f t="shared" si="95"/>
        <v>58.830591879609997</v>
      </c>
      <c r="N422" s="2123">
        <f t="shared" si="95"/>
        <v>0</v>
      </c>
      <c r="O422" s="2123">
        <f t="shared" si="95"/>
        <v>0</v>
      </c>
      <c r="P422" s="2123">
        <f t="shared" si="95"/>
        <v>0</v>
      </c>
      <c r="Q422" s="2123">
        <f t="shared" si="95"/>
        <v>0.25960351887999999</v>
      </c>
      <c r="R422" s="2123">
        <f t="shared" si="95"/>
        <v>88.652632658119998</v>
      </c>
      <c r="S422" s="2123">
        <f t="shared" si="95"/>
        <v>88.912236176999997</v>
      </c>
      <c r="T422" s="2123">
        <f t="shared" si="95"/>
        <v>0</v>
      </c>
      <c r="U422" s="2123">
        <f t="shared" si="95"/>
        <v>0</v>
      </c>
      <c r="V422" s="2123">
        <f t="shared" si="95"/>
        <v>0</v>
      </c>
      <c r="W422" s="2123">
        <f t="shared" si="95"/>
        <v>88.912236176999997</v>
      </c>
      <c r="X422" s="2123">
        <f t="shared" si="95"/>
        <v>94.92</v>
      </c>
      <c r="Y422" s="2123">
        <f t="shared" si="95"/>
        <v>84.987307299999998</v>
      </c>
      <c r="Z422" s="2123">
        <f t="shared" si="95"/>
        <v>179.90730730000001</v>
      </c>
      <c r="AA422" s="2123">
        <f t="shared" si="95"/>
        <v>17.988522393429999</v>
      </c>
      <c r="AB422" s="2123">
        <f t="shared" si="95"/>
        <v>118.27985830224</v>
      </c>
      <c r="AC422" s="2123">
        <f t="shared" si="95"/>
        <v>136.26838069567</v>
      </c>
      <c r="AD422" s="2123">
        <f t="shared" si="95"/>
        <v>0</v>
      </c>
      <c r="AE422" s="2123">
        <f t="shared" si="95"/>
        <v>0</v>
      </c>
      <c r="AF422" s="2123">
        <f t="shared" si="95"/>
        <v>0</v>
      </c>
      <c r="AG422" s="2123">
        <f t="shared" si="95"/>
        <v>316.17568799566999</v>
      </c>
    </row>
  </sheetData>
  <mergeCells count="98">
    <mergeCell ref="B328:B329"/>
    <mergeCell ref="C328:F328"/>
    <mergeCell ref="G328:H328"/>
    <mergeCell ref="B360:B362"/>
    <mergeCell ref="C390:E390"/>
    <mergeCell ref="C360:T360"/>
    <mergeCell ref="T361:T362"/>
    <mergeCell ref="H361:M361"/>
    <mergeCell ref="C361:G361"/>
    <mergeCell ref="O361:Q361"/>
    <mergeCell ref="C375:E375"/>
    <mergeCell ref="F375:H375"/>
    <mergeCell ref="I375:K375"/>
    <mergeCell ref="N361:N362"/>
    <mergeCell ref="G390:H390"/>
    <mergeCell ref="B296:B297"/>
    <mergeCell ref="C296:F296"/>
    <mergeCell ref="G296:H296"/>
    <mergeCell ref="K296:L296"/>
    <mergeCell ref="M296:Q296"/>
    <mergeCell ref="I296:J296"/>
    <mergeCell ref="B264:B265"/>
    <mergeCell ref="C264:F264"/>
    <mergeCell ref="G264:H264"/>
    <mergeCell ref="K264:L264"/>
    <mergeCell ref="M264:Q264"/>
    <mergeCell ref="I264:J264"/>
    <mergeCell ref="B232:B233"/>
    <mergeCell ref="C232:F232"/>
    <mergeCell ref="G232:H232"/>
    <mergeCell ref="K232:L232"/>
    <mergeCell ref="M232:Q232"/>
    <mergeCell ref="I232:J232"/>
    <mergeCell ref="B200:B201"/>
    <mergeCell ref="C200:F200"/>
    <mergeCell ref="G200:H200"/>
    <mergeCell ref="K200:L200"/>
    <mergeCell ref="M200:Q200"/>
    <mergeCell ref="I200:J200"/>
    <mergeCell ref="B168:B169"/>
    <mergeCell ref="C168:F168"/>
    <mergeCell ref="G168:H168"/>
    <mergeCell ref="K168:L168"/>
    <mergeCell ref="M168:Q168"/>
    <mergeCell ref="B136:B137"/>
    <mergeCell ref="C136:F136"/>
    <mergeCell ref="G136:H136"/>
    <mergeCell ref="K136:L136"/>
    <mergeCell ref="M136:Q136"/>
    <mergeCell ref="B8:B9"/>
    <mergeCell ref="C8:F8"/>
    <mergeCell ref="G8:H8"/>
    <mergeCell ref="K8:L8"/>
    <mergeCell ref="M8:Q8"/>
    <mergeCell ref="I8:J8"/>
    <mergeCell ref="B40:B41"/>
    <mergeCell ref="C40:F40"/>
    <mergeCell ref="G40:H40"/>
    <mergeCell ref="K40:L40"/>
    <mergeCell ref="M40:Q40"/>
    <mergeCell ref="B72:B73"/>
    <mergeCell ref="C72:F72"/>
    <mergeCell ref="G72:H72"/>
    <mergeCell ref="K72:L72"/>
    <mergeCell ref="M72:Q72"/>
    <mergeCell ref="B104:B105"/>
    <mergeCell ref="C104:F104"/>
    <mergeCell ref="G104:H104"/>
    <mergeCell ref="K104:L104"/>
    <mergeCell ref="M104:Q104"/>
    <mergeCell ref="AD408:AF408"/>
    <mergeCell ref="R361:R362"/>
    <mergeCell ref="S361:S362"/>
    <mergeCell ref="I40:J40"/>
    <mergeCell ref="I72:J72"/>
    <mergeCell ref="I104:J104"/>
    <mergeCell ref="I136:J136"/>
    <mergeCell ref="I168:J168"/>
    <mergeCell ref="K328:L328"/>
    <mergeCell ref="M328:Q328"/>
    <mergeCell ref="I328:J328"/>
    <mergeCell ref="K390:O390"/>
    <mergeCell ref="AG408:AG409"/>
    <mergeCell ref="B407:B409"/>
    <mergeCell ref="C407:C409"/>
    <mergeCell ref="D407:M407"/>
    <mergeCell ref="N407:W407"/>
    <mergeCell ref="X407:AG407"/>
    <mergeCell ref="D408:F408"/>
    <mergeCell ref="G408:I408"/>
    <mergeCell ref="J408:L408"/>
    <mergeCell ref="M408:M409"/>
    <mergeCell ref="N408:P408"/>
    <mergeCell ref="Q408:S408"/>
    <mergeCell ref="T408:V408"/>
    <mergeCell ref="W408:W409"/>
    <mergeCell ref="X408:Z408"/>
    <mergeCell ref="AA408:AC408"/>
  </mergeCells>
  <conditionalFormatting sqref="H10:H32">
    <cfRule type="cellIs" dxfId="48" priority="41" operator="lessThanOrEqual">
      <formula>0</formula>
    </cfRule>
    <cfRule type="cellIs" dxfId="47" priority="42" operator="greaterThan">
      <formula>0</formula>
    </cfRule>
  </conditionalFormatting>
  <pageMargins left="0.23622047244094491" right="0.15748031496062992" top="0.27" bottom="0.6" header="0.15748031496062992" footer="0.15748031496062992"/>
  <pageSetup paperSize="9" scale="35" fitToHeight="0" orientation="landscape" r:id="rId1"/>
  <rowBreaks count="1" manualBreakCount="1">
    <brk id="230" max="16383" man="1"/>
  </rowBreaks>
</worksheet>
</file>

<file path=xl/worksheets/sheet3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E00-000000000000}">
  <dimension ref="B1:W181"/>
  <sheetViews>
    <sheetView showGridLines="0" topLeftCell="A100" zoomScale="120" zoomScaleNormal="120" workbookViewId="0">
      <selection activeCell="G114" sqref="G114"/>
    </sheetView>
  </sheetViews>
  <sheetFormatPr baseColWidth="10" defaultColWidth="11.44140625" defaultRowHeight="13.8"/>
  <cols>
    <col min="1" max="1" width="11.44140625" style="77"/>
    <col min="2" max="2" width="18.6640625" style="77" customWidth="1"/>
    <col min="3" max="3" width="16.33203125" style="77" bestFit="1" customWidth="1"/>
    <col min="4" max="4" width="17.109375" style="77" customWidth="1"/>
    <col min="5" max="5" width="16" style="77" customWidth="1"/>
    <col min="6" max="6" width="15" style="77" customWidth="1"/>
    <col min="7" max="7" width="14.5546875" style="77" bestFit="1" customWidth="1"/>
    <col min="8" max="8" width="19.6640625" style="77" bestFit="1" customWidth="1"/>
    <col min="9" max="9" width="45.5546875" style="77" customWidth="1"/>
    <col min="10" max="10" width="12.6640625" style="77" customWidth="1"/>
    <col min="11" max="22" width="11.44140625" style="77"/>
    <col min="23" max="23" width="22.6640625" style="77" customWidth="1"/>
    <col min="24" max="16384" width="11.44140625" style="77"/>
  </cols>
  <sheetData>
    <row r="1" spans="2:9" ht="28.8">
      <c r="C1" s="2217" t="s">
        <v>1225</v>
      </c>
    </row>
    <row r="2" spans="2:9" ht="21">
      <c r="B2" s="2212" t="s">
        <v>1041</v>
      </c>
    </row>
    <row r="4" spans="2:9" ht="15.75" customHeight="1">
      <c r="B4" s="3270" t="s">
        <v>933</v>
      </c>
      <c r="C4" s="3271" t="s">
        <v>1040</v>
      </c>
      <c r="D4" s="3272"/>
      <c r="E4" s="3271" t="s">
        <v>1043</v>
      </c>
      <c r="F4" s="3272"/>
      <c r="G4" s="3271" t="s">
        <v>1045</v>
      </c>
      <c r="H4" s="3272"/>
    </row>
    <row r="5" spans="2:9" ht="15.6">
      <c r="B5" s="3270"/>
      <c r="C5" s="2309">
        <f>'Solde créances_DCM'!D9</f>
        <v>45139</v>
      </c>
      <c r="D5" s="2309">
        <f>'Solde créances_DCM'!E9</f>
        <v>45505</v>
      </c>
      <c r="E5" s="2309">
        <f>C5</f>
        <v>45139</v>
      </c>
      <c r="F5" s="2309">
        <f>D5</f>
        <v>45505</v>
      </c>
      <c r="G5" s="2309">
        <f>E5</f>
        <v>45139</v>
      </c>
      <c r="H5" s="2309">
        <f>F5</f>
        <v>45505</v>
      </c>
      <c r="I5" s="77" t="s">
        <v>53</v>
      </c>
    </row>
    <row r="6" spans="2:9">
      <c r="B6" s="2213" t="s">
        <v>6</v>
      </c>
      <c r="C6" s="2214">
        <f>'calcul-DCC-TX-Encais'!O20</f>
        <v>3960.4160979000003</v>
      </c>
      <c r="D6" s="2214">
        <f>'calcul-DCC-TX-Encais'!BA20</f>
        <v>4177.3173732199994</v>
      </c>
      <c r="E6" s="2214">
        <v>418.79300000000001</v>
      </c>
      <c r="F6" s="2214">
        <v>784.52700000000004</v>
      </c>
      <c r="G6" s="2214">
        <f>C6-E6</f>
        <v>3541.6230979000002</v>
      </c>
      <c r="H6" s="2214">
        <f>D6-F6</f>
        <v>3392.7903732199993</v>
      </c>
      <c r="I6" s="2310">
        <f>(H6-G6)/G6</f>
        <v>-4.2023874524720319E-2</v>
      </c>
    </row>
    <row r="7" spans="2:9">
      <c r="B7" s="2213" t="s">
        <v>7</v>
      </c>
      <c r="C7" s="2214">
        <f>'calcul-DCC-TX-Encais'!O21</f>
        <v>1975.9394760800008</v>
      </c>
      <c r="D7" s="2214">
        <f>'calcul-DCC-TX-Encais'!BA21</f>
        <v>2072.6230949199994</v>
      </c>
      <c r="E7" s="2214">
        <v>145.65</v>
      </c>
      <c r="F7" s="2214">
        <v>411.87</v>
      </c>
      <c r="G7" s="2214">
        <f t="shared" ref="G7:H15" si="0">C7-E7</f>
        <v>1830.2894760800007</v>
      </c>
      <c r="H7" s="2214">
        <f t="shared" si="0"/>
        <v>1660.7530949199995</v>
      </c>
      <c r="I7" s="2310">
        <f t="shared" ref="I7:I16" si="1">(H7-G7)/G7</f>
        <v>-9.2628178971505395E-2</v>
      </c>
    </row>
    <row r="8" spans="2:9">
      <c r="B8" s="2213" t="s">
        <v>8</v>
      </c>
      <c r="C8" s="2214">
        <f>'calcul-DCC-TX-Encais'!O22</f>
        <v>1643.0790785099998</v>
      </c>
      <c r="D8" s="2214">
        <f>'calcul-DCC-TX-Encais'!BA22</f>
        <v>2281.5055263499971</v>
      </c>
      <c r="E8" s="2214">
        <v>151.31191650000005</v>
      </c>
      <c r="F8" s="2214">
        <v>420.3118068399998</v>
      </c>
      <c r="G8" s="2214">
        <f t="shared" si="0"/>
        <v>1491.7671620099998</v>
      </c>
      <c r="H8" s="2214">
        <f t="shared" si="0"/>
        <v>1861.1937195099972</v>
      </c>
      <c r="I8" s="2310">
        <f t="shared" si="1"/>
        <v>0.24764357797113185</v>
      </c>
    </row>
    <row r="9" spans="2:9">
      <c r="B9" s="2213" t="s">
        <v>4</v>
      </c>
      <c r="C9" s="2214">
        <f>'calcul-DCC-TX-Encais'!O23</f>
        <v>2940.5322500099996</v>
      </c>
      <c r="D9" s="2214">
        <f>'calcul-DCC-TX-Encais'!BA23</f>
        <v>3708.7905809000008</v>
      </c>
      <c r="E9" s="2214">
        <v>432.25421173000001</v>
      </c>
      <c r="F9" s="2214">
        <v>1150.1184844699999</v>
      </c>
      <c r="G9" s="2214">
        <f t="shared" si="0"/>
        <v>2508.2780382799997</v>
      </c>
      <c r="H9" s="2214">
        <f t="shared" si="0"/>
        <v>2558.6720964300011</v>
      </c>
      <c r="I9" s="2310">
        <f t="shared" si="1"/>
        <v>2.0091097310949685E-2</v>
      </c>
    </row>
    <row r="10" spans="2:9">
      <c r="B10" s="2213" t="s">
        <v>3</v>
      </c>
      <c r="C10" s="2214">
        <f>'calcul-DCC-TX-Encais'!O24</f>
        <v>4891.6009613060005</v>
      </c>
      <c r="D10" s="2214">
        <f>'calcul-DCC-TX-Encais'!BA24</f>
        <v>6674.2515324899978</v>
      </c>
      <c r="E10" s="2214">
        <v>186.98681952000001</v>
      </c>
      <c r="F10" s="2214">
        <v>421.25816524999999</v>
      </c>
      <c r="G10" s="2214">
        <f t="shared" si="0"/>
        <v>4704.6141417860008</v>
      </c>
      <c r="H10" s="2214">
        <f t="shared" si="0"/>
        <v>6252.9933672399975</v>
      </c>
      <c r="I10" s="2310">
        <f t="shared" si="1"/>
        <v>0.32911928136707708</v>
      </c>
    </row>
    <row r="11" spans="2:9">
      <c r="B11" s="2213" t="s">
        <v>397</v>
      </c>
      <c r="C11" s="2214">
        <f>'calcul-DCC-TX-Encais'!O25</f>
        <v>3584.0745765165325</v>
      </c>
      <c r="D11" s="2214">
        <f>'calcul-DCC-TX-Encais'!BA25</f>
        <v>4013.0531907665313</v>
      </c>
      <c r="E11" s="2214">
        <v>0</v>
      </c>
      <c r="F11" s="2214">
        <v>0</v>
      </c>
      <c r="G11" s="2214">
        <f t="shared" si="0"/>
        <v>3584.0745765165325</v>
      </c>
      <c r="H11" s="2214">
        <f t="shared" si="0"/>
        <v>4013.0531907665313</v>
      </c>
      <c r="I11" s="2310">
        <f t="shared" si="1"/>
        <v>0.11969020317287475</v>
      </c>
    </row>
    <row r="12" spans="2:9">
      <c r="B12" s="2213" t="s">
        <v>399</v>
      </c>
      <c r="C12" s="2214">
        <f>'calcul-DCC-TX-Encais'!O26</f>
        <v>3296.6347596220035</v>
      </c>
      <c r="D12" s="2214">
        <f>'calcul-DCC-TX-Encais'!BA26</f>
        <v>3839.264268892</v>
      </c>
      <c r="E12" s="2214">
        <v>210.81966607999985</v>
      </c>
      <c r="F12" s="2214">
        <v>548.07497247000003</v>
      </c>
      <c r="G12" s="2214">
        <f t="shared" si="0"/>
        <v>3085.8150935420035</v>
      </c>
      <c r="H12" s="2214">
        <f t="shared" si="0"/>
        <v>3291.1892964220001</v>
      </c>
      <c r="I12" s="2311">
        <f t="shared" si="1"/>
        <v>6.6554280361711848E-2</v>
      </c>
    </row>
    <row r="13" spans="2:9">
      <c r="B13" s="2213" t="s">
        <v>883</v>
      </c>
      <c r="C13" s="2214">
        <f>'calcul-DCC-TX-Encais'!O27</f>
        <v>2317.2462311069612</v>
      </c>
      <c r="D13" s="2214">
        <f>'calcul-DCC-TX-Encais'!BA27</f>
        <v>2586.4355849898106</v>
      </c>
      <c r="E13" s="2214">
        <v>227.16540927</v>
      </c>
      <c r="F13" s="2214">
        <v>525.79999999999995</v>
      </c>
      <c r="G13" s="2214">
        <f t="shared" si="0"/>
        <v>2090.0808218369611</v>
      </c>
      <c r="H13" s="2214">
        <f t="shared" si="0"/>
        <v>2060.6355849898109</v>
      </c>
      <c r="I13" s="2310">
        <f t="shared" si="1"/>
        <v>-1.4088085273789059E-2</v>
      </c>
    </row>
    <row r="14" spans="2:9">
      <c r="B14" s="2213" t="s">
        <v>884</v>
      </c>
      <c r="C14" s="2214">
        <f>'calcul-DCC-TX-Encais'!O28</f>
        <v>2130.5776466529974</v>
      </c>
      <c r="D14" s="2214">
        <f>'calcul-DCC-TX-Encais'!BA28</f>
        <v>2226.0597109899932</v>
      </c>
      <c r="E14" s="2214">
        <v>211.90375402000001</v>
      </c>
      <c r="F14" s="2214">
        <v>513.08466948</v>
      </c>
      <c r="G14" s="2214">
        <f t="shared" si="0"/>
        <v>1918.6738926329974</v>
      </c>
      <c r="H14" s="2214">
        <f t="shared" si="0"/>
        <v>1712.9750415099932</v>
      </c>
      <c r="I14" s="2310">
        <f t="shared" si="1"/>
        <v>-0.1072088654110593</v>
      </c>
    </row>
    <row r="15" spans="2:9">
      <c r="B15" s="2213" t="s">
        <v>885</v>
      </c>
      <c r="C15" s="2214">
        <f>'calcul-DCC-TX-Encais'!O29</f>
        <v>654.48181721999981</v>
      </c>
      <c r="D15" s="2214">
        <f>'calcul-DCC-TX-Encais'!BA29</f>
        <v>722.10049141000002</v>
      </c>
      <c r="E15" s="2214">
        <v>113.91772081000001</v>
      </c>
      <c r="F15" s="2214">
        <v>237.94898254999998</v>
      </c>
      <c r="G15" s="2214">
        <f t="shared" si="0"/>
        <v>540.56409640999982</v>
      </c>
      <c r="H15" s="2214">
        <f t="shared" si="0"/>
        <v>484.15150886000004</v>
      </c>
      <c r="I15" s="2310">
        <f t="shared" si="1"/>
        <v>-0.10435873918495082</v>
      </c>
    </row>
    <row r="16" spans="2:9" ht="15.6">
      <c r="B16" s="2529" t="s">
        <v>20</v>
      </c>
      <c r="C16" s="2312">
        <f t="shared" ref="C16:H16" si="2">SUM(C6:C15)</f>
        <v>27394.582894924497</v>
      </c>
      <c r="D16" s="2312">
        <f t="shared" si="2"/>
        <v>32301.40135492833</v>
      </c>
      <c r="E16" s="2312">
        <f t="shared" si="2"/>
        <v>2098.8024979299998</v>
      </c>
      <c r="F16" s="2312">
        <f t="shared" si="2"/>
        <v>5012.9940810600001</v>
      </c>
      <c r="G16" s="2312">
        <f t="shared" si="2"/>
        <v>25295.780396994491</v>
      </c>
      <c r="H16" s="2312">
        <f t="shared" si="2"/>
        <v>27288.407273868324</v>
      </c>
      <c r="I16" s="2310">
        <f t="shared" si="1"/>
        <v>7.8773093599064731E-2</v>
      </c>
    </row>
    <row r="17" spans="2:9" ht="14.4">
      <c r="B17" s="2695"/>
      <c r="C17" s="2696"/>
      <c r="D17" s="2695"/>
    </row>
    <row r="18" spans="2:9" ht="21">
      <c r="B18" s="2212" t="s">
        <v>1051</v>
      </c>
    </row>
    <row r="20" spans="2:9" ht="46.5" customHeight="1">
      <c r="B20" s="3270" t="s">
        <v>933</v>
      </c>
      <c r="C20" s="3271" t="s">
        <v>1040</v>
      </c>
      <c r="D20" s="3272"/>
      <c r="E20" s="3271" t="s">
        <v>1052</v>
      </c>
      <c r="F20" s="3272"/>
      <c r="G20" s="3271" t="s">
        <v>1045</v>
      </c>
      <c r="H20" s="3272"/>
    </row>
    <row r="21" spans="2:9" ht="15.6">
      <c r="B21" s="3270"/>
      <c r="C21" s="2309">
        <f t="shared" ref="C21:H21" si="3">C5</f>
        <v>45139</v>
      </c>
      <c r="D21" s="2309">
        <f t="shared" si="3"/>
        <v>45505</v>
      </c>
      <c r="E21" s="2309">
        <f t="shared" si="3"/>
        <v>45139</v>
      </c>
      <c r="F21" s="2309">
        <f t="shared" si="3"/>
        <v>45505</v>
      </c>
      <c r="G21" s="2309">
        <f t="shared" si="3"/>
        <v>45139</v>
      </c>
      <c r="H21" s="2309">
        <f t="shared" si="3"/>
        <v>45505</v>
      </c>
      <c r="I21" s="77" t="s">
        <v>53</v>
      </c>
    </row>
    <row r="22" spans="2:9">
      <c r="B22" s="2213" t="s">
        <v>6</v>
      </c>
      <c r="C22" s="2214">
        <f>C6</f>
        <v>3960.4160979000003</v>
      </c>
      <c r="D22" s="2214">
        <f>D6</f>
        <v>4177.3173732199994</v>
      </c>
      <c r="E22" s="2214">
        <v>40.47</v>
      </c>
      <c r="F22" s="2214">
        <v>42.067999999999998</v>
      </c>
      <c r="G22" s="2214">
        <f>C22-E22</f>
        <v>3919.9460979000005</v>
      </c>
      <c r="H22" s="2214">
        <f>D22-F22</f>
        <v>4135.2493732199991</v>
      </c>
      <c r="I22" s="2310">
        <f>(H22-G22)/G22</f>
        <v>5.4925060177572656E-2</v>
      </c>
    </row>
    <row r="23" spans="2:9">
      <c r="B23" s="2213" t="s">
        <v>7</v>
      </c>
      <c r="C23" s="2214">
        <f t="shared" ref="C23:D31" si="4">C7</f>
        <v>1975.9394760800008</v>
      </c>
      <c r="D23" s="2214">
        <f t="shared" si="4"/>
        <v>2072.6230949199994</v>
      </c>
      <c r="E23" s="2214">
        <v>11.24</v>
      </c>
      <c r="F23" s="2214">
        <v>1.78</v>
      </c>
      <c r="G23" s="2214">
        <f t="shared" ref="G23:H31" si="5">C23-E23</f>
        <v>1964.6994760800007</v>
      </c>
      <c r="H23" s="2214">
        <f t="shared" si="5"/>
        <v>2070.8430949199992</v>
      </c>
      <c r="I23" s="2310">
        <f t="shared" ref="I23:I32" si="6">(H23-G23)/G23</f>
        <v>5.4025371377294747E-2</v>
      </c>
    </row>
    <row r="24" spans="2:9">
      <c r="B24" s="2213" t="s">
        <v>8</v>
      </c>
      <c r="C24" s="2214">
        <f t="shared" si="4"/>
        <v>1643.0790785099998</v>
      </c>
      <c r="D24" s="2214">
        <f t="shared" si="4"/>
        <v>2281.5055263499971</v>
      </c>
      <c r="E24" s="2214">
        <v>6.1043290499999996</v>
      </c>
      <c r="F24" s="2214">
        <v>8.26995361</v>
      </c>
      <c r="G24" s="2214">
        <f t="shared" si="5"/>
        <v>1636.9747494599999</v>
      </c>
      <c r="H24" s="2214">
        <f t="shared" si="5"/>
        <v>2273.2355727399972</v>
      </c>
      <c r="I24" s="2310">
        <f t="shared" si="6"/>
        <v>0.38868090267726185</v>
      </c>
    </row>
    <row r="25" spans="2:9">
      <c r="B25" s="2213" t="s">
        <v>4</v>
      </c>
      <c r="C25" s="2214">
        <f t="shared" si="4"/>
        <v>2940.5322500099996</v>
      </c>
      <c r="D25" s="2214">
        <f t="shared" si="4"/>
        <v>3708.7905809000008</v>
      </c>
      <c r="E25" s="2214">
        <v>2.9532286999999999</v>
      </c>
      <c r="F25" s="2214">
        <v>0.82760856999999999</v>
      </c>
      <c r="G25" s="2214">
        <f t="shared" si="5"/>
        <v>2937.5790213099995</v>
      </c>
      <c r="H25" s="2214">
        <f t="shared" si="5"/>
        <v>3707.9629723300009</v>
      </c>
      <c r="I25" s="2310">
        <f t="shared" si="6"/>
        <v>0.26225131151585235</v>
      </c>
    </row>
    <row r="26" spans="2:9">
      <c r="B26" s="2213" t="s">
        <v>3</v>
      </c>
      <c r="C26" s="2214">
        <f t="shared" si="4"/>
        <v>4891.6009613060005</v>
      </c>
      <c r="D26" s="2214">
        <f t="shared" si="4"/>
        <v>6674.2515324899978</v>
      </c>
      <c r="E26" s="2214">
        <v>4.2908668499999996</v>
      </c>
      <c r="F26" s="2214">
        <v>8.0047075099999994</v>
      </c>
      <c r="G26" s="2214">
        <f t="shared" si="5"/>
        <v>4887.3100944560001</v>
      </c>
      <c r="H26" s="2214">
        <f t="shared" si="5"/>
        <v>6666.2468249799977</v>
      </c>
      <c r="I26" s="2310">
        <f t="shared" si="6"/>
        <v>0.36399096765764127</v>
      </c>
    </row>
    <row r="27" spans="2:9">
      <c r="B27" s="2213" t="s">
        <v>397</v>
      </c>
      <c r="C27" s="2214">
        <f t="shared" si="4"/>
        <v>3584.0745765165325</v>
      </c>
      <c r="D27" s="2214">
        <f t="shared" si="4"/>
        <v>4013.0531907665313</v>
      </c>
      <c r="E27" s="2214">
        <v>0</v>
      </c>
      <c r="F27" s="2214">
        <v>0</v>
      </c>
      <c r="G27" s="2214">
        <f t="shared" si="5"/>
        <v>3584.0745765165325</v>
      </c>
      <c r="H27" s="2214">
        <f t="shared" si="5"/>
        <v>4013.0531907665313</v>
      </c>
      <c r="I27" s="2310">
        <f t="shared" si="6"/>
        <v>0.11969020317287475</v>
      </c>
    </row>
    <row r="28" spans="2:9">
      <c r="B28" s="2213" t="s">
        <v>399</v>
      </c>
      <c r="C28" s="2214">
        <f t="shared" si="4"/>
        <v>3296.6347596220035</v>
      </c>
      <c r="D28" s="2214">
        <f t="shared" si="4"/>
        <v>3839.264268892</v>
      </c>
      <c r="E28" s="2214">
        <v>22.033414909999987</v>
      </c>
      <c r="F28" s="2214">
        <v>1.3833240400000002</v>
      </c>
      <c r="G28" s="2214">
        <f t="shared" si="5"/>
        <v>3274.6013447120035</v>
      </c>
      <c r="H28" s="2214">
        <f t="shared" si="5"/>
        <v>3837.8809448520001</v>
      </c>
      <c r="I28" s="2311">
        <f t="shared" si="6"/>
        <v>0.17201470983623998</v>
      </c>
    </row>
    <row r="29" spans="2:9">
      <c r="B29" s="2213" t="s">
        <v>883</v>
      </c>
      <c r="C29" s="2214">
        <f t="shared" si="4"/>
        <v>2317.2462311069612</v>
      </c>
      <c r="D29" s="2214">
        <f t="shared" si="4"/>
        <v>2586.4355849898106</v>
      </c>
      <c r="E29" s="2214">
        <v>0.21573248</v>
      </c>
      <c r="F29" s="2214">
        <v>0.66</v>
      </c>
      <c r="G29" s="2214">
        <f t="shared" si="5"/>
        <v>2317.0304986269612</v>
      </c>
      <c r="H29" s="2214">
        <f t="shared" si="5"/>
        <v>2585.7755849898108</v>
      </c>
      <c r="I29" s="2310">
        <f t="shared" si="6"/>
        <v>0.11598685754119512</v>
      </c>
    </row>
    <row r="30" spans="2:9">
      <c r="B30" s="2213" t="s">
        <v>884</v>
      </c>
      <c r="C30" s="2214">
        <f t="shared" si="4"/>
        <v>2130.5776466529974</v>
      </c>
      <c r="D30" s="2214">
        <f t="shared" si="4"/>
        <v>2226.0597109899932</v>
      </c>
      <c r="E30" s="2214">
        <v>0.75107729999999995</v>
      </c>
      <c r="F30" s="2214">
        <v>0.35179388</v>
      </c>
      <c r="G30" s="2214">
        <f t="shared" si="5"/>
        <v>2129.8265693529975</v>
      </c>
      <c r="H30" s="2214">
        <f t="shared" si="5"/>
        <v>2225.7079171099931</v>
      </c>
      <c r="I30" s="2310">
        <f t="shared" si="6"/>
        <v>4.5018382781337282E-2</v>
      </c>
    </row>
    <row r="31" spans="2:9">
      <c r="B31" s="2213" t="s">
        <v>885</v>
      </c>
      <c r="C31" s="2214">
        <f t="shared" si="4"/>
        <v>654.48181721999981</v>
      </c>
      <c r="D31" s="2214">
        <f t="shared" si="4"/>
        <v>722.10049141000002</v>
      </c>
      <c r="E31" s="2214">
        <v>0.69172230999999995</v>
      </c>
      <c r="F31" s="2214">
        <v>0.21460762</v>
      </c>
      <c r="G31" s="2214">
        <f t="shared" si="5"/>
        <v>653.79009490999977</v>
      </c>
      <c r="H31" s="2214">
        <f t="shared" si="5"/>
        <v>721.88588378999998</v>
      </c>
      <c r="I31" s="2310">
        <f t="shared" si="6"/>
        <v>0.10415543063462017</v>
      </c>
    </row>
    <row r="32" spans="2:9" ht="15.6">
      <c r="B32" s="2529" t="s">
        <v>20</v>
      </c>
      <c r="C32" s="2312">
        <f t="shared" ref="C32:H32" si="7">SUM(C22:C31)</f>
        <v>27394.582894924497</v>
      </c>
      <c r="D32" s="2312">
        <f t="shared" si="7"/>
        <v>32301.40135492833</v>
      </c>
      <c r="E32" s="2312">
        <f t="shared" si="7"/>
        <v>88.750371599999994</v>
      </c>
      <c r="F32" s="2312">
        <f t="shared" si="7"/>
        <v>63.559995229999998</v>
      </c>
      <c r="G32" s="2312">
        <f t="shared" si="7"/>
        <v>27305.832523324498</v>
      </c>
      <c r="H32" s="2312">
        <f t="shared" si="7"/>
        <v>32237.84135969833</v>
      </c>
      <c r="I32" s="2310">
        <f t="shared" si="6"/>
        <v>0.18062107544829245</v>
      </c>
    </row>
    <row r="33" spans="2:9" ht="14.4">
      <c r="B33" s="2695"/>
      <c r="C33" s="2696"/>
      <c r="D33" s="2695"/>
    </row>
    <row r="34" spans="2:9" ht="21">
      <c r="B34" s="2212" t="s">
        <v>1053</v>
      </c>
    </row>
    <row r="36" spans="2:9" ht="15.75" customHeight="1">
      <c r="B36" s="3270" t="s">
        <v>933</v>
      </c>
      <c r="C36" s="3271" t="s">
        <v>1040</v>
      </c>
      <c r="D36" s="3272"/>
      <c r="E36" s="3271" t="s">
        <v>1054</v>
      </c>
      <c r="F36" s="3272"/>
      <c r="G36" s="3271" t="s">
        <v>1045</v>
      </c>
      <c r="H36" s="3272"/>
    </row>
    <row r="37" spans="2:9" ht="15.6">
      <c r="B37" s="3270"/>
      <c r="C37" s="2309">
        <f t="shared" ref="C37:H37" si="8">C21</f>
        <v>45139</v>
      </c>
      <c r="D37" s="2309">
        <f t="shared" si="8"/>
        <v>45505</v>
      </c>
      <c r="E37" s="2309">
        <f t="shared" si="8"/>
        <v>45139</v>
      </c>
      <c r="F37" s="2309">
        <f t="shared" si="8"/>
        <v>45505</v>
      </c>
      <c r="G37" s="2309">
        <f t="shared" si="8"/>
        <v>45139</v>
      </c>
      <c r="H37" s="2309">
        <f t="shared" si="8"/>
        <v>45505</v>
      </c>
      <c r="I37" s="77" t="s">
        <v>53</v>
      </c>
    </row>
    <row r="38" spans="2:9">
      <c r="B38" s="2213" t="s">
        <v>6</v>
      </c>
      <c r="C38" s="2214">
        <f>C22</f>
        <v>3960.4160979000003</v>
      </c>
      <c r="D38" s="2214">
        <f>D22</f>
        <v>4177.3173732199994</v>
      </c>
      <c r="E38" s="2214">
        <v>204.5</v>
      </c>
      <c r="F38" s="2214">
        <v>180.25</v>
      </c>
      <c r="G38" s="2214">
        <f>C38-E38</f>
        <v>3755.9160979000003</v>
      </c>
      <c r="H38" s="2214">
        <f>D38-F38</f>
        <v>3997.0673732199994</v>
      </c>
      <c r="I38" s="2310">
        <f>(H38-G38)/G38</f>
        <v>6.4205714141173445E-2</v>
      </c>
    </row>
    <row r="39" spans="2:9">
      <c r="B39" s="2213" t="s">
        <v>7</v>
      </c>
      <c r="C39" s="2214">
        <f t="shared" ref="C39:D47" si="9">C23</f>
        <v>1975.9394760800008</v>
      </c>
      <c r="D39" s="2214">
        <f t="shared" si="9"/>
        <v>2072.6230949199994</v>
      </c>
      <c r="E39" s="2214">
        <v>54.71</v>
      </c>
      <c r="F39" s="2214">
        <v>135.9</v>
      </c>
      <c r="G39" s="2214">
        <f t="shared" ref="G39:H47" si="10">C39-E39</f>
        <v>1921.2294760800007</v>
      </c>
      <c r="H39" s="2214">
        <f t="shared" si="10"/>
        <v>1936.7230949199993</v>
      </c>
      <c r="I39" s="2310">
        <f t="shared" ref="I39:I48" si="11">(H39-G39)/G39</f>
        <v>8.0644290715397235E-3</v>
      </c>
    </row>
    <row r="40" spans="2:9">
      <c r="B40" s="2213" t="s">
        <v>8</v>
      </c>
      <c r="C40" s="2214">
        <f t="shared" si="9"/>
        <v>1643.0790785099998</v>
      </c>
      <c r="D40" s="2214">
        <f t="shared" si="9"/>
        <v>2281.5055263499971</v>
      </c>
      <c r="E40" s="2214">
        <v>111.78341739999992</v>
      </c>
      <c r="F40" s="2214">
        <v>213.8452791200001</v>
      </c>
      <c r="G40" s="2214">
        <f t="shared" si="10"/>
        <v>1531.2956611099999</v>
      </c>
      <c r="H40" s="2214">
        <f t="shared" si="10"/>
        <v>2067.6602472299969</v>
      </c>
      <c r="I40" s="2310">
        <f t="shared" si="11"/>
        <v>0.35026846855374688</v>
      </c>
    </row>
    <row r="41" spans="2:9">
      <c r="B41" s="2213" t="s">
        <v>4</v>
      </c>
      <c r="C41" s="2214">
        <f t="shared" si="9"/>
        <v>2940.5322500099996</v>
      </c>
      <c r="D41" s="2214">
        <f t="shared" si="9"/>
        <v>3708.7905809000008</v>
      </c>
      <c r="E41" s="2214">
        <v>144.83278386999999</v>
      </c>
      <c r="F41" s="2214">
        <v>270.32066818000004</v>
      </c>
      <c r="G41" s="2214">
        <f t="shared" si="10"/>
        <v>2795.6994661399995</v>
      </c>
      <c r="H41" s="2214">
        <f t="shared" si="10"/>
        <v>3438.4699127200006</v>
      </c>
      <c r="I41" s="2310">
        <f t="shared" si="11"/>
        <v>0.2299139998289835</v>
      </c>
    </row>
    <row r="42" spans="2:9">
      <c r="B42" s="2213" t="s">
        <v>3</v>
      </c>
      <c r="C42" s="2214">
        <f t="shared" si="9"/>
        <v>4891.6009613060005</v>
      </c>
      <c r="D42" s="2214">
        <f t="shared" si="9"/>
        <v>6674.2515324899978</v>
      </c>
      <c r="E42" s="2214">
        <v>204.75737226499999</v>
      </c>
      <c r="F42" s="2214">
        <v>461.64428680999998</v>
      </c>
      <c r="G42" s="2214">
        <f t="shared" si="10"/>
        <v>4686.8435890410001</v>
      </c>
      <c r="H42" s="2214">
        <f t="shared" si="10"/>
        <v>6212.6072456799975</v>
      </c>
      <c r="I42" s="2310">
        <f t="shared" si="11"/>
        <v>0.32554183378481211</v>
      </c>
    </row>
    <row r="43" spans="2:9">
      <c r="B43" s="2213" t="s">
        <v>397</v>
      </c>
      <c r="C43" s="2214">
        <f t="shared" si="9"/>
        <v>3584.0745765165325</v>
      </c>
      <c r="D43" s="2214">
        <f t="shared" si="9"/>
        <v>4013.0531907665313</v>
      </c>
      <c r="E43" s="2214">
        <v>93.209000000000003</v>
      </c>
      <c r="F43" s="2214">
        <v>414</v>
      </c>
      <c r="G43" s="2214">
        <f t="shared" si="10"/>
        <v>3490.8655765165327</v>
      </c>
      <c r="H43" s="2214">
        <f t="shared" si="10"/>
        <v>3599.0531907665313</v>
      </c>
      <c r="I43" s="2310">
        <f t="shared" si="11"/>
        <v>3.0991629977902783E-2</v>
      </c>
    </row>
    <row r="44" spans="2:9">
      <c r="B44" s="2213" t="s">
        <v>399</v>
      </c>
      <c r="C44" s="2214">
        <f t="shared" si="9"/>
        <v>3296.6347596220035</v>
      </c>
      <c r="D44" s="2214">
        <f t="shared" si="9"/>
        <v>3839.264268892</v>
      </c>
      <c r="E44" s="2214">
        <v>233.6712233600002</v>
      </c>
      <c r="F44" s="2214">
        <v>338.52366587000199</v>
      </c>
      <c r="G44" s="2214">
        <f t="shared" si="10"/>
        <v>3062.9635362620033</v>
      </c>
      <c r="H44" s="2214">
        <f t="shared" si="10"/>
        <v>3500.7406030219981</v>
      </c>
      <c r="I44" s="2311">
        <f t="shared" si="11"/>
        <v>0.14292598053395425</v>
      </c>
    </row>
    <row r="45" spans="2:9">
      <c r="B45" s="2213" t="s">
        <v>883</v>
      </c>
      <c r="C45" s="2214">
        <f t="shared" si="9"/>
        <v>2317.2462311069612</v>
      </c>
      <c r="D45" s="2214">
        <f t="shared" si="9"/>
        <v>2586.4355849898106</v>
      </c>
      <c r="E45" s="2214">
        <v>206.79815725</v>
      </c>
      <c r="F45" s="2214">
        <v>205.35499999999999</v>
      </c>
      <c r="G45" s="2214">
        <f t="shared" si="10"/>
        <v>2110.4480738569614</v>
      </c>
      <c r="H45" s="2214">
        <f t="shared" si="10"/>
        <v>2381.0805849898106</v>
      </c>
      <c r="I45" s="2310">
        <f t="shared" si="11"/>
        <v>0.12823462206215444</v>
      </c>
    </row>
    <row r="46" spans="2:9">
      <c r="B46" s="2213" t="s">
        <v>884</v>
      </c>
      <c r="C46" s="2214">
        <f t="shared" si="9"/>
        <v>2130.5776466529974</v>
      </c>
      <c r="D46" s="2214">
        <f t="shared" si="9"/>
        <v>2226.0597109899932</v>
      </c>
      <c r="E46" s="2721">
        <v>335.35487689000001</v>
      </c>
      <c r="F46" s="2721">
        <v>297.10023125999999</v>
      </c>
      <c r="G46" s="2214">
        <f t="shared" si="10"/>
        <v>1795.2227697629974</v>
      </c>
      <c r="H46" s="2214">
        <f t="shared" si="10"/>
        <v>1928.9594797299933</v>
      </c>
      <c r="I46" s="2310">
        <f t="shared" si="11"/>
        <v>7.449588553550468E-2</v>
      </c>
    </row>
    <row r="47" spans="2:9">
      <c r="B47" s="2213" t="s">
        <v>885</v>
      </c>
      <c r="C47" s="2214">
        <f t="shared" si="9"/>
        <v>654.48181721999981</v>
      </c>
      <c r="D47" s="2214">
        <f t="shared" si="9"/>
        <v>722.10049141000002</v>
      </c>
      <c r="E47" s="2214">
        <v>28.833031569999999</v>
      </c>
      <c r="F47" s="2214">
        <v>49.977019480000003</v>
      </c>
      <c r="G47" s="2214">
        <f t="shared" si="10"/>
        <v>625.64878564999981</v>
      </c>
      <c r="H47" s="2214">
        <f t="shared" si="10"/>
        <v>672.12347193000005</v>
      </c>
      <c r="I47" s="2310">
        <f t="shared" si="11"/>
        <v>7.4282388691471218E-2</v>
      </c>
    </row>
    <row r="48" spans="2:9" ht="15.6">
      <c r="B48" s="2529" t="s">
        <v>20</v>
      </c>
      <c r="C48" s="2312">
        <f t="shared" ref="C48:H48" si="12">SUM(C38:C47)</f>
        <v>27394.582894924497</v>
      </c>
      <c r="D48" s="2312">
        <f t="shared" si="12"/>
        <v>32301.40135492833</v>
      </c>
      <c r="E48" s="2312">
        <f t="shared" si="12"/>
        <v>1618.4498626049999</v>
      </c>
      <c r="F48" s="2312">
        <f t="shared" si="12"/>
        <v>2566.916150720002</v>
      </c>
      <c r="G48" s="2312">
        <f t="shared" si="12"/>
        <v>25776.133032319492</v>
      </c>
      <c r="H48" s="2312">
        <f t="shared" si="12"/>
        <v>29734.485204208326</v>
      </c>
      <c r="I48" s="2310">
        <f t="shared" si="11"/>
        <v>0.1535665635697038</v>
      </c>
    </row>
    <row r="50" spans="2:9" ht="21">
      <c r="B50" s="2212" t="s">
        <v>1042</v>
      </c>
    </row>
    <row r="52" spans="2:9" ht="15.75" customHeight="1">
      <c r="B52" s="3270" t="s">
        <v>933</v>
      </c>
      <c r="C52" s="3271" t="s">
        <v>1040</v>
      </c>
      <c r="D52" s="3272"/>
      <c r="E52" s="3271" t="s">
        <v>1044</v>
      </c>
      <c r="F52" s="3272"/>
      <c r="G52" s="3271" t="s">
        <v>1046</v>
      </c>
      <c r="H52" s="3272"/>
    </row>
    <row r="53" spans="2:9" ht="15.6">
      <c r="B53" s="3270"/>
      <c r="C53" s="2309">
        <f t="shared" ref="C53:H53" si="13">C37</f>
        <v>45139</v>
      </c>
      <c r="D53" s="2309">
        <f t="shared" si="13"/>
        <v>45505</v>
      </c>
      <c r="E53" s="2309">
        <f t="shared" si="13"/>
        <v>45139</v>
      </c>
      <c r="F53" s="2309">
        <f t="shared" si="13"/>
        <v>45505</v>
      </c>
      <c r="G53" s="2309">
        <f t="shared" si="13"/>
        <v>45139</v>
      </c>
      <c r="H53" s="2309">
        <f t="shared" si="13"/>
        <v>45505</v>
      </c>
      <c r="I53" s="77" t="s">
        <v>53</v>
      </c>
    </row>
    <row r="54" spans="2:9">
      <c r="B54" s="2213" t="s">
        <v>6</v>
      </c>
      <c r="C54" s="2214">
        <f>C38</f>
        <v>3960.4160979000003</v>
      </c>
      <c r="D54" s="2214">
        <f>D38</f>
        <v>4177.3173732199994</v>
      </c>
      <c r="E54" s="2214">
        <f>E6+E22+E38</f>
        <v>663.76300000000003</v>
      </c>
      <c r="F54" s="2214">
        <f>F6+F22+F38</f>
        <v>1006.845</v>
      </c>
      <c r="G54" s="2214">
        <f>C54-E54</f>
        <v>3296.6530979000004</v>
      </c>
      <c r="H54" s="2214">
        <f>D54-F54</f>
        <v>3170.4723732199991</v>
      </c>
      <c r="I54" s="2310">
        <f>(H54-G54)/G54</f>
        <v>-3.8275402638020851E-2</v>
      </c>
    </row>
    <row r="55" spans="2:9">
      <c r="B55" s="2213" t="s">
        <v>7</v>
      </c>
      <c r="C55" s="2214">
        <f t="shared" ref="C55:D63" si="14">C39</f>
        <v>1975.9394760800008</v>
      </c>
      <c r="D55" s="2214">
        <f t="shared" si="14"/>
        <v>2072.6230949199994</v>
      </c>
      <c r="E55" s="2214">
        <f t="shared" ref="E55:F63" si="15">E7+E23+E39</f>
        <v>211.60000000000002</v>
      </c>
      <c r="F55" s="2214">
        <f t="shared" si="15"/>
        <v>549.54999999999995</v>
      </c>
      <c r="G55" s="2214">
        <f t="shared" ref="G55:H63" si="16">C55-E55</f>
        <v>1764.3394760800006</v>
      </c>
      <c r="H55" s="2214">
        <f t="shared" si="16"/>
        <v>1523.0730949199994</v>
      </c>
      <c r="I55" s="2311">
        <f t="shared" ref="I55:I64" si="17">(H55-G55)/G55</f>
        <v>-0.13674600859469824</v>
      </c>
    </row>
    <row r="56" spans="2:9">
      <c r="B56" s="2213" t="s">
        <v>8</v>
      </c>
      <c r="C56" s="2214">
        <f t="shared" si="14"/>
        <v>1643.0790785099998</v>
      </c>
      <c r="D56" s="2214">
        <f t="shared" si="14"/>
        <v>2281.5055263499971</v>
      </c>
      <c r="E56" s="2214">
        <f t="shared" si="15"/>
        <v>269.19966294999995</v>
      </c>
      <c r="F56" s="2214">
        <f t="shared" si="15"/>
        <v>642.42703956999992</v>
      </c>
      <c r="G56" s="2214">
        <f t="shared" si="16"/>
        <v>1373.8794155599999</v>
      </c>
      <c r="H56" s="2214">
        <f t="shared" si="16"/>
        <v>1639.0784867799971</v>
      </c>
      <c r="I56" s="2313">
        <f t="shared" si="17"/>
        <v>0.19302936503484974</v>
      </c>
    </row>
    <row r="57" spans="2:9">
      <c r="B57" s="2213" t="s">
        <v>4</v>
      </c>
      <c r="C57" s="2214">
        <f t="shared" si="14"/>
        <v>2940.5322500099996</v>
      </c>
      <c r="D57" s="2214">
        <f t="shared" si="14"/>
        <v>3708.7905809000008</v>
      </c>
      <c r="E57" s="2214">
        <f t="shared" si="15"/>
        <v>580.04022429999998</v>
      </c>
      <c r="F57" s="2214">
        <f t="shared" si="15"/>
        <v>1421.2667612199998</v>
      </c>
      <c r="G57" s="2214">
        <f t="shared" si="16"/>
        <v>2360.4920257099998</v>
      </c>
      <c r="H57" s="2214">
        <f t="shared" si="16"/>
        <v>2287.523819680001</v>
      </c>
      <c r="I57" s="2310">
        <f t="shared" si="17"/>
        <v>-3.0912286606031243E-2</v>
      </c>
    </row>
    <row r="58" spans="2:9">
      <c r="B58" s="2213" t="s">
        <v>3</v>
      </c>
      <c r="C58" s="2214">
        <f t="shared" si="14"/>
        <v>4891.6009613060005</v>
      </c>
      <c r="D58" s="2214">
        <f t="shared" si="14"/>
        <v>6674.2515324899978</v>
      </c>
      <c r="E58" s="2214">
        <f t="shared" si="15"/>
        <v>396.03505863499998</v>
      </c>
      <c r="F58" s="2214">
        <f t="shared" si="15"/>
        <v>890.90715956999998</v>
      </c>
      <c r="G58" s="2214">
        <f t="shared" si="16"/>
        <v>4495.5659026710009</v>
      </c>
      <c r="H58" s="2214">
        <f t="shared" si="16"/>
        <v>5783.344372919998</v>
      </c>
      <c r="I58" s="2310">
        <f t="shared" si="17"/>
        <v>0.28645525349408735</v>
      </c>
    </row>
    <row r="59" spans="2:9">
      <c r="B59" s="2213" t="s">
        <v>397</v>
      </c>
      <c r="C59" s="2214">
        <f t="shared" si="14"/>
        <v>3584.0745765165325</v>
      </c>
      <c r="D59" s="2214">
        <f t="shared" si="14"/>
        <v>4013.0531907665313</v>
      </c>
      <c r="E59" s="2214">
        <f t="shared" si="15"/>
        <v>93.209000000000003</v>
      </c>
      <c r="F59" s="2214">
        <f t="shared" si="15"/>
        <v>414</v>
      </c>
      <c r="G59" s="2214">
        <f t="shared" si="16"/>
        <v>3490.8655765165327</v>
      </c>
      <c r="H59" s="2214">
        <f t="shared" si="16"/>
        <v>3599.0531907665313</v>
      </c>
      <c r="I59" s="2310">
        <f t="shared" si="17"/>
        <v>3.0991629977902783E-2</v>
      </c>
    </row>
    <row r="60" spans="2:9">
      <c r="B60" s="2213" t="s">
        <v>399</v>
      </c>
      <c r="C60" s="2214">
        <f t="shared" si="14"/>
        <v>3296.6347596220035</v>
      </c>
      <c r="D60" s="2214">
        <f t="shared" si="14"/>
        <v>3839.264268892</v>
      </c>
      <c r="E60" s="2214">
        <f t="shared" si="15"/>
        <v>466.52430435000002</v>
      </c>
      <c r="F60" s="2214">
        <f t="shared" si="15"/>
        <v>887.98196238000207</v>
      </c>
      <c r="G60" s="2214">
        <f t="shared" si="16"/>
        <v>2830.1104552720035</v>
      </c>
      <c r="H60" s="2214">
        <f t="shared" si="16"/>
        <v>2951.2823065119978</v>
      </c>
      <c r="I60" s="2311">
        <f t="shared" si="17"/>
        <v>4.2815237481022075E-2</v>
      </c>
    </row>
    <row r="61" spans="2:9">
      <c r="B61" s="2213" t="s">
        <v>883</v>
      </c>
      <c r="C61" s="2214">
        <f t="shared" si="14"/>
        <v>2317.2462311069612</v>
      </c>
      <c r="D61" s="2214">
        <f t="shared" si="14"/>
        <v>2586.4355849898106</v>
      </c>
      <c r="E61" s="2214">
        <f t="shared" si="15"/>
        <v>434.17929900000001</v>
      </c>
      <c r="F61" s="2214">
        <f t="shared" si="15"/>
        <v>731.81499999999994</v>
      </c>
      <c r="G61" s="2214">
        <f t="shared" si="16"/>
        <v>1883.0669321069613</v>
      </c>
      <c r="H61" s="2214">
        <f t="shared" si="16"/>
        <v>1854.6205849898106</v>
      </c>
      <c r="I61" s="2310">
        <f t="shared" si="17"/>
        <v>-1.5106391935480554E-2</v>
      </c>
    </row>
    <row r="62" spans="2:9">
      <c r="B62" s="2213" t="s">
        <v>884</v>
      </c>
      <c r="C62" s="2214">
        <f t="shared" si="14"/>
        <v>2130.5776466529974</v>
      </c>
      <c r="D62" s="2214">
        <f t="shared" si="14"/>
        <v>2226.0597109899932</v>
      </c>
      <c r="E62" s="2214">
        <f t="shared" si="15"/>
        <v>548.00970820999999</v>
      </c>
      <c r="F62" s="2214">
        <f t="shared" si="15"/>
        <v>810.53669461999993</v>
      </c>
      <c r="G62" s="2214">
        <f t="shared" si="16"/>
        <v>1582.5679384429973</v>
      </c>
      <c r="H62" s="2214">
        <f t="shared" si="16"/>
        <v>1415.5230163699932</v>
      </c>
      <c r="I62" s="2310">
        <f t="shared" si="17"/>
        <v>-0.10555308117599708</v>
      </c>
    </row>
    <row r="63" spans="2:9">
      <c r="B63" s="2213" t="s">
        <v>885</v>
      </c>
      <c r="C63" s="2214">
        <f t="shared" si="14"/>
        <v>654.48181721999981</v>
      </c>
      <c r="D63" s="2214">
        <f t="shared" si="14"/>
        <v>722.10049141000002</v>
      </c>
      <c r="E63" s="2214">
        <f t="shared" si="15"/>
        <v>143.44247469000001</v>
      </c>
      <c r="F63" s="2214">
        <f t="shared" si="15"/>
        <v>288.14060964999999</v>
      </c>
      <c r="G63" s="2214">
        <f t="shared" si="16"/>
        <v>511.03934252999977</v>
      </c>
      <c r="H63" s="2214">
        <f t="shared" si="16"/>
        <v>433.95988176000003</v>
      </c>
      <c r="I63" s="2310">
        <f t="shared" si="17"/>
        <v>-0.15082881953550359</v>
      </c>
    </row>
    <row r="64" spans="2:9" ht="15.6">
      <c r="B64" s="2529" t="s">
        <v>20</v>
      </c>
      <c r="C64" s="2312">
        <f t="shared" ref="C64:H64" si="18">SUM(C54:C63)</f>
        <v>27394.582894924497</v>
      </c>
      <c r="D64" s="2312">
        <f t="shared" si="18"/>
        <v>32301.40135492833</v>
      </c>
      <c r="E64" s="2312">
        <f t="shared" si="18"/>
        <v>3806.0027321349999</v>
      </c>
      <c r="F64" s="2312">
        <f t="shared" si="18"/>
        <v>7643.4702270100024</v>
      </c>
      <c r="G64" s="2312">
        <f t="shared" si="18"/>
        <v>23588.580162789494</v>
      </c>
      <c r="H64" s="2312">
        <f t="shared" si="18"/>
        <v>24657.931127918331</v>
      </c>
      <c r="I64" s="2314">
        <f t="shared" si="17"/>
        <v>4.5333418024698077E-2</v>
      </c>
    </row>
    <row r="67" spans="2:9" ht="21">
      <c r="B67" s="2212" t="s">
        <v>1055</v>
      </c>
    </row>
    <row r="69" spans="2:9" ht="15.75" customHeight="1">
      <c r="B69" s="3270" t="s">
        <v>933</v>
      </c>
      <c r="C69" s="3271" t="s">
        <v>1040</v>
      </c>
      <c r="D69" s="3272"/>
      <c r="E69" s="3271" t="s">
        <v>1056</v>
      </c>
      <c r="F69" s="3272"/>
      <c r="G69" s="3271" t="str">
        <f>B67</f>
        <v>Sans eaux</v>
      </c>
      <c r="H69" s="3272"/>
    </row>
    <row r="70" spans="2:9" ht="15.6">
      <c r="B70" s="3270"/>
      <c r="C70" s="2309">
        <f t="shared" ref="C70:H70" si="19">C53</f>
        <v>45139</v>
      </c>
      <c r="D70" s="2309">
        <f t="shared" si="19"/>
        <v>45505</v>
      </c>
      <c r="E70" s="2309">
        <f t="shared" si="19"/>
        <v>45139</v>
      </c>
      <c r="F70" s="2309">
        <f t="shared" si="19"/>
        <v>45505</v>
      </c>
      <c r="G70" s="2309">
        <f t="shared" si="19"/>
        <v>45139</v>
      </c>
      <c r="H70" s="2309">
        <f t="shared" si="19"/>
        <v>45505</v>
      </c>
      <c r="I70" s="77" t="s">
        <v>53</v>
      </c>
    </row>
    <row r="71" spans="2:9">
      <c r="B71" s="2213" t="s">
        <v>6</v>
      </c>
      <c r="C71" s="2214">
        <f>C54</f>
        <v>3960.4160979000003</v>
      </c>
      <c r="D71" s="2214">
        <f>D54</f>
        <v>4177.3173732199994</v>
      </c>
      <c r="E71" s="2214">
        <f>P87</f>
        <v>500.99364022000003</v>
      </c>
      <c r="F71" s="2214">
        <f>V87</f>
        <v>969.34811262000005</v>
      </c>
      <c r="G71" s="2214">
        <f>C71-E71</f>
        <v>3459.4224576800002</v>
      </c>
      <c r="H71" s="2214">
        <f>D71-F71</f>
        <v>3207.9692605999994</v>
      </c>
      <c r="I71" s="2310">
        <f>(H71-G71)/G71</f>
        <v>-7.2686467222807291E-2</v>
      </c>
    </row>
    <row r="72" spans="2:9">
      <c r="B72" s="2213" t="s">
        <v>7</v>
      </c>
      <c r="C72" s="2214">
        <f t="shared" ref="C72:D80" si="20">C55</f>
        <v>1975.9394760800008</v>
      </c>
      <c r="D72" s="2214">
        <f t="shared" si="20"/>
        <v>2072.6230949199994</v>
      </c>
      <c r="E72" s="2214">
        <f t="shared" ref="E72:E80" si="21">P88</f>
        <v>692.81184729999995</v>
      </c>
      <c r="F72" s="2214">
        <f t="shared" ref="F72:F80" si="22">V88</f>
        <v>741.23084730000005</v>
      </c>
      <c r="G72" s="2214">
        <f t="shared" ref="G72:H80" si="23">C72-E72</f>
        <v>1283.1276287800008</v>
      </c>
      <c r="H72" s="2214">
        <f t="shared" si="23"/>
        <v>1331.3922476199994</v>
      </c>
      <c r="I72" s="2311">
        <f t="shared" ref="I72:I81" si="24">(H72-G72)/G72</f>
        <v>3.7614823153553793E-2</v>
      </c>
    </row>
    <row r="73" spans="2:9">
      <c r="B73" s="2213" t="s">
        <v>8</v>
      </c>
      <c r="C73" s="2214">
        <f t="shared" si="20"/>
        <v>1643.0790785099998</v>
      </c>
      <c r="D73" s="2214">
        <f t="shared" si="20"/>
        <v>2281.5055263499971</v>
      </c>
      <c r="E73" s="2214">
        <f t="shared" si="21"/>
        <v>350.15053227999999</v>
      </c>
      <c r="F73" s="2214">
        <f t="shared" si="22"/>
        <v>554.31785079999997</v>
      </c>
      <c r="G73" s="2214">
        <f t="shared" si="23"/>
        <v>1292.9285462299999</v>
      </c>
      <c r="H73" s="2214">
        <f t="shared" si="23"/>
        <v>1727.187675549997</v>
      </c>
      <c r="I73" s="2313">
        <f t="shared" si="24"/>
        <v>0.3358724893082734</v>
      </c>
    </row>
    <row r="74" spans="2:9">
      <c r="B74" s="2213" t="s">
        <v>4</v>
      </c>
      <c r="C74" s="2214">
        <f t="shared" si="20"/>
        <v>2940.5322500099996</v>
      </c>
      <c r="D74" s="2214">
        <f t="shared" si="20"/>
        <v>3708.7905809000008</v>
      </c>
      <c r="E74" s="2214">
        <f t="shared" si="21"/>
        <v>493.51850258999997</v>
      </c>
      <c r="F74" s="2214">
        <f t="shared" si="22"/>
        <v>1273.84614794</v>
      </c>
      <c r="G74" s="2214">
        <f t="shared" si="23"/>
        <v>2447.0137474199996</v>
      </c>
      <c r="H74" s="2214">
        <f t="shared" si="23"/>
        <v>2434.944432960001</v>
      </c>
      <c r="I74" s="2310">
        <f t="shared" si="24"/>
        <v>-4.9322626293881108E-3</v>
      </c>
    </row>
    <row r="75" spans="2:9">
      <c r="B75" s="2213" t="s">
        <v>3</v>
      </c>
      <c r="C75" s="2214">
        <f t="shared" si="20"/>
        <v>4891.6009613060005</v>
      </c>
      <c r="D75" s="2214">
        <f t="shared" si="20"/>
        <v>6674.2515324899978</v>
      </c>
      <c r="E75" s="2214">
        <f t="shared" si="21"/>
        <v>189.64558241</v>
      </c>
      <c r="F75" s="2214">
        <f t="shared" si="22"/>
        <v>422.33678666999998</v>
      </c>
      <c r="G75" s="2214">
        <f t="shared" si="23"/>
        <v>4701.9553788960002</v>
      </c>
      <c r="H75" s="2214">
        <f t="shared" si="23"/>
        <v>6251.9147458199977</v>
      </c>
      <c r="I75" s="2310">
        <f t="shared" si="24"/>
        <v>0.32964144531884554</v>
      </c>
    </row>
    <row r="76" spans="2:9">
      <c r="B76" s="2213" t="s">
        <v>397</v>
      </c>
      <c r="C76" s="2214">
        <f t="shared" si="20"/>
        <v>3584.0745765165325</v>
      </c>
      <c r="D76" s="2214">
        <f t="shared" si="20"/>
        <v>4013.0531907665313</v>
      </c>
      <c r="E76" s="2214">
        <f t="shared" si="21"/>
        <v>353.83796852999996</v>
      </c>
      <c r="F76" s="2214">
        <f t="shared" si="22"/>
        <v>423.48061811999997</v>
      </c>
      <c r="G76" s="2214">
        <f t="shared" si="23"/>
        <v>3230.2366079865324</v>
      </c>
      <c r="H76" s="2214">
        <f t="shared" si="23"/>
        <v>3589.5725726465312</v>
      </c>
      <c r="I76" s="2310">
        <f t="shared" si="24"/>
        <v>0.11124137587059907</v>
      </c>
    </row>
    <row r="77" spans="2:9">
      <c r="B77" s="2213" t="s">
        <v>399</v>
      </c>
      <c r="C77" s="2214">
        <f t="shared" si="20"/>
        <v>3296.6347596220035</v>
      </c>
      <c r="D77" s="2214">
        <f t="shared" si="20"/>
        <v>3839.264268892</v>
      </c>
      <c r="E77" s="2214">
        <f t="shared" si="21"/>
        <v>336.85200125000023</v>
      </c>
      <c r="F77" s="2214">
        <f t="shared" si="22"/>
        <v>681.89689911000096</v>
      </c>
      <c r="G77" s="2214">
        <f t="shared" si="23"/>
        <v>2959.7827583720032</v>
      </c>
      <c r="H77" s="2214">
        <f t="shared" si="23"/>
        <v>3157.3673697819991</v>
      </c>
      <c r="I77" s="2311">
        <f t="shared" si="24"/>
        <v>6.6756457328197696E-2</v>
      </c>
    </row>
    <row r="78" spans="2:9">
      <c r="B78" s="2213" t="s">
        <v>883</v>
      </c>
      <c r="C78" s="2214">
        <f t="shared" si="20"/>
        <v>2317.2462311069612</v>
      </c>
      <c r="D78" s="2214">
        <f t="shared" si="20"/>
        <v>2586.4355849898106</v>
      </c>
      <c r="E78" s="2214">
        <f t="shared" si="21"/>
        <v>273.01435662999995</v>
      </c>
      <c r="F78" s="2214">
        <f t="shared" si="22"/>
        <v>570.03159070000004</v>
      </c>
      <c r="G78" s="2214">
        <f t="shared" si="23"/>
        <v>2044.2318744769614</v>
      </c>
      <c r="H78" s="2214">
        <f t="shared" si="23"/>
        <v>2016.4039942898107</v>
      </c>
      <c r="I78" s="2310">
        <f t="shared" si="24"/>
        <v>-1.3612878526449306E-2</v>
      </c>
    </row>
    <row r="79" spans="2:9">
      <c r="B79" s="2213" t="s">
        <v>884</v>
      </c>
      <c r="C79" s="2214">
        <f t="shared" si="20"/>
        <v>2130.5776466529974</v>
      </c>
      <c r="D79" s="2214">
        <f t="shared" si="20"/>
        <v>2226.0597109899932</v>
      </c>
      <c r="E79" s="2214">
        <f t="shared" si="21"/>
        <v>272.68659721999791</v>
      </c>
      <c r="F79" s="2214">
        <f t="shared" si="22"/>
        <v>568.61388793999799</v>
      </c>
      <c r="G79" s="2214">
        <f t="shared" si="23"/>
        <v>1857.8910494329994</v>
      </c>
      <c r="H79" s="2214">
        <f t="shared" si="23"/>
        <v>1657.4458230499952</v>
      </c>
      <c r="I79" s="2310">
        <f t="shared" si="24"/>
        <v>-0.10788857960437297</v>
      </c>
    </row>
    <row r="80" spans="2:9">
      <c r="B80" s="2213" t="s">
        <v>885</v>
      </c>
      <c r="C80" s="2214">
        <f t="shared" si="20"/>
        <v>654.48181721999981</v>
      </c>
      <c r="D80" s="2214">
        <f t="shared" si="20"/>
        <v>722.10049141000002</v>
      </c>
      <c r="E80" s="2214">
        <f t="shared" si="21"/>
        <v>126.38680534999999</v>
      </c>
      <c r="F80" s="2214">
        <f t="shared" si="22"/>
        <v>251.79917954000001</v>
      </c>
      <c r="G80" s="2214">
        <f t="shared" si="23"/>
        <v>528.09501186999978</v>
      </c>
      <c r="H80" s="2214">
        <f t="shared" si="23"/>
        <v>470.30131187000001</v>
      </c>
      <c r="I80" s="2310">
        <f t="shared" si="24"/>
        <v>-0.10943807212901066</v>
      </c>
    </row>
    <row r="81" spans="2:23" ht="15.6">
      <c r="B81" s="2529" t="s">
        <v>20</v>
      </c>
      <c r="C81" s="2312">
        <f t="shared" ref="C81:H81" si="25">SUM(C71:C80)</f>
        <v>27394.582894924497</v>
      </c>
      <c r="D81" s="2312">
        <f t="shared" si="25"/>
        <v>32301.40135492833</v>
      </c>
      <c r="E81" s="2728">
        <f t="shared" si="25"/>
        <v>3589.8978337799981</v>
      </c>
      <c r="F81" s="2728">
        <f t="shared" si="25"/>
        <v>6456.9019207399997</v>
      </c>
      <c r="G81" s="2312">
        <f t="shared" si="25"/>
        <v>23804.685061144497</v>
      </c>
      <c r="H81" s="2312">
        <f t="shared" si="25"/>
        <v>25844.499434188332</v>
      </c>
      <c r="I81" s="2314">
        <f t="shared" si="24"/>
        <v>8.5689618148880625E-2</v>
      </c>
    </row>
    <row r="83" spans="2:23" ht="21">
      <c r="B83" s="2212" t="s">
        <v>1057</v>
      </c>
    </row>
    <row r="85" spans="2:23" ht="15.75" customHeight="1">
      <c r="B85" s="3270" t="s">
        <v>933</v>
      </c>
      <c r="C85" s="3271" t="s">
        <v>1040</v>
      </c>
      <c r="D85" s="3272"/>
      <c r="E85" s="3271" t="s">
        <v>1108</v>
      </c>
      <c r="F85" s="3272"/>
      <c r="G85" s="3271" t="str">
        <f>B83</f>
        <v>Sans eaux  APC  &amp; SNTF</v>
      </c>
      <c r="H85" s="3272"/>
      <c r="K85" s="3275" t="s">
        <v>1058</v>
      </c>
      <c r="L85" s="3276"/>
      <c r="M85" s="3276"/>
      <c r="N85" s="3276"/>
      <c r="O85" s="3276"/>
      <c r="P85" s="3277"/>
      <c r="Q85" s="3275" t="s">
        <v>1170</v>
      </c>
      <c r="R85" s="3276"/>
      <c r="S85" s="3276"/>
      <c r="T85" s="3276"/>
      <c r="U85" s="3276"/>
      <c r="V85" s="3277"/>
    </row>
    <row r="86" spans="2:23" ht="15.6">
      <c r="B86" s="3270"/>
      <c r="C86" s="2309">
        <f t="shared" ref="C86:H86" si="26">C70</f>
        <v>45139</v>
      </c>
      <c r="D86" s="2309">
        <f t="shared" si="26"/>
        <v>45505</v>
      </c>
      <c r="E86" s="2309">
        <f t="shared" si="26"/>
        <v>45139</v>
      </c>
      <c r="F86" s="2309">
        <f t="shared" si="26"/>
        <v>45505</v>
      </c>
      <c r="G86" s="2309">
        <f t="shared" si="26"/>
        <v>45139</v>
      </c>
      <c r="H86" s="2309">
        <f t="shared" si="26"/>
        <v>45505</v>
      </c>
      <c r="I86" s="77" t="s">
        <v>53</v>
      </c>
      <c r="K86" s="2215" t="s">
        <v>931</v>
      </c>
      <c r="L86" s="2215" t="s">
        <v>792</v>
      </c>
      <c r="M86" s="2215" t="s">
        <v>932</v>
      </c>
      <c r="N86" s="1989" t="s">
        <v>185</v>
      </c>
      <c r="O86" s="1989" t="s">
        <v>18</v>
      </c>
      <c r="P86" s="2215" t="s">
        <v>1059</v>
      </c>
      <c r="Q86" s="2215" t="s">
        <v>931</v>
      </c>
      <c r="R86" s="2215" t="s">
        <v>792</v>
      </c>
      <c r="S86" s="2215" t="s">
        <v>932</v>
      </c>
      <c r="T86" s="1989" t="s">
        <v>185</v>
      </c>
      <c r="U86" s="1989" t="s">
        <v>18</v>
      </c>
      <c r="V86" s="2215" t="s">
        <v>1059</v>
      </c>
      <c r="W86" s="1416"/>
    </row>
    <row r="87" spans="2:23" ht="14.4">
      <c r="B87" s="2213" t="s">
        <v>6</v>
      </c>
      <c r="C87" s="2214">
        <f>C71</f>
        <v>3960.4160979000003</v>
      </c>
      <c r="D87" s="2214">
        <f>D71</f>
        <v>4177.3173732199994</v>
      </c>
      <c r="E87" s="2214">
        <f>E38+E22+P87</f>
        <v>745.96364022</v>
      </c>
      <c r="F87" s="2214">
        <f>V87+F38+F22</f>
        <v>1191.6661126199999</v>
      </c>
      <c r="G87" s="2214">
        <f>C87-E87</f>
        <v>3214.4524576800004</v>
      </c>
      <c r="H87" s="2214">
        <f>D87-F87</f>
        <v>2985.6512605999997</v>
      </c>
      <c r="I87" s="2310">
        <f>(H87-G87)/G87</f>
        <v>-7.1178902190121601E-2</v>
      </c>
      <c r="K87" s="1992">
        <f>'calcul-DCC-TX-Encais'!P20</f>
        <v>394.85430133</v>
      </c>
      <c r="L87" s="1992">
        <f>'calcul-DCC-TX-Encais'!Q20</f>
        <v>77.441922049999988</v>
      </c>
      <c r="M87" s="1992">
        <f>'calcul-DCC-TX-Encais'!R20</f>
        <v>13.186006839999999</v>
      </c>
      <c r="N87" s="1992">
        <f>'calcul-DCC-TX-Encais'!S20</f>
        <v>0</v>
      </c>
      <c r="O87" s="1992">
        <f>'calcul-DCC-TX-Encais'!T20</f>
        <v>15.51141</v>
      </c>
      <c r="P87" s="1992">
        <f>SUM(K87:O87)</f>
        <v>500.99364022000003</v>
      </c>
      <c r="Q87" s="1992">
        <f>'calcul-DCC-TX-Encais'!BB20</f>
        <v>892.60079000000007</v>
      </c>
      <c r="R87" s="1992">
        <f>'calcul-DCC-TX-Encais'!BC20</f>
        <v>29.963873100000001</v>
      </c>
      <c r="S87" s="1992">
        <f>'calcul-DCC-TX-Encais'!BD20</f>
        <v>6.25495</v>
      </c>
      <c r="T87" s="1992">
        <f>'calcul-DCC-TX-Encais'!BE20</f>
        <v>0</v>
      </c>
      <c r="U87" s="1992">
        <f>'calcul-DCC-TX-Encais'!BF20</f>
        <v>40.528499520000004</v>
      </c>
      <c r="V87" s="1992">
        <f>SUM(Q87:U87)</f>
        <v>969.34811262000005</v>
      </c>
      <c r="W87" s="1416" t="s">
        <v>1060</v>
      </c>
    </row>
    <row r="88" spans="2:23" ht="14.4">
      <c r="B88" s="2213" t="s">
        <v>7</v>
      </c>
      <c r="C88" s="2214">
        <f t="shared" ref="C88:D96" si="27">C72</f>
        <v>1975.9394760800008</v>
      </c>
      <c r="D88" s="2214">
        <f t="shared" si="27"/>
        <v>2072.6230949199994</v>
      </c>
      <c r="E88" s="2214">
        <f t="shared" ref="E88:E96" si="28">E39+E23+P88</f>
        <v>758.7618473</v>
      </c>
      <c r="F88" s="2214">
        <f t="shared" ref="F88:F96" si="29">V88+F39+F23</f>
        <v>878.9108473</v>
      </c>
      <c r="G88" s="2214">
        <f t="shared" ref="G88:H96" si="30">C88-E88</f>
        <v>1217.1776287800008</v>
      </c>
      <c r="H88" s="2214">
        <f t="shared" si="30"/>
        <v>1193.7122476199993</v>
      </c>
      <c r="I88" s="2311">
        <f t="shared" ref="I88:I97" si="31">(H88-G88)/G88</f>
        <v>-1.9278518274708389E-2</v>
      </c>
      <c r="K88" s="1992">
        <f>'calcul-DCC-TX-Encais'!P21</f>
        <v>301.45400000000001</v>
      </c>
      <c r="L88" s="1992">
        <f>'calcul-DCC-TX-Encais'!Q21</f>
        <v>391.3578473</v>
      </c>
      <c r="M88" s="1992">
        <f>'calcul-DCC-TX-Encais'!R21</f>
        <v>0</v>
      </c>
      <c r="N88" s="1992">
        <f>'calcul-DCC-TX-Encais'!S21</f>
        <v>0</v>
      </c>
      <c r="O88" s="1992">
        <f>'calcul-DCC-TX-Encais'!T21</f>
        <v>0</v>
      </c>
      <c r="P88" s="1992">
        <f t="shared" ref="P88:P97" si="32">SUM(K88:O88)</f>
        <v>692.81184729999995</v>
      </c>
      <c r="Q88" s="1992">
        <f>'calcul-DCC-TX-Encais'!BB21</f>
        <v>496.178</v>
      </c>
      <c r="R88" s="1992">
        <f>'calcul-DCC-TX-Encais'!BC21</f>
        <v>245.05284730000002</v>
      </c>
      <c r="S88" s="1992">
        <f>'calcul-DCC-TX-Encais'!BD21</f>
        <v>0</v>
      </c>
      <c r="T88" s="1992">
        <f>'calcul-DCC-TX-Encais'!BE21</f>
        <v>0</v>
      </c>
      <c r="U88" s="1992">
        <f>'calcul-DCC-TX-Encais'!BF21</f>
        <v>0</v>
      </c>
      <c r="V88" s="1992">
        <f t="shared" ref="V88:V96" si="33">SUM(Q88:U88)</f>
        <v>741.23084730000005</v>
      </c>
      <c r="W88" s="1416" t="s">
        <v>1061</v>
      </c>
    </row>
    <row r="89" spans="2:23" ht="14.4">
      <c r="B89" s="2213" t="s">
        <v>8</v>
      </c>
      <c r="C89" s="2214">
        <f t="shared" si="27"/>
        <v>1643.0790785099998</v>
      </c>
      <c r="D89" s="2214">
        <f t="shared" si="27"/>
        <v>2281.5055263499971</v>
      </c>
      <c r="E89" s="2214">
        <f t="shared" si="28"/>
        <v>468.03827872999989</v>
      </c>
      <c r="F89" s="2214">
        <f t="shared" si="29"/>
        <v>776.43308353000009</v>
      </c>
      <c r="G89" s="2214">
        <f t="shared" si="30"/>
        <v>1175.0407997799998</v>
      </c>
      <c r="H89" s="2214">
        <f t="shared" si="30"/>
        <v>1505.0724428199969</v>
      </c>
      <c r="I89" s="2313">
        <f t="shared" si="31"/>
        <v>0.28086824142769184</v>
      </c>
      <c r="K89" s="1992">
        <f>'calcul-DCC-TX-Encais'!P22</f>
        <v>279.71394530000003</v>
      </c>
      <c r="L89" s="1992">
        <f>'calcul-DCC-TX-Encais'!Q22</f>
        <v>0</v>
      </c>
      <c r="M89" s="1992">
        <f>'calcul-DCC-TX-Encais'!R22</f>
        <v>61.71368697999997</v>
      </c>
      <c r="N89" s="1992">
        <f>'calcul-DCC-TX-Encais'!S22</f>
        <v>8.7228999999999992</v>
      </c>
      <c r="O89" s="1992">
        <f>'calcul-DCC-TX-Encais'!T22</f>
        <v>0</v>
      </c>
      <c r="P89" s="1992">
        <f t="shared" si="32"/>
        <v>350.15053227999999</v>
      </c>
      <c r="Q89" s="1992">
        <f>'calcul-DCC-TX-Encais'!BB22</f>
        <v>473.55112733999999</v>
      </c>
      <c r="R89" s="1992">
        <f>'calcul-DCC-TX-Encais'!BC22</f>
        <v>0</v>
      </c>
      <c r="S89" s="1992">
        <f>'calcul-DCC-TX-Encais'!BD22</f>
        <v>71.822556330000012</v>
      </c>
      <c r="T89" s="1992">
        <f>'calcul-DCC-TX-Encais'!BE22</f>
        <v>8.9441671300000003</v>
      </c>
      <c r="U89" s="1992">
        <f>'calcul-DCC-TX-Encais'!BF22</f>
        <v>0</v>
      </c>
      <c r="V89" s="1992">
        <f t="shared" si="33"/>
        <v>554.31785079999997</v>
      </c>
      <c r="W89" s="1416" t="s">
        <v>1062</v>
      </c>
    </row>
    <row r="90" spans="2:23" ht="14.4">
      <c r="B90" s="2213" t="s">
        <v>4</v>
      </c>
      <c r="C90" s="2214">
        <f t="shared" si="27"/>
        <v>2940.5322500099996</v>
      </c>
      <c r="D90" s="2214">
        <f t="shared" si="27"/>
        <v>3708.7905809000008</v>
      </c>
      <c r="E90" s="2214">
        <f t="shared" si="28"/>
        <v>641.30451515999994</v>
      </c>
      <c r="F90" s="2214">
        <f t="shared" si="29"/>
        <v>1544.99442469</v>
      </c>
      <c r="G90" s="2214">
        <f t="shared" si="30"/>
        <v>2299.2277348499997</v>
      </c>
      <c r="H90" s="2214">
        <f t="shared" si="30"/>
        <v>2163.7961562100008</v>
      </c>
      <c r="I90" s="2310">
        <f t="shared" si="31"/>
        <v>-5.8903072795803042E-2</v>
      </c>
      <c r="K90" s="1992">
        <f>'calcul-DCC-TX-Encais'!P23</f>
        <v>460.34659369999997</v>
      </c>
      <c r="L90" s="1992">
        <f>'calcul-DCC-TX-Encais'!Q23</f>
        <v>0</v>
      </c>
      <c r="M90" s="1992">
        <f>'calcul-DCC-TX-Encais'!R23</f>
        <v>33.171908889999997</v>
      </c>
      <c r="N90" s="1992">
        <f>'calcul-DCC-TX-Encais'!S23</f>
        <v>0</v>
      </c>
      <c r="O90" s="1992">
        <f>'calcul-DCC-TX-Encais'!T23</f>
        <v>0</v>
      </c>
      <c r="P90" s="1992">
        <f t="shared" si="32"/>
        <v>493.51850258999997</v>
      </c>
      <c r="Q90" s="1992">
        <f>'calcul-DCC-TX-Encais'!BB23</f>
        <v>1273.84614794</v>
      </c>
      <c r="R90" s="1992">
        <f>'calcul-DCC-TX-Encais'!BC23</f>
        <v>0</v>
      </c>
      <c r="S90" s="1992">
        <f>'calcul-DCC-TX-Encais'!BD23</f>
        <v>0</v>
      </c>
      <c r="T90" s="1992">
        <f>'calcul-DCC-TX-Encais'!BE23</f>
        <v>0</v>
      </c>
      <c r="U90" s="1992">
        <f>'calcul-DCC-TX-Encais'!BF23</f>
        <v>0</v>
      </c>
      <c r="V90" s="1992">
        <f t="shared" si="33"/>
        <v>1273.84614794</v>
      </c>
      <c r="W90" s="1416" t="s">
        <v>1063</v>
      </c>
    </row>
    <row r="91" spans="2:23" ht="14.4">
      <c r="B91" s="2213" t="s">
        <v>3</v>
      </c>
      <c r="C91" s="2214">
        <f t="shared" si="27"/>
        <v>4891.6009613060005</v>
      </c>
      <c r="D91" s="2214">
        <f t="shared" si="27"/>
        <v>6674.2515324899978</v>
      </c>
      <c r="E91" s="2214">
        <f t="shared" si="28"/>
        <v>398.69382152499998</v>
      </c>
      <c r="F91" s="2214">
        <f t="shared" si="29"/>
        <v>891.98578098999997</v>
      </c>
      <c r="G91" s="2214">
        <f t="shared" si="30"/>
        <v>4492.9071397810003</v>
      </c>
      <c r="H91" s="2214">
        <f t="shared" si="30"/>
        <v>5782.2657514999974</v>
      </c>
      <c r="I91" s="2310">
        <f t="shared" si="31"/>
        <v>0.28697646570586471</v>
      </c>
      <c r="K91" s="1992">
        <f>'calcul-DCC-TX-Encais'!P24</f>
        <v>186.98681952000001</v>
      </c>
      <c r="L91" s="1992">
        <f>'calcul-DCC-TX-Encais'!Q24</f>
        <v>0</v>
      </c>
      <c r="M91" s="1992">
        <f>'calcul-DCC-TX-Encais'!R24</f>
        <v>0</v>
      </c>
      <c r="N91" s="1992">
        <f>'calcul-DCC-TX-Encais'!S24</f>
        <v>0</v>
      </c>
      <c r="O91" s="1992">
        <f>'calcul-DCC-TX-Encais'!T24</f>
        <v>2.6587628900000002</v>
      </c>
      <c r="P91" s="1992">
        <f t="shared" si="32"/>
        <v>189.64558241</v>
      </c>
      <c r="Q91" s="1992">
        <f>'calcul-DCC-TX-Encais'!BB24</f>
        <v>417.31198513999999</v>
      </c>
      <c r="R91" s="1992">
        <f>'calcul-DCC-TX-Encais'!BC24</f>
        <v>0</v>
      </c>
      <c r="S91" s="1992">
        <f>'calcul-DCC-TX-Encais'!BD24</f>
        <v>0</v>
      </c>
      <c r="T91" s="1992">
        <f>'calcul-DCC-TX-Encais'!BE24</f>
        <v>0</v>
      </c>
      <c r="U91" s="1992">
        <f>'calcul-DCC-TX-Encais'!BF24</f>
        <v>5.0248015300000004</v>
      </c>
      <c r="V91" s="1992">
        <f t="shared" si="33"/>
        <v>422.33678666999998</v>
      </c>
      <c r="W91" s="1416" t="s">
        <v>1064</v>
      </c>
    </row>
    <row r="92" spans="2:23" ht="14.4">
      <c r="B92" s="2213" t="s">
        <v>397</v>
      </c>
      <c r="C92" s="2214">
        <f t="shared" si="27"/>
        <v>3584.0745765165325</v>
      </c>
      <c r="D92" s="2214">
        <f t="shared" si="27"/>
        <v>4013.0531907665313</v>
      </c>
      <c r="E92" s="2214">
        <f t="shared" si="28"/>
        <v>447.04696852999996</v>
      </c>
      <c r="F92" s="2214">
        <f t="shared" si="29"/>
        <v>837.48061811999992</v>
      </c>
      <c r="G92" s="2214">
        <f t="shared" si="30"/>
        <v>3137.0276079865325</v>
      </c>
      <c r="H92" s="2214">
        <f t="shared" si="30"/>
        <v>3175.5725726465316</v>
      </c>
      <c r="I92" s="2310">
        <f t="shared" si="31"/>
        <v>1.2287097685040384E-2</v>
      </c>
      <c r="K92" s="1992">
        <f>'calcul-DCC-TX-Encais'!P25</f>
        <v>344.87640983999995</v>
      </c>
      <c r="L92" s="1992">
        <f>'calcul-DCC-TX-Encais'!Q25</f>
        <v>0</v>
      </c>
      <c r="M92" s="1992">
        <f>'calcul-DCC-TX-Encais'!R25</f>
        <v>8.9615586900000004</v>
      </c>
      <c r="N92" s="1992">
        <f>'calcul-DCC-TX-Encais'!S25</f>
        <v>0</v>
      </c>
      <c r="O92" s="1992">
        <f>'calcul-DCC-TX-Encais'!T25</f>
        <v>0</v>
      </c>
      <c r="P92" s="1992">
        <f t="shared" si="32"/>
        <v>353.83796852999996</v>
      </c>
      <c r="Q92" s="1992">
        <f>'calcul-DCC-TX-Encais'!BB25</f>
        <v>418.79384999999996</v>
      </c>
      <c r="R92" s="1992">
        <f>'calcul-DCC-TX-Encais'!BC25</f>
        <v>0</v>
      </c>
      <c r="S92" s="1992">
        <f>'calcul-DCC-TX-Encais'!BD25</f>
        <v>4.68676812</v>
      </c>
      <c r="T92" s="1992">
        <f>'calcul-DCC-TX-Encais'!BE25</f>
        <v>0</v>
      </c>
      <c r="U92" s="1992">
        <f>'calcul-DCC-TX-Encais'!BF25</f>
        <v>0</v>
      </c>
      <c r="V92" s="1992">
        <f t="shared" si="33"/>
        <v>423.48061811999997</v>
      </c>
      <c r="W92" s="1416" t="s">
        <v>1065</v>
      </c>
    </row>
    <row r="93" spans="2:23" ht="14.4">
      <c r="B93" s="2213" t="s">
        <v>399</v>
      </c>
      <c r="C93" s="2214">
        <f t="shared" si="27"/>
        <v>3296.6347596220035</v>
      </c>
      <c r="D93" s="2214">
        <f t="shared" si="27"/>
        <v>3839.264268892</v>
      </c>
      <c r="E93" s="2214">
        <f t="shared" si="28"/>
        <v>592.55663952000043</v>
      </c>
      <c r="F93" s="2214">
        <f t="shared" si="29"/>
        <v>1021.803889020003</v>
      </c>
      <c r="G93" s="2214">
        <f t="shared" si="30"/>
        <v>2704.0781201020031</v>
      </c>
      <c r="H93" s="2214">
        <f t="shared" si="30"/>
        <v>2817.4603798719972</v>
      </c>
      <c r="I93" s="2311">
        <f t="shared" si="31"/>
        <v>4.1930097702102299E-2</v>
      </c>
      <c r="K93" s="1992">
        <f>'calcul-DCC-TX-Encais'!P26</f>
        <v>290.36041767000023</v>
      </c>
      <c r="L93" s="1992">
        <f>'calcul-DCC-TX-Encais'!Q26</f>
        <v>31.896805980000003</v>
      </c>
      <c r="M93" s="1992">
        <f>'calcul-DCC-TX-Encais'!R26</f>
        <v>14.594777600000008</v>
      </c>
      <c r="N93" s="1992">
        <f>'calcul-DCC-TX-Encais'!S26</f>
        <v>0</v>
      </c>
      <c r="O93" s="1992">
        <f>'calcul-DCC-TX-Encais'!T26</f>
        <v>0</v>
      </c>
      <c r="P93" s="1992">
        <f t="shared" si="32"/>
        <v>336.85200125000023</v>
      </c>
      <c r="Q93" s="1992">
        <f>'calcul-DCC-TX-Encais'!BB26</f>
        <v>567.54718371000081</v>
      </c>
      <c r="R93" s="1992">
        <f>'calcul-DCC-TX-Encais'!BC26</f>
        <v>81.298312800000019</v>
      </c>
      <c r="S93" s="1992">
        <f>'calcul-DCC-TX-Encais'!BD26</f>
        <v>33.051402600000017</v>
      </c>
      <c r="T93" s="1992">
        <f>'calcul-DCC-TX-Encais'!BE26</f>
        <v>0</v>
      </c>
      <c r="U93" s="1992">
        <f>'calcul-DCC-TX-Encais'!BF26</f>
        <v>0</v>
      </c>
      <c r="V93" s="1992">
        <f t="shared" si="33"/>
        <v>681.89689911000096</v>
      </c>
      <c r="W93" s="1416"/>
    </row>
    <row r="94" spans="2:23" ht="14.4">
      <c r="B94" s="2213" t="s">
        <v>883</v>
      </c>
      <c r="C94" s="2214">
        <f t="shared" si="27"/>
        <v>2317.2462311069612</v>
      </c>
      <c r="D94" s="2214">
        <f t="shared" si="27"/>
        <v>2586.4355849898106</v>
      </c>
      <c r="E94" s="2214">
        <f t="shared" si="28"/>
        <v>480.02824635999997</v>
      </c>
      <c r="F94" s="2214">
        <f t="shared" si="29"/>
        <v>776.04659070000002</v>
      </c>
      <c r="G94" s="2214">
        <f t="shared" si="30"/>
        <v>1837.2179847469613</v>
      </c>
      <c r="H94" s="2214">
        <f t="shared" si="30"/>
        <v>1810.3889942898106</v>
      </c>
      <c r="I94" s="2310">
        <f t="shared" si="31"/>
        <v>-1.460305237587025E-2</v>
      </c>
      <c r="K94" s="1992">
        <f>'calcul-DCC-TX-Encais'!P27</f>
        <v>0.77745291999999999</v>
      </c>
      <c r="L94" s="1992">
        <f>'calcul-DCC-TX-Encais'!Q27</f>
        <v>0</v>
      </c>
      <c r="M94" s="1992">
        <f>'calcul-DCC-TX-Encais'!R27</f>
        <v>272.23690370999998</v>
      </c>
      <c r="N94" s="1992">
        <f>'calcul-DCC-TX-Encais'!S27</f>
        <v>0</v>
      </c>
      <c r="O94" s="1992">
        <f>'calcul-DCC-TX-Encais'!T27</f>
        <v>0</v>
      </c>
      <c r="P94" s="1992">
        <f t="shared" si="32"/>
        <v>273.01435662999995</v>
      </c>
      <c r="Q94" s="1992">
        <f>'calcul-DCC-TX-Encais'!BB27</f>
        <v>8.4981504000000001</v>
      </c>
      <c r="R94" s="1992">
        <f>'calcul-DCC-TX-Encais'!BC27</f>
        <v>0</v>
      </c>
      <c r="S94" s="1992">
        <f>'calcul-DCC-TX-Encais'!BD27</f>
        <v>561.53344030000005</v>
      </c>
      <c r="T94" s="1992">
        <f>'calcul-DCC-TX-Encais'!BE27</f>
        <v>0</v>
      </c>
      <c r="U94" s="1992">
        <f>'calcul-DCC-TX-Encais'!BF27</f>
        <v>0</v>
      </c>
      <c r="V94" s="1992">
        <f t="shared" si="33"/>
        <v>570.03159070000004</v>
      </c>
      <c r="W94" s="1416" t="s">
        <v>1064</v>
      </c>
    </row>
    <row r="95" spans="2:23" ht="14.4">
      <c r="B95" s="2213" t="s">
        <v>884</v>
      </c>
      <c r="C95" s="2214">
        <f t="shared" si="27"/>
        <v>2130.5776466529974</v>
      </c>
      <c r="D95" s="2214">
        <f t="shared" si="27"/>
        <v>2226.0597109899932</v>
      </c>
      <c r="E95" s="2214">
        <f t="shared" si="28"/>
        <v>608.79255140999794</v>
      </c>
      <c r="F95" s="2214">
        <f t="shared" si="29"/>
        <v>866.06591307999793</v>
      </c>
      <c r="G95" s="2214">
        <f t="shared" si="30"/>
        <v>1521.7850952429994</v>
      </c>
      <c r="H95" s="2214">
        <f t="shared" si="30"/>
        <v>1359.9937979099952</v>
      </c>
      <c r="I95" s="2310">
        <f t="shared" si="31"/>
        <v>-0.10631678404444438</v>
      </c>
      <c r="K95" s="1992">
        <f>'calcul-DCC-TX-Encais'!P28</f>
        <v>14.495466300000105</v>
      </c>
      <c r="L95" s="1992">
        <f>'calcul-DCC-TX-Encais'!Q28</f>
        <v>0</v>
      </c>
      <c r="M95" s="1992">
        <f>'calcul-DCC-TX-Encais'!R28</f>
        <v>258.19113091999782</v>
      </c>
      <c r="N95" s="1992">
        <f>'calcul-DCC-TX-Encais'!S28</f>
        <v>0</v>
      </c>
      <c r="O95" s="1992">
        <f>'calcul-DCC-TX-Encais'!T28</f>
        <v>0</v>
      </c>
      <c r="P95" s="1992">
        <f t="shared" si="32"/>
        <v>272.68659721999791</v>
      </c>
      <c r="Q95" s="1992">
        <f>'calcul-DCC-TX-Encais'!BB28</f>
        <v>18.237997800000112</v>
      </c>
      <c r="R95" s="1992">
        <f>'calcul-DCC-TX-Encais'!BC28</f>
        <v>0</v>
      </c>
      <c r="S95" s="1992">
        <f>'calcul-DCC-TX-Encais'!BD28</f>
        <v>545.53482365999787</v>
      </c>
      <c r="T95" s="1992">
        <f>'calcul-DCC-TX-Encais'!BE28</f>
        <v>0.64637350999998866</v>
      </c>
      <c r="U95" s="1992">
        <f>'calcul-DCC-TX-Encais'!BF28</f>
        <v>4.1946929699999806</v>
      </c>
      <c r="V95" s="1992">
        <f t="shared" si="33"/>
        <v>568.61388793999799</v>
      </c>
      <c r="W95" s="1416" t="s">
        <v>1066</v>
      </c>
    </row>
    <row r="96" spans="2:23" ht="14.4">
      <c r="B96" s="2213" t="s">
        <v>885</v>
      </c>
      <c r="C96" s="2214">
        <f t="shared" si="27"/>
        <v>654.48181721999981</v>
      </c>
      <c r="D96" s="2214">
        <f t="shared" si="27"/>
        <v>722.10049141000002</v>
      </c>
      <c r="E96" s="2214">
        <f t="shared" si="28"/>
        <v>155.91155922999999</v>
      </c>
      <c r="F96" s="2214">
        <f t="shared" si="29"/>
        <v>301.99080664000002</v>
      </c>
      <c r="G96" s="2214">
        <f t="shared" si="30"/>
        <v>498.57025798999985</v>
      </c>
      <c r="H96" s="2214">
        <f t="shared" si="30"/>
        <v>420.10968477</v>
      </c>
      <c r="I96" s="2310">
        <f t="shared" si="31"/>
        <v>-0.15737114671925251</v>
      </c>
      <c r="K96" s="1992">
        <f>'calcul-DCC-TX-Encais'!P29</f>
        <v>0</v>
      </c>
      <c r="L96" s="1992">
        <f>'calcul-DCC-TX-Encais'!Q29</f>
        <v>0</v>
      </c>
      <c r="M96" s="1992">
        <f>'calcul-DCC-TX-Encais'!R29</f>
        <v>126.38680534999999</v>
      </c>
      <c r="N96" s="1992">
        <f>'calcul-DCC-TX-Encais'!S29</f>
        <v>0</v>
      </c>
      <c r="O96" s="1992">
        <f>'calcul-DCC-TX-Encais'!T29</f>
        <v>0</v>
      </c>
      <c r="P96" s="1992">
        <f t="shared" si="32"/>
        <v>126.38680534999999</v>
      </c>
      <c r="Q96" s="1992">
        <f>'calcul-DCC-TX-Encais'!BB29</f>
        <v>0</v>
      </c>
      <c r="R96" s="1992">
        <f>'calcul-DCC-TX-Encais'!BC29</f>
        <v>0</v>
      </c>
      <c r="S96" s="1992">
        <f>'calcul-DCC-TX-Encais'!BD29</f>
        <v>251.79917954000001</v>
      </c>
      <c r="T96" s="1992">
        <f>'calcul-DCC-TX-Encais'!BE29</f>
        <v>0</v>
      </c>
      <c r="U96" s="1992">
        <f>'calcul-DCC-TX-Encais'!BF29</f>
        <v>0</v>
      </c>
      <c r="V96" s="1992">
        <f t="shared" si="33"/>
        <v>251.79917954000001</v>
      </c>
      <c r="W96" s="1416"/>
    </row>
    <row r="97" spans="2:23" ht="15.6">
      <c r="B97" s="2529" t="s">
        <v>20</v>
      </c>
      <c r="C97" s="2312">
        <f t="shared" ref="C97:H97" si="34">SUM(C87:C96)</f>
        <v>27394.582894924497</v>
      </c>
      <c r="D97" s="2312">
        <f t="shared" si="34"/>
        <v>32301.40135492833</v>
      </c>
      <c r="E97" s="2312">
        <f t="shared" si="34"/>
        <v>5297.098067984999</v>
      </c>
      <c r="F97" s="2312">
        <f t="shared" si="34"/>
        <v>9087.378066690002</v>
      </c>
      <c r="G97" s="2312">
        <f t="shared" si="34"/>
        <v>22097.484826939493</v>
      </c>
      <c r="H97" s="2312">
        <f t="shared" si="34"/>
        <v>23214.023288238328</v>
      </c>
      <c r="I97" s="2314">
        <f t="shared" si="31"/>
        <v>5.0527852832266226E-2</v>
      </c>
      <c r="K97" s="1995">
        <f>SUM(K87:K96)</f>
        <v>2273.8654065800001</v>
      </c>
      <c r="L97" s="1995">
        <f>SUM(L87:L96)</f>
        <v>500.69657533000003</v>
      </c>
      <c r="M97" s="1995">
        <f>SUM(M87:M96)</f>
        <v>788.4427789799978</v>
      </c>
      <c r="N97" s="1995">
        <f>SUM(N87:N96)</f>
        <v>8.7228999999999992</v>
      </c>
      <c r="O97" s="1995">
        <f>SUM(O87:O96)</f>
        <v>18.17017289</v>
      </c>
      <c r="P97" s="1992">
        <f t="shared" si="32"/>
        <v>3589.8978337799981</v>
      </c>
      <c r="Q97" s="1995">
        <f>SUM(Q87:Q96)</f>
        <v>4566.565232330001</v>
      </c>
      <c r="R97" s="1995">
        <f>SUM(R87:R96)</f>
        <v>356.31503320000007</v>
      </c>
      <c r="S97" s="1995">
        <f>SUM(S87:S96)</f>
        <v>1474.683120549998</v>
      </c>
      <c r="T97" s="1995">
        <f>SUM(T87:T96)</f>
        <v>9.5905406399999897</v>
      </c>
      <c r="U97" s="1995">
        <f>SUM(U87:U96)</f>
        <v>49.747994019999979</v>
      </c>
      <c r="V97" s="1992">
        <f>SUM(Q97:U97)</f>
        <v>6456.9019207399988</v>
      </c>
      <c r="W97" s="1416"/>
    </row>
    <row r="98" spans="2:23" ht="14.4">
      <c r="W98" s="1416"/>
    </row>
    <row r="100" spans="2:23" ht="15" customHeight="1">
      <c r="B100" s="3270" t="s">
        <v>933</v>
      </c>
      <c r="C100" s="3270" t="str">
        <f>B2</f>
        <v>Sans ADE</v>
      </c>
      <c r="D100" s="3270" t="str">
        <f>B18</f>
        <v>Sans STNF</v>
      </c>
      <c r="E100" s="3270" t="str">
        <f>B34</f>
        <v>Sans APC</v>
      </c>
      <c r="F100" s="3270" t="str">
        <f>B50</f>
        <v>Sans ADE APC SNTF</v>
      </c>
      <c r="G100" s="3270" t="str">
        <f>B67</f>
        <v>Sans eaux</v>
      </c>
      <c r="H100" s="3270" t="str">
        <f>B83</f>
        <v>Sans eaux  APC  &amp; SNTF</v>
      </c>
      <c r="I100" s="3270" t="str">
        <f>B129</f>
        <v>Sans eaux  APC SNTF &amp; DSA</v>
      </c>
    </row>
    <row r="101" spans="2:23" ht="30.75" customHeight="1">
      <c r="B101" s="3270"/>
      <c r="C101" s="3270"/>
      <c r="D101" s="3270"/>
      <c r="E101" s="3270"/>
      <c r="F101" s="3270"/>
      <c r="G101" s="3270"/>
      <c r="H101" s="3270"/>
      <c r="I101" s="3270"/>
    </row>
    <row r="102" spans="2:23">
      <c r="B102" s="2213" t="s">
        <v>6</v>
      </c>
      <c r="C102" s="2315">
        <f>I6</f>
        <v>-4.2023874524720319E-2</v>
      </c>
      <c r="D102" s="2315">
        <f>I22</f>
        <v>5.4925060177572656E-2</v>
      </c>
      <c r="E102" s="2315">
        <f>I38</f>
        <v>6.4205714141173445E-2</v>
      </c>
      <c r="F102" s="2315">
        <f>I54</f>
        <v>-3.8275402638020851E-2</v>
      </c>
      <c r="G102" s="2315">
        <f>I71</f>
        <v>-7.2686467222807291E-2</v>
      </c>
      <c r="H102" s="2315">
        <f>I87</f>
        <v>-7.1178902190121601E-2</v>
      </c>
      <c r="I102" s="2315">
        <f>I133</f>
        <v>-0.11688879893470722</v>
      </c>
    </row>
    <row r="103" spans="2:23">
      <c r="B103" s="2216" t="s">
        <v>7</v>
      </c>
      <c r="C103" s="2325">
        <f t="shared" ref="C103:C111" si="35">I7</f>
        <v>-9.2628178971505395E-2</v>
      </c>
      <c r="D103" s="2325">
        <f t="shared" ref="D103:D112" si="36">I23</f>
        <v>5.4025371377294747E-2</v>
      </c>
      <c r="E103" s="2325">
        <f t="shared" ref="E103:E112" si="37">I39</f>
        <v>8.0644290715397235E-3</v>
      </c>
      <c r="F103" s="2325">
        <f t="shared" ref="F103:F112" si="38">I55</f>
        <v>-0.13674600859469824</v>
      </c>
      <c r="G103" s="2325">
        <f t="shared" ref="G103:G112" si="39">I72</f>
        <v>3.7614823153553793E-2</v>
      </c>
      <c r="H103" s="2325">
        <f t="shared" ref="H103:H112" si="40">I88</f>
        <v>-1.9278518274708389E-2</v>
      </c>
      <c r="I103" s="2325">
        <f t="shared" ref="I103:I112" si="41">I134</f>
        <v>-0.14357572474089925</v>
      </c>
    </row>
    <row r="104" spans="2:23">
      <c r="B104" s="2213" t="s">
        <v>8</v>
      </c>
      <c r="C104" s="2315">
        <f t="shared" si="35"/>
        <v>0.24764357797113185</v>
      </c>
      <c r="D104" s="2315">
        <f t="shared" si="36"/>
        <v>0.38868090267726185</v>
      </c>
      <c r="E104" s="2315">
        <f t="shared" si="37"/>
        <v>0.35026846855374688</v>
      </c>
      <c r="F104" s="2315">
        <f t="shared" si="38"/>
        <v>0.19302936503484974</v>
      </c>
      <c r="G104" s="2315">
        <f t="shared" si="39"/>
        <v>0.3358724893082734</v>
      </c>
      <c r="H104" s="2315">
        <f t="shared" si="40"/>
        <v>0.28086824142769184</v>
      </c>
      <c r="I104" s="2315">
        <f t="shared" si="41"/>
        <v>-0.11456214432913321</v>
      </c>
    </row>
    <row r="105" spans="2:23">
      <c r="B105" s="2213" t="s">
        <v>4</v>
      </c>
      <c r="C105" s="2315">
        <f t="shared" si="35"/>
        <v>2.0091097310949685E-2</v>
      </c>
      <c r="D105" s="2315">
        <f t="shared" si="36"/>
        <v>0.26225131151585235</v>
      </c>
      <c r="E105" s="2315">
        <f t="shared" si="37"/>
        <v>0.2299139998289835</v>
      </c>
      <c r="F105" s="2315">
        <f t="shared" si="38"/>
        <v>-3.0912286606031243E-2</v>
      </c>
      <c r="G105" s="2315">
        <f t="shared" si="39"/>
        <v>-4.9322626293881108E-3</v>
      </c>
      <c r="H105" s="2315">
        <f t="shared" si="40"/>
        <v>-5.8903072795803042E-2</v>
      </c>
      <c r="I105" s="2315">
        <f t="shared" si="41"/>
        <v>-0.15311313673426846</v>
      </c>
    </row>
    <row r="106" spans="2:23">
      <c r="B106" s="2213" t="s">
        <v>3</v>
      </c>
      <c r="C106" s="2315">
        <f t="shared" si="35"/>
        <v>0.32911928136707708</v>
      </c>
      <c r="D106" s="2315">
        <f t="shared" si="36"/>
        <v>0.36399096765764127</v>
      </c>
      <c r="E106" s="2315">
        <f t="shared" si="37"/>
        <v>0.32554183378481211</v>
      </c>
      <c r="F106" s="2315">
        <f t="shared" si="38"/>
        <v>0.28645525349408735</v>
      </c>
      <c r="G106" s="2315">
        <f t="shared" si="39"/>
        <v>0.32964144531884554</v>
      </c>
      <c r="H106" s="2315">
        <f t="shared" si="40"/>
        <v>0.28697646570586471</v>
      </c>
      <c r="I106" s="2315">
        <f t="shared" si="41"/>
        <v>-0.11911512587271965</v>
      </c>
    </row>
    <row r="107" spans="2:23">
      <c r="B107" s="2213" t="s">
        <v>397</v>
      </c>
      <c r="C107" s="2315">
        <f t="shared" si="35"/>
        <v>0.11969020317287475</v>
      </c>
      <c r="D107" s="2315">
        <f t="shared" si="36"/>
        <v>0.11969020317287475</v>
      </c>
      <c r="E107" s="2315">
        <f t="shared" si="37"/>
        <v>3.0991629977902783E-2</v>
      </c>
      <c r="F107" s="2315">
        <f t="shared" si="38"/>
        <v>3.0991629977902783E-2</v>
      </c>
      <c r="G107" s="2315">
        <f t="shared" si="39"/>
        <v>0.11124137587059907</v>
      </c>
      <c r="H107" s="2315">
        <f t="shared" si="40"/>
        <v>1.2287097685040384E-2</v>
      </c>
      <c r="I107" s="2315">
        <f t="shared" si="41"/>
        <v>-2.813154398844275E-2</v>
      </c>
    </row>
    <row r="108" spans="2:23">
      <c r="B108" s="2213" t="s">
        <v>399</v>
      </c>
      <c r="C108" s="2315">
        <f t="shared" si="35"/>
        <v>6.6554280361711848E-2</v>
      </c>
      <c r="D108" s="2315">
        <f t="shared" si="36"/>
        <v>0.17201470983623998</v>
      </c>
      <c r="E108" s="2315">
        <f t="shared" si="37"/>
        <v>0.14292598053395425</v>
      </c>
      <c r="F108" s="2315">
        <f t="shared" si="38"/>
        <v>4.2815237481022075E-2</v>
      </c>
      <c r="G108" s="2315">
        <f t="shared" si="39"/>
        <v>6.6756457328197696E-2</v>
      </c>
      <c r="H108" s="2315">
        <f t="shared" si="40"/>
        <v>4.1930097702102299E-2</v>
      </c>
      <c r="I108" s="2315">
        <f t="shared" si="41"/>
        <v>3.8665613351839781E-2</v>
      </c>
    </row>
    <row r="109" spans="2:23">
      <c r="B109" s="2213" t="s">
        <v>883</v>
      </c>
      <c r="C109" s="2315">
        <f t="shared" si="35"/>
        <v>-1.4088085273789059E-2</v>
      </c>
      <c r="D109" s="2315">
        <f t="shared" si="36"/>
        <v>0.11598685754119512</v>
      </c>
      <c r="E109" s="2315">
        <f t="shared" si="37"/>
        <v>0.12823462206215444</v>
      </c>
      <c r="F109" s="2315">
        <f t="shared" si="38"/>
        <v>-1.5106391935480554E-2</v>
      </c>
      <c r="G109" s="2315">
        <f t="shared" si="39"/>
        <v>-1.3612878526449306E-2</v>
      </c>
      <c r="H109" s="2315">
        <f t="shared" si="40"/>
        <v>-1.460305237587025E-2</v>
      </c>
      <c r="I109" s="2315">
        <f t="shared" si="41"/>
        <v>-2.6453678143321304E-2</v>
      </c>
    </row>
    <row r="110" spans="2:23">
      <c r="B110" s="2213" t="s">
        <v>884</v>
      </c>
      <c r="C110" s="2315">
        <f t="shared" si="35"/>
        <v>-0.1072088654110593</v>
      </c>
      <c r="D110" s="2315">
        <f t="shared" si="36"/>
        <v>4.5018382781337282E-2</v>
      </c>
      <c r="E110" s="2315">
        <f t="shared" si="37"/>
        <v>7.449588553550468E-2</v>
      </c>
      <c r="F110" s="2315">
        <f t="shared" si="38"/>
        <v>-0.10555308117599708</v>
      </c>
      <c r="G110" s="2315">
        <f t="shared" si="39"/>
        <v>-0.10788857960437297</v>
      </c>
      <c r="H110" s="2315">
        <f t="shared" si="40"/>
        <v>-0.10631678404444438</v>
      </c>
      <c r="I110" s="2315">
        <f t="shared" si="41"/>
        <v>-0.37359504190209247</v>
      </c>
    </row>
    <row r="111" spans="2:23">
      <c r="B111" s="2213" t="s">
        <v>885</v>
      </c>
      <c r="C111" s="2315">
        <f t="shared" si="35"/>
        <v>-0.10435873918495082</v>
      </c>
      <c r="D111" s="2315">
        <f t="shared" si="36"/>
        <v>0.10415543063462017</v>
      </c>
      <c r="E111" s="2315">
        <f t="shared" si="37"/>
        <v>7.4282388691471218E-2</v>
      </c>
      <c r="F111" s="2315">
        <f t="shared" si="38"/>
        <v>-0.15082881953550359</v>
      </c>
      <c r="G111" s="2315">
        <f t="shared" si="39"/>
        <v>-0.10943807212901066</v>
      </c>
      <c r="H111" s="2315">
        <f t="shared" si="40"/>
        <v>-0.15737114671925251</v>
      </c>
      <c r="I111" s="2315">
        <f t="shared" si="41"/>
        <v>-0.30371081450066767</v>
      </c>
    </row>
    <row r="112" spans="2:23" ht="15.6">
      <c r="B112" s="2316" t="s">
        <v>20</v>
      </c>
      <c r="C112" s="2317">
        <f>I16</f>
        <v>7.8773093599064731E-2</v>
      </c>
      <c r="D112" s="2317">
        <f t="shared" si="36"/>
        <v>0.18062107544829245</v>
      </c>
      <c r="E112" s="2317">
        <f t="shared" si="37"/>
        <v>0.1535665635697038</v>
      </c>
      <c r="F112" s="2317">
        <f t="shared" si="38"/>
        <v>4.5333418024698077E-2</v>
      </c>
      <c r="G112" s="2317">
        <f t="shared" si="39"/>
        <v>8.5689618148880625E-2</v>
      </c>
      <c r="H112" s="2317">
        <f t="shared" si="40"/>
        <v>5.0527852832266226E-2</v>
      </c>
      <c r="I112" s="2317">
        <f t="shared" si="41"/>
        <v>-0.10334291343638703</v>
      </c>
    </row>
    <row r="114" spans="2:9" ht="36.6">
      <c r="B114" s="2218" t="s">
        <v>1215</v>
      </c>
    </row>
    <row r="115" spans="2:9" ht="14.4" thickBot="1">
      <c r="C115" s="3273">
        <v>2023</v>
      </c>
      <c r="D115" s="3274"/>
      <c r="E115" s="3273">
        <v>2024</v>
      </c>
      <c r="F115" s="3274"/>
    </row>
    <row r="116" spans="2:9" ht="36" customHeight="1">
      <c r="B116" s="2219"/>
      <c r="C116" s="2220" t="s">
        <v>1067</v>
      </c>
      <c r="D116" s="2220" t="s">
        <v>1068</v>
      </c>
      <c r="E116" s="2220" t="s">
        <v>1067</v>
      </c>
      <c r="F116" s="2220" t="s">
        <v>1068</v>
      </c>
      <c r="H116" s="2375" t="s">
        <v>1111</v>
      </c>
      <c r="I116" s="2375" t="s">
        <v>1068</v>
      </c>
    </row>
    <row r="117" spans="2:9" ht="23.4">
      <c r="B117" s="2219" t="s">
        <v>6</v>
      </c>
      <c r="C117" s="2221"/>
      <c r="D117" s="2221">
        <v>79.395645309999992</v>
      </c>
      <c r="E117" s="2221">
        <f>H119</f>
        <v>75</v>
      </c>
      <c r="F117" s="2376">
        <f>I119/1000000</f>
        <v>217.04747361999995</v>
      </c>
      <c r="G117" s="77" t="s">
        <v>1174</v>
      </c>
      <c r="H117" s="2729">
        <v>224</v>
      </c>
      <c r="I117" s="2730">
        <v>555498611.41000021</v>
      </c>
    </row>
    <row r="118" spans="2:9" ht="23.4">
      <c r="B118" s="2219" t="s">
        <v>7</v>
      </c>
      <c r="C118" s="2221"/>
      <c r="D118" s="2221">
        <v>53.474815079999985</v>
      </c>
      <c r="E118" s="2221">
        <f>H118</f>
        <v>169</v>
      </c>
      <c r="F118" s="2221">
        <f>I118/1000000</f>
        <v>197.08890878</v>
      </c>
      <c r="G118" s="77" t="s">
        <v>114</v>
      </c>
      <c r="H118" s="2729">
        <v>169</v>
      </c>
      <c r="I118" s="2730">
        <v>197088908.78</v>
      </c>
    </row>
    <row r="119" spans="2:9" ht="23.4">
      <c r="B119" s="2219" t="s">
        <v>8</v>
      </c>
      <c r="C119" s="2221"/>
      <c r="D119" s="2221">
        <v>102.60660767000002</v>
      </c>
      <c r="E119" s="2221">
        <f>H117</f>
        <v>224</v>
      </c>
      <c r="F119" s="2221">
        <f>I117/1000000</f>
        <v>555.49861141000019</v>
      </c>
      <c r="G119" s="77" t="s">
        <v>107</v>
      </c>
      <c r="H119" s="2729">
        <v>75</v>
      </c>
      <c r="I119" s="2730">
        <v>217047473.61999995</v>
      </c>
    </row>
    <row r="120" spans="2:9" ht="23.4">
      <c r="B120" s="2219" t="s">
        <v>125</v>
      </c>
      <c r="C120" s="2221"/>
      <c r="D120" s="2221">
        <v>57.303171539999994</v>
      </c>
      <c r="E120" s="2221">
        <f>H123</f>
        <v>153</v>
      </c>
      <c r="F120" s="2221">
        <f>I123/1000000</f>
        <v>265.13969510999999</v>
      </c>
      <c r="G120" s="77" t="s">
        <v>126</v>
      </c>
      <c r="H120" s="2729">
        <v>350</v>
      </c>
      <c r="I120" s="2730">
        <v>2723600092.2200012</v>
      </c>
    </row>
    <row r="121" spans="2:9" ht="23.4">
      <c r="B121" s="2219" t="s">
        <v>3</v>
      </c>
      <c r="C121" s="2221"/>
      <c r="D121" s="2221">
        <v>1020.6422058300003</v>
      </c>
      <c r="E121" s="2221">
        <f>H120</f>
        <v>350</v>
      </c>
      <c r="F121" s="2221">
        <f>I120/1000000</f>
        <v>2723.6000922200014</v>
      </c>
      <c r="G121" s="77" t="s">
        <v>1175</v>
      </c>
      <c r="H121" s="2729">
        <v>25</v>
      </c>
      <c r="I121" s="2730">
        <v>40180224.720000006</v>
      </c>
    </row>
    <row r="122" spans="2:9" ht="23.4">
      <c r="B122" s="2219" t="s">
        <v>397</v>
      </c>
      <c r="C122" s="2221"/>
      <c r="D122" s="2221">
        <v>6.9527409200000001</v>
      </c>
      <c r="E122" s="2221">
        <f>H122</f>
        <v>28</v>
      </c>
      <c r="F122" s="2221">
        <f>I122/1000000</f>
        <v>133.55154439</v>
      </c>
      <c r="G122" s="77" t="s">
        <v>1176</v>
      </c>
      <c r="H122" s="2729">
        <v>28</v>
      </c>
      <c r="I122" s="2730">
        <v>133551544.39</v>
      </c>
    </row>
    <row r="123" spans="2:9" ht="23.4">
      <c r="B123" s="2219" t="s">
        <v>399</v>
      </c>
      <c r="C123" s="2221"/>
      <c r="D123" s="2221">
        <v>30.185657069999998</v>
      </c>
      <c r="E123" s="2221">
        <f>H121</f>
        <v>25</v>
      </c>
      <c r="F123" s="2221">
        <f>I121/1000000</f>
        <v>40.180224720000005</v>
      </c>
      <c r="G123" s="77" t="s">
        <v>1177</v>
      </c>
      <c r="H123" s="2729">
        <v>153</v>
      </c>
      <c r="I123" s="2730">
        <v>265139695.10999998</v>
      </c>
    </row>
    <row r="124" spans="2:9" ht="23.4">
      <c r="B124" s="2219" t="s">
        <v>883</v>
      </c>
      <c r="C124" s="2221"/>
      <c r="D124" s="2221">
        <v>136.6221291</v>
      </c>
      <c r="E124" s="2221">
        <f>H124</f>
        <v>42</v>
      </c>
      <c r="F124" s="2221">
        <f>I124/1000000</f>
        <v>154.78015405999997</v>
      </c>
      <c r="G124" s="77" t="s">
        <v>907</v>
      </c>
      <c r="H124" s="2729">
        <v>42</v>
      </c>
      <c r="I124" s="2730">
        <v>154780154.05999997</v>
      </c>
    </row>
    <row r="125" spans="2:9" ht="23.4">
      <c r="B125" s="2219" t="s">
        <v>884</v>
      </c>
      <c r="C125" s="2221"/>
      <c r="D125" s="2221">
        <v>100.26478978300004</v>
      </c>
      <c r="E125" s="2221">
        <f>H125</f>
        <v>178</v>
      </c>
      <c r="F125" s="2221">
        <f>I125/1000000</f>
        <v>469.54643053299969</v>
      </c>
      <c r="G125" s="77" t="s">
        <v>1110</v>
      </c>
      <c r="H125" s="2729">
        <v>178</v>
      </c>
      <c r="I125" s="2730">
        <v>469546430.53299969</v>
      </c>
    </row>
    <row r="126" spans="2:9" ht="23.4">
      <c r="B126" s="2219" t="s">
        <v>1069</v>
      </c>
      <c r="C126" s="2221"/>
      <c r="D126" s="2221">
        <v>29.149041249999996</v>
      </c>
      <c r="E126" s="2221">
        <f>H126</f>
        <v>71</v>
      </c>
      <c r="F126" s="2221">
        <f>I126/1000000</f>
        <v>93.256768109999982</v>
      </c>
      <c r="G126" s="77" t="s">
        <v>894</v>
      </c>
      <c r="H126" s="2729">
        <v>71</v>
      </c>
      <c r="I126" s="2730">
        <v>93256768.109999985</v>
      </c>
    </row>
    <row r="127" spans="2:9" ht="23.4">
      <c r="B127" s="2219" t="s">
        <v>933</v>
      </c>
      <c r="C127" s="2222">
        <f>SUM(C117:C126)</f>
        <v>0</v>
      </c>
      <c r="D127" s="2223">
        <f>SUM(D117:D126)</f>
        <v>1616.596803553</v>
      </c>
      <c r="E127" s="2222">
        <f>SUM(E117:E126)</f>
        <v>1315</v>
      </c>
      <c r="F127" s="2223">
        <f>SUM(F117:F126)</f>
        <v>4849.6899029530014</v>
      </c>
      <c r="H127" s="2222">
        <f>SUM(H117:H126)</f>
        <v>1315</v>
      </c>
      <c r="I127" s="2223">
        <f>SUM(I117:I126)</f>
        <v>4849689902.953001</v>
      </c>
    </row>
    <row r="129" spans="2:9" ht="21">
      <c r="B129" s="2212" t="s">
        <v>1070</v>
      </c>
    </row>
    <row r="131" spans="2:9" ht="33" customHeight="1">
      <c r="B131" s="3270" t="s">
        <v>933</v>
      </c>
      <c r="C131" s="3271" t="s">
        <v>1040</v>
      </c>
      <c r="D131" s="3272"/>
      <c r="E131" s="3271" t="s">
        <v>1071</v>
      </c>
      <c r="F131" s="3272"/>
      <c r="G131" s="3271" t="str">
        <f>B129</f>
        <v>Sans eaux  APC SNTF &amp; DSA</v>
      </c>
      <c r="H131" s="3272"/>
    </row>
    <row r="132" spans="2:9" ht="15.6">
      <c r="B132" s="3270"/>
      <c r="C132" s="2309">
        <f t="shared" ref="C132:H132" si="42">C86</f>
        <v>45139</v>
      </c>
      <c r="D132" s="2309">
        <f t="shared" si="42"/>
        <v>45505</v>
      </c>
      <c r="E132" s="2309">
        <f t="shared" si="42"/>
        <v>45139</v>
      </c>
      <c r="F132" s="2309">
        <f t="shared" si="42"/>
        <v>45505</v>
      </c>
      <c r="G132" s="2309">
        <f t="shared" si="42"/>
        <v>45139</v>
      </c>
      <c r="H132" s="2309">
        <f t="shared" si="42"/>
        <v>45505</v>
      </c>
      <c r="I132" s="77" t="s">
        <v>53</v>
      </c>
    </row>
    <row r="133" spans="2:9">
      <c r="B133" s="2213" t="s">
        <v>6</v>
      </c>
      <c r="C133" s="2214">
        <f>C87</f>
        <v>3960.4160979000003</v>
      </c>
      <c r="D133" s="2214">
        <f>D87</f>
        <v>4177.3173732199994</v>
      </c>
      <c r="E133" s="2214">
        <f>E87+D117</f>
        <v>825.35928552999997</v>
      </c>
      <c r="F133" s="2214">
        <f>F87+F117</f>
        <v>1408.7135862399998</v>
      </c>
      <c r="G133" s="2214">
        <f>C133-E133</f>
        <v>3135.0568123700004</v>
      </c>
      <c r="H133" s="2214">
        <f>D133-F133</f>
        <v>2768.6037869799993</v>
      </c>
      <c r="I133" s="2310">
        <f>(H133-G133)/G133</f>
        <v>-0.11688879893470722</v>
      </c>
    </row>
    <row r="134" spans="2:9">
      <c r="B134" s="2213" t="s">
        <v>7</v>
      </c>
      <c r="C134" s="2214">
        <f t="shared" ref="C134:D142" si="43">C88</f>
        <v>1975.9394760800008</v>
      </c>
      <c r="D134" s="2214">
        <f t="shared" si="43"/>
        <v>2072.6230949199994</v>
      </c>
      <c r="E134" s="2214">
        <f t="shared" ref="E134:E142" si="44">E88+D118</f>
        <v>812.23666237999998</v>
      </c>
      <c r="F134" s="2214">
        <f t="shared" ref="F134:F142" si="45">F88+F118</f>
        <v>1075.99975608</v>
      </c>
      <c r="G134" s="2214">
        <f t="shared" ref="G134:H142" si="46">C134-E134</f>
        <v>1163.7028137000007</v>
      </c>
      <c r="H134" s="2214">
        <f t="shared" si="46"/>
        <v>996.62333883999941</v>
      </c>
      <c r="I134" s="2311">
        <f t="shared" ref="I134:I143" si="47">(H134-G134)/G134</f>
        <v>-0.14357572474089925</v>
      </c>
    </row>
    <row r="135" spans="2:9">
      <c r="B135" s="2213" t="s">
        <v>8</v>
      </c>
      <c r="C135" s="2214">
        <f t="shared" si="43"/>
        <v>1643.0790785099998</v>
      </c>
      <c r="D135" s="2214">
        <f t="shared" si="43"/>
        <v>2281.5055263499971</v>
      </c>
      <c r="E135" s="2214">
        <f t="shared" si="44"/>
        <v>570.6448863999999</v>
      </c>
      <c r="F135" s="2214">
        <f t="shared" si="45"/>
        <v>1331.9316949400004</v>
      </c>
      <c r="G135" s="2214">
        <f t="shared" si="46"/>
        <v>1072.4341921099999</v>
      </c>
      <c r="H135" s="2214">
        <f t="shared" si="46"/>
        <v>949.57383140999673</v>
      </c>
      <c r="I135" s="2313">
        <f t="shared" si="47"/>
        <v>-0.11456214432913321</v>
      </c>
    </row>
    <row r="136" spans="2:9">
      <c r="B136" s="2213" t="s">
        <v>4</v>
      </c>
      <c r="C136" s="2214">
        <f t="shared" si="43"/>
        <v>2940.5322500099996</v>
      </c>
      <c r="D136" s="2214">
        <f t="shared" si="43"/>
        <v>3708.7905809000008</v>
      </c>
      <c r="E136" s="2214">
        <f t="shared" si="44"/>
        <v>698.60768669999993</v>
      </c>
      <c r="F136" s="2214">
        <f t="shared" si="45"/>
        <v>1810.1341198</v>
      </c>
      <c r="G136" s="2214">
        <f t="shared" si="46"/>
        <v>2241.9245633099999</v>
      </c>
      <c r="H136" s="2214">
        <f t="shared" si="46"/>
        <v>1898.6564611000008</v>
      </c>
      <c r="I136" s="2310">
        <f t="shared" si="47"/>
        <v>-0.15311313673426846</v>
      </c>
    </row>
    <row r="137" spans="2:9">
      <c r="B137" s="2213" t="s">
        <v>3</v>
      </c>
      <c r="C137" s="2214">
        <f t="shared" si="43"/>
        <v>4891.6009613060005</v>
      </c>
      <c r="D137" s="2214">
        <f t="shared" si="43"/>
        <v>6674.2515324899978</v>
      </c>
      <c r="E137" s="2214">
        <f t="shared" si="44"/>
        <v>1419.3360273550002</v>
      </c>
      <c r="F137" s="2214">
        <f t="shared" si="45"/>
        <v>3615.5858732100014</v>
      </c>
      <c r="G137" s="2214">
        <f t="shared" si="46"/>
        <v>3472.2649339510003</v>
      </c>
      <c r="H137" s="2214">
        <f t="shared" si="46"/>
        <v>3058.6656592799964</v>
      </c>
      <c r="I137" s="2310">
        <f t="shared" si="47"/>
        <v>-0.11911512587271965</v>
      </c>
    </row>
    <row r="138" spans="2:9">
      <c r="B138" s="2213" t="s">
        <v>397</v>
      </c>
      <c r="C138" s="2214">
        <f t="shared" si="43"/>
        <v>3584.0745765165325</v>
      </c>
      <c r="D138" s="2214">
        <f t="shared" si="43"/>
        <v>4013.0531907665313</v>
      </c>
      <c r="E138" s="2214">
        <f t="shared" si="44"/>
        <v>453.99970944999995</v>
      </c>
      <c r="F138" s="2214">
        <f t="shared" si="45"/>
        <v>971.03216250999992</v>
      </c>
      <c r="G138" s="2214">
        <f t="shared" si="46"/>
        <v>3130.0748670665325</v>
      </c>
      <c r="H138" s="2214">
        <f t="shared" si="46"/>
        <v>3042.0210282565313</v>
      </c>
      <c r="I138" s="2310">
        <f t="shared" si="47"/>
        <v>-2.813154398844275E-2</v>
      </c>
    </row>
    <row r="139" spans="2:9">
      <c r="B139" s="2213" t="s">
        <v>399</v>
      </c>
      <c r="C139" s="2214">
        <f t="shared" si="43"/>
        <v>3296.6347596220035</v>
      </c>
      <c r="D139" s="2214">
        <f t="shared" si="43"/>
        <v>3839.264268892</v>
      </c>
      <c r="E139" s="2214">
        <f t="shared" si="44"/>
        <v>622.74229659000048</v>
      </c>
      <c r="F139" s="2214">
        <f t="shared" si="45"/>
        <v>1061.9841137400031</v>
      </c>
      <c r="G139" s="2214">
        <f t="shared" si="46"/>
        <v>2673.892463032003</v>
      </c>
      <c r="H139" s="2214">
        <f t="shared" si="46"/>
        <v>2777.280155151997</v>
      </c>
      <c r="I139" s="2311">
        <f t="shared" si="47"/>
        <v>3.8665613351839781E-2</v>
      </c>
    </row>
    <row r="140" spans="2:9">
      <c r="B140" s="2213" t="s">
        <v>883</v>
      </c>
      <c r="C140" s="2214">
        <f t="shared" si="43"/>
        <v>2317.2462311069612</v>
      </c>
      <c r="D140" s="2214">
        <f t="shared" si="43"/>
        <v>2586.4355849898106</v>
      </c>
      <c r="E140" s="2214">
        <f t="shared" si="44"/>
        <v>616.65037545999996</v>
      </c>
      <c r="F140" s="2214">
        <f t="shared" si="45"/>
        <v>930.82674476</v>
      </c>
      <c r="G140" s="2214">
        <f t="shared" si="46"/>
        <v>1700.5958556469614</v>
      </c>
      <c r="H140" s="2214">
        <f t="shared" si="46"/>
        <v>1655.6088402298105</v>
      </c>
      <c r="I140" s="2310">
        <f t="shared" si="47"/>
        <v>-2.6453678143321304E-2</v>
      </c>
    </row>
    <row r="141" spans="2:9">
      <c r="B141" s="2213" t="s">
        <v>884</v>
      </c>
      <c r="C141" s="2214">
        <f t="shared" si="43"/>
        <v>2130.5776466529974</v>
      </c>
      <c r="D141" s="2214">
        <f t="shared" si="43"/>
        <v>2226.0597109899932</v>
      </c>
      <c r="E141" s="2214">
        <f t="shared" si="44"/>
        <v>709.05734119299802</v>
      </c>
      <c r="F141" s="2214">
        <f t="shared" si="45"/>
        <v>1335.6123436129976</v>
      </c>
      <c r="G141" s="2214">
        <f t="shared" si="46"/>
        <v>1421.5203054599992</v>
      </c>
      <c r="H141" s="2214">
        <f t="shared" si="46"/>
        <v>890.44736737699554</v>
      </c>
      <c r="I141" s="2310">
        <f t="shared" si="47"/>
        <v>-0.37359504190209247</v>
      </c>
    </row>
    <row r="142" spans="2:9">
      <c r="B142" s="2213" t="s">
        <v>885</v>
      </c>
      <c r="C142" s="2214">
        <f t="shared" si="43"/>
        <v>654.48181721999981</v>
      </c>
      <c r="D142" s="2214">
        <f t="shared" si="43"/>
        <v>722.10049141000002</v>
      </c>
      <c r="E142" s="2214">
        <f t="shared" si="44"/>
        <v>185.06060048000001</v>
      </c>
      <c r="F142" s="2214">
        <f t="shared" si="45"/>
        <v>395.24757475000001</v>
      </c>
      <c r="G142" s="2214">
        <f t="shared" si="46"/>
        <v>469.42121673999981</v>
      </c>
      <c r="H142" s="2214">
        <f t="shared" si="46"/>
        <v>326.85291666000001</v>
      </c>
      <c r="I142" s="2310">
        <f t="shared" si="47"/>
        <v>-0.30371081450066767</v>
      </c>
    </row>
    <row r="143" spans="2:9" ht="15.6">
      <c r="B143" s="2529" t="s">
        <v>20</v>
      </c>
      <c r="C143" s="2312">
        <f t="shared" ref="C143:H143" si="48">SUM(C133:C142)</f>
        <v>27394.582894924497</v>
      </c>
      <c r="D143" s="2312">
        <f t="shared" si="48"/>
        <v>32301.40135492833</v>
      </c>
      <c r="E143" s="2312">
        <f t="shared" si="48"/>
        <v>6913.6948715379976</v>
      </c>
      <c r="F143" s="2312">
        <f t="shared" si="48"/>
        <v>13937.067969643002</v>
      </c>
      <c r="G143" s="2312">
        <f t="shared" si="48"/>
        <v>20480.888023386495</v>
      </c>
      <c r="H143" s="2312">
        <f t="shared" si="48"/>
        <v>18364.333385285328</v>
      </c>
      <c r="I143" s="2314">
        <f t="shared" si="47"/>
        <v>-0.10334291343638703</v>
      </c>
    </row>
    <row r="145" spans="2:9">
      <c r="D145" s="731"/>
    </row>
    <row r="146" spans="2:9" ht="21">
      <c r="B146" s="2212" t="s">
        <v>1171</v>
      </c>
    </row>
    <row r="148" spans="2:9" ht="15.75" customHeight="1">
      <c r="B148" s="3270" t="s">
        <v>933</v>
      </c>
      <c r="C148" s="3271" t="s">
        <v>1040</v>
      </c>
      <c r="D148" s="3272"/>
      <c r="E148" s="3271" t="s">
        <v>1109</v>
      </c>
      <c r="F148" s="3272"/>
      <c r="G148" s="3271" t="s">
        <v>1201</v>
      </c>
      <c r="H148" s="3272"/>
    </row>
    <row r="149" spans="2:9" ht="15.6">
      <c r="B149" s="3270"/>
      <c r="C149" s="2309">
        <f t="shared" ref="C149:H149" si="49">C132</f>
        <v>45139</v>
      </c>
      <c r="D149" s="2309">
        <f t="shared" si="49"/>
        <v>45505</v>
      </c>
      <c r="E149" s="2309">
        <f t="shared" si="49"/>
        <v>45139</v>
      </c>
      <c r="F149" s="2309">
        <f t="shared" si="49"/>
        <v>45505</v>
      </c>
      <c r="G149" s="2309">
        <f t="shared" si="49"/>
        <v>45139</v>
      </c>
      <c r="H149" s="2309">
        <f t="shared" si="49"/>
        <v>45505</v>
      </c>
      <c r="I149" s="77" t="s">
        <v>53</v>
      </c>
    </row>
    <row r="150" spans="2:9">
      <c r="B150" s="2213" t="s">
        <v>6</v>
      </c>
      <c r="C150" s="2214">
        <f>C133</f>
        <v>3960.4160979000003</v>
      </c>
      <c r="D150" s="2214">
        <f>D133</f>
        <v>4177.3173732199994</v>
      </c>
      <c r="E150" s="2214">
        <f>D117</f>
        <v>79.395645309999992</v>
      </c>
      <c r="F150" s="2214">
        <f>F117</f>
        <v>217.04747361999995</v>
      </c>
      <c r="G150" s="2214">
        <f>C150-E150</f>
        <v>3881.0204525900003</v>
      </c>
      <c r="H150" s="2214">
        <f>D150-F150</f>
        <v>3960.2698995999995</v>
      </c>
      <c r="I150" s="2310">
        <f>(H150-G150)/G150</f>
        <v>2.0419744749634594E-2</v>
      </c>
    </row>
    <row r="151" spans="2:9">
      <c r="B151" s="2213" t="s">
        <v>7</v>
      </c>
      <c r="C151" s="2214">
        <f t="shared" ref="C151:C159" si="50">C134</f>
        <v>1975.9394760800008</v>
      </c>
      <c r="D151" s="2214">
        <f t="shared" ref="D151:D159" si="51">D134</f>
        <v>2072.6230949199994</v>
      </c>
      <c r="E151" s="2214">
        <f t="shared" ref="E151:E159" si="52">D118</f>
        <v>53.474815079999985</v>
      </c>
      <c r="F151" s="2214">
        <f t="shared" ref="F151:F159" si="53">F118</f>
        <v>197.08890878</v>
      </c>
      <c r="G151" s="2214">
        <f t="shared" ref="G151:H159" si="54">C151-E151</f>
        <v>1922.4646610000009</v>
      </c>
      <c r="H151" s="2214">
        <f t="shared" si="54"/>
        <v>1875.5341861399993</v>
      </c>
      <c r="I151" s="2311">
        <f t="shared" ref="I151:I160" si="55">(H151-G151)/G151</f>
        <v>-2.4411619007649252E-2</v>
      </c>
    </row>
    <row r="152" spans="2:9">
      <c r="B152" s="2213" t="s">
        <v>8</v>
      </c>
      <c r="C152" s="2214">
        <f t="shared" si="50"/>
        <v>1643.0790785099998</v>
      </c>
      <c r="D152" s="2214">
        <f t="shared" si="51"/>
        <v>2281.5055263499971</v>
      </c>
      <c r="E152" s="2214">
        <f t="shared" si="52"/>
        <v>102.60660767000002</v>
      </c>
      <c r="F152" s="2214">
        <f t="shared" si="53"/>
        <v>555.49861141000019</v>
      </c>
      <c r="G152" s="2214">
        <f t="shared" si="54"/>
        <v>1540.4724708399999</v>
      </c>
      <c r="H152" s="2214">
        <f t="shared" si="54"/>
        <v>1726.0069149399969</v>
      </c>
      <c r="I152" s="2313">
        <f t="shared" si="55"/>
        <v>0.12043996086397277</v>
      </c>
    </row>
    <row r="153" spans="2:9">
      <c r="B153" s="2213" t="s">
        <v>4</v>
      </c>
      <c r="C153" s="2214">
        <f t="shared" si="50"/>
        <v>2940.5322500099996</v>
      </c>
      <c r="D153" s="2214">
        <f t="shared" si="51"/>
        <v>3708.7905809000008</v>
      </c>
      <c r="E153" s="2214">
        <f t="shared" si="52"/>
        <v>57.303171539999994</v>
      </c>
      <c r="F153" s="2214">
        <f t="shared" si="53"/>
        <v>265.13969510999999</v>
      </c>
      <c r="G153" s="2214">
        <f t="shared" si="54"/>
        <v>2883.2290784699999</v>
      </c>
      <c r="H153" s="2214">
        <f t="shared" si="54"/>
        <v>3443.6508857900008</v>
      </c>
      <c r="I153" s="2310">
        <f t="shared" si="55"/>
        <v>0.19437297282579835</v>
      </c>
    </row>
    <row r="154" spans="2:9">
      <c r="B154" s="2213" t="s">
        <v>3</v>
      </c>
      <c r="C154" s="2214">
        <f t="shared" si="50"/>
        <v>4891.6009613060005</v>
      </c>
      <c r="D154" s="2214">
        <f t="shared" si="51"/>
        <v>6674.2515324899978</v>
      </c>
      <c r="E154" s="2214">
        <f t="shared" si="52"/>
        <v>1020.6422058300003</v>
      </c>
      <c r="F154" s="2214">
        <f t="shared" si="53"/>
        <v>2723.6000922200014</v>
      </c>
      <c r="G154" s="2214">
        <f t="shared" si="54"/>
        <v>3870.9587554760001</v>
      </c>
      <c r="H154" s="2214">
        <f t="shared" si="54"/>
        <v>3950.6514402699963</v>
      </c>
      <c r="I154" s="2310">
        <f t="shared" si="55"/>
        <v>2.0587324698631847E-2</v>
      </c>
    </row>
    <row r="155" spans="2:9">
      <c r="B155" s="2213" t="s">
        <v>397</v>
      </c>
      <c r="C155" s="2214">
        <f t="shared" si="50"/>
        <v>3584.0745765165325</v>
      </c>
      <c r="D155" s="2214">
        <f t="shared" si="51"/>
        <v>4013.0531907665313</v>
      </c>
      <c r="E155" s="2214">
        <f t="shared" si="52"/>
        <v>6.9527409200000001</v>
      </c>
      <c r="F155" s="2214">
        <f t="shared" si="53"/>
        <v>133.55154439</v>
      </c>
      <c r="G155" s="2214">
        <f t="shared" si="54"/>
        <v>3577.1218355965325</v>
      </c>
      <c r="H155" s="2214">
        <f t="shared" si="54"/>
        <v>3879.5016463765314</v>
      </c>
      <c r="I155" s="2310">
        <f t="shared" si="55"/>
        <v>8.4531594023711271E-2</v>
      </c>
    </row>
    <row r="156" spans="2:9">
      <c r="B156" s="2213" t="s">
        <v>399</v>
      </c>
      <c r="C156" s="2214">
        <f t="shared" si="50"/>
        <v>3296.6347596220035</v>
      </c>
      <c r="D156" s="2214">
        <f t="shared" si="51"/>
        <v>3839.264268892</v>
      </c>
      <c r="E156" s="2214">
        <f t="shared" si="52"/>
        <v>30.185657069999998</v>
      </c>
      <c r="F156" s="2214">
        <f t="shared" si="53"/>
        <v>40.180224720000005</v>
      </c>
      <c r="G156" s="2214">
        <f t="shared" si="54"/>
        <v>3266.4491025520033</v>
      </c>
      <c r="H156" s="2214">
        <f t="shared" si="54"/>
        <v>3799.0840441720002</v>
      </c>
      <c r="I156" s="2311">
        <f t="shared" si="55"/>
        <v>0.16306237290024239</v>
      </c>
    </row>
    <row r="157" spans="2:9">
      <c r="B157" s="2213" t="s">
        <v>883</v>
      </c>
      <c r="C157" s="2214">
        <f t="shared" si="50"/>
        <v>2317.2462311069612</v>
      </c>
      <c r="D157" s="2214">
        <f t="shared" si="51"/>
        <v>2586.4355849898106</v>
      </c>
      <c r="E157" s="2214">
        <f t="shared" si="52"/>
        <v>136.6221291</v>
      </c>
      <c r="F157" s="2214">
        <f t="shared" si="53"/>
        <v>154.78015405999997</v>
      </c>
      <c r="G157" s="2214">
        <f t="shared" si="54"/>
        <v>2180.624102006961</v>
      </c>
      <c r="H157" s="2214">
        <f t="shared" si="54"/>
        <v>2431.6554309298108</v>
      </c>
      <c r="I157" s="2310">
        <f t="shared" si="55"/>
        <v>0.11511902885591806</v>
      </c>
    </row>
    <row r="158" spans="2:9">
      <c r="B158" s="2213" t="s">
        <v>884</v>
      </c>
      <c r="C158" s="2214">
        <f t="shared" si="50"/>
        <v>2130.5776466529974</v>
      </c>
      <c r="D158" s="2214">
        <f t="shared" si="51"/>
        <v>2226.0597109899932</v>
      </c>
      <c r="E158" s="2214">
        <f t="shared" si="52"/>
        <v>100.26478978300004</v>
      </c>
      <c r="F158" s="2214">
        <f t="shared" si="53"/>
        <v>469.54643053299969</v>
      </c>
      <c r="G158" s="2214">
        <f t="shared" si="54"/>
        <v>2030.3128568699974</v>
      </c>
      <c r="H158" s="2214">
        <f t="shared" si="54"/>
        <v>1756.5132804569935</v>
      </c>
      <c r="I158" s="2310">
        <f t="shared" si="55"/>
        <v>-0.13485585508979298</v>
      </c>
    </row>
    <row r="159" spans="2:9">
      <c r="B159" s="2213" t="s">
        <v>885</v>
      </c>
      <c r="C159" s="2214">
        <f t="shared" si="50"/>
        <v>654.48181721999981</v>
      </c>
      <c r="D159" s="2214">
        <f t="shared" si="51"/>
        <v>722.10049141000002</v>
      </c>
      <c r="E159" s="2214">
        <f t="shared" si="52"/>
        <v>29.149041249999996</v>
      </c>
      <c r="F159" s="2214">
        <f t="shared" si="53"/>
        <v>93.256768109999982</v>
      </c>
      <c r="G159" s="2214">
        <f t="shared" si="54"/>
        <v>625.33277596999983</v>
      </c>
      <c r="H159" s="2214">
        <f t="shared" si="54"/>
        <v>628.84372330000008</v>
      </c>
      <c r="I159" s="2310">
        <f t="shared" si="55"/>
        <v>5.6145263208923595E-3</v>
      </c>
    </row>
    <row r="160" spans="2:9" ht="15.6">
      <c r="B160" s="2529" t="s">
        <v>20</v>
      </c>
      <c r="C160" s="2312">
        <f t="shared" ref="C160:H160" si="56">SUM(C150:C159)</f>
        <v>27394.582894924497</v>
      </c>
      <c r="D160" s="2312">
        <f t="shared" si="56"/>
        <v>32301.40135492833</v>
      </c>
      <c r="E160" s="2312">
        <f t="shared" si="56"/>
        <v>1616.596803553</v>
      </c>
      <c r="F160" s="2312">
        <f t="shared" si="56"/>
        <v>4849.6899029530014</v>
      </c>
      <c r="G160" s="2312">
        <f t="shared" si="56"/>
        <v>25777.986091371495</v>
      </c>
      <c r="H160" s="2312">
        <f t="shared" si="56"/>
        <v>27451.71145197533</v>
      </c>
      <c r="I160" s="2314">
        <f t="shared" si="55"/>
        <v>6.4928476362397888E-2</v>
      </c>
    </row>
    <row r="163" spans="2:7" ht="21">
      <c r="B163" s="2212"/>
    </row>
    <row r="164" spans="2:7" ht="21">
      <c r="B164" s="2212"/>
      <c r="E164" s="2309" t="s">
        <v>1227</v>
      </c>
      <c r="F164" s="3268" t="s">
        <v>1226</v>
      </c>
      <c r="G164" s="3269"/>
    </row>
    <row r="165" spans="2:7">
      <c r="B165" s="2752" t="s">
        <v>1174</v>
      </c>
      <c r="C165" s="2756">
        <v>102606607.67000002</v>
      </c>
      <c r="D165" s="2213" t="s">
        <v>6</v>
      </c>
      <c r="E165" s="2214">
        <f>C167/1000000</f>
        <v>79.395645309999992</v>
      </c>
      <c r="F165" s="2214">
        <v>177.9647588</v>
      </c>
      <c r="G165" s="2214">
        <f>F165+E165</f>
        <v>257.36040410999999</v>
      </c>
    </row>
    <row r="166" spans="2:7">
      <c r="B166" s="2753" t="s">
        <v>114</v>
      </c>
      <c r="C166" s="2757">
        <v>53474815.079999983</v>
      </c>
      <c r="D166" s="2213" t="s">
        <v>7</v>
      </c>
      <c r="E166" s="2214">
        <f>C166/1000000</f>
        <v>53.474815079999985</v>
      </c>
      <c r="F166" s="2214">
        <v>11.236000000000001</v>
      </c>
      <c r="G166" s="2214">
        <f t="shared" ref="G166:G174" si="57">F166+E166</f>
        <v>64.710815079999989</v>
      </c>
    </row>
    <row r="167" spans="2:7">
      <c r="B167" s="2753" t="s">
        <v>107</v>
      </c>
      <c r="C167" s="2757">
        <v>79395645.309999987</v>
      </c>
      <c r="D167" s="2213" t="s">
        <v>8</v>
      </c>
      <c r="E167" s="2214">
        <f>C165/1000000</f>
        <v>102.60660767000002</v>
      </c>
      <c r="F167" s="2214">
        <v>148.24737313</v>
      </c>
      <c r="G167" s="2214">
        <f t="shared" si="57"/>
        <v>250.85398080000002</v>
      </c>
    </row>
    <row r="168" spans="2:7">
      <c r="B168" s="2753" t="s">
        <v>126</v>
      </c>
      <c r="C168" s="2757">
        <v>1020642205.8300003</v>
      </c>
      <c r="D168" s="2213" t="s">
        <v>4</v>
      </c>
      <c r="E168" s="2214">
        <f>C171/1000000</f>
        <v>57.303171539999994</v>
      </c>
      <c r="F168" s="2214">
        <v>14.06040285999997</v>
      </c>
      <c r="G168" s="2214">
        <f t="shared" si="57"/>
        <v>71.363574399999962</v>
      </c>
    </row>
    <row r="169" spans="2:7">
      <c r="B169" s="2753" t="s">
        <v>1175</v>
      </c>
      <c r="C169" s="2757">
        <v>30185657.069999997</v>
      </c>
      <c r="D169" s="2213" t="s">
        <v>3</v>
      </c>
      <c r="E169" s="2214">
        <f>C168/1000000</f>
        <v>1020.6422058300003</v>
      </c>
      <c r="F169" s="2214">
        <v>204.11288067599997</v>
      </c>
      <c r="G169" s="2214">
        <f t="shared" si="57"/>
        <v>1224.7550865060002</v>
      </c>
    </row>
    <row r="170" spans="2:7">
      <c r="B170" s="2753" t="s">
        <v>1176</v>
      </c>
      <c r="C170" s="2757">
        <v>6952740.9199999999</v>
      </c>
      <c r="D170" s="2213" t="s">
        <v>397</v>
      </c>
      <c r="E170" s="2214">
        <f>C170/1000000</f>
        <v>6.9527409200000001</v>
      </c>
      <c r="F170" s="2214">
        <v>177.98392722</v>
      </c>
      <c r="G170" s="2214">
        <f t="shared" si="57"/>
        <v>184.93666813999999</v>
      </c>
    </row>
    <row r="171" spans="2:7">
      <c r="B171" s="2753" t="s">
        <v>1177</v>
      </c>
      <c r="C171" s="2757">
        <v>57303171.539999992</v>
      </c>
      <c r="D171" s="2213" t="s">
        <v>399</v>
      </c>
      <c r="E171" s="2214">
        <f>C169/1000000</f>
        <v>30.185657069999998</v>
      </c>
      <c r="F171" s="2214">
        <v>57.204291219999988</v>
      </c>
      <c r="G171" s="2214">
        <f t="shared" si="57"/>
        <v>87.389948289999978</v>
      </c>
    </row>
    <row r="172" spans="2:7">
      <c r="B172" s="2753" t="s">
        <v>907</v>
      </c>
      <c r="C172" s="2757">
        <v>136622129.09999999</v>
      </c>
      <c r="D172" s="2213" t="s">
        <v>883</v>
      </c>
      <c r="E172" s="2214">
        <f>C172/1000000</f>
        <v>136.6221291</v>
      </c>
      <c r="F172" s="2214">
        <v>78.017769209999969</v>
      </c>
      <c r="G172" s="2214">
        <f t="shared" si="57"/>
        <v>214.63989830999998</v>
      </c>
    </row>
    <row r="173" spans="2:7">
      <c r="B173" s="2753" t="s">
        <v>1110</v>
      </c>
      <c r="C173" s="2757">
        <v>100264789.78300004</v>
      </c>
      <c r="D173" s="2213" t="s">
        <v>884</v>
      </c>
      <c r="E173" s="2214">
        <f>C173/1000000</f>
        <v>100.26478978300004</v>
      </c>
      <c r="F173" s="2214">
        <v>45.85244624000002</v>
      </c>
      <c r="G173" s="2214">
        <f t="shared" si="57"/>
        <v>146.11723602300006</v>
      </c>
    </row>
    <row r="174" spans="2:7" ht="14.4" thickBot="1">
      <c r="B174" s="2754" t="s">
        <v>894</v>
      </c>
      <c r="C174" s="2758">
        <v>29149041.249999996</v>
      </c>
      <c r="D174" s="2213" t="s">
        <v>885</v>
      </c>
      <c r="E174" s="2214">
        <f>C174/1000000</f>
        <v>29.149041249999996</v>
      </c>
      <c r="F174" s="2214">
        <v>59.330039500000098</v>
      </c>
      <c r="G174" s="2214">
        <f t="shared" si="57"/>
        <v>88.479080750000094</v>
      </c>
    </row>
    <row r="175" spans="2:7" ht="16.2" thickBot="1">
      <c r="B175" s="2755" t="s">
        <v>933</v>
      </c>
      <c r="C175" s="2759">
        <v>1616596803.5530002</v>
      </c>
      <c r="E175" s="2312">
        <f>SUM(E165:E174)</f>
        <v>1616.596803553</v>
      </c>
      <c r="F175" s="2312">
        <f>SUM(F165:F174)</f>
        <v>974.00988885599998</v>
      </c>
      <c r="G175" s="2312">
        <f>F175+E175</f>
        <v>2590.6066924090001</v>
      </c>
    </row>
    <row r="176" spans="2:7" ht="21">
      <c r="B176" s="2212"/>
    </row>
    <row r="177" spans="2:2" ht="21">
      <c r="B177" s="2212"/>
    </row>
    <row r="178" spans="2:2" ht="21">
      <c r="B178" s="2212"/>
    </row>
    <row r="179" spans="2:2" ht="21">
      <c r="B179" s="2212"/>
    </row>
    <row r="180" spans="2:2" ht="21">
      <c r="B180" s="2212"/>
    </row>
    <row r="181" spans="2:2" ht="21">
      <c r="B181" s="2212"/>
    </row>
  </sheetData>
  <mergeCells count="45">
    <mergeCell ref="C148:D148"/>
    <mergeCell ref="E148:F148"/>
    <mergeCell ref="G148:H148"/>
    <mergeCell ref="B4:B5"/>
    <mergeCell ref="C4:D4"/>
    <mergeCell ref="E4:F4"/>
    <mergeCell ref="G4:H4"/>
    <mergeCell ref="B20:B21"/>
    <mergeCell ref="C20:D20"/>
    <mergeCell ref="E20:F20"/>
    <mergeCell ref="G20:H20"/>
    <mergeCell ref="B36:B37"/>
    <mergeCell ref="C36:D36"/>
    <mergeCell ref="E36:F36"/>
    <mergeCell ref="G36:H36"/>
    <mergeCell ref="B52:B53"/>
    <mergeCell ref="C52:D52"/>
    <mergeCell ref="E52:F52"/>
    <mergeCell ref="G52:H52"/>
    <mergeCell ref="B69:B70"/>
    <mergeCell ref="C69:D69"/>
    <mergeCell ref="E69:F69"/>
    <mergeCell ref="G69:H69"/>
    <mergeCell ref="B85:B86"/>
    <mergeCell ref="C85:D85"/>
    <mergeCell ref="E85:F85"/>
    <mergeCell ref="G85:H85"/>
    <mergeCell ref="Q85:V85"/>
    <mergeCell ref="K85:P85"/>
    <mergeCell ref="F164:G164"/>
    <mergeCell ref="I100:I101"/>
    <mergeCell ref="G100:G101"/>
    <mergeCell ref="H100:H101"/>
    <mergeCell ref="B131:B132"/>
    <mergeCell ref="C131:D131"/>
    <mergeCell ref="E131:F131"/>
    <mergeCell ref="G131:H131"/>
    <mergeCell ref="C115:D115"/>
    <mergeCell ref="E115:F115"/>
    <mergeCell ref="B100:B101"/>
    <mergeCell ref="C100:C101"/>
    <mergeCell ref="D100:D101"/>
    <mergeCell ref="E100:E101"/>
    <mergeCell ref="F100:F101"/>
    <mergeCell ref="B148:B149"/>
  </mergeCells>
  <conditionalFormatting sqref="C102:I112">
    <cfRule type="cellIs" dxfId="46" priority="1" operator="lessThan">
      <formula>0</formula>
    </cfRule>
    <cfRule type="cellIs" dxfId="45" priority="2" operator="greaterThan">
      <formula>0</formula>
    </cfRule>
  </conditionalFormatting>
  <conditionalFormatting sqref="I6:I16">
    <cfRule type="cellIs" dxfId="44" priority="17" operator="greaterThan">
      <formula>0</formula>
    </cfRule>
    <cfRule type="cellIs" dxfId="43" priority="18" operator="lessThanOrEqual">
      <formula>0</formula>
    </cfRule>
  </conditionalFormatting>
  <conditionalFormatting sqref="I22:I32">
    <cfRule type="cellIs" dxfId="42" priority="15" operator="greaterThan">
      <formula>0</formula>
    </cfRule>
    <cfRule type="cellIs" dxfId="41" priority="16" operator="lessThanOrEqual">
      <formula>0</formula>
    </cfRule>
  </conditionalFormatting>
  <conditionalFormatting sqref="I38:I48">
    <cfRule type="cellIs" dxfId="40" priority="13" operator="greaterThan">
      <formula>0</formula>
    </cfRule>
    <cfRule type="cellIs" dxfId="39" priority="14" operator="lessThanOrEqual">
      <formula>0</formula>
    </cfRule>
  </conditionalFormatting>
  <conditionalFormatting sqref="I54:I64">
    <cfRule type="cellIs" dxfId="38" priority="11" operator="greaterThan">
      <formula>0</formula>
    </cfRule>
    <cfRule type="cellIs" dxfId="37" priority="12" operator="lessThanOrEqual">
      <formula>0</formula>
    </cfRule>
  </conditionalFormatting>
  <conditionalFormatting sqref="I71:I81">
    <cfRule type="cellIs" dxfId="36" priority="7" operator="greaterThan">
      <formula>0</formula>
    </cfRule>
    <cfRule type="cellIs" dxfId="35" priority="8" operator="lessThanOrEqual">
      <formula>0</formula>
    </cfRule>
  </conditionalFormatting>
  <conditionalFormatting sqref="I87:I97">
    <cfRule type="cellIs" dxfId="34" priority="9" operator="greaterThan">
      <formula>0</formula>
    </cfRule>
    <cfRule type="cellIs" dxfId="33" priority="10" operator="lessThanOrEqual">
      <formula>0</formula>
    </cfRule>
  </conditionalFormatting>
  <conditionalFormatting sqref="I133:I143">
    <cfRule type="cellIs" dxfId="32" priority="5" operator="greaterThan">
      <formula>0</formula>
    </cfRule>
    <cfRule type="cellIs" dxfId="31" priority="6" operator="lessThanOrEqual">
      <formula>0</formula>
    </cfRule>
  </conditionalFormatting>
  <conditionalFormatting sqref="I150:I160">
    <cfRule type="cellIs" dxfId="30" priority="3" operator="greaterThan">
      <formula>0</formula>
    </cfRule>
    <cfRule type="cellIs" dxfId="29" priority="4" operator="lessThanOrEqual">
      <formula>0</formula>
    </cfRule>
  </conditionalFormatting>
  <pageMargins left="0.7" right="0.7" top="0.75" bottom="0.75" header="0.3" footer="0.3"/>
  <pageSetup paperSize="9" orientation="portrait" r:id="rId1"/>
</worksheet>
</file>

<file path=xl/worksheets/sheet3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F00-000000000000}">
  <sheetPr>
    <tabColor rgb="FFFF0000"/>
  </sheetPr>
  <dimension ref="A1:BY158"/>
  <sheetViews>
    <sheetView showGridLines="0" tabSelected="1" topLeftCell="AP47" zoomScale="70" zoomScaleNormal="70" zoomScaleSheetLayoutView="70" workbookViewId="0">
      <selection activeCell="AR62" sqref="AR62"/>
    </sheetView>
  </sheetViews>
  <sheetFormatPr baseColWidth="10" defaultColWidth="11.44140625" defaultRowHeight="13.8"/>
  <cols>
    <col min="1" max="1" width="5" style="1517" bestFit="1" customWidth="1"/>
    <col min="2" max="2" width="24" style="1517" customWidth="1"/>
    <col min="3" max="3" width="19.88671875" style="1517" bestFit="1" customWidth="1"/>
    <col min="4" max="4" width="22.44140625" style="1517" customWidth="1"/>
    <col min="5" max="5" width="11.33203125" style="1517" customWidth="1"/>
    <col min="6" max="6" width="19.44140625" style="1517" customWidth="1"/>
    <col min="7" max="7" width="16.33203125" style="1517" bestFit="1" customWidth="1"/>
    <col min="8" max="9" width="11.33203125" style="1517" bestFit="1" customWidth="1"/>
    <col min="10" max="10" width="14.44140625" style="1517" bestFit="1" customWidth="1"/>
    <col min="11" max="11" width="12.88671875" style="1517" bestFit="1" customWidth="1"/>
    <col min="12" max="14" width="12.88671875" style="1517" customWidth="1"/>
    <col min="15" max="15" width="13.88671875" style="1517" customWidth="1"/>
    <col min="16" max="16" width="18.88671875" style="1517" customWidth="1"/>
    <col min="17" max="17" width="9.33203125" style="1517" customWidth="1"/>
    <col min="18" max="33" width="13.5546875" style="1517" customWidth="1"/>
    <col min="34" max="37" width="18.33203125" style="1517" customWidth="1"/>
    <col min="38" max="38" width="3.33203125" style="2162" customWidth="1"/>
    <col min="39" max="39" width="3.44140625" style="2162" customWidth="1"/>
    <col min="40" max="40" width="12.6640625" style="1517" customWidth="1"/>
    <col min="41" max="41" width="19.88671875" style="1517" bestFit="1" customWidth="1"/>
    <col min="42" max="42" width="18" style="1517" customWidth="1"/>
    <col min="43" max="43" width="12.6640625" style="1517" customWidth="1"/>
    <col min="44" max="44" width="19.88671875" style="1517" bestFit="1" customWidth="1"/>
    <col min="45" max="45" width="13.6640625" style="1517" customWidth="1"/>
    <col min="46" max="46" width="11.33203125" style="1517" customWidth="1"/>
    <col min="47" max="47" width="17.6640625" style="1517" customWidth="1"/>
    <col min="48" max="48" width="18" style="1517" customWidth="1"/>
    <col min="49" max="50" width="12.88671875" style="1517" customWidth="1"/>
    <col min="51" max="51" width="11.44140625" style="1517" bestFit="1" customWidth="1"/>
    <col min="52" max="52" width="11.88671875" style="1517" customWidth="1"/>
    <col min="53" max="53" width="12.88671875" style="1517" customWidth="1"/>
    <col min="54" max="54" width="13.109375" style="1517" customWidth="1"/>
    <col min="55" max="55" width="13.33203125" style="1517" customWidth="1"/>
    <col min="56" max="59" width="13.5546875" style="1517" customWidth="1"/>
    <col min="60" max="60" width="17.6640625" style="1517" customWidth="1"/>
    <col min="61" max="71" width="13.5546875" style="1517" customWidth="1"/>
    <col min="72" max="72" width="11.44140625" style="1517"/>
    <col min="73" max="73" width="14.109375" style="1517" bestFit="1" customWidth="1"/>
    <col min="74" max="74" width="21.44140625" style="1517" bestFit="1" customWidth="1"/>
    <col min="75" max="75" width="16" style="1517" customWidth="1"/>
    <col min="76" max="76" width="13" style="1517" customWidth="1"/>
    <col min="77" max="16384" width="11.44140625" style="1517"/>
  </cols>
  <sheetData>
    <row r="1" spans="2:74" ht="21">
      <c r="B1" s="1987">
        <v>44896</v>
      </c>
      <c r="C1" s="3294" t="s">
        <v>359</v>
      </c>
      <c r="D1" s="3294"/>
      <c r="E1" s="3294"/>
      <c r="F1" s="3294"/>
      <c r="G1" s="3294"/>
      <c r="H1" s="3294"/>
      <c r="I1" s="3294"/>
      <c r="J1" s="3294"/>
      <c r="K1" s="3294"/>
      <c r="L1" s="2094"/>
      <c r="M1" s="2094"/>
      <c r="N1" s="2094"/>
      <c r="O1" s="2094"/>
      <c r="U1" s="3294" t="s">
        <v>1026</v>
      </c>
      <c r="V1" s="3294"/>
      <c r="W1" s="3294"/>
      <c r="X1" s="3294"/>
      <c r="Y1" s="3294"/>
      <c r="Z1" s="3294"/>
      <c r="AA1" s="3294"/>
      <c r="AB1" s="3294"/>
      <c r="AC1" s="3294"/>
      <c r="AD1" s="2094"/>
      <c r="AE1" s="2094"/>
      <c r="AF1" s="2094"/>
      <c r="AG1" s="2094"/>
      <c r="AH1" s="2094"/>
      <c r="AI1" s="2094"/>
      <c r="AJ1" s="2094"/>
      <c r="AK1" s="2094"/>
      <c r="AN1" s="1987">
        <v>45261</v>
      </c>
      <c r="AO1" s="3294" t="s">
        <v>359</v>
      </c>
      <c r="AP1" s="3294"/>
      <c r="AQ1" s="3294"/>
      <c r="AR1" s="3294"/>
      <c r="AS1" s="3294"/>
      <c r="AT1" s="3294"/>
      <c r="AU1" s="3294"/>
      <c r="AV1" s="3294"/>
      <c r="AW1" s="3294"/>
      <c r="AX1" s="2094"/>
      <c r="AY1" s="2094"/>
      <c r="AZ1" s="2094"/>
      <c r="BA1" s="2094"/>
      <c r="BG1" s="3294" t="s">
        <v>1026</v>
      </c>
      <c r="BH1" s="3294"/>
      <c r="BI1" s="3294"/>
      <c r="BJ1" s="3294"/>
      <c r="BK1" s="3294"/>
      <c r="BL1" s="3294"/>
      <c r="BM1" s="3294"/>
      <c r="BN1" s="3294"/>
      <c r="BO1" s="3294"/>
      <c r="BP1" s="2094"/>
      <c r="BQ1" s="2094"/>
      <c r="BR1" s="2094"/>
      <c r="BS1" s="2094"/>
      <c r="BU1" s="3300">
        <v>45261</v>
      </c>
      <c r="BV1" s="3301"/>
    </row>
    <row r="2" spans="2:74" ht="15" customHeight="1">
      <c r="B2" s="3308" t="s">
        <v>308</v>
      </c>
      <c r="C2" s="3290" t="s">
        <v>925</v>
      </c>
      <c r="D2" s="3290"/>
      <c r="E2" s="3290"/>
      <c r="F2" s="3290"/>
      <c r="G2" s="3290"/>
      <c r="H2" s="3290" t="s">
        <v>318</v>
      </c>
      <c r="I2" s="3290"/>
      <c r="J2" s="3290"/>
      <c r="K2" s="3302" t="s">
        <v>926</v>
      </c>
      <c r="L2" s="3295" t="s">
        <v>1001</v>
      </c>
      <c r="M2" s="3296"/>
      <c r="N2" s="3297"/>
      <c r="O2" s="3278" t="s">
        <v>714</v>
      </c>
      <c r="P2" s="3291" t="s">
        <v>763</v>
      </c>
      <c r="Q2" s="3292"/>
      <c r="R2" s="3292"/>
      <c r="S2" s="3292"/>
      <c r="T2" s="3293"/>
      <c r="U2" s="3290" t="s">
        <v>925</v>
      </c>
      <c r="V2" s="3290"/>
      <c r="W2" s="3290"/>
      <c r="X2" s="3290"/>
      <c r="Y2" s="3290"/>
      <c r="Z2" s="3290" t="s">
        <v>318</v>
      </c>
      <c r="AA2" s="3290"/>
      <c r="AB2" s="3290"/>
      <c r="AC2" s="3302" t="s">
        <v>926</v>
      </c>
      <c r="AD2" s="3295" t="s">
        <v>1001</v>
      </c>
      <c r="AE2" s="3296"/>
      <c r="AF2" s="3297"/>
      <c r="AG2" s="3278" t="s">
        <v>714</v>
      </c>
      <c r="AH2" s="2356"/>
      <c r="AI2" s="2356"/>
      <c r="AJ2" s="2356"/>
      <c r="AK2" s="2356"/>
      <c r="AN2" s="3308" t="s">
        <v>308</v>
      </c>
      <c r="AO2" s="3290" t="s">
        <v>925</v>
      </c>
      <c r="AP2" s="3290"/>
      <c r="AQ2" s="3290"/>
      <c r="AR2" s="3290"/>
      <c r="AS2" s="3290"/>
      <c r="AT2" s="3290" t="s">
        <v>318</v>
      </c>
      <c r="AU2" s="3290"/>
      <c r="AV2" s="3290"/>
      <c r="AW2" s="3302" t="s">
        <v>926</v>
      </c>
      <c r="AX2" s="3295" t="s">
        <v>1001</v>
      </c>
      <c r="AY2" s="3296"/>
      <c r="AZ2" s="3297"/>
      <c r="BA2" s="3278" t="s">
        <v>714</v>
      </c>
      <c r="BB2" s="3291" t="s">
        <v>763</v>
      </c>
      <c r="BC2" s="3292"/>
      <c r="BD2" s="3292"/>
      <c r="BE2" s="3292"/>
      <c r="BF2" s="3293"/>
      <c r="BG2" s="3290" t="s">
        <v>925</v>
      </c>
      <c r="BH2" s="3290"/>
      <c r="BI2" s="3290"/>
      <c r="BJ2" s="3290"/>
      <c r="BK2" s="3290"/>
      <c r="BL2" s="3290" t="s">
        <v>318</v>
      </c>
      <c r="BM2" s="3290"/>
      <c r="BN2" s="3290"/>
      <c r="BO2" s="3302" t="s">
        <v>926</v>
      </c>
      <c r="BP2" s="3295" t="s">
        <v>1001</v>
      </c>
      <c r="BQ2" s="3296"/>
      <c r="BR2" s="3297"/>
      <c r="BS2" s="3278" t="s">
        <v>714</v>
      </c>
      <c r="BU2" s="3278" t="s">
        <v>198</v>
      </c>
      <c r="BV2" s="3278" t="s">
        <v>199</v>
      </c>
    </row>
    <row r="3" spans="2:74" ht="15" customHeight="1">
      <c r="B3" s="3309"/>
      <c r="C3" s="1988" t="s">
        <v>927</v>
      </c>
      <c r="D3" s="1988" t="s">
        <v>928</v>
      </c>
      <c r="E3" s="1988" t="s">
        <v>185</v>
      </c>
      <c r="F3" s="1988" t="s">
        <v>395</v>
      </c>
      <c r="G3" s="1988" t="s">
        <v>929</v>
      </c>
      <c r="H3" s="1988" t="s">
        <v>930</v>
      </c>
      <c r="I3" s="1988" t="s">
        <v>18</v>
      </c>
      <c r="J3" s="1988" t="s">
        <v>726</v>
      </c>
      <c r="K3" s="3302"/>
      <c r="L3" s="1988" t="s">
        <v>318</v>
      </c>
      <c r="M3" s="1988" t="s">
        <v>766</v>
      </c>
      <c r="N3" s="1988" t="s">
        <v>511</v>
      </c>
      <c r="O3" s="3279"/>
      <c r="P3" s="1989" t="s">
        <v>931</v>
      </c>
      <c r="Q3" s="1989" t="s">
        <v>792</v>
      </c>
      <c r="R3" s="1989" t="s">
        <v>932</v>
      </c>
      <c r="S3" s="1989" t="s">
        <v>185</v>
      </c>
      <c r="T3" s="1989" t="s">
        <v>18</v>
      </c>
      <c r="U3" s="1988" t="s">
        <v>927</v>
      </c>
      <c r="V3" s="1988" t="s">
        <v>928</v>
      </c>
      <c r="W3" s="1988" t="s">
        <v>185</v>
      </c>
      <c r="X3" s="1988" t="s">
        <v>395</v>
      </c>
      <c r="Y3" s="1988" t="s">
        <v>929</v>
      </c>
      <c r="Z3" s="1988" t="s">
        <v>930</v>
      </c>
      <c r="AA3" s="1988" t="s">
        <v>18</v>
      </c>
      <c r="AB3" s="1988" t="s">
        <v>726</v>
      </c>
      <c r="AC3" s="3302"/>
      <c r="AD3" s="1988" t="s">
        <v>318</v>
      </c>
      <c r="AE3" s="1988" t="s">
        <v>766</v>
      </c>
      <c r="AF3" s="1988" t="s">
        <v>511</v>
      </c>
      <c r="AG3" s="3279"/>
      <c r="AH3" s="2356"/>
      <c r="AI3" s="2356"/>
      <c r="AJ3" s="2356"/>
      <c r="AK3" s="2356"/>
      <c r="AN3" s="3309"/>
      <c r="AO3" s="1988" t="s">
        <v>927</v>
      </c>
      <c r="AP3" s="1988" t="s">
        <v>928</v>
      </c>
      <c r="AQ3" s="1988" t="s">
        <v>185</v>
      </c>
      <c r="AR3" s="1988" t="s">
        <v>395</v>
      </c>
      <c r="AS3" s="1988" t="s">
        <v>929</v>
      </c>
      <c r="AT3" s="1988" t="s">
        <v>930</v>
      </c>
      <c r="AU3" s="1988" t="s">
        <v>18</v>
      </c>
      <c r="AV3" s="1988" t="s">
        <v>726</v>
      </c>
      <c r="AW3" s="3302"/>
      <c r="AX3" s="1988" t="s">
        <v>318</v>
      </c>
      <c r="AY3" s="1988" t="s">
        <v>766</v>
      </c>
      <c r="AZ3" s="1988" t="s">
        <v>511</v>
      </c>
      <c r="BA3" s="3279"/>
      <c r="BB3" s="1989" t="s">
        <v>931</v>
      </c>
      <c r="BC3" s="1989" t="s">
        <v>792</v>
      </c>
      <c r="BD3" s="1989" t="s">
        <v>932</v>
      </c>
      <c r="BE3" s="1989" t="s">
        <v>185</v>
      </c>
      <c r="BF3" s="1989" t="s">
        <v>18</v>
      </c>
      <c r="BG3" s="1988" t="s">
        <v>927</v>
      </c>
      <c r="BH3" s="1988" t="s">
        <v>928</v>
      </c>
      <c r="BI3" s="1988" t="s">
        <v>185</v>
      </c>
      <c r="BJ3" s="1988" t="s">
        <v>395</v>
      </c>
      <c r="BK3" s="1988" t="s">
        <v>929</v>
      </c>
      <c r="BL3" s="1988" t="s">
        <v>930</v>
      </c>
      <c r="BM3" s="1988" t="s">
        <v>18</v>
      </c>
      <c r="BN3" s="1988" t="s">
        <v>726</v>
      </c>
      <c r="BO3" s="3302"/>
      <c r="BP3" s="1988" t="s">
        <v>318</v>
      </c>
      <c r="BQ3" s="1988" t="s">
        <v>766</v>
      </c>
      <c r="BR3" s="1988" t="s">
        <v>511</v>
      </c>
      <c r="BS3" s="3279"/>
      <c r="BU3" s="3279"/>
      <c r="BV3" s="3279"/>
    </row>
    <row r="4" spans="2:74" ht="15.6">
      <c r="B4" s="1990" t="s">
        <v>6</v>
      </c>
      <c r="C4" s="1991">
        <v>1358.1128076999996</v>
      </c>
      <c r="D4" s="1991">
        <v>378.76272900999896</v>
      </c>
      <c r="E4" s="1991">
        <v>0.23491958000000887</v>
      </c>
      <c r="F4" s="1991">
        <v>62.102812489999998</v>
      </c>
      <c r="G4" s="1991">
        <v>1799.2132687799985</v>
      </c>
      <c r="H4" s="1991">
        <v>474.4958587000001</v>
      </c>
      <c r="I4" s="1991">
        <v>244.62539106999989</v>
      </c>
      <c r="J4" s="1991">
        <v>719.12124976999996</v>
      </c>
      <c r="K4" s="1991">
        <v>2518.3345185499984</v>
      </c>
      <c r="L4" s="1991">
        <v>57.168898800000001</v>
      </c>
      <c r="M4" s="1991">
        <v>28.899000000000001</v>
      </c>
      <c r="N4" s="1991">
        <v>86.067898799999995</v>
      </c>
      <c r="O4" s="1991">
        <v>2604.4024173499984</v>
      </c>
      <c r="P4" s="1992">
        <v>126.538</v>
      </c>
      <c r="Q4" s="1992">
        <v>62.102812489999998</v>
      </c>
      <c r="R4" s="1992">
        <v>0</v>
      </c>
      <c r="S4" s="1992"/>
      <c r="T4" s="1992"/>
      <c r="U4" s="1991">
        <v>1358.1128076999996</v>
      </c>
      <c r="V4" s="1991">
        <v>252.22472900999895</v>
      </c>
      <c r="W4" s="1991">
        <v>0.23491958000000887</v>
      </c>
      <c r="X4" s="1991">
        <v>0</v>
      </c>
      <c r="Y4" s="1991">
        <v>1610.5724562899986</v>
      </c>
      <c r="Z4" s="1991">
        <v>474.4958587000001</v>
      </c>
      <c r="AA4" s="1991">
        <v>244.62539106999989</v>
      </c>
      <c r="AB4" s="1991">
        <v>719.12124976999996</v>
      </c>
      <c r="AC4" s="1991">
        <v>2329.6937060599985</v>
      </c>
      <c r="AD4" s="1991">
        <v>57.168898800000001</v>
      </c>
      <c r="AE4" s="1991">
        <v>28.899000000000001</v>
      </c>
      <c r="AF4" s="1991">
        <v>86.067898799999995</v>
      </c>
      <c r="AG4" s="1991">
        <v>2415.7616048599984</v>
      </c>
      <c r="AH4" s="2357"/>
      <c r="AI4" s="2357"/>
      <c r="AJ4" s="2357"/>
      <c r="AK4" s="2357"/>
      <c r="AN4" s="1990" t="s">
        <v>6</v>
      </c>
      <c r="AO4" s="1991">
        <v>971.47238308999999</v>
      </c>
      <c r="AP4" s="1991">
        <v>776.8180182599998</v>
      </c>
      <c r="AQ4" s="1991">
        <v>0.19742166000000724</v>
      </c>
      <c r="AR4" s="1991">
        <v>29.221689469999998</v>
      </c>
      <c r="AS4" s="1991">
        <v>1777.7095124799996</v>
      </c>
      <c r="AT4" s="1991">
        <v>472.67187944000005</v>
      </c>
      <c r="AU4" s="1991">
        <v>326.4879944999999</v>
      </c>
      <c r="AV4" s="1991">
        <v>799.1598739399999</v>
      </c>
      <c r="AW4" s="1991">
        <v>2576.8693864199995</v>
      </c>
      <c r="AX4" s="1991">
        <v>177.9647588</v>
      </c>
      <c r="AY4" s="1991">
        <v>28.899000000000001</v>
      </c>
      <c r="AZ4" s="1991">
        <v>206.8637588</v>
      </c>
      <c r="BA4" s="1991">
        <v>2783.7331452199996</v>
      </c>
      <c r="BB4" s="1992">
        <v>574.15843999999993</v>
      </c>
      <c r="BC4" s="1992">
        <v>15.324999999999999</v>
      </c>
      <c r="BD4" s="1992">
        <v>7.0242599999999999</v>
      </c>
      <c r="BE4" s="1992"/>
      <c r="BF4" s="1992">
        <v>21.678000000000001</v>
      </c>
      <c r="BG4" s="1991">
        <v>971.47238308999999</v>
      </c>
      <c r="BH4" s="1991">
        <v>202.65957825999988</v>
      </c>
      <c r="BI4" s="1991">
        <v>0.19742166000000724</v>
      </c>
      <c r="BJ4" s="1991">
        <v>13.896689469999998</v>
      </c>
      <c r="BK4" s="1991">
        <v>1188.2260724799999</v>
      </c>
      <c r="BL4" s="1991">
        <v>465.64761944000003</v>
      </c>
      <c r="BM4" s="1991">
        <v>304.8099944999999</v>
      </c>
      <c r="BN4" s="1991">
        <v>770.45761393999987</v>
      </c>
      <c r="BO4" s="1991">
        <v>1958.6836864199997</v>
      </c>
      <c r="BP4" s="1991">
        <v>177.9647588</v>
      </c>
      <c r="BQ4" s="1991">
        <v>28.899000000000001</v>
      </c>
      <c r="BR4" s="1991">
        <v>206.8637588</v>
      </c>
      <c r="BS4" s="1991">
        <v>2165.5474452199996</v>
      </c>
      <c r="BU4" s="1991">
        <v>29.221689469999998</v>
      </c>
      <c r="BV4" s="1991">
        <v>0</v>
      </c>
    </row>
    <row r="5" spans="2:74" ht="15.6">
      <c r="B5" s="1990" t="s">
        <v>7</v>
      </c>
      <c r="C5" s="1991">
        <v>604.36825794000083</v>
      </c>
      <c r="D5" s="1991">
        <v>157.83199999999999</v>
      </c>
      <c r="E5" s="1991">
        <v>0.48439999999999417</v>
      </c>
      <c r="F5" s="1991">
        <v>271.62992905999999</v>
      </c>
      <c r="G5" s="1991">
        <v>1034.3145870000008</v>
      </c>
      <c r="H5" s="1991">
        <v>155.9</v>
      </c>
      <c r="I5" s="1991">
        <v>73.584000000000003</v>
      </c>
      <c r="J5" s="1991">
        <v>229.48400000000001</v>
      </c>
      <c r="K5" s="1991">
        <v>1263.7985870000007</v>
      </c>
      <c r="L5" s="1991">
        <v>15.378</v>
      </c>
      <c r="M5" s="1991">
        <v>0</v>
      </c>
      <c r="N5" s="1991">
        <v>15.378</v>
      </c>
      <c r="O5" s="1991">
        <v>1279.1765870000006</v>
      </c>
      <c r="P5" s="1992">
        <v>113.15900000000001</v>
      </c>
      <c r="Q5" s="1992">
        <v>254.19723730000004</v>
      </c>
      <c r="R5" s="1992">
        <v>0</v>
      </c>
      <c r="S5" s="1992"/>
      <c r="T5" s="1992"/>
      <c r="U5" s="1991">
        <v>604.36825794000083</v>
      </c>
      <c r="V5" s="1991">
        <v>44.672999999999988</v>
      </c>
      <c r="W5" s="1991">
        <v>0.48439999999999417</v>
      </c>
      <c r="X5" s="1991">
        <v>17.432691759999955</v>
      </c>
      <c r="Y5" s="1991">
        <v>666.95834970000078</v>
      </c>
      <c r="Z5" s="1991">
        <v>155.9</v>
      </c>
      <c r="AA5" s="1991">
        <v>73.584000000000003</v>
      </c>
      <c r="AB5" s="1991">
        <v>229.48400000000001</v>
      </c>
      <c r="AC5" s="1991">
        <v>896.44234970000082</v>
      </c>
      <c r="AD5" s="1991">
        <v>15.378</v>
      </c>
      <c r="AE5" s="1991">
        <v>0</v>
      </c>
      <c r="AF5" s="1991">
        <v>15.378</v>
      </c>
      <c r="AG5" s="1991">
        <v>911.82034970000086</v>
      </c>
      <c r="AH5" s="2357"/>
      <c r="AI5" s="2357"/>
      <c r="AJ5" s="2357"/>
      <c r="AK5" s="2357"/>
      <c r="AN5" s="1990" t="s">
        <v>7</v>
      </c>
      <c r="AO5" s="1991">
        <v>341.06182731999979</v>
      </c>
      <c r="AP5" s="1991">
        <v>318.04000000000002</v>
      </c>
      <c r="AQ5" s="1991">
        <v>0.35322000000000114</v>
      </c>
      <c r="AR5" s="1991">
        <v>138.3148176</v>
      </c>
      <c r="AS5" s="1991">
        <v>797.76986491999969</v>
      </c>
      <c r="AT5" s="1991">
        <v>35.567999999999998</v>
      </c>
      <c r="AU5" s="1991">
        <v>36.146229999999981</v>
      </c>
      <c r="AV5" s="1991">
        <v>71.714229999999986</v>
      </c>
      <c r="AW5" s="1991">
        <v>869.48409491999973</v>
      </c>
      <c r="AX5" s="1991">
        <v>120.79326428999997</v>
      </c>
      <c r="AY5" s="1991">
        <v>0</v>
      </c>
      <c r="AZ5" s="1991">
        <v>120.79326428999997</v>
      </c>
      <c r="BA5" s="1991">
        <v>990.27735920999976</v>
      </c>
      <c r="BB5" s="1992">
        <v>301.483</v>
      </c>
      <c r="BC5" s="1992">
        <v>124.59984730000002</v>
      </c>
      <c r="BD5" s="1992">
        <v>0</v>
      </c>
      <c r="BE5" s="1992"/>
      <c r="BF5" s="1992"/>
      <c r="BG5" s="1991">
        <v>341.06182731999979</v>
      </c>
      <c r="BH5" s="1991">
        <v>16.557000000000016</v>
      </c>
      <c r="BI5" s="1991">
        <v>0.35322000000000114</v>
      </c>
      <c r="BJ5" s="1991">
        <v>13.714970299999976</v>
      </c>
      <c r="BK5" s="1991">
        <v>371.68701761999978</v>
      </c>
      <c r="BL5" s="1991">
        <v>35.567999999999998</v>
      </c>
      <c r="BM5" s="1991">
        <v>36.146229999999981</v>
      </c>
      <c r="BN5" s="1991">
        <v>71.714229999999986</v>
      </c>
      <c r="BO5" s="1991">
        <v>443.40124761999976</v>
      </c>
      <c r="BP5" s="1991">
        <v>120.79326428999997</v>
      </c>
      <c r="BQ5" s="1991">
        <v>0</v>
      </c>
      <c r="BR5" s="1991">
        <v>120.79326428999997</v>
      </c>
      <c r="BS5" s="1991">
        <v>564.19451190999973</v>
      </c>
      <c r="BU5" s="1991">
        <v>124.59984730000002</v>
      </c>
      <c r="BV5" s="1991">
        <v>13.714970299999987</v>
      </c>
    </row>
    <row r="6" spans="2:74" ht="15.6">
      <c r="B6" s="1990" t="s">
        <v>8</v>
      </c>
      <c r="C6" s="1991">
        <v>418.19307627999945</v>
      </c>
      <c r="D6" s="1991">
        <v>98.500589550000015</v>
      </c>
      <c r="E6" s="1991">
        <v>6.0963404799999115</v>
      </c>
      <c r="F6" s="1991">
        <v>10.668661699999996</v>
      </c>
      <c r="G6" s="1991">
        <v>533.45866800999931</v>
      </c>
      <c r="H6" s="1991">
        <v>164.08115692999999</v>
      </c>
      <c r="I6" s="1991">
        <v>75.033514210000988</v>
      </c>
      <c r="J6" s="1991">
        <v>239.11467114000098</v>
      </c>
      <c r="K6" s="1991">
        <v>772.57333915000027</v>
      </c>
      <c r="L6" s="1991">
        <v>65.668702960000019</v>
      </c>
      <c r="M6" s="1991">
        <v>8.4346230599999998</v>
      </c>
      <c r="N6" s="1991">
        <v>74.103326020000026</v>
      </c>
      <c r="O6" s="1991">
        <v>846.67666517000032</v>
      </c>
      <c r="P6" s="1992">
        <v>83.344339879999978</v>
      </c>
      <c r="Q6" s="1992">
        <v>0</v>
      </c>
      <c r="R6" s="1992">
        <v>110.66001235</v>
      </c>
      <c r="S6" s="1992">
        <v>1.0549999999999999</v>
      </c>
      <c r="T6" s="1992"/>
      <c r="U6" s="1991">
        <v>418.19307627999945</v>
      </c>
      <c r="V6" s="1991">
        <v>15.156249670000037</v>
      </c>
      <c r="W6" s="1991">
        <v>1.0546078499999001</v>
      </c>
      <c r="X6" s="1991">
        <v>10.668661699999996</v>
      </c>
      <c r="Y6" s="1991">
        <v>445.07259549999935</v>
      </c>
      <c r="Z6" s="1991">
        <v>53.421144579999989</v>
      </c>
      <c r="AA6" s="1991">
        <v>75.033514210000988</v>
      </c>
      <c r="AB6" s="1991">
        <v>128.45465879000096</v>
      </c>
      <c r="AC6" s="1991">
        <v>573.52725429000031</v>
      </c>
      <c r="AD6" s="1991">
        <v>65.668702960000019</v>
      </c>
      <c r="AE6" s="1991">
        <v>8.4346230599999998</v>
      </c>
      <c r="AF6" s="1991">
        <v>74.103326020000026</v>
      </c>
      <c r="AG6" s="1991">
        <v>647.63058031000037</v>
      </c>
      <c r="AH6" s="2357"/>
      <c r="AI6" s="2357"/>
      <c r="AJ6" s="2357"/>
      <c r="AK6" s="2357"/>
      <c r="AN6" s="1990" t="s">
        <v>8</v>
      </c>
      <c r="AO6" s="1991">
        <v>268.41853426000057</v>
      </c>
      <c r="AP6" s="1991">
        <v>238.69598236000002</v>
      </c>
      <c r="AQ6" s="1991">
        <v>3.8824438899999949</v>
      </c>
      <c r="AR6" s="1991">
        <v>12.958085540000001</v>
      </c>
      <c r="AS6" s="1991">
        <v>523.95504605000053</v>
      </c>
      <c r="AT6" s="1991">
        <v>37.54416489200009</v>
      </c>
      <c r="AU6" s="1991">
        <v>51.125356579999966</v>
      </c>
      <c r="AV6" s="1991">
        <v>88.669521472000056</v>
      </c>
      <c r="AW6" s="1991">
        <v>612.62456752200058</v>
      </c>
      <c r="AX6" s="1991">
        <v>335.9196585900001</v>
      </c>
      <c r="AY6" s="1991">
        <v>7.6198801900000008</v>
      </c>
      <c r="AZ6" s="1991">
        <v>343.5395387800001</v>
      </c>
      <c r="BA6" s="1991">
        <v>956.16410630200062</v>
      </c>
      <c r="BB6" s="1992">
        <v>225.05535765699997</v>
      </c>
      <c r="BC6" s="1992">
        <v>0</v>
      </c>
      <c r="BD6" s="1992">
        <v>0</v>
      </c>
      <c r="BE6" s="1992">
        <v>3.2170000000000001</v>
      </c>
      <c r="BF6" s="1992"/>
      <c r="BG6" s="1991">
        <v>268.41853426000057</v>
      </c>
      <c r="BH6" s="1991">
        <v>13.640624703000043</v>
      </c>
      <c r="BI6" s="1991">
        <v>3.8824438899999949</v>
      </c>
      <c r="BJ6" s="1991">
        <v>12.958085540000001</v>
      </c>
      <c r="BK6" s="1991">
        <v>298.89968839300064</v>
      </c>
      <c r="BL6" s="1991">
        <v>37.54416489200009</v>
      </c>
      <c r="BM6" s="1991">
        <v>45.433447369999968</v>
      </c>
      <c r="BN6" s="1991">
        <v>82.977612262000065</v>
      </c>
      <c r="BO6" s="1991">
        <v>381.87730065500068</v>
      </c>
      <c r="BP6" s="1991">
        <v>335.9196585900001</v>
      </c>
      <c r="BQ6" s="1991">
        <v>7.6198801900000008</v>
      </c>
      <c r="BR6" s="1991">
        <v>343.5395387800001</v>
      </c>
      <c r="BS6" s="1991">
        <v>725.41683943500084</v>
      </c>
      <c r="BU6" s="1991">
        <v>0</v>
      </c>
      <c r="BV6" s="1991">
        <v>12.958085540000001</v>
      </c>
    </row>
    <row r="7" spans="2:74" ht="15.6">
      <c r="B7" s="1990" t="s">
        <v>4</v>
      </c>
      <c r="C7" s="1991">
        <v>1014.0419708399984</v>
      </c>
      <c r="D7" s="1991">
        <v>39.766516319999646</v>
      </c>
      <c r="E7" s="1991">
        <v>7.3690297999999599</v>
      </c>
      <c r="F7" s="1991">
        <v>0</v>
      </c>
      <c r="G7" s="1991">
        <v>1061.177516959998</v>
      </c>
      <c r="H7" s="1991">
        <v>250.87102997000002</v>
      </c>
      <c r="I7" s="1991">
        <v>193.99336580000002</v>
      </c>
      <c r="J7" s="1991">
        <v>444.86439577000004</v>
      </c>
      <c r="K7" s="1991">
        <v>1506.0419127299981</v>
      </c>
      <c r="L7" s="1991">
        <v>14.06040285999997</v>
      </c>
      <c r="M7" s="1991">
        <v>0</v>
      </c>
      <c r="N7" s="1991">
        <v>14.06040285999997</v>
      </c>
      <c r="O7" s="1991">
        <v>1520.1023155899982</v>
      </c>
      <c r="P7" s="1992">
        <v>11.334732150000001</v>
      </c>
      <c r="Q7" s="1992">
        <v>0</v>
      </c>
      <c r="R7" s="1992">
        <v>0</v>
      </c>
      <c r="S7" s="1992"/>
      <c r="T7" s="1992"/>
      <c r="U7" s="1991">
        <v>1014.0419708399984</v>
      </c>
      <c r="V7" s="1991">
        <v>28.431784169999645</v>
      </c>
      <c r="W7" s="1991">
        <v>7.3690297999999599</v>
      </c>
      <c r="X7" s="2126">
        <v>0</v>
      </c>
      <c r="Y7" s="1991">
        <v>1049.842784809998</v>
      </c>
      <c r="Z7" s="1991">
        <v>250.87102997000002</v>
      </c>
      <c r="AA7" s="1991">
        <v>193.99336580000002</v>
      </c>
      <c r="AB7" s="1991">
        <v>444.86439577000004</v>
      </c>
      <c r="AC7" s="1991">
        <v>1494.7071805799981</v>
      </c>
      <c r="AD7" s="1991">
        <v>14.06040285999997</v>
      </c>
      <c r="AE7" s="1991">
        <v>0</v>
      </c>
      <c r="AF7" s="1991">
        <v>14.06040285999997</v>
      </c>
      <c r="AG7" s="1991">
        <v>1508.7675834399981</v>
      </c>
      <c r="AH7" s="2357"/>
      <c r="AI7" s="2357"/>
      <c r="AJ7" s="2357"/>
      <c r="AK7" s="2357"/>
      <c r="AN7" s="1990" t="s">
        <v>4</v>
      </c>
      <c r="AO7" s="1991">
        <v>983.18939429000045</v>
      </c>
      <c r="AP7" s="1991">
        <v>758.28989641999999</v>
      </c>
      <c r="AQ7" s="1991">
        <v>6.2690328900000019</v>
      </c>
      <c r="AR7" s="1991">
        <v>0</v>
      </c>
      <c r="AS7" s="1991">
        <v>1747.7483236000005</v>
      </c>
      <c r="AT7" s="1991">
        <v>242.17636372000001</v>
      </c>
      <c r="AU7" s="1991">
        <v>255.56014925000002</v>
      </c>
      <c r="AV7" s="1991">
        <v>497.73651297000004</v>
      </c>
      <c r="AW7" s="1991">
        <v>2245.4848365700004</v>
      </c>
      <c r="AX7" s="1991">
        <v>121.64311872999997</v>
      </c>
      <c r="AY7" s="1991">
        <v>0</v>
      </c>
      <c r="AZ7" s="1991">
        <v>121.64311872999997</v>
      </c>
      <c r="BA7" s="1991">
        <v>2367.1279553000004</v>
      </c>
      <c r="BB7" s="1992">
        <v>730.51554408000004</v>
      </c>
      <c r="BC7" s="1992">
        <v>0</v>
      </c>
      <c r="BD7" s="1992">
        <v>0</v>
      </c>
      <c r="BE7" s="1992"/>
      <c r="BF7" s="1992"/>
      <c r="BG7" s="1991">
        <v>983.18939429000045</v>
      </c>
      <c r="BH7" s="1991">
        <v>27.77435233999995</v>
      </c>
      <c r="BI7" s="1991">
        <v>6.2690328900000019</v>
      </c>
      <c r="BJ7" s="2126">
        <v>0</v>
      </c>
      <c r="BK7" s="1991">
        <v>1017.2327795200003</v>
      </c>
      <c r="BL7" s="1991">
        <v>242.17636372000001</v>
      </c>
      <c r="BM7" s="1991">
        <v>255.56014925000002</v>
      </c>
      <c r="BN7" s="1991">
        <v>497.73651297000004</v>
      </c>
      <c r="BO7" s="1991">
        <v>1514.9692924900005</v>
      </c>
      <c r="BP7" s="1991">
        <v>121.64311872999997</v>
      </c>
      <c r="BQ7" s="1991">
        <v>0</v>
      </c>
      <c r="BR7" s="1991">
        <v>121.64311872999997</v>
      </c>
      <c r="BS7" s="1991">
        <v>1636.6124112200005</v>
      </c>
      <c r="BU7" s="1991">
        <v>0</v>
      </c>
      <c r="BV7" s="1991">
        <v>0</v>
      </c>
    </row>
    <row r="8" spans="2:74" ht="15.6">
      <c r="B8" s="1990" t="s">
        <v>3</v>
      </c>
      <c r="C8" s="1991">
        <v>1944.29433488</v>
      </c>
      <c r="D8" s="1991">
        <v>137.49775263000001</v>
      </c>
      <c r="E8" s="1991">
        <v>13.35534983</v>
      </c>
      <c r="F8" s="1991">
        <v>0</v>
      </c>
      <c r="G8" s="1991">
        <v>2095.1474373399997</v>
      </c>
      <c r="H8" s="1991">
        <v>299.54164634</v>
      </c>
      <c r="I8" s="1991">
        <v>111.40695729000001</v>
      </c>
      <c r="J8" s="1991">
        <v>410.94860362999998</v>
      </c>
      <c r="K8" s="1991">
        <v>2506.0960409699996</v>
      </c>
      <c r="L8" s="1991">
        <v>89.374539860000098</v>
      </c>
      <c r="M8" s="1991">
        <v>6.6835307299999629</v>
      </c>
      <c r="N8" s="1991">
        <v>96.058070590000057</v>
      </c>
      <c r="O8" s="1991">
        <v>2602.1541115599998</v>
      </c>
      <c r="P8" s="1992">
        <v>37.306696500000001</v>
      </c>
      <c r="Q8" s="1992">
        <v>0</v>
      </c>
      <c r="R8" s="1992">
        <v>0</v>
      </c>
      <c r="S8" s="1992"/>
      <c r="T8" s="1992"/>
      <c r="U8" s="1991">
        <v>1944.29433488</v>
      </c>
      <c r="V8" s="1991">
        <v>100.19105613000001</v>
      </c>
      <c r="W8" s="1991">
        <v>13.35534983</v>
      </c>
      <c r="X8" s="1991">
        <v>0</v>
      </c>
      <c r="Y8" s="1991">
        <v>2057.8407408399999</v>
      </c>
      <c r="Z8" s="1991">
        <v>299.54164634</v>
      </c>
      <c r="AA8" s="1991">
        <v>111.40695729000001</v>
      </c>
      <c r="AB8" s="1991">
        <v>410.94860362999998</v>
      </c>
      <c r="AC8" s="1991">
        <v>2468.7893444699998</v>
      </c>
      <c r="AD8" s="1991">
        <v>89.374539860000098</v>
      </c>
      <c r="AE8" s="1991">
        <v>6.6835307299999629</v>
      </c>
      <c r="AF8" s="1991">
        <v>96.058070590000057</v>
      </c>
      <c r="AG8" s="1991">
        <v>2564.84741506</v>
      </c>
      <c r="AH8" s="2357"/>
      <c r="AI8" s="2357"/>
      <c r="AJ8" s="2357"/>
      <c r="AK8" s="2357"/>
      <c r="AN8" s="1990" t="s">
        <v>3</v>
      </c>
      <c r="AO8" s="1991">
        <v>1850.7114404100003</v>
      </c>
      <c r="AP8" s="1991">
        <v>363.79899999999998</v>
      </c>
      <c r="AQ8" s="1991">
        <v>10.38730266</v>
      </c>
      <c r="AR8" s="1991">
        <v>14.99511571</v>
      </c>
      <c r="AS8" s="1991">
        <v>2239.8928587800001</v>
      </c>
      <c r="AT8" s="1991">
        <v>295.21300000000002</v>
      </c>
      <c r="AU8" s="1991">
        <v>314.637</v>
      </c>
      <c r="AV8" s="1991">
        <v>609.85</v>
      </c>
      <c r="AW8" s="1991">
        <v>2849.74285878</v>
      </c>
      <c r="AX8" s="1991">
        <v>2122.5854498799999</v>
      </c>
      <c r="AY8" s="1991">
        <v>6.3851093799999994</v>
      </c>
      <c r="AZ8" s="1991">
        <v>2128.9705592599998</v>
      </c>
      <c r="BA8" s="1991">
        <v>4978.7134180399999</v>
      </c>
      <c r="BB8" s="1992">
        <v>263.68351847999998</v>
      </c>
      <c r="BC8" s="1992">
        <v>0</v>
      </c>
      <c r="BD8" s="1992">
        <v>0</v>
      </c>
      <c r="BE8" s="1992">
        <v>2.6587628900000002</v>
      </c>
      <c r="BF8" s="1992"/>
      <c r="BG8" s="1991">
        <v>1850.7114404100003</v>
      </c>
      <c r="BH8" s="1991">
        <v>100.11548152</v>
      </c>
      <c r="BI8" s="1991">
        <v>10.38730266</v>
      </c>
      <c r="BJ8" s="1991">
        <v>14.99511571</v>
      </c>
      <c r="BK8" s="1991">
        <v>1976.2093403000001</v>
      </c>
      <c r="BL8" s="1991">
        <v>295.21300000000002</v>
      </c>
      <c r="BM8" s="1991">
        <v>311.97823711000001</v>
      </c>
      <c r="BN8" s="1991">
        <v>607.19123710999997</v>
      </c>
      <c r="BO8" s="1991">
        <v>2583.4005774100001</v>
      </c>
      <c r="BP8" s="1991">
        <v>2122.5854498799999</v>
      </c>
      <c r="BQ8" s="1991">
        <v>6.3851093799999994</v>
      </c>
      <c r="BR8" s="1991">
        <v>2128.9705592599998</v>
      </c>
      <c r="BS8" s="1991">
        <v>4712.3711366699999</v>
      </c>
      <c r="BU8" s="1991"/>
      <c r="BV8" s="1991">
        <v>14.99511571</v>
      </c>
    </row>
    <row r="9" spans="2:74" ht="15.6">
      <c r="B9" s="1990" t="s">
        <v>397</v>
      </c>
      <c r="C9" s="1991">
        <v>1980.8105996299992</v>
      </c>
      <c r="D9" s="1991">
        <v>215.43638060999999</v>
      </c>
      <c r="E9" s="1991">
        <v>1.357554606529999</v>
      </c>
      <c r="F9" s="1991">
        <v>143.93400152000001</v>
      </c>
      <c r="G9" s="1991">
        <v>2341.5385363665291</v>
      </c>
      <c r="H9" s="1991">
        <v>438.01665541000023</v>
      </c>
      <c r="I9" s="1991">
        <v>279.86581652000291</v>
      </c>
      <c r="J9" s="1991">
        <v>717.88247193000313</v>
      </c>
      <c r="K9" s="1991">
        <v>3059.4210082965324</v>
      </c>
      <c r="L9" s="1991">
        <v>114.86554986000002</v>
      </c>
      <c r="M9" s="1991">
        <v>12.057969999999999</v>
      </c>
      <c r="N9" s="1991">
        <v>126.92351986000001</v>
      </c>
      <c r="O9" s="1991">
        <v>3186.3445281565323</v>
      </c>
      <c r="P9" s="1992">
        <v>94.03343723399999</v>
      </c>
      <c r="Q9" s="1992">
        <v>0</v>
      </c>
      <c r="R9" s="1992">
        <v>9.6035658999999995</v>
      </c>
      <c r="S9" s="1992"/>
      <c r="T9" s="1992"/>
      <c r="U9" s="1991">
        <v>1980.8105996299992</v>
      </c>
      <c r="V9" s="1991">
        <v>121.402943376</v>
      </c>
      <c r="W9" s="1991">
        <v>1.357554606529999</v>
      </c>
      <c r="X9" s="1991">
        <v>143.93400152000001</v>
      </c>
      <c r="Y9" s="1991">
        <v>2247.5050991325293</v>
      </c>
      <c r="Z9" s="1991">
        <v>428.41308951000025</v>
      </c>
      <c r="AA9" s="1991">
        <v>279.86581652000291</v>
      </c>
      <c r="AB9" s="1991">
        <v>708.2789060300031</v>
      </c>
      <c r="AC9" s="1991">
        <v>2955.7840051625326</v>
      </c>
      <c r="AD9" s="1991">
        <v>114.86554986000002</v>
      </c>
      <c r="AE9" s="1991">
        <v>12.057969999999999</v>
      </c>
      <c r="AF9" s="1991">
        <v>126.92351986000001</v>
      </c>
      <c r="AG9" s="1991">
        <v>3082.7075250225325</v>
      </c>
      <c r="AH9" s="2357"/>
      <c r="AI9" s="2357"/>
      <c r="AJ9" s="2357"/>
      <c r="AK9" s="2357"/>
      <c r="AN9" s="1990" t="s">
        <v>397</v>
      </c>
      <c r="AO9" s="1991">
        <v>1809.7843905299994</v>
      </c>
      <c r="AP9" s="1991">
        <v>331.70199885999972</v>
      </c>
      <c r="AQ9" s="1991">
        <v>1.3208454765299988</v>
      </c>
      <c r="AR9" s="1991">
        <v>174.70513602999966</v>
      </c>
      <c r="AS9" s="1991">
        <v>2317.5123708965289</v>
      </c>
      <c r="AT9" s="1991">
        <v>430.71517616000023</v>
      </c>
      <c r="AU9" s="1991">
        <v>275.65200451000288</v>
      </c>
      <c r="AV9" s="1991">
        <v>706.36718067000311</v>
      </c>
      <c r="AW9" s="1991">
        <v>3023.879551566532</v>
      </c>
      <c r="AX9" s="1991">
        <v>177.98392722</v>
      </c>
      <c r="AY9" s="1991">
        <v>12.057969999999999</v>
      </c>
      <c r="AZ9" s="1991">
        <v>190.04189722000001</v>
      </c>
      <c r="BA9" s="1991">
        <v>3213.921448786532</v>
      </c>
      <c r="BB9" s="1992">
        <v>216.15845747</v>
      </c>
      <c r="BC9" s="1992">
        <v>0</v>
      </c>
      <c r="BD9" s="1992">
        <v>9.0993280799999994</v>
      </c>
      <c r="BE9" s="1992"/>
      <c r="BF9" s="1992"/>
      <c r="BG9" s="1991">
        <v>1809.7843905299994</v>
      </c>
      <c r="BH9" s="1991">
        <v>115.54354138999972</v>
      </c>
      <c r="BI9" s="1991">
        <v>1.3208454765299988</v>
      </c>
      <c r="BJ9" s="1991">
        <v>174.70513602999966</v>
      </c>
      <c r="BK9" s="1991">
        <v>2101.3539134265288</v>
      </c>
      <c r="BL9" s="1991">
        <v>421.61584808000021</v>
      </c>
      <c r="BM9" s="1991">
        <v>275.65200451000288</v>
      </c>
      <c r="BN9" s="1991">
        <v>697.26785259000303</v>
      </c>
      <c r="BO9" s="1991">
        <v>2798.6217660165321</v>
      </c>
      <c r="BP9" s="1991">
        <v>177.98392722</v>
      </c>
      <c r="BQ9" s="1991">
        <v>12.057969999999999</v>
      </c>
      <c r="BR9" s="1991">
        <v>190.04189722000001</v>
      </c>
      <c r="BS9" s="1991">
        <v>2988.6636632365321</v>
      </c>
      <c r="BU9" s="1991">
        <v>138.12934276999965</v>
      </c>
      <c r="BV9" s="1991">
        <v>36.575793259999998</v>
      </c>
    </row>
    <row r="10" spans="2:74" ht="15.6">
      <c r="B10" s="1990" t="s">
        <v>399</v>
      </c>
      <c r="C10" s="1991">
        <v>1570.4669767639828</v>
      </c>
      <c r="D10" s="1991">
        <v>222.03276279999963</v>
      </c>
      <c r="E10" s="1991">
        <v>6.3255833500000005</v>
      </c>
      <c r="F10" s="1991">
        <v>20.479600869999945</v>
      </c>
      <c r="G10" s="1991">
        <v>1819.3049237839823</v>
      </c>
      <c r="H10" s="1991">
        <v>191.22903378000089</v>
      </c>
      <c r="I10" s="1991">
        <v>61.02222323000035</v>
      </c>
      <c r="J10" s="1991">
        <v>252.25125701000124</v>
      </c>
      <c r="K10" s="1991">
        <v>2071.5561807939835</v>
      </c>
      <c r="L10" s="1991">
        <v>57.204291219999988</v>
      </c>
      <c r="M10" s="1991">
        <v>0</v>
      </c>
      <c r="N10" s="1991">
        <v>57.204291219999988</v>
      </c>
      <c r="O10" s="1991">
        <v>2128.7604720139834</v>
      </c>
      <c r="P10" s="1992">
        <v>18.531918180000002</v>
      </c>
      <c r="Q10" s="1992">
        <v>3.8198076900000002</v>
      </c>
      <c r="R10" s="1992">
        <v>1.2035119300000001</v>
      </c>
      <c r="S10" s="1992"/>
      <c r="T10" s="1992"/>
      <c r="U10" s="1991">
        <v>1570.4669767639828</v>
      </c>
      <c r="V10" s="1991">
        <v>203.50084461999964</v>
      </c>
      <c r="W10" s="1991">
        <v>6.3255833500000005</v>
      </c>
      <c r="X10" s="2126">
        <v>16.659793179999944</v>
      </c>
      <c r="Y10" s="1991">
        <v>1796.9531979139824</v>
      </c>
      <c r="Z10" s="1991">
        <v>190.0255218500009</v>
      </c>
      <c r="AA10" s="1991">
        <v>61.02222323000035</v>
      </c>
      <c r="AB10" s="1991">
        <v>251.04774508000125</v>
      </c>
      <c r="AC10" s="1991">
        <v>2048.0009429939837</v>
      </c>
      <c r="AD10" s="1991">
        <v>57.204291219999988</v>
      </c>
      <c r="AE10" s="1991">
        <v>0</v>
      </c>
      <c r="AF10" s="1991">
        <v>57.204291219999988</v>
      </c>
      <c r="AG10" s="1991">
        <v>2105.2052342139837</v>
      </c>
      <c r="AH10" s="2357"/>
      <c r="AI10" s="2357"/>
      <c r="AJ10" s="2357"/>
      <c r="AK10" s="2357"/>
      <c r="AN10" s="1990" t="s">
        <v>399</v>
      </c>
      <c r="AO10" s="1991">
        <v>1362.6618891520009</v>
      </c>
      <c r="AP10" s="1991">
        <v>560.6413426199997</v>
      </c>
      <c r="AQ10" s="1991">
        <v>5.5537689200000022</v>
      </c>
      <c r="AR10" s="1991">
        <v>56.895809969999974</v>
      </c>
      <c r="AS10" s="1991">
        <v>1985.7528106620007</v>
      </c>
      <c r="AT10" s="1991">
        <v>257.19442016000107</v>
      </c>
      <c r="AU10" s="1991">
        <v>373.59692632000304</v>
      </c>
      <c r="AV10" s="1991">
        <v>630.79134648000411</v>
      </c>
      <c r="AW10" s="1991">
        <v>2616.5441571420047</v>
      </c>
      <c r="AX10" s="1991">
        <v>57.204291219999988</v>
      </c>
      <c r="AY10" s="1991">
        <v>0</v>
      </c>
      <c r="AZ10" s="1991">
        <v>57.204291219999988</v>
      </c>
      <c r="BA10" s="1991">
        <v>2673.7484483620046</v>
      </c>
      <c r="BB10" s="1992">
        <v>375.33127865000097</v>
      </c>
      <c r="BC10" s="1992">
        <v>22.90249283</v>
      </c>
      <c r="BD10" s="1992">
        <v>13.47191147</v>
      </c>
      <c r="BE10" s="1992"/>
      <c r="BF10" s="1992"/>
      <c r="BG10" s="1991">
        <v>1362.6618891520009</v>
      </c>
      <c r="BH10" s="1991">
        <v>185.31006396999874</v>
      </c>
      <c r="BI10" s="1991">
        <v>5.5537689200000022</v>
      </c>
      <c r="BJ10" s="2126">
        <v>33.993317139999974</v>
      </c>
      <c r="BK10" s="1991">
        <v>1587.5190391819997</v>
      </c>
      <c r="BL10" s="1991">
        <v>243.72250869000106</v>
      </c>
      <c r="BM10" s="1991">
        <v>373.59692632000304</v>
      </c>
      <c r="BN10" s="1991">
        <v>617.3194350100041</v>
      </c>
      <c r="BO10" s="1991">
        <v>2204.8384741920036</v>
      </c>
      <c r="BP10" s="1991">
        <v>57.204291219999988</v>
      </c>
      <c r="BQ10" s="1991">
        <v>0</v>
      </c>
      <c r="BR10" s="1991">
        <v>57.204291219999988</v>
      </c>
      <c r="BS10" s="1991">
        <v>2262.0427654120035</v>
      </c>
      <c r="BU10" s="1991">
        <v>35.658571309999971</v>
      </c>
      <c r="BV10" s="1991">
        <v>21.237238660000003</v>
      </c>
    </row>
    <row r="11" spans="2:74" ht="15.6">
      <c r="B11" s="1990" t="s">
        <v>883</v>
      </c>
      <c r="C11" s="1991">
        <v>847.45250227015129</v>
      </c>
      <c r="D11" s="1991">
        <v>58.856392950000007</v>
      </c>
      <c r="E11" s="1991">
        <v>0.56977732999999897</v>
      </c>
      <c r="F11" s="1991">
        <v>2.827529819999993</v>
      </c>
      <c r="G11" s="1991">
        <v>909.70620237015123</v>
      </c>
      <c r="H11" s="1991">
        <v>206.85660022999997</v>
      </c>
      <c r="I11" s="1991">
        <v>76.608855120000086</v>
      </c>
      <c r="J11" s="1991">
        <v>283.46545535000007</v>
      </c>
      <c r="K11" s="1991">
        <v>1193.1716577201514</v>
      </c>
      <c r="L11" s="1991">
        <v>100.99256342999998</v>
      </c>
      <c r="M11" s="1991">
        <v>6.1069122399999758</v>
      </c>
      <c r="N11" s="1991">
        <v>107.09947566999995</v>
      </c>
      <c r="O11" s="1991">
        <v>1300.2711333901514</v>
      </c>
      <c r="P11" s="1992">
        <v>0.21718625999999994</v>
      </c>
      <c r="Q11" s="1992">
        <v>0</v>
      </c>
      <c r="R11" s="1992">
        <v>64.9885938500001</v>
      </c>
      <c r="S11" s="1992"/>
      <c r="T11" s="1992"/>
      <c r="U11" s="1991">
        <v>847.45250227015129</v>
      </c>
      <c r="V11" s="1991">
        <v>58.639206690000009</v>
      </c>
      <c r="W11" s="1991">
        <v>0.56977732999999897</v>
      </c>
      <c r="X11" s="1991">
        <v>2.827529819999993</v>
      </c>
      <c r="Y11" s="1991">
        <v>909.48901611015128</v>
      </c>
      <c r="Z11" s="1991">
        <v>141.86800637999988</v>
      </c>
      <c r="AA11" s="1991">
        <v>76.608855120000086</v>
      </c>
      <c r="AB11" s="1991">
        <v>218.47686149999998</v>
      </c>
      <c r="AC11" s="1991">
        <v>1127.9658776101512</v>
      </c>
      <c r="AD11" s="1991">
        <v>100.99256342999998</v>
      </c>
      <c r="AE11" s="1991">
        <v>6.1069122399999758</v>
      </c>
      <c r="AF11" s="1991">
        <v>107.09947566999995</v>
      </c>
      <c r="AG11" s="1991">
        <v>1235.0653532801512</v>
      </c>
      <c r="AH11" s="2357"/>
      <c r="AI11" s="2357"/>
      <c r="AJ11" s="2357"/>
      <c r="AK11" s="2357"/>
      <c r="AN11" s="1990" t="s">
        <v>883</v>
      </c>
      <c r="AO11" s="1991">
        <v>629.59188587299957</v>
      </c>
      <c r="AP11" s="1991">
        <v>61.87929793</v>
      </c>
      <c r="AQ11" s="1991">
        <v>0.53100018000000004</v>
      </c>
      <c r="AR11" s="1991">
        <v>2.8275298200000107</v>
      </c>
      <c r="AS11" s="1991">
        <v>694.82971380299955</v>
      </c>
      <c r="AT11" s="1991">
        <v>505.58654729</v>
      </c>
      <c r="AU11" s="1991">
        <v>200.26177321000014</v>
      </c>
      <c r="AV11" s="1991">
        <v>705.84832050000011</v>
      </c>
      <c r="AW11" s="1991">
        <v>1400.6780343029995</v>
      </c>
      <c r="AX11" s="1991">
        <v>270.8055054699999</v>
      </c>
      <c r="AY11" s="1991">
        <v>5.8418729268109892</v>
      </c>
      <c r="AZ11" s="1991">
        <v>276.64737839681089</v>
      </c>
      <c r="BA11" s="1991">
        <v>1677.3254126998104</v>
      </c>
      <c r="BB11" s="1992">
        <v>4.0201018199999998</v>
      </c>
      <c r="BC11" s="1992">
        <v>0</v>
      </c>
      <c r="BD11" s="1992">
        <v>363.92830717999999</v>
      </c>
      <c r="BE11" s="1992"/>
      <c r="BF11" s="1992"/>
      <c r="BG11" s="1991">
        <v>629.59188587299957</v>
      </c>
      <c r="BH11" s="1991">
        <v>57.859196109999999</v>
      </c>
      <c r="BI11" s="1991">
        <v>0.53100018000000004</v>
      </c>
      <c r="BJ11" s="1991">
        <v>2.8275298200000107</v>
      </c>
      <c r="BK11" s="1991">
        <v>690.80961198299951</v>
      </c>
      <c r="BL11" s="1991">
        <v>141.65824011000001</v>
      </c>
      <c r="BM11" s="1991">
        <v>200.26177321000014</v>
      </c>
      <c r="BN11" s="1991">
        <v>341.92001332000018</v>
      </c>
      <c r="BO11" s="1991">
        <v>1032.7296253029997</v>
      </c>
      <c r="BP11" s="1991">
        <v>270.8055054699999</v>
      </c>
      <c r="BQ11" s="1991">
        <v>5.8418729268109892</v>
      </c>
      <c r="BR11" s="1991">
        <v>276.64737839681089</v>
      </c>
      <c r="BS11" s="1991">
        <v>1309.3770036998105</v>
      </c>
      <c r="BU11" s="1991">
        <v>0</v>
      </c>
      <c r="BV11" s="1991">
        <v>2.8275298200000107</v>
      </c>
    </row>
    <row r="12" spans="2:74" ht="15.6">
      <c r="B12" s="1990" t="s">
        <v>884</v>
      </c>
      <c r="C12" s="1991">
        <v>497.98259424399765</v>
      </c>
      <c r="D12" s="1991">
        <v>53.375501410001299</v>
      </c>
      <c r="E12" s="1991">
        <v>5.5474937499999362</v>
      </c>
      <c r="F12" s="1991">
        <v>27.077237209999918</v>
      </c>
      <c r="G12" s="1991">
        <v>583.98282661399878</v>
      </c>
      <c r="H12" s="1991">
        <v>231.53529073999519</v>
      </c>
      <c r="I12" s="1991">
        <v>76.480343579998944</v>
      </c>
      <c r="J12" s="1991">
        <v>308.01563431999415</v>
      </c>
      <c r="K12" s="1991">
        <v>891.99846093399287</v>
      </c>
      <c r="L12" s="1991">
        <v>45.852446239999963</v>
      </c>
      <c r="M12" s="1991">
        <v>4.3320724400000179</v>
      </c>
      <c r="N12" s="1991">
        <v>50.184518679999982</v>
      </c>
      <c r="O12" s="1991">
        <v>942.18297961399287</v>
      </c>
      <c r="P12" s="1992">
        <v>10.467256380000105</v>
      </c>
      <c r="Q12" s="1992">
        <v>0</v>
      </c>
      <c r="R12" s="1992">
        <v>75.32261366999785</v>
      </c>
      <c r="S12" s="1992"/>
      <c r="T12" s="1992"/>
      <c r="U12" s="1991">
        <v>497.98259424399765</v>
      </c>
      <c r="V12" s="1991">
        <v>42.908245030001197</v>
      </c>
      <c r="W12" s="1991">
        <v>5.5474937499999362</v>
      </c>
      <c r="X12" s="1991">
        <v>27.077237209999918</v>
      </c>
      <c r="Y12" s="1991">
        <v>573.51557023399869</v>
      </c>
      <c r="Z12" s="1991">
        <v>156.21267706999734</v>
      </c>
      <c r="AA12" s="1991">
        <v>76.480343579998944</v>
      </c>
      <c r="AB12" s="1991">
        <v>232.6930206499963</v>
      </c>
      <c r="AC12" s="1991">
        <v>806.20859088399493</v>
      </c>
      <c r="AD12" s="1991">
        <v>45.852446239999963</v>
      </c>
      <c r="AE12" s="1991">
        <v>4.3320724400000179</v>
      </c>
      <c r="AF12" s="1991">
        <v>50.184518679999982</v>
      </c>
      <c r="AG12" s="1991">
        <v>856.39310956399493</v>
      </c>
      <c r="AH12" s="2357"/>
      <c r="AI12" s="2357"/>
      <c r="AJ12" s="2357"/>
      <c r="AK12" s="2357"/>
      <c r="AN12" s="1990" t="s">
        <v>884</v>
      </c>
      <c r="AO12" s="1991">
        <v>298.13228079000129</v>
      </c>
      <c r="AP12" s="1991">
        <v>41.458679550001271</v>
      </c>
      <c r="AQ12" s="1991">
        <v>3.1588011599999737</v>
      </c>
      <c r="AR12" s="1991">
        <v>22.240932279999949</v>
      </c>
      <c r="AS12" s="1991">
        <v>364.99069378000246</v>
      </c>
      <c r="AT12" s="1991">
        <v>563.581091499992</v>
      </c>
      <c r="AU12" s="1991">
        <v>250.99722506000009</v>
      </c>
      <c r="AV12" s="1991">
        <v>814.57831655999212</v>
      </c>
      <c r="AW12" s="1991">
        <v>1179.5690103399945</v>
      </c>
      <c r="AX12" s="1991">
        <v>198.33768066299999</v>
      </c>
      <c r="AY12" s="1991">
        <v>0.71119624000001935</v>
      </c>
      <c r="AZ12" s="1991">
        <v>199.04887690300001</v>
      </c>
      <c r="BA12" s="1991">
        <v>1378.6178872429946</v>
      </c>
      <c r="BB12" s="1992">
        <v>15.728033580000099</v>
      </c>
      <c r="BC12" s="1992">
        <v>0</v>
      </c>
      <c r="BD12" s="1992">
        <v>363.19048812999796</v>
      </c>
      <c r="BE12" s="1992"/>
      <c r="BF12" s="1992"/>
      <c r="BG12" s="1991">
        <v>298.13228079000129</v>
      </c>
      <c r="BH12" s="1991">
        <v>25.73064597000117</v>
      </c>
      <c r="BI12" s="1991">
        <v>3.1588011599999737</v>
      </c>
      <c r="BJ12" s="1991">
        <v>22.240932279999949</v>
      </c>
      <c r="BK12" s="1991">
        <v>349.26266020000236</v>
      </c>
      <c r="BL12" s="1991">
        <v>200.39060336999404</v>
      </c>
      <c r="BM12" s="1991">
        <v>250.99722506000009</v>
      </c>
      <c r="BN12" s="1991">
        <v>451.3878284299941</v>
      </c>
      <c r="BO12" s="1991">
        <v>800.65048862999652</v>
      </c>
      <c r="BP12" s="1991">
        <v>198.33768066299999</v>
      </c>
      <c r="BQ12" s="1991">
        <v>0.71119624000001935</v>
      </c>
      <c r="BR12" s="1991">
        <v>199.04887690300001</v>
      </c>
      <c r="BS12" s="1991">
        <v>999.69936553299658</v>
      </c>
      <c r="BU12" s="1991">
        <v>4.0693158399998213</v>
      </c>
      <c r="BV12" s="1991">
        <v>18.171616440000129</v>
      </c>
    </row>
    <row r="13" spans="2:74" ht="15.6">
      <c r="B13" s="1990" t="s">
        <v>885</v>
      </c>
      <c r="C13" s="1991">
        <v>173.73089986000002</v>
      </c>
      <c r="D13" s="1991">
        <v>2.1003399900000002</v>
      </c>
      <c r="E13" s="1991">
        <v>1.06066799</v>
      </c>
      <c r="F13" s="1991">
        <v>0</v>
      </c>
      <c r="G13" s="1991">
        <v>176.89190784000004</v>
      </c>
      <c r="H13" s="1991">
        <v>83.743985279999904</v>
      </c>
      <c r="I13" s="1991">
        <v>56.880428889999997</v>
      </c>
      <c r="J13" s="1991">
        <v>140.62441416999991</v>
      </c>
      <c r="K13" s="1991">
        <v>317.51632200999995</v>
      </c>
      <c r="L13" s="1991">
        <v>41.633186459999997</v>
      </c>
      <c r="M13" s="1991">
        <v>0.82893737999999995</v>
      </c>
      <c r="N13" s="1991">
        <v>42.462123839999997</v>
      </c>
      <c r="O13" s="1991">
        <v>359.97844584999996</v>
      </c>
      <c r="P13" s="1992">
        <v>0</v>
      </c>
      <c r="Q13" s="1992">
        <v>0</v>
      </c>
      <c r="R13" s="1992">
        <v>35.22260923000006</v>
      </c>
      <c r="S13" s="1992"/>
      <c r="T13" s="1992"/>
      <c r="U13" s="1991">
        <v>173.73089986000002</v>
      </c>
      <c r="V13" s="1991">
        <v>2.1003399900000002</v>
      </c>
      <c r="W13" s="1991">
        <v>1.06066799</v>
      </c>
      <c r="X13" s="1991">
        <v>0</v>
      </c>
      <c r="Y13" s="1991">
        <v>176.89190784000004</v>
      </c>
      <c r="Z13" s="1991">
        <v>48.521376049999844</v>
      </c>
      <c r="AA13" s="1991">
        <v>56.880428889999997</v>
      </c>
      <c r="AB13" s="1991">
        <v>105.40180493999983</v>
      </c>
      <c r="AC13" s="1991">
        <v>282.29371277999985</v>
      </c>
      <c r="AD13" s="1991">
        <v>41.633186459999997</v>
      </c>
      <c r="AE13" s="1991">
        <v>0.82893737999999995</v>
      </c>
      <c r="AF13" s="1991">
        <v>42.462123839999997</v>
      </c>
      <c r="AG13" s="1991">
        <v>324.75583661999985</v>
      </c>
      <c r="AH13" s="2357"/>
      <c r="AI13" s="2357"/>
      <c r="AJ13" s="2357"/>
      <c r="AK13" s="2357"/>
      <c r="AN13" s="1990" t="s">
        <v>885</v>
      </c>
      <c r="AO13" s="1991">
        <v>100.55670670999999</v>
      </c>
      <c r="AP13" s="1991">
        <v>3.3366595000000001</v>
      </c>
      <c r="AQ13" s="1991">
        <v>0</v>
      </c>
      <c r="AR13" s="1991">
        <v>0</v>
      </c>
      <c r="AS13" s="1991">
        <v>103.89336620999998</v>
      </c>
      <c r="AT13" s="1991">
        <v>204.24819740999999</v>
      </c>
      <c r="AU13" s="1991">
        <v>67.178273039999993</v>
      </c>
      <c r="AV13" s="1991">
        <v>271.42647045000001</v>
      </c>
      <c r="AW13" s="1991">
        <v>375.31983665999996</v>
      </c>
      <c r="AX13" s="1991">
        <v>66.37786337</v>
      </c>
      <c r="AY13" s="1991">
        <v>0.76756930000000001</v>
      </c>
      <c r="AZ13" s="1991">
        <v>67.145432670000005</v>
      </c>
      <c r="BA13" s="1991">
        <v>442.46526932999996</v>
      </c>
      <c r="BB13" s="1992">
        <v>0</v>
      </c>
      <c r="BC13" s="1992">
        <v>0</v>
      </c>
      <c r="BD13" s="1992">
        <v>160.61014555</v>
      </c>
      <c r="BE13" s="1992"/>
      <c r="BF13" s="1992"/>
      <c r="BG13" s="1991">
        <v>100.55670670999999</v>
      </c>
      <c r="BH13" s="1991">
        <v>3.3366595000000001</v>
      </c>
      <c r="BI13" s="1991">
        <v>0</v>
      </c>
      <c r="BJ13" s="1991">
        <v>0</v>
      </c>
      <c r="BK13" s="1991">
        <v>103.89336620999998</v>
      </c>
      <c r="BL13" s="1991">
        <v>43.63805185999999</v>
      </c>
      <c r="BM13" s="1991">
        <v>67.178273039999993</v>
      </c>
      <c r="BN13" s="1991">
        <v>110.81632489999998</v>
      </c>
      <c r="BO13" s="1991">
        <v>214.70969110999997</v>
      </c>
      <c r="BP13" s="1991">
        <v>66.37786337</v>
      </c>
      <c r="BQ13" s="1991">
        <v>0.76756930000000001</v>
      </c>
      <c r="BR13" s="1991">
        <v>67.145432670000005</v>
      </c>
      <c r="BS13" s="1991">
        <v>281.85512377999999</v>
      </c>
      <c r="BU13" s="1991"/>
      <c r="BV13" s="1991">
        <v>0</v>
      </c>
    </row>
    <row r="14" spans="2:74" ht="15.6">
      <c r="B14" s="1993" t="s">
        <v>933</v>
      </c>
      <c r="C14" s="1994">
        <v>10409.45402040813</v>
      </c>
      <c r="D14" s="1994">
        <v>1364.1609652699995</v>
      </c>
      <c r="E14" s="1994">
        <v>42.401116716529806</v>
      </c>
      <c r="F14" s="1994">
        <v>538.71977266999988</v>
      </c>
      <c r="G14" s="1994">
        <v>12354.735875064658</v>
      </c>
      <c r="H14" s="1994">
        <v>2496.2712573799963</v>
      </c>
      <c r="I14" s="1994">
        <v>1249.5008957100035</v>
      </c>
      <c r="J14" s="1994">
        <v>3745.7721530899994</v>
      </c>
      <c r="K14" s="1994">
        <v>16100.508028154658</v>
      </c>
      <c r="L14" s="1994">
        <v>602.19858169000008</v>
      </c>
      <c r="M14" s="1994">
        <v>67.343045849999953</v>
      </c>
      <c r="N14" s="1994">
        <v>669.54162754000004</v>
      </c>
      <c r="O14" s="1994">
        <v>16770.049655694656</v>
      </c>
      <c r="P14" s="1995">
        <v>494.93256658400003</v>
      </c>
      <c r="Q14" s="1995">
        <v>320.11985748000006</v>
      </c>
      <c r="R14" s="1995">
        <v>297.000906929998</v>
      </c>
      <c r="S14" s="1995">
        <v>5.04173263000001</v>
      </c>
      <c r="T14" s="1995"/>
      <c r="U14" s="1994">
        <v>10409.45402040813</v>
      </c>
      <c r="V14" s="1994">
        <v>869.22839868599942</v>
      </c>
      <c r="W14" s="1994">
        <v>37.359384086529793</v>
      </c>
      <c r="X14" s="1994">
        <v>218.59991518999982</v>
      </c>
      <c r="Y14" s="1994">
        <v>11534.641718370658</v>
      </c>
      <c r="Z14" s="1994">
        <v>2199.2703504499987</v>
      </c>
      <c r="AA14" s="1994">
        <v>1249.5008957100035</v>
      </c>
      <c r="AB14" s="1994">
        <v>3448.7712461600017</v>
      </c>
      <c r="AC14" s="1994">
        <v>14983.41296453066</v>
      </c>
      <c r="AD14" s="1994">
        <v>602.19858169000008</v>
      </c>
      <c r="AE14" s="1994">
        <v>67.343045849999953</v>
      </c>
      <c r="AF14" s="1994">
        <v>669.54162754000004</v>
      </c>
      <c r="AG14" s="1994">
        <v>15652.954592070661</v>
      </c>
      <c r="AH14" s="2358"/>
      <c r="AI14" s="2358"/>
      <c r="AJ14" s="2358"/>
      <c r="AK14" s="2358"/>
      <c r="AN14" s="1993" t="s">
        <v>933</v>
      </c>
      <c r="AO14" s="1994">
        <v>8615.5807324250036</v>
      </c>
      <c r="AP14" s="1994">
        <v>3454.6608755000007</v>
      </c>
      <c r="AQ14" s="1994">
        <v>31.65383683652998</v>
      </c>
      <c r="AR14" s="1994">
        <v>452.15911641999958</v>
      </c>
      <c r="AS14" s="1994">
        <v>12554.054561181532</v>
      </c>
      <c r="AT14" s="1994">
        <v>3044.4988405719937</v>
      </c>
      <c r="AU14" s="1994">
        <v>2151.6429324700057</v>
      </c>
      <c r="AV14" s="1994">
        <v>5196.1417730419998</v>
      </c>
      <c r="AW14" s="1994">
        <v>17750.196334223532</v>
      </c>
      <c r="AX14" s="1994">
        <v>3649.6155182329994</v>
      </c>
      <c r="AY14" s="1994">
        <v>62.282598036811017</v>
      </c>
      <c r="AZ14" s="1994">
        <v>3711.8981162698105</v>
      </c>
      <c r="BA14" s="1994">
        <v>21462.094450493347</v>
      </c>
      <c r="BB14" s="1995">
        <v>2706.1337317370007</v>
      </c>
      <c r="BC14" s="1995">
        <v>162.82734013000001</v>
      </c>
      <c r="BD14" s="1995">
        <v>917.32444040999792</v>
      </c>
      <c r="BE14" s="1995">
        <v>30.028672100000001</v>
      </c>
      <c r="BF14" s="1995">
        <v>30.028672100000001</v>
      </c>
      <c r="BG14" s="1994">
        <v>8615.5807324250036</v>
      </c>
      <c r="BH14" s="1994">
        <v>748.52714376299957</v>
      </c>
      <c r="BI14" s="1994">
        <v>31.65383683652998</v>
      </c>
      <c r="BJ14" s="1994">
        <v>289.33177628999954</v>
      </c>
      <c r="BK14" s="1994">
        <v>9685.0934893145313</v>
      </c>
      <c r="BL14" s="1994">
        <v>2127.1744001619954</v>
      </c>
      <c r="BM14" s="1994">
        <v>2121.6142603700059</v>
      </c>
      <c r="BN14" s="1994">
        <v>4248.7886605320018</v>
      </c>
      <c r="BO14" s="1994">
        <v>13933.882149846535</v>
      </c>
      <c r="BP14" s="1994">
        <v>3649.6155182329994</v>
      </c>
      <c r="BQ14" s="1994">
        <v>62.282598036811017</v>
      </c>
      <c r="BR14" s="1994">
        <v>3711.8981162698105</v>
      </c>
      <c r="BS14" s="1994">
        <v>17645.78026611634</v>
      </c>
      <c r="BU14" s="1994">
        <f>SUM(BU4:BU13)</f>
        <v>331.67876668999946</v>
      </c>
      <c r="BV14" s="1994">
        <f>SUM(BV4:BV13)</f>
        <v>120.48034973000014</v>
      </c>
    </row>
    <row r="15" spans="2:74">
      <c r="T15" s="2000">
        <f>SUM(P14:T14)</f>
        <v>1117.0950636239982</v>
      </c>
      <c r="AR15" s="2000">
        <f>AO14+AP14+AQ14</f>
        <v>12101.895444761532</v>
      </c>
      <c r="BC15" s="1517" t="s">
        <v>987</v>
      </c>
      <c r="BE15" s="2000"/>
      <c r="BF15" s="2000">
        <f>SUM(BB14:BF14)</f>
        <v>3846.3428564769988</v>
      </c>
      <c r="BS15" s="1517">
        <v>17675.810000000001</v>
      </c>
    </row>
    <row r="16" spans="2:74" ht="21">
      <c r="B16" s="1996">
        <v>2023</v>
      </c>
      <c r="W16" s="2000">
        <f>W28+X28</f>
        <v>34.188048659999929</v>
      </c>
      <c r="AN16" s="1996">
        <v>2024</v>
      </c>
      <c r="BA16" s="2000"/>
      <c r="BD16" s="2000"/>
      <c r="BE16" s="2000"/>
      <c r="BF16" s="2000"/>
      <c r="BH16" s="2000">
        <f>BH21-BH5</f>
        <v>11.620000000000005</v>
      </c>
    </row>
    <row r="17" spans="2:76" ht="12.75" customHeight="1">
      <c r="C17" s="3294" t="s">
        <v>934</v>
      </c>
      <c r="D17" s="3294"/>
      <c r="E17" s="3294"/>
      <c r="F17" s="3294"/>
      <c r="G17" s="3294"/>
      <c r="H17" s="3294"/>
      <c r="I17" s="3294"/>
      <c r="J17" s="3294"/>
      <c r="K17" s="3294"/>
      <c r="L17" s="2094"/>
      <c r="M17" s="2094"/>
      <c r="N17" s="2094"/>
      <c r="O17" s="2094"/>
      <c r="U17" s="3294" t="s">
        <v>1026</v>
      </c>
      <c r="V17" s="3294"/>
      <c r="W17" s="3294"/>
      <c r="X17" s="3294"/>
      <c r="Y17" s="3294"/>
      <c r="Z17" s="3294"/>
      <c r="AA17" s="3294"/>
      <c r="AB17" s="3294"/>
      <c r="AC17" s="3294"/>
      <c r="AD17" s="2094"/>
      <c r="AE17" s="2094"/>
      <c r="AF17" s="2094"/>
      <c r="AG17" s="2094"/>
      <c r="AI17" s="3305">
        <v>2023</v>
      </c>
      <c r="AJ17" s="3305"/>
      <c r="AO17" s="3294" t="s">
        <v>934</v>
      </c>
      <c r="AP17" s="3294"/>
      <c r="AQ17" s="3294"/>
      <c r="AR17" s="3294"/>
      <c r="AS17" s="3294"/>
      <c r="AT17" s="3294"/>
      <c r="AU17" s="3294"/>
      <c r="AV17" s="3294"/>
      <c r="AW17" s="3294"/>
      <c r="AX17" s="2094"/>
      <c r="AY17" s="2094"/>
      <c r="AZ17" s="2094"/>
      <c r="BA17" s="2094"/>
      <c r="BE17" s="1517">
        <f>BE22*1000</f>
        <v>8944.1671299999998</v>
      </c>
      <c r="BG17" s="3294" t="s">
        <v>1026</v>
      </c>
      <c r="BH17" s="3294"/>
      <c r="BI17" s="3294"/>
      <c r="BJ17" s="3294"/>
      <c r="BK17" s="3294"/>
      <c r="BL17" s="3294"/>
      <c r="BM17" s="3294"/>
      <c r="BN17" s="3294"/>
      <c r="BO17" s="3294"/>
      <c r="BP17" s="2094"/>
      <c r="BQ17" s="2094"/>
      <c r="BR17" s="2094"/>
      <c r="BS17" s="2094"/>
      <c r="BU17" s="3305">
        <v>2024</v>
      </c>
      <c r="BV17" s="3305"/>
      <c r="BW17" s="3305"/>
    </row>
    <row r="18" spans="2:76" ht="15" customHeight="1">
      <c r="B18" s="3308" t="s">
        <v>308</v>
      </c>
      <c r="C18" s="3290" t="s">
        <v>925</v>
      </c>
      <c r="D18" s="3290"/>
      <c r="E18" s="3290"/>
      <c r="F18" s="3290"/>
      <c r="G18" s="3290"/>
      <c r="H18" s="3290" t="s">
        <v>318</v>
      </c>
      <c r="I18" s="3290"/>
      <c r="J18" s="3290"/>
      <c r="K18" s="3302" t="s">
        <v>926</v>
      </c>
      <c r="L18" s="3295" t="s">
        <v>1001</v>
      </c>
      <c r="M18" s="3296"/>
      <c r="N18" s="3297"/>
      <c r="O18" s="3278" t="s">
        <v>714</v>
      </c>
      <c r="P18" s="3291" t="s">
        <v>763</v>
      </c>
      <c r="Q18" s="3292"/>
      <c r="R18" s="3292"/>
      <c r="S18" s="3292"/>
      <c r="T18" s="3293"/>
      <c r="U18" s="3290" t="s">
        <v>925</v>
      </c>
      <c r="V18" s="3290"/>
      <c r="W18" s="3290"/>
      <c r="X18" s="3290"/>
      <c r="Y18" s="3290"/>
      <c r="Z18" s="3290" t="s">
        <v>318</v>
      </c>
      <c r="AA18" s="3290"/>
      <c r="AB18" s="3290"/>
      <c r="AC18" s="3302" t="s">
        <v>926</v>
      </c>
      <c r="AD18" s="3295" t="s">
        <v>1001</v>
      </c>
      <c r="AE18" s="3296"/>
      <c r="AF18" s="3297"/>
      <c r="AG18" s="3278" t="s">
        <v>714</v>
      </c>
      <c r="AI18" s="3278" t="s">
        <v>198</v>
      </c>
      <c r="AJ18" s="3278" t="s">
        <v>199</v>
      </c>
      <c r="AK18" s="3278" t="s">
        <v>20</v>
      </c>
      <c r="AN18" s="3308" t="s">
        <v>308</v>
      </c>
      <c r="AO18" s="3290" t="s">
        <v>925</v>
      </c>
      <c r="AP18" s="3290"/>
      <c r="AQ18" s="3290"/>
      <c r="AR18" s="3290"/>
      <c r="AS18" s="3290"/>
      <c r="AT18" s="3290" t="s">
        <v>318</v>
      </c>
      <c r="AU18" s="3290"/>
      <c r="AV18" s="3290"/>
      <c r="AW18" s="3302" t="s">
        <v>926</v>
      </c>
      <c r="AX18" s="3295" t="s">
        <v>1001</v>
      </c>
      <c r="AY18" s="3296"/>
      <c r="AZ18" s="3297"/>
      <c r="BA18" s="3278" t="s">
        <v>714</v>
      </c>
      <c r="BB18" s="3291" t="s">
        <v>763</v>
      </c>
      <c r="BC18" s="3292"/>
      <c r="BD18" s="3292"/>
      <c r="BE18" s="3292"/>
      <c r="BF18" s="3293"/>
      <c r="BG18" s="3290" t="s">
        <v>925</v>
      </c>
      <c r="BH18" s="3290"/>
      <c r="BI18" s="3290"/>
      <c r="BJ18" s="3290"/>
      <c r="BK18" s="3290"/>
      <c r="BL18" s="3290" t="s">
        <v>318</v>
      </c>
      <c r="BM18" s="3290"/>
      <c r="BN18" s="3290"/>
      <c r="BO18" s="3302" t="s">
        <v>926</v>
      </c>
      <c r="BP18" s="3295" t="s">
        <v>1001</v>
      </c>
      <c r="BQ18" s="3296"/>
      <c r="BR18" s="3297"/>
      <c r="BS18" s="3278" t="s">
        <v>714</v>
      </c>
      <c r="BU18" s="2706" t="s">
        <v>198</v>
      </c>
      <c r="BV18" s="2706" t="s">
        <v>199</v>
      </c>
      <c r="BW18" s="2706" t="s">
        <v>20</v>
      </c>
    </row>
    <row r="19" spans="2:76" ht="15" customHeight="1">
      <c r="B19" s="3309"/>
      <c r="C19" s="1988" t="s">
        <v>927</v>
      </c>
      <c r="D19" s="1988" t="s">
        <v>928</v>
      </c>
      <c r="E19" s="1988" t="s">
        <v>185</v>
      </c>
      <c r="F19" s="1988" t="s">
        <v>395</v>
      </c>
      <c r="G19" s="1988" t="s">
        <v>929</v>
      </c>
      <c r="H19" s="1988" t="s">
        <v>930</v>
      </c>
      <c r="I19" s="1988" t="s">
        <v>18</v>
      </c>
      <c r="J19" s="1988" t="s">
        <v>726</v>
      </c>
      <c r="K19" s="3302"/>
      <c r="L19" s="1988" t="s">
        <v>318</v>
      </c>
      <c r="M19" s="1988" t="s">
        <v>766</v>
      </c>
      <c r="N19" s="1988" t="s">
        <v>511</v>
      </c>
      <c r="O19" s="3279"/>
      <c r="P19" s="1989" t="s">
        <v>931</v>
      </c>
      <c r="Q19" s="1989" t="s">
        <v>792</v>
      </c>
      <c r="R19" s="1989" t="s">
        <v>932</v>
      </c>
      <c r="S19" s="1989" t="s">
        <v>185</v>
      </c>
      <c r="T19" s="1989" t="s">
        <v>18</v>
      </c>
      <c r="U19" s="1988" t="s">
        <v>927</v>
      </c>
      <c r="V19" s="1988" t="s">
        <v>928</v>
      </c>
      <c r="W19" s="1988" t="s">
        <v>185</v>
      </c>
      <c r="X19" s="1988" t="s">
        <v>395</v>
      </c>
      <c r="Y19" s="1988" t="s">
        <v>929</v>
      </c>
      <c r="Z19" s="1988" t="s">
        <v>930</v>
      </c>
      <c r="AA19" s="1988" t="s">
        <v>18</v>
      </c>
      <c r="AB19" s="1988" t="s">
        <v>726</v>
      </c>
      <c r="AC19" s="3302"/>
      <c r="AD19" s="1988" t="s">
        <v>318</v>
      </c>
      <c r="AE19" s="1988" t="s">
        <v>766</v>
      </c>
      <c r="AF19" s="1988" t="s">
        <v>511</v>
      </c>
      <c r="AG19" s="3279"/>
      <c r="AI19" s="3279"/>
      <c r="AJ19" s="3279"/>
      <c r="AK19" s="3279"/>
      <c r="AN19" s="3309"/>
      <c r="AO19" s="1988" t="s">
        <v>927</v>
      </c>
      <c r="AP19" s="1988" t="s">
        <v>928</v>
      </c>
      <c r="AQ19" s="1988" t="s">
        <v>185</v>
      </c>
      <c r="AR19" s="1988" t="s">
        <v>395</v>
      </c>
      <c r="AS19" s="1988" t="s">
        <v>929</v>
      </c>
      <c r="AT19" s="1988" t="s">
        <v>930</v>
      </c>
      <c r="AU19" s="1988" t="s">
        <v>18</v>
      </c>
      <c r="AV19" s="1988" t="s">
        <v>726</v>
      </c>
      <c r="AW19" s="3302"/>
      <c r="AX19" s="1988" t="s">
        <v>318</v>
      </c>
      <c r="AY19" s="1988" t="s">
        <v>766</v>
      </c>
      <c r="AZ19" s="1988" t="s">
        <v>511</v>
      </c>
      <c r="BA19" s="3279"/>
      <c r="BB19" s="1989" t="s">
        <v>931</v>
      </c>
      <c r="BC19" s="1989" t="s">
        <v>792</v>
      </c>
      <c r="BD19" s="1989" t="s">
        <v>932</v>
      </c>
      <c r="BE19" s="1989" t="s">
        <v>185</v>
      </c>
      <c r="BF19" s="1989" t="s">
        <v>18</v>
      </c>
      <c r="BG19" s="1988" t="s">
        <v>927</v>
      </c>
      <c r="BH19" s="1988" t="s">
        <v>928</v>
      </c>
      <c r="BI19" s="1988" t="s">
        <v>185</v>
      </c>
      <c r="BJ19" s="1988" t="s">
        <v>395</v>
      </c>
      <c r="BK19" s="1988" t="s">
        <v>929</v>
      </c>
      <c r="BL19" s="1988" t="s">
        <v>930</v>
      </c>
      <c r="BM19" s="1988" t="s">
        <v>18</v>
      </c>
      <c r="BN19" s="1988" t="s">
        <v>726</v>
      </c>
      <c r="BO19" s="3302"/>
      <c r="BP19" s="1988" t="s">
        <v>318</v>
      </c>
      <c r="BQ19" s="1988" t="s">
        <v>766</v>
      </c>
      <c r="BR19" s="1988" t="s">
        <v>511</v>
      </c>
      <c r="BS19" s="3279"/>
      <c r="BT19" s="1997"/>
      <c r="BU19" s="2707"/>
      <c r="BV19" s="2707"/>
      <c r="BW19" s="2707"/>
    </row>
    <row r="20" spans="2:76" ht="15.6">
      <c r="B20" s="1990" t="s">
        <v>6</v>
      </c>
      <c r="C20" s="1999">
        <v>1757.32511241</v>
      </c>
      <c r="D20" s="1999">
        <v>734.34091131000014</v>
      </c>
      <c r="E20" s="1999">
        <v>1.6828933700000088</v>
      </c>
      <c r="F20" s="1991">
        <f>AK20</f>
        <v>119.22944493</v>
      </c>
      <c r="G20" s="1991">
        <f>SUM(C20:F20)</f>
        <v>2612.57836202</v>
      </c>
      <c r="H20" s="1999">
        <v>555.55558941000015</v>
      </c>
      <c r="I20" s="1999">
        <v>506.02274235999994</v>
      </c>
      <c r="J20" s="1991">
        <f>SUM(H20:I20)</f>
        <v>1061.5783317700002</v>
      </c>
      <c r="K20" s="1991">
        <f>J20+G20</f>
        <v>3674.1566937900002</v>
      </c>
      <c r="L20" s="1999">
        <v>257.36040410999999</v>
      </c>
      <c r="M20" s="1999">
        <v>28.899000000000001</v>
      </c>
      <c r="N20" s="1991">
        <f>SUM(L20:M20)</f>
        <v>286.25940410999999</v>
      </c>
      <c r="O20" s="1991">
        <f>K20+N20</f>
        <v>3960.4160979000003</v>
      </c>
      <c r="P20" s="1999">
        <v>394.85430133</v>
      </c>
      <c r="Q20" s="1999">
        <v>77.441922049999988</v>
      </c>
      <c r="R20" s="1999">
        <v>13.186006839999999</v>
      </c>
      <c r="S20" s="1989"/>
      <c r="T20" s="1999">
        <v>15.51141</v>
      </c>
      <c r="U20" s="1991">
        <f>C20</f>
        <v>1757.32511241</v>
      </c>
      <c r="V20" s="1991">
        <f>D20-P20</f>
        <v>339.48660998000014</v>
      </c>
      <c r="W20" s="1991">
        <f>E20-S20</f>
        <v>1.6828933700000088</v>
      </c>
      <c r="X20" s="1991">
        <f>F20-Q20</f>
        <v>41.787522880000012</v>
      </c>
      <c r="Y20" s="1991">
        <f>SUM(U20:X20)</f>
        <v>2140.2821386399996</v>
      </c>
      <c r="Z20" s="1991">
        <f>H20-R20</f>
        <v>542.36958257000015</v>
      </c>
      <c r="AA20" s="1991">
        <f>I20-T20</f>
        <v>490.51133235999993</v>
      </c>
      <c r="AB20" s="1991">
        <f>SUM(Z20:AA20)</f>
        <v>1032.88091493</v>
      </c>
      <c r="AC20" s="1991">
        <f>AB20+Y20</f>
        <v>3173.1630535699996</v>
      </c>
      <c r="AD20" s="1991">
        <f>L20</f>
        <v>257.36040410999999</v>
      </c>
      <c r="AE20" s="1991">
        <f>M20</f>
        <v>28.899000000000001</v>
      </c>
      <c r="AF20" s="1991">
        <f>SUM(AD20:AE20)</f>
        <v>286.25940410999999</v>
      </c>
      <c r="AG20" s="1991">
        <f>AC20+AF20</f>
        <v>3459.4224576799998</v>
      </c>
      <c r="AH20" s="1517" t="str">
        <f t="shared" ref="AH20:AH29" si="0">B20</f>
        <v>Blida</v>
      </c>
      <c r="AI20" s="1999">
        <v>117.32696645</v>
      </c>
      <c r="AJ20" s="2359">
        <v>1.9024784800000001</v>
      </c>
      <c r="AK20" s="2288">
        <f>AI20+AJ20</f>
        <v>119.22944493</v>
      </c>
      <c r="AN20" s="1990" t="s">
        <v>6</v>
      </c>
      <c r="AO20" s="1991">
        <f>'Feuil-saisie'!$C$25/1000</f>
        <v>1672.5802192600001</v>
      </c>
      <c r="AP20" s="1991">
        <f>'Feuil-saisie'!$C$33/1000</f>
        <v>1109.4241201999994</v>
      </c>
      <c r="AQ20" s="1991">
        <f>'Feuil-saisie'!$C$30/1000</f>
        <v>0.98603330000000278</v>
      </c>
      <c r="AR20" s="1991">
        <f>BW20</f>
        <v>62.644678620000001</v>
      </c>
      <c r="AS20" s="1991">
        <f>SUM(AO20:AR20)</f>
        <v>2845.6350513799998</v>
      </c>
      <c r="AT20" s="1991">
        <f>'Feuil-saisie'!$C$32/1000</f>
        <v>507.93625065000003</v>
      </c>
      <c r="AU20" s="1991">
        <f>'Feuil-saisie'!$C$29/1000</f>
        <v>487.83031238999985</v>
      </c>
      <c r="AV20" s="1991">
        <f t="shared" ref="AV20:AV29" si="1">SUM(AT20:AU20)</f>
        <v>995.76656303999994</v>
      </c>
      <c r="AW20" s="1991">
        <f t="shared" ref="AW20:AW29" si="2">AV20+AS20</f>
        <v>3841.4016144199995</v>
      </c>
      <c r="AX20" s="1991">
        <f>'Feuil-saisie'!$C$41/1000</f>
        <v>307.01675879999999</v>
      </c>
      <c r="AY20" s="1991">
        <f>'Feuil-saisie'!$C$42/1000</f>
        <v>28.899000000000001</v>
      </c>
      <c r="AZ20" s="1991">
        <f>SUM(AX20:AY20)</f>
        <v>335.91575879999999</v>
      </c>
      <c r="BA20" s="1991">
        <f>AW20+AZ20</f>
        <v>4177.3173732199994</v>
      </c>
      <c r="BB20" s="1992">
        <f>'Feuil-saisie'!$C$34/1000</f>
        <v>892.60079000000007</v>
      </c>
      <c r="BC20" s="1992">
        <f>'Feuil-saisie'!$C$37/1000</f>
        <v>29.963873100000001</v>
      </c>
      <c r="BD20" s="1992">
        <f>'Feuil-saisie'!$C$36/1000</f>
        <v>6.25495</v>
      </c>
      <c r="BE20" s="2283"/>
      <c r="BF20" s="2283">
        <f>'Feuil-saisie'!$C$35/1000</f>
        <v>40.528499520000004</v>
      </c>
      <c r="BG20" s="1991">
        <f>AO20</f>
        <v>1672.5802192600001</v>
      </c>
      <c r="BH20" s="1991">
        <f>AP20-BB20</f>
        <v>216.8233301999993</v>
      </c>
      <c r="BI20" s="1991">
        <f>AQ20-BE20</f>
        <v>0.98603330000000278</v>
      </c>
      <c r="BJ20" s="1991">
        <f>AR20-BC20</f>
        <v>32.68080552</v>
      </c>
      <c r="BK20" s="1991">
        <f>SUM(BG20:BJ20)</f>
        <v>1923.0703882799992</v>
      </c>
      <c r="BL20" s="1991">
        <f>AT20-BD20</f>
        <v>501.68130065000003</v>
      </c>
      <c r="BM20" s="1991">
        <f>AU20-BF20</f>
        <v>447.30181286999982</v>
      </c>
      <c r="BN20" s="1991">
        <f>SUM(BL20:BM20)</f>
        <v>948.98311351999985</v>
      </c>
      <c r="BO20" s="1991">
        <f>BN20+BK20</f>
        <v>2872.0535017999991</v>
      </c>
      <c r="BP20" s="1991">
        <f>AX20</f>
        <v>307.01675879999999</v>
      </c>
      <c r="BQ20" s="1991">
        <f>AY20</f>
        <v>28.899000000000001</v>
      </c>
      <c r="BR20" s="1991">
        <f>SUM(BP20:BQ20)</f>
        <v>335.91575879999999</v>
      </c>
      <c r="BS20" s="1991">
        <f>BO20+BR20</f>
        <v>3207.969260599999</v>
      </c>
      <c r="BT20" s="1998" t="str">
        <f>AN20</f>
        <v>Blida</v>
      </c>
      <c r="BU20" s="2736">
        <f>'Feuil-saisie'!$C$44/1000</f>
        <v>61.165942489999999</v>
      </c>
      <c r="BV20" s="2737">
        <f>'Feuil-saisie'!$C$45/1000</f>
        <v>1.4787361299999997</v>
      </c>
      <c r="BW20" s="2714">
        <f>BU20+BV20</f>
        <v>62.644678620000001</v>
      </c>
    </row>
    <row r="21" spans="2:76" ht="15.6">
      <c r="B21" s="1990" t="s">
        <v>7</v>
      </c>
      <c r="C21" s="1999">
        <v>985.82839340000078</v>
      </c>
      <c r="D21" s="1999">
        <v>343.18</v>
      </c>
      <c r="E21" s="1999">
        <v>0.99421999999999389</v>
      </c>
      <c r="F21" s="1991">
        <f t="shared" ref="F21:F29" si="3">AK21</f>
        <v>415.2198176</v>
      </c>
      <c r="G21" s="1991">
        <f t="shared" ref="G21:G29" si="4">SUM(C21:F21)</f>
        <v>1745.2224310000008</v>
      </c>
      <c r="H21" s="1999">
        <v>82.087999999999994</v>
      </c>
      <c r="I21" s="1999">
        <v>83.91822999999998</v>
      </c>
      <c r="J21" s="1991">
        <f t="shared" ref="J21:J29" si="5">SUM(H21:I21)</f>
        <v>166.00622999999996</v>
      </c>
      <c r="K21" s="1991">
        <f t="shared" ref="K21:K29" si="6">J21+G21</f>
        <v>1911.2286610000008</v>
      </c>
      <c r="L21" s="1999">
        <v>64.710815079999989</v>
      </c>
      <c r="M21" s="1999">
        <v>0</v>
      </c>
      <c r="N21" s="1991">
        <f t="shared" ref="N21:N29" si="7">SUM(L21:M21)</f>
        <v>64.710815079999989</v>
      </c>
      <c r="O21" s="1991">
        <f t="shared" ref="O21:O29" si="8">K21+N21</f>
        <v>1975.9394760800008</v>
      </c>
      <c r="P21" s="1999">
        <v>301.45400000000001</v>
      </c>
      <c r="Q21" s="1999">
        <v>391.3578473</v>
      </c>
      <c r="R21" s="1999">
        <v>0</v>
      </c>
      <c r="S21" s="1989"/>
      <c r="T21" s="1989"/>
      <c r="U21" s="1991">
        <f t="shared" ref="U21:U29" si="9">C21</f>
        <v>985.82839340000078</v>
      </c>
      <c r="V21" s="1991">
        <f t="shared" ref="V21:V29" si="10">D21-P21</f>
        <v>41.725999999999999</v>
      </c>
      <c r="W21" s="1991">
        <f t="shared" ref="W21:W29" si="11">E21-S21</f>
        <v>0.99421999999999389</v>
      </c>
      <c r="X21" s="1991">
        <f t="shared" ref="X21:X29" si="12">F21-Q21</f>
        <v>23.861970299999996</v>
      </c>
      <c r="Y21" s="1991">
        <f t="shared" ref="Y21:Y29" si="13">SUM(U21:X21)</f>
        <v>1052.4105837000006</v>
      </c>
      <c r="Z21" s="1991">
        <f t="shared" ref="Z21:Z29" si="14">H21-R21</f>
        <v>82.087999999999994</v>
      </c>
      <c r="AA21" s="1991">
        <f t="shared" ref="AA21:AA29" si="15">I21-T21</f>
        <v>83.91822999999998</v>
      </c>
      <c r="AB21" s="1991">
        <f t="shared" ref="AB21:AB29" si="16">SUM(Z21:AA21)</f>
        <v>166.00622999999996</v>
      </c>
      <c r="AC21" s="1991">
        <f t="shared" ref="AC21:AC29" si="17">AB21+Y21</f>
        <v>1218.4168137000006</v>
      </c>
      <c r="AD21" s="1991">
        <f t="shared" ref="AD21:AD29" si="18">L21</f>
        <v>64.710815079999989</v>
      </c>
      <c r="AE21" s="1991">
        <f t="shared" ref="AE21:AE29" si="19">M21</f>
        <v>0</v>
      </c>
      <c r="AF21" s="1991">
        <f t="shared" ref="AF21:AF29" si="20">SUM(AD21:AE21)</f>
        <v>64.710815079999989</v>
      </c>
      <c r="AG21" s="1991">
        <f t="shared" ref="AG21:AG29" si="21">AC21+AF21</f>
        <v>1283.1276287800006</v>
      </c>
      <c r="AH21" s="1517" t="str">
        <f t="shared" si="0"/>
        <v>Bouira</v>
      </c>
      <c r="AI21" s="1999">
        <v>391.3578473</v>
      </c>
      <c r="AJ21" s="2359">
        <v>23.861970299999985</v>
      </c>
      <c r="AK21" s="2288">
        <f t="shared" ref="AK21:AK29" si="22">AI21+AJ21</f>
        <v>415.2198176</v>
      </c>
      <c r="AN21" s="1990" t="s">
        <v>7</v>
      </c>
      <c r="AO21" s="1991">
        <f>'Feuil-saisie'!$C$49/1000</f>
        <v>1016.6158273199995</v>
      </c>
      <c r="AP21" s="1991">
        <f>'Feuil-saisie'!$C$57/1000</f>
        <v>524.35500000000002</v>
      </c>
      <c r="AQ21" s="1991">
        <f>'Feuil-saisie'!$C$54/1000</f>
        <v>4.7482200000000008</v>
      </c>
      <c r="AR21" s="1991">
        <f t="shared" ref="AR21:AR29" si="23">BW21</f>
        <v>260.36281760000003</v>
      </c>
      <c r="AS21" s="1991">
        <f t="shared" ref="AS21:AS29" si="24">SUM(AO21:AR21)</f>
        <v>1806.0818649199994</v>
      </c>
      <c r="AT21" s="1991">
        <f>'Feuil-saisie'!$C$56/1000</f>
        <v>78.953000000000003</v>
      </c>
      <c r="AU21" s="1991">
        <f>'Feuil-saisie'!$C$53/1000</f>
        <v>40.47622999999998</v>
      </c>
      <c r="AV21" s="1991">
        <f t="shared" si="1"/>
        <v>119.42922999999999</v>
      </c>
      <c r="AW21" s="1991">
        <f t="shared" si="2"/>
        <v>1925.5110949199993</v>
      </c>
      <c r="AX21" s="1991">
        <f>'Feuil-saisie'!$C$64/1000</f>
        <v>147.11199999999999</v>
      </c>
      <c r="AY21" s="1991">
        <f>'Feuil-saisie'!$C$65/1000</f>
        <v>0</v>
      </c>
      <c r="AZ21" s="1991">
        <f t="shared" ref="AZ21:AZ29" si="25">SUM(AX21:AY21)</f>
        <v>147.11199999999999</v>
      </c>
      <c r="BA21" s="1991">
        <f t="shared" ref="BA21:BA29" si="26">AW21+AZ21</f>
        <v>2072.6230949199994</v>
      </c>
      <c r="BB21" s="1992">
        <f>'Feuil-saisie'!$C$58/1000</f>
        <v>496.178</v>
      </c>
      <c r="BC21" s="1992">
        <f>'Feuil-saisie'!$C$60/1000</f>
        <v>245.05284730000002</v>
      </c>
      <c r="BD21" s="1992">
        <f>'Feuil-saisie'!$C$59/1000</f>
        <v>0</v>
      </c>
      <c r="BE21" s="2283"/>
      <c r="BF21" s="2283"/>
      <c r="BG21" s="1991">
        <f t="shared" ref="BG21:BG29" si="27">AO21</f>
        <v>1016.6158273199995</v>
      </c>
      <c r="BH21" s="1991">
        <f t="shared" ref="BH21:BH29" si="28">AP21-BB21</f>
        <v>28.177000000000021</v>
      </c>
      <c r="BI21" s="1991">
        <f t="shared" ref="BI21:BI29" si="29">AQ21-BE21</f>
        <v>4.7482200000000008</v>
      </c>
      <c r="BJ21" s="1991">
        <f t="shared" ref="BJ21:BJ29" si="30">AR21-BC21</f>
        <v>15.309970300000003</v>
      </c>
      <c r="BK21" s="1991">
        <f t="shared" ref="BK21:BK29" si="31">SUM(BG21:BJ21)</f>
        <v>1064.8510176199995</v>
      </c>
      <c r="BL21" s="1991">
        <f t="shared" ref="BL21:BL29" si="32">AT21-BD21</f>
        <v>78.953000000000003</v>
      </c>
      <c r="BM21" s="1991">
        <f t="shared" ref="BM21:BM29" si="33">AU21-BF21</f>
        <v>40.47622999999998</v>
      </c>
      <c r="BN21" s="1991">
        <f t="shared" ref="BN21:BN29" si="34">SUM(BL21:BM21)</f>
        <v>119.42922999999999</v>
      </c>
      <c r="BO21" s="1991">
        <f t="shared" ref="BO21:BO29" si="35">BN21+BK21</f>
        <v>1184.2802476199995</v>
      </c>
      <c r="BP21" s="1991">
        <f t="shared" ref="BP21:BP29" si="36">AX21</f>
        <v>147.11199999999999</v>
      </c>
      <c r="BQ21" s="1991">
        <f t="shared" ref="BQ21:BQ29" si="37">AY21</f>
        <v>0</v>
      </c>
      <c r="BR21" s="1991">
        <f t="shared" ref="BR21:BR29" si="38">SUM(BP21:BQ21)</f>
        <v>147.11199999999999</v>
      </c>
      <c r="BS21" s="1991">
        <f t="shared" ref="BS21:BS29" si="39">BO21+BR21</f>
        <v>1331.3922476199996</v>
      </c>
      <c r="BT21" s="1998" t="str">
        <f t="shared" ref="BT21:BT29" si="40">AN21</f>
        <v>Bouira</v>
      </c>
      <c r="BU21" s="2736">
        <f>'Feuil-saisie'!$C$67/1000</f>
        <v>245.05284730000002</v>
      </c>
      <c r="BV21" s="2737">
        <f>'Feuil-saisie'!$C$68/1000</f>
        <v>15.309970299999986</v>
      </c>
      <c r="BW21" s="2714">
        <f t="shared" ref="BW21:BW28" si="41">BU21+BV21</f>
        <v>260.36281760000003</v>
      </c>
    </row>
    <row r="22" spans="2:76" ht="15.6">
      <c r="B22" s="1990" t="s">
        <v>8</v>
      </c>
      <c r="C22" s="1999">
        <v>599.67250341999988</v>
      </c>
      <c r="D22" s="1999">
        <v>306.63920199</v>
      </c>
      <c r="E22" s="1999">
        <v>15.041513070000001</v>
      </c>
      <c r="F22" s="1991">
        <f t="shared" si="3"/>
        <v>18.899909079999993</v>
      </c>
      <c r="G22" s="1991">
        <f t="shared" si="4"/>
        <v>940.25312755999983</v>
      </c>
      <c r="H22" s="1999">
        <v>180.81301267999999</v>
      </c>
      <c r="I22" s="1999">
        <v>263.54263537999998</v>
      </c>
      <c r="J22" s="1991">
        <f t="shared" si="5"/>
        <v>444.35564805999996</v>
      </c>
      <c r="K22" s="1991">
        <f t="shared" si="6"/>
        <v>1384.6087756199997</v>
      </c>
      <c r="L22" s="1999">
        <v>250.85398080000002</v>
      </c>
      <c r="M22" s="1999">
        <v>7.6163220899999997</v>
      </c>
      <c r="N22" s="1991">
        <f t="shared" si="7"/>
        <v>258.47030289000003</v>
      </c>
      <c r="O22" s="1991">
        <f t="shared" si="8"/>
        <v>1643.0790785099998</v>
      </c>
      <c r="P22" s="1999">
        <v>279.71394530000003</v>
      </c>
      <c r="Q22" s="1999">
        <v>0</v>
      </c>
      <c r="R22" s="1999">
        <v>61.71368697999997</v>
      </c>
      <c r="S22" s="1999">
        <v>8.7228999999999992</v>
      </c>
      <c r="T22" s="1989"/>
      <c r="U22" s="1991">
        <f t="shared" si="9"/>
        <v>599.67250341999988</v>
      </c>
      <c r="V22" s="1991">
        <f t="shared" si="10"/>
        <v>26.925256689999969</v>
      </c>
      <c r="W22" s="1991">
        <f>E22-S22</f>
        <v>6.3186130700000014</v>
      </c>
      <c r="X22" s="1991">
        <f t="shared" si="12"/>
        <v>18.899909079999993</v>
      </c>
      <c r="Y22" s="1991">
        <f t="shared" si="13"/>
        <v>651.81628225999987</v>
      </c>
      <c r="Z22" s="1991">
        <f t="shared" si="14"/>
        <v>119.09932570000001</v>
      </c>
      <c r="AA22" s="1991">
        <f t="shared" si="15"/>
        <v>263.54263537999998</v>
      </c>
      <c r="AB22" s="1991">
        <f t="shared" si="16"/>
        <v>382.64196107999999</v>
      </c>
      <c r="AC22" s="1991">
        <f t="shared" si="17"/>
        <v>1034.4582433399999</v>
      </c>
      <c r="AD22" s="1991">
        <f t="shared" si="18"/>
        <v>250.85398080000002</v>
      </c>
      <c r="AE22" s="1991">
        <f t="shared" si="19"/>
        <v>7.6163220899999997</v>
      </c>
      <c r="AF22" s="1991">
        <f t="shared" si="20"/>
        <v>258.47030289000003</v>
      </c>
      <c r="AG22" s="1991">
        <f t="shared" si="21"/>
        <v>1292.9285462299999</v>
      </c>
      <c r="AH22" s="1517" t="str">
        <f t="shared" si="0"/>
        <v>Médéa</v>
      </c>
      <c r="AI22" s="1999">
        <v>6.7049648199999936</v>
      </c>
      <c r="AJ22" s="2359">
        <v>12.19494426</v>
      </c>
      <c r="AK22" s="2288">
        <f t="shared" si="22"/>
        <v>18.899909079999993</v>
      </c>
      <c r="AN22" s="1990" t="s">
        <v>8</v>
      </c>
      <c r="AO22" s="1991">
        <f>'Feuil-saisie'!$C$72/1000</f>
        <v>558.77068796000083</v>
      </c>
      <c r="AP22" s="1991">
        <f>'Feuil-saisie'!$C$80/1000</f>
        <v>495.46004759000004</v>
      </c>
      <c r="AQ22" s="1991">
        <f>'Feuil-saisie'!$C$77/1000</f>
        <v>13.566429179999991</v>
      </c>
      <c r="AR22" s="1991">
        <f t="shared" si="23"/>
        <v>16.583006649999994</v>
      </c>
      <c r="AS22" s="1991">
        <f>SUM(AO22:AR22)</f>
        <v>1084.3801713800008</v>
      </c>
      <c r="AT22" s="1991">
        <f>'Feuil-saisie'!$C$79/1000</f>
        <v>168.5231826400001</v>
      </c>
      <c r="AU22" s="1991">
        <f>'Feuil-saisie'!$C$76/1000</f>
        <v>251.78944397999999</v>
      </c>
      <c r="AV22" s="1991">
        <f t="shared" si="1"/>
        <v>420.31262662000006</v>
      </c>
      <c r="AW22" s="1991">
        <f t="shared" si="2"/>
        <v>1504.6927980000009</v>
      </c>
      <c r="AX22" s="1991">
        <f>'Feuil-saisie'!$C$88/1000</f>
        <v>769.19647291999627</v>
      </c>
      <c r="AY22" s="1991">
        <f>'Feuil-saisie'!$C$89/1000</f>
        <v>7.6162554299999989</v>
      </c>
      <c r="AZ22" s="1991">
        <f t="shared" si="25"/>
        <v>776.81272834999629</v>
      </c>
      <c r="BA22" s="1991">
        <f>AW22+AZ22</f>
        <v>2281.5055263499971</v>
      </c>
      <c r="BB22" s="1992">
        <f>'Feuil-saisie'!$C$81/1000</f>
        <v>473.55112733999999</v>
      </c>
      <c r="BC22" s="1992">
        <f>'Feuil-saisie'!$C$84/1000</f>
        <v>0</v>
      </c>
      <c r="BD22" s="1992">
        <f>'Feuil-saisie'!$C$83/1000</f>
        <v>71.822556330000012</v>
      </c>
      <c r="BE22" s="2283">
        <f>'Feuil-saisie'!$C$82/1000</f>
        <v>8.9441671300000003</v>
      </c>
      <c r="BF22" s="2283"/>
      <c r="BG22" s="1991">
        <f t="shared" si="27"/>
        <v>558.77068796000083</v>
      </c>
      <c r="BH22" s="1991">
        <f>AP22-BB22</f>
        <v>21.908920250000051</v>
      </c>
      <c r="BI22" s="1991">
        <f t="shared" si="29"/>
        <v>4.6222620499999909</v>
      </c>
      <c r="BJ22" s="1991">
        <f t="shared" si="30"/>
        <v>16.583006649999994</v>
      </c>
      <c r="BK22" s="1991">
        <f t="shared" si="31"/>
        <v>601.88487691000091</v>
      </c>
      <c r="BL22" s="1991">
        <f t="shared" si="32"/>
        <v>96.700626310000089</v>
      </c>
      <c r="BM22" s="1991">
        <f t="shared" si="33"/>
        <v>251.78944397999999</v>
      </c>
      <c r="BN22" s="1991">
        <f t="shared" si="34"/>
        <v>348.49007029000006</v>
      </c>
      <c r="BO22" s="1991">
        <f t="shared" si="35"/>
        <v>950.37494720000097</v>
      </c>
      <c r="BP22" s="1991">
        <f t="shared" si="36"/>
        <v>769.19647291999627</v>
      </c>
      <c r="BQ22" s="1991">
        <f t="shared" si="37"/>
        <v>7.6162554299999989</v>
      </c>
      <c r="BR22" s="1991">
        <f t="shared" si="38"/>
        <v>776.81272834999629</v>
      </c>
      <c r="BS22" s="1991">
        <f t="shared" si="39"/>
        <v>1727.1876755499973</v>
      </c>
      <c r="BT22" s="1998" t="str">
        <f t="shared" si="40"/>
        <v>Médéa</v>
      </c>
      <c r="BU22" s="2736">
        <f>'Feuil-saisie'!$C$91/1000</f>
        <v>0</v>
      </c>
      <c r="BV22" s="2737">
        <f>'Feuil-saisie'!$C$92/1000</f>
        <v>16.583006649999994</v>
      </c>
      <c r="BW22" s="2714">
        <f t="shared" si="41"/>
        <v>16.583006649999994</v>
      </c>
    </row>
    <row r="23" spans="2:76" ht="15.6">
      <c r="B23" s="1990" t="s">
        <v>4</v>
      </c>
      <c r="C23" s="1999">
        <v>1669.7437616200004</v>
      </c>
      <c r="D23" s="1999">
        <v>504.87290181999953</v>
      </c>
      <c r="E23" s="1999">
        <v>12.984259819999991</v>
      </c>
      <c r="F23" s="1991">
        <f t="shared" si="3"/>
        <v>0</v>
      </c>
      <c r="G23" s="1991">
        <f t="shared" si="4"/>
        <v>2187.6009232599999</v>
      </c>
      <c r="H23" s="1999">
        <v>361.76035946000002</v>
      </c>
      <c r="I23" s="1999">
        <v>319.80739289000002</v>
      </c>
      <c r="J23" s="1991">
        <f t="shared" si="5"/>
        <v>681.56775235000009</v>
      </c>
      <c r="K23" s="1991">
        <f t="shared" si="6"/>
        <v>2869.1686756099998</v>
      </c>
      <c r="L23" s="1999">
        <v>71.363574399999962</v>
      </c>
      <c r="M23" s="1999">
        <v>0</v>
      </c>
      <c r="N23" s="1991">
        <f t="shared" si="7"/>
        <v>71.363574399999962</v>
      </c>
      <c r="O23" s="1991">
        <f t="shared" si="8"/>
        <v>2940.5322500099996</v>
      </c>
      <c r="P23" s="1999">
        <v>460.34659369999997</v>
      </c>
      <c r="Q23" s="1999">
        <v>0</v>
      </c>
      <c r="R23" s="1999">
        <v>33.171908889999997</v>
      </c>
      <c r="S23" s="1989"/>
      <c r="T23" s="1989"/>
      <c r="U23" s="1991">
        <f t="shared" si="9"/>
        <v>1669.7437616200004</v>
      </c>
      <c r="V23" s="1991">
        <f t="shared" si="10"/>
        <v>44.526308119999555</v>
      </c>
      <c r="W23" s="1991">
        <f t="shared" si="11"/>
        <v>12.984259819999991</v>
      </c>
      <c r="X23" s="1991">
        <f t="shared" si="12"/>
        <v>0</v>
      </c>
      <c r="Y23" s="1991">
        <f t="shared" si="13"/>
        <v>1727.2543295600001</v>
      </c>
      <c r="Z23" s="1991">
        <f t="shared" si="14"/>
        <v>328.58845057000002</v>
      </c>
      <c r="AA23" s="1991">
        <f t="shared" si="15"/>
        <v>319.80739289000002</v>
      </c>
      <c r="AB23" s="1991">
        <f t="shared" si="16"/>
        <v>648.39584346000004</v>
      </c>
      <c r="AC23" s="1991">
        <f t="shared" si="17"/>
        <v>2375.6501730200002</v>
      </c>
      <c r="AD23" s="1991">
        <f t="shared" si="18"/>
        <v>71.363574399999962</v>
      </c>
      <c r="AE23" s="1991">
        <f t="shared" si="19"/>
        <v>0</v>
      </c>
      <c r="AF23" s="1991">
        <f t="shared" si="20"/>
        <v>71.363574399999962</v>
      </c>
      <c r="AG23" s="1991">
        <f t="shared" si="21"/>
        <v>2447.0137474200001</v>
      </c>
      <c r="AH23" s="1517" t="str">
        <f t="shared" si="0"/>
        <v>T.Ouzou</v>
      </c>
      <c r="AI23" s="1999">
        <v>0</v>
      </c>
      <c r="AJ23" s="2359">
        <v>0</v>
      </c>
      <c r="AK23" s="2288">
        <f t="shared" si="22"/>
        <v>0</v>
      </c>
      <c r="AN23" s="1990" t="s">
        <v>4</v>
      </c>
      <c r="AO23" s="1991">
        <f>'Feuil-saisie'!$C$96/1000</f>
        <v>1689.0696134900004</v>
      </c>
      <c r="AP23" s="1991">
        <f>'Feuil-saisie'!$C$104/1000</f>
        <v>1315.9505770800001</v>
      </c>
      <c r="AQ23" s="1991">
        <f>'Feuil-saisie'!$C$101/1000</f>
        <v>8.7440808899999976</v>
      </c>
      <c r="AR23" s="1991">
        <f t="shared" si="23"/>
        <v>23.565210099999998</v>
      </c>
      <c r="AS23" s="1991">
        <f t="shared" si="24"/>
        <v>3037.3294815600007</v>
      </c>
      <c r="AT23" s="1991">
        <f>'Feuil-saisie'!$C$103/1000</f>
        <v>287.96677158</v>
      </c>
      <c r="AU23" s="1991">
        <f>'Feuil-saisie'!$C$100/1000</f>
        <v>369.43392489999997</v>
      </c>
      <c r="AV23" s="1991">
        <f t="shared" si="1"/>
        <v>657.40069647999997</v>
      </c>
      <c r="AW23" s="1991">
        <f t="shared" si="2"/>
        <v>3694.7301780400007</v>
      </c>
      <c r="AX23" s="1991">
        <f>'Feuil-saisie'!$C$111/1000</f>
        <v>14.06040285999997</v>
      </c>
      <c r="AY23" s="1991">
        <f>'Feuil-saisie'!$C$112/1000</f>
        <v>0</v>
      </c>
      <c r="AZ23" s="1991">
        <f t="shared" si="25"/>
        <v>14.06040285999997</v>
      </c>
      <c r="BA23" s="1991">
        <f t="shared" si="26"/>
        <v>3708.7905809000008</v>
      </c>
      <c r="BB23" s="1992">
        <f>'Feuil-saisie'!$C$105/1000</f>
        <v>1273.84614794</v>
      </c>
      <c r="BC23" s="1992">
        <f>'Feuil-saisie'!$C$107/1000</f>
        <v>0</v>
      </c>
      <c r="BD23" s="1992">
        <f>'Feuil-saisie'!$C$106/1000</f>
        <v>0</v>
      </c>
      <c r="BE23" s="2283"/>
      <c r="BF23" s="2283"/>
      <c r="BG23" s="1991">
        <f t="shared" si="27"/>
        <v>1689.0696134900004</v>
      </c>
      <c r="BH23" s="1991">
        <f t="shared" si="28"/>
        <v>42.104429140000093</v>
      </c>
      <c r="BI23" s="1991">
        <f t="shared" si="29"/>
        <v>8.7440808899999976</v>
      </c>
      <c r="BJ23" s="1991">
        <f t="shared" si="30"/>
        <v>23.565210099999998</v>
      </c>
      <c r="BK23" s="1991">
        <f t="shared" si="31"/>
        <v>1763.4833336200006</v>
      </c>
      <c r="BL23" s="1991">
        <f t="shared" si="32"/>
        <v>287.96677158</v>
      </c>
      <c r="BM23" s="1991">
        <f t="shared" si="33"/>
        <v>369.43392489999997</v>
      </c>
      <c r="BN23" s="1991">
        <f t="shared" si="34"/>
        <v>657.40069647999997</v>
      </c>
      <c r="BO23" s="1991">
        <f t="shared" si="35"/>
        <v>2420.8840301000005</v>
      </c>
      <c r="BP23" s="1991">
        <f t="shared" si="36"/>
        <v>14.06040285999997</v>
      </c>
      <c r="BQ23" s="1991">
        <f t="shared" si="37"/>
        <v>0</v>
      </c>
      <c r="BR23" s="1991">
        <f t="shared" si="38"/>
        <v>14.06040285999997</v>
      </c>
      <c r="BS23" s="1991">
        <f t="shared" si="39"/>
        <v>2434.9444329600005</v>
      </c>
      <c r="BT23" s="1998" t="str">
        <f t="shared" si="40"/>
        <v>T.Ouzou</v>
      </c>
      <c r="BU23" s="2736">
        <f>'Feuil-saisie'!$C$114/1000</f>
        <v>0</v>
      </c>
      <c r="BV23" s="2737">
        <f>'Feuil-saisie'!$C$115/1000</f>
        <v>23.565210099999998</v>
      </c>
      <c r="BW23" s="2714">
        <f t="shared" si="41"/>
        <v>23.565210099999998</v>
      </c>
    </row>
    <row r="24" spans="2:76" ht="15.6">
      <c r="B24" s="1990" t="s">
        <v>3</v>
      </c>
      <c r="C24" s="1999">
        <v>2508.4341005600004</v>
      </c>
      <c r="D24" s="1999">
        <v>353.13390029999999</v>
      </c>
      <c r="E24" s="1999">
        <v>18.221117079999999</v>
      </c>
      <c r="F24" s="1991">
        <f t="shared" si="3"/>
        <v>13.255698430000001</v>
      </c>
      <c r="G24" s="1991">
        <f t="shared" si="4"/>
        <v>2893.0448163700003</v>
      </c>
      <c r="H24" s="1999">
        <v>403.90427109000001</v>
      </c>
      <c r="I24" s="1999">
        <v>363.14033562999998</v>
      </c>
      <c r="J24" s="1991">
        <f t="shared" si="5"/>
        <v>767.04460672000005</v>
      </c>
      <c r="K24" s="1991">
        <f t="shared" si="6"/>
        <v>3660.0894230900003</v>
      </c>
      <c r="L24" s="1999">
        <v>1224.7550865060002</v>
      </c>
      <c r="M24" s="1999">
        <v>6.7564517099999977</v>
      </c>
      <c r="N24" s="1991">
        <f t="shared" si="7"/>
        <v>1231.5115382160002</v>
      </c>
      <c r="O24" s="1991">
        <f t="shared" si="8"/>
        <v>4891.6009613060005</v>
      </c>
      <c r="P24" s="1999">
        <v>186.98681952000001</v>
      </c>
      <c r="Q24" s="1999">
        <v>0</v>
      </c>
      <c r="R24" s="1999">
        <v>0</v>
      </c>
      <c r="S24" s="1989"/>
      <c r="T24" s="1999">
        <v>2.6587628900000002</v>
      </c>
      <c r="U24" s="1991">
        <f t="shared" si="9"/>
        <v>2508.4341005600004</v>
      </c>
      <c r="V24" s="1991">
        <f t="shared" si="10"/>
        <v>166.14708077999998</v>
      </c>
      <c r="W24" s="1991">
        <f>E24-S24</f>
        <v>18.221117079999999</v>
      </c>
      <c r="X24" s="1991">
        <f t="shared" si="12"/>
        <v>13.255698430000001</v>
      </c>
      <c r="Y24" s="1991">
        <f t="shared" si="13"/>
        <v>2706.0579968500006</v>
      </c>
      <c r="Z24" s="1991">
        <f t="shared" si="14"/>
        <v>403.90427109000001</v>
      </c>
      <c r="AA24" s="1991">
        <f>I24-T24</f>
        <v>360.48157273999999</v>
      </c>
      <c r="AB24" s="1991">
        <f t="shared" si="16"/>
        <v>764.38584383</v>
      </c>
      <c r="AC24" s="1991">
        <f t="shared" si="17"/>
        <v>3470.4438406800004</v>
      </c>
      <c r="AD24" s="1991">
        <f t="shared" si="18"/>
        <v>1224.7550865060002</v>
      </c>
      <c r="AE24" s="1991">
        <f t="shared" si="19"/>
        <v>6.7564517099999977</v>
      </c>
      <c r="AF24" s="1991">
        <f t="shared" si="20"/>
        <v>1231.5115382160002</v>
      </c>
      <c r="AG24" s="1991">
        <f t="shared" si="21"/>
        <v>4701.9553788960002</v>
      </c>
      <c r="AH24" s="1517" t="str">
        <f t="shared" si="0"/>
        <v>Djelfa</v>
      </c>
      <c r="AI24" s="1999"/>
      <c r="AJ24" s="2359">
        <v>13.255698430000001</v>
      </c>
      <c r="AK24" s="2288">
        <f t="shared" si="22"/>
        <v>13.255698430000001</v>
      </c>
      <c r="AN24" s="1990" t="s">
        <v>3</v>
      </c>
      <c r="AO24" s="1991">
        <f>'Feuil-saisie'!$C$119/1000</f>
        <v>2863.9937023899997</v>
      </c>
      <c r="AP24" s="1991">
        <f>'Feuil-saisie'!$C$127/1000</f>
        <v>580.23</v>
      </c>
      <c r="AQ24" s="1991">
        <f>'Feuil-saisie'!$C$124/1000</f>
        <v>17.042999999999999</v>
      </c>
      <c r="AR24" s="1991">
        <f t="shared" si="23"/>
        <v>18.47395027</v>
      </c>
      <c r="AS24" s="1991">
        <f t="shared" si="24"/>
        <v>3479.7406526599998</v>
      </c>
      <c r="AT24" s="1991">
        <f>'Feuil-saisie'!$C$126/1000</f>
        <v>466.99306151000002</v>
      </c>
      <c r="AU24" s="1991">
        <f>'Feuil-saisie'!$C$123/1000</f>
        <v>567.69100000000003</v>
      </c>
      <c r="AV24" s="1991">
        <f t="shared" si="1"/>
        <v>1034.68406151</v>
      </c>
      <c r="AW24" s="1991">
        <f t="shared" si="2"/>
        <v>4514.4247141699998</v>
      </c>
      <c r="AX24" s="1991">
        <f>'Feuil-saisie'!$C$136/1000</f>
        <v>2149.9924635699986</v>
      </c>
      <c r="AY24" s="1991">
        <f>'Feuil-saisie'!$C$137/1000</f>
        <v>9.834354750000001</v>
      </c>
      <c r="AZ24" s="1991">
        <f t="shared" si="25"/>
        <v>2159.8268183199984</v>
      </c>
      <c r="BA24" s="1991">
        <f t="shared" si="26"/>
        <v>6674.2515324899978</v>
      </c>
      <c r="BB24" s="1992">
        <f>'Feuil-saisie'!$C$128/1000</f>
        <v>417.31198513999999</v>
      </c>
      <c r="BC24" s="1992">
        <f>'Feuil-saisie'!$C$132/1000</f>
        <v>0</v>
      </c>
      <c r="BD24" s="1992">
        <f>'Feuil-saisie'!$C$131/1000</f>
        <v>0</v>
      </c>
      <c r="BE24" s="2283">
        <f>'Feuil-saisie'!$C$130/1000</f>
        <v>0</v>
      </c>
      <c r="BF24" s="2283">
        <f>'Feuil-saisie'!C129/1000</f>
        <v>5.0248015300000004</v>
      </c>
      <c r="BG24" s="1991">
        <f t="shared" si="27"/>
        <v>2863.9937023899997</v>
      </c>
      <c r="BH24" s="1991">
        <f t="shared" si="28"/>
        <v>162.91801486000003</v>
      </c>
      <c r="BI24" s="1991">
        <f>AQ24-BE24</f>
        <v>17.042999999999999</v>
      </c>
      <c r="BJ24" s="1991">
        <f>AR24-BC24</f>
        <v>18.47395027</v>
      </c>
      <c r="BK24" s="1991">
        <f t="shared" si="31"/>
        <v>3062.4286675199996</v>
      </c>
      <c r="BL24" s="1991">
        <f t="shared" si="32"/>
        <v>466.99306151000002</v>
      </c>
      <c r="BM24" s="1991">
        <f>AU24-BF24</f>
        <v>562.66619847000004</v>
      </c>
      <c r="BN24" s="1991">
        <f t="shared" si="34"/>
        <v>1029.6592599800001</v>
      </c>
      <c r="BO24" s="1991">
        <f t="shared" si="35"/>
        <v>4092.0879274999998</v>
      </c>
      <c r="BP24" s="1991">
        <f>AX24</f>
        <v>2149.9924635699986</v>
      </c>
      <c r="BQ24" s="1991">
        <f t="shared" si="37"/>
        <v>9.834354750000001</v>
      </c>
      <c r="BR24" s="1991">
        <f t="shared" si="38"/>
        <v>2159.8268183199984</v>
      </c>
      <c r="BS24" s="1991">
        <f t="shared" si="39"/>
        <v>6251.9147458199986</v>
      </c>
      <c r="BT24" s="1998" t="str">
        <f t="shared" si="40"/>
        <v>Djelfa</v>
      </c>
      <c r="BU24" s="2736">
        <f>'Feuil-saisie'!$C$139/1000</f>
        <v>0</v>
      </c>
      <c r="BV24" s="2737">
        <f>'Feuil-saisie'!$C$140/1000</f>
        <v>18.47395027</v>
      </c>
      <c r="BW24" s="2714">
        <f t="shared" si="41"/>
        <v>18.47395027</v>
      </c>
    </row>
    <row r="25" spans="2:76" ht="15.6">
      <c r="B25" s="1990" t="s">
        <v>397</v>
      </c>
      <c r="C25" s="1999">
        <v>1989.0093211799999</v>
      </c>
      <c r="D25" s="1999">
        <v>525.37702320999995</v>
      </c>
      <c r="E25" s="1999">
        <v>1.6504564865299987</v>
      </c>
      <c r="F25" s="1991">
        <f t="shared" si="3"/>
        <v>167.70260928999977</v>
      </c>
      <c r="G25" s="1991">
        <f t="shared" si="4"/>
        <v>2683.7394101665295</v>
      </c>
      <c r="H25" s="1999">
        <v>431.19723537000021</v>
      </c>
      <c r="I25" s="1999">
        <v>272.14329284000286</v>
      </c>
      <c r="J25" s="1991">
        <f t="shared" si="5"/>
        <v>703.34052821000307</v>
      </c>
      <c r="K25" s="1991">
        <f t="shared" si="6"/>
        <v>3387.0799383765325</v>
      </c>
      <c r="L25" s="1999">
        <v>184.93666813999999</v>
      </c>
      <c r="M25" s="1999">
        <v>12.057969999999999</v>
      </c>
      <c r="N25" s="1991">
        <f t="shared" si="7"/>
        <v>196.99463814000001</v>
      </c>
      <c r="O25" s="1991">
        <f t="shared" si="8"/>
        <v>3584.0745765165325</v>
      </c>
      <c r="P25" s="1999">
        <v>344.87640983999995</v>
      </c>
      <c r="Q25" s="1999">
        <v>0</v>
      </c>
      <c r="R25" s="1999">
        <v>8.9615586900000004</v>
      </c>
      <c r="S25" s="1989"/>
      <c r="T25" s="1989"/>
      <c r="U25" s="1991">
        <f t="shared" si="9"/>
        <v>1989.0093211799999</v>
      </c>
      <c r="V25" s="1991">
        <f t="shared" si="10"/>
        <v>180.50061337</v>
      </c>
      <c r="W25" s="1991">
        <f t="shared" si="11"/>
        <v>1.6504564865299987</v>
      </c>
      <c r="X25" s="1991">
        <f t="shared" si="12"/>
        <v>167.70260928999977</v>
      </c>
      <c r="Y25" s="1991">
        <f t="shared" si="13"/>
        <v>2338.8630003265293</v>
      </c>
      <c r="Z25" s="1991">
        <f t="shared" si="14"/>
        <v>422.23567668000021</v>
      </c>
      <c r="AA25" s="1991">
        <f t="shared" si="15"/>
        <v>272.14329284000286</v>
      </c>
      <c r="AB25" s="1991">
        <f t="shared" si="16"/>
        <v>694.37896952000301</v>
      </c>
      <c r="AC25" s="1991">
        <f t="shared" si="17"/>
        <v>3033.2419698465324</v>
      </c>
      <c r="AD25" s="1991">
        <f t="shared" si="18"/>
        <v>184.93666813999999</v>
      </c>
      <c r="AE25" s="1991">
        <f t="shared" si="19"/>
        <v>12.057969999999999</v>
      </c>
      <c r="AF25" s="1991">
        <f t="shared" si="20"/>
        <v>196.99463814000001</v>
      </c>
      <c r="AG25" s="1991">
        <f t="shared" si="21"/>
        <v>3230.2366079865324</v>
      </c>
      <c r="AH25" s="1517" t="str">
        <f t="shared" si="0"/>
        <v>Tipaza</v>
      </c>
      <c r="AI25" s="1999">
        <v>130.44130506999977</v>
      </c>
      <c r="AJ25" s="2359">
        <v>37.26130422</v>
      </c>
      <c r="AK25" s="2288">
        <f t="shared" si="22"/>
        <v>167.70260928999977</v>
      </c>
      <c r="AN25" s="1990" t="s">
        <v>397</v>
      </c>
      <c r="AO25" s="1991">
        <f>'Feuil-saisie'!$C$144/1000</f>
        <v>2368.0157871499987</v>
      </c>
      <c r="AP25" s="1991">
        <f>'Feuil-saisie'!$C$152/1000</f>
        <v>584.20545579999964</v>
      </c>
      <c r="AQ25" s="1991">
        <f>'Feuil-saisie'!$C$149/1000</f>
        <v>1.4198499065299988</v>
      </c>
      <c r="AR25" s="1991">
        <f t="shared" si="23"/>
        <v>186.27215485999966</v>
      </c>
      <c r="AS25" s="1991">
        <f t="shared" si="24"/>
        <v>3139.9132477165281</v>
      </c>
      <c r="AT25" s="1991">
        <f>'Feuil-saisie'!$C$151/1000</f>
        <v>418.78904574000006</v>
      </c>
      <c r="AU25" s="1991">
        <f>'Feuil-saisie'!$C$148/1000</f>
        <v>264.309000090003</v>
      </c>
      <c r="AV25" s="1991">
        <f t="shared" si="1"/>
        <v>683.098045830003</v>
      </c>
      <c r="AW25" s="1991">
        <f t="shared" si="2"/>
        <v>3823.0112935465313</v>
      </c>
      <c r="AX25" s="1991">
        <f>'Feuil-saisie'!$C$159/1000</f>
        <v>177.98392722</v>
      </c>
      <c r="AY25" s="1991">
        <f>'Feuil-saisie'!$C$160/1000</f>
        <v>12.057969999999999</v>
      </c>
      <c r="AZ25" s="1991">
        <f t="shared" si="25"/>
        <v>190.04189722000001</v>
      </c>
      <c r="BA25" s="1991">
        <f t="shared" si="26"/>
        <v>4013.0531907665313</v>
      </c>
      <c r="BB25" s="1992">
        <f>'Feuil-saisie'!$C$153/1000</f>
        <v>418.79384999999996</v>
      </c>
      <c r="BC25" s="1992">
        <f>'Feuil-saisie'!$C$155/1000</f>
        <v>0</v>
      </c>
      <c r="BD25" s="1992">
        <f>'Feuil-saisie'!$C$154/1000</f>
        <v>4.68676812</v>
      </c>
      <c r="BE25" s="2283"/>
      <c r="BF25" s="2283"/>
      <c r="BG25" s="1991">
        <f t="shared" si="27"/>
        <v>2368.0157871499987</v>
      </c>
      <c r="BH25" s="1991">
        <f t="shared" si="28"/>
        <v>165.41160579999968</v>
      </c>
      <c r="BI25" s="1991">
        <f t="shared" si="29"/>
        <v>1.4198499065299988</v>
      </c>
      <c r="BJ25" s="1991">
        <f t="shared" si="30"/>
        <v>186.27215485999966</v>
      </c>
      <c r="BK25" s="1991">
        <f t="shared" si="31"/>
        <v>2721.1193977165281</v>
      </c>
      <c r="BL25" s="1991">
        <f t="shared" si="32"/>
        <v>414.10227762000005</v>
      </c>
      <c r="BM25" s="1991">
        <f t="shared" si="33"/>
        <v>264.309000090003</v>
      </c>
      <c r="BN25" s="1991">
        <f t="shared" si="34"/>
        <v>678.41127771000311</v>
      </c>
      <c r="BO25" s="1991">
        <f t="shared" si="35"/>
        <v>3399.5306754265312</v>
      </c>
      <c r="BP25" s="1991">
        <f t="shared" si="36"/>
        <v>177.98392722</v>
      </c>
      <c r="BQ25" s="1991">
        <f t="shared" si="37"/>
        <v>12.057969999999999</v>
      </c>
      <c r="BR25" s="1991">
        <f t="shared" si="38"/>
        <v>190.04189722000001</v>
      </c>
      <c r="BS25" s="1991">
        <f t="shared" si="39"/>
        <v>3589.5725726465312</v>
      </c>
      <c r="BT25" s="1998" t="str">
        <f t="shared" si="40"/>
        <v>Tipaza</v>
      </c>
      <c r="BU25" s="2736">
        <f>'Feuil-saisie'!$C$162/1000</f>
        <v>141.11683083999966</v>
      </c>
      <c r="BV25" s="2737">
        <f>'Feuil-saisie'!$C$163/1000</f>
        <v>45.155324020000002</v>
      </c>
      <c r="BW25" s="2714">
        <f t="shared" si="41"/>
        <v>186.27215485999966</v>
      </c>
    </row>
    <row r="26" spans="2:76" ht="15.6">
      <c r="B26" s="1990" t="s">
        <v>399</v>
      </c>
      <c r="C26" s="1999">
        <v>1870.6857072320004</v>
      </c>
      <c r="D26" s="1999">
        <v>597.33677894000004</v>
      </c>
      <c r="E26" s="1999">
        <v>11.433495499999999</v>
      </c>
      <c r="F26" s="1991">
        <f t="shared" si="3"/>
        <v>92.246367250000006</v>
      </c>
      <c r="G26" s="1991">
        <f t="shared" si="4"/>
        <v>2571.7023489220001</v>
      </c>
      <c r="H26" s="1999">
        <v>261.66361362999902</v>
      </c>
      <c r="I26" s="1999">
        <v>375.87884878000398</v>
      </c>
      <c r="J26" s="1991">
        <f t="shared" si="5"/>
        <v>637.54246241000305</v>
      </c>
      <c r="K26" s="1991">
        <f t="shared" si="6"/>
        <v>3209.2448113320033</v>
      </c>
      <c r="L26" s="1999">
        <v>87.389948289999978</v>
      </c>
      <c r="M26" s="1999">
        <v>0</v>
      </c>
      <c r="N26" s="1991">
        <f t="shared" si="7"/>
        <v>87.389948289999978</v>
      </c>
      <c r="O26" s="1991">
        <f t="shared" si="8"/>
        <v>3296.6347596220035</v>
      </c>
      <c r="P26" s="1999">
        <v>290.36041767000023</v>
      </c>
      <c r="Q26" s="1999">
        <v>31.896805980000003</v>
      </c>
      <c r="R26" s="1999">
        <v>14.594777600000008</v>
      </c>
      <c r="S26" s="1989"/>
      <c r="T26" s="1989"/>
      <c r="U26" s="1991">
        <f t="shared" si="9"/>
        <v>1870.6857072320004</v>
      </c>
      <c r="V26" s="1991">
        <f t="shared" si="10"/>
        <v>306.97636126999981</v>
      </c>
      <c r="W26" s="1991">
        <f t="shared" si="11"/>
        <v>11.433495499999999</v>
      </c>
      <c r="X26" s="1991">
        <f>F26-Q26</f>
        <v>60.349561270000002</v>
      </c>
      <c r="Y26" s="1991">
        <f t="shared" si="13"/>
        <v>2249.445125272</v>
      </c>
      <c r="Z26" s="1991">
        <f t="shared" si="14"/>
        <v>247.06883602999901</v>
      </c>
      <c r="AA26" s="1991">
        <f t="shared" si="15"/>
        <v>375.87884878000398</v>
      </c>
      <c r="AB26" s="1991">
        <f t="shared" si="16"/>
        <v>622.94768481000301</v>
      </c>
      <c r="AC26" s="1991">
        <f t="shared" si="17"/>
        <v>2872.3928100820031</v>
      </c>
      <c r="AD26" s="1991">
        <f t="shared" si="18"/>
        <v>87.389948289999978</v>
      </c>
      <c r="AE26" s="1991">
        <f t="shared" si="19"/>
        <v>0</v>
      </c>
      <c r="AF26" s="1991">
        <f t="shared" si="20"/>
        <v>87.389948289999978</v>
      </c>
      <c r="AG26" s="1991">
        <f t="shared" si="21"/>
        <v>2959.7827583720032</v>
      </c>
      <c r="AH26" s="1517" t="str">
        <f t="shared" si="0"/>
        <v>Boumerdes</v>
      </c>
      <c r="AI26" s="1999">
        <v>60.42859653</v>
      </c>
      <c r="AJ26" s="2359">
        <v>31.817770720000002</v>
      </c>
      <c r="AK26" s="2288">
        <f t="shared" si="22"/>
        <v>92.246367250000006</v>
      </c>
      <c r="AN26" s="1990" t="s">
        <v>399</v>
      </c>
      <c r="AO26" s="1991">
        <f>'Feuil-saisie'!$C$167/1000</f>
        <v>1855.6029734520002</v>
      </c>
      <c r="AP26" s="1991">
        <f>'Feuil-saisie'!$C$175/1000</f>
        <v>1084.1548809399994</v>
      </c>
      <c r="AQ26" s="1991">
        <f>'Feuil-saisie'!$C$172/1000</f>
        <v>16.490000000000016</v>
      </c>
      <c r="AR26" s="1991">
        <f t="shared" si="23"/>
        <v>134.61099999999999</v>
      </c>
      <c r="AS26" s="1991">
        <f t="shared" si="24"/>
        <v>3090.858854392</v>
      </c>
      <c r="AT26" s="1991">
        <f>'Feuil-saisie'!$C$174/1000</f>
        <v>246.54579957000004</v>
      </c>
      <c r="AU26" s="1991">
        <f>'Feuil-saisie'!$C$171/1000</f>
        <v>454.19999999999993</v>
      </c>
      <c r="AV26" s="1991">
        <f t="shared" si="1"/>
        <v>700.74579956999992</v>
      </c>
      <c r="AW26" s="1991">
        <f t="shared" si="2"/>
        <v>3791.6046539620002</v>
      </c>
      <c r="AX26" s="1991">
        <f>'Feuil-saisie'!$C$182/1000</f>
        <v>47.659614929999982</v>
      </c>
      <c r="AY26" s="1991">
        <f>'Feuil-saisie'!$C$183/1000</f>
        <v>0</v>
      </c>
      <c r="AZ26" s="1991">
        <f t="shared" si="25"/>
        <v>47.659614929999982</v>
      </c>
      <c r="BA26" s="1991">
        <f t="shared" si="26"/>
        <v>3839.264268892</v>
      </c>
      <c r="BB26" s="1992">
        <f>'Feuil-saisie'!$C$176/1000</f>
        <v>567.54718371000081</v>
      </c>
      <c r="BC26" s="1992">
        <f>'Feuil-saisie'!$C$178/1000</f>
        <v>81.298312800000019</v>
      </c>
      <c r="BD26" s="1992">
        <f>'Feuil-saisie'!$C$177/1000</f>
        <v>33.051402600000017</v>
      </c>
      <c r="BE26" s="2283"/>
      <c r="BF26" s="2283"/>
      <c r="BG26" s="1991">
        <f t="shared" si="27"/>
        <v>1855.6029734520002</v>
      </c>
      <c r="BH26" s="1991">
        <f t="shared" si="28"/>
        <v>516.60769722999862</v>
      </c>
      <c r="BI26" s="1991">
        <f t="shared" si="29"/>
        <v>16.490000000000016</v>
      </c>
      <c r="BJ26" s="1991">
        <f t="shared" si="30"/>
        <v>53.312687199999971</v>
      </c>
      <c r="BK26" s="1991">
        <f t="shared" si="31"/>
        <v>2442.0133578819987</v>
      </c>
      <c r="BL26" s="1991">
        <f t="shared" si="32"/>
        <v>213.49439697000003</v>
      </c>
      <c r="BM26" s="1991">
        <f t="shared" si="33"/>
        <v>454.19999999999993</v>
      </c>
      <c r="BN26" s="1991">
        <f t="shared" si="34"/>
        <v>667.69439696999996</v>
      </c>
      <c r="BO26" s="1991">
        <f t="shared" si="35"/>
        <v>3109.7077548519987</v>
      </c>
      <c r="BP26" s="1991">
        <f t="shared" si="36"/>
        <v>47.659614929999982</v>
      </c>
      <c r="BQ26" s="1991">
        <f t="shared" si="37"/>
        <v>0</v>
      </c>
      <c r="BR26" s="1991">
        <f t="shared" si="38"/>
        <v>47.659614929999982</v>
      </c>
      <c r="BS26" s="1991">
        <f t="shared" si="39"/>
        <v>3157.3673697819986</v>
      </c>
      <c r="BT26" s="1998" t="str">
        <f t="shared" si="40"/>
        <v>Boumerdes</v>
      </c>
      <c r="BU26" s="2736">
        <f>'Feuil-saisie'!$C$185/1000</f>
        <v>113.03100000000001</v>
      </c>
      <c r="BV26" s="2737">
        <f>'Feuil-saisie'!$C$186/1000</f>
        <v>21.58</v>
      </c>
      <c r="BW26" s="2714">
        <f t="shared" si="41"/>
        <v>134.61099999999999</v>
      </c>
    </row>
    <row r="27" spans="2:76" ht="15.6">
      <c r="B27" s="1990" t="s">
        <v>883</v>
      </c>
      <c r="C27" s="1999">
        <v>1228.6176199301503</v>
      </c>
      <c r="D27" s="1999">
        <v>126.35862676000001</v>
      </c>
      <c r="E27" s="1999">
        <v>0.55071534000000022</v>
      </c>
      <c r="F27" s="1991">
        <f t="shared" si="3"/>
        <v>6.6613422800000031</v>
      </c>
      <c r="G27" s="1991">
        <f t="shared" si="4"/>
        <v>1362.1883043101504</v>
      </c>
      <c r="H27" s="1999">
        <v>466.07912052</v>
      </c>
      <c r="I27" s="1999">
        <v>268.08403504</v>
      </c>
      <c r="J27" s="1991">
        <f t="shared" si="5"/>
        <v>734.16315555999995</v>
      </c>
      <c r="K27" s="1991">
        <f t="shared" si="6"/>
        <v>2096.3514598701504</v>
      </c>
      <c r="L27" s="1999">
        <v>214.63989830999998</v>
      </c>
      <c r="M27" s="1999">
        <v>6.2548729268109815</v>
      </c>
      <c r="N27" s="1991">
        <f t="shared" si="7"/>
        <v>220.89477123681095</v>
      </c>
      <c r="O27" s="1991">
        <f t="shared" si="8"/>
        <v>2317.2462311069612</v>
      </c>
      <c r="P27" s="1999">
        <v>0.77745291999999999</v>
      </c>
      <c r="Q27" s="1999">
        <v>0</v>
      </c>
      <c r="R27" s="1999">
        <v>272.23690370999998</v>
      </c>
      <c r="S27" s="1989"/>
      <c r="T27" s="1989"/>
      <c r="U27" s="1991">
        <f t="shared" si="9"/>
        <v>1228.6176199301503</v>
      </c>
      <c r="V27" s="1991">
        <f t="shared" si="10"/>
        <v>125.58117384000001</v>
      </c>
      <c r="W27" s="1991">
        <f t="shared" si="11"/>
        <v>0.55071534000000022</v>
      </c>
      <c r="X27" s="1991">
        <f t="shared" si="12"/>
        <v>6.6613422800000031</v>
      </c>
      <c r="Y27" s="1991">
        <f t="shared" si="13"/>
        <v>1361.4108513901504</v>
      </c>
      <c r="Z27" s="1991">
        <f t="shared" si="14"/>
        <v>193.84221681000002</v>
      </c>
      <c r="AA27" s="1991">
        <f t="shared" si="15"/>
        <v>268.08403504</v>
      </c>
      <c r="AB27" s="1991">
        <f t="shared" si="16"/>
        <v>461.92625185000003</v>
      </c>
      <c r="AC27" s="1991">
        <f t="shared" si="17"/>
        <v>1823.3371032401503</v>
      </c>
      <c r="AD27" s="1991">
        <f t="shared" si="18"/>
        <v>214.63989830999998</v>
      </c>
      <c r="AE27" s="1991">
        <f t="shared" si="19"/>
        <v>6.2548729268109815</v>
      </c>
      <c r="AF27" s="1991">
        <f t="shared" si="20"/>
        <v>220.89477123681095</v>
      </c>
      <c r="AG27" s="1991">
        <f t="shared" si="21"/>
        <v>2044.2318744769614</v>
      </c>
      <c r="AH27" s="1517" t="str">
        <f t="shared" si="0"/>
        <v>Ain Defla</v>
      </c>
      <c r="AI27" s="1999">
        <v>1.6080948100000005</v>
      </c>
      <c r="AJ27" s="2360">
        <v>5.0532474700000023</v>
      </c>
      <c r="AK27" s="2288">
        <f t="shared" si="22"/>
        <v>6.6613422800000031</v>
      </c>
      <c r="AN27" s="1990" t="s">
        <v>883</v>
      </c>
      <c r="AO27" s="1991">
        <f>'Feuil-saisie'!$C$190/1000</f>
        <v>1399.0475832529999</v>
      </c>
      <c r="AP27" s="1991">
        <f>'Feuil-saisie'!$C$198/1000</f>
        <v>123.11480054000009</v>
      </c>
      <c r="AQ27" s="1991">
        <f>'Feuil-saisie'!$C$195/1000</f>
        <v>0.72659481999999975</v>
      </c>
      <c r="AR27" s="1991">
        <f t="shared" si="23"/>
        <v>6.5840602300000137</v>
      </c>
      <c r="AS27" s="1991">
        <f t="shared" si="24"/>
        <v>1529.4730388429998</v>
      </c>
      <c r="AT27" s="1991">
        <f>'Feuil-saisie'!$C$197/1000</f>
        <v>730.32995642000003</v>
      </c>
      <c r="AU27" s="1991">
        <f>'Feuil-saisie'!$C$194/1000</f>
        <v>237.30350101000008</v>
      </c>
      <c r="AV27" s="1991">
        <f t="shared" si="1"/>
        <v>967.63345743000013</v>
      </c>
      <c r="AW27" s="1991">
        <f t="shared" si="2"/>
        <v>2497.1064962729997</v>
      </c>
      <c r="AX27" s="1991">
        <f>'Feuil-saisie'!$C$205/1000</f>
        <v>83.466646409999925</v>
      </c>
      <c r="AY27" s="1991">
        <f>'Feuil-saisie'!$C$206/1000</f>
        <v>5.8624423068109826</v>
      </c>
      <c r="AZ27" s="1991">
        <f t="shared" si="25"/>
        <v>89.329088716810901</v>
      </c>
      <c r="BA27" s="1991">
        <f t="shared" si="26"/>
        <v>2586.4355849898106</v>
      </c>
      <c r="BB27" s="1992">
        <f>'Feuil-saisie'!$C$199/1000</f>
        <v>8.4981504000000001</v>
      </c>
      <c r="BC27" s="1992">
        <f>'Feuil-saisie'!$C$201/1000</f>
        <v>0</v>
      </c>
      <c r="BD27" s="1992">
        <f>'Feuil-saisie'!$C$200/1000</f>
        <v>561.53344030000005</v>
      </c>
      <c r="BE27" s="2283"/>
      <c r="BF27" s="2283"/>
      <c r="BG27" s="1991">
        <f t="shared" si="27"/>
        <v>1399.0475832529999</v>
      </c>
      <c r="BH27" s="1991">
        <f t="shared" si="28"/>
        <v>114.61665014000009</v>
      </c>
      <c r="BI27" s="1991">
        <f t="shared" si="29"/>
        <v>0.72659481999999975</v>
      </c>
      <c r="BJ27" s="1991">
        <f t="shared" si="30"/>
        <v>6.5840602300000137</v>
      </c>
      <c r="BK27" s="1991">
        <f t="shared" si="31"/>
        <v>1520.9748884429998</v>
      </c>
      <c r="BL27" s="1991">
        <f t="shared" si="32"/>
        <v>168.79651611999998</v>
      </c>
      <c r="BM27" s="1991">
        <f t="shared" si="33"/>
        <v>237.30350101000008</v>
      </c>
      <c r="BN27" s="1991">
        <f t="shared" si="34"/>
        <v>406.10001713000008</v>
      </c>
      <c r="BO27" s="1991">
        <f t="shared" si="35"/>
        <v>1927.0749055729998</v>
      </c>
      <c r="BP27" s="1991">
        <f t="shared" si="36"/>
        <v>83.466646409999925</v>
      </c>
      <c r="BQ27" s="1991">
        <f t="shared" si="37"/>
        <v>5.8624423068109826</v>
      </c>
      <c r="BR27" s="1991">
        <f t="shared" si="38"/>
        <v>89.329088716810901</v>
      </c>
      <c r="BS27" s="1991">
        <f t="shared" si="39"/>
        <v>2016.4039942898107</v>
      </c>
      <c r="BT27" s="1998" t="str">
        <f t="shared" si="40"/>
        <v>Ain Defla</v>
      </c>
      <c r="BU27" s="2736">
        <f>'Feuil-saisie'!$C$208/1000</f>
        <v>1.6441710899999997</v>
      </c>
      <c r="BV27" s="2738">
        <f>'Feuil-saisie'!$C$209/1000</f>
        <v>4.9398891400000142</v>
      </c>
      <c r="BW27" s="2714">
        <f t="shared" si="41"/>
        <v>6.5840602300000137</v>
      </c>
    </row>
    <row r="28" spans="2:76" ht="15.6">
      <c r="B28" s="1990" t="s">
        <v>884</v>
      </c>
      <c r="C28" s="1999">
        <v>969.915969210002</v>
      </c>
      <c r="D28" s="1999">
        <v>71.215843890001295</v>
      </c>
      <c r="E28" s="1999">
        <v>5.1962285499999563</v>
      </c>
      <c r="F28" s="1991">
        <f t="shared" si="3"/>
        <v>28.991820109999971</v>
      </c>
      <c r="G28" s="1991">
        <f t="shared" si="4"/>
        <v>1075.3198617600031</v>
      </c>
      <c r="H28" s="1999">
        <v>525.95259169999508</v>
      </c>
      <c r="I28" s="1999">
        <v>378.85588472999922</v>
      </c>
      <c r="J28" s="1991">
        <f t="shared" si="5"/>
        <v>904.80847642999424</v>
      </c>
      <c r="K28" s="1991">
        <f t="shared" si="6"/>
        <v>1980.1283381899973</v>
      </c>
      <c r="L28" s="1999">
        <v>146.11723602300006</v>
      </c>
      <c r="M28" s="1999">
        <v>4.3320724400000179</v>
      </c>
      <c r="N28" s="1991">
        <f t="shared" si="7"/>
        <v>150.44930846300008</v>
      </c>
      <c r="O28" s="1991">
        <f t="shared" si="8"/>
        <v>2130.5776466529974</v>
      </c>
      <c r="P28" s="1999">
        <v>14.495466300000105</v>
      </c>
      <c r="Q28" s="1999">
        <v>0</v>
      </c>
      <c r="R28" s="1999">
        <v>258.19113091999782</v>
      </c>
      <c r="S28" s="1989"/>
      <c r="T28" s="1989"/>
      <c r="U28" s="1991">
        <f t="shared" si="9"/>
        <v>969.915969210002</v>
      </c>
      <c r="V28" s="1991">
        <f t="shared" si="10"/>
        <v>56.720377590001192</v>
      </c>
      <c r="W28" s="1991">
        <f>E28-S28</f>
        <v>5.1962285499999563</v>
      </c>
      <c r="X28" s="1991">
        <f t="shared" si="12"/>
        <v>28.991820109999971</v>
      </c>
      <c r="Y28" s="1991">
        <f t="shared" si="13"/>
        <v>1060.824395460003</v>
      </c>
      <c r="Z28" s="1991">
        <f t="shared" si="14"/>
        <v>267.76146077999726</v>
      </c>
      <c r="AA28" s="1991">
        <f t="shared" si="15"/>
        <v>378.85588472999922</v>
      </c>
      <c r="AB28" s="1991">
        <f t="shared" si="16"/>
        <v>646.61734550999654</v>
      </c>
      <c r="AC28" s="1991">
        <f t="shared" si="17"/>
        <v>1707.4417409699995</v>
      </c>
      <c r="AD28" s="1991">
        <f t="shared" si="18"/>
        <v>146.11723602300006</v>
      </c>
      <c r="AE28" s="1991">
        <f t="shared" si="19"/>
        <v>4.3320724400000179</v>
      </c>
      <c r="AF28" s="1991">
        <f t="shared" si="20"/>
        <v>150.44930846300008</v>
      </c>
      <c r="AG28" s="1991">
        <f t="shared" si="21"/>
        <v>1857.8910494329996</v>
      </c>
      <c r="AH28" s="1517" t="str">
        <f t="shared" si="0"/>
        <v>Chlef</v>
      </c>
      <c r="AI28" s="1999">
        <v>7.5272242300000505</v>
      </c>
      <c r="AJ28" s="2360">
        <v>21.464595879999919</v>
      </c>
      <c r="AK28" s="2288">
        <f t="shared" si="22"/>
        <v>28.991820109999971</v>
      </c>
      <c r="AN28" s="1990" t="s">
        <v>884</v>
      </c>
      <c r="AO28" s="1991">
        <f>'Feuil-saisie'!$C$213/1000</f>
        <v>983.32848568000134</v>
      </c>
      <c r="AP28" s="1991">
        <f>'Feuil-saisie'!$C$221/1000</f>
        <v>50.225951850001231</v>
      </c>
      <c r="AQ28" s="1991">
        <f>'Feuil-saisie'!$C$218/1000</f>
        <v>3.2725944299998666</v>
      </c>
      <c r="AR28" s="1991">
        <f t="shared" si="23"/>
        <v>27.683548869999942</v>
      </c>
      <c r="AS28" s="1991">
        <f t="shared" si="24"/>
        <v>1064.5105808300023</v>
      </c>
      <c r="AT28" s="1991">
        <f>'Feuil-saisie'!$C$220/1000</f>
        <v>813.20476715999098</v>
      </c>
      <c r="AU28" s="1991">
        <f>'Feuil-saisie'!$C$217/1000</f>
        <v>340.8547569199992</v>
      </c>
      <c r="AV28" s="1991">
        <f t="shared" si="1"/>
        <v>1154.0595240799903</v>
      </c>
      <c r="AW28" s="1991">
        <f t="shared" si="2"/>
        <v>2218.5701049099926</v>
      </c>
      <c r="AX28" s="1991">
        <f>'Feuil-saisie'!$C$230/1000</f>
        <v>7.3300276100004558</v>
      </c>
      <c r="AY28" s="1991">
        <f>'Feuil-saisie'!$C$231/1000</f>
        <v>0.15957847000006586</v>
      </c>
      <c r="AZ28" s="1991">
        <f t="shared" si="25"/>
        <v>7.489606080000522</v>
      </c>
      <c r="BA28" s="1991">
        <f t="shared" si="26"/>
        <v>2226.0597109899932</v>
      </c>
      <c r="BB28" s="1992">
        <f>'Feuil-saisie'!$C$222/1000</f>
        <v>18.237997800000112</v>
      </c>
      <c r="BC28" s="1992">
        <f>'Feuil-saisie'!$C$226/1000</f>
        <v>0</v>
      </c>
      <c r="BD28" s="1992">
        <f>'Feuil-saisie'!$C$225/1000</f>
        <v>545.53482365999787</v>
      </c>
      <c r="BE28" s="2283">
        <f>'Feuil-saisie'!C223/1000</f>
        <v>0.64637350999998866</v>
      </c>
      <c r="BF28" s="2283">
        <f>'Feuil-saisie'!C224/1000</f>
        <v>4.1946929699999806</v>
      </c>
      <c r="BG28" s="1991">
        <f t="shared" si="27"/>
        <v>983.32848568000134</v>
      </c>
      <c r="BH28" s="1991">
        <f t="shared" si="28"/>
        <v>31.987954050001118</v>
      </c>
      <c r="BI28" s="1991">
        <f t="shared" si="29"/>
        <v>2.6262209199998781</v>
      </c>
      <c r="BJ28" s="1991">
        <f t="shared" si="30"/>
        <v>27.683548869999942</v>
      </c>
      <c r="BK28" s="1991">
        <f t="shared" si="31"/>
        <v>1045.6262095200022</v>
      </c>
      <c r="BL28" s="1991">
        <f t="shared" si="32"/>
        <v>267.66994349999311</v>
      </c>
      <c r="BM28" s="1991">
        <f t="shared" si="33"/>
        <v>336.6600639499992</v>
      </c>
      <c r="BN28" s="1991">
        <f t="shared" si="34"/>
        <v>604.33000744999231</v>
      </c>
      <c r="BO28" s="1991">
        <f t="shared" si="35"/>
        <v>1649.9562169699946</v>
      </c>
      <c r="BP28" s="1991">
        <f t="shared" si="36"/>
        <v>7.3300276100004558</v>
      </c>
      <c r="BQ28" s="1991">
        <f t="shared" si="37"/>
        <v>0.15957847000006586</v>
      </c>
      <c r="BR28" s="1991">
        <f t="shared" si="38"/>
        <v>7.489606080000522</v>
      </c>
      <c r="BS28" s="1991">
        <f t="shared" si="39"/>
        <v>1657.4458230499952</v>
      </c>
      <c r="BT28" s="1998" t="str">
        <f t="shared" si="40"/>
        <v>Chlef</v>
      </c>
      <c r="BU28" s="2736">
        <f>'Feuil-saisie'!$C$233/1000</f>
        <v>9.259098149999744</v>
      </c>
      <c r="BV28" s="2738">
        <f>'Feuil-saisie'!$C$234/1000</f>
        <v>18.424450720000198</v>
      </c>
      <c r="BW28" s="2714">
        <f t="shared" si="41"/>
        <v>27.683548869999942</v>
      </c>
    </row>
    <row r="29" spans="2:76" ht="15.6">
      <c r="B29" s="1990" t="s">
        <v>885</v>
      </c>
      <c r="C29" s="1999">
        <v>267.8540491</v>
      </c>
      <c r="D29" s="1999">
        <v>9.2145063100000009</v>
      </c>
      <c r="E29" s="1999">
        <v>2.8229624499999999</v>
      </c>
      <c r="F29" s="1991">
        <f t="shared" si="3"/>
        <v>0</v>
      </c>
      <c r="G29" s="1991">
        <f t="shared" si="4"/>
        <v>279.89151785999996</v>
      </c>
      <c r="H29" s="1999">
        <v>190.70082451000002</v>
      </c>
      <c r="I29" s="1999">
        <v>94.641095719999797</v>
      </c>
      <c r="J29" s="1991">
        <f t="shared" si="5"/>
        <v>285.3419202299998</v>
      </c>
      <c r="K29" s="1991">
        <f t="shared" si="6"/>
        <v>565.23343808999971</v>
      </c>
      <c r="L29" s="1999">
        <v>88.479080750000094</v>
      </c>
      <c r="M29" s="1999">
        <v>0.76929837999999995</v>
      </c>
      <c r="N29" s="1991">
        <f t="shared" si="7"/>
        <v>89.248379130000089</v>
      </c>
      <c r="O29" s="1991">
        <f t="shared" si="8"/>
        <v>654.48181721999981</v>
      </c>
      <c r="P29" s="1999">
        <v>0</v>
      </c>
      <c r="Q29" s="1999">
        <v>0</v>
      </c>
      <c r="R29" s="1999">
        <v>126.38680534999999</v>
      </c>
      <c r="S29" s="1989"/>
      <c r="T29" s="1989"/>
      <c r="U29" s="1991">
        <f t="shared" si="9"/>
        <v>267.8540491</v>
      </c>
      <c r="V29" s="1991">
        <f t="shared" si="10"/>
        <v>9.2145063100000009</v>
      </c>
      <c r="W29" s="1991">
        <f t="shared" si="11"/>
        <v>2.8229624499999999</v>
      </c>
      <c r="X29" s="1991">
        <f t="shared" si="12"/>
        <v>0</v>
      </c>
      <c r="Y29" s="1991">
        <f t="shared" si="13"/>
        <v>279.89151785999996</v>
      </c>
      <c r="Z29" s="1991">
        <f t="shared" si="14"/>
        <v>64.314019160000029</v>
      </c>
      <c r="AA29" s="1991">
        <f t="shared" si="15"/>
        <v>94.641095719999797</v>
      </c>
      <c r="AB29" s="1991">
        <f t="shared" si="16"/>
        <v>158.95511487999983</v>
      </c>
      <c r="AC29" s="1991">
        <f t="shared" si="17"/>
        <v>438.84663273999979</v>
      </c>
      <c r="AD29" s="1991">
        <f t="shared" si="18"/>
        <v>88.479080750000094</v>
      </c>
      <c r="AE29" s="1991">
        <f t="shared" si="19"/>
        <v>0.76929837999999995</v>
      </c>
      <c r="AF29" s="1991">
        <f t="shared" si="20"/>
        <v>89.248379130000089</v>
      </c>
      <c r="AG29" s="1991">
        <f t="shared" si="21"/>
        <v>528.09501186999989</v>
      </c>
      <c r="AH29" s="1517" t="str">
        <f t="shared" si="0"/>
        <v>Tissemssilt</v>
      </c>
      <c r="AI29" s="1999"/>
      <c r="AJ29" s="2360">
        <v>0</v>
      </c>
      <c r="AK29" s="2288">
        <f t="shared" si="22"/>
        <v>0</v>
      </c>
      <c r="AN29" s="1990" t="s">
        <v>885</v>
      </c>
      <c r="AO29" s="1991">
        <f>'Feuil-saisie'!$C$238/1000</f>
        <v>260.28319273</v>
      </c>
      <c r="AP29" s="1991">
        <f>'Feuil-saisie'!$C$246/1000</f>
        <v>8.5250017400000004</v>
      </c>
      <c r="AQ29" s="1991">
        <f>'Feuil-saisie'!$C$243/1000</f>
        <v>2.6162806500000002</v>
      </c>
      <c r="AR29" s="1991">
        <f t="shared" si="23"/>
        <v>0</v>
      </c>
      <c r="AS29" s="1991">
        <f t="shared" si="24"/>
        <v>271.42447512000001</v>
      </c>
      <c r="AT29" s="1991">
        <f>'Feuil-saisie'!$C$245/1000</f>
        <v>305.91603242000002</v>
      </c>
      <c r="AU29" s="1991">
        <f>'Feuil-saisie'!$C$242/1000</f>
        <v>109.11771627</v>
      </c>
      <c r="AV29" s="1991">
        <f t="shared" si="1"/>
        <v>415.03374869000004</v>
      </c>
      <c r="AW29" s="1991">
        <f t="shared" si="2"/>
        <v>686.45822381000005</v>
      </c>
      <c r="AX29" s="1991">
        <f>'Feuil-saisie'!$C$253/1000</f>
        <v>34.874698299999999</v>
      </c>
      <c r="AY29" s="1991">
        <f>'Feuil-saisie'!$C$254/1000</f>
        <v>0.76756930000000001</v>
      </c>
      <c r="AZ29" s="1991">
        <f t="shared" si="25"/>
        <v>35.642267599999997</v>
      </c>
      <c r="BA29" s="1991">
        <f t="shared" si="26"/>
        <v>722.10049141000002</v>
      </c>
      <c r="BB29" s="1992">
        <f>'Feuil-saisie'!$C$247/1000</f>
        <v>0</v>
      </c>
      <c r="BC29" s="1992">
        <f>'Feuil-saisie'!$C$249/1000</f>
        <v>0</v>
      </c>
      <c r="BD29" s="1992">
        <f>'Feuil-saisie'!$C$248/1000</f>
        <v>251.79917954000001</v>
      </c>
      <c r="BE29" s="2283"/>
      <c r="BF29" s="2283"/>
      <c r="BG29" s="1991">
        <f t="shared" si="27"/>
        <v>260.28319273</v>
      </c>
      <c r="BH29" s="1991">
        <f t="shared" si="28"/>
        <v>8.5250017400000004</v>
      </c>
      <c r="BI29" s="1991">
        <f t="shared" si="29"/>
        <v>2.6162806500000002</v>
      </c>
      <c r="BJ29" s="1991">
        <f t="shared" si="30"/>
        <v>0</v>
      </c>
      <c r="BK29" s="1991">
        <f t="shared" si="31"/>
        <v>271.42447512000001</v>
      </c>
      <c r="BL29" s="1991">
        <f t="shared" si="32"/>
        <v>54.11685288000001</v>
      </c>
      <c r="BM29" s="1991">
        <f t="shared" si="33"/>
        <v>109.11771627</v>
      </c>
      <c r="BN29" s="1991">
        <f t="shared" si="34"/>
        <v>163.23456915000003</v>
      </c>
      <c r="BO29" s="1991">
        <f t="shared" si="35"/>
        <v>434.65904427000004</v>
      </c>
      <c r="BP29" s="1991">
        <f t="shared" si="36"/>
        <v>34.874698299999999</v>
      </c>
      <c r="BQ29" s="1991">
        <f t="shared" si="37"/>
        <v>0.76756930000000001</v>
      </c>
      <c r="BR29" s="1991">
        <f t="shared" si="38"/>
        <v>35.642267599999997</v>
      </c>
      <c r="BS29" s="1991">
        <f t="shared" si="39"/>
        <v>470.30131187000006</v>
      </c>
      <c r="BT29" s="1998" t="str">
        <f t="shared" si="40"/>
        <v>Tissemssilt</v>
      </c>
      <c r="BU29" s="2736">
        <f>'Feuil-saisie'!$C$256/1000</f>
        <v>0</v>
      </c>
      <c r="BV29" s="2738">
        <f>'Feuil-saisie'!$C$257/1000</f>
        <v>0</v>
      </c>
      <c r="BW29" s="2714">
        <f>BU29+BV29</f>
        <v>0</v>
      </c>
    </row>
    <row r="30" spans="2:76" ht="15.6">
      <c r="B30" s="1993" t="s">
        <v>933</v>
      </c>
      <c r="C30" s="1994">
        <f>SUM(C20:C29)</f>
        <v>13847.086538062153</v>
      </c>
      <c r="D30" s="1994">
        <f t="shared" ref="D30:J30" si="42">SUM(D20:D29)</f>
        <v>3571.6696945300009</v>
      </c>
      <c r="E30" s="1994">
        <f t="shared" si="42"/>
        <v>70.577861666529955</v>
      </c>
      <c r="F30" s="1994">
        <f t="shared" si="42"/>
        <v>862.20700896999972</v>
      </c>
      <c r="G30" s="1994">
        <f t="shared" si="42"/>
        <v>18351.541103228687</v>
      </c>
      <c r="H30" s="1994">
        <f t="shared" si="42"/>
        <v>3459.7146183699947</v>
      </c>
      <c r="I30" s="1994">
        <f t="shared" si="42"/>
        <v>2926.0344933700053</v>
      </c>
      <c r="J30" s="1994">
        <f t="shared" si="42"/>
        <v>6385.7491117400014</v>
      </c>
      <c r="K30" s="1994">
        <f t="shared" ref="K30:T30" si="43">SUM(K20:K29)</f>
        <v>24737.290214968682</v>
      </c>
      <c r="L30" s="1994">
        <f t="shared" si="43"/>
        <v>2590.606692409001</v>
      </c>
      <c r="M30" s="1994">
        <f t="shared" si="43"/>
        <v>66.685987546810992</v>
      </c>
      <c r="N30" s="1994">
        <f t="shared" si="43"/>
        <v>2657.2926799558109</v>
      </c>
      <c r="O30" s="1994">
        <f t="shared" si="43"/>
        <v>27394.582894924497</v>
      </c>
      <c r="P30" s="1995">
        <f t="shared" si="43"/>
        <v>2273.8654065800001</v>
      </c>
      <c r="Q30" s="1995">
        <f t="shared" si="43"/>
        <v>500.69657533000003</v>
      </c>
      <c r="R30" s="1995">
        <f t="shared" si="43"/>
        <v>788.4427789799978</v>
      </c>
      <c r="S30" s="1995">
        <f t="shared" si="43"/>
        <v>8.7228999999999992</v>
      </c>
      <c r="T30" s="1995">
        <f t="shared" si="43"/>
        <v>18.17017289</v>
      </c>
      <c r="U30" s="1994">
        <f>SUM(U20:U29)</f>
        <v>13847.086538062153</v>
      </c>
      <c r="V30" s="1994">
        <f>SUM(V20:V29)</f>
        <v>1297.8042879500006</v>
      </c>
      <c r="W30" s="1994">
        <f>SUM(W20:W29)</f>
        <v>61.854961666529952</v>
      </c>
      <c r="X30" s="1994">
        <f>SUM(X20:X29)</f>
        <v>361.51043363999969</v>
      </c>
      <c r="Y30" s="1994">
        <f t="shared" ref="Y30:AE30" si="44">SUM(Y20:Y29)</f>
        <v>15568.256221318683</v>
      </c>
      <c r="Z30" s="1994">
        <f t="shared" si="44"/>
        <v>2671.2718393899972</v>
      </c>
      <c r="AA30" s="1994">
        <f>SUM(AA20:AA29)</f>
        <v>2907.8643204800055</v>
      </c>
      <c r="AB30" s="1994">
        <f t="shared" si="44"/>
        <v>5579.1361598700023</v>
      </c>
      <c r="AC30" s="1994">
        <f t="shared" si="44"/>
        <v>21147.392381188689</v>
      </c>
      <c r="AD30" s="1994">
        <f t="shared" si="44"/>
        <v>2590.606692409001</v>
      </c>
      <c r="AE30" s="1994">
        <f t="shared" si="44"/>
        <v>66.685987546810992</v>
      </c>
      <c r="AF30" s="1994">
        <f>SUM(AF20:AF29)</f>
        <v>2657.2926799558109</v>
      </c>
      <c r="AG30" s="1994">
        <f>SUM(AG20:AG29)</f>
        <v>23804.685061144497</v>
      </c>
      <c r="AI30" s="1994">
        <f>SUM(AI20:AI29)</f>
        <v>715.39499920999981</v>
      </c>
      <c r="AJ30" s="1994">
        <f>SUM(AJ20:AJ29)</f>
        <v>146.81200975999991</v>
      </c>
      <c r="AK30" s="1994">
        <f>SUM(AK20:AK29)</f>
        <v>862.20700896999972</v>
      </c>
      <c r="AN30" s="1993" t="s">
        <v>933</v>
      </c>
      <c r="AO30" s="2318">
        <f>SUM(AO20:AO29)</f>
        <v>14667.308072685</v>
      </c>
      <c r="AP30" s="2318">
        <f t="shared" ref="AP30:AV30" si="45">SUM(AP20:AP29)</f>
        <v>5875.6458357400006</v>
      </c>
      <c r="AQ30" s="2318">
        <f t="shared" si="45"/>
        <v>69.613083176529869</v>
      </c>
      <c r="AR30" s="2318">
        <f t="shared" si="45"/>
        <v>736.78042719999962</v>
      </c>
      <c r="AS30" s="1994">
        <f t="shared" si="45"/>
        <v>21349.347418801528</v>
      </c>
      <c r="AT30" s="1994">
        <f t="shared" si="45"/>
        <v>4025.1578676899917</v>
      </c>
      <c r="AU30" s="1994">
        <f t="shared" si="45"/>
        <v>3123.0058855600018</v>
      </c>
      <c r="AV30" s="1994">
        <f t="shared" si="45"/>
        <v>7148.1637532499926</v>
      </c>
      <c r="AW30" s="1994">
        <f>SUM(AW20:AW29)</f>
        <v>28497.511172051527</v>
      </c>
      <c r="AX30" s="1994">
        <f>SUM(AX20:AX29)</f>
        <v>3738.6930126199954</v>
      </c>
      <c r="AY30" s="1994">
        <f>SUM(AY20:AY29)</f>
        <v>65.197170256811049</v>
      </c>
      <c r="AZ30" s="1994">
        <f t="shared" ref="AZ30:BF30" si="46">SUM(AZ20:AZ29)</f>
        <v>3803.8901828768066</v>
      </c>
      <c r="BA30" s="1994">
        <f t="shared" si="46"/>
        <v>32301.40135492833</v>
      </c>
      <c r="BB30" s="1995">
        <f t="shared" si="46"/>
        <v>4566.565232330001</v>
      </c>
      <c r="BC30" s="1995">
        <f t="shared" si="46"/>
        <v>356.31503320000007</v>
      </c>
      <c r="BD30" s="1995">
        <f t="shared" si="46"/>
        <v>1474.683120549998</v>
      </c>
      <c r="BE30" s="1995">
        <f t="shared" si="46"/>
        <v>9.5905406399999897</v>
      </c>
      <c r="BF30" s="1995">
        <f t="shared" si="46"/>
        <v>49.747994019999979</v>
      </c>
      <c r="BG30" s="1994">
        <f>SUM(BG20:BG29)</f>
        <v>14667.308072685</v>
      </c>
      <c r="BH30" s="1994">
        <f>SUM(BH20:BH29)</f>
        <v>1309.080603409999</v>
      </c>
      <c r="BI30" s="1994">
        <f>SUM(BI20:BI29)</f>
        <v>60.02254253652989</v>
      </c>
      <c r="BJ30" s="1994">
        <f>SUM(BJ20:BJ29)</f>
        <v>380.46539399999961</v>
      </c>
      <c r="BK30" s="1994">
        <f t="shared" ref="BK30:BQ30" si="47">SUM(BK20:BK29)</f>
        <v>16416.876612631528</v>
      </c>
      <c r="BL30" s="1994">
        <f t="shared" si="47"/>
        <v>2550.4747471399933</v>
      </c>
      <c r="BM30" s="1994">
        <f t="shared" si="47"/>
        <v>3073.2578915400022</v>
      </c>
      <c r="BN30" s="1994">
        <f t="shared" si="47"/>
        <v>5623.7326386799959</v>
      </c>
      <c r="BO30" s="1994">
        <f t="shared" si="47"/>
        <v>22040.609251311522</v>
      </c>
      <c r="BP30" s="1994">
        <f t="shared" si="47"/>
        <v>3738.6930126199954</v>
      </c>
      <c r="BQ30" s="1994">
        <f t="shared" si="47"/>
        <v>65.197170256811049</v>
      </c>
      <c r="BR30" s="1994">
        <f>SUM(BR20:BR29)</f>
        <v>3803.8901828768066</v>
      </c>
      <c r="BS30" s="1994">
        <f>SUM(BS20:BS29)</f>
        <v>25844.499434188332</v>
      </c>
      <c r="BT30" s="1998"/>
      <c r="BU30" s="1994">
        <f>SUM(BU20:BU29)</f>
        <v>571.26988986999947</v>
      </c>
      <c r="BV30" s="1994">
        <f>SUM(BV20:BV29)</f>
        <v>165.51053733000023</v>
      </c>
      <c r="BW30" s="2716">
        <f>SUM(BW20:BW29)</f>
        <v>736.78042719999962</v>
      </c>
      <c r="BX30" s="2715"/>
    </row>
    <row r="31" spans="2:76">
      <c r="K31" s="2000">
        <f>K30-('Solde créances_DCM'!D28+'Solde créances_DCM'!D34)</f>
        <v>0</v>
      </c>
      <c r="L31" s="2000"/>
      <c r="M31" s="2000"/>
      <c r="N31" s="2000"/>
      <c r="O31" s="2000"/>
      <c r="Q31" s="2000"/>
      <c r="T31" s="2372">
        <f>SUM(P30:T30)</f>
        <v>3589.8978337799981</v>
      </c>
      <c r="X31" s="1517">
        <v>10250.69</v>
      </c>
      <c r="Y31" s="1517">
        <f>Y30/X31*100</f>
        <v>151.87520275531386</v>
      </c>
      <c r="AD31" s="2000"/>
      <c r="AE31" s="2000"/>
      <c r="AF31" s="2000"/>
      <c r="AG31" s="2000"/>
      <c r="AH31" s="2000"/>
      <c r="AI31" s="2000"/>
      <c r="AJ31" s="2000"/>
      <c r="AK31" s="2000"/>
      <c r="AX31" s="2000"/>
      <c r="AY31" s="2000"/>
      <c r="AZ31" s="2000"/>
      <c r="BA31" s="2000"/>
      <c r="BE31" s="2000">
        <f>SUM(BB30:BF30)</f>
        <v>6456.9019207399988</v>
      </c>
      <c r="BF31" s="2000"/>
      <c r="BI31" s="2000"/>
      <c r="BP31" s="2000"/>
      <c r="BQ31" s="2000"/>
      <c r="BR31" s="2000"/>
      <c r="BS31" s="2000"/>
    </row>
    <row r="32" spans="2:76" ht="21">
      <c r="B32" s="1996">
        <f>B16</f>
        <v>2023</v>
      </c>
      <c r="C32" s="3294" t="s">
        <v>765</v>
      </c>
      <c r="D32" s="3294"/>
      <c r="E32" s="3294"/>
      <c r="F32" s="3294"/>
      <c r="G32" s="3294"/>
      <c r="H32" s="3294"/>
      <c r="I32" s="3294"/>
      <c r="J32" s="3294"/>
      <c r="K32" s="3294"/>
      <c r="L32" s="2094"/>
      <c r="M32" s="2094"/>
      <c r="N32" s="2094"/>
      <c r="O32" s="2094"/>
      <c r="U32" s="3294" t="s">
        <v>935</v>
      </c>
      <c r="V32" s="3294"/>
      <c r="W32" s="3294"/>
      <c r="X32" s="3294"/>
      <c r="Y32" s="3294"/>
      <c r="Z32" s="3294"/>
      <c r="AA32" s="3294"/>
      <c r="AB32" s="3294"/>
      <c r="AC32" s="3294"/>
      <c r="AD32" s="2094"/>
      <c r="AE32" s="2094"/>
      <c r="AF32" s="2094"/>
      <c r="AG32" s="2094"/>
      <c r="AH32" s="2094"/>
      <c r="AI32" s="2094"/>
      <c r="AJ32" s="2094"/>
      <c r="AK32" s="2155"/>
      <c r="AN32" s="1996">
        <f>AN16</f>
        <v>2024</v>
      </c>
      <c r="AO32" s="3294" t="s">
        <v>765</v>
      </c>
      <c r="AP32" s="3294"/>
      <c r="AQ32" s="3294"/>
      <c r="AR32" s="3294"/>
      <c r="AS32" s="3294"/>
      <c r="AT32" s="3294"/>
      <c r="AU32" s="3294"/>
      <c r="AV32" s="3294"/>
      <c r="AW32" s="3294"/>
      <c r="AX32" s="2094"/>
      <c r="AY32" s="2094"/>
      <c r="AZ32" s="2094"/>
      <c r="BA32" s="2155"/>
      <c r="BC32" s="2000"/>
      <c r="BG32" s="3294" t="s">
        <v>935</v>
      </c>
      <c r="BH32" s="3294"/>
      <c r="BI32" s="3294"/>
      <c r="BJ32" s="3294"/>
      <c r="BK32" s="3294"/>
      <c r="BL32" s="3294"/>
      <c r="BM32" s="3294"/>
      <c r="BN32" s="3294"/>
      <c r="BO32" s="3294"/>
      <c r="BP32" s="2094"/>
      <c r="BQ32" s="2094"/>
      <c r="BR32" s="2094"/>
      <c r="BS32" s="2094"/>
    </row>
    <row r="33" spans="2:76" ht="15" customHeight="1">
      <c r="B33" s="3308" t="s">
        <v>308</v>
      </c>
      <c r="C33" s="3290" t="s">
        <v>925</v>
      </c>
      <c r="D33" s="3290"/>
      <c r="E33" s="3290"/>
      <c r="F33" s="3290"/>
      <c r="G33" s="3290"/>
      <c r="H33" s="3290" t="s">
        <v>318</v>
      </c>
      <c r="I33" s="3290"/>
      <c r="J33" s="3290"/>
      <c r="K33" s="3302" t="s">
        <v>926</v>
      </c>
      <c r="L33" s="3295" t="s">
        <v>1001</v>
      </c>
      <c r="M33" s="3296"/>
      <c r="N33" s="3297"/>
      <c r="O33" s="3278" t="s">
        <v>714</v>
      </c>
      <c r="P33" s="3291" t="s">
        <v>763</v>
      </c>
      <c r="Q33" s="3292"/>
      <c r="R33" s="3292"/>
      <c r="S33" s="3292"/>
      <c r="T33" s="3293"/>
      <c r="U33" s="3290" t="s">
        <v>925</v>
      </c>
      <c r="V33" s="3290"/>
      <c r="W33" s="3290"/>
      <c r="X33" s="3290"/>
      <c r="Y33" s="3290"/>
      <c r="Z33" s="3290" t="s">
        <v>318</v>
      </c>
      <c r="AA33" s="3290"/>
      <c r="AB33" s="3290"/>
      <c r="AC33" s="3302" t="s">
        <v>926</v>
      </c>
      <c r="AD33" s="3295" t="s">
        <v>1001</v>
      </c>
      <c r="AE33" s="3296"/>
      <c r="AF33" s="3297"/>
      <c r="AG33" s="3278" t="s">
        <v>714</v>
      </c>
      <c r="AH33" s="2356"/>
      <c r="AI33" s="2356"/>
      <c r="AJ33" s="2356"/>
      <c r="AK33" s="2155"/>
      <c r="AN33" s="3308" t="s">
        <v>308</v>
      </c>
      <c r="AO33" s="3290" t="s">
        <v>925</v>
      </c>
      <c r="AP33" s="3290"/>
      <c r="AQ33" s="3290"/>
      <c r="AR33" s="3290"/>
      <c r="AS33" s="3290"/>
      <c r="AT33" s="3290" t="s">
        <v>318</v>
      </c>
      <c r="AU33" s="3290"/>
      <c r="AV33" s="3290"/>
      <c r="AW33" s="3302" t="s">
        <v>926</v>
      </c>
      <c r="AX33" s="3295" t="s">
        <v>1001</v>
      </c>
      <c r="AY33" s="3296"/>
      <c r="AZ33" s="3297"/>
      <c r="BA33" s="3278" t="s">
        <v>714</v>
      </c>
      <c r="BB33" s="3291" t="s">
        <v>763</v>
      </c>
      <c r="BC33" s="3292"/>
      <c r="BD33" s="3292"/>
      <c r="BE33" s="3292"/>
      <c r="BF33" s="3293"/>
      <c r="BG33" s="3290" t="s">
        <v>925</v>
      </c>
      <c r="BH33" s="3290"/>
      <c r="BI33" s="3290"/>
      <c r="BJ33" s="3290"/>
      <c r="BK33" s="3290"/>
      <c r="BL33" s="3290" t="s">
        <v>318</v>
      </c>
      <c r="BM33" s="3290"/>
      <c r="BN33" s="3290"/>
      <c r="BO33" s="3302" t="s">
        <v>926</v>
      </c>
      <c r="BP33" s="3295" t="s">
        <v>1001</v>
      </c>
      <c r="BQ33" s="3296"/>
      <c r="BR33" s="3297"/>
      <c r="BS33" s="3278" t="s">
        <v>714</v>
      </c>
    </row>
    <row r="34" spans="2:76" ht="15" customHeight="1">
      <c r="B34" s="3309"/>
      <c r="C34" s="1988" t="s">
        <v>927</v>
      </c>
      <c r="D34" s="1988" t="s">
        <v>928</v>
      </c>
      <c r="E34" s="1988" t="s">
        <v>185</v>
      </c>
      <c r="F34" s="1988" t="s">
        <v>395</v>
      </c>
      <c r="G34" s="1988" t="s">
        <v>929</v>
      </c>
      <c r="H34" s="1988" t="s">
        <v>930</v>
      </c>
      <c r="I34" s="1988" t="s">
        <v>18</v>
      </c>
      <c r="J34" s="1988" t="s">
        <v>726</v>
      </c>
      <c r="K34" s="3302"/>
      <c r="L34" s="1988" t="s">
        <v>318</v>
      </c>
      <c r="M34" s="1988" t="s">
        <v>766</v>
      </c>
      <c r="N34" s="1988" t="s">
        <v>511</v>
      </c>
      <c r="O34" s="3279"/>
      <c r="P34" s="1989" t="s">
        <v>931</v>
      </c>
      <c r="Q34" s="1989" t="s">
        <v>792</v>
      </c>
      <c r="R34" s="1989" t="s">
        <v>932</v>
      </c>
      <c r="S34" s="1989" t="s">
        <v>185</v>
      </c>
      <c r="T34" s="1989" t="s">
        <v>18</v>
      </c>
      <c r="U34" s="1988" t="s">
        <v>927</v>
      </c>
      <c r="V34" s="1988" t="s">
        <v>928</v>
      </c>
      <c r="W34" s="1988" t="s">
        <v>185</v>
      </c>
      <c r="X34" s="1988" t="s">
        <v>395</v>
      </c>
      <c r="Y34" s="1988" t="s">
        <v>929</v>
      </c>
      <c r="Z34" s="1988" t="s">
        <v>930</v>
      </c>
      <c r="AA34" s="1988" t="s">
        <v>18</v>
      </c>
      <c r="AB34" s="1988" t="s">
        <v>726</v>
      </c>
      <c r="AC34" s="3302"/>
      <c r="AD34" s="1988" t="s">
        <v>318</v>
      </c>
      <c r="AE34" s="1988" t="s">
        <v>766</v>
      </c>
      <c r="AF34" s="1988" t="s">
        <v>511</v>
      </c>
      <c r="AG34" s="3279"/>
      <c r="AH34" s="2356"/>
      <c r="AI34" s="2356"/>
      <c r="AJ34" s="2356"/>
      <c r="AK34" s="2155"/>
      <c r="AN34" s="3309"/>
      <c r="AO34" s="1988" t="s">
        <v>927</v>
      </c>
      <c r="AP34" s="1988" t="s">
        <v>928</v>
      </c>
      <c r="AQ34" s="1988" t="s">
        <v>185</v>
      </c>
      <c r="AR34" s="1988" t="s">
        <v>395</v>
      </c>
      <c r="AS34" s="1988" t="s">
        <v>929</v>
      </c>
      <c r="AT34" s="1988" t="s">
        <v>930</v>
      </c>
      <c r="AU34" s="1988" t="s">
        <v>18</v>
      </c>
      <c r="AV34" s="1988" t="s">
        <v>726</v>
      </c>
      <c r="AW34" s="3302"/>
      <c r="AX34" s="1988" t="s">
        <v>318</v>
      </c>
      <c r="AY34" s="1988" t="s">
        <v>766</v>
      </c>
      <c r="AZ34" s="1988" t="s">
        <v>511</v>
      </c>
      <c r="BA34" s="3279"/>
      <c r="BB34" s="1989" t="s">
        <v>931</v>
      </c>
      <c r="BC34" s="1989" t="s">
        <v>792</v>
      </c>
      <c r="BD34" s="1989" t="s">
        <v>932</v>
      </c>
      <c r="BE34" s="1989" t="s">
        <v>185</v>
      </c>
      <c r="BF34" s="1989" t="s">
        <v>18</v>
      </c>
      <c r="BG34" s="1988" t="s">
        <v>927</v>
      </c>
      <c r="BH34" s="1988" t="s">
        <v>928</v>
      </c>
      <c r="BI34" s="1988" t="s">
        <v>185</v>
      </c>
      <c r="BJ34" s="1988" t="s">
        <v>395</v>
      </c>
      <c r="BK34" s="1988" t="s">
        <v>929</v>
      </c>
      <c r="BL34" s="1988" t="s">
        <v>930</v>
      </c>
      <c r="BM34" s="1988" t="s">
        <v>18</v>
      </c>
      <c r="BN34" s="1988" t="s">
        <v>726</v>
      </c>
      <c r="BO34" s="3302"/>
      <c r="BP34" s="1988" t="s">
        <v>318</v>
      </c>
      <c r="BQ34" s="1988" t="s">
        <v>766</v>
      </c>
      <c r="BR34" s="1988" t="s">
        <v>511</v>
      </c>
      <c r="BS34" s="3279"/>
      <c r="BU34" s="2700" t="s">
        <v>198</v>
      </c>
      <c r="BV34" s="2700" t="s">
        <v>199</v>
      </c>
      <c r="BW34" s="1449"/>
      <c r="BX34" s="1449"/>
    </row>
    <row r="35" spans="2:76" ht="15.6">
      <c r="B35" s="1990" t="s">
        <v>6</v>
      </c>
      <c r="C35" s="1999">
        <v>6478.3961255299992</v>
      </c>
      <c r="D35" s="1999">
        <v>1324.1627790800003</v>
      </c>
      <c r="E35" s="1999">
        <v>30.459973789999999</v>
      </c>
      <c r="F35" s="1999">
        <v>714.34321483999986</v>
      </c>
      <c r="G35" s="1999">
        <f>SUM(C35:F35)</f>
        <v>8547.362093239999</v>
      </c>
      <c r="H35" s="1999">
        <v>274.66260957999998</v>
      </c>
      <c r="I35" s="1999">
        <v>453.93260129000004</v>
      </c>
      <c r="J35" s="1999">
        <f>SUM(H35:I35)</f>
        <v>728.59521087000007</v>
      </c>
      <c r="K35" s="1999">
        <f>J35+G35</f>
        <v>9275.9573041099993</v>
      </c>
      <c r="L35" s="1999">
        <v>120.79586</v>
      </c>
      <c r="M35" s="1999">
        <v>0</v>
      </c>
      <c r="N35" s="1999">
        <f>SUM(L35:M35)</f>
        <v>120.79586</v>
      </c>
      <c r="O35" s="1991">
        <f>K35+N35</f>
        <v>9396.7531641099995</v>
      </c>
      <c r="P35" s="1999">
        <v>421.08132891000002</v>
      </c>
      <c r="Q35" s="1999">
        <v>23.920232720000001</v>
      </c>
      <c r="R35" s="1992"/>
      <c r="S35" s="1992"/>
      <c r="T35" s="1992"/>
      <c r="U35" s="1991">
        <f>C35</f>
        <v>6478.3961255299992</v>
      </c>
      <c r="V35" s="1991">
        <f>D35-P35</f>
        <v>903.08145017000027</v>
      </c>
      <c r="W35" s="1991">
        <f>E35-S35</f>
        <v>30.459973789999999</v>
      </c>
      <c r="X35" s="1991">
        <f>F35-Q35</f>
        <v>690.42298211999992</v>
      </c>
      <c r="Y35" s="1991">
        <f>SUM(U35:X35)</f>
        <v>8102.3605316099993</v>
      </c>
      <c r="Z35" s="1991">
        <f>H35-R35</f>
        <v>274.66260957999998</v>
      </c>
      <c r="AA35" s="1991">
        <f>I35-T35</f>
        <v>453.93260129000004</v>
      </c>
      <c r="AB35" s="1991">
        <f>SUM(Z35:AA35)</f>
        <v>728.59521087000007</v>
      </c>
      <c r="AC35" s="1991">
        <f>AB35+Y35</f>
        <v>8830.9557424799987</v>
      </c>
      <c r="AD35" s="1991">
        <f>L35</f>
        <v>120.79586</v>
      </c>
      <c r="AE35" s="1991">
        <f>M35</f>
        <v>0</v>
      </c>
      <c r="AF35" s="1991">
        <f>SUM(AD35:AE35)</f>
        <v>120.79586</v>
      </c>
      <c r="AG35" s="1991">
        <f>AC35+AF35</f>
        <v>8951.7516024799988</v>
      </c>
      <c r="AH35" s="2357"/>
      <c r="AI35" s="2357"/>
      <c r="AJ35" s="2357"/>
      <c r="AK35" s="2155"/>
      <c r="AN35" s="1990" t="s">
        <v>6</v>
      </c>
      <c r="AO35" s="1991">
        <f>'Feuil-saisie'!$E$25/1000</f>
        <v>819.05180683999993</v>
      </c>
      <c r="AP35" s="1991">
        <f>'Feuil-saisie'!$E$33/1000</f>
        <v>2353.5463584299996</v>
      </c>
      <c r="AQ35" s="1991">
        <f>'Feuil-saisie'!$E$30/1000</f>
        <v>34.802887499999997</v>
      </c>
      <c r="AR35" s="1991">
        <f>BU35+BV35</f>
        <v>638.62961046000009</v>
      </c>
      <c r="AS35" s="1991">
        <f>SUM(AO35:AR35)</f>
        <v>3846.0306632299994</v>
      </c>
      <c r="AT35" s="1991">
        <f>'Feuil-saisie'!$E$32/1000</f>
        <v>274.66260957999998</v>
      </c>
      <c r="AU35" s="1991">
        <f>'Feuil-saisie'!$E$29/1000</f>
        <v>474.05019561</v>
      </c>
      <c r="AV35" s="1991">
        <f t="shared" ref="AV35:AV44" si="48">SUM(AT35:AU35)</f>
        <v>748.71280518999993</v>
      </c>
      <c r="AW35" s="1991">
        <f t="shared" ref="AW35:AW44" si="49">AV35+AS35</f>
        <v>4594.7434684199998</v>
      </c>
      <c r="AX35" s="1991">
        <f>'Feuil-saisie'!$E$41/1000</f>
        <v>129.05199999999999</v>
      </c>
      <c r="AY35" s="1991">
        <f>'Feuil-saisie'!$E$42/1000</f>
        <v>0</v>
      </c>
      <c r="AZ35" s="1991">
        <f>SUM(AX35:AY35)</f>
        <v>129.05199999999999</v>
      </c>
      <c r="BA35" s="1991">
        <f>AW35+AZ35</f>
        <v>4723.7954684199995</v>
      </c>
      <c r="BB35" s="1992">
        <f>'Feuil-saisie'!E34/1000</f>
        <v>0</v>
      </c>
      <c r="BC35" s="1992">
        <f>'Feuil-saisie'!E37/1000</f>
        <v>0</v>
      </c>
      <c r="BD35" s="1992"/>
      <c r="BE35" s="1992"/>
      <c r="BF35" s="1992">
        <f>'Feuil-saisie'!E35/1000</f>
        <v>0</v>
      </c>
      <c r="BG35" s="1991">
        <f>AO35</f>
        <v>819.05180683999993</v>
      </c>
      <c r="BH35" s="1991">
        <f>AP35-BB35</f>
        <v>2353.5463584299996</v>
      </c>
      <c r="BI35" s="1991">
        <f>AQ35-BE35</f>
        <v>34.802887499999997</v>
      </c>
      <c r="BJ35" s="1991">
        <f>AR35-BC35</f>
        <v>638.62961046000009</v>
      </c>
      <c r="BK35" s="1991">
        <f>SUM(BG35:BJ35)</f>
        <v>3846.0306632299994</v>
      </c>
      <c r="BL35" s="1991">
        <f>AT35-BD35</f>
        <v>274.66260957999998</v>
      </c>
      <c r="BM35" s="1991">
        <f>AU35-BF35</f>
        <v>474.05019561</v>
      </c>
      <c r="BN35" s="1991">
        <f>SUM(BL35:BM35)</f>
        <v>748.71280518999993</v>
      </c>
      <c r="BO35" s="1991">
        <f>BN35+BK35</f>
        <v>4594.7434684199998</v>
      </c>
      <c r="BP35" s="1991">
        <f>AX35</f>
        <v>129.05199999999999</v>
      </c>
      <c r="BQ35" s="1991">
        <f>AY35</f>
        <v>0</v>
      </c>
      <c r="BR35" s="1991">
        <f>SUM(BP35:BQ35)</f>
        <v>129.05199999999999</v>
      </c>
      <c r="BS35" s="1991">
        <f>BO35+BR35</f>
        <v>4723.7954684199995</v>
      </c>
      <c r="BT35" s="1449" t="s">
        <v>6</v>
      </c>
      <c r="BU35" s="2089">
        <f>'Feuil-saisie'!$E$44/1000</f>
        <v>328.84613347000004</v>
      </c>
      <c r="BV35" s="2090">
        <f>'Feuil-saisie'!$E$45/1000</f>
        <v>309.78347699</v>
      </c>
      <c r="BX35" s="1784"/>
    </row>
    <row r="36" spans="2:76" ht="15.6">
      <c r="B36" s="1990" t="s">
        <v>7</v>
      </c>
      <c r="C36" s="1999">
        <v>3216.3592670600005</v>
      </c>
      <c r="D36" s="1999">
        <v>813.74400000000003</v>
      </c>
      <c r="E36" s="1999">
        <v>49.422820000000002</v>
      </c>
      <c r="F36" s="1999">
        <v>437.04080081999996</v>
      </c>
      <c r="G36" s="1999">
        <f t="shared" ref="G36:G44" si="50">SUM(C36:F36)</f>
        <v>4516.5668878800006</v>
      </c>
      <c r="H36" s="1999">
        <v>263.32299999999998</v>
      </c>
      <c r="I36" s="1999">
        <v>379.99723</v>
      </c>
      <c r="J36" s="1999">
        <f t="shared" ref="J36:J44" si="51">SUM(H36:I36)</f>
        <v>643.32023000000004</v>
      </c>
      <c r="K36" s="1999">
        <f t="shared" ref="K36:K44" si="52">J36+G36</f>
        <v>5159.8871178800009</v>
      </c>
      <c r="L36" s="1999">
        <v>0</v>
      </c>
      <c r="M36" s="1999">
        <v>0</v>
      </c>
      <c r="N36" s="1999">
        <f t="shared" ref="N36:N44" si="53">SUM(L36:M36)</f>
        <v>0</v>
      </c>
      <c r="O36" s="1991">
        <f t="shared" ref="O36:O44" si="54">K36+N36</f>
        <v>5159.8871178800009</v>
      </c>
      <c r="P36" s="1999">
        <v>383.46547999999996</v>
      </c>
      <c r="Q36" s="1999">
        <v>0</v>
      </c>
      <c r="R36" s="1992"/>
      <c r="S36" s="1992"/>
      <c r="T36" s="1992"/>
      <c r="U36" s="1991">
        <f t="shared" ref="U36:U44" si="55">C36</f>
        <v>3216.3592670600005</v>
      </c>
      <c r="V36" s="1991">
        <f t="shared" ref="V36:V44" si="56">D36-P36</f>
        <v>430.27852000000007</v>
      </c>
      <c r="W36" s="1991">
        <f t="shared" ref="W36:W44" si="57">E36-S36</f>
        <v>49.422820000000002</v>
      </c>
      <c r="X36" s="1991">
        <f t="shared" ref="X36:X44" si="58">F36-Q36</f>
        <v>437.04080081999996</v>
      </c>
      <c r="Y36" s="1991">
        <f t="shared" ref="Y36:Y44" si="59">SUM(U36:X36)</f>
        <v>4133.1014078800008</v>
      </c>
      <c r="Z36" s="1991">
        <f t="shared" ref="Z36:Z44" si="60">H36-R36</f>
        <v>263.32299999999998</v>
      </c>
      <c r="AA36" s="1991">
        <f t="shared" ref="AA36:AA44" si="61">I36-T36</f>
        <v>379.99723</v>
      </c>
      <c r="AB36" s="1991">
        <f t="shared" ref="AB36:AB44" si="62">SUM(Z36:AA36)</f>
        <v>643.32023000000004</v>
      </c>
      <c r="AC36" s="1991">
        <f t="shared" ref="AC36:AC44" si="63">AB36+Y36</f>
        <v>4776.4216378800011</v>
      </c>
      <c r="AD36" s="1991">
        <f t="shared" ref="AD36:AD44" si="64">L36</f>
        <v>0</v>
      </c>
      <c r="AE36" s="1991">
        <f t="shared" ref="AE36:AE44" si="65">M36</f>
        <v>0</v>
      </c>
      <c r="AF36" s="1991">
        <f t="shared" ref="AF36:AF44" si="66">SUM(AD36:AE36)</f>
        <v>0</v>
      </c>
      <c r="AG36" s="1991">
        <f t="shared" ref="AG36:AG44" si="67">AC36+AF36</f>
        <v>4776.4216378800011</v>
      </c>
      <c r="AH36" s="2357"/>
      <c r="AI36" s="2357"/>
      <c r="AJ36" s="2357"/>
      <c r="AK36" s="2155"/>
      <c r="AN36" s="1990" t="s">
        <v>7</v>
      </c>
      <c r="AO36" s="1991">
        <f>'Feuil-saisie'!$E$49/1000</f>
        <v>3334.346</v>
      </c>
      <c r="AP36" s="1991">
        <f>'Feuil-saisie'!$E$57/1000</f>
        <v>889.67600000000004</v>
      </c>
      <c r="AQ36" s="1991">
        <f>'Feuil-saisie'!$E$54/1000</f>
        <v>60.767000000000003</v>
      </c>
      <c r="AR36" s="1991">
        <f t="shared" ref="AR36:AR44" si="68">BU36+BV36</f>
        <v>532.38199999999995</v>
      </c>
      <c r="AS36" s="1991">
        <f t="shared" ref="AS36:AS44" si="69">SUM(AO36:AR36)</f>
        <v>4817.1709999999994</v>
      </c>
      <c r="AT36" s="1991">
        <f>'Feuil-saisie'!$E$56/1000</f>
        <v>278.00700000000001</v>
      </c>
      <c r="AU36" s="1991">
        <f>'Feuil-saisie'!$E$53/1000</f>
        <v>422.60899999999998</v>
      </c>
      <c r="AV36" s="1991">
        <f t="shared" si="48"/>
        <v>700.61599999999999</v>
      </c>
      <c r="AW36" s="1991">
        <f t="shared" si="49"/>
        <v>5517.7869999999994</v>
      </c>
      <c r="AX36" s="1991">
        <f>'Feuil-saisie'!$E$64/1000</f>
        <v>197.3</v>
      </c>
      <c r="AY36" s="1991">
        <f>'Feuil-saisie'!$E$65/1000</f>
        <v>0</v>
      </c>
      <c r="AZ36" s="1991">
        <f t="shared" ref="AZ36:AZ44" si="70">SUM(AX36:AY36)</f>
        <v>197.3</v>
      </c>
      <c r="BA36" s="1991">
        <f t="shared" ref="BA36:BA44" si="71">AW36+AZ36</f>
        <v>5715.0869999999995</v>
      </c>
      <c r="BB36" s="1992">
        <f>'Feuil-saisie'!E58/1000</f>
        <v>418.52747999999997</v>
      </c>
      <c r="BC36" s="1992">
        <f>'Feuil-saisie'!E60/1000</f>
        <v>235.10400000000001</v>
      </c>
      <c r="BD36" s="1992"/>
      <c r="BE36" s="1992"/>
      <c r="BF36" s="1992"/>
      <c r="BG36" s="1991">
        <f t="shared" ref="BG36:BG44" si="72">AO36</f>
        <v>3334.346</v>
      </c>
      <c r="BH36" s="1991">
        <f t="shared" ref="BH36:BH44" si="73">AP36-BB36</f>
        <v>471.14852000000008</v>
      </c>
      <c r="BI36" s="1991">
        <f t="shared" ref="BI36:BI44" si="74">AQ36-BE36</f>
        <v>60.767000000000003</v>
      </c>
      <c r="BJ36" s="1991">
        <f t="shared" ref="BJ36:BJ44" si="75">AR36-BC36</f>
        <v>297.27799999999991</v>
      </c>
      <c r="BK36" s="1991">
        <f t="shared" ref="BK36:BK44" si="76">SUM(BG36:BJ36)</f>
        <v>4163.5395200000003</v>
      </c>
      <c r="BL36" s="1991">
        <f t="shared" ref="BL36:BL44" si="77">AT36-BD36</f>
        <v>278.00700000000001</v>
      </c>
      <c r="BM36" s="1991">
        <f t="shared" ref="BM36:BM44" si="78">AU36-BF36</f>
        <v>422.60899999999998</v>
      </c>
      <c r="BN36" s="1991">
        <f t="shared" ref="BN36:BN44" si="79">SUM(BL36:BM36)</f>
        <v>700.61599999999999</v>
      </c>
      <c r="BO36" s="1991">
        <f t="shared" ref="BO36:BO44" si="80">BN36+BK36</f>
        <v>4864.1555200000003</v>
      </c>
      <c r="BP36" s="1991">
        <f t="shared" ref="BP36:BP44" si="81">AX36</f>
        <v>197.3</v>
      </c>
      <c r="BQ36" s="1991">
        <f t="shared" ref="BQ36:BQ44" si="82">AY36</f>
        <v>0</v>
      </c>
      <c r="BR36" s="1991">
        <f t="shared" ref="BR36:BR44" si="83">SUM(BP36:BQ36)</f>
        <v>197.3</v>
      </c>
      <c r="BS36" s="1991">
        <f t="shared" ref="BS36:BS44" si="84">BO36+BR36</f>
        <v>5061.4555200000004</v>
      </c>
      <c r="BT36" s="1449" t="s">
        <v>7</v>
      </c>
      <c r="BU36" s="2089">
        <f>'Feuil-saisie'!$E$67/1000</f>
        <v>313.47199999999998</v>
      </c>
      <c r="BV36" s="2090">
        <f>'Feuil-saisie'!$E$68/1000</f>
        <v>218.91</v>
      </c>
      <c r="BX36" s="1784"/>
    </row>
    <row r="37" spans="2:76" ht="15.6">
      <c r="B37" s="1990" t="s">
        <v>8</v>
      </c>
      <c r="C37" s="1999">
        <v>3087.44678974</v>
      </c>
      <c r="D37" s="1999">
        <v>457.87986416000001</v>
      </c>
      <c r="E37" s="1999">
        <v>70.167150650000011</v>
      </c>
      <c r="F37" s="1999">
        <v>119.81259429752195</v>
      </c>
      <c r="G37" s="1999">
        <f t="shared" si="50"/>
        <v>3735.3063988475224</v>
      </c>
      <c r="H37" s="1999">
        <v>289.67421395000002</v>
      </c>
      <c r="I37" s="1999">
        <v>435.83027623000004</v>
      </c>
      <c r="J37" s="1999">
        <f t="shared" si="51"/>
        <v>725.50449018000006</v>
      </c>
      <c r="K37" s="1999">
        <f t="shared" si="52"/>
        <v>4460.8108890275225</v>
      </c>
      <c r="L37" s="1999">
        <v>154.56444206999998</v>
      </c>
      <c r="M37" s="1999">
        <v>3.2762909999999999E-2</v>
      </c>
      <c r="N37" s="1999">
        <f t="shared" si="53"/>
        <v>154.59720497999999</v>
      </c>
      <c r="O37" s="1991">
        <f t="shared" si="54"/>
        <v>4615.4080940075228</v>
      </c>
      <c r="P37" s="1999">
        <v>0</v>
      </c>
      <c r="Q37" s="1999"/>
      <c r="R37" s="1992"/>
      <c r="S37" s="1999"/>
      <c r="T37" s="1999"/>
      <c r="U37" s="1991">
        <f t="shared" si="55"/>
        <v>3087.44678974</v>
      </c>
      <c r="V37" s="1991">
        <f t="shared" si="56"/>
        <v>457.87986416000001</v>
      </c>
      <c r="W37" s="1991">
        <f t="shared" si="57"/>
        <v>70.167150650000011</v>
      </c>
      <c r="X37" s="1991">
        <f t="shared" si="58"/>
        <v>119.81259429752195</v>
      </c>
      <c r="Y37" s="1991">
        <f t="shared" si="59"/>
        <v>3735.3063988475224</v>
      </c>
      <c r="Z37" s="1991">
        <f t="shared" si="60"/>
        <v>289.67421395000002</v>
      </c>
      <c r="AA37" s="1991">
        <f t="shared" si="61"/>
        <v>435.83027623000004</v>
      </c>
      <c r="AB37" s="1991">
        <f t="shared" si="62"/>
        <v>725.50449018000006</v>
      </c>
      <c r="AC37" s="1991">
        <f t="shared" si="63"/>
        <v>4460.8108890275225</v>
      </c>
      <c r="AD37" s="1991">
        <f t="shared" si="64"/>
        <v>154.56444206999998</v>
      </c>
      <c r="AE37" s="1991">
        <f t="shared" si="65"/>
        <v>3.2762909999999999E-2</v>
      </c>
      <c r="AF37" s="1991">
        <f t="shared" si="66"/>
        <v>154.59720497999999</v>
      </c>
      <c r="AG37" s="1991">
        <f t="shared" si="67"/>
        <v>4615.4080940075228</v>
      </c>
      <c r="AH37" s="2357"/>
      <c r="AI37" s="2357"/>
      <c r="AJ37" s="2357"/>
      <c r="AK37" s="2155"/>
      <c r="AN37" s="1990" t="s">
        <v>8</v>
      </c>
      <c r="AO37" s="1991">
        <f>'Feuil-saisie'!$E$72/1000</f>
        <v>3015.8667934200002</v>
      </c>
      <c r="AP37" s="1991">
        <f>'Feuil-saisie'!$E$80/1000</f>
        <v>473.51845759000003</v>
      </c>
      <c r="AQ37" s="1991">
        <f>'Feuil-saisie'!$E$77/1000</f>
        <v>77.335746590000014</v>
      </c>
      <c r="AR37" s="1991">
        <f t="shared" si="68"/>
        <v>152.10544298000002</v>
      </c>
      <c r="AS37" s="1991">
        <f t="shared" si="69"/>
        <v>3718.8264405800005</v>
      </c>
      <c r="AT37" s="1991">
        <f>'Feuil-saisie'!$E$79/1000</f>
        <v>279.05033724000003</v>
      </c>
      <c r="AU37" s="1991">
        <f>'Feuil-saisie'!$E$76/1000</f>
        <v>485.93452084</v>
      </c>
      <c r="AV37" s="1991">
        <f t="shared" si="48"/>
        <v>764.98485808000009</v>
      </c>
      <c r="AW37" s="1991">
        <f t="shared" si="49"/>
        <v>4483.8112986600008</v>
      </c>
      <c r="AX37" s="1991">
        <f>'Feuil-saisie'!$E$88/1000</f>
        <v>959.39783311000008</v>
      </c>
      <c r="AY37" s="1991">
        <f>'Feuil-saisie'!$E$89/1000</f>
        <v>7.9333400000000005E-3</v>
      </c>
      <c r="AZ37" s="1991">
        <f t="shared" si="70"/>
        <v>959.4057664500001</v>
      </c>
      <c r="BA37" s="1991">
        <f t="shared" si="71"/>
        <v>5443.2170651100005</v>
      </c>
      <c r="BB37" s="1992">
        <f>'Feuil-saisie'!E81/1000</f>
        <v>232.16632011999999</v>
      </c>
      <c r="BC37" s="1992"/>
      <c r="BD37" s="1992">
        <f>'Feuil-saisie'!E83/1000</f>
        <v>59.840246120000003</v>
      </c>
      <c r="BE37" s="1992">
        <f>'Feuil-saisie'!E82/1000</f>
        <v>8.2372216599999994</v>
      </c>
      <c r="BF37" s="1992"/>
      <c r="BG37" s="1991">
        <f t="shared" si="72"/>
        <v>3015.8667934200002</v>
      </c>
      <c r="BH37" s="1991">
        <f t="shared" si="73"/>
        <v>241.35213747000003</v>
      </c>
      <c r="BI37" s="1991">
        <f>AQ37-BE37</f>
        <v>69.098524930000011</v>
      </c>
      <c r="BJ37" s="1991">
        <f t="shared" si="75"/>
        <v>152.10544298000002</v>
      </c>
      <c r="BK37" s="1991">
        <f t="shared" si="76"/>
        <v>3478.4228988000004</v>
      </c>
      <c r="BL37" s="1991">
        <f t="shared" si="77"/>
        <v>219.21009112000002</v>
      </c>
      <c r="BM37" s="1991">
        <f>AU37-BF37</f>
        <v>485.93452084</v>
      </c>
      <c r="BN37" s="1991">
        <f t="shared" si="79"/>
        <v>705.14461196000002</v>
      </c>
      <c r="BO37" s="1991">
        <f t="shared" si="80"/>
        <v>4183.56751076</v>
      </c>
      <c r="BP37" s="1991">
        <f t="shared" si="81"/>
        <v>959.39783311000008</v>
      </c>
      <c r="BQ37" s="1991">
        <f t="shared" si="82"/>
        <v>7.9333400000000005E-3</v>
      </c>
      <c r="BR37" s="1991">
        <f t="shared" si="83"/>
        <v>959.4057664500001</v>
      </c>
      <c r="BS37" s="1991">
        <f t="shared" si="84"/>
        <v>5142.9732772099997</v>
      </c>
      <c r="BT37" s="1449" t="s">
        <v>8</v>
      </c>
      <c r="BU37" s="2089">
        <f>'Feuil-saisie'!$E$91/1000</f>
        <v>118.81838462000002</v>
      </c>
      <c r="BV37" s="2090">
        <f>'Feuil-saisie'!$E$92/1000</f>
        <v>33.287058360000003</v>
      </c>
      <c r="BX37" s="1784"/>
    </row>
    <row r="38" spans="2:76" ht="15.6">
      <c r="B38" s="1990" t="s">
        <v>4</v>
      </c>
      <c r="C38" s="1999">
        <v>5756.8706827199994</v>
      </c>
      <c r="D38" s="1999">
        <v>1146.3137578399999</v>
      </c>
      <c r="E38" s="1999">
        <v>99.28787595</v>
      </c>
      <c r="F38" s="1999">
        <v>152.27361857</v>
      </c>
      <c r="G38" s="1999">
        <f t="shared" si="50"/>
        <v>7154.7459350799991</v>
      </c>
      <c r="H38" s="1999">
        <v>335.30340692999999</v>
      </c>
      <c r="I38" s="1999">
        <v>453.74485885999997</v>
      </c>
      <c r="J38" s="1999">
        <f t="shared" si="51"/>
        <v>789.04826578999996</v>
      </c>
      <c r="K38" s="1999">
        <f t="shared" si="52"/>
        <v>7943.7942008699993</v>
      </c>
      <c r="L38" s="1999">
        <v>0</v>
      </c>
      <c r="M38" s="1999">
        <v>0</v>
      </c>
      <c r="N38" s="1999">
        <f t="shared" si="53"/>
        <v>0</v>
      </c>
      <c r="O38" s="1991">
        <f t="shared" si="54"/>
        <v>7943.7942008699993</v>
      </c>
      <c r="P38" s="1999">
        <v>463.60441818999993</v>
      </c>
      <c r="Q38" s="1999"/>
      <c r="R38" s="1992"/>
      <c r="S38" s="1992"/>
      <c r="T38" s="1992"/>
      <c r="U38" s="1991">
        <f t="shared" si="55"/>
        <v>5756.8706827199994</v>
      </c>
      <c r="V38" s="1991">
        <f t="shared" si="56"/>
        <v>682.70933964999995</v>
      </c>
      <c r="W38" s="1991">
        <f t="shared" si="57"/>
        <v>99.28787595</v>
      </c>
      <c r="X38" s="1991">
        <f t="shared" si="58"/>
        <v>152.27361857</v>
      </c>
      <c r="Y38" s="1991">
        <f t="shared" si="59"/>
        <v>6691.1415168899985</v>
      </c>
      <c r="Z38" s="1991">
        <f t="shared" si="60"/>
        <v>335.30340692999999</v>
      </c>
      <c r="AA38" s="1991">
        <f t="shared" si="61"/>
        <v>453.74485885999997</v>
      </c>
      <c r="AB38" s="1991">
        <f t="shared" si="62"/>
        <v>789.04826578999996</v>
      </c>
      <c r="AC38" s="1991">
        <f t="shared" si="63"/>
        <v>7480.1897826799986</v>
      </c>
      <c r="AD38" s="1991">
        <f t="shared" si="64"/>
        <v>0</v>
      </c>
      <c r="AE38" s="1991">
        <f t="shared" si="65"/>
        <v>0</v>
      </c>
      <c r="AF38" s="1991">
        <f t="shared" si="66"/>
        <v>0</v>
      </c>
      <c r="AG38" s="1991">
        <f t="shared" si="67"/>
        <v>7480.1897826799986</v>
      </c>
      <c r="AH38" s="2357"/>
      <c r="AI38" s="2357"/>
      <c r="AJ38" s="2357"/>
      <c r="AK38" s="2155"/>
      <c r="AN38" s="1990" t="s">
        <v>4</v>
      </c>
      <c r="AO38" s="1991">
        <f>'Feuil-saisie'!$E$96/1000</f>
        <v>5707.4612566200003</v>
      </c>
      <c r="AP38" s="1991">
        <f>'Feuil-saisie'!$E$104/1000</f>
        <v>1253.5834664700001</v>
      </c>
      <c r="AQ38" s="1991">
        <f>'Feuil-saisie'!$E$101/1000</f>
        <v>108.34977238</v>
      </c>
      <c r="AR38" s="1991">
        <f t="shared" si="68"/>
        <v>157.24498325000002</v>
      </c>
      <c r="AS38" s="1991">
        <f t="shared" si="69"/>
        <v>7226.6394787200006</v>
      </c>
      <c r="AT38" s="1991">
        <f>'Feuil-saisie'!$E$103/1000</f>
        <v>297.91491843</v>
      </c>
      <c r="AU38" s="1991">
        <f>'Feuil-saisie'!$E$100/1000</f>
        <v>527.40870188999986</v>
      </c>
      <c r="AV38" s="1991">
        <f t="shared" si="48"/>
        <v>825.32362031999992</v>
      </c>
      <c r="AW38" s="1991">
        <f t="shared" si="49"/>
        <v>8051.9630990400001</v>
      </c>
      <c r="AX38" s="1991">
        <f>'Feuil-saisie'!$E$111/1000</f>
        <v>0</v>
      </c>
      <c r="AY38" s="1991">
        <f>'Feuil-saisie'!$E$112/1000</f>
        <v>0</v>
      </c>
      <c r="AZ38" s="1991">
        <f t="shared" si="70"/>
        <v>0</v>
      </c>
      <c r="BA38" s="1991">
        <f t="shared" si="71"/>
        <v>8051.9630990400001</v>
      </c>
      <c r="BB38" s="1992">
        <f>'Feuil-saisie'!E105/1000</f>
        <v>499.00241488</v>
      </c>
      <c r="BC38" s="1992"/>
      <c r="BD38" s="1992"/>
      <c r="BE38" s="1992"/>
      <c r="BF38" s="1992"/>
      <c r="BG38" s="1991">
        <f t="shared" si="72"/>
        <v>5707.4612566200003</v>
      </c>
      <c r="BH38" s="1991">
        <f t="shared" si="73"/>
        <v>754.58105159000002</v>
      </c>
      <c r="BI38" s="1991">
        <f t="shared" si="74"/>
        <v>108.34977238</v>
      </c>
      <c r="BJ38" s="1991">
        <f t="shared" si="75"/>
        <v>157.24498325000002</v>
      </c>
      <c r="BK38" s="1991">
        <f t="shared" si="76"/>
        <v>6727.6370638400003</v>
      </c>
      <c r="BL38" s="1991">
        <f t="shared" si="77"/>
        <v>297.91491843</v>
      </c>
      <c r="BM38" s="1991">
        <f t="shared" si="78"/>
        <v>527.40870188999986</v>
      </c>
      <c r="BN38" s="1991">
        <f t="shared" si="79"/>
        <v>825.32362031999992</v>
      </c>
      <c r="BO38" s="1991">
        <f t="shared" si="80"/>
        <v>7552.9606841599998</v>
      </c>
      <c r="BP38" s="1991">
        <f t="shared" si="81"/>
        <v>0</v>
      </c>
      <c r="BQ38" s="1991">
        <f t="shared" si="82"/>
        <v>0</v>
      </c>
      <c r="BR38" s="1991">
        <f t="shared" si="83"/>
        <v>0</v>
      </c>
      <c r="BS38" s="1991">
        <f t="shared" si="84"/>
        <v>7552.9606841599998</v>
      </c>
      <c r="BT38" s="1449" t="s">
        <v>4</v>
      </c>
      <c r="BU38" s="2089">
        <f>'Feuil-saisie'!$E$114/1000</f>
        <v>75.154345270000007</v>
      </c>
      <c r="BV38" s="2090">
        <f>'Feuil-saisie'!$E$115/1000</f>
        <v>82.090637979999997</v>
      </c>
      <c r="BX38" s="1784"/>
    </row>
    <row r="39" spans="2:76" ht="15.6">
      <c r="B39" s="1990" t="s">
        <v>3</v>
      </c>
      <c r="C39" s="1999">
        <v>3842.5839980400001</v>
      </c>
      <c r="D39" s="1999">
        <v>735.57183178000002</v>
      </c>
      <c r="E39" s="1999">
        <v>60.279021839999992</v>
      </c>
      <c r="F39" s="1999">
        <v>17.391784170000001</v>
      </c>
      <c r="G39" s="1999">
        <f t="shared" si="50"/>
        <v>4655.8266358299998</v>
      </c>
      <c r="H39" s="1999">
        <v>378.59994962999991</v>
      </c>
      <c r="I39" s="1999">
        <v>355.40925667000005</v>
      </c>
      <c r="J39" s="1999">
        <f t="shared" si="51"/>
        <v>734.00920629999996</v>
      </c>
      <c r="K39" s="1999">
        <f t="shared" si="52"/>
        <v>5389.8358421299999</v>
      </c>
      <c r="L39" s="1999">
        <v>1250.2781723899996</v>
      </c>
      <c r="M39" s="1999">
        <v>28.308022299999973</v>
      </c>
      <c r="N39" s="1999">
        <f t="shared" si="53"/>
        <v>1278.5861946899995</v>
      </c>
      <c r="O39" s="1991">
        <f t="shared" si="54"/>
        <v>6668.4220368199994</v>
      </c>
      <c r="P39" s="1999">
        <v>0</v>
      </c>
      <c r="Q39" s="1999"/>
      <c r="R39" s="1992"/>
      <c r="S39" s="1992"/>
      <c r="T39" s="1992"/>
      <c r="U39" s="1991">
        <f t="shared" si="55"/>
        <v>3842.5839980400001</v>
      </c>
      <c r="V39" s="1991">
        <f t="shared" si="56"/>
        <v>735.57183178000002</v>
      </c>
      <c r="W39" s="1991">
        <f t="shared" si="57"/>
        <v>60.279021839999992</v>
      </c>
      <c r="X39" s="1991">
        <f t="shared" si="58"/>
        <v>17.391784170000001</v>
      </c>
      <c r="Y39" s="1991">
        <f t="shared" si="59"/>
        <v>4655.8266358299998</v>
      </c>
      <c r="Z39" s="1991">
        <f t="shared" si="60"/>
        <v>378.59994962999991</v>
      </c>
      <c r="AA39" s="1991">
        <f t="shared" si="61"/>
        <v>355.40925667000005</v>
      </c>
      <c r="AB39" s="1991">
        <f t="shared" si="62"/>
        <v>734.00920629999996</v>
      </c>
      <c r="AC39" s="1991">
        <f t="shared" si="63"/>
        <v>5389.8358421299999</v>
      </c>
      <c r="AD39" s="1991">
        <f t="shared" si="64"/>
        <v>1250.2781723899996</v>
      </c>
      <c r="AE39" s="1991">
        <f t="shared" si="65"/>
        <v>28.308022299999973</v>
      </c>
      <c r="AF39" s="1991">
        <f t="shared" si="66"/>
        <v>1278.5861946899995</v>
      </c>
      <c r="AG39" s="1991">
        <f t="shared" si="67"/>
        <v>6668.4220368199994</v>
      </c>
      <c r="AH39" s="2357"/>
      <c r="AI39" s="2357"/>
      <c r="AJ39" s="2357"/>
      <c r="AK39" s="2155"/>
      <c r="AN39" s="1990" t="s">
        <v>3</v>
      </c>
      <c r="AO39" s="1991">
        <f>'Feuil-saisie'!$E$119/1000</f>
        <v>4032.371990529999</v>
      </c>
      <c r="AP39" s="1991">
        <f>'Feuil-saisie'!$E$127/1000</f>
        <v>864.75968512999998</v>
      </c>
      <c r="AQ39" s="1991">
        <f>'Feuil-saisie'!$E$124/1000</f>
        <v>66.377835829999995</v>
      </c>
      <c r="AR39" s="1991">
        <f t="shared" si="68"/>
        <v>14.813723419999999</v>
      </c>
      <c r="AS39" s="1991">
        <f t="shared" si="69"/>
        <v>4978.323234909999</v>
      </c>
      <c r="AT39" s="1991">
        <f>'Feuil-saisie'!$E$126/1000</f>
        <v>394.66815853999998</v>
      </c>
      <c r="AU39" s="1991">
        <f>'Feuil-saisie'!$E$123/1000</f>
        <v>356.20024509000007</v>
      </c>
      <c r="AV39" s="1991">
        <f t="shared" si="48"/>
        <v>750.8684036300001</v>
      </c>
      <c r="AW39" s="1991">
        <f t="shared" si="49"/>
        <v>5729.1916385399991</v>
      </c>
      <c r="AX39" s="1991">
        <f>'Feuil-saisie'!$E$136/1000</f>
        <v>1633.1219728299984</v>
      </c>
      <c r="AY39" s="1991">
        <f>'Feuil-saisie'!$E$137/1000</f>
        <v>19.104317619999993</v>
      </c>
      <c r="AZ39" s="1991">
        <f t="shared" si="70"/>
        <v>1652.2262904499985</v>
      </c>
      <c r="BA39" s="1991">
        <f t="shared" si="71"/>
        <v>7381.4179289899976</v>
      </c>
      <c r="BB39" s="1992">
        <f>'Feuil-saisie'!E128/1000</f>
        <v>160.88483063000001</v>
      </c>
      <c r="BC39" s="1992"/>
      <c r="BD39" s="1992"/>
      <c r="BE39" s="1992">
        <f>'Feuil-saisie'!E130/1000</f>
        <v>0</v>
      </c>
      <c r="BF39" s="1992">
        <f>'Feuil-saisie'!E129/1000</f>
        <v>2.7025950700000001</v>
      </c>
      <c r="BG39" s="1991">
        <f t="shared" si="72"/>
        <v>4032.371990529999</v>
      </c>
      <c r="BH39" s="1991">
        <f t="shared" si="73"/>
        <v>703.87485449999997</v>
      </c>
      <c r="BI39" s="1991">
        <f t="shared" si="74"/>
        <v>66.377835829999995</v>
      </c>
      <c r="BJ39" s="1991">
        <f t="shared" si="75"/>
        <v>14.813723419999999</v>
      </c>
      <c r="BK39" s="1991">
        <f t="shared" si="76"/>
        <v>4817.4384042799993</v>
      </c>
      <c r="BL39" s="1991">
        <f t="shared" si="77"/>
        <v>394.66815853999998</v>
      </c>
      <c r="BM39" s="1991">
        <f t="shared" si="78"/>
        <v>353.49765002000009</v>
      </c>
      <c r="BN39" s="1991">
        <f t="shared" si="79"/>
        <v>748.16580856000007</v>
      </c>
      <c r="BO39" s="1991">
        <f t="shared" si="80"/>
        <v>5565.6042128399995</v>
      </c>
      <c r="BP39" s="1991">
        <f t="shared" si="81"/>
        <v>1633.1219728299984</v>
      </c>
      <c r="BQ39" s="1991">
        <f t="shared" si="82"/>
        <v>19.104317619999993</v>
      </c>
      <c r="BR39" s="1991">
        <f t="shared" si="83"/>
        <v>1652.2262904499985</v>
      </c>
      <c r="BS39" s="1991">
        <f t="shared" si="84"/>
        <v>7217.830503289998</v>
      </c>
      <c r="BT39" s="1449" t="s">
        <v>3</v>
      </c>
      <c r="BU39" s="2089">
        <f>'Feuil-saisie'!$E$139/1000</f>
        <v>0</v>
      </c>
      <c r="BV39" s="2090">
        <f>'Feuil-saisie'!$E$140/1000</f>
        <v>14.813723419999999</v>
      </c>
      <c r="BX39" s="1784"/>
    </row>
    <row r="40" spans="2:76" ht="15.6">
      <c r="B40" s="1990" t="s">
        <v>397</v>
      </c>
      <c r="C40" s="1999">
        <v>2570.85624861</v>
      </c>
      <c r="D40" s="1999">
        <v>758.72873337999999</v>
      </c>
      <c r="E40" s="1999">
        <v>2.01510627</v>
      </c>
      <c r="F40" s="1999">
        <v>361.40943055999998</v>
      </c>
      <c r="G40" s="1999">
        <f t="shared" si="50"/>
        <v>3693.0095188200003</v>
      </c>
      <c r="H40" s="1999">
        <v>242.88505224000002</v>
      </c>
      <c r="I40" s="1999">
        <v>334.55866569</v>
      </c>
      <c r="J40" s="1999">
        <f t="shared" si="51"/>
        <v>577.44371793000005</v>
      </c>
      <c r="K40" s="1999">
        <f t="shared" si="52"/>
        <v>4270.4532367500005</v>
      </c>
      <c r="L40" s="1999">
        <v>0</v>
      </c>
      <c r="M40" s="1999">
        <v>0</v>
      </c>
      <c r="N40" s="1999">
        <f t="shared" si="53"/>
        <v>0</v>
      </c>
      <c r="O40" s="1991">
        <f t="shared" si="54"/>
        <v>4270.4532367500005</v>
      </c>
      <c r="P40" s="1999">
        <v>0</v>
      </c>
      <c r="Q40" s="1999"/>
      <c r="R40" s="1992"/>
      <c r="S40" s="1992"/>
      <c r="T40" s="1992"/>
      <c r="U40" s="1991">
        <f t="shared" si="55"/>
        <v>2570.85624861</v>
      </c>
      <c r="V40" s="1991">
        <f t="shared" si="56"/>
        <v>758.72873337999999</v>
      </c>
      <c r="W40" s="1991">
        <f t="shared" si="57"/>
        <v>2.01510627</v>
      </c>
      <c r="X40" s="1991">
        <f t="shared" si="58"/>
        <v>361.40943055999998</v>
      </c>
      <c r="Y40" s="1991">
        <f t="shared" si="59"/>
        <v>3693.0095188200003</v>
      </c>
      <c r="Z40" s="1991">
        <f t="shared" si="60"/>
        <v>242.88505224000002</v>
      </c>
      <c r="AA40" s="1991">
        <f t="shared" si="61"/>
        <v>334.55866569</v>
      </c>
      <c r="AB40" s="1991">
        <f t="shared" si="62"/>
        <v>577.44371793000005</v>
      </c>
      <c r="AC40" s="1991">
        <f t="shared" si="63"/>
        <v>4270.4532367500005</v>
      </c>
      <c r="AD40" s="1991">
        <f t="shared" si="64"/>
        <v>0</v>
      </c>
      <c r="AE40" s="1991">
        <f t="shared" si="65"/>
        <v>0</v>
      </c>
      <c r="AF40" s="1991">
        <f t="shared" si="66"/>
        <v>0</v>
      </c>
      <c r="AG40" s="1991">
        <f t="shared" si="67"/>
        <v>4270.4532367500005</v>
      </c>
      <c r="AH40" s="2357"/>
      <c r="AI40" s="2357"/>
      <c r="AJ40" s="2357"/>
      <c r="AK40" s="2155"/>
      <c r="AN40" s="1990" t="s">
        <v>397</v>
      </c>
      <c r="AO40" s="1991">
        <f>'Feuil-saisie'!$E$144/1000</f>
        <v>2785.4572022899997</v>
      </c>
      <c r="AP40" s="1991">
        <f>'Feuil-saisie'!$E$152/1000</f>
        <v>1179.06078499</v>
      </c>
      <c r="AQ40" s="1991">
        <f>'Feuil-saisie'!$E$149/1000</f>
        <v>1.4635233799999998</v>
      </c>
      <c r="AR40" s="1991">
        <f t="shared" si="68"/>
        <v>299.26696631999999</v>
      </c>
      <c r="AS40" s="1991">
        <f t="shared" si="69"/>
        <v>4265.2484769800003</v>
      </c>
      <c r="AT40" s="1991">
        <f>'Feuil-saisie'!$E$151/1000</f>
        <v>520.5519347799999</v>
      </c>
      <c r="AU40" s="1991">
        <f>'Feuil-saisie'!$E$148/1000</f>
        <v>872.00245264</v>
      </c>
      <c r="AV40" s="1991">
        <f t="shared" si="48"/>
        <v>1392.5543874199998</v>
      </c>
      <c r="AW40" s="1991">
        <f t="shared" si="49"/>
        <v>5657.8028644000005</v>
      </c>
      <c r="AX40" s="1991">
        <f>'Feuil-saisie'!$E$159/1000</f>
        <v>0</v>
      </c>
      <c r="AY40" s="1991">
        <f>'Feuil-saisie'!$E$160/1000</f>
        <v>0</v>
      </c>
      <c r="AZ40" s="1991">
        <f t="shared" si="70"/>
        <v>0</v>
      </c>
      <c r="BA40" s="1991">
        <f t="shared" si="71"/>
        <v>5657.8028644000005</v>
      </c>
      <c r="BB40" s="1992">
        <f>'Feuil-saisie'!E153/1000</f>
        <v>0</v>
      </c>
      <c r="BC40" s="1992"/>
      <c r="BD40" s="1992"/>
      <c r="BE40" s="1992"/>
      <c r="BF40" s="1992"/>
      <c r="BG40" s="1991">
        <f t="shared" si="72"/>
        <v>2785.4572022899997</v>
      </c>
      <c r="BH40" s="1991">
        <f t="shared" si="73"/>
        <v>1179.06078499</v>
      </c>
      <c r="BI40" s="1991">
        <f t="shared" si="74"/>
        <v>1.4635233799999998</v>
      </c>
      <c r="BJ40" s="1991">
        <f t="shared" si="75"/>
        <v>299.26696631999999</v>
      </c>
      <c r="BK40" s="1991">
        <f t="shared" si="76"/>
        <v>4265.2484769800003</v>
      </c>
      <c r="BL40" s="1991">
        <f t="shared" si="77"/>
        <v>520.5519347799999</v>
      </c>
      <c r="BM40" s="1991">
        <f t="shared" si="78"/>
        <v>872.00245264</v>
      </c>
      <c r="BN40" s="1991">
        <f t="shared" si="79"/>
        <v>1392.5543874199998</v>
      </c>
      <c r="BO40" s="1991">
        <f t="shared" si="80"/>
        <v>5657.8028644000005</v>
      </c>
      <c r="BP40" s="1991">
        <f t="shared" si="81"/>
        <v>0</v>
      </c>
      <c r="BQ40" s="1991">
        <f t="shared" si="82"/>
        <v>0</v>
      </c>
      <c r="BR40" s="1991">
        <f t="shared" si="83"/>
        <v>0</v>
      </c>
      <c r="BS40" s="1991">
        <f t="shared" si="84"/>
        <v>5657.8028644000005</v>
      </c>
      <c r="BT40" s="1449" t="s">
        <v>397</v>
      </c>
      <c r="BU40" s="2089">
        <f>'Feuil-saisie'!$E$162/1000</f>
        <v>274.17054005</v>
      </c>
      <c r="BV40" s="2090">
        <f>'Feuil-saisie'!$E$163/1000</f>
        <v>25.096426269999998</v>
      </c>
      <c r="BX40" s="1784"/>
    </row>
    <row r="41" spans="2:76" ht="15.6">
      <c r="B41" s="1990" t="s">
        <v>399</v>
      </c>
      <c r="C41" s="1999">
        <v>4092.9682452400002</v>
      </c>
      <c r="D41" s="1999">
        <v>1796.0564409999999</v>
      </c>
      <c r="E41" s="1999">
        <v>69.903281039999996</v>
      </c>
      <c r="F41" s="1999">
        <v>464.09726456167505</v>
      </c>
      <c r="G41" s="1999">
        <f t="shared" si="50"/>
        <v>6423.0252318416751</v>
      </c>
      <c r="H41" s="1999">
        <v>191.79643079000002</v>
      </c>
      <c r="I41" s="1999">
        <v>399.80282247000002</v>
      </c>
      <c r="J41" s="1999">
        <f t="shared" si="51"/>
        <v>591.59925326000007</v>
      </c>
      <c r="K41" s="1999">
        <f t="shared" si="52"/>
        <v>7014.6244851016754</v>
      </c>
      <c r="L41" s="1999">
        <v>67.681406660000007</v>
      </c>
      <c r="M41" s="1999">
        <v>37.033948040000006</v>
      </c>
      <c r="N41" s="1999">
        <f t="shared" si="53"/>
        <v>104.71535470000001</v>
      </c>
      <c r="O41" s="1991">
        <f t="shared" si="54"/>
        <v>7119.3398398016752</v>
      </c>
      <c r="P41" s="1999">
        <v>181.77360999999996</v>
      </c>
      <c r="Q41" s="1999">
        <v>26.666574730000004</v>
      </c>
      <c r="R41" s="1992"/>
      <c r="S41" s="1992"/>
      <c r="T41" s="1992"/>
      <c r="U41" s="1991">
        <f t="shared" si="55"/>
        <v>4092.9682452400002</v>
      </c>
      <c r="V41" s="1991">
        <f>D41-P41</f>
        <v>1614.282831</v>
      </c>
      <c r="W41" s="1991">
        <f t="shared" si="57"/>
        <v>69.903281039999996</v>
      </c>
      <c r="X41" s="1991">
        <f t="shared" si="58"/>
        <v>437.43068983167507</v>
      </c>
      <c r="Y41" s="1991">
        <f t="shared" si="59"/>
        <v>6214.5850471116755</v>
      </c>
      <c r="Z41" s="1991">
        <f t="shared" si="60"/>
        <v>191.79643079000002</v>
      </c>
      <c r="AA41" s="1991">
        <f t="shared" si="61"/>
        <v>399.80282247000002</v>
      </c>
      <c r="AB41" s="1991">
        <f t="shared" si="62"/>
        <v>591.59925326000007</v>
      </c>
      <c r="AC41" s="1991">
        <f t="shared" si="63"/>
        <v>6806.1843003716758</v>
      </c>
      <c r="AD41" s="1991">
        <f t="shared" si="64"/>
        <v>67.681406660000007</v>
      </c>
      <c r="AE41" s="1991">
        <f t="shared" si="65"/>
        <v>37.033948040000006</v>
      </c>
      <c r="AF41" s="1991">
        <f t="shared" si="66"/>
        <v>104.71535470000001</v>
      </c>
      <c r="AG41" s="1991">
        <f t="shared" si="67"/>
        <v>6910.8996550716756</v>
      </c>
      <c r="AH41" s="2357"/>
      <c r="AI41" s="2357"/>
      <c r="AJ41" s="2357"/>
      <c r="AK41" s="2357"/>
      <c r="AN41" s="1990" t="s">
        <v>399</v>
      </c>
      <c r="AO41" s="1991">
        <f>'Feuil-saisie'!$E$167/1000</f>
        <v>4219.0720770000007</v>
      </c>
      <c r="AP41" s="1991">
        <f>'Feuil-saisie'!$E$175/1000</f>
        <v>2115.8122200599996</v>
      </c>
      <c r="AQ41" s="1991">
        <f>'Feuil-saisie'!$E$172/1000</f>
        <v>85.617947150000006</v>
      </c>
      <c r="AR41" s="1991">
        <f t="shared" si="68"/>
        <v>763.28033364999999</v>
      </c>
      <c r="AS41" s="1991">
        <f t="shared" si="69"/>
        <v>7183.7825778599999</v>
      </c>
      <c r="AT41" s="1991">
        <f>'Feuil-saisie'!$E$174/1000</f>
        <v>223.23055876999999</v>
      </c>
      <c r="AU41" s="1991">
        <f>'Feuil-saisie'!$E$171/1000</f>
        <v>422.25050785000002</v>
      </c>
      <c r="AV41" s="1991">
        <f t="shared" si="48"/>
        <v>645.48106661999998</v>
      </c>
      <c r="AW41" s="1991">
        <f t="shared" si="49"/>
        <v>7829.26364448</v>
      </c>
      <c r="AX41" s="1991">
        <f>'Feuil-saisie'!$E$182/1000</f>
        <v>67.681406660000007</v>
      </c>
      <c r="AY41" s="1991">
        <f>'Feuil-saisie'!$E$183/1000</f>
        <v>12.66327175</v>
      </c>
      <c r="AZ41" s="1991">
        <f t="shared" si="70"/>
        <v>80.34467841</v>
      </c>
      <c r="BA41" s="1991">
        <f t="shared" si="71"/>
        <v>7909.6083228899997</v>
      </c>
      <c r="BB41" s="1992">
        <f>'Feuil-saisie'!E176/1000</f>
        <v>29.113162989999999</v>
      </c>
      <c r="BC41" s="1992">
        <f>'Feuil-saisie'!E178/1000</f>
        <v>2.2316863699999998</v>
      </c>
      <c r="BD41" s="1992"/>
      <c r="BE41" s="1992"/>
      <c r="BF41" s="1992"/>
      <c r="BG41" s="1991">
        <f t="shared" si="72"/>
        <v>4219.0720770000007</v>
      </c>
      <c r="BH41" s="1991">
        <f t="shared" si="73"/>
        <v>2086.6990570699995</v>
      </c>
      <c r="BI41" s="1991">
        <f t="shared" si="74"/>
        <v>85.617947150000006</v>
      </c>
      <c r="BJ41" s="1991">
        <f t="shared" si="75"/>
        <v>761.04864727999995</v>
      </c>
      <c r="BK41" s="1991">
        <f t="shared" si="76"/>
        <v>7152.437728500001</v>
      </c>
      <c r="BL41" s="1991">
        <f t="shared" si="77"/>
        <v>223.23055876999999</v>
      </c>
      <c r="BM41" s="1991">
        <f t="shared" si="78"/>
        <v>422.25050785000002</v>
      </c>
      <c r="BN41" s="1991">
        <f t="shared" si="79"/>
        <v>645.48106661999998</v>
      </c>
      <c r="BO41" s="1991">
        <f t="shared" si="80"/>
        <v>7797.9187951200011</v>
      </c>
      <c r="BP41" s="1991">
        <f t="shared" si="81"/>
        <v>67.681406660000007</v>
      </c>
      <c r="BQ41" s="1991">
        <f t="shared" si="82"/>
        <v>12.66327175</v>
      </c>
      <c r="BR41" s="1991">
        <f t="shared" si="83"/>
        <v>80.34467841</v>
      </c>
      <c r="BS41" s="1991">
        <f t="shared" si="84"/>
        <v>7878.2634735300007</v>
      </c>
      <c r="BT41" s="1449" t="s">
        <v>399</v>
      </c>
      <c r="BU41" s="2089">
        <f>'Feuil-saisie'!$E$185/1000</f>
        <v>585.19391127999995</v>
      </c>
      <c r="BV41" s="2090">
        <f>'Feuil-saisie'!$E$186/1000</f>
        <v>178.08642237000001</v>
      </c>
      <c r="BX41" s="1784"/>
    </row>
    <row r="42" spans="2:76" ht="15.6">
      <c r="B42" s="1990" t="s">
        <v>883</v>
      </c>
      <c r="C42" s="1999">
        <v>2908.4123398799993</v>
      </c>
      <c r="D42" s="1999">
        <v>620.46465333000003</v>
      </c>
      <c r="E42" s="1999">
        <v>2.0911638300000002</v>
      </c>
      <c r="F42" s="1999">
        <v>65.841603410792757</v>
      </c>
      <c r="G42" s="1999">
        <f t="shared" si="50"/>
        <v>3596.8097604507921</v>
      </c>
      <c r="H42" s="1999">
        <v>471.86924356999998</v>
      </c>
      <c r="I42" s="1999">
        <v>434.25367047999998</v>
      </c>
      <c r="J42" s="1999">
        <f t="shared" si="51"/>
        <v>906.12291404999996</v>
      </c>
      <c r="K42" s="1999">
        <f t="shared" si="52"/>
        <v>4502.932674500792</v>
      </c>
      <c r="L42" s="1999">
        <v>237.33829247</v>
      </c>
      <c r="M42" s="1999">
        <v>53.73</v>
      </c>
      <c r="N42" s="1999">
        <f t="shared" si="53"/>
        <v>291.06829247000002</v>
      </c>
      <c r="O42" s="1991">
        <f t="shared" si="54"/>
        <v>4794.0009669707924</v>
      </c>
      <c r="P42" s="1999">
        <v>1.9243994099999782</v>
      </c>
      <c r="Q42" s="1992"/>
      <c r="R42" s="1999">
        <v>212.86323566000002</v>
      </c>
      <c r="S42" s="1992"/>
      <c r="T42" s="1992"/>
      <c r="U42" s="1991">
        <f t="shared" si="55"/>
        <v>2908.4123398799993</v>
      </c>
      <c r="V42" s="1991">
        <f t="shared" si="56"/>
        <v>618.54025392000005</v>
      </c>
      <c r="W42" s="1991">
        <f t="shared" si="57"/>
        <v>2.0911638300000002</v>
      </c>
      <c r="X42" s="1991">
        <f t="shared" si="58"/>
        <v>65.841603410792757</v>
      </c>
      <c r="Y42" s="1991">
        <f t="shared" si="59"/>
        <v>3594.8853610407918</v>
      </c>
      <c r="Z42" s="1991">
        <f t="shared" si="60"/>
        <v>259.00600790999999</v>
      </c>
      <c r="AA42" s="1991">
        <f t="shared" si="61"/>
        <v>434.25367047999998</v>
      </c>
      <c r="AB42" s="1991">
        <f t="shared" si="62"/>
        <v>693.25967838999998</v>
      </c>
      <c r="AC42" s="1991">
        <f t="shared" si="63"/>
        <v>4288.1450394307922</v>
      </c>
      <c r="AD42" s="1991">
        <f t="shared" si="64"/>
        <v>237.33829247</v>
      </c>
      <c r="AE42" s="1991">
        <f t="shared" si="65"/>
        <v>53.73</v>
      </c>
      <c r="AF42" s="1991">
        <f t="shared" si="66"/>
        <v>291.06829247000002</v>
      </c>
      <c r="AG42" s="1991">
        <f t="shared" si="67"/>
        <v>4579.2133319007926</v>
      </c>
      <c r="AH42" s="2357"/>
      <c r="AI42" s="2357"/>
      <c r="AJ42" s="2357"/>
      <c r="AK42" s="2357"/>
      <c r="AN42" s="1990" t="s">
        <v>883</v>
      </c>
      <c r="AO42" s="1991">
        <f>'Feuil-saisie'!$E$190/1000</f>
        <v>3107.79994541</v>
      </c>
      <c r="AP42" s="1991">
        <f>'Feuil-saisie'!$E$198/1000</f>
        <v>683.30964702000006</v>
      </c>
      <c r="AQ42" s="1991">
        <f>'Feuil-saisie'!$E$195/1000</f>
        <v>2.2553232899999998</v>
      </c>
      <c r="AR42" s="1991">
        <f t="shared" si="68"/>
        <v>71.503187589999996</v>
      </c>
      <c r="AS42" s="1991">
        <f t="shared" si="69"/>
        <v>3864.8681033099997</v>
      </c>
      <c r="AT42" s="1991">
        <f>'Feuil-saisie'!$E$197/1000</f>
        <v>492.4209770600001</v>
      </c>
      <c r="AU42" s="1991">
        <f>'Feuil-saisie'!$E$194/1000</f>
        <v>467.07067776000002</v>
      </c>
      <c r="AV42" s="1991">
        <f t="shared" si="48"/>
        <v>959.49165482000012</v>
      </c>
      <c r="AW42" s="1991">
        <f t="shared" si="49"/>
        <v>4824.35975813</v>
      </c>
      <c r="AX42" s="1991">
        <f>'Feuil-saisie'!$E$205/1000</f>
        <v>741.52200000000005</v>
      </c>
      <c r="AY42" s="1991">
        <f>'Feuil-saisie'!$E$206/1000</f>
        <v>42.546999999999997</v>
      </c>
      <c r="AZ42" s="1991">
        <f t="shared" si="70"/>
        <v>784.06900000000007</v>
      </c>
      <c r="BA42" s="1991">
        <f t="shared" si="71"/>
        <v>5608.4287581300005</v>
      </c>
      <c r="BB42" s="1992">
        <f>'Feuil-saisie'!E199/1000</f>
        <v>4.4780485799999994</v>
      </c>
      <c r="BC42" s="1992"/>
      <c r="BD42" s="1992">
        <f>'Feuil-saisie'!E200/1000</f>
        <v>212.40830268000002</v>
      </c>
      <c r="BE42" s="1992"/>
      <c r="BF42" s="1992"/>
      <c r="BG42" s="1991">
        <f t="shared" si="72"/>
        <v>3107.79994541</v>
      </c>
      <c r="BH42" s="1991">
        <f t="shared" si="73"/>
        <v>678.83159844000011</v>
      </c>
      <c r="BI42" s="1991">
        <f t="shared" si="74"/>
        <v>2.2553232899999998</v>
      </c>
      <c r="BJ42" s="1991">
        <f t="shared" si="75"/>
        <v>71.503187589999996</v>
      </c>
      <c r="BK42" s="1991">
        <f t="shared" si="76"/>
        <v>3860.39005473</v>
      </c>
      <c r="BL42" s="1991">
        <f t="shared" si="77"/>
        <v>280.01267438000008</v>
      </c>
      <c r="BM42" s="1991">
        <f t="shared" si="78"/>
        <v>467.07067776000002</v>
      </c>
      <c r="BN42" s="1991">
        <f t="shared" si="79"/>
        <v>747.0833521400001</v>
      </c>
      <c r="BO42" s="1991">
        <f t="shared" si="80"/>
        <v>4607.47340687</v>
      </c>
      <c r="BP42" s="1991">
        <f t="shared" si="81"/>
        <v>741.52200000000005</v>
      </c>
      <c r="BQ42" s="1991">
        <f t="shared" si="82"/>
        <v>42.546999999999997</v>
      </c>
      <c r="BR42" s="1991">
        <f t="shared" si="83"/>
        <v>784.06900000000007</v>
      </c>
      <c r="BS42" s="1991">
        <f t="shared" si="84"/>
        <v>5391.5424068700004</v>
      </c>
      <c r="BT42" s="1449" t="s">
        <v>883</v>
      </c>
      <c r="BU42" s="2089">
        <f>'Feuil-saisie'!$E$208/1000</f>
        <v>12.950991089999999</v>
      </c>
      <c r="BV42" s="2090">
        <f>'Feuil-saisie'!$E$209/1000</f>
        <v>58.552196500000001</v>
      </c>
      <c r="BX42" s="1784"/>
    </row>
    <row r="43" spans="2:76" ht="15.6">
      <c r="B43" s="1990" t="s">
        <v>884</v>
      </c>
      <c r="C43" s="1999">
        <v>3565.0817507400011</v>
      </c>
      <c r="D43" s="1999">
        <v>562.49202109999999</v>
      </c>
      <c r="E43" s="1999">
        <v>84.587713359999995</v>
      </c>
      <c r="F43" s="1999">
        <v>1627.0393951200001</v>
      </c>
      <c r="G43" s="1999">
        <f t="shared" si="50"/>
        <v>5839.2008803200015</v>
      </c>
      <c r="H43" s="1999">
        <v>516.40260486</v>
      </c>
      <c r="I43" s="1999">
        <v>406.24488004</v>
      </c>
      <c r="J43" s="1999">
        <f t="shared" si="51"/>
        <v>922.64748489999999</v>
      </c>
      <c r="K43" s="1999">
        <f>J43+G43</f>
        <v>6761.8483652200011</v>
      </c>
      <c r="L43" s="1999">
        <v>191.97531171</v>
      </c>
      <c r="M43" s="1999">
        <v>67.967816819999996</v>
      </c>
      <c r="N43" s="1999">
        <f t="shared" si="53"/>
        <v>259.94312852999997</v>
      </c>
      <c r="O43" s="1991">
        <f t="shared" si="54"/>
        <v>7021.7914937500009</v>
      </c>
      <c r="P43" s="1999">
        <v>6.9225234100000534</v>
      </c>
      <c r="Q43" s="1992"/>
      <c r="R43" s="1999">
        <v>211.86875581000001</v>
      </c>
      <c r="S43" s="1992"/>
      <c r="T43" s="1992"/>
      <c r="U43" s="1991">
        <f t="shared" si="55"/>
        <v>3565.0817507400011</v>
      </c>
      <c r="V43" s="1991">
        <f t="shared" si="56"/>
        <v>555.56949768999993</v>
      </c>
      <c r="W43" s="1991">
        <f t="shared" si="57"/>
        <v>84.587713359999995</v>
      </c>
      <c r="X43" s="1991">
        <f t="shared" si="58"/>
        <v>1627.0393951200001</v>
      </c>
      <c r="Y43" s="1991">
        <f t="shared" si="59"/>
        <v>5832.2783569100011</v>
      </c>
      <c r="Z43" s="1991">
        <f t="shared" si="60"/>
        <v>304.53384904999996</v>
      </c>
      <c r="AA43" s="1991">
        <f t="shared" si="61"/>
        <v>406.24488004</v>
      </c>
      <c r="AB43" s="1991">
        <f t="shared" si="62"/>
        <v>710.77872908999996</v>
      </c>
      <c r="AC43" s="1991">
        <f t="shared" si="63"/>
        <v>6543.0570860000007</v>
      </c>
      <c r="AD43" s="1991">
        <f t="shared" si="64"/>
        <v>191.97531171</v>
      </c>
      <c r="AE43" s="1991">
        <f t="shared" si="65"/>
        <v>67.967816819999996</v>
      </c>
      <c r="AF43" s="1991">
        <f t="shared" si="66"/>
        <v>259.94312852999997</v>
      </c>
      <c r="AG43" s="1991">
        <f t="shared" si="67"/>
        <v>6803.0002145300004</v>
      </c>
      <c r="AH43" s="2357"/>
      <c r="AI43" s="2357"/>
      <c r="AJ43" s="2357"/>
      <c r="AK43" s="2357"/>
      <c r="AN43" s="1990" t="s">
        <v>884</v>
      </c>
      <c r="AO43" s="1991">
        <f>'Feuil-saisie'!$E$213/1000</f>
        <v>3832.6694538400016</v>
      </c>
      <c r="AP43" s="1991">
        <f>'Feuil-saisie'!$E$221/1000</f>
        <v>582.77813362999996</v>
      </c>
      <c r="AQ43" s="1991">
        <f>'Feuil-saisie'!$E$218/1000</f>
        <v>93.597648419999899</v>
      </c>
      <c r="AR43" s="1991">
        <f t="shared" si="68"/>
        <v>1539.9760258400001</v>
      </c>
      <c r="AS43" s="1991">
        <f t="shared" si="69"/>
        <v>6049.0212617300022</v>
      </c>
      <c r="AT43" s="1991">
        <f>'Feuil-saisie'!$E$220/1000</f>
        <v>519.67400056999895</v>
      </c>
      <c r="AU43" s="1991">
        <f>'Feuil-saisie'!$E$217/1000</f>
        <v>457.05520014999905</v>
      </c>
      <c r="AV43" s="1991">
        <f t="shared" si="48"/>
        <v>976.72920071999806</v>
      </c>
      <c r="AW43" s="1991">
        <f t="shared" si="49"/>
        <v>7025.7504624499998</v>
      </c>
      <c r="AX43" s="1991">
        <f>'Feuil-saisie'!$E$230/1000</f>
        <v>378.01768857000047</v>
      </c>
      <c r="AY43" s="1991">
        <f>'Feuil-saisie'!$E$231/1000</f>
        <v>79.090167390000005</v>
      </c>
      <c r="AZ43" s="1991">
        <f t="shared" si="70"/>
        <v>457.10785596000051</v>
      </c>
      <c r="BA43" s="1991">
        <f t="shared" si="71"/>
        <v>7482.8583184100007</v>
      </c>
      <c r="BB43" s="1992">
        <f>'Feuil-saisie'!E222/1000</f>
        <v>5.5548304699999997</v>
      </c>
      <c r="BC43" s="1992"/>
      <c r="BD43" s="1992">
        <f>'Feuil-saisie'!E225/1000</f>
        <v>185.84533084</v>
      </c>
      <c r="BE43" s="1992">
        <f>'Feuil-saisie'!E223/1000</f>
        <v>0.35892521999999999</v>
      </c>
      <c r="BF43" s="1992">
        <f>'Feuil-saisie'!E224/1000</f>
        <v>1.8441448600000001</v>
      </c>
      <c r="BG43" s="1991">
        <f t="shared" si="72"/>
        <v>3832.6694538400016</v>
      </c>
      <c r="BH43" s="1991">
        <f t="shared" si="73"/>
        <v>577.22330316</v>
      </c>
      <c r="BI43" s="1991">
        <f t="shared" si="74"/>
        <v>93.238723199999896</v>
      </c>
      <c r="BJ43" s="1991">
        <f t="shared" si="75"/>
        <v>1539.9760258400001</v>
      </c>
      <c r="BK43" s="1991">
        <f t="shared" si="76"/>
        <v>6043.1075060400017</v>
      </c>
      <c r="BL43" s="1991">
        <f t="shared" si="77"/>
        <v>333.82866972999898</v>
      </c>
      <c r="BM43" s="1991">
        <f t="shared" si="78"/>
        <v>455.21105528999908</v>
      </c>
      <c r="BN43" s="1991">
        <f t="shared" si="79"/>
        <v>789.03972501999806</v>
      </c>
      <c r="BO43" s="1991">
        <f t="shared" si="80"/>
        <v>6832.1472310600002</v>
      </c>
      <c r="BP43" s="1991">
        <f t="shared" si="81"/>
        <v>378.01768857000047</v>
      </c>
      <c r="BQ43" s="1991">
        <f t="shared" si="82"/>
        <v>79.090167390000005</v>
      </c>
      <c r="BR43" s="1991">
        <f t="shared" si="83"/>
        <v>457.10785596000051</v>
      </c>
      <c r="BS43" s="1991">
        <f t="shared" si="84"/>
        <v>7289.2550870200012</v>
      </c>
      <c r="BT43" s="1449" t="s">
        <v>884</v>
      </c>
      <c r="BU43" s="2089">
        <f>'Feuil-saisie'!$E$233/1000</f>
        <v>1032.3700760300001</v>
      </c>
      <c r="BV43" s="2090">
        <f>'Feuil-saisie'!$E$234/1000</f>
        <v>507.60594981000003</v>
      </c>
      <c r="BX43" s="1784"/>
    </row>
    <row r="44" spans="2:76" ht="15.6">
      <c r="B44" s="1990" t="s">
        <v>885</v>
      </c>
      <c r="C44" s="1999">
        <v>982.56459388999997</v>
      </c>
      <c r="D44" s="1999">
        <v>81.077125219999999</v>
      </c>
      <c r="E44" s="1999">
        <v>23.828464570000001</v>
      </c>
      <c r="F44" s="1999">
        <v>7.9134315200000005</v>
      </c>
      <c r="G44" s="1999">
        <f t="shared" si="50"/>
        <v>1095.3836151999999</v>
      </c>
      <c r="H44" s="1999">
        <v>165.67402472000009</v>
      </c>
      <c r="I44" s="1999">
        <v>173.08912647999981</v>
      </c>
      <c r="J44" s="1999">
        <f t="shared" si="51"/>
        <v>338.76315119999992</v>
      </c>
      <c r="K44" s="1999">
        <f t="shared" si="52"/>
        <v>1434.1467663999997</v>
      </c>
      <c r="L44" s="1999">
        <v>101.4054029700001</v>
      </c>
      <c r="M44" s="1999">
        <v>10.496432370000001</v>
      </c>
      <c r="N44" s="1999">
        <f t="shared" si="53"/>
        <v>111.9018353400001</v>
      </c>
      <c r="O44" s="1991">
        <f t="shared" si="54"/>
        <v>1546.0486017399999</v>
      </c>
      <c r="P44" s="1999">
        <v>0</v>
      </c>
      <c r="Q44" s="1992"/>
      <c r="R44" s="1999">
        <v>96.989744699999989</v>
      </c>
      <c r="S44" s="1992"/>
      <c r="T44" s="1992"/>
      <c r="U44" s="1991">
        <f t="shared" si="55"/>
        <v>982.56459388999997</v>
      </c>
      <c r="V44" s="1991">
        <f t="shared" si="56"/>
        <v>81.077125219999999</v>
      </c>
      <c r="W44" s="1991">
        <f t="shared" si="57"/>
        <v>23.828464570000001</v>
      </c>
      <c r="X44" s="1991">
        <f t="shared" si="58"/>
        <v>7.9134315200000005</v>
      </c>
      <c r="Y44" s="1991">
        <f t="shared" si="59"/>
        <v>1095.3836151999999</v>
      </c>
      <c r="Z44" s="1991">
        <f t="shared" si="60"/>
        <v>68.684280020000102</v>
      </c>
      <c r="AA44" s="1991">
        <f t="shared" si="61"/>
        <v>173.08912647999981</v>
      </c>
      <c r="AB44" s="1991">
        <f t="shared" si="62"/>
        <v>241.77340649999991</v>
      </c>
      <c r="AC44" s="1991">
        <f t="shared" si="63"/>
        <v>1337.1570216999999</v>
      </c>
      <c r="AD44" s="1991">
        <f t="shared" si="64"/>
        <v>101.4054029700001</v>
      </c>
      <c r="AE44" s="1991">
        <f t="shared" si="65"/>
        <v>10.496432370000001</v>
      </c>
      <c r="AF44" s="1991">
        <f t="shared" si="66"/>
        <v>111.9018353400001</v>
      </c>
      <c r="AG44" s="1991">
        <f t="shared" si="67"/>
        <v>1449.05885704</v>
      </c>
      <c r="AH44" s="2357"/>
      <c r="AI44" s="2357"/>
      <c r="AJ44" s="2357"/>
      <c r="AK44" s="2357"/>
      <c r="AN44" s="1990" t="s">
        <v>885</v>
      </c>
      <c r="AO44" s="1991">
        <f>'Feuil-saisie'!$E$238/1000</f>
        <v>1045.4651060800002</v>
      </c>
      <c r="AP44" s="1991">
        <f>'Feuil-saisie'!$E$246/1000</f>
        <v>78.132987240000006</v>
      </c>
      <c r="AQ44" s="1991">
        <f>'Feuil-saisie'!$E$243/1000</f>
        <v>27.527057769999999</v>
      </c>
      <c r="AR44" s="1991">
        <f t="shared" si="68"/>
        <v>8.2539866899999996</v>
      </c>
      <c r="AS44" s="1991">
        <f t="shared" si="69"/>
        <v>1159.3791377800001</v>
      </c>
      <c r="AT44" s="1991">
        <f>'Feuil-saisie'!$E$245/1000</f>
        <v>159.13555543000012</v>
      </c>
      <c r="AU44" s="1991">
        <f>'Feuil-saisie'!$E$242/1000</f>
        <v>202.63729847000002</v>
      </c>
      <c r="AV44" s="1991">
        <f t="shared" si="48"/>
        <v>361.77285390000014</v>
      </c>
      <c r="AW44" s="1991">
        <f t="shared" si="49"/>
        <v>1521.1519916800003</v>
      </c>
      <c r="AX44" s="1991">
        <f>'Feuil-saisie'!$E$253/1000</f>
        <v>403.28948369</v>
      </c>
      <c r="AY44" s="1991">
        <f>'Feuil-saisie'!$E$254/1000</f>
        <v>13.828555770000001</v>
      </c>
      <c r="AZ44" s="1991">
        <f t="shared" si="70"/>
        <v>417.11803945999998</v>
      </c>
      <c r="BA44" s="1991">
        <f t="shared" si="71"/>
        <v>1938.2700311400004</v>
      </c>
      <c r="BB44" s="1992">
        <f>'Feuil-saisie'!E247/1000</f>
        <v>0</v>
      </c>
      <c r="BC44" s="1992"/>
      <c r="BD44" s="1992">
        <f>'Feuil-saisie'!E248/1000</f>
        <v>57.011105100000002</v>
      </c>
      <c r="BE44" s="1992"/>
      <c r="BF44" s="1992"/>
      <c r="BG44" s="1991">
        <f t="shared" si="72"/>
        <v>1045.4651060800002</v>
      </c>
      <c r="BH44" s="1991">
        <f t="shared" si="73"/>
        <v>78.132987240000006</v>
      </c>
      <c r="BI44" s="1991">
        <f t="shared" si="74"/>
        <v>27.527057769999999</v>
      </c>
      <c r="BJ44" s="1991">
        <f t="shared" si="75"/>
        <v>8.2539866899999996</v>
      </c>
      <c r="BK44" s="1991">
        <f t="shared" si="76"/>
        <v>1159.3791377800001</v>
      </c>
      <c r="BL44" s="1991">
        <f t="shared" si="77"/>
        <v>102.12445033000012</v>
      </c>
      <c r="BM44" s="1991">
        <f t="shared" si="78"/>
        <v>202.63729847000002</v>
      </c>
      <c r="BN44" s="1991">
        <f t="shared" si="79"/>
        <v>304.76174880000013</v>
      </c>
      <c r="BO44" s="1991">
        <f t="shared" si="80"/>
        <v>1464.1408865800001</v>
      </c>
      <c r="BP44" s="1991">
        <f t="shared" si="81"/>
        <v>403.28948369</v>
      </c>
      <c r="BQ44" s="1991">
        <f t="shared" si="82"/>
        <v>13.828555770000001</v>
      </c>
      <c r="BR44" s="1991">
        <f t="shared" si="83"/>
        <v>417.11803945999998</v>
      </c>
      <c r="BS44" s="1991">
        <f t="shared" si="84"/>
        <v>1881.25892604</v>
      </c>
      <c r="BT44" s="1449" t="s">
        <v>885</v>
      </c>
      <c r="BU44" s="2089">
        <f>'Feuil-saisie'!$E$256/1000</f>
        <v>0</v>
      </c>
      <c r="BV44" s="2090">
        <f>'Feuil-saisie'!$E$257/1000</f>
        <v>8.2539866899999996</v>
      </c>
      <c r="BX44" s="1784"/>
    </row>
    <row r="45" spans="2:76" ht="15.6">
      <c r="B45" s="1993" t="s">
        <v>933</v>
      </c>
      <c r="C45" s="1994">
        <f>SUM(C35:C44)</f>
        <v>36501.540041449996</v>
      </c>
      <c r="D45" s="1994">
        <f t="shared" ref="D45:J45" si="85">SUM(D35:D44)</f>
        <v>8296.4912068899994</v>
      </c>
      <c r="E45" s="1994">
        <f t="shared" si="85"/>
        <v>492.04257129999996</v>
      </c>
      <c r="F45" s="1994">
        <f t="shared" si="85"/>
        <v>3967.1631378699894</v>
      </c>
      <c r="G45" s="1994">
        <f t="shared" si="85"/>
        <v>49257.236957509987</v>
      </c>
      <c r="H45" s="1994">
        <f t="shared" si="85"/>
        <v>3130.1905362699995</v>
      </c>
      <c r="I45" s="1994">
        <f t="shared" si="85"/>
        <v>3826.8633882099998</v>
      </c>
      <c r="J45" s="1994">
        <f t="shared" si="85"/>
        <v>6957.0539244800002</v>
      </c>
      <c r="K45" s="1994">
        <f t="shared" ref="K45:T45" si="86">SUM(K35:K44)</f>
        <v>56214.290881989989</v>
      </c>
      <c r="L45" s="1994">
        <f t="shared" si="86"/>
        <v>2124.0388882699995</v>
      </c>
      <c r="M45" s="1994">
        <f t="shared" si="86"/>
        <v>197.56898243999998</v>
      </c>
      <c r="N45" s="1994">
        <f t="shared" si="86"/>
        <v>2321.6078707099996</v>
      </c>
      <c r="O45" s="1994">
        <f t="shared" si="86"/>
        <v>58535.898752699984</v>
      </c>
      <c r="P45" s="1995">
        <f t="shared" si="86"/>
        <v>1458.77175992</v>
      </c>
      <c r="Q45" s="1995">
        <f t="shared" si="86"/>
        <v>50.586807450000009</v>
      </c>
      <c r="R45" s="1995">
        <f t="shared" si="86"/>
        <v>521.72173616999999</v>
      </c>
      <c r="S45" s="1995">
        <f t="shared" si="86"/>
        <v>0</v>
      </c>
      <c r="T45" s="1995">
        <f t="shared" si="86"/>
        <v>0</v>
      </c>
      <c r="U45" s="1994">
        <f>SUM(U35:U44)</f>
        <v>36501.540041449996</v>
      </c>
      <c r="V45" s="1994">
        <f>SUM(V35:V44)</f>
        <v>6837.7194469700016</v>
      </c>
      <c r="W45" s="1994">
        <f>SUM(W35:W44)</f>
        <v>492.04257129999996</v>
      </c>
      <c r="X45" s="1994">
        <f>SUM(X35:X44)</f>
        <v>3916.5763304199891</v>
      </c>
      <c r="Y45" s="1994">
        <f t="shared" ref="Y45:AE45" si="87">SUM(Y35:Y44)</f>
        <v>47747.87839013998</v>
      </c>
      <c r="Z45" s="1994">
        <f t="shared" si="87"/>
        <v>2608.4688001</v>
      </c>
      <c r="AA45" s="1994">
        <f t="shared" si="87"/>
        <v>3826.8633882099998</v>
      </c>
      <c r="AB45" s="1994">
        <f t="shared" si="87"/>
        <v>6435.3321883099998</v>
      </c>
      <c r="AC45" s="1994">
        <f t="shared" si="87"/>
        <v>54183.210578449987</v>
      </c>
      <c r="AD45" s="1994">
        <f t="shared" si="87"/>
        <v>2124.0388882699995</v>
      </c>
      <c r="AE45" s="1994">
        <f t="shared" si="87"/>
        <v>197.56898243999998</v>
      </c>
      <c r="AF45" s="1994">
        <f>SUM(AF35:AF44)</f>
        <v>2321.6078707099996</v>
      </c>
      <c r="AG45" s="1994">
        <f>SUM(AG35:AG44)</f>
        <v>56504.81844915999</v>
      </c>
      <c r="AH45" s="2358"/>
      <c r="AI45" s="2358"/>
      <c r="AJ45" s="2358"/>
      <c r="AK45" s="2358"/>
      <c r="AN45" s="1993" t="s">
        <v>933</v>
      </c>
      <c r="AO45" s="1994">
        <f>SUM(AO35:AO44)</f>
        <v>31899.56163203</v>
      </c>
      <c r="AP45" s="1994">
        <f t="shared" ref="AP45:AV45" si="88">SUM(AP35:AP44)</f>
        <v>10474.177740559999</v>
      </c>
      <c r="AQ45" s="1994">
        <f t="shared" si="88"/>
        <v>558.0947423099999</v>
      </c>
      <c r="AR45" s="1994">
        <f>SUM(AR35:AR44)</f>
        <v>4177.4562601999996</v>
      </c>
      <c r="AS45" s="1994">
        <f t="shared" si="88"/>
        <v>47109.290375100005</v>
      </c>
      <c r="AT45" s="1994">
        <f t="shared" si="88"/>
        <v>3439.3160503999989</v>
      </c>
      <c r="AU45" s="1994">
        <f t="shared" si="88"/>
        <v>4687.2188002999992</v>
      </c>
      <c r="AV45" s="1994">
        <f t="shared" si="88"/>
        <v>8126.5348506999981</v>
      </c>
      <c r="AW45" s="1994">
        <f t="shared" ref="AW45:BF45" si="89">SUM(AW35:AW44)</f>
        <v>55235.825225799999</v>
      </c>
      <c r="AX45" s="1994">
        <f t="shared" si="89"/>
        <v>4509.3823848599986</v>
      </c>
      <c r="AY45" s="1994">
        <f t="shared" si="89"/>
        <v>167.24124587</v>
      </c>
      <c r="AZ45" s="1994">
        <f t="shared" si="89"/>
        <v>4676.6236307299987</v>
      </c>
      <c r="BA45" s="1994">
        <f t="shared" si="89"/>
        <v>59912.448856529998</v>
      </c>
      <c r="BB45" s="1995">
        <f t="shared" si="89"/>
        <v>1349.7270876700002</v>
      </c>
      <c r="BC45" s="1995">
        <f t="shared" si="89"/>
        <v>237.33568637000002</v>
      </c>
      <c r="BD45" s="1995">
        <f t="shared" si="89"/>
        <v>515.10498474000008</v>
      </c>
      <c r="BE45" s="1995">
        <f t="shared" si="89"/>
        <v>8.5961468799999992</v>
      </c>
      <c r="BF45" s="1995">
        <f t="shared" si="89"/>
        <v>4.5467399300000002</v>
      </c>
      <c r="BG45" s="1994">
        <f>SUM(BG35:BG44)</f>
        <v>31899.56163203</v>
      </c>
      <c r="BH45" s="1994">
        <f>SUM(BH35:BH44)</f>
        <v>9124.4506528900001</v>
      </c>
      <c r="BI45" s="1994">
        <f>SUM(BI35:BI44)</f>
        <v>549.4985954299998</v>
      </c>
      <c r="BJ45" s="1994">
        <f>SUM(BJ35:BJ44)</f>
        <v>3940.1205738300005</v>
      </c>
      <c r="BK45" s="1994">
        <f t="shared" ref="BK45:BQ45" si="90">SUM(BK35:BK44)</f>
        <v>45513.631454180002</v>
      </c>
      <c r="BL45" s="1994">
        <f t="shared" si="90"/>
        <v>2924.2110656599989</v>
      </c>
      <c r="BM45" s="1994">
        <f t="shared" si="90"/>
        <v>4682.6720603699996</v>
      </c>
      <c r="BN45" s="1994">
        <f t="shared" si="90"/>
        <v>7606.8831260299985</v>
      </c>
      <c r="BO45" s="1994">
        <f t="shared" si="90"/>
        <v>53120.514580209994</v>
      </c>
      <c r="BP45" s="1994">
        <f t="shared" si="90"/>
        <v>4509.3823848599986</v>
      </c>
      <c r="BQ45" s="1994">
        <f t="shared" si="90"/>
        <v>167.24124587</v>
      </c>
      <c r="BR45" s="1994">
        <f>SUM(BR35:BR44)</f>
        <v>4676.6236307299987</v>
      </c>
      <c r="BS45" s="1994">
        <f>SUM(BS35:BS44)</f>
        <v>57797.13821094</v>
      </c>
      <c r="BU45" s="2089">
        <f>SUM(BU35:BU44)</f>
        <v>2740.97638181</v>
      </c>
      <c r="BV45" s="2090">
        <f>SUM(BV35:BV44)</f>
        <v>1436.4798783900001</v>
      </c>
      <c r="BW45" s="1517">
        <f>(BA45-O45)/O45*100</f>
        <v>2.3516340111998701</v>
      </c>
      <c r="BX45" s="1784"/>
    </row>
    <row r="46" spans="2:76">
      <c r="P46" s="2000"/>
      <c r="T46" s="1517">
        <f>SUM(P45:T45)</f>
        <v>2031.0803035399999</v>
      </c>
      <c r="AR46" s="2000">
        <f>AO45+AP45+AQ45</f>
        <v>42931.834114899997</v>
      </c>
    </row>
    <row r="47" spans="2:76" ht="21">
      <c r="B47" s="1996">
        <f>B32</f>
        <v>2023</v>
      </c>
      <c r="C47" s="3294" t="s">
        <v>480</v>
      </c>
      <c r="D47" s="3294"/>
      <c r="E47" s="3294"/>
      <c r="F47" s="3294"/>
      <c r="G47" s="3294"/>
      <c r="H47" s="3294"/>
      <c r="I47" s="3294"/>
      <c r="J47" s="3294"/>
      <c r="K47" s="3294"/>
      <c r="L47" s="2094"/>
      <c r="M47" s="2094"/>
      <c r="N47" s="2094"/>
      <c r="O47" s="2094"/>
      <c r="U47" s="3294" t="s">
        <v>480</v>
      </c>
      <c r="V47" s="3294"/>
      <c r="W47" s="3294"/>
      <c r="X47" s="3294"/>
      <c r="Y47" s="3294"/>
      <c r="Z47" s="3294"/>
      <c r="AA47" s="3294"/>
      <c r="AB47" s="3294"/>
      <c r="AC47" s="3294"/>
      <c r="AD47" s="2094"/>
      <c r="AE47" s="2094"/>
      <c r="AF47" s="2094"/>
      <c r="AG47" s="2094"/>
      <c r="AH47" s="2094"/>
      <c r="AI47" s="2094"/>
      <c r="AJ47" s="2094"/>
      <c r="AK47" s="2094"/>
      <c r="AN47" s="1996">
        <f>AN32</f>
        <v>2024</v>
      </c>
      <c r="AO47" s="3294" t="s">
        <v>480</v>
      </c>
      <c r="AP47" s="3294"/>
      <c r="AQ47" s="3294"/>
      <c r="AR47" s="3294"/>
      <c r="AS47" s="3294"/>
      <c r="AT47" s="3294"/>
      <c r="AU47" s="3294"/>
      <c r="AV47" s="3294"/>
      <c r="AW47" s="3294"/>
      <c r="AX47" s="2094"/>
      <c r="AY47" s="2094"/>
      <c r="AZ47" s="2094"/>
      <c r="BA47" s="2094"/>
      <c r="BG47" s="3294" t="s">
        <v>480</v>
      </c>
      <c r="BH47" s="3294"/>
      <c r="BI47" s="3294"/>
      <c r="BJ47" s="3294"/>
      <c r="BK47" s="3294"/>
      <c r="BL47" s="3294"/>
      <c r="BM47" s="3294"/>
      <c r="BN47" s="3294"/>
      <c r="BO47" s="3294"/>
      <c r="BP47" s="2094"/>
      <c r="BQ47" s="2094"/>
      <c r="BR47" s="2094"/>
      <c r="BS47" s="2094"/>
    </row>
    <row r="48" spans="2:76" ht="15" customHeight="1">
      <c r="B48" s="3308" t="s">
        <v>308</v>
      </c>
      <c r="C48" s="3290" t="s">
        <v>925</v>
      </c>
      <c r="D48" s="3290"/>
      <c r="E48" s="3290"/>
      <c r="F48" s="3290"/>
      <c r="G48" s="3290"/>
      <c r="H48" s="3290" t="s">
        <v>318</v>
      </c>
      <c r="I48" s="3290"/>
      <c r="J48" s="3290"/>
      <c r="K48" s="3302" t="s">
        <v>926</v>
      </c>
      <c r="L48" s="3295" t="s">
        <v>1001</v>
      </c>
      <c r="M48" s="3296"/>
      <c r="N48" s="3297"/>
      <c r="O48" s="3278" t="s">
        <v>714</v>
      </c>
      <c r="P48" s="3291" t="s">
        <v>763</v>
      </c>
      <c r="Q48" s="3292"/>
      <c r="R48" s="3292"/>
      <c r="S48" s="3292"/>
      <c r="T48" s="3293"/>
      <c r="U48" s="3290" t="s">
        <v>925</v>
      </c>
      <c r="V48" s="3290"/>
      <c r="W48" s="3290"/>
      <c r="X48" s="3290"/>
      <c r="Y48" s="3290"/>
      <c r="Z48" s="3290" t="s">
        <v>318</v>
      </c>
      <c r="AA48" s="3290"/>
      <c r="AB48" s="3290"/>
      <c r="AC48" s="3302" t="s">
        <v>926</v>
      </c>
      <c r="AD48" s="3295" t="s">
        <v>1001</v>
      </c>
      <c r="AE48" s="3296"/>
      <c r="AF48" s="3297"/>
      <c r="AG48" s="3278" t="s">
        <v>714</v>
      </c>
      <c r="AH48" s="2356"/>
      <c r="AI48" s="2356"/>
      <c r="AJ48" s="2356"/>
      <c r="AK48" s="2356"/>
      <c r="AN48" s="3308" t="s">
        <v>308</v>
      </c>
      <c r="AO48" s="3290" t="s">
        <v>925</v>
      </c>
      <c r="AP48" s="3290"/>
      <c r="AQ48" s="3290"/>
      <c r="AR48" s="3290"/>
      <c r="AS48" s="3290"/>
      <c r="AT48" s="3290" t="s">
        <v>318</v>
      </c>
      <c r="AU48" s="3290"/>
      <c r="AV48" s="3290"/>
      <c r="AW48" s="3302" t="s">
        <v>926</v>
      </c>
      <c r="AX48" s="3295" t="s">
        <v>1001</v>
      </c>
      <c r="AY48" s="3296"/>
      <c r="AZ48" s="3297"/>
      <c r="BA48" s="3278" t="s">
        <v>714</v>
      </c>
      <c r="BB48" s="3291" t="s">
        <v>763</v>
      </c>
      <c r="BC48" s="3292"/>
      <c r="BD48" s="3292"/>
      <c r="BE48" s="3292"/>
      <c r="BF48" s="3293"/>
      <c r="BG48" s="3290" t="s">
        <v>925</v>
      </c>
      <c r="BH48" s="3290"/>
      <c r="BI48" s="3290"/>
      <c r="BJ48" s="3290"/>
      <c r="BK48" s="3290"/>
      <c r="BL48" s="3290" t="s">
        <v>318</v>
      </c>
      <c r="BM48" s="3290"/>
      <c r="BN48" s="3290"/>
      <c r="BO48" s="3302" t="s">
        <v>926</v>
      </c>
      <c r="BP48" s="3295" t="s">
        <v>1001</v>
      </c>
      <c r="BQ48" s="3296"/>
      <c r="BR48" s="3297"/>
      <c r="BS48" s="3278" t="s">
        <v>714</v>
      </c>
    </row>
    <row r="49" spans="1:75" ht="15" customHeight="1">
      <c r="B49" s="3309"/>
      <c r="C49" s="1988" t="s">
        <v>927</v>
      </c>
      <c r="D49" s="1988" t="s">
        <v>928</v>
      </c>
      <c r="E49" s="1988" t="s">
        <v>185</v>
      </c>
      <c r="F49" s="1988" t="s">
        <v>395</v>
      </c>
      <c r="G49" s="1988" t="s">
        <v>929</v>
      </c>
      <c r="H49" s="1988" t="s">
        <v>930</v>
      </c>
      <c r="I49" s="1988" t="s">
        <v>18</v>
      </c>
      <c r="J49" s="1988" t="s">
        <v>726</v>
      </c>
      <c r="K49" s="3302"/>
      <c r="L49" s="1988" t="s">
        <v>318</v>
      </c>
      <c r="M49" s="1988" t="s">
        <v>766</v>
      </c>
      <c r="N49" s="1988" t="s">
        <v>511</v>
      </c>
      <c r="O49" s="3279"/>
      <c r="P49" s="1989" t="s">
        <v>931</v>
      </c>
      <c r="Q49" s="1989" t="s">
        <v>792</v>
      </c>
      <c r="R49" s="1989" t="s">
        <v>932</v>
      </c>
      <c r="S49" s="1989" t="s">
        <v>185</v>
      </c>
      <c r="T49" s="1989" t="s">
        <v>18</v>
      </c>
      <c r="U49" s="1988" t="s">
        <v>927</v>
      </c>
      <c r="V49" s="1988" t="s">
        <v>928</v>
      </c>
      <c r="W49" s="1988" t="s">
        <v>185</v>
      </c>
      <c r="X49" s="1988" t="s">
        <v>395</v>
      </c>
      <c r="Y49" s="1988" t="s">
        <v>929</v>
      </c>
      <c r="Z49" s="1988" t="s">
        <v>930</v>
      </c>
      <c r="AA49" s="1988" t="s">
        <v>18</v>
      </c>
      <c r="AB49" s="1988" t="s">
        <v>726</v>
      </c>
      <c r="AC49" s="3302"/>
      <c r="AD49" s="1988" t="s">
        <v>318</v>
      </c>
      <c r="AE49" s="1988" t="s">
        <v>766</v>
      </c>
      <c r="AF49" s="1988" t="s">
        <v>511</v>
      </c>
      <c r="AG49" s="3279"/>
      <c r="AH49" s="2356"/>
      <c r="AI49" s="2356"/>
      <c r="AJ49" s="2356"/>
      <c r="AK49" s="2356"/>
      <c r="AN49" s="3309"/>
      <c r="AO49" s="1988" t="s">
        <v>927</v>
      </c>
      <c r="AP49" s="1988" t="s">
        <v>928</v>
      </c>
      <c r="AQ49" s="1988" t="s">
        <v>185</v>
      </c>
      <c r="AR49" s="1988" t="s">
        <v>395</v>
      </c>
      <c r="AS49" s="1988" t="s">
        <v>929</v>
      </c>
      <c r="AT49" s="1988" t="s">
        <v>930</v>
      </c>
      <c r="AU49" s="1988" t="s">
        <v>18</v>
      </c>
      <c r="AV49" s="1988" t="s">
        <v>726</v>
      </c>
      <c r="AW49" s="3302"/>
      <c r="AX49" s="1988" t="s">
        <v>318</v>
      </c>
      <c r="AY49" s="1988" t="s">
        <v>766</v>
      </c>
      <c r="AZ49" s="1988" t="s">
        <v>511</v>
      </c>
      <c r="BA49" s="3279"/>
      <c r="BB49" s="1989" t="s">
        <v>931</v>
      </c>
      <c r="BC49" s="1989" t="s">
        <v>792</v>
      </c>
      <c r="BD49" s="1989" t="s">
        <v>932</v>
      </c>
      <c r="BE49" s="1989" t="s">
        <v>185</v>
      </c>
      <c r="BF49" s="1989" t="s">
        <v>18</v>
      </c>
      <c r="BG49" s="1988" t="s">
        <v>927</v>
      </c>
      <c r="BH49" s="1988" t="s">
        <v>928</v>
      </c>
      <c r="BI49" s="1988" t="s">
        <v>185</v>
      </c>
      <c r="BJ49" s="1988" t="s">
        <v>395</v>
      </c>
      <c r="BK49" s="1988" t="s">
        <v>929</v>
      </c>
      <c r="BL49" s="1988" t="s">
        <v>930</v>
      </c>
      <c r="BM49" s="1988" t="s">
        <v>18</v>
      </c>
      <c r="BN49" s="1988" t="s">
        <v>726</v>
      </c>
      <c r="BO49" s="3302"/>
      <c r="BP49" s="1988" t="s">
        <v>318</v>
      </c>
      <c r="BQ49" s="1988" t="s">
        <v>766</v>
      </c>
      <c r="BR49" s="1988" t="s">
        <v>511</v>
      </c>
      <c r="BS49" s="3279"/>
      <c r="BU49" s="2700" t="s">
        <v>198</v>
      </c>
      <c r="BV49" s="2700" t="s">
        <v>199</v>
      </c>
    </row>
    <row r="50" spans="1:75" ht="15.6">
      <c r="B50" s="1990" t="s">
        <v>6</v>
      </c>
      <c r="C50" s="1999">
        <v>6079.1838208199997</v>
      </c>
      <c r="D50" s="1999">
        <v>1900.1027199999999</v>
      </c>
      <c r="E50" s="1999">
        <v>29.012</v>
      </c>
      <c r="F50" s="1999">
        <v>727.25033664</v>
      </c>
      <c r="G50" s="1999">
        <f>SUM(C50:F50)</f>
        <v>8735.5488774599999</v>
      </c>
      <c r="H50" s="1999">
        <v>349.36174</v>
      </c>
      <c r="I50" s="1999">
        <v>192.53524999999999</v>
      </c>
      <c r="J50" s="1999">
        <f>SUM(H50:I50)</f>
        <v>541.89698999999996</v>
      </c>
      <c r="K50" s="1999">
        <f>J50+G50</f>
        <v>9277.4458674599991</v>
      </c>
      <c r="L50" s="1999">
        <v>0</v>
      </c>
      <c r="M50" s="1999">
        <v>0</v>
      </c>
      <c r="N50" s="1999">
        <f>SUM(L50:M50)</f>
        <v>0</v>
      </c>
      <c r="O50" s="1991">
        <f>K50+N50</f>
        <v>9277.4458674599991</v>
      </c>
      <c r="P50" s="1992"/>
      <c r="Q50" s="1992"/>
      <c r="R50" s="1992"/>
      <c r="S50" s="1992"/>
      <c r="T50" s="1992"/>
      <c r="U50" s="1991">
        <f>C50</f>
        <v>6079.1838208199997</v>
      </c>
      <c r="V50" s="1991">
        <f>D50-P50</f>
        <v>1900.1027199999999</v>
      </c>
      <c r="W50" s="1991">
        <f>E50-S50</f>
        <v>29.012</v>
      </c>
      <c r="X50" s="1991">
        <f>F50-Q50</f>
        <v>727.25033664</v>
      </c>
      <c r="Y50" s="1991">
        <f>SUM(U50:X50)</f>
        <v>8735.5488774599999</v>
      </c>
      <c r="Z50" s="1991">
        <f>H50-R50</f>
        <v>349.36174</v>
      </c>
      <c r="AA50" s="1991">
        <f>I50-T50</f>
        <v>192.53524999999999</v>
      </c>
      <c r="AB50" s="1991">
        <f>SUM(Z50:AA50)</f>
        <v>541.89698999999996</v>
      </c>
      <c r="AC50" s="1991">
        <f>AB50+Y50</f>
        <v>9277.4458674599991</v>
      </c>
      <c r="AD50" s="1991">
        <f t="shared" ref="AD50:AD59" si="91">L50</f>
        <v>0</v>
      </c>
      <c r="AE50" s="1991">
        <f t="shared" ref="AE50:AE59" si="92">M50</f>
        <v>0</v>
      </c>
      <c r="AF50" s="1991">
        <f>SUM(AD50:AE50)</f>
        <v>0</v>
      </c>
      <c r="AG50" s="1991">
        <f>AC50+AF50</f>
        <v>9277.4458674599991</v>
      </c>
      <c r="AH50" s="2357"/>
      <c r="AI50" s="2357"/>
      <c r="AJ50" s="2357"/>
      <c r="AK50" s="2357"/>
      <c r="AN50" s="1990" t="s">
        <v>6</v>
      </c>
      <c r="AO50" s="1991">
        <f>'Feuil-saisie'!$F$25/1000</f>
        <v>1081.0803268000002</v>
      </c>
      <c r="AP50" s="1991">
        <f>'Feuil-saisie'!$F$33/1000</f>
        <v>2020.9402564900001</v>
      </c>
      <c r="AQ50" s="1991">
        <f>'Feuil-saisie'!$F$30/1000</f>
        <v>34.014275860000005</v>
      </c>
      <c r="AR50" s="1991">
        <f>BU50+BV50</f>
        <v>605.20662131000017</v>
      </c>
      <c r="AS50" s="1991">
        <f>SUM(AO50:AR50)</f>
        <v>3741.2414804600003</v>
      </c>
      <c r="AT50" s="1991">
        <f>'Feuil-saisie'!$F$32/1000</f>
        <v>390.56092221</v>
      </c>
      <c r="AU50" s="1991">
        <f>'Feuil-saisie'!$F$29/1000</f>
        <v>312.70787772</v>
      </c>
      <c r="AV50" s="1991">
        <f t="shared" ref="AV50:AV58" si="93">SUM(AT50:AU50)</f>
        <v>703.26879993</v>
      </c>
      <c r="AW50" s="1991">
        <f t="shared" ref="AW50:AW59" si="94">AV50+AS50</f>
        <v>4444.5102803899999</v>
      </c>
      <c r="AX50" s="1991">
        <f>'Feuil-saisie'!$F$41/1000</f>
        <v>0</v>
      </c>
      <c r="AY50" s="1991">
        <f>'Feuil-saisie'!$F$42/1000</f>
        <v>0</v>
      </c>
      <c r="AZ50" s="1991">
        <f>SUM(AX50:AY50)</f>
        <v>0</v>
      </c>
      <c r="BA50" s="1991">
        <f>AW50+AZ50</f>
        <v>4444.5102803899999</v>
      </c>
      <c r="BB50" s="1992"/>
      <c r="BC50" s="1992">
        <f>'Feuil-saisie'!F37/1000</f>
        <v>0</v>
      </c>
      <c r="BD50" s="1992"/>
      <c r="BE50" s="1992"/>
      <c r="BF50" s="1992">
        <f>'Feuil-saisie'!F35/1000</f>
        <v>0</v>
      </c>
      <c r="BG50" s="1991">
        <f>AO50</f>
        <v>1081.0803268000002</v>
      </c>
      <c r="BH50" s="1991">
        <f>AP50-BB50</f>
        <v>2020.9402564900001</v>
      </c>
      <c r="BI50" s="1991">
        <f>AQ50-BE50</f>
        <v>34.014275860000005</v>
      </c>
      <c r="BJ50" s="1991">
        <f>AR50-BC50</f>
        <v>605.20662131000017</v>
      </c>
      <c r="BK50" s="1991">
        <f>SUM(BG50:BJ50)</f>
        <v>3741.2414804600003</v>
      </c>
      <c r="BL50" s="1991">
        <f>AT50-BD50</f>
        <v>390.56092221</v>
      </c>
      <c r="BM50" s="1991">
        <f>AU50-BF50</f>
        <v>312.70787772</v>
      </c>
      <c r="BN50" s="1991">
        <f>SUM(BL50:BM50)</f>
        <v>703.26879993</v>
      </c>
      <c r="BO50" s="1991">
        <f>BN50+BK50</f>
        <v>4444.5102803899999</v>
      </c>
      <c r="BP50" s="1991">
        <f t="shared" ref="BP50:BP59" si="95">AX50</f>
        <v>0</v>
      </c>
      <c r="BQ50" s="1991">
        <f t="shared" ref="BQ50:BQ59" si="96">AY50</f>
        <v>0</v>
      </c>
      <c r="BR50" s="1991">
        <f>SUM(BP50:BQ50)</f>
        <v>0</v>
      </c>
      <c r="BS50" s="1991">
        <f>BO50+BR50</f>
        <v>4444.5102803899999</v>
      </c>
      <c r="BT50" s="1449" t="s">
        <v>6</v>
      </c>
      <c r="BU50" s="2089">
        <f>'Feuil-saisie'!$F$44/1000</f>
        <v>296.90188045000008</v>
      </c>
      <c r="BV50" s="2090">
        <f>'Feuil-saisie'!$F$45/1000</f>
        <v>308.30474086000004</v>
      </c>
      <c r="BW50" s="2701"/>
    </row>
    <row r="51" spans="1:75" ht="15.6">
      <c r="B51" s="1990" t="s">
        <v>7</v>
      </c>
      <c r="C51" s="1999">
        <v>2835.0991322599998</v>
      </c>
      <c r="D51" s="1999">
        <v>628.39599999999996</v>
      </c>
      <c r="E51" s="1999">
        <v>48.912999999999997</v>
      </c>
      <c r="F51" s="1999">
        <v>293.45091227999995</v>
      </c>
      <c r="G51" s="1999">
        <f t="shared" ref="G51:G59" si="97">SUM(C51:F51)</f>
        <v>3805.85904454</v>
      </c>
      <c r="H51" s="1999">
        <v>337.13499999999999</v>
      </c>
      <c r="I51" s="1999">
        <v>369.66300000000001</v>
      </c>
      <c r="J51" s="1999">
        <f t="shared" ref="J51:J59" si="98">SUM(H51:I51)</f>
        <v>706.798</v>
      </c>
      <c r="K51" s="1999">
        <f t="shared" ref="K51:K59" si="99">J51+G51</f>
        <v>4512.6570445400002</v>
      </c>
      <c r="L51" s="1999">
        <v>4.1420000000000003</v>
      </c>
      <c r="M51" s="1999">
        <v>0</v>
      </c>
      <c r="N51" s="1999">
        <f t="shared" ref="N51:N59" si="100">SUM(L51:M51)</f>
        <v>4.1420000000000003</v>
      </c>
      <c r="O51" s="1991">
        <f t="shared" ref="O51:O59" si="101">K51+N51</f>
        <v>4516.7990445400001</v>
      </c>
      <c r="P51" s="1992"/>
      <c r="Q51" s="1992"/>
      <c r="R51" s="1992"/>
      <c r="S51" s="1992"/>
      <c r="T51" s="1992"/>
      <c r="U51" s="1991">
        <f t="shared" ref="U51:U59" si="102">C51</f>
        <v>2835.0991322599998</v>
      </c>
      <c r="V51" s="1991">
        <f t="shared" ref="V51:V59" si="103">D51-P51</f>
        <v>628.39599999999996</v>
      </c>
      <c r="W51" s="1991">
        <f t="shared" ref="W51:W59" si="104">E51-S51</f>
        <v>48.912999999999997</v>
      </c>
      <c r="X51" s="1991">
        <f t="shared" ref="X51:X59" si="105">F51-Q51</f>
        <v>293.45091227999995</v>
      </c>
      <c r="Y51" s="1991">
        <f t="shared" ref="Y51:Y59" si="106">SUM(U51:X51)</f>
        <v>3805.85904454</v>
      </c>
      <c r="Z51" s="1991">
        <f t="shared" ref="Z51:Z59" si="107">H51-R51</f>
        <v>337.13499999999999</v>
      </c>
      <c r="AA51" s="1991">
        <f t="shared" ref="AA51:AA59" si="108">I51-T51</f>
        <v>369.66300000000001</v>
      </c>
      <c r="AB51" s="1991">
        <f t="shared" ref="AB51:AB59" si="109">SUM(Z51:AA51)</f>
        <v>706.798</v>
      </c>
      <c r="AC51" s="1991">
        <f t="shared" ref="AC51:AC59" si="110">AB51+Y51</f>
        <v>4512.6570445400002</v>
      </c>
      <c r="AD51" s="1991">
        <f t="shared" si="91"/>
        <v>4.1420000000000003</v>
      </c>
      <c r="AE51" s="1991">
        <f t="shared" si="92"/>
        <v>0</v>
      </c>
      <c r="AF51" s="1991">
        <f t="shared" ref="AF51:AF59" si="111">SUM(AD51:AE51)</f>
        <v>4.1420000000000003</v>
      </c>
      <c r="AG51" s="1991">
        <f t="shared" ref="AG51:AG59" si="112">AC51+AF51</f>
        <v>4516.7990445400001</v>
      </c>
      <c r="AH51" s="2357"/>
      <c r="AI51" s="2357"/>
      <c r="AJ51" s="2357"/>
      <c r="AK51" s="2357"/>
      <c r="AN51" s="1990" t="s">
        <v>7</v>
      </c>
      <c r="AO51" s="1991">
        <f>'Feuil-saisie'!$F$49/1000</f>
        <v>2658.7919999999999</v>
      </c>
      <c r="AP51" s="1991">
        <f>'Feuil-saisie'!$F$57/1000</f>
        <v>683.36099999999999</v>
      </c>
      <c r="AQ51" s="1991">
        <f>'Feuil-saisie'!$F$54/1000</f>
        <v>56.372</v>
      </c>
      <c r="AR51" s="1991">
        <f t="shared" ref="AR51:AR59" si="113">BU51+BV51</f>
        <v>410.334</v>
      </c>
      <c r="AS51" s="1991">
        <f t="shared" ref="AS51:AS58" si="114">SUM(AO51:AR51)</f>
        <v>3808.8589999999995</v>
      </c>
      <c r="AT51" s="1991">
        <f>'Feuil-saisie'!$F$56/1000</f>
        <v>234.62200000000001</v>
      </c>
      <c r="AU51" s="1991">
        <f>'Feuil-saisie'!$F$53/1000</f>
        <v>418.279</v>
      </c>
      <c r="AV51" s="1991">
        <f t="shared" si="93"/>
        <v>652.90100000000007</v>
      </c>
      <c r="AW51" s="1991">
        <f t="shared" si="94"/>
        <v>4461.7599999999993</v>
      </c>
      <c r="AX51" s="1991">
        <f>'Feuil-saisie'!$F$64/1000</f>
        <v>57.3</v>
      </c>
      <c r="AY51" s="1991">
        <f>'Feuil-saisie'!$F$65/1000</f>
        <v>0</v>
      </c>
      <c r="AZ51" s="1991">
        <f t="shared" ref="AZ51:AZ59" si="115">SUM(AX51:AY51)</f>
        <v>57.3</v>
      </c>
      <c r="BA51" s="1991">
        <f t="shared" ref="BA51:BA59" si="116">AW51+AZ51</f>
        <v>4519.0599999999995</v>
      </c>
      <c r="BB51" s="1992">
        <f>'Feuil-saisie'!F58/1000</f>
        <v>0</v>
      </c>
      <c r="BC51" s="1992">
        <f>'Feuil-saisie'!F60/1000</f>
        <v>0</v>
      </c>
      <c r="BD51" s="1992"/>
      <c r="BE51" s="1992"/>
      <c r="BF51" s="1992"/>
      <c r="BG51" s="1991">
        <f t="shared" ref="BG51:BG59" si="117">AO51</f>
        <v>2658.7919999999999</v>
      </c>
      <c r="BH51" s="1991">
        <f t="shared" ref="BH51:BH59" si="118">AP51-BB51</f>
        <v>683.36099999999999</v>
      </c>
      <c r="BI51" s="1991">
        <f t="shared" ref="BI51:BI59" si="119">AQ51-BE51</f>
        <v>56.372</v>
      </c>
      <c r="BJ51" s="1991">
        <f t="shared" ref="BJ51:BJ59" si="120">AR51-BC51</f>
        <v>410.334</v>
      </c>
      <c r="BK51" s="1991">
        <f t="shared" ref="BK51:BK59" si="121">SUM(BG51:BJ51)</f>
        <v>3808.8589999999995</v>
      </c>
      <c r="BL51" s="1991">
        <f t="shared" ref="BL51:BL59" si="122">AT51-BD51</f>
        <v>234.62200000000001</v>
      </c>
      <c r="BM51" s="1991">
        <f t="shared" ref="BM51:BM59" si="123">AU51-BF51</f>
        <v>418.279</v>
      </c>
      <c r="BN51" s="1991">
        <f t="shared" ref="BN51:BN59" si="124">SUM(BL51:BM51)</f>
        <v>652.90100000000007</v>
      </c>
      <c r="BO51" s="1991">
        <f t="shared" ref="BO51:BO59" si="125">BN51+BK51</f>
        <v>4461.7599999999993</v>
      </c>
      <c r="BP51" s="1991">
        <f t="shared" si="95"/>
        <v>57.3</v>
      </c>
      <c r="BQ51" s="1991">
        <f t="shared" si="96"/>
        <v>0</v>
      </c>
      <c r="BR51" s="1991">
        <f t="shared" ref="BR51:BR59" si="126">SUM(BP51:BQ51)</f>
        <v>57.3</v>
      </c>
      <c r="BS51" s="1991">
        <f t="shared" ref="BS51:BS59" si="127">BO51+BR51</f>
        <v>4519.0599999999995</v>
      </c>
      <c r="BT51" s="1449" t="s">
        <v>7</v>
      </c>
      <c r="BU51" s="2089">
        <f>'Feuil-saisie'!$F$67/1000</f>
        <v>193.01900000000001</v>
      </c>
      <c r="BV51" s="2090">
        <f>'Feuil-saisie'!$F$68/1000</f>
        <v>217.315</v>
      </c>
    </row>
    <row r="52" spans="1:75" ht="15.6">
      <c r="B52" s="1990" t="s">
        <v>8</v>
      </c>
      <c r="C52" s="1999">
        <v>2905.9673625999994</v>
      </c>
      <c r="D52" s="1999">
        <v>249.74125172000001</v>
      </c>
      <c r="E52" s="1999">
        <v>61.22197805999992</v>
      </c>
      <c r="F52" s="1999">
        <v>111.58134690603194</v>
      </c>
      <c r="G52" s="1999">
        <f t="shared" si="97"/>
        <v>3328.5119392860311</v>
      </c>
      <c r="H52" s="1999">
        <v>272.9423582</v>
      </c>
      <c r="I52" s="1999">
        <v>247.32115506000102</v>
      </c>
      <c r="J52" s="1999">
        <f t="shared" si="98"/>
        <v>520.26351326000099</v>
      </c>
      <c r="K52" s="1999">
        <f t="shared" si="99"/>
        <v>3848.7754525460323</v>
      </c>
      <c r="L52" s="1999">
        <v>71.985771900000017</v>
      </c>
      <c r="M52" s="1999">
        <v>0.85106387999999966</v>
      </c>
      <c r="N52" s="1999">
        <f t="shared" si="100"/>
        <v>72.836835780000015</v>
      </c>
      <c r="O52" s="1991">
        <f t="shared" si="101"/>
        <v>3921.6122883260323</v>
      </c>
      <c r="P52" s="1992"/>
      <c r="Q52" s="1992"/>
      <c r="R52" s="1992"/>
      <c r="S52" s="1992"/>
      <c r="T52" s="1992"/>
      <c r="U52" s="1991">
        <f t="shared" si="102"/>
        <v>2905.9673625999994</v>
      </c>
      <c r="V52" s="1991">
        <f t="shared" si="103"/>
        <v>249.74125172000001</v>
      </c>
      <c r="W52" s="1991">
        <f t="shared" si="104"/>
        <v>61.22197805999992</v>
      </c>
      <c r="X52" s="1991">
        <f t="shared" si="105"/>
        <v>111.58134690603194</v>
      </c>
      <c r="Y52" s="1991">
        <f t="shared" si="106"/>
        <v>3328.5119392860311</v>
      </c>
      <c r="Z52" s="1991">
        <f t="shared" si="107"/>
        <v>272.9423582</v>
      </c>
      <c r="AA52" s="1991">
        <f t="shared" si="108"/>
        <v>247.32115506000102</v>
      </c>
      <c r="AB52" s="1991">
        <f t="shared" si="109"/>
        <v>520.26351326000099</v>
      </c>
      <c r="AC52" s="1991">
        <f t="shared" si="110"/>
        <v>3848.7754525460323</v>
      </c>
      <c r="AD52" s="1991">
        <f t="shared" si="91"/>
        <v>71.985771900000017</v>
      </c>
      <c r="AE52" s="1991">
        <f t="shared" si="92"/>
        <v>0.85106387999999966</v>
      </c>
      <c r="AF52" s="1991">
        <f t="shared" si="111"/>
        <v>72.836835780000015</v>
      </c>
      <c r="AG52" s="1991">
        <f t="shared" si="112"/>
        <v>3921.6122883260323</v>
      </c>
      <c r="AH52" s="2357"/>
      <c r="AI52" s="2357"/>
      <c r="AJ52" s="2357"/>
      <c r="AK52" s="2357"/>
      <c r="AN52" s="1990" t="s">
        <v>8</v>
      </c>
      <c r="AO52" s="1991">
        <f>'Feuil-saisie'!$F$72/1000</f>
        <v>2725.5146397200001</v>
      </c>
      <c r="AP52" s="1991">
        <f>'Feuil-saisie'!$F$80/1000</f>
        <v>216.75439236000005</v>
      </c>
      <c r="AQ52" s="1991">
        <f>'Feuil-saisie'!$F$77/1000</f>
        <v>67.651761300000018</v>
      </c>
      <c r="AR52" s="1991">
        <f t="shared" si="113"/>
        <v>148.48052187000002</v>
      </c>
      <c r="AS52" s="1991">
        <f t="shared" si="114"/>
        <v>3158.4013152500002</v>
      </c>
      <c r="AT52" s="1991">
        <f>'Feuil-saisie'!$F$79/1000</f>
        <v>168.89244187</v>
      </c>
      <c r="AU52" s="1991">
        <f>'Feuil-saisie'!$F$76/1000</f>
        <v>318.58741132999995</v>
      </c>
      <c r="AV52" s="1991">
        <f t="shared" si="93"/>
        <v>487.47985319999998</v>
      </c>
      <c r="AW52" s="1991">
        <f t="shared" si="94"/>
        <v>3645.8811684500001</v>
      </c>
      <c r="AX52" s="1991">
        <f>'Feuil-saisie'!$F$88/1000</f>
        <v>219.036806940004</v>
      </c>
      <c r="AY52" s="1991">
        <f>'Feuil-saisie'!$F$89/1000</f>
        <v>1.1558100000001105E-2</v>
      </c>
      <c r="AZ52" s="1991">
        <f t="shared" si="115"/>
        <v>219.048365040004</v>
      </c>
      <c r="BA52" s="1991">
        <f t="shared" si="116"/>
        <v>3864.9295334900044</v>
      </c>
      <c r="BB52" s="1992">
        <f>'Feuil-saisie'!F81/1000</f>
        <v>1.00048878</v>
      </c>
      <c r="BC52" s="1992"/>
      <c r="BD52" s="1992">
        <f>'Feuil-saisie'!F83/1000</f>
        <v>0</v>
      </c>
      <c r="BE52" s="1992">
        <f>'Feuil-saisie'!F82/1000</f>
        <v>1.01613153</v>
      </c>
      <c r="BF52" s="1992"/>
      <c r="BG52" s="1991">
        <f t="shared" si="117"/>
        <v>2725.5146397200001</v>
      </c>
      <c r="BH52" s="2126">
        <f t="shared" si="118"/>
        <v>215.75390358000004</v>
      </c>
      <c r="BI52" s="1991">
        <f>AQ52-BE52</f>
        <v>66.635629770000023</v>
      </c>
      <c r="BJ52" s="1991">
        <f t="shared" si="120"/>
        <v>148.48052187000002</v>
      </c>
      <c r="BK52" s="1991">
        <f t="shared" si="121"/>
        <v>3156.3846949399999</v>
      </c>
      <c r="BL52" s="1991">
        <f t="shared" si="122"/>
        <v>168.89244187</v>
      </c>
      <c r="BM52" s="1991">
        <f t="shared" si="123"/>
        <v>318.58741132999995</v>
      </c>
      <c r="BN52" s="1991">
        <f t="shared" si="124"/>
        <v>487.47985319999998</v>
      </c>
      <c r="BO52" s="1991">
        <f t="shared" si="125"/>
        <v>3643.8645481399999</v>
      </c>
      <c r="BP52" s="1991">
        <f t="shared" si="95"/>
        <v>219.036806940004</v>
      </c>
      <c r="BQ52" s="1991">
        <f t="shared" si="96"/>
        <v>1.1558100000001105E-2</v>
      </c>
      <c r="BR52" s="1991">
        <f t="shared" si="126"/>
        <v>219.048365040004</v>
      </c>
      <c r="BS52" s="1991">
        <f t="shared" si="127"/>
        <v>3862.9129131800037</v>
      </c>
      <c r="BT52" s="1449" t="s">
        <v>8</v>
      </c>
      <c r="BU52" s="2089">
        <f>'Feuil-saisie'!$F$91/1000</f>
        <v>118.81838462000002</v>
      </c>
      <c r="BV52" s="2090">
        <f>'Feuil-saisie'!$F$92/1000</f>
        <v>29.662137250000008</v>
      </c>
    </row>
    <row r="53" spans="1:75" ht="15.6">
      <c r="B53" s="1990" t="s">
        <v>4</v>
      </c>
      <c r="C53" s="1999">
        <v>5209.41646545</v>
      </c>
      <c r="D53" s="1999">
        <v>681.20737234000001</v>
      </c>
      <c r="E53" s="1999">
        <v>93.672645929999973</v>
      </c>
      <c r="F53" s="1999">
        <v>152.27361857</v>
      </c>
      <c r="G53" s="1999">
        <f t="shared" si="97"/>
        <v>6136.5701022899993</v>
      </c>
      <c r="H53" s="1999">
        <v>224.41407743999997</v>
      </c>
      <c r="I53" s="1999">
        <v>327.93083177000005</v>
      </c>
      <c r="J53" s="1999">
        <f t="shared" si="98"/>
        <v>552.34490920999997</v>
      </c>
      <c r="K53" s="1999">
        <f t="shared" si="99"/>
        <v>6688.9150114999993</v>
      </c>
      <c r="L53" s="1999">
        <v>0</v>
      </c>
      <c r="M53" s="1999">
        <v>0</v>
      </c>
      <c r="N53" s="1999">
        <f t="shared" si="100"/>
        <v>0</v>
      </c>
      <c r="O53" s="1991">
        <f t="shared" si="101"/>
        <v>6688.9150114999993</v>
      </c>
      <c r="P53" s="1992"/>
      <c r="Q53" s="1992"/>
      <c r="R53" s="1992"/>
      <c r="S53" s="1992"/>
      <c r="T53" s="1992"/>
      <c r="U53" s="1991">
        <f t="shared" si="102"/>
        <v>5209.41646545</v>
      </c>
      <c r="V53" s="1991">
        <f t="shared" si="103"/>
        <v>681.20737234000001</v>
      </c>
      <c r="W53" s="1991">
        <f t="shared" si="104"/>
        <v>93.672645929999973</v>
      </c>
      <c r="X53" s="1991">
        <f t="shared" si="105"/>
        <v>152.27361857</v>
      </c>
      <c r="Y53" s="1991">
        <f t="shared" si="106"/>
        <v>6136.5701022899993</v>
      </c>
      <c r="Z53" s="1991">
        <f t="shared" si="107"/>
        <v>224.41407743999997</v>
      </c>
      <c r="AA53" s="1991">
        <f t="shared" si="108"/>
        <v>327.93083177000005</v>
      </c>
      <c r="AB53" s="1991">
        <f t="shared" si="109"/>
        <v>552.34490920999997</v>
      </c>
      <c r="AC53" s="1991">
        <f t="shared" si="110"/>
        <v>6688.9150114999993</v>
      </c>
      <c r="AD53" s="1991">
        <f t="shared" si="91"/>
        <v>0</v>
      </c>
      <c r="AE53" s="1991">
        <f t="shared" si="92"/>
        <v>0</v>
      </c>
      <c r="AF53" s="1991">
        <f t="shared" si="111"/>
        <v>0</v>
      </c>
      <c r="AG53" s="1991">
        <f t="shared" si="112"/>
        <v>6688.9150114999993</v>
      </c>
      <c r="AH53" s="2357"/>
      <c r="AI53" s="2357"/>
      <c r="AJ53" s="2357"/>
      <c r="AK53" s="2357"/>
      <c r="AN53" s="1990" t="s">
        <v>4</v>
      </c>
      <c r="AO53" s="1991">
        <f>'Feuil-saisie'!$F$96/1000</f>
        <v>5053.5611779299998</v>
      </c>
      <c r="AP53" s="1991">
        <f>'Feuil-saisie'!$F$104/1000</f>
        <v>695.92278581000005</v>
      </c>
      <c r="AQ53" s="1991">
        <f>'Feuil-saisie'!$F$101/1000</f>
        <v>105.87472438000002</v>
      </c>
      <c r="AR53" s="1991">
        <f t="shared" si="113"/>
        <v>133.67977315000002</v>
      </c>
      <c r="AS53" s="1991">
        <f t="shared" si="114"/>
        <v>5989.03846127</v>
      </c>
      <c r="AT53" s="1991">
        <f>'Feuil-saisie'!$F$103/1000</f>
        <v>252.12451056999998</v>
      </c>
      <c r="AU53" s="1991">
        <f>'Feuil-saisie'!$F$100/1000</f>
        <v>413.53492623999995</v>
      </c>
      <c r="AV53" s="1991">
        <f t="shared" si="93"/>
        <v>665.65943680999999</v>
      </c>
      <c r="AW53" s="1991">
        <f t="shared" si="94"/>
        <v>6654.6978980799995</v>
      </c>
      <c r="AX53" s="1991">
        <f>'Feuil-saisie'!$F$111/1000</f>
        <v>0</v>
      </c>
      <c r="AY53" s="1991">
        <f>'Feuil-saisie'!$F$112/1000</f>
        <v>0</v>
      </c>
      <c r="AZ53" s="1991">
        <f t="shared" si="115"/>
        <v>0</v>
      </c>
      <c r="BA53" s="1991">
        <f t="shared" si="116"/>
        <v>6654.6978980799995</v>
      </c>
      <c r="BB53" s="1992"/>
      <c r="BC53" s="1992"/>
      <c r="BD53" s="1992"/>
      <c r="BE53" s="1992"/>
      <c r="BF53" s="1992"/>
      <c r="BG53" s="1991">
        <f t="shared" si="117"/>
        <v>5053.5611779299998</v>
      </c>
      <c r="BH53" s="1991">
        <f t="shared" si="118"/>
        <v>695.92278581000005</v>
      </c>
      <c r="BI53" s="1991">
        <f t="shared" si="119"/>
        <v>105.87472438000002</v>
      </c>
      <c r="BJ53" s="1991">
        <f t="shared" si="120"/>
        <v>133.67977315000002</v>
      </c>
      <c r="BK53" s="1991">
        <f t="shared" si="121"/>
        <v>5989.03846127</v>
      </c>
      <c r="BL53" s="1991">
        <f t="shared" si="122"/>
        <v>252.12451056999998</v>
      </c>
      <c r="BM53" s="1991">
        <f t="shared" si="123"/>
        <v>413.53492623999995</v>
      </c>
      <c r="BN53" s="1991">
        <f t="shared" si="124"/>
        <v>665.65943680999999</v>
      </c>
      <c r="BO53" s="1991">
        <f t="shared" si="125"/>
        <v>6654.6978980799995</v>
      </c>
      <c r="BP53" s="1991">
        <f t="shared" si="95"/>
        <v>0</v>
      </c>
      <c r="BQ53" s="1991">
        <f t="shared" si="96"/>
        <v>0</v>
      </c>
      <c r="BR53" s="1991">
        <f t="shared" si="126"/>
        <v>0</v>
      </c>
      <c r="BS53" s="1991">
        <f t="shared" si="127"/>
        <v>6654.6978980799995</v>
      </c>
      <c r="BT53" s="1449" t="s">
        <v>4</v>
      </c>
      <c r="BU53" s="2089">
        <f>'Feuil-saisie'!$F$114/1000</f>
        <v>75.154345270000007</v>
      </c>
      <c r="BV53" s="2090">
        <f>'Feuil-saisie'!$F$115/1000</f>
        <v>58.525427880000002</v>
      </c>
    </row>
    <row r="54" spans="1:75" ht="15.6">
      <c r="B54" s="1990" t="s">
        <v>3</v>
      </c>
      <c r="C54" s="1999">
        <v>3288.9294807700007</v>
      </c>
      <c r="D54" s="1999">
        <v>519.93568411000001</v>
      </c>
      <c r="E54" s="1999">
        <v>55.413254589999994</v>
      </c>
      <c r="F54" s="1999">
        <v>9.8578265800000011</v>
      </c>
      <c r="G54" s="1999">
        <f t="shared" si="97"/>
        <v>3874.1362460500009</v>
      </c>
      <c r="H54" s="1999">
        <v>274.2373248799999</v>
      </c>
      <c r="I54" s="1999">
        <v>103.67587833000009</v>
      </c>
      <c r="J54" s="1999">
        <f t="shared" si="98"/>
        <v>377.91320321000001</v>
      </c>
      <c r="K54" s="1999">
        <f t="shared" si="99"/>
        <v>4252.049449260001</v>
      </c>
      <c r="L54" s="1999">
        <v>1135.7516935639994</v>
      </c>
      <c r="M54" s="1999">
        <v>28.235965839999949</v>
      </c>
      <c r="N54" s="1999">
        <f t="shared" si="100"/>
        <v>1163.9876594039993</v>
      </c>
      <c r="O54" s="1991">
        <f t="shared" si="101"/>
        <v>5416.0371086640007</v>
      </c>
      <c r="P54" s="1992"/>
      <c r="Q54" s="1992"/>
      <c r="R54" s="1992"/>
      <c r="S54" s="1992"/>
      <c r="T54" s="1992"/>
      <c r="U54" s="1991">
        <f t="shared" si="102"/>
        <v>3288.9294807700007</v>
      </c>
      <c r="V54" s="1991">
        <f t="shared" si="103"/>
        <v>519.93568411000001</v>
      </c>
      <c r="W54" s="1991">
        <f t="shared" si="104"/>
        <v>55.413254589999994</v>
      </c>
      <c r="X54" s="1991">
        <f t="shared" si="105"/>
        <v>9.8578265800000011</v>
      </c>
      <c r="Y54" s="1991">
        <f t="shared" si="106"/>
        <v>3874.1362460500009</v>
      </c>
      <c r="Z54" s="1991">
        <f t="shared" si="107"/>
        <v>274.2373248799999</v>
      </c>
      <c r="AA54" s="1991">
        <f t="shared" si="108"/>
        <v>103.67587833000009</v>
      </c>
      <c r="AB54" s="1991">
        <f t="shared" si="109"/>
        <v>377.91320321000001</v>
      </c>
      <c r="AC54" s="1991">
        <f t="shared" si="110"/>
        <v>4252.049449260001</v>
      </c>
      <c r="AD54" s="1991">
        <f t="shared" si="91"/>
        <v>1135.7516935639994</v>
      </c>
      <c r="AE54" s="1991">
        <f t="shared" si="92"/>
        <v>28.235965839999949</v>
      </c>
      <c r="AF54" s="1991">
        <f t="shared" si="111"/>
        <v>1163.9876594039993</v>
      </c>
      <c r="AG54" s="1991">
        <f t="shared" si="112"/>
        <v>5416.0371086640007</v>
      </c>
      <c r="AH54" s="2357"/>
      <c r="AI54" s="2357"/>
      <c r="AJ54" s="2357"/>
      <c r="AK54" s="2357"/>
      <c r="AN54" s="1990" t="s">
        <v>3</v>
      </c>
      <c r="AO54" s="1991">
        <f>'Feuil-saisie'!$F$119/1000</f>
        <v>3032.3903760199992</v>
      </c>
      <c r="AP54" s="1991">
        <f>'Feuil-saisie'!$F$127/1000</f>
        <v>648.32868513000005</v>
      </c>
      <c r="AQ54" s="1991">
        <f>'Feuil-saisie'!$F$124/1000</f>
        <v>59.722138489999999</v>
      </c>
      <c r="AR54" s="1991">
        <f t="shared" si="113"/>
        <v>0</v>
      </c>
      <c r="AS54" s="1991">
        <f t="shared" si="114"/>
        <v>3740.441199639999</v>
      </c>
      <c r="AT54" s="1991">
        <f>'Feuil-saisie'!$F$126/1000</f>
        <v>222.88809702999995</v>
      </c>
      <c r="AU54" s="1991">
        <f>'Feuil-saisie'!$F$123/1000</f>
        <v>103.14624508999998</v>
      </c>
      <c r="AV54" s="1991">
        <f t="shared" si="93"/>
        <v>326.03434211999991</v>
      </c>
      <c r="AW54" s="1991">
        <f t="shared" si="94"/>
        <v>4066.475541759999</v>
      </c>
      <c r="AX54" s="1991">
        <f>'Feuil-saisie'!$F$136/1000</f>
        <v>1606.0369832199999</v>
      </c>
      <c r="AY54" s="1991">
        <f>'Feuil-saisie'!$F$137/1000</f>
        <v>15.655072249999993</v>
      </c>
      <c r="AZ54" s="1991">
        <f t="shared" si="115"/>
        <v>1621.69205547</v>
      </c>
      <c r="BA54" s="1991">
        <f t="shared" si="116"/>
        <v>5688.167597229999</v>
      </c>
      <c r="BB54" s="1992"/>
      <c r="BC54" s="1992"/>
      <c r="BD54" s="1992"/>
      <c r="BE54" s="1992">
        <f>'Feuil-saisie'!F130/1000</f>
        <v>0</v>
      </c>
      <c r="BF54" s="1992">
        <f>'Feuil-saisie'!F129/1000</f>
        <v>0</v>
      </c>
      <c r="BG54" s="1991">
        <f t="shared" si="117"/>
        <v>3032.3903760199992</v>
      </c>
      <c r="BH54" s="1991">
        <f t="shared" si="118"/>
        <v>648.32868513000005</v>
      </c>
      <c r="BI54" s="1991">
        <f t="shared" si="119"/>
        <v>59.722138489999999</v>
      </c>
      <c r="BJ54" s="1991">
        <f t="shared" si="120"/>
        <v>0</v>
      </c>
      <c r="BK54" s="1991">
        <f t="shared" si="121"/>
        <v>3740.441199639999</v>
      </c>
      <c r="BL54" s="1991">
        <f t="shared" si="122"/>
        <v>222.88809702999995</v>
      </c>
      <c r="BM54" s="1991">
        <f t="shared" si="123"/>
        <v>103.14624508999998</v>
      </c>
      <c r="BN54" s="1991">
        <f t="shared" si="124"/>
        <v>326.03434211999991</v>
      </c>
      <c r="BO54" s="1991">
        <f t="shared" si="125"/>
        <v>4066.475541759999</v>
      </c>
      <c r="BP54" s="1991">
        <f t="shared" si="95"/>
        <v>1606.0369832199999</v>
      </c>
      <c r="BQ54" s="1991">
        <f t="shared" si="96"/>
        <v>15.655072249999993</v>
      </c>
      <c r="BR54" s="1991">
        <f t="shared" si="126"/>
        <v>1621.69205547</v>
      </c>
      <c r="BS54" s="1991">
        <f t="shared" si="127"/>
        <v>5688.167597229999</v>
      </c>
      <c r="BT54" s="1449" t="s">
        <v>3</v>
      </c>
      <c r="BU54" s="2089">
        <f>'Feuil-saisie'!$F$139/1000</f>
        <v>0</v>
      </c>
      <c r="BV54" s="2090">
        <f>'Feuil-saisie'!$F$140/1000</f>
        <v>0</v>
      </c>
    </row>
    <row r="55" spans="1:75" ht="15.6">
      <c r="B55" s="1990" t="s">
        <v>397</v>
      </c>
      <c r="C55" s="1999">
        <v>2562.6575270600001</v>
      </c>
      <c r="D55" s="1999">
        <v>448.78809078000006</v>
      </c>
      <c r="E55" s="1999">
        <v>1.7222043900000001</v>
      </c>
      <c r="F55" s="1999">
        <v>337.64082279000024</v>
      </c>
      <c r="G55" s="1999">
        <f t="shared" si="97"/>
        <v>3350.8086450200003</v>
      </c>
      <c r="H55" s="1999">
        <v>249.70447227999998</v>
      </c>
      <c r="I55" s="1999">
        <v>342.28118936999999</v>
      </c>
      <c r="J55" s="1999">
        <f t="shared" si="98"/>
        <v>591.98566165</v>
      </c>
      <c r="K55" s="1999">
        <f t="shared" si="99"/>
        <v>3942.7943066700004</v>
      </c>
      <c r="L55" s="1999">
        <v>0</v>
      </c>
      <c r="M55" s="1999">
        <v>0</v>
      </c>
      <c r="N55" s="1999">
        <f t="shared" si="100"/>
        <v>0</v>
      </c>
      <c r="O55" s="1991">
        <f>K55+N55</f>
        <v>3942.7943066700004</v>
      </c>
      <c r="P55" s="1992"/>
      <c r="Q55" s="1992"/>
      <c r="R55" s="1992"/>
      <c r="S55" s="1992"/>
      <c r="T55" s="1992"/>
      <c r="U55" s="1991">
        <f t="shared" si="102"/>
        <v>2562.6575270600001</v>
      </c>
      <c r="V55" s="1991">
        <f t="shared" si="103"/>
        <v>448.78809078000006</v>
      </c>
      <c r="W55" s="1991">
        <f t="shared" si="104"/>
        <v>1.7222043900000001</v>
      </c>
      <c r="X55" s="1991">
        <f t="shared" si="105"/>
        <v>337.64082279000024</v>
      </c>
      <c r="Y55" s="1991">
        <f t="shared" si="106"/>
        <v>3350.8086450200003</v>
      </c>
      <c r="Z55" s="1991">
        <f t="shared" si="107"/>
        <v>249.70447227999998</v>
      </c>
      <c r="AA55" s="1991">
        <f t="shared" si="108"/>
        <v>342.28118936999999</v>
      </c>
      <c r="AB55" s="1991">
        <f t="shared" si="109"/>
        <v>591.98566165</v>
      </c>
      <c r="AC55" s="1991">
        <f t="shared" si="110"/>
        <v>3942.7943066700004</v>
      </c>
      <c r="AD55" s="1991">
        <f t="shared" si="91"/>
        <v>0</v>
      </c>
      <c r="AE55" s="1991">
        <f t="shared" si="92"/>
        <v>0</v>
      </c>
      <c r="AF55" s="1991">
        <f t="shared" si="111"/>
        <v>0</v>
      </c>
      <c r="AG55" s="1991">
        <f t="shared" si="112"/>
        <v>3942.7943066700004</v>
      </c>
      <c r="AH55" s="2357"/>
      <c r="AI55" s="2357"/>
      <c r="AJ55" s="2357"/>
      <c r="AK55" s="2357"/>
      <c r="AN55" s="1990" t="s">
        <v>397</v>
      </c>
      <c r="AO55" s="1991">
        <f>'Feuil-saisie'!$F$144/1000</f>
        <v>2227.2258056700002</v>
      </c>
      <c r="AP55" s="1991">
        <f>'Feuil-saisie'!$F$152/1000</f>
        <v>926.55732805000014</v>
      </c>
      <c r="AQ55" s="1991">
        <f>'Feuil-saisie'!$F$149/1000</f>
        <v>1.3645189500000001</v>
      </c>
      <c r="AR55" s="1991">
        <f t="shared" si="113"/>
        <v>287.69994749</v>
      </c>
      <c r="AS55" s="1991">
        <f t="shared" si="114"/>
        <v>3442.8476001600002</v>
      </c>
      <c r="AT55" s="1991">
        <f>'Feuil-saisie'!$F$151/1000</f>
        <v>532.47806520000006</v>
      </c>
      <c r="AU55" s="1991">
        <f>'Feuil-saisie'!$F$148/1000</f>
        <v>883.34545705999994</v>
      </c>
      <c r="AV55" s="1991">
        <f t="shared" si="93"/>
        <v>1415.8235222600001</v>
      </c>
      <c r="AW55" s="1991">
        <f t="shared" si="94"/>
        <v>4858.6711224200008</v>
      </c>
      <c r="AX55" s="1991">
        <f>'Feuil-saisie'!$F$159/1000</f>
        <v>0</v>
      </c>
      <c r="AY55" s="1991">
        <f>'Feuil-saisie'!$F$160/1000</f>
        <v>0</v>
      </c>
      <c r="AZ55" s="1991">
        <f t="shared" si="115"/>
        <v>0</v>
      </c>
      <c r="BA55" s="1991">
        <f>AW55+AZ55</f>
        <v>4858.6711224200008</v>
      </c>
      <c r="BB55" s="1992"/>
      <c r="BC55" s="1992"/>
      <c r="BD55" s="1992"/>
      <c r="BE55" s="1992"/>
      <c r="BF55" s="1992"/>
      <c r="BG55" s="1991">
        <f t="shared" si="117"/>
        <v>2227.2258056700002</v>
      </c>
      <c r="BH55" s="1991">
        <f t="shared" si="118"/>
        <v>926.55732805000014</v>
      </c>
      <c r="BI55" s="1991">
        <f t="shared" si="119"/>
        <v>1.3645189500000001</v>
      </c>
      <c r="BJ55" s="1991">
        <f t="shared" si="120"/>
        <v>287.69994749</v>
      </c>
      <c r="BK55" s="1991">
        <f t="shared" si="121"/>
        <v>3442.8476001600002</v>
      </c>
      <c r="BL55" s="1991">
        <f t="shared" si="122"/>
        <v>532.47806520000006</v>
      </c>
      <c r="BM55" s="1991">
        <f t="shared" si="123"/>
        <v>883.34545705999994</v>
      </c>
      <c r="BN55" s="1991">
        <f t="shared" si="124"/>
        <v>1415.8235222600001</v>
      </c>
      <c r="BO55" s="1991">
        <f t="shared" si="125"/>
        <v>4858.6711224200008</v>
      </c>
      <c r="BP55" s="1991">
        <f t="shared" si="95"/>
        <v>0</v>
      </c>
      <c r="BQ55" s="1991">
        <f t="shared" si="96"/>
        <v>0</v>
      </c>
      <c r="BR55" s="1991">
        <f t="shared" si="126"/>
        <v>0</v>
      </c>
      <c r="BS55" s="1991">
        <f t="shared" si="127"/>
        <v>4858.6711224200008</v>
      </c>
      <c r="BT55" s="1449" t="s">
        <v>397</v>
      </c>
      <c r="BU55" s="2089">
        <f>'Feuil-saisie'!$F$162/1000</f>
        <v>271.18305198000002</v>
      </c>
      <c r="BV55" s="2090">
        <f>'Feuil-saisie'!$F$163/1000</f>
        <v>16.516895510000001</v>
      </c>
    </row>
    <row r="56" spans="1:75" ht="15.6">
      <c r="B56" s="1990" t="s">
        <v>399</v>
      </c>
      <c r="C56" s="1999">
        <v>3792.74995932</v>
      </c>
      <c r="D56" s="1999">
        <v>1390.26048926</v>
      </c>
      <c r="E56" s="1999">
        <v>64.795368799999991</v>
      </c>
      <c r="F56" s="1999">
        <v>392.33049818167495</v>
      </c>
      <c r="G56" s="1999">
        <f t="shared" si="97"/>
        <v>5640.1363155616746</v>
      </c>
      <c r="H56" s="1999">
        <v>120.96605145999999</v>
      </c>
      <c r="I56" s="1999">
        <v>84.94619247</v>
      </c>
      <c r="J56" s="1999">
        <f t="shared" si="98"/>
        <v>205.91224392999999</v>
      </c>
      <c r="K56" s="1999">
        <f t="shared" si="99"/>
        <v>5846.0485594916745</v>
      </c>
      <c r="L56" s="1999">
        <v>67.681406660000007</v>
      </c>
      <c r="M56" s="1999">
        <v>37.033948040000006</v>
      </c>
      <c r="N56" s="1999">
        <f t="shared" si="100"/>
        <v>104.71535470000001</v>
      </c>
      <c r="O56" s="1991">
        <f t="shared" si="101"/>
        <v>5950.7639141916743</v>
      </c>
      <c r="P56" s="1992"/>
      <c r="Q56" s="1992"/>
      <c r="R56" s="1992"/>
      <c r="S56" s="1992"/>
      <c r="T56" s="1992"/>
      <c r="U56" s="1991">
        <f t="shared" si="102"/>
        <v>3792.74995932</v>
      </c>
      <c r="V56" s="1991">
        <f t="shared" si="103"/>
        <v>1390.26048926</v>
      </c>
      <c r="W56" s="1991">
        <f t="shared" si="104"/>
        <v>64.795368799999991</v>
      </c>
      <c r="X56" s="1991">
        <f t="shared" si="105"/>
        <v>392.33049818167495</v>
      </c>
      <c r="Y56" s="1991">
        <f t="shared" si="106"/>
        <v>5640.1363155616746</v>
      </c>
      <c r="Z56" s="1991">
        <f t="shared" si="107"/>
        <v>120.96605145999999</v>
      </c>
      <c r="AA56" s="1991">
        <f t="shared" si="108"/>
        <v>84.94619247</v>
      </c>
      <c r="AB56" s="1991">
        <f t="shared" si="109"/>
        <v>205.91224392999999</v>
      </c>
      <c r="AC56" s="1991">
        <f t="shared" si="110"/>
        <v>5846.0485594916745</v>
      </c>
      <c r="AD56" s="1991">
        <f t="shared" si="91"/>
        <v>67.681406660000007</v>
      </c>
      <c r="AE56" s="1991">
        <f t="shared" si="92"/>
        <v>37.033948040000006</v>
      </c>
      <c r="AF56" s="1991">
        <f t="shared" si="111"/>
        <v>104.71535470000001</v>
      </c>
      <c r="AG56" s="1991">
        <f t="shared" si="112"/>
        <v>5950.7639141916743</v>
      </c>
      <c r="AH56" s="2357"/>
      <c r="AI56" s="2357"/>
      <c r="AJ56" s="2357"/>
      <c r="AK56" s="2357"/>
      <c r="AN56" s="1990" t="s">
        <v>399</v>
      </c>
      <c r="AO56" s="1991">
        <f>'Feuil-saisie'!$F$167/1000</f>
        <v>3679.3448008300002</v>
      </c>
      <c r="AP56" s="1991">
        <f>'Feuil-saisie'!$F$175/1000</f>
        <v>1592.2986817400001</v>
      </c>
      <c r="AQ56" s="1991">
        <f>'Feuil-saisie'!$F$172/1000</f>
        <v>74.681716069999993</v>
      </c>
      <c r="AR56" s="1991">
        <f t="shared" si="113"/>
        <v>685.56514361999996</v>
      </c>
      <c r="AS56" s="1991">
        <f t="shared" si="114"/>
        <v>6031.8903422599997</v>
      </c>
      <c r="AT56" s="1991">
        <f>'Feuil-saisie'!$F$174/1000</f>
        <v>233.87917936000102</v>
      </c>
      <c r="AU56" s="1991">
        <f>'Feuil-saisie'!$F$171/1000</f>
        <v>341.64743417000301</v>
      </c>
      <c r="AV56" s="1991">
        <f t="shared" si="93"/>
        <v>575.52661353000406</v>
      </c>
      <c r="AW56" s="1991">
        <f t="shared" si="94"/>
        <v>6607.4169557900041</v>
      </c>
      <c r="AX56" s="1991">
        <f>'Feuil-saisie'!$F$182/1000</f>
        <v>67.681406660000007</v>
      </c>
      <c r="AY56" s="1991">
        <f>'Feuil-saisie'!$F$183/1000</f>
        <v>22.207948040000002</v>
      </c>
      <c r="AZ56" s="1991">
        <f t="shared" si="115"/>
        <v>89.889354700000013</v>
      </c>
      <c r="BA56" s="1991">
        <f t="shared" si="116"/>
        <v>6697.3063104900039</v>
      </c>
      <c r="BB56" s="1992">
        <f>'Feuil-saisie'!F176/1000</f>
        <v>0</v>
      </c>
      <c r="BC56" s="1992">
        <f>'Feuil-saisie'!F178/1000</f>
        <v>0</v>
      </c>
      <c r="BD56" s="1992">
        <f>'Feuil-saisie'!F177/1000</f>
        <v>0</v>
      </c>
      <c r="BE56" s="1992"/>
      <c r="BF56" s="1992"/>
      <c r="BG56" s="1991">
        <f t="shared" si="117"/>
        <v>3679.3448008300002</v>
      </c>
      <c r="BH56" s="1991">
        <f t="shared" si="118"/>
        <v>1592.2986817400001</v>
      </c>
      <c r="BI56" s="1991">
        <f t="shared" si="119"/>
        <v>74.681716069999993</v>
      </c>
      <c r="BJ56" s="1991">
        <f t="shared" si="120"/>
        <v>685.56514361999996</v>
      </c>
      <c r="BK56" s="1991">
        <f t="shared" si="121"/>
        <v>6031.8903422599997</v>
      </c>
      <c r="BL56" s="1991">
        <f t="shared" si="122"/>
        <v>233.87917936000102</v>
      </c>
      <c r="BM56" s="1991">
        <f t="shared" si="123"/>
        <v>341.64743417000301</v>
      </c>
      <c r="BN56" s="1991">
        <f t="shared" si="124"/>
        <v>575.52661353000406</v>
      </c>
      <c r="BO56" s="1991">
        <f t="shared" si="125"/>
        <v>6607.4169557900041</v>
      </c>
      <c r="BP56" s="1991">
        <f t="shared" si="95"/>
        <v>67.681406660000007</v>
      </c>
      <c r="BQ56" s="1991">
        <f t="shared" si="96"/>
        <v>22.207948040000002</v>
      </c>
      <c r="BR56" s="1991">
        <f t="shared" si="126"/>
        <v>89.889354700000013</v>
      </c>
      <c r="BS56" s="1991">
        <f t="shared" si="127"/>
        <v>6697.3063104900039</v>
      </c>
      <c r="BT56" s="1449" t="s">
        <v>399</v>
      </c>
      <c r="BU56" s="2089">
        <f>'Feuil-saisie'!$F$185/1000</f>
        <v>507.8214825899999</v>
      </c>
      <c r="BV56" s="2090">
        <f>'Feuil-saisie'!$F$186/1000</f>
        <v>177.74366103000003</v>
      </c>
    </row>
    <row r="57" spans="1:75" ht="15.6">
      <c r="B57" s="1990" t="s">
        <v>883</v>
      </c>
      <c r="C57" s="1999">
        <v>2527.2472222200004</v>
      </c>
      <c r="D57" s="1999">
        <v>552.96241952000003</v>
      </c>
      <c r="E57" s="1999">
        <v>2.1102258199999988</v>
      </c>
      <c r="F57" s="1999">
        <v>62.007790950792746</v>
      </c>
      <c r="G57" s="1999">
        <f t="shared" si="97"/>
        <v>3144.3276585107928</v>
      </c>
      <c r="H57" s="1999">
        <v>212.64672328000003</v>
      </c>
      <c r="I57" s="1999">
        <v>242.77849056000005</v>
      </c>
      <c r="J57" s="1999">
        <f t="shared" si="98"/>
        <v>455.42521384000008</v>
      </c>
      <c r="K57" s="1999">
        <f t="shared" si="99"/>
        <v>3599.752872350793</v>
      </c>
      <c r="L57" s="1999">
        <v>260.31308668999998</v>
      </c>
      <c r="M57" s="1999">
        <v>53.582039313188993</v>
      </c>
      <c r="N57" s="1999">
        <f t="shared" si="100"/>
        <v>313.89512600318898</v>
      </c>
      <c r="O57" s="1991">
        <f t="shared" si="101"/>
        <v>3913.6479983539821</v>
      </c>
      <c r="P57" s="1992"/>
      <c r="Q57" s="1992"/>
      <c r="R57" s="1992"/>
      <c r="S57" s="1992"/>
      <c r="T57" s="1992"/>
      <c r="U57" s="1991">
        <f t="shared" si="102"/>
        <v>2527.2472222200004</v>
      </c>
      <c r="V57" s="1991">
        <f t="shared" si="103"/>
        <v>552.96241952000003</v>
      </c>
      <c r="W57" s="1991">
        <f t="shared" si="104"/>
        <v>2.1102258199999988</v>
      </c>
      <c r="X57" s="1991">
        <f t="shared" si="105"/>
        <v>62.007790950792746</v>
      </c>
      <c r="Y57" s="1991">
        <f t="shared" si="106"/>
        <v>3144.3276585107928</v>
      </c>
      <c r="Z57" s="1991">
        <f t="shared" si="107"/>
        <v>212.64672328000003</v>
      </c>
      <c r="AA57" s="1991">
        <f t="shared" si="108"/>
        <v>242.77849056000005</v>
      </c>
      <c r="AB57" s="1991">
        <f t="shared" si="109"/>
        <v>455.42521384000008</v>
      </c>
      <c r="AC57" s="1991">
        <f t="shared" si="110"/>
        <v>3599.752872350793</v>
      </c>
      <c r="AD57" s="1991">
        <f t="shared" si="91"/>
        <v>260.31308668999998</v>
      </c>
      <c r="AE57" s="1991">
        <f t="shared" si="92"/>
        <v>53.582039313188993</v>
      </c>
      <c r="AF57" s="1991">
        <f t="shared" si="111"/>
        <v>313.89512600318898</v>
      </c>
      <c r="AG57" s="1991">
        <f t="shared" si="112"/>
        <v>3913.6479983539821</v>
      </c>
      <c r="AH57" s="2357"/>
      <c r="AI57" s="2357"/>
      <c r="AJ57" s="2357"/>
      <c r="AK57" s="2357"/>
      <c r="AN57" s="1990" t="s">
        <v>883</v>
      </c>
      <c r="AO57" s="1991">
        <f>'Feuil-saisie'!$F$190/1000</f>
        <v>2338.34424803</v>
      </c>
      <c r="AP57" s="1991">
        <f>'Feuil-saisie'!$F$198/1000</f>
        <v>622.07414440999992</v>
      </c>
      <c r="AQ57" s="1991">
        <f>'Feuil-saisie'!$F$195/1000</f>
        <v>2.0597286499999998</v>
      </c>
      <c r="AR57" s="1991">
        <f t="shared" si="113"/>
        <v>67.74665718</v>
      </c>
      <c r="AS57" s="1991">
        <f t="shared" si="114"/>
        <v>3030.2247782700001</v>
      </c>
      <c r="AT57" s="1991">
        <f>'Feuil-saisie'!$F$197/1000</f>
        <v>267.67756793000001</v>
      </c>
      <c r="AU57" s="1991">
        <f>'Feuil-saisie'!$F$194/1000</f>
        <v>430.02894996000003</v>
      </c>
      <c r="AV57" s="1991">
        <f t="shared" si="93"/>
        <v>697.70651788999999</v>
      </c>
      <c r="AW57" s="1991">
        <f t="shared" si="94"/>
        <v>3727.9312961599999</v>
      </c>
      <c r="AX57" s="1991">
        <f>'Feuil-saisie'!$F$205/1000</f>
        <v>737.79112280000004</v>
      </c>
      <c r="AY57" s="1991">
        <f>'Feuil-saisie'!$F$206/1000</f>
        <v>42.526430619999999</v>
      </c>
      <c r="AZ57" s="1991">
        <f t="shared" si="115"/>
        <v>780.31755342000008</v>
      </c>
      <c r="BA57" s="1991">
        <f t="shared" si="116"/>
        <v>4508.2488495799998</v>
      </c>
      <c r="BB57" s="1992">
        <f>'Feuil-saisie'!F199/1000</f>
        <v>0</v>
      </c>
      <c r="BC57" s="1992"/>
      <c r="BD57" s="1992">
        <f>'Feuil-saisie'!F200/1000</f>
        <v>0</v>
      </c>
      <c r="BE57" s="1992"/>
      <c r="BF57" s="1992"/>
      <c r="BG57" s="1991">
        <f t="shared" si="117"/>
        <v>2338.34424803</v>
      </c>
      <c r="BH57" s="1991">
        <f t="shared" si="118"/>
        <v>622.07414440999992</v>
      </c>
      <c r="BI57" s="1991">
        <f t="shared" si="119"/>
        <v>2.0597286499999998</v>
      </c>
      <c r="BJ57" s="1991">
        <f t="shared" si="120"/>
        <v>67.74665718</v>
      </c>
      <c r="BK57" s="1991">
        <f t="shared" si="121"/>
        <v>3030.2247782700001</v>
      </c>
      <c r="BL57" s="1991">
        <f t="shared" si="122"/>
        <v>267.67756793000001</v>
      </c>
      <c r="BM57" s="1991">
        <f t="shared" si="123"/>
        <v>430.02894996000003</v>
      </c>
      <c r="BN57" s="1991">
        <f t="shared" si="124"/>
        <v>697.70651788999999</v>
      </c>
      <c r="BO57" s="1991">
        <f t="shared" si="125"/>
        <v>3727.9312961599999</v>
      </c>
      <c r="BP57" s="1991">
        <f t="shared" si="95"/>
        <v>737.79112280000004</v>
      </c>
      <c r="BQ57" s="1991">
        <f t="shared" si="96"/>
        <v>42.526430619999999</v>
      </c>
      <c r="BR57" s="1991">
        <f t="shared" si="126"/>
        <v>780.31755342000008</v>
      </c>
      <c r="BS57" s="1991">
        <f t="shared" si="127"/>
        <v>4508.2488495799998</v>
      </c>
      <c r="BT57" s="1449" t="s">
        <v>883</v>
      </c>
      <c r="BU57" s="2089">
        <f>'Feuil-saisie'!$F$208/1000</f>
        <v>11.30682</v>
      </c>
      <c r="BV57" s="2090">
        <f>'Feuil-saisie'!$F$209/1000</f>
        <v>56.439837179999998</v>
      </c>
    </row>
    <row r="58" spans="1:75" ht="15.6">
      <c r="B58" s="1990" t="s">
        <v>884</v>
      </c>
      <c r="C58" s="1999">
        <v>3093.1483757739966</v>
      </c>
      <c r="D58" s="1999">
        <v>544.65167861999998</v>
      </c>
      <c r="E58" s="1999">
        <v>84.938978559999995</v>
      </c>
      <c r="F58" s="1999">
        <v>1625.1248122200002</v>
      </c>
      <c r="G58" s="1999">
        <f t="shared" si="97"/>
        <v>5347.8638451739971</v>
      </c>
      <c r="H58" s="1999">
        <v>221.98530389999999</v>
      </c>
      <c r="I58" s="1999">
        <v>103.86933888999999</v>
      </c>
      <c r="J58" s="1999">
        <f t="shared" si="98"/>
        <v>325.85464278999996</v>
      </c>
      <c r="K58" s="1999">
        <f t="shared" si="99"/>
        <v>5673.7184879639972</v>
      </c>
      <c r="L58" s="1999">
        <v>191.97531171</v>
      </c>
      <c r="M58" s="1999">
        <v>67.967816819999996</v>
      </c>
      <c r="N58" s="1999">
        <f t="shared" si="100"/>
        <v>259.94312852999997</v>
      </c>
      <c r="O58" s="1991">
        <f t="shared" si="101"/>
        <v>5933.6616164939969</v>
      </c>
      <c r="P58" s="1992">
        <v>2.7266647800000001</v>
      </c>
      <c r="Q58" s="1992"/>
      <c r="R58" s="1992">
        <v>28.161458310000004</v>
      </c>
      <c r="S58" s="1992">
        <v>0.16764871000000003</v>
      </c>
      <c r="T58" s="1992">
        <v>0.64817778000000004</v>
      </c>
      <c r="U58" s="1991">
        <f t="shared" si="102"/>
        <v>3093.1483757739966</v>
      </c>
      <c r="V58" s="1991">
        <f t="shared" si="103"/>
        <v>541.92501384000002</v>
      </c>
      <c r="W58" s="1991">
        <f t="shared" si="104"/>
        <v>84.771329850000001</v>
      </c>
      <c r="X58" s="1991">
        <f t="shared" si="105"/>
        <v>1625.1248122200002</v>
      </c>
      <c r="Y58" s="1991">
        <f t="shared" si="106"/>
        <v>5344.9695316839961</v>
      </c>
      <c r="Z58" s="1991">
        <f t="shared" si="107"/>
        <v>193.82384558999999</v>
      </c>
      <c r="AA58" s="1991">
        <f t="shared" si="108"/>
        <v>103.22116111</v>
      </c>
      <c r="AB58" s="1991">
        <f t="shared" si="109"/>
        <v>297.04500669999999</v>
      </c>
      <c r="AC58" s="1991">
        <f t="shared" si="110"/>
        <v>5642.0145383839963</v>
      </c>
      <c r="AD58" s="1991">
        <f t="shared" si="91"/>
        <v>191.97531171</v>
      </c>
      <c r="AE58" s="1991">
        <f t="shared" si="92"/>
        <v>67.967816819999996</v>
      </c>
      <c r="AF58" s="1991">
        <f t="shared" si="111"/>
        <v>259.94312852999997</v>
      </c>
      <c r="AG58" s="1991">
        <f t="shared" si="112"/>
        <v>5901.957666913996</v>
      </c>
      <c r="AH58" s="2357"/>
      <c r="AI58" s="2357"/>
      <c r="AJ58" s="2357"/>
      <c r="AK58" s="2357"/>
      <c r="AN58" s="1990" t="s">
        <v>884</v>
      </c>
      <c r="AO58" s="1991">
        <f>'Feuil-saisie'!$F$213/1000</f>
        <v>3147.4732489500011</v>
      </c>
      <c r="AP58" s="1991">
        <f>'Feuil-saisie'!$F$221/1000</f>
        <v>574.01086133000001</v>
      </c>
      <c r="AQ58" s="1991">
        <f>'Feuil-saisie'!$F$218/1000</f>
        <v>93.483855149999997</v>
      </c>
      <c r="AR58" s="1991">
        <f t="shared" si="113"/>
        <v>1534.53340925</v>
      </c>
      <c r="AS58" s="1991">
        <f t="shared" si="114"/>
        <v>5349.5013746800014</v>
      </c>
      <c r="AT58" s="1991">
        <f>'Feuil-saisie'!$F$220/1000</f>
        <v>270.05032490999997</v>
      </c>
      <c r="AU58" s="1991">
        <f>'Feuil-saisie'!$F$217/1000</f>
        <v>367.19766829000002</v>
      </c>
      <c r="AV58" s="1991">
        <f t="shared" si="93"/>
        <v>637.2479932</v>
      </c>
      <c r="AW58" s="1991">
        <f t="shared" si="94"/>
        <v>5986.749367880001</v>
      </c>
      <c r="AX58" s="1991">
        <f>'Feuil-saisie'!$F$230/1000</f>
        <v>386.12088660000001</v>
      </c>
      <c r="AY58" s="1991">
        <f>'Feuil-saisie'!$F$231/1000</f>
        <v>79.641785159999955</v>
      </c>
      <c r="AZ58" s="1991">
        <f t="shared" si="115"/>
        <v>465.76267175999999</v>
      </c>
      <c r="BA58" s="1991">
        <f t="shared" si="116"/>
        <v>6452.5120396400007</v>
      </c>
      <c r="BB58" s="1992">
        <f>'Feuil-saisie'!F222/1000</f>
        <v>2.6420681099999999</v>
      </c>
      <c r="BC58" s="1992"/>
      <c r="BD58" s="1992">
        <f>'Feuil-saisie'!F225/1000</f>
        <v>0.68453063000000003</v>
      </c>
      <c r="BE58" s="1992">
        <f>'Feuil-saisie'!F223/1000</f>
        <v>0.11534985</v>
      </c>
      <c r="BF58" s="1992">
        <f>'Feuil-saisie'!F224/1000</f>
        <v>0.46591656999999997</v>
      </c>
      <c r="BG58" s="1991">
        <f t="shared" si="117"/>
        <v>3147.4732489500011</v>
      </c>
      <c r="BH58" s="1991">
        <f t="shared" si="118"/>
        <v>571.36879322000004</v>
      </c>
      <c r="BI58" s="1991">
        <f t="shared" si="119"/>
        <v>93.368505299999995</v>
      </c>
      <c r="BJ58" s="1991">
        <f t="shared" si="120"/>
        <v>1534.53340925</v>
      </c>
      <c r="BK58" s="1991">
        <f t="shared" si="121"/>
        <v>5346.7439567200008</v>
      </c>
      <c r="BL58" s="1991">
        <f t="shared" si="122"/>
        <v>269.36579427999999</v>
      </c>
      <c r="BM58" s="1991">
        <f t="shared" si="123"/>
        <v>366.73175172000003</v>
      </c>
      <c r="BN58" s="1991">
        <f t="shared" si="124"/>
        <v>636.09754599999997</v>
      </c>
      <c r="BO58" s="1991">
        <f t="shared" si="125"/>
        <v>5982.8415027200008</v>
      </c>
      <c r="BP58" s="1991">
        <f t="shared" si="95"/>
        <v>386.12088660000001</v>
      </c>
      <c r="BQ58" s="1991">
        <f t="shared" si="96"/>
        <v>79.641785159999955</v>
      </c>
      <c r="BR58" s="1991">
        <f t="shared" si="126"/>
        <v>465.76267175999999</v>
      </c>
      <c r="BS58" s="1991">
        <f t="shared" si="127"/>
        <v>6448.6041744800004</v>
      </c>
      <c r="BT58" s="1449" t="s">
        <v>884</v>
      </c>
      <c r="BU58" s="2089">
        <f>'Feuil-saisie'!$F$233/1000</f>
        <v>1027.18029372</v>
      </c>
      <c r="BV58" s="2090">
        <f>'Feuil-saisie'!$F$234/1000</f>
        <v>507.35311552999997</v>
      </c>
    </row>
    <row r="59" spans="1:75" ht="15.6">
      <c r="B59" s="1990" t="s">
        <v>885</v>
      </c>
      <c r="C59" s="1999">
        <v>678.70136760000003</v>
      </c>
      <c r="D59" s="1999">
        <v>56.707722339999989</v>
      </c>
      <c r="E59" s="1999">
        <v>18.63543044</v>
      </c>
      <c r="F59" s="1999">
        <v>7.9134315200000005</v>
      </c>
      <c r="G59" s="1999">
        <f t="shared" si="97"/>
        <v>761.95795190000013</v>
      </c>
      <c r="H59" s="1999">
        <v>117.26619413000002</v>
      </c>
      <c r="I59" s="1999">
        <v>147.00117177999999</v>
      </c>
      <c r="J59" s="1999">
        <f t="shared" si="98"/>
        <v>264.26736591000002</v>
      </c>
      <c r="K59" s="1999">
        <f t="shared" si="99"/>
        <v>1026.2253178100002</v>
      </c>
      <c r="L59" s="1999">
        <v>83.70854992999999</v>
      </c>
      <c r="M59" s="1999">
        <v>10.55607137</v>
      </c>
      <c r="N59" s="1999">
        <f t="shared" si="100"/>
        <v>94.264621299999988</v>
      </c>
      <c r="O59" s="1991">
        <f t="shared" si="101"/>
        <v>1120.4899391100003</v>
      </c>
      <c r="P59" s="1992"/>
      <c r="Q59" s="1992"/>
      <c r="R59" s="1992"/>
      <c r="S59" s="1992"/>
      <c r="T59" s="1992"/>
      <c r="U59" s="1991">
        <f t="shared" si="102"/>
        <v>678.70136760000003</v>
      </c>
      <c r="V59" s="1991">
        <f t="shared" si="103"/>
        <v>56.707722339999989</v>
      </c>
      <c r="W59" s="1991">
        <f t="shared" si="104"/>
        <v>18.63543044</v>
      </c>
      <c r="X59" s="1991">
        <f t="shared" si="105"/>
        <v>7.9134315200000005</v>
      </c>
      <c r="Y59" s="1991">
        <f t="shared" si="106"/>
        <v>761.95795190000013</v>
      </c>
      <c r="Z59" s="1991">
        <f t="shared" si="107"/>
        <v>117.26619413000002</v>
      </c>
      <c r="AA59" s="1991">
        <f t="shared" si="108"/>
        <v>147.00117177999999</v>
      </c>
      <c r="AB59" s="1991">
        <f t="shared" si="109"/>
        <v>264.26736591000002</v>
      </c>
      <c r="AC59" s="1991">
        <f t="shared" si="110"/>
        <v>1026.2253178100002</v>
      </c>
      <c r="AD59" s="1991">
        <f t="shared" si="91"/>
        <v>83.70854992999999</v>
      </c>
      <c r="AE59" s="1991">
        <f t="shared" si="92"/>
        <v>10.55607137</v>
      </c>
      <c r="AF59" s="1991">
        <f t="shared" si="111"/>
        <v>94.264621299999988</v>
      </c>
      <c r="AG59" s="1991">
        <f t="shared" si="112"/>
        <v>1120.4899391100003</v>
      </c>
      <c r="AH59" s="2357"/>
      <c r="AI59" s="2357"/>
      <c r="AJ59" s="2357"/>
      <c r="AK59" s="2357"/>
      <c r="AN59" s="1990" t="s">
        <v>885</v>
      </c>
      <c r="AO59" s="1991">
        <f>'Feuil-saisie'!$F$238/1000</f>
        <v>885.73862006000013</v>
      </c>
      <c r="AP59" s="1991">
        <f>'Feuil-saisie'!$F$246/1000</f>
        <v>72.944645000000008</v>
      </c>
      <c r="AQ59" s="1991">
        <f>'Feuil-saisie'!$F$243/1000</f>
        <v>24.910777119999999</v>
      </c>
      <c r="AR59" s="1991">
        <f t="shared" si="113"/>
        <v>8.2539866899999996</v>
      </c>
      <c r="AS59" s="1991">
        <f>SUM(AO59:AR59)</f>
        <v>991.84802887000023</v>
      </c>
      <c r="AT59" s="1991">
        <f>'Feuil-saisie'!$F$245/1000</f>
        <v>57.467720420000099</v>
      </c>
      <c r="AU59" s="1991">
        <f>'Feuil-saisie'!$F$242/1000</f>
        <v>160.69785524</v>
      </c>
      <c r="AV59" s="1991">
        <f>SUM(AT59:AU59)</f>
        <v>218.16557566000009</v>
      </c>
      <c r="AW59" s="1991">
        <f t="shared" si="94"/>
        <v>1210.0136045300003</v>
      </c>
      <c r="AX59" s="1991">
        <f>'Feuil-saisie'!$F$253/1000</f>
        <v>434.79264876000002</v>
      </c>
      <c r="AY59" s="1991">
        <f>'Feuil-saisie'!$F$254/1000</f>
        <v>13.828555770000001</v>
      </c>
      <c r="AZ59" s="1991">
        <f t="shared" si="115"/>
        <v>448.62120453</v>
      </c>
      <c r="BA59" s="1991">
        <f t="shared" si="116"/>
        <v>1658.6348090600004</v>
      </c>
      <c r="BB59" s="1992">
        <f>'Feuil-saisie'!F247/1000</f>
        <v>0</v>
      </c>
      <c r="BC59" s="1992"/>
      <c r="BD59" s="1992">
        <f>'Feuil-saisie'!F248/1000</f>
        <v>4.0431282500000005</v>
      </c>
      <c r="BE59" s="1992"/>
      <c r="BF59" s="1992"/>
      <c r="BG59" s="1991">
        <f t="shared" si="117"/>
        <v>885.73862006000013</v>
      </c>
      <c r="BH59" s="1991">
        <f t="shared" si="118"/>
        <v>72.944645000000008</v>
      </c>
      <c r="BI59" s="1991">
        <f t="shared" si="119"/>
        <v>24.910777119999999</v>
      </c>
      <c r="BJ59" s="1991">
        <f t="shared" si="120"/>
        <v>8.2539866899999996</v>
      </c>
      <c r="BK59" s="1991">
        <f t="shared" si="121"/>
        <v>991.84802887000023</v>
      </c>
      <c r="BL59" s="1991">
        <f t="shared" si="122"/>
        <v>53.424592170000096</v>
      </c>
      <c r="BM59" s="1991">
        <f t="shared" si="123"/>
        <v>160.69785524</v>
      </c>
      <c r="BN59" s="1991">
        <f t="shared" si="124"/>
        <v>214.12244741000009</v>
      </c>
      <c r="BO59" s="1991">
        <f t="shared" si="125"/>
        <v>1205.9704762800004</v>
      </c>
      <c r="BP59" s="1991">
        <f t="shared" si="95"/>
        <v>434.79264876000002</v>
      </c>
      <c r="BQ59" s="1991">
        <f t="shared" si="96"/>
        <v>13.828555770000001</v>
      </c>
      <c r="BR59" s="1991">
        <f t="shared" si="126"/>
        <v>448.62120453</v>
      </c>
      <c r="BS59" s="1991">
        <f t="shared" si="127"/>
        <v>1654.5916808100005</v>
      </c>
      <c r="BT59" s="1449" t="s">
        <v>885</v>
      </c>
      <c r="BU59" s="2089">
        <f>'Feuil-saisie'!$F$256/1000</f>
        <v>0</v>
      </c>
      <c r="BV59" s="2090">
        <f>'Feuil-saisie'!$F$257/1000</f>
        <v>8.2539866899999996</v>
      </c>
    </row>
    <row r="60" spans="1:75" ht="15.6">
      <c r="B60" s="1993" t="s">
        <v>933</v>
      </c>
      <c r="C60" s="1994">
        <f>SUM(C50:C59)</f>
        <v>32973.100713873995</v>
      </c>
      <c r="D60" s="1994">
        <f t="shared" ref="D60:J60" si="128">SUM(D50:D59)</f>
        <v>6972.75342869</v>
      </c>
      <c r="E60" s="1994">
        <f t="shared" si="128"/>
        <v>460.43508658999991</v>
      </c>
      <c r="F60" s="1994">
        <f t="shared" si="128"/>
        <v>3719.4313966384998</v>
      </c>
      <c r="G60" s="1994">
        <f t="shared" si="128"/>
        <v>44125.720625792506</v>
      </c>
      <c r="H60" s="1994">
        <f t="shared" si="128"/>
        <v>2380.6592455699997</v>
      </c>
      <c r="I60" s="1994">
        <f t="shared" si="128"/>
        <v>2162.002498230001</v>
      </c>
      <c r="J60" s="1994">
        <f t="shared" si="128"/>
        <v>4542.6617438000012</v>
      </c>
      <c r="K60" s="1994">
        <f t="shared" ref="K60:R60" si="129">SUM(K50:K59)</f>
        <v>48668.382369592495</v>
      </c>
      <c r="L60" s="1994">
        <f t="shared" si="129"/>
        <v>1815.5578204539991</v>
      </c>
      <c r="M60" s="1994">
        <f t="shared" si="129"/>
        <v>198.22690526318897</v>
      </c>
      <c r="N60" s="1994">
        <f t="shared" si="129"/>
        <v>2013.7847257171884</v>
      </c>
      <c r="O60" s="1994">
        <f t="shared" si="129"/>
        <v>50682.167095309684</v>
      </c>
      <c r="P60" s="1995">
        <f t="shared" si="129"/>
        <v>2.7266647800000001</v>
      </c>
      <c r="Q60" s="1995">
        <f t="shared" si="129"/>
        <v>0</v>
      </c>
      <c r="R60" s="1995">
        <f t="shared" si="129"/>
        <v>28.161458310000004</v>
      </c>
      <c r="S60" s="1995"/>
      <c r="T60" s="1995"/>
      <c r="U60" s="1994">
        <f t="shared" ref="U60:AC60" si="130">SUM(U50:U59)</f>
        <v>32973.100713873995</v>
      </c>
      <c r="V60" s="1994">
        <f t="shared" si="130"/>
        <v>6970.0267639100002</v>
      </c>
      <c r="W60" s="1994">
        <f t="shared" si="130"/>
        <v>460.26743787999993</v>
      </c>
      <c r="X60" s="1994">
        <f t="shared" si="130"/>
        <v>3719.4313966384998</v>
      </c>
      <c r="Y60" s="1994">
        <f t="shared" si="130"/>
        <v>44122.826312302503</v>
      </c>
      <c r="Z60" s="1994">
        <f t="shared" si="130"/>
        <v>2352.4977872599998</v>
      </c>
      <c r="AA60" s="1994">
        <f t="shared" si="130"/>
        <v>2161.3543204500011</v>
      </c>
      <c r="AB60" s="1994">
        <f t="shared" si="130"/>
        <v>4513.8521077100013</v>
      </c>
      <c r="AC60" s="1994">
        <f t="shared" si="130"/>
        <v>48636.678420012497</v>
      </c>
      <c r="AD60" s="1994">
        <f>SUM(AD50:AD59)</f>
        <v>1815.5578204539991</v>
      </c>
      <c r="AE60" s="1994">
        <f>SUM(AE50:AE59)</f>
        <v>198.22690526318897</v>
      </c>
      <c r="AF60" s="1994">
        <f>SUM(AF50:AF59)</f>
        <v>2013.7847257171884</v>
      </c>
      <c r="AG60" s="1994">
        <f>SUM(AG50:AG59)</f>
        <v>50650.463145729678</v>
      </c>
      <c r="AH60" s="2358"/>
      <c r="AI60" s="2358"/>
      <c r="AJ60" s="2358"/>
      <c r="AK60" s="2358"/>
      <c r="AN60" s="1993" t="s">
        <v>933</v>
      </c>
      <c r="AO60" s="1994">
        <f>SUM(AO50:AO59)</f>
        <v>26829.465244010004</v>
      </c>
      <c r="AP60" s="1994">
        <f>SUM(AP50:AP59)</f>
        <v>8053.1927803199997</v>
      </c>
      <c r="AQ60" s="1994">
        <f>SUM(AQ50:AQ59)</f>
        <v>520.13549597000008</v>
      </c>
      <c r="AR60" s="1994">
        <f t="shared" ref="AP60:AV60" si="131">SUM(AR50:AR59)</f>
        <v>3881.5000605600003</v>
      </c>
      <c r="AS60" s="1994">
        <f t="shared" si="131"/>
        <v>39284.293580860001</v>
      </c>
      <c r="AT60" s="1994">
        <f t="shared" si="131"/>
        <v>2630.6408295000015</v>
      </c>
      <c r="AU60" s="1994">
        <f t="shared" si="131"/>
        <v>3749.1728251000027</v>
      </c>
      <c r="AV60" s="1994">
        <f t="shared" si="131"/>
        <v>6379.8136546000051</v>
      </c>
      <c r="AW60" s="1994">
        <f>SUM(AW50:AW59)</f>
        <v>45664.107235460004</v>
      </c>
      <c r="AX60" s="1994">
        <f t="shared" ref="AX60:BF60" si="132">SUM(AX50:AX59)</f>
        <v>3508.7598549800041</v>
      </c>
      <c r="AY60" s="1994">
        <f t="shared" si="132"/>
        <v>173.87134993999996</v>
      </c>
      <c r="AZ60" s="1994">
        <f t="shared" si="132"/>
        <v>3682.6312049200042</v>
      </c>
      <c r="BA60" s="1994">
        <f t="shared" si="132"/>
        <v>49346.73844038001</v>
      </c>
      <c r="BB60" s="1995">
        <f t="shared" si="132"/>
        <v>3.6425568899999998</v>
      </c>
      <c r="BC60" s="1995">
        <f t="shared" si="132"/>
        <v>0</v>
      </c>
      <c r="BD60" s="1995">
        <f t="shared" si="132"/>
        <v>4.7276588800000008</v>
      </c>
      <c r="BE60" s="1995">
        <f t="shared" si="132"/>
        <v>1.1314813800000001</v>
      </c>
      <c r="BF60" s="1995">
        <f t="shared" si="132"/>
        <v>0.46591656999999997</v>
      </c>
      <c r="BG60" s="1994">
        <f t="shared" ref="BG60:BO60" si="133">SUM(BG50:BG59)</f>
        <v>26829.465244010004</v>
      </c>
      <c r="BH60" s="1994">
        <f t="shared" si="133"/>
        <v>8049.5502234300011</v>
      </c>
      <c r="BI60" s="1994">
        <f t="shared" si="133"/>
        <v>519.00401459000011</v>
      </c>
      <c r="BJ60" s="1994">
        <f t="shared" si="133"/>
        <v>3881.5000605600003</v>
      </c>
      <c r="BK60" s="1994">
        <f t="shared" si="133"/>
        <v>39279.519542589995</v>
      </c>
      <c r="BL60" s="1994">
        <f t="shared" si="133"/>
        <v>2625.9131706200014</v>
      </c>
      <c r="BM60" s="1994">
        <f t="shared" si="133"/>
        <v>3748.7069085300027</v>
      </c>
      <c r="BN60" s="1994">
        <f t="shared" si="133"/>
        <v>6374.620079150005</v>
      </c>
      <c r="BO60" s="1994">
        <f t="shared" si="133"/>
        <v>45654.139621740011</v>
      </c>
      <c r="BP60" s="1994">
        <f>SUM(BP50:BP59)</f>
        <v>3508.7598549800041</v>
      </c>
      <c r="BQ60" s="1994">
        <f>SUM(BQ50:BQ59)</f>
        <v>173.87134993999996</v>
      </c>
      <c r="BR60" s="1994">
        <f>SUM(BR50:BR59)</f>
        <v>3682.6312049200042</v>
      </c>
      <c r="BS60" s="1994">
        <f>SUM(BS50:BS59)</f>
        <v>49336.770826660009</v>
      </c>
      <c r="BU60" s="2091">
        <f>SUM(BU50:BU59)</f>
        <v>2501.38525863</v>
      </c>
      <c r="BV60" s="2091">
        <f>SUM(BV50:BV59)</f>
        <v>1380.1148019300001</v>
      </c>
    </row>
    <row r="61" spans="1:75">
      <c r="AC61" s="2000"/>
      <c r="AR61" s="2000">
        <f>AO60+AP60+AQ60</f>
        <v>35402.793520300002</v>
      </c>
      <c r="BO61" s="2000"/>
    </row>
    <row r="63" spans="1:75" ht="21">
      <c r="A63" s="2001"/>
      <c r="B63" s="2002">
        <f>B47</f>
        <v>2023</v>
      </c>
      <c r="C63" s="3315" t="s">
        <v>542</v>
      </c>
      <c r="D63" s="3315"/>
      <c r="E63" s="3315"/>
      <c r="F63" s="3315"/>
      <c r="G63" s="3315"/>
      <c r="H63" s="3315"/>
      <c r="I63" s="3315"/>
      <c r="J63" s="3315"/>
      <c r="K63" s="3315"/>
      <c r="L63" s="2095"/>
      <c r="M63" s="2095"/>
      <c r="N63" s="2095"/>
      <c r="O63" s="2095"/>
      <c r="P63" s="2001"/>
      <c r="Q63" s="2001"/>
      <c r="R63" s="2001"/>
      <c r="S63" s="2001"/>
      <c r="T63" s="2001"/>
      <c r="U63" s="3315" t="s">
        <v>542</v>
      </c>
      <c r="V63" s="3315"/>
      <c r="W63" s="3315"/>
      <c r="X63" s="3315"/>
      <c r="Y63" s="3315"/>
      <c r="Z63" s="3315"/>
      <c r="AA63" s="3315"/>
      <c r="AB63" s="3315"/>
      <c r="AC63" s="3315"/>
      <c r="AD63" s="2095"/>
      <c r="AE63" s="2095"/>
      <c r="AF63" s="2095"/>
      <c r="AG63" s="2095"/>
      <c r="AH63" s="2095"/>
      <c r="AI63" s="2095"/>
      <c r="AJ63" s="2095"/>
      <c r="AK63" s="2095"/>
      <c r="AN63" s="2768">
        <f>AN47</f>
        <v>2024</v>
      </c>
      <c r="AO63" s="3298" t="s">
        <v>1028</v>
      </c>
      <c r="AP63" s="3298"/>
      <c r="AQ63" s="3298"/>
      <c r="AR63" s="3298"/>
      <c r="AS63" s="3298"/>
      <c r="AT63" s="3298"/>
      <c r="AU63" s="3298"/>
      <c r="AV63" s="3298"/>
      <c r="AW63" s="3298"/>
      <c r="AX63" s="2095"/>
      <c r="AY63" s="2095"/>
      <c r="AZ63" s="2095"/>
      <c r="BA63" s="2095"/>
      <c r="BB63" s="2001"/>
      <c r="BC63" s="2001"/>
      <c r="BD63" s="2001"/>
      <c r="BE63" s="2001"/>
      <c r="BF63" s="2001"/>
      <c r="BG63" s="3298" t="s">
        <v>1029</v>
      </c>
      <c r="BH63" s="3298"/>
      <c r="BI63" s="3298"/>
      <c r="BJ63" s="3298"/>
      <c r="BK63" s="3298"/>
      <c r="BL63" s="3298"/>
      <c r="BM63" s="3298"/>
      <c r="BN63" s="3298"/>
      <c r="BO63" s="3298"/>
      <c r="BP63" s="2766"/>
      <c r="BQ63" s="2766"/>
      <c r="BR63" s="2766"/>
      <c r="BS63" s="2766"/>
    </row>
    <row r="64" spans="1:75" ht="15" customHeight="1">
      <c r="A64" s="2001"/>
      <c r="B64" s="3312" t="s">
        <v>308</v>
      </c>
      <c r="C64" s="3310" t="s">
        <v>925</v>
      </c>
      <c r="D64" s="3310"/>
      <c r="E64" s="3310"/>
      <c r="F64" s="3310"/>
      <c r="G64" s="3310"/>
      <c r="H64" s="3310" t="s">
        <v>318</v>
      </c>
      <c r="I64" s="3310"/>
      <c r="J64" s="3310"/>
      <c r="K64" s="3311" t="s">
        <v>926</v>
      </c>
      <c r="L64" s="3295" t="s">
        <v>1001</v>
      </c>
      <c r="M64" s="3296"/>
      <c r="N64" s="3297"/>
      <c r="O64" s="3278" t="s">
        <v>714</v>
      </c>
      <c r="P64" s="3291" t="s">
        <v>763</v>
      </c>
      <c r="Q64" s="3292"/>
      <c r="R64" s="3292"/>
      <c r="S64" s="3292"/>
      <c r="T64" s="3293"/>
      <c r="U64" s="3310" t="s">
        <v>925</v>
      </c>
      <c r="V64" s="3310"/>
      <c r="W64" s="3310"/>
      <c r="X64" s="3310"/>
      <c r="Y64" s="3310"/>
      <c r="Z64" s="3310" t="s">
        <v>318</v>
      </c>
      <c r="AA64" s="3310"/>
      <c r="AB64" s="3310"/>
      <c r="AC64" s="3311" t="s">
        <v>926</v>
      </c>
      <c r="AD64" s="3295" t="s">
        <v>1001</v>
      </c>
      <c r="AE64" s="3296"/>
      <c r="AF64" s="3297"/>
      <c r="AG64" s="3278" t="s">
        <v>714</v>
      </c>
      <c r="AH64" s="2356"/>
      <c r="AI64" s="2356"/>
      <c r="AJ64" s="2356"/>
      <c r="AK64" s="2356"/>
      <c r="AN64" s="3320" t="s">
        <v>308</v>
      </c>
      <c r="AO64" s="3299" t="s">
        <v>925</v>
      </c>
      <c r="AP64" s="3299"/>
      <c r="AQ64" s="3299"/>
      <c r="AR64" s="3299"/>
      <c r="AS64" s="3299"/>
      <c r="AT64" s="3299" t="s">
        <v>318</v>
      </c>
      <c r="AU64" s="3299"/>
      <c r="AV64" s="3299"/>
      <c r="AW64" s="3316" t="s">
        <v>926</v>
      </c>
      <c r="AX64" s="3295" t="s">
        <v>1001</v>
      </c>
      <c r="AY64" s="3296"/>
      <c r="AZ64" s="3297"/>
      <c r="BA64" s="3278" t="s">
        <v>714</v>
      </c>
      <c r="BB64" s="3291" t="s">
        <v>763</v>
      </c>
      <c r="BC64" s="3292"/>
      <c r="BD64" s="3292"/>
      <c r="BE64" s="3292"/>
      <c r="BF64" s="3293"/>
      <c r="BG64" s="3299" t="s">
        <v>925</v>
      </c>
      <c r="BH64" s="3299"/>
      <c r="BI64" s="3299"/>
      <c r="BJ64" s="3299"/>
      <c r="BK64" s="3299"/>
      <c r="BL64" s="3299" t="s">
        <v>318</v>
      </c>
      <c r="BM64" s="3299"/>
      <c r="BN64" s="3299"/>
      <c r="BO64" s="3316" t="s">
        <v>926</v>
      </c>
      <c r="BP64" s="3317" t="s">
        <v>1001</v>
      </c>
      <c r="BQ64" s="3318"/>
      <c r="BR64" s="3319"/>
      <c r="BS64" s="3303" t="s">
        <v>714</v>
      </c>
    </row>
    <row r="65" spans="1:72" ht="15" customHeight="1">
      <c r="A65" s="2001"/>
      <c r="B65" s="3313"/>
      <c r="C65" s="2003" t="s">
        <v>927</v>
      </c>
      <c r="D65" s="2003" t="s">
        <v>928</v>
      </c>
      <c r="E65" s="2003" t="s">
        <v>185</v>
      </c>
      <c r="F65" s="2003" t="s">
        <v>395</v>
      </c>
      <c r="G65" s="2003" t="s">
        <v>929</v>
      </c>
      <c r="H65" s="2003" t="s">
        <v>930</v>
      </c>
      <c r="I65" s="2003" t="s">
        <v>18</v>
      </c>
      <c r="J65" s="2003" t="s">
        <v>726</v>
      </c>
      <c r="K65" s="3311"/>
      <c r="L65" s="1988" t="s">
        <v>318</v>
      </c>
      <c r="M65" s="1988" t="s">
        <v>766</v>
      </c>
      <c r="N65" s="1988" t="s">
        <v>511</v>
      </c>
      <c r="O65" s="3279"/>
      <c r="P65" s="1989" t="s">
        <v>931</v>
      </c>
      <c r="Q65" s="1989" t="s">
        <v>792</v>
      </c>
      <c r="R65" s="1989" t="s">
        <v>932</v>
      </c>
      <c r="S65" s="1989" t="s">
        <v>185</v>
      </c>
      <c r="T65" s="1989" t="s">
        <v>18</v>
      </c>
      <c r="U65" s="2003" t="s">
        <v>927</v>
      </c>
      <c r="V65" s="2003" t="s">
        <v>928</v>
      </c>
      <c r="W65" s="2003" t="s">
        <v>185</v>
      </c>
      <c r="X65" s="2003" t="s">
        <v>395</v>
      </c>
      <c r="Y65" s="2003" t="s">
        <v>929</v>
      </c>
      <c r="Z65" s="2003" t="s">
        <v>930</v>
      </c>
      <c r="AA65" s="2003" t="s">
        <v>18</v>
      </c>
      <c r="AB65" s="2003" t="s">
        <v>726</v>
      </c>
      <c r="AC65" s="3311"/>
      <c r="AD65" s="1988" t="s">
        <v>318</v>
      </c>
      <c r="AE65" s="1988" t="s">
        <v>766</v>
      </c>
      <c r="AF65" s="1988" t="s">
        <v>511</v>
      </c>
      <c r="AG65" s="3279"/>
      <c r="AH65" s="2356"/>
      <c r="AI65" s="2356"/>
      <c r="AJ65" s="2356"/>
      <c r="AK65" s="2356"/>
      <c r="AN65" s="3321"/>
      <c r="AO65" s="2767" t="s">
        <v>927</v>
      </c>
      <c r="AP65" s="2767" t="s">
        <v>928</v>
      </c>
      <c r="AQ65" s="2767" t="s">
        <v>185</v>
      </c>
      <c r="AR65" s="2767" t="s">
        <v>395</v>
      </c>
      <c r="AS65" s="2767" t="s">
        <v>929</v>
      </c>
      <c r="AT65" s="2767" t="s">
        <v>930</v>
      </c>
      <c r="AU65" s="2767" t="s">
        <v>18</v>
      </c>
      <c r="AV65" s="2767" t="s">
        <v>726</v>
      </c>
      <c r="AW65" s="3316"/>
      <c r="AX65" s="1988" t="s">
        <v>318</v>
      </c>
      <c r="AY65" s="1988" t="s">
        <v>766</v>
      </c>
      <c r="AZ65" s="1988" t="s">
        <v>511</v>
      </c>
      <c r="BA65" s="3279"/>
      <c r="BB65" s="1989" t="s">
        <v>931</v>
      </c>
      <c r="BC65" s="1989" t="s">
        <v>792</v>
      </c>
      <c r="BD65" s="1989" t="s">
        <v>932</v>
      </c>
      <c r="BE65" s="1989" t="s">
        <v>185</v>
      </c>
      <c r="BF65" s="1989" t="s">
        <v>18</v>
      </c>
      <c r="BG65" s="2767" t="s">
        <v>927</v>
      </c>
      <c r="BH65" s="2767" t="s">
        <v>928</v>
      </c>
      <c r="BI65" s="2767" t="s">
        <v>185</v>
      </c>
      <c r="BJ65" s="2767" t="s">
        <v>395</v>
      </c>
      <c r="BK65" s="2767" t="s">
        <v>929</v>
      </c>
      <c r="BL65" s="2767" t="s">
        <v>930</v>
      </c>
      <c r="BM65" s="2767" t="s">
        <v>18</v>
      </c>
      <c r="BN65" s="2767" t="s">
        <v>726</v>
      </c>
      <c r="BO65" s="3316"/>
      <c r="BP65" s="2767" t="s">
        <v>318</v>
      </c>
      <c r="BQ65" s="2767" t="s">
        <v>766</v>
      </c>
      <c r="BR65" s="2767" t="s">
        <v>511</v>
      </c>
      <c r="BS65" s="3304"/>
    </row>
    <row r="66" spans="1:72" ht="15.6">
      <c r="A66" s="2001"/>
      <c r="B66" s="2004" t="s">
        <v>6</v>
      </c>
      <c r="C66" s="2005">
        <f>C50/(C35+C4)*100</f>
        <v>77.575153331884522</v>
      </c>
      <c r="D66" s="2005">
        <f t="shared" ref="D66:K66" si="134">D50/(D35+D4)*100</f>
        <v>111.57873383029857</v>
      </c>
      <c r="E66" s="2005">
        <f t="shared" si="134"/>
        <v>94.517350655973274</v>
      </c>
      <c r="F66" s="2005">
        <f t="shared" si="134"/>
        <v>93.663990933256329</v>
      </c>
      <c r="G66" s="2005">
        <f t="shared" si="134"/>
        <v>84.429374665614276</v>
      </c>
      <c r="H66" s="2005">
        <f t="shared" si="134"/>
        <v>46.633890530811577</v>
      </c>
      <c r="I66" s="2005">
        <f t="shared" si="134"/>
        <v>27.561813350605469</v>
      </c>
      <c r="J66" s="2005">
        <f t="shared" si="134"/>
        <v>37.431154838181541</v>
      </c>
      <c r="K66" s="2005">
        <f t="shared" si="134"/>
        <v>78.660474125589616</v>
      </c>
      <c r="L66" s="1991">
        <f t="shared" ref="L66:O76" si="135">L50/(L35+L4)*100</f>
        <v>0</v>
      </c>
      <c r="M66" s="1991">
        <f t="shared" si="135"/>
        <v>0</v>
      </c>
      <c r="N66" s="1991">
        <f t="shared" si="135"/>
        <v>0</v>
      </c>
      <c r="O66" s="1991">
        <f t="shared" si="135"/>
        <v>77.304604581514425</v>
      </c>
      <c r="P66" s="2006"/>
      <c r="Q66" s="2006"/>
      <c r="R66" s="2006"/>
      <c r="S66" s="2006"/>
      <c r="T66" s="2006"/>
      <c r="U66" s="2005">
        <f t="shared" ref="U66:AG66" si="136">U50/(U35+U4)*100</f>
        <v>77.575153331884522</v>
      </c>
      <c r="V66" s="2005">
        <f t="shared" si="136"/>
        <v>164.46745929712193</v>
      </c>
      <c r="W66" s="2005">
        <f t="shared" si="136"/>
        <v>94.517350655973274</v>
      </c>
      <c r="X66" s="2005">
        <f t="shared" si="136"/>
        <v>105.33402790372341</v>
      </c>
      <c r="Y66" s="2005">
        <f t="shared" si="136"/>
        <v>89.937291736104982</v>
      </c>
      <c r="Z66" s="2005">
        <f t="shared" si="136"/>
        <v>46.633890530811577</v>
      </c>
      <c r="AA66" s="2005">
        <f t="shared" si="136"/>
        <v>27.561813350605469</v>
      </c>
      <c r="AB66" s="2005">
        <f t="shared" si="136"/>
        <v>37.431154838181541</v>
      </c>
      <c r="AC66" s="2005">
        <f t="shared" si="136"/>
        <v>83.126397887836603</v>
      </c>
      <c r="AD66" s="1991">
        <f t="shared" si="136"/>
        <v>0</v>
      </c>
      <c r="AE66" s="1991">
        <f t="shared" si="136"/>
        <v>0</v>
      </c>
      <c r="AF66" s="1991">
        <f t="shared" si="136"/>
        <v>0</v>
      </c>
      <c r="AG66" s="1991">
        <f t="shared" si="136"/>
        <v>81.613680127237998</v>
      </c>
      <c r="AH66" s="2357"/>
      <c r="AI66" s="2357"/>
      <c r="AJ66" s="2357"/>
      <c r="AK66" s="2357"/>
      <c r="AN66" s="2771" t="s">
        <v>6</v>
      </c>
      <c r="AO66" s="1991">
        <f>AO50/(AO35+AO4)*100</f>
        <v>60.377867714943569</v>
      </c>
      <c r="AP66" s="1991">
        <f>AP50/(AP35+AP4)*100</f>
        <v>64.559265737201883</v>
      </c>
      <c r="AQ66" s="1991">
        <f>AQ50/(AQ35+AQ4)*100</f>
        <v>97.182786884845896</v>
      </c>
      <c r="AR66" s="1991">
        <f t="shared" ref="AQ66:AZ66" si="137">AR50/(AR35+AR4)*100</f>
        <v>90.619966057329535</v>
      </c>
      <c r="AS66" s="1991">
        <f>AS50/(AS35+AS4)*100</f>
        <v>66.525859367030023</v>
      </c>
      <c r="AT66" s="1991">
        <f t="shared" si="137"/>
        <v>52.260524296443634</v>
      </c>
      <c r="AU66" s="1991">
        <f t="shared" si="137"/>
        <v>39.062206098753585</v>
      </c>
      <c r="AV66" s="1991">
        <f t="shared" si="137"/>
        <v>45.43453795730025</v>
      </c>
      <c r="AW66" s="1991">
        <f t="shared" si="137"/>
        <v>61.973650423565118</v>
      </c>
      <c r="AX66" s="1991">
        <f t="shared" si="137"/>
        <v>0</v>
      </c>
      <c r="AY66" s="1991">
        <f t="shared" si="137"/>
        <v>0</v>
      </c>
      <c r="AZ66" s="1991">
        <f t="shared" si="137"/>
        <v>0</v>
      </c>
      <c r="BA66" s="1991">
        <f>BA50/(BA35+BA4)*100</f>
        <v>59.200710501655941</v>
      </c>
      <c r="BB66" s="2006"/>
      <c r="BC66" s="2006"/>
      <c r="BD66" s="2006"/>
      <c r="BE66" s="2006"/>
      <c r="BF66" s="2006"/>
      <c r="BG66" s="2764">
        <f t="shared" ref="BG66:BS66" si="138">BG50/(BG35+BG4)*100</f>
        <v>60.377867714943569</v>
      </c>
      <c r="BH66" s="2764">
        <f t="shared" si="138"/>
        <v>79.060150337765492</v>
      </c>
      <c r="BI66" s="2764">
        <f t="shared" si="138"/>
        <v>97.182786884845896</v>
      </c>
      <c r="BJ66" s="2764">
        <f t="shared" si="138"/>
        <v>92.748234266561198</v>
      </c>
      <c r="BK66" s="2764">
        <f t="shared" si="138"/>
        <v>74.315667175292745</v>
      </c>
      <c r="BL66" s="2764">
        <f t="shared" si="138"/>
        <v>52.756386025762822</v>
      </c>
      <c r="BM66" s="2764">
        <f t="shared" si="138"/>
        <v>40.149423695135283</v>
      </c>
      <c r="BN66" s="2764">
        <f t="shared" si="138"/>
        <v>46.292949828021847</v>
      </c>
      <c r="BO66" s="2764">
        <f t="shared" si="138"/>
        <v>67.819633534913564</v>
      </c>
      <c r="BP66" s="2764">
        <f t="shared" si="138"/>
        <v>0</v>
      </c>
      <c r="BQ66" s="2764">
        <f t="shared" si="138"/>
        <v>0</v>
      </c>
      <c r="BR66" s="2764">
        <f t="shared" si="138"/>
        <v>0</v>
      </c>
      <c r="BS66" s="2764">
        <f t="shared" si="138"/>
        <v>64.512832879757667</v>
      </c>
    </row>
    <row r="67" spans="1:72" ht="15.6">
      <c r="A67" s="2001"/>
      <c r="B67" s="2004" t="s">
        <v>7</v>
      </c>
      <c r="C67" s="2005">
        <f t="shared" ref="C67:K76" si="139">C51/(C36+C5)*100</f>
        <v>74.203122669942275</v>
      </c>
      <c r="D67" s="2005">
        <f t="shared" si="139"/>
        <v>64.678007690597539</v>
      </c>
      <c r="E67" s="2005">
        <f t="shared" si="139"/>
        <v>98.007863391308916</v>
      </c>
      <c r="F67" s="2005">
        <f>F51/(F36+F5)*100</f>
        <v>41.40864013526992</v>
      </c>
      <c r="G67" s="2005">
        <f t="shared" si="139"/>
        <v>68.563147344490446</v>
      </c>
      <c r="H67" s="2005">
        <f t="shared" si="139"/>
        <v>80.419013269787214</v>
      </c>
      <c r="I67" s="2005">
        <f t="shared" si="139"/>
        <v>81.498742794096657</v>
      </c>
      <c r="J67" s="2005">
        <f t="shared" si="139"/>
        <v>80.980129988600069</v>
      </c>
      <c r="K67" s="2005">
        <f t="shared" si="139"/>
        <v>70.250277673326792</v>
      </c>
      <c r="L67" s="1991">
        <f t="shared" si="135"/>
        <v>26.934581870204187</v>
      </c>
      <c r="M67" s="1991" t="e">
        <f t="shared" si="135"/>
        <v>#DIV/0!</v>
      </c>
      <c r="N67" s="1991">
        <f t="shared" si="135"/>
        <v>26.934581870204187</v>
      </c>
      <c r="O67" s="1991">
        <f t="shared" si="135"/>
        <v>70.146829594446061</v>
      </c>
      <c r="P67" s="2006"/>
      <c r="Q67" s="2006"/>
      <c r="R67" s="2006"/>
      <c r="S67" s="2006"/>
      <c r="T67" s="2006"/>
      <c r="U67" s="2005">
        <f t="shared" ref="U67:AG67" si="140">U51/(U36+U5)*100</f>
        <v>74.203122669942275</v>
      </c>
      <c r="V67" s="2005">
        <f t="shared" si="140"/>
        <v>132.3073984477405</v>
      </c>
      <c r="W67" s="2005">
        <f t="shared" si="140"/>
        <v>98.007863391308916</v>
      </c>
      <c r="X67" s="2005">
        <f t="shared" si="140"/>
        <v>64.569423095307258</v>
      </c>
      <c r="Y67" s="2005">
        <f t="shared" si="140"/>
        <v>79.287743002157157</v>
      </c>
      <c r="Z67" s="2005">
        <f t="shared" si="140"/>
        <v>80.419013269787214</v>
      </c>
      <c r="AA67" s="2005">
        <f t="shared" si="140"/>
        <v>81.498742794096657</v>
      </c>
      <c r="AB67" s="2005">
        <f t="shared" si="140"/>
        <v>80.980129988600069</v>
      </c>
      <c r="AC67" s="2005">
        <f t="shared" si="140"/>
        <v>79.54812691472732</v>
      </c>
      <c r="AD67" s="1991">
        <f t="shared" si="140"/>
        <v>26.934581870204187</v>
      </c>
      <c r="AE67" s="1991" t="e">
        <f t="shared" si="140"/>
        <v>#DIV/0!</v>
      </c>
      <c r="AF67" s="1991">
        <f t="shared" si="140"/>
        <v>26.934581870204187</v>
      </c>
      <c r="AG67" s="1991">
        <f t="shared" si="140"/>
        <v>79.405887696096784</v>
      </c>
      <c r="AH67" s="2357"/>
      <c r="AI67" s="2357"/>
      <c r="AJ67" s="2357"/>
      <c r="AK67" s="2357"/>
      <c r="AN67" s="2771" t="s">
        <v>7</v>
      </c>
      <c r="AO67" s="1991">
        <f>AO51/(AO36+AO5)*100</f>
        <v>72.34005380944933</v>
      </c>
      <c r="AP67" s="1991">
        <f>AP51/(AP36+AP5)*100</f>
        <v>56.582921812744047</v>
      </c>
      <c r="AQ67" s="1991">
        <f t="shared" ref="AO67:BA76" si="141">AQ51/(AQ36+AQ5)*100</f>
        <v>92.231343408122541</v>
      </c>
      <c r="AR67" s="1991">
        <f t="shared" si="141"/>
        <v>61.180251528302477</v>
      </c>
      <c r="AS67" s="1991">
        <f t="shared" si="141"/>
        <v>67.834356436348102</v>
      </c>
      <c r="AT67" s="1991">
        <f t="shared" si="141"/>
        <v>74.82165351191901</v>
      </c>
      <c r="AU67" s="1991">
        <f t="shared" si="141"/>
        <v>91.176944184374747</v>
      </c>
      <c r="AV67" s="1991">
        <f t="shared" si="141"/>
        <v>84.536507136332091</v>
      </c>
      <c r="AW67" s="1991">
        <f t="shared" si="141"/>
        <v>69.853931885693399</v>
      </c>
      <c r="AX67" s="2137">
        <f t="shared" si="141"/>
        <v>18.013584829561371</v>
      </c>
      <c r="AY67" s="2137" t="e">
        <f t="shared" si="141"/>
        <v>#DIV/0!</v>
      </c>
      <c r="AZ67" s="2137">
        <f t="shared" si="141"/>
        <v>18.013584829561371</v>
      </c>
      <c r="BA67" s="1991">
        <f t="shared" si="141"/>
        <v>67.394697109828911</v>
      </c>
      <c r="BB67" s="2006"/>
      <c r="BC67" s="2006"/>
      <c r="BD67" s="2006"/>
      <c r="BE67" s="2006"/>
      <c r="BF67" s="2006"/>
      <c r="BG67" s="2764">
        <f t="shared" ref="BG67:BS67" si="142">BG51/(BG36+BG5)*100</f>
        <v>72.34005380944933</v>
      </c>
      <c r="BH67" s="2764">
        <f>BH51/(BH36+BH5)*100</f>
        <v>140.11754470197505</v>
      </c>
      <c r="BI67" s="2764">
        <f>BI51/(BI36+BI5)*100</f>
        <v>92.231343408122541</v>
      </c>
      <c r="BJ67" s="2764">
        <f t="shared" si="142"/>
        <v>131.94317530848707</v>
      </c>
      <c r="BK67" s="2764">
        <f t="shared" si="142"/>
        <v>83.983875301603248</v>
      </c>
      <c r="BL67" s="2764">
        <f t="shared" si="142"/>
        <v>74.82165351191901</v>
      </c>
      <c r="BM67" s="2764">
        <f>BM51/(BM36+BM5)*100</f>
        <v>91.176944184374747</v>
      </c>
      <c r="BN67" s="2764">
        <f t="shared" si="142"/>
        <v>84.536507136332091</v>
      </c>
      <c r="BO67" s="2764">
        <f t="shared" si="142"/>
        <v>84.06429163829236</v>
      </c>
      <c r="BP67" s="2764">
        <f t="shared" si="142"/>
        <v>18.013584829561371</v>
      </c>
      <c r="BQ67" s="2764" t="e">
        <f t="shared" si="142"/>
        <v>#DIV/0!</v>
      </c>
      <c r="BR67" s="2764">
        <f t="shared" si="142"/>
        <v>18.013584829561371</v>
      </c>
      <c r="BS67" s="2764">
        <f t="shared" si="142"/>
        <v>80.329561461641518</v>
      </c>
    </row>
    <row r="68" spans="1:72" ht="15.6">
      <c r="A68" s="2001"/>
      <c r="B68" s="2004" t="s">
        <v>8</v>
      </c>
      <c r="C68" s="2005">
        <f t="shared" si="139"/>
        <v>82.894064241093417</v>
      </c>
      <c r="D68" s="2005">
        <f t="shared" si="139"/>
        <v>44.886776674971344</v>
      </c>
      <c r="E68" s="2005">
        <f t="shared" si="139"/>
        <v>80.27691514363012</v>
      </c>
      <c r="F68" s="2005">
        <f t="shared" si="139"/>
        <v>85.515230561660942</v>
      </c>
      <c r="G68" s="2005">
        <f t="shared" si="139"/>
        <v>77.973650157710267</v>
      </c>
      <c r="H68" s="2005">
        <f t="shared" si="139"/>
        <v>60.15187383251542</v>
      </c>
      <c r="I68" s="2005">
        <f t="shared" si="139"/>
        <v>48.412347809381082</v>
      </c>
      <c r="J68" s="2005">
        <f t="shared" si="139"/>
        <v>53.934602807191148</v>
      </c>
      <c r="K68" s="2005">
        <f t="shared" si="139"/>
        <v>73.542764772047548</v>
      </c>
      <c r="L68" s="1991">
        <f t="shared" si="135"/>
        <v>32.686166239960912</v>
      </c>
      <c r="M68" s="1991">
        <f t="shared" si="135"/>
        <v>10.051081679934329</v>
      </c>
      <c r="N68" s="1991">
        <f t="shared" si="135"/>
        <v>31.848127095078766</v>
      </c>
      <c r="O68" s="1991">
        <f t="shared" si="135"/>
        <v>71.796987070492591</v>
      </c>
      <c r="P68" s="2006"/>
      <c r="Q68" s="2006"/>
      <c r="R68" s="2006"/>
      <c r="S68" s="2006"/>
      <c r="T68" s="2006"/>
      <c r="U68" s="2005">
        <f>U52/(U37+U6)*100</f>
        <v>82.894064241093417</v>
      </c>
      <c r="V68" s="2005">
        <f>V52/(V37+V6)*100</f>
        <v>52.795388009159936</v>
      </c>
      <c r="W68" s="2005">
        <f>W52/(W37+W6)*100</f>
        <v>85.959655236538424</v>
      </c>
      <c r="X68" s="2005">
        <f>X52/(X37+X6)*100</f>
        <v>85.515230561660942</v>
      </c>
      <c r="Y68" s="2005">
        <f>Y52/(Y37+Y6)*100</f>
        <v>79.622253001143235</v>
      </c>
      <c r="Z68" s="2005">
        <f t="shared" ref="Z68:AG68" si="143">Z52/(Z37+Z6)*100</f>
        <v>79.552914784224384</v>
      </c>
      <c r="AA68" s="2005">
        <f t="shared" si="143"/>
        <v>48.412347809381082</v>
      </c>
      <c r="AB68" s="2005">
        <f t="shared" si="143"/>
        <v>60.923700376945952</v>
      </c>
      <c r="AC68" s="2005">
        <f t="shared" si="143"/>
        <v>76.450475573533296</v>
      </c>
      <c r="AD68" s="1991">
        <f t="shared" si="143"/>
        <v>32.686166239960912</v>
      </c>
      <c r="AE68" s="1991">
        <f t="shared" si="143"/>
        <v>10.051081679934329</v>
      </c>
      <c r="AF68" s="1991">
        <f t="shared" si="143"/>
        <v>31.848127095078766</v>
      </c>
      <c r="AG68" s="1991">
        <f t="shared" si="143"/>
        <v>74.512321322331189</v>
      </c>
      <c r="AH68" s="2357"/>
      <c r="AI68" s="2357"/>
      <c r="AJ68" s="2357"/>
      <c r="AK68" s="2357"/>
      <c r="AN68" s="2771" t="s">
        <v>8</v>
      </c>
      <c r="AO68" s="1991">
        <f t="shared" si="141"/>
        <v>82.986536423901001</v>
      </c>
      <c r="AP68" s="1991">
        <f>AP52/(AP37+AP6)*100</f>
        <v>30.433866571873629</v>
      </c>
      <c r="AQ68" s="1991">
        <f t="shared" si="141"/>
        <v>83.29631687209195</v>
      </c>
      <c r="AR68" s="1991">
        <f t="shared" si="141"/>
        <v>89.953561032720359</v>
      </c>
      <c r="AS68" s="1991">
        <f t="shared" si="141"/>
        <v>74.441762442936607</v>
      </c>
      <c r="AT68" s="1991">
        <f t="shared" si="141"/>
        <v>53.346612380395165</v>
      </c>
      <c r="AU68" s="1991">
        <f t="shared" si="141"/>
        <v>59.320650215106873</v>
      </c>
      <c r="AV68" s="1991">
        <f t="shared" si="141"/>
        <v>57.105060886096616</v>
      </c>
      <c r="AW68" s="1991">
        <f t="shared" si="141"/>
        <v>71.537860265105508</v>
      </c>
      <c r="AX68" s="1991">
        <f t="shared" si="141"/>
        <v>16.909893392432753</v>
      </c>
      <c r="AY68" s="1991">
        <f t="shared" si="141"/>
        <v>0.15152572823841831</v>
      </c>
      <c r="AZ68" s="1991">
        <f t="shared" si="141"/>
        <v>16.811785127184358</v>
      </c>
      <c r="BA68" s="1991">
        <f t="shared" si="141"/>
        <v>60.395363707288297</v>
      </c>
      <c r="BB68" s="2006"/>
      <c r="BC68" s="2006"/>
      <c r="BD68" s="2006"/>
      <c r="BE68" s="2006"/>
      <c r="BF68" s="2006"/>
      <c r="BG68" s="2764">
        <f>BG52/(BG37+BG6)*100</f>
        <v>82.986536423901001</v>
      </c>
      <c r="BH68" s="2764">
        <f>BH52/(BH37+BH6)*100</f>
        <v>84.611775542719755</v>
      </c>
      <c r="BI68" s="2764">
        <f>BI52/(BI37+BI6)*100</f>
        <v>91.305488057235721</v>
      </c>
      <c r="BJ68" s="2764">
        <f>BJ52/(BJ37+BJ6)*100</f>
        <v>89.953561032720359</v>
      </c>
      <c r="BK68" s="2764">
        <f>BK52/(BK37+BK6)*100</f>
        <v>83.561428024223062</v>
      </c>
      <c r="BL68" s="2764">
        <f t="shared" ref="BL68:BS68" si="144">BL52/(BL37+BL6)*100</f>
        <v>65.779802248772214</v>
      </c>
      <c r="BM68" s="2764">
        <f t="shared" si="144"/>
        <v>59.956081357936164</v>
      </c>
      <c r="BN68" s="2764">
        <f t="shared" si="144"/>
        <v>61.853331655660234</v>
      </c>
      <c r="BO68" s="2764">
        <f t="shared" si="144"/>
        <v>79.814009338788424</v>
      </c>
      <c r="BP68" s="2764">
        <f t="shared" si="144"/>
        <v>16.909893392432753</v>
      </c>
      <c r="BQ68" s="2764">
        <f t="shared" si="144"/>
        <v>0.15152572823841831</v>
      </c>
      <c r="BR68" s="2764">
        <f t="shared" si="144"/>
        <v>16.811785127184358</v>
      </c>
      <c r="BS68" s="2764">
        <f t="shared" si="144"/>
        <v>65.825768846268488</v>
      </c>
    </row>
    <row r="69" spans="1:72" ht="15.6">
      <c r="A69" s="2001"/>
      <c r="B69" s="2004" t="s">
        <v>4</v>
      </c>
      <c r="C69" s="2005">
        <f t="shared" si="139"/>
        <v>76.938172621544638</v>
      </c>
      <c r="D69" s="2005">
        <f t="shared" si="139"/>
        <v>57.433496465695931</v>
      </c>
      <c r="E69" s="2005">
        <f t="shared" si="139"/>
        <v>87.826142406161082</v>
      </c>
      <c r="F69" s="2005">
        <f t="shared" si="139"/>
        <v>100</v>
      </c>
      <c r="G69" s="2005">
        <f t="shared" si="139"/>
        <v>74.691179124439159</v>
      </c>
      <c r="H69" s="2005">
        <f t="shared" si="139"/>
        <v>38.284521349450195</v>
      </c>
      <c r="I69" s="2005">
        <f t="shared" si="139"/>
        <v>50.627061872430346</v>
      </c>
      <c r="J69" s="2005">
        <f t="shared" si="139"/>
        <v>44.763695715034345</v>
      </c>
      <c r="K69" s="2005">
        <f t="shared" si="139"/>
        <v>70.783396993239492</v>
      </c>
      <c r="L69" s="1991">
        <f t="shared" si="135"/>
        <v>0</v>
      </c>
      <c r="M69" s="1991" t="e">
        <f t="shared" si="135"/>
        <v>#DIV/0!</v>
      </c>
      <c r="N69" s="1991">
        <f t="shared" si="135"/>
        <v>0</v>
      </c>
      <c r="O69" s="1991">
        <f t="shared" si="135"/>
        <v>70.678234909546646</v>
      </c>
      <c r="P69" s="2006"/>
      <c r="Q69" s="2006"/>
      <c r="R69" s="2006"/>
      <c r="S69" s="2006"/>
      <c r="T69" s="2006"/>
      <c r="U69" s="2005">
        <f t="shared" ref="U69:AG69" si="145">U53/(U38+U7)*100</f>
        <v>76.938172621544638</v>
      </c>
      <c r="V69" s="2005">
        <f t="shared" si="145"/>
        <v>95.790743851346122</v>
      </c>
      <c r="W69" s="2005">
        <f t="shared" si="145"/>
        <v>87.826142406161082</v>
      </c>
      <c r="X69" s="2005">
        <f t="shared" si="145"/>
        <v>100</v>
      </c>
      <c r="Y69" s="2005">
        <f t="shared" si="145"/>
        <v>79.273770144997556</v>
      </c>
      <c r="Z69" s="2005">
        <f t="shared" si="145"/>
        <v>38.284521349450195</v>
      </c>
      <c r="AA69" s="2005">
        <f t="shared" si="145"/>
        <v>50.627061872430346</v>
      </c>
      <c r="AB69" s="2005">
        <f t="shared" si="145"/>
        <v>44.763695715034345</v>
      </c>
      <c r="AC69" s="2005">
        <f t="shared" si="145"/>
        <v>74.529156589563257</v>
      </c>
      <c r="AD69" s="1991">
        <f t="shared" si="145"/>
        <v>0</v>
      </c>
      <c r="AE69" s="1991" t="e">
        <f t="shared" si="145"/>
        <v>#DIV/0!</v>
      </c>
      <c r="AF69" s="1991">
        <f t="shared" si="145"/>
        <v>0</v>
      </c>
      <c r="AG69" s="1991">
        <f t="shared" si="145"/>
        <v>74.41257911302354</v>
      </c>
      <c r="AH69" s="2357"/>
      <c r="AI69" s="2357"/>
      <c r="AJ69" s="2357"/>
      <c r="AK69" s="2357"/>
      <c r="AN69" s="2771" t="s">
        <v>4</v>
      </c>
      <c r="AO69" s="1991">
        <f t="shared" si="141"/>
        <v>75.531685057306959</v>
      </c>
      <c r="AP69" s="1991">
        <f t="shared" si="141"/>
        <v>34.590784820090583</v>
      </c>
      <c r="AQ69" s="1991">
        <f t="shared" si="141"/>
        <v>92.371163816092718</v>
      </c>
      <c r="AR69" s="1991">
        <f t="shared" si="141"/>
        <v>85.013696708826487</v>
      </c>
      <c r="AS69" s="1991">
        <f t="shared" si="141"/>
        <v>66.734785627625229</v>
      </c>
      <c r="AT69" s="1991">
        <f t="shared" si="141"/>
        <v>46.681833035027076</v>
      </c>
      <c r="AU69" s="1991">
        <f t="shared" si="141"/>
        <v>52.816267931718428</v>
      </c>
      <c r="AV69" s="1991">
        <f t="shared" si="141"/>
        <v>50.312107519613001</v>
      </c>
      <c r="AW69" s="1991">
        <f t="shared" si="141"/>
        <v>64.624729735871085</v>
      </c>
      <c r="AX69" s="1991">
        <f t="shared" si="141"/>
        <v>0</v>
      </c>
      <c r="AY69" s="1991" t="e">
        <f t="shared" si="141"/>
        <v>#DIV/0!</v>
      </c>
      <c r="AZ69" s="1991">
        <f t="shared" si="141"/>
        <v>0</v>
      </c>
      <c r="BA69" s="1991">
        <f t="shared" si="141"/>
        <v>63.870234585463493</v>
      </c>
      <c r="BB69" s="2006"/>
      <c r="BC69" s="2006"/>
      <c r="BD69" s="2006"/>
      <c r="BE69" s="2006"/>
      <c r="BF69" s="2006"/>
      <c r="BG69" s="2764">
        <f t="shared" ref="BG69:BS69" si="146">BG53/(BG38+BG7)*100</f>
        <v>75.531685057306959</v>
      </c>
      <c r="BH69" s="2764">
        <f t="shared" si="146"/>
        <v>88.952256521035892</v>
      </c>
      <c r="BI69" s="2764">
        <f t="shared" si="146"/>
        <v>92.371163816092718</v>
      </c>
      <c r="BJ69" s="2764">
        <f t="shared" si="146"/>
        <v>85.013696708826487</v>
      </c>
      <c r="BK69" s="2764">
        <f t="shared" si="146"/>
        <v>77.329104070156234</v>
      </c>
      <c r="BL69" s="2764">
        <f t="shared" si="146"/>
        <v>46.681833035027076</v>
      </c>
      <c r="BM69" s="2764">
        <f t="shared" si="146"/>
        <v>52.816267931718428</v>
      </c>
      <c r="BN69" s="2764">
        <f t="shared" si="146"/>
        <v>50.312107519613001</v>
      </c>
      <c r="BO69" s="2764">
        <f t="shared" si="146"/>
        <v>73.387177836793015</v>
      </c>
      <c r="BP69" s="2764">
        <f t="shared" si="146"/>
        <v>0</v>
      </c>
      <c r="BQ69" s="2764" t="e">
        <f t="shared" si="146"/>
        <v>#DIV/0!</v>
      </c>
      <c r="BR69" s="2764">
        <f t="shared" si="146"/>
        <v>0</v>
      </c>
      <c r="BS69" s="2764">
        <f t="shared" si="146"/>
        <v>72.415745856851672</v>
      </c>
    </row>
    <row r="70" spans="1:72" ht="15.6">
      <c r="A70" s="2001"/>
      <c r="B70" s="2004" t="s">
        <v>3</v>
      </c>
      <c r="C70" s="2005">
        <f t="shared" si="139"/>
        <v>56.834260054512683</v>
      </c>
      <c r="D70" s="2005">
        <f t="shared" si="139"/>
        <v>59.552605358639354</v>
      </c>
      <c r="E70" s="2005">
        <f t="shared" si="139"/>
        <v>75.254603703743399</v>
      </c>
      <c r="F70" s="2005">
        <f t="shared" si="139"/>
        <v>56.680939020645638</v>
      </c>
      <c r="G70" s="2005">
        <f t="shared" si="139"/>
        <v>57.386329795677241</v>
      </c>
      <c r="H70" s="2005">
        <f t="shared" si="139"/>
        <v>40.439537481510243</v>
      </c>
      <c r="I70" s="2005">
        <f t="shared" si="139"/>
        <v>22.209142533957429</v>
      </c>
      <c r="J70" s="2005">
        <f t="shared" si="139"/>
        <v>33.006736137561674</v>
      </c>
      <c r="K70" s="2005">
        <f t="shared" si="139"/>
        <v>53.851141476547483</v>
      </c>
      <c r="L70" s="1991">
        <f t="shared" si="135"/>
        <v>84.779561387701705</v>
      </c>
      <c r="M70" s="1991">
        <f t="shared" si="135"/>
        <v>80.693662884273536</v>
      </c>
      <c r="N70" s="1991">
        <f t="shared" si="135"/>
        <v>84.675554891061793</v>
      </c>
      <c r="O70" s="1991">
        <f t="shared" si="135"/>
        <v>58.421796250607727</v>
      </c>
      <c r="P70" s="2006"/>
      <c r="Q70" s="2006"/>
      <c r="R70" s="2006"/>
      <c r="S70" s="2006"/>
      <c r="T70" s="2006"/>
      <c r="U70" s="2005">
        <f t="shared" ref="U70:AG70" si="147">U54/(U39+U8)*100</f>
        <v>56.834260054512683</v>
      </c>
      <c r="V70" s="2005">
        <f t="shared" si="147"/>
        <v>62.210908336718319</v>
      </c>
      <c r="W70" s="2005">
        <f t="shared" si="147"/>
        <v>75.254603703743399</v>
      </c>
      <c r="X70" s="2005">
        <f t="shared" si="147"/>
        <v>56.680939020645638</v>
      </c>
      <c r="Y70" s="2005">
        <f t="shared" si="147"/>
        <v>57.705215773909622</v>
      </c>
      <c r="Z70" s="2005">
        <f t="shared" si="147"/>
        <v>40.439537481510243</v>
      </c>
      <c r="AA70" s="2005">
        <f t="shared" si="147"/>
        <v>22.209142533957429</v>
      </c>
      <c r="AB70" s="2005">
        <f t="shared" si="147"/>
        <v>33.006736137561674</v>
      </c>
      <c r="AC70" s="2005">
        <f t="shared" si="147"/>
        <v>54.106785198386987</v>
      </c>
      <c r="AD70" s="1991">
        <f t="shared" si="147"/>
        <v>84.779561387701705</v>
      </c>
      <c r="AE70" s="1991">
        <f t="shared" si="147"/>
        <v>80.693662884273536</v>
      </c>
      <c r="AF70" s="1991">
        <f t="shared" si="147"/>
        <v>84.675554891061793</v>
      </c>
      <c r="AG70" s="1991">
        <f t="shared" si="147"/>
        <v>58.657847438441571</v>
      </c>
      <c r="AH70" s="2357"/>
      <c r="AI70" s="2357"/>
      <c r="AJ70" s="2357"/>
      <c r="AK70" s="2357"/>
      <c r="AN70" s="2771" t="s">
        <v>3</v>
      </c>
      <c r="AO70" s="1991">
        <f t="shared" si="141"/>
        <v>51.544235461156518</v>
      </c>
      <c r="AP70" s="1991">
        <f t="shared" si="141"/>
        <v>52.771486863193452</v>
      </c>
      <c r="AQ70" s="1991">
        <f t="shared" si="141"/>
        <v>77.798515921103757</v>
      </c>
      <c r="AR70" s="1991">
        <f t="shared" si="141"/>
        <v>0</v>
      </c>
      <c r="AS70" s="1991">
        <f t="shared" si="141"/>
        <v>51.819468288152358</v>
      </c>
      <c r="AT70" s="1991">
        <f t="shared" si="141"/>
        <v>32.308187326306971</v>
      </c>
      <c r="AU70" s="1991">
        <f t="shared" si="141"/>
        <v>15.375748118481672</v>
      </c>
      <c r="AV70" s="1991">
        <f t="shared" si="141"/>
        <v>23.960456568400584</v>
      </c>
      <c r="AW70" s="1991">
        <f t="shared" si="141"/>
        <v>47.400706265216719</v>
      </c>
      <c r="AX70" s="1991">
        <f t="shared" si="141"/>
        <v>42.762569137005215</v>
      </c>
      <c r="AY70" s="1991">
        <f t="shared" si="141"/>
        <v>61.417905745782356</v>
      </c>
      <c r="AZ70" s="1991">
        <f t="shared" si="141"/>
        <v>42.888326631140004</v>
      </c>
      <c r="BA70" s="1991">
        <f t="shared" si="141"/>
        <v>46.020284392825666</v>
      </c>
      <c r="BB70" s="2006"/>
      <c r="BC70" s="2006"/>
      <c r="BD70" s="2006"/>
      <c r="BE70" s="2006"/>
      <c r="BF70" s="2006"/>
      <c r="BG70" s="2764">
        <f t="shared" ref="BG70:BS70" si="148">BG54/(BG39+BG8)*100</f>
        <v>51.544235461156518</v>
      </c>
      <c r="BH70" s="2764">
        <f t="shared" si="148"/>
        <v>80.63886542958052</v>
      </c>
      <c r="BI70" s="2764">
        <f t="shared" si="148"/>
        <v>77.798515921103757</v>
      </c>
      <c r="BJ70" s="2764">
        <f t="shared" si="148"/>
        <v>0</v>
      </c>
      <c r="BK70" s="2764">
        <f t="shared" si="148"/>
        <v>55.057920873571028</v>
      </c>
      <c r="BL70" s="2764">
        <f t="shared" si="148"/>
        <v>32.308187326306971</v>
      </c>
      <c r="BM70" s="2764">
        <f t="shared" si="148"/>
        <v>15.499621712041156</v>
      </c>
      <c r="BN70" s="2764">
        <f t="shared" si="148"/>
        <v>24.055236453124412</v>
      </c>
      <c r="BO70" s="2764">
        <f t="shared" si="148"/>
        <v>49.901498973535951</v>
      </c>
      <c r="BP70" s="2764">
        <f t="shared" si="148"/>
        <v>42.762569137005215</v>
      </c>
      <c r="BQ70" s="2764">
        <f t="shared" si="148"/>
        <v>61.417905745782356</v>
      </c>
      <c r="BR70" s="2764">
        <f t="shared" si="148"/>
        <v>42.888326631140004</v>
      </c>
      <c r="BS70" s="2764">
        <f t="shared" si="148"/>
        <v>47.678721356876174</v>
      </c>
    </row>
    <row r="71" spans="1:72" ht="15.6">
      <c r="A71" s="2001"/>
      <c r="B71" s="2004" t="s">
        <v>397</v>
      </c>
      <c r="C71" s="2005">
        <f t="shared" si="139"/>
        <v>56.301517938442871</v>
      </c>
      <c r="D71" s="2005">
        <f t="shared" si="139"/>
        <v>46.068996347225685</v>
      </c>
      <c r="E71" s="2005">
        <f t="shared" si="139"/>
        <v>51.06366910425664</v>
      </c>
      <c r="F71" s="2005">
        <f t="shared" si="139"/>
        <v>66.814131015865058</v>
      </c>
      <c r="G71" s="2005">
        <f t="shared" si="139"/>
        <v>55.52708528255188</v>
      </c>
      <c r="H71" s="2005">
        <f t="shared" si="139"/>
        <v>36.672616542820307</v>
      </c>
      <c r="I71" s="2005">
        <f t="shared" si="139"/>
        <v>55.707609198588607</v>
      </c>
      <c r="J71" s="2005">
        <f t="shared" si="139"/>
        <v>45.701666984281459</v>
      </c>
      <c r="K71" s="2005">
        <f t="shared" si="139"/>
        <v>53.790749675337302</v>
      </c>
      <c r="L71" s="1991">
        <f t="shared" si="135"/>
        <v>0</v>
      </c>
      <c r="M71" s="1991">
        <f t="shared" si="135"/>
        <v>0</v>
      </c>
      <c r="N71" s="1991">
        <f t="shared" si="135"/>
        <v>0</v>
      </c>
      <c r="O71" s="1991">
        <f t="shared" si="135"/>
        <v>52.875167477730592</v>
      </c>
      <c r="P71" s="2006"/>
      <c r="Q71" s="2006"/>
      <c r="R71" s="2006"/>
      <c r="S71" s="2006"/>
      <c r="T71" s="2006"/>
      <c r="U71" s="2005">
        <f t="shared" ref="U71:AG71" si="149">U55/(U40+U9)*100</f>
        <v>56.301517938442871</v>
      </c>
      <c r="V71" s="2005">
        <f t="shared" si="149"/>
        <v>50.991016757191233</v>
      </c>
      <c r="W71" s="2005">
        <f t="shared" si="149"/>
        <v>51.06366910425664</v>
      </c>
      <c r="X71" s="2005">
        <f t="shared" si="149"/>
        <v>66.814131015865058</v>
      </c>
      <c r="Y71" s="2005">
        <f t="shared" si="149"/>
        <v>56.406033155674606</v>
      </c>
      <c r="Z71" s="2005">
        <f t="shared" si="149"/>
        <v>37.197253612090741</v>
      </c>
      <c r="AA71" s="2005">
        <f t="shared" si="149"/>
        <v>55.707609198588607</v>
      </c>
      <c r="AB71" s="2005">
        <f t="shared" si="149"/>
        <v>46.043030636475429</v>
      </c>
      <c r="AC71" s="2005">
        <f t="shared" si="149"/>
        <v>54.562204016795889</v>
      </c>
      <c r="AD71" s="1991">
        <f t="shared" si="149"/>
        <v>0</v>
      </c>
      <c r="AE71" s="1991">
        <f t="shared" si="149"/>
        <v>0</v>
      </c>
      <c r="AF71" s="1991">
        <f t="shared" si="149"/>
        <v>0</v>
      </c>
      <c r="AG71" s="1991">
        <f t="shared" si="149"/>
        <v>53.620401272439487</v>
      </c>
      <c r="AH71" s="2357"/>
      <c r="AI71" s="2357"/>
      <c r="AJ71" s="2357"/>
      <c r="AK71" s="2357"/>
      <c r="AN71" s="2771" t="s">
        <v>397</v>
      </c>
      <c r="AO71" s="1991">
        <f t="shared" si="141"/>
        <v>48.468089450400385</v>
      </c>
      <c r="AP71" s="1991">
        <f t="shared" si="141"/>
        <v>61.330431087849455</v>
      </c>
      <c r="AQ71" s="1991">
        <f t="shared" si="141"/>
        <v>49.006400384054103</v>
      </c>
      <c r="AR71" s="1991">
        <f t="shared" si="141"/>
        <v>60.699763986858244</v>
      </c>
      <c r="AS71" s="1991">
        <f t="shared" si="141"/>
        <v>52.300967325443651</v>
      </c>
      <c r="AT71" s="1991">
        <f t="shared" si="141"/>
        <v>55.975662258924189</v>
      </c>
      <c r="AU71" s="1991">
        <f t="shared" si="141"/>
        <v>76.969635900132545</v>
      </c>
      <c r="AV71" s="1991">
        <f t="shared" si="141"/>
        <v>67.454808401839657</v>
      </c>
      <c r="AW71" s="1991">
        <f t="shared" si="141"/>
        <v>55.964626320405252</v>
      </c>
      <c r="AX71" s="1991">
        <f t="shared" si="141"/>
        <v>0</v>
      </c>
      <c r="AY71" s="1991">
        <f t="shared" si="141"/>
        <v>0</v>
      </c>
      <c r="AZ71" s="1991">
        <f t="shared" si="141"/>
        <v>0</v>
      </c>
      <c r="BA71" s="1991">
        <f t="shared" si="141"/>
        <v>54.765803702875324</v>
      </c>
      <c r="BB71" s="2006"/>
      <c r="BC71" s="2006"/>
      <c r="BD71" s="2006"/>
      <c r="BE71" s="2006"/>
      <c r="BF71" s="2006"/>
      <c r="BG71" s="2764">
        <f t="shared" ref="BG71:BS71" si="150">BG55/(BG40+BG9)*100</f>
        <v>48.468089450400385</v>
      </c>
      <c r="BH71" s="2764">
        <f t="shared" si="150"/>
        <v>71.570696093752403</v>
      </c>
      <c r="BI71" s="2764">
        <f t="shared" si="150"/>
        <v>49.006400384054103</v>
      </c>
      <c r="BJ71" s="2764">
        <f t="shared" si="150"/>
        <v>60.699763986858244</v>
      </c>
      <c r="BK71" s="2764">
        <f t="shared" si="150"/>
        <v>54.076686261228303</v>
      </c>
      <c r="BL71" s="2764">
        <f t="shared" si="150"/>
        <v>56.516267578544742</v>
      </c>
      <c r="BM71" s="2764">
        <f t="shared" si="150"/>
        <v>76.969635900132545</v>
      </c>
      <c r="BN71" s="2764">
        <f t="shared" si="150"/>
        <v>67.748514450359338</v>
      </c>
      <c r="BO71" s="2764">
        <f t="shared" si="150"/>
        <v>57.455382561373114</v>
      </c>
      <c r="BP71" s="2764">
        <f t="shared" si="150"/>
        <v>0</v>
      </c>
      <c r="BQ71" s="2764">
        <f t="shared" si="150"/>
        <v>0</v>
      </c>
      <c r="BR71" s="2764">
        <f t="shared" si="150"/>
        <v>0</v>
      </c>
      <c r="BS71" s="2764">
        <f t="shared" si="150"/>
        <v>56.192562671587574</v>
      </c>
    </row>
    <row r="72" spans="1:72" ht="14.25" customHeight="1">
      <c r="A72" s="2001"/>
      <c r="B72" s="2004" t="s">
        <v>399</v>
      </c>
      <c r="C72" s="2005">
        <f t="shared" si="139"/>
        <v>66.969071078700381</v>
      </c>
      <c r="D72" s="2005">
        <f t="shared" si="139"/>
        <v>68.889942359444888</v>
      </c>
      <c r="E72" s="2005">
        <f t="shared" si="139"/>
        <v>85.001094163617239</v>
      </c>
      <c r="F72" s="2005">
        <f t="shared" si="139"/>
        <v>80.963522233397512</v>
      </c>
      <c r="G72" s="2005">
        <f>G56/(G41+G10)*100</f>
        <v>68.428905528761163</v>
      </c>
      <c r="H72" s="2005">
        <f t="shared" si="139"/>
        <v>31.581725668240129</v>
      </c>
      <c r="I72" s="2005">
        <f t="shared" si="139"/>
        <v>18.433501664599287</v>
      </c>
      <c r="J72" s="2005">
        <f t="shared" si="139"/>
        <v>24.401507307747625</v>
      </c>
      <c r="K72" s="2005">
        <f t="shared" si="139"/>
        <v>64.339999109135121</v>
      </c>
      <c r="L72" s="1991">
        <f t="shared" si="135"/>
        <v>54.194681864238468</v>
      </c>
      <c r="M72" s="1991">
        <f t="shared" si="135"/>
        <v>100</v>
      </c>
      <c r="N72" s="1991">
        <f t="shared" si="135"/>
        <v>64.67118557789891</v>
      </c>
      <c r="O72" s="1991">
        <f t="shared" si="135"/>
        <v>64.34579766169702</v>
      </c>
      <c r="P72" s="2006"/>
      <c r="Q72" s="2006"/>
      <c r="R72" s="2006"/>
      <c r="S72" s="2006"/>
      <c r="T72" s="2006"/>
      <c r="U72" s="2005">
        <f t="shared" ref="U72:AG72" si="151">U56/(U41+U10)*100</f>
        <v>66.969071078700381</v>
      </c>
      <c r="V72" s="2005">
        <f t="shared" si="151"/>
        <v>76.481074613337455</v>
      </c>
      <c r="W72" s="2005">
        <f t="shared" si="151"/>
        <v>85.001094163617239</v>
      </c>
      <c r="X72" s="2005">
        <f t="shared" si="151"/>
        <v>86.399189778127948</v>
      </c>
      <c r="Y72" s="2005">
        <f t="shared" si="151"/>
        <v>70.400167147221936</v>
      </c>
      <c r="Z72" s="2005">
        <f t="shared" si="151"/>
        <v>31.681272023154801</v>
      </c>
      <c r="AA72" s="2005">
        <f t="shared" si="151"/>
        <v>18.433501664599287</v>
      </c>
      <c r="AB72" s="2005">
        <f t="shared" si="151"/>
        <v>24.436358799787243</v>
      </c>
      <c r="AC72" s="2005">
        <f t="shared" si="151"/>
        <v>66.025821674242152</v>
      </c>
      <c r="AD72" s="1991">
        <f t="shared" si="151"/>
        <v>54.194681864238468</v>
      </c>
      <c r="AE72" s="1991">
        <f t="shared" si="151"/>
        <v>100</v>
      </c>
      <c r="AF72" s="1991">
        <f t="shared" si="151"/>
        <v>64.67118557789891</v>
      </c>
      <c r="AG72" s="1991">
        <f t="shared" si="151"/>
        <v>66.0014938519992</v>
      </c>
      <c r="AH72" s="2357"/>
      <c r="AI72" s="2357"/>
      <c r="AJ72" s="2357"/>
      <c r="AK72" s="2357"/>
      <c r="AN72" s="2771" t="s">
        <v>399</v>
      </c>
      <c r="AO72" s="1991">
        <f t="shared" si="141"/>
        <v>65.91759519786838</v>
      </c>
      <c r="AP72" s="1991">
        <f t="shared" si="141"/>
        <v>59.492856664607771</v>
      </c>
      <c r="AQ72" s="1991">
        <f t="shared" si="141"/>
        <v>81.913250390790836</v>
      </c>
      <c r="AR72" s="1991">
        <f t="shared" si="141"/>
        <v>83.587549937033117</v>
      </c>
      <c r="AS72" s="1991">
        <f>AS56/(AS41+AS10)*100</f>
        <v>65.781853569270694</v>
      </c>
      <c r="AT72" s="1991">
        <f t="shared" si="141"/>
        <v>48.68172755731706</v>
      </c>
      <c r="AU72" s="1991">
        <f t="shared" si="141"/>
        <v>42.928759898096601</v>
      </c>
      <c r="AV72" s="1991">
        <f t="shared" si="141"/>
        <v>45.094339392017233</v>
      </c>
      <c r="AW72" s="1991">
        <f t="shared" si="141"/>
        <v>63.254245925949526</v>
      </c>
      <c r="AX72" s="1991">
        <f t="shared" si="141"/>
        <v>54.194681864238468</v>
      </c>
      <c r="AY72" s="1991">
        <f>AY56/(AY41+AY10)*100</f>
        <v>175.37290897986139</v>
      </c>
      <c r="AZ72" s="1991">
        <f t="shared" si="141"/>
        <v>65.350801930249276</v>
      </c>
      <c r="BA72" s="1991">
        <f t="shared" si="141"/>
        <v>63.281494286218951</v>
      </c>
      <c r="BB72" s="2006"/>
      <c r="BC72" s="2006"/>
      <c r="BD72" s="2006"/>
      <c r="BE72" s="2006"/>
      <c r="BF72" s="2006"/>
      <c r="BG72" s="2764">
        <f t="shared" ref="BG72:BS72" si="152">BG56/(BG41+BG10)*100</f>
        <v>65.91759519786838</v>
      </c>
      <c r="BH72" s="2764">
        <f t="shared" si="152"/>
        <v>70.083287386237927</v>
      </c>
      <c r="BI72" s="2764">
        <f t="shared" si="152"/>
        <v>81.913250390790836</v>
      </c>
      <c r="BJ72" s="2764">
        <f>BJ56/(BJ41+BJ10)*100</f>
        <v>86.230057569367986</v>
      </c>
      <c r="BK72" s="2764">
        <f t="shared" si="152"/>
        <v>69.015105023909285</v>
      </c>
      <c r="BL72" s="2764">
        <f t="shared" si="152"/>
        <v>50.086228286750675</v>
      </c>
      <c r="BM72" s="2764">
        <f t="shared" si="152"/>
        <v>42.928759898096601</v>
      </c>
      <c r="BN72" s="2764">
        <f t="shared" si="152"/>
        <v>45.5754185072878</v>
      </c>
      <c r="BO72" s="2764">
        <f t="shared" si="152"/>
        <v>66.055956151822784</v>
      </c>
      <c r="BP72" s="2764">
        <f t="shared" si="152"/>
        <v>54.194681864238468</v>
      </c>
      <c r="BQ72" s="2764">
        <f t="shared" si="152"/>
        <v>175.37290897986139</v>
      </c>
      <c r="BR72" s="2764">
        <f t="shared" si="152"/>
        <v>65.350801930249276</v>
      </c>
      <c r="BS72" s="2764">
        <f t="shared" si="152"/>
        <v>66.046391032750222</v>
      </c>
    </row>
    <row r="73" spans="1:72" ht="15.6">
      <c r="A73" s="2001"/>
      <c r="B73" s="2004" t="s">
        <v>883</v>
      </c>
      <c r="C73" s="2005">
        <f t="shared" ref="C73:F75" si="153">C57/(C42+C11)*100</f>
        <v>67.288023622628728</v>
      </c>
      <c r="D73" s="2005">
        <f t="shared" si="153"/>
        <v>81.399276902732979</v>
      </c>
      <c r="E73" s="2005">
        <f t="shared" si="153"/>
        <v>79.303738531369845</v>
      </c>
      <c r="F73" s="2005">
        <f t="shared" si="153"/>
        <v>90.299364552030042</v>
      </c>
      <c r="G73" s="2005">
        <f t="shared" ref="G73:I75" si="154">G57/(G42+G11)*100</f>
        <v>69.772917359035347</v>
      </c>
      <c r="H73" s="2005">
        <f t="shared" si="154"/>
        <v>31.33028235516263</v>
      </c>
      <c r="I73" s="2005">
        <f t="shared" si="154"/>
        <v>47.523253007227432</v>
      </c>
      <c r="J73" s="2005">
        <f t="shared" si="139"/>
        <v>38.28426921067711</v>
      </c>
      <c r="K73" s="2005">
        <f t="shared" si="139"/>
        <v>63.196751014341565</v>
      </c>
      <c r="L73" s="1991">
        <f t="shared" si="135"/>
        <v>76.940391971502706</v>
      </c>
      <c r="M73" s="1991">
        <f>M57/(M42+M11)*100</f>
        <v>89.54679863539198</v>
      </c>
      <c r="N73" s="1991">
        <f t="shared" si="135"/>
        <v>78.834890998213638</v>
      </c>
      <c r="O73" s="1991">
        <f t="shared" si="135"/>
        <v>64.218465042317192</v>
      </c>
      <c r="P73" s="2006"/>
      <c r="Q73" s="2006"/>
      <c r="R73" s="2006"/>
      <c r="S73" s="2006"/>
      <c r="T73" s="2006"/>
      <c r="U73" s="2005">
        <f t="shared" ref="U73:AG73" si="155">U57/(U42+U11)*100</f>
        <v>67.288023622628728</v>
      </c>
      <c r="V73" s="2005">
        <f t="shared" si="155"/>
        <v>81.656702792180681</v>
      </c>
      <c r="W73" s="2005">
        <f t="shared" si="155"/>
        <v>79.303738531369845</v>
      </c>
      <c r="X73" s="2005">
        <f t="shared" si="155"/>
        <v>90.299364552030042</v>
      </c>
      <c r="Y73" s="2005">
        <f t="shared" si="155"/>
        <v>69.806090596306248</v>
      </c>
      <c r="Z73" s="2005">
        <f t="shared" si="155"/>
        <v>53.045773908948703</v>
      </c>
      <c r="AA73" s="2005">
        <f t="shared" si="155"/>
        <v>47.523253007227432</v>
      </c>
      <c r="AB73" s="2005">
        <f t="shared" si="155"/>
        <v>49.9514052485981</v>
      </c>
      <c r="AC73" s="2005">
        <f t="shared" si="155"/>
        <v>66.463795285741568</v>
      </c>
      <c r="AD73" s="1991">
        <f t="shared" si="155"/>
        <v>76.940391971502706</v>
      </c>
      <c r="AE73" s="1991">
        <f t="shared" si="155"/>
        <v>89.54679863539198</v>
      </c>
      <c r="AF73" s="1991">
        <f t="shared" si="155"/>
        <v>78.834890998213638</v>
      </c>
      <c r="AG73" s="1991">
        <f t="shared" si="155"/>
        <v>67.310980609320197</v>
      </c>
      <c r="AH73" s="2357"/>
      <c r="AI73" s="2357"/>
      <c r="AJ73" s="2357"/>
      <c r="AK73" s="2357"/>
      <c r="AN73" s="2771" t="s">
        <v>883</v>
      </c>
      <c r="AO73" s="1991">
        <f t="shared" si="141"/>
        <v>62.566205353621584</v>
      </c>
      <c r="AP73" s="1991">
        <f t="shared" si="141"/>
        <v>83.478713502887402</v>
      </c>
      <c r="AQ73" s="1991">
        <f t="shared" si="141"/>
        <v>73.922811625313557</v>
      </c>
      <c r="AR73" s="1991">
        <f t="shared" si="141"/>
        <v>91.142208148371466</v>
      </c>
      <c r="AS73" s="1991">
        <f t="shared" si="141"/>
        <v>66.456701733550531</v>
      </c>
      <c r="AT73" s="1991">
        <f t="shared" si="141"/>
        <v>26.821197375674878</v>
      </c>
      <c r="AU73" s="1991">
        <f t="shared" si="141"/>
        <v>64.439987795428195</v>
      </c>
      <c r="AV73" s="1991">
        <f t="shared" si="141"/>
        <v>41.895740703392029</v>
      </c>
      <c r="AW73" s="1991">
        <f t="shared" si="141"/>
        <v>59.886082951842958</v>
      </c>
      <c r="AX73" s="1991">
        <f t="shared" si="141"/>
        <v>72.880675355892947</v>
      </c>
      <c r="AY73" s="1991">
        <f t="shared" si="141"/>
        <v>87.884730616317441</v>
      </c>
      <c r="AZ73" s="1991">
        <f t="shared" si="141"/>
        <v>73.565146094886217</v>
      </c>
      <c r="BA73" s="1991">
        <f t="shared" si="141"/>
        <v>61.87758664202272</v>
      </c>
      <c r="BB73" s="2006"/>
      <c r="BC73" s="2006"/>
      <c r="BD73" s="2006"/>
      <c r="BE73" s="2006"/>
      <c r="BF73" s="2006"/>
      <c r="BG73" s="2764">
        <f t="shared" ref="BG73:BS73" si="156">BG57/(BG42+BG11)*100</f>
        <v>62.566205353621584</v>
      </c>
      <c r="BH73" s="2764">
        <f t="shared" si="156"/>
        <v>84.441688292031316</v>
      </c>
      <c r="BI73" s="2764">
        <f t="shared" si="156"/>
        <v>73.922811625313557</v>
      </c>
      <c r="BJ73" s="2764">
        <f t="shared" si="156"/>
        <v>91.142208148371466</v>
      </c>
      <c r="BK73" s="2764">
        <f t="shared" si="156"/>
        <v>66.58079188291272</v>
      </c>
      <c r="BL73" s="2764">
        <f t="shared" si="156"/>
        <v>63.480206656830717</v>
      </c>
      <c r="BM73" s="2764">
        <f t="shared" si="156"/>
        <v>64.439987795428195</v>
      </c>
      <c r="BN73" s="2764">
        <f t="shared" si="156"/>
        <v>64.068352772746977</v>
      </c>
      <c r="BO73" s="2764">
        <f t="shared" si="156"/>
        <v>66.095693273717842</v>
      </c>
      <c r="BP73" s="2764">
        <f t="shared" si="156"/>
        <v>72.880675355892947</v>
      </c>
      <c r="BQ73" s="2764">
        <f t="shared" si="156"/>
        <v>87.884730616317441</v>
      </c>
      <c r="BR73" s="2764">
        <f t="shared" si="156"/>
        <v>73.565146094886217</v>
      </c>
      <c r="BS73" s="2764">
        <f t="shared" si="156"/>
        <v>67.278063999230255</v>
      </c>
    </row>
    <row r="74" spans="1:72" ht="15.6">
      <c r="A74" s="2001"/>
      <c r="B74" s="2004" t="s">
        <v>884</v>
      </c>
      <c r="C74" s="2005">
        <f t="shared" si="153"/>
        <v>76.12846150449478</v>
      </c>
      <c r="D74" s="2005">
        <f t="shared" si="153"/>
        <v>88.436499525132078</v>
      </c>
      <c r="E74" s="2005">
        <f t="shared" si="153"/>
        <v>94.235073378531752</v>
      </c>
      <c r="F74" s="2005">
        <f t="shared" si="153"/>
        <v>98.247292872621571</v>
      </c>
      <c r="G74" s="2005">
        <f t="shared" si="154"/>
        <v>83.258771493657164</v>
      </c>
      <c r="H74" s="2005">
        <f t="shared" si="154"/>
        <v>29.679643885662937</v>
      </c>
      <c r="I74" s="2005">
        <f t="shared" si="154"/>
        <v>21.517280185003525</v>
      </c>
      <c r="J74" s="2005">
        <f t="shared" si="139"/>
        <v>26.477972541870738</v>
      </c>
      <c r="K74" s="2005">
        <f t="shared" si="139"/>
        <v>74.128978758450046</v>
      </c>
      <c r="L74" s="1991">
        <f t="shared" si="135"/>
        <v>80.720313459104375</v>
      </c>
      <c r="M74" s="1991">
        <f t="shared" si="135"/>
        <v>94.00818938405105</v>
      </c>
      <c r="N74" s="1991">
        <f t="shared" si="135"/>
        <v>83.818108726688905</v>
      </c>
      <c r="O74" s="1991">
        <f t="shared" si="135"/>
        <v>74.506286231070888</v>
      </c>
      <c r="P74" s="2006"/>
      <c r="Q74" s="2006"/>
      <c r="R74" s="2006"/>
      <c r="S74" s="2006"/>
      <c r="T74" s="2006"/>
      <c r="U74" s="2005">
        <f t="shared" ref="U74:AG74" si="157">U58/(U43+U12)*100</f>
        <v>76.12846150449478</v>
      </c>
      <c r="V74" s="2005">
        <f t="shared" si="157"/>
        <v>90.550571083399603</v>
      </c>
      <c r="W74" s="2005">
        <f t="shared" si="157"/>
        <v>94.049076457489122</v>
      </c>
      <c r="X74" s="2005">
        <f t="shared" si="157"/>
        <v>98.247292872621571</v>
      </c>
      <c r="Y74" s="2005">
        <f t="shared" si="157"/>
        <v>83.43961095962122</v>
      </c>
      <c r="Z74" s="2005">
        <f t="shared" si="157"/>
        <v>42.067348227715193</v>
      </c>
      <c r="AA74" s="2005">
        <f t="shared" si="157"/>
        <v>21.383005498642774</v>
      </c>
      <c r="AB74" s="2005">
        <f t="shared" si="157"/>
        <v>31.484250247223638</v>
      </c>
      <c r="AC74" s="2005">
        <f t="shared" si="157"/>
        <v>76.769772470331304</v>
      </c>
      <c r="AD74" s="1991">
        <f t="shared" si="157"/>
        <v>80.720313459104375</v>
      </c>
      <c r="AE74" s="1991">
        <f t="shared" si="157"/>
        <v>94.00818938405105</v>
      </c>
      <c r="AF74" s="1991">
        <f t="shared" si="157"/>
        <v>83.818108726688905</v>
      </c>
      <c r="AG74" s="1991">
        <f t="shared" si="157"/>
        <v>77.05515851168434</v>
      </c>
      <c r="AH74" s="2357"/>
      <c r="AI74" s="2357"/>
      <c r="AJ74" s="2357"/>
      <c r="AK74" s="2357"/>
      <c r="AN74" s="2771" t="s">
        <v>884</v>
      </c>
      <c r="AO74" s="1991">
        <f>AO58/(AO43+AO12)*100</f>
        <v>76.195214661686521</v>
      </c>
      <c r="AP74" s="1991">
        <f t="shared" si="141"/>
        <v>91.954022769958229</v>
      </c>
      <c r="AQ74" s="1991">
        <f t="shared" si="141"/>
        <v>96.617698929419646</v>
      </c>
      <c r="AR74" s="1991">
        <f t="shared" si="141"/>
        <v>98.227931867842798</v>
      </c>
      <c r="AS74" s="1991">
        <f t="shared" si="141"/>
        <v>83.403358331511569</v>
      </c>
      <c r="AT74" s="1991">
        <f t="shared" si="141"/>
        <v>24.929522776944545</v>
      </c>
      <c r="AU74" s="1991">
        <f t="shared" si="141"/>
        <v>51.860237351929698</v>
      </c>
      <c r="AV74" s="1991">
        <f t="shared" si="141"/>
        <v>35.574460948370771</v>
      </c>
      <c r="AW74" s="1991">
        <f t="shared" si="141"/>
        <v>72.961807126863405</v>
      </c>
      <c r="AX74" s="1991">
        <f t="shared" si="141"/>
        <v>66.993543777312283</v>
      </c>
      <c r="AY74" s="1991">
        <f t="shared" si="141"/>
        <v>99.800030397049412</v>
      </c>
      <c r="AZ74" s="1991">
        <f t="shared" si="141"/>
        <v>70.983447769825275</v>
      </c>
      <c r="BA74" s="1991">
        <f t="shared" si="141"/>
        <v>72.81531755988641</v>
      </c>
      <c r="BB74" s="2006"/>
      <c r="BC74" s="2006"/>
      <c r="BD74" s="2006"/>
      <c r="BE74" s="2006"/>
      <c r="BF74" s="2006"/>
      <c r="BG74" s="2764">
        <f t="shared" ref="BG74:BS74" si="158">BG58/(BG43+BG12)*100</f>
        <v>76.195214661686521</v>
      </c>
      <c r="BH74" s="2764">
        <f t="shared" si="158"/>
        <v>94.761597306796773</v>
      </c>
      <c r="BI74" s="2764">
        <f t="shared" si="158"/>
        <v>96.857783350651317</v>
      </c>
      <c r="BJ74" s="2764">
        <f t="shared" si="158"/>
        <v>98.227931867842798</v>
      </c>
      <c r="BK74" s="2764">
        <f t="shared" si="158"/>
        <v>83.642589801162259</v>
      </c>
      <c r="BL74" s="2764">
        <f t="shared" si="158"/>
        <v>50.422328029633114</v>
      </c>
      <c r="BM74" s="2764">
        <f t="shared" si="158"/>
        <v>51.929687306731452</v>
      </c>
      <c r="BN74" s="2764">
        <f t="shared" si="158"/>
        <v>51.280507614558104</v>
      </c>
      <c r="BO74" s="2764">
        <f t="shared" si="158"/>
        <v>78.383336260652172</v>
      </c>
      <c r="BP74" s="2764">
        <f t="shared" si="158"/>
        <v>66.993543777312283</v>
      </c>
      <c r="BQ74" s="2764">
        <f t="shared" si="158"/>
        <v>99.800030397049412</v>
      </c>
      <c r="BR74" s="2764">
        <f t="shared" si="158"/>
        <v>70.983447769825275</v>
      </c>
      <c r="BS74" s="2764">
        <f t="shared" si="158"/>
        <v>77.797558321650925</v>
      </c>
      <c r="BT74" s="2000"/>
    </row>
    <row r="75" spans="1:72" ht="15.6">
      <c r="A75" s="2001"/>
      <c r="B75" s="2004" t="s">
        <v>885</v>
      </c>
      <c r="C75" s="2005">
        <f t="shared" si="153"/>
        <v>58.696187200288485</v>
      </c>
      <c r="D75" s="2005">
        <f t="shared" si="153"/>
        <v>68.176785860002752</v>
      </c>
      <c r="E75" s="2005">
        <f t="shared" si="153"/>
        <v>74.873764262678662</v>
      </c>
      <c r="F75" s="2005">
        <f t="shared" si="153"/>
        <v>100</v>
      </c>
      <c r="G75" s="2005">
        <f t="shared" si="154"/>
        <v>59.889382299783854</v>
      </c>
      <c r="H75" s="2005">
        <f t="shared" si="154"/>
        <v>47.015928853734351</v>
      </c>
      <c r="I75" s="2005">
        <f t="shared" si="154"/>
        <v>63.922014174219136</v>
      </c>
      <c r="J75" s="2005">
        <f t="shared" si="139"/>
        <v>55.126036843703652</v>
      </c>
      <c r="K75" s="2005">
        <f t="shared" si="139"/>
        <v>58.585770551431452</v>
      </c>
      <c r="L75" s="1991">
        <f t="shared" si="135"/>
        <v>58.521655074741275</v>
      </c>
      <c r="M75" s="1991">
        <f t="shared" si="135"/>
        <v>93.207300097199919</v>
      </c>
      <c r="N75" s="1991">
        <f t="shared" si="135"/>
        <v>61.066470308707409</v>
      </c>
      <c r="O75" s="1991">
        <f t="shared" si="135"/>
        <v>58.78667569417545</v>
      </c>
      <c r="P75" s="2006"/>
      <c r="Q75" s="2006"/>
      <c r="R75" s="2006"/>
      <c r="S75" s="2006"/>
      <c r="T75" s="2006"/>
      <c r="U75" s="2005">
        <f>U59/(U44+U13)*100</f>
        <v>58.696187200288485</v>
      </c>
      <c r="V75" s="2005">
        <f t="shared" ref="V75:AG75" si="159">V59/(V44+V13)*100</f>
        <v>68.176785860002752</v>
      </c>
      <c r="W75" s="2005">
        <f t="shared" si="159"/>
        <v>74.873764262678662</v>
      </c>
      <c r="X75" s="2005">
        <f t="shared" si="159"/>
        <v>100</v>
      </c>
      <c r="Y75" s="2005">
        <f t="shared" si="159"/>
        <v>59.889382299783854</v>
      </c>
      <c r="Z75" s="2005">
        <f t="shared" si="159"/>
        <v>100.0516511421291</v>
      </c>
      <c r="AA75" s="2005">
        <f t="shared" si="159"/>
        <v>63.922014174219136</v>
      </c>
      <c r="AB75" s="2005">
        <f t="shared" si="159"/>
        <v>76.119307255227753</v>
      </c>
      <c r="AC75" s="2005">
        <f t="shared" si="159"/>
        <v>63.368727183881745</v>
      </c>
      <c r="AD75" s="1991">
        <f t="shared" si="159"/>
        <v>58.521655074741275</v>
      </c>
      <c r="AE75" s="1991">
        <f t="shared" si="159"/>
        <v>93.207300097199919</v>
      </c>
      <c r="AF75" s="1991">
        <f t="shared" si="159"/>
        <v>61.066470308707409</v>
      </c>
      <c r="AG75" s="1991">
        <f t="shared" si="159"/>
        <v>63.168376218489755</v>
      </c>
      <c r="AH75" s="2357"/>
      <c r="AI75" s="2357"/>
      <c r="AJ75" s="2357"/>
      <c r="AK75" s="2357"/>
      <c r="AN75" s="2771" t="s">
        <v>885</v>
      </c>
      <c r="AO75" s="1991">
        <f>AO59/(AO44+AO13)*100</f>
        <v>77.288111812083372</v>
      </c>
      <c r="AP75" s="1991">
        <f>AP59/(AP44+AP13)*100</f>
        <v>89.535978022334561</v>
      </c>
      <c r="AQ75" s="1991">
        <f t="shared" si="141"/>
        <v>90.495603737020829</v>
      </c>
      <c r="AR75" s="1991">
        <f t="shared" si="141"/>
        <v>100</v>
      </c>
      <c r="AS75" s="1991">
        <f t="shared" si="141"/>
        <v>78.514178511547144</v>
      </c>
      <c r="AT75" s="1991">
        <f t="shared" si="141"/>
        <v>15.814609203318856</v>
      </c>
      <c r="AU75" s="1991">
        <f t="shared" si="141"/>
        <v>59.558406633341441</v>
      </c>
      <c r="AV75" s="1991">
        <f t="shared" si="141"/>
        <v>34.454486489535377</v>
      </c>
      <c r="AW75" s="1991">
        <f t="shared" si="141"/>
        <v>63.803405167855118</v>
      </c>
      <c r="AX75" s="1991">
        <f t="shared" si="141"/>
        <v>92.574595930863225</v>
      </c>
      <c r="AY75" s="1991">
        <f t="shared" si="141"/>
        <v>94.741280330780285</v>
      </c>
      <c r="AZ75" s="1991">
        <f t="shared" si="141"/>
        <v>92.639901695820697</v>
      </c>
      <c r="BA75" s="1991">
        <f t="shared" si="141"/>
        <v>69.669013969446993</v>
      </c>
      <c r="BB75" s="2006"/>
      <c r="BC75" s="2006"/>
      <c r="BD75" s="2006"/>
      <c r="BE75" s="2006"/>
      <c r="BF75" s="2006"/>
      <c r="BG75" s="2764">
        <f>BG59/(BG44+BG13)*100</f>
        <v>77.288111812083372</v>
      </c>
      <c r="BH75" s="2764">
        <f t="shared" ref="BH75:BS75" si="160">BH59/(BH44+BH13)*100</f>
        <v>89.535978022334561</v>
      </c>
      <c r="BI75" s="2764">
        <f t="shared" si="160"/>
        <v>90.495603737020829</v>
      </c>
      <c r="BJ75" s="2764">
        <f t="shared" si="160"/>
        <v>100</v>
      </c>
      <c r="BK75" s="2764">
        <f t="shared" si="160"/>
        <v>78.514178511547144</v>
      </c>
      <c r="BL75" s="2764">
        <f t="shared" si="160"/>
        <v>36.651807815676506</v>
      </c>
      <c r="BM75" s="2764">
        <f t="shared" si="160"/>
        <v>59.558406633341441</v>
      </c>
      <c r="BN75" s="2764">
        <f t="shared" si="160"/>
        <v>51.524000172485529</v>
      </c>
      <c r="BO75" s="2764">
        <f t="shared" si="160"/>
        <v>71.833103690463332</v>
      </c>
      <c r="BP75" s="2764">
        <f t="shared" si="160"/>
        <v>92.574595930863225</v>
      </c>
      <c r="BQ75" s="2764">
        <f t="shared" si="160"/>
        <v>94.741280330780285</v>
      </c>
      <c r="BR75" s="2764">
        <f t="shared" si="160"/>
        <v>92.639901695820697</v>
      </c>
      <c r="BS75" s="2764">
        <f t="shared" si="160"/>
        <v>76.491190140791915</v>
      </c>
    </row>
    <row r="76" spans="1:72" ht="15.6">
      <c r="A76" s="2001"/>
      <c r="B76" s="2007" t="s">
        <v>933</v>
      </c>
      <c r="C76" s="2008">
        <f t="shared" si="139"/>
        <v>70.288642083335006</v>
      </c>
      <c r="D76" s="2008">
        <f t="shared" si="139"/>
        <v>72.176839662895986</v>
      </c>
      <c r="E76" s="2008">
        <f t="shared" si="139"/>
        <v>86.152217139808215</v>
      </c>
      <c r="F76" s="2008">
        <f t="shared" si="139"/>
        <v>82.546117386631337</v>
      </c>
      <c r="G76" s="2008">
        <f t="shared" si="139"/>
        <v>71.618743236319403</v>
      </c>
      <c r="H76" s="2008">
        <f t="shared" si="139"/>
        <v>42.311835268423984</v>
      </c>
      <c r="I76" s="2008">
        <f t="shared" si="139"/>
        <v>42.589585327404592</v>
      </c>
      <c r="J76" s="2008">
        <f t="shared" si="139"/>
        <v>42.443572481478462</v>
      </c>
      <c r="K76" s="2008">
        <f>K60/(K45+K14)*100</f>
        <v>67.300722816177355</v>
      </c>
      <c r="L76" s="1994">
        <f t="shared" si="135"/>
        <v>66.595732780411012</v>
      </c>
      <c r="M76" s="1994">
        <f t="shared" si="135"/>
        <v>74.827446130981031</v>
      </c>
      <c r="N76" s="1994">
        <f t="shared" si="135"/>
        <v>67.324776875758701</v>
      </c>
      <c r="O76" s="1994">
        <f t="shared" si="135"/>
        <v>67.30167824253833</v>
      </c>
      <c r="P76" s="2006">
        <f>SUM(P66:P75)</f>
        <v>0</v>
      </c>
      <c r="Q76" s="2006">
        <f>SUM(Q66:Q75)</f>
        <v>0</v>
      </c>
      <c r="R76" s="2006">
        <f>SUM(R66:R75)</f>
        <v>0</v>
      </c>
      <c r="S76" s="2006"/>
      <c r="T76" s="2006"/>
      <c r="U76" s="2008">
        <f t="shared" ref="U76:AG76" si="161">U60/(U45+U14)*100</f>
        <v>70.288642083335006</v>
      </c>
      <c r="V76" s="2008">
        <f t="shared" si="161"/>
        <v>90.438224099811919</v>
      </c>
      <c r="W76" s="2008">
        <f t="shared" si="161"/>
        <v>86.941015838135144</v>
      </c>
      <c r="X76" s="2008">
        <f t="shared" si="161"/>
        <v>89.946139552991127</v>
      </c>
      <c r="Y76" s="2008">
        <f t="shared" si="161"/>
        <v>74.428054393673122</v>
      </c>
      <c r="Z76" s="2008">
        <f t="shared" si="161"/>
        <v>48.931477220241398</v>
      </c>
      <c r="AA76" s="2008">
        <f t="shared" si="161"/>
        <v>42.576816783940266</v>
      </c>
      <c r="AB76" s="2008">
        <f t="shared" si="161"/>
        <v>45.667795138285491</v>
      </c>
      <c r="AC76" s="2008">
        <f t="shared" si="161"/>
        <v>70.318133123542324</v>
      </c>
      <c r="AD76" s="1994">
        <f t="shared" si="161"/>
        <v>66.595732780411012</v>
      </c>
      <c r="AE76" s="1994">
        <f t="shared" si="161"/>
        <v>74.827446130981031</v>
      </c>
      <c r="AF76" s="1994">
        <f t="shared" si="161"/>
        <v>67.324776875758701</v>
      </c>
      <c r="AG76" s="1994">
        <f t="shared" si="161"/>
        <v>70.194049803599412</v>
      </c>
      <c r="AH76" s="2358"/>
      <c r="AI76" s="2358"/>
      <c r="AJ76" s="2358"/>
      <c r="AK76" s="2358"/>
      <c r="AN76" s="2769" t="s">
        <v>933</v>
      </c>
      <c r="AO76" s="2770">
        <f t="shared" si="141"/>
        <v>66.22083418259983</v>
      </c>
      <c r="AP76" s="2770">
        <f t="shared" si="141"/>
        <v>57.816685240610376</v>
      </c>
      <c r="AQ76" s="2770">
        <f t="shared" si="141"/>
        <v>88.196142281975114</v>
      </c>
      <c r="AR76" s="2770">
        <f t="shared" si="141"/>
        <v>83.840659424148853</v>
      </c>
      <c r="AS76" s="2770">
        <f t="shared" si="141"/>
        <v>65.843263770769667</v>
      </c>
      <c r="AT76" s="2770">
        <f t="shared" si="141"/>
        <v>40.572423391711609</v>
      </c>
      <c r="AU76" s="2770">
        <f t="shared" si="141"/>
        <v>54.821591247194903</v>
      </c>
      <c r="AV76" s="2770">
        <f t="shared" si="141"/>
        <v>47.886876149427088</v>
      </c>
      <c r="AW76" s="2770">
        <f t="shared" si="141"/>
        <v>62.565551950116841</v>
      </c>
      <c r="AX76" s="1994">
        <f t="shared" si="141"/>
        <v>43.004789272587836</v>
      </c>
      <c r="AY76" s="1994">
        <f t="shared" si="141"/>
        <v>75.753066426768925</v>
      </c>
      <c r="AZ76" s="1994">
        <f t="shared" si="141"/>
        <v>43.900836356979262</v>
      </c>
      <c r="BA76" s="1994">
        <f t="shared" si="141"/>
        <v>60.641493561686076</v>
      </c>
      <c r="BB76" s="2006">
        <f>SUM(BB66:BB75)</f>
        <v>0</v>
      </c>
      <c r="BC76" s="2006">
        <f>SUM(BC66:BC75)</f>
        <v>0</v>
      </c>
      <c r="BD76" s="2006">
        <f>SUM(BD66:BD75)</f>
        <v>0</v>
      </c>
      <c r="BE76" s="2006">
        <f>SUM(BE66:BE75)</f>
        <v>0</v>
      </c>
      <c r="BF76" s="2006">
        <f>SUM(BF66:BF75)</f>
        <v>0</v>
      </c>
      <c r="BG76" s="2765">
        <f t="shared" ref="BG76:BS76" si="162">BG60/(BG45+BG14)*100</f>
        <v>66.22083418259983</v>
      </c>
      <c r="BH76" s="2765">
        <f t="shared" si="162"/>
        <v>81.53112859383566</v>
      </c>
      <c r="BI76" s="2765">
        <f t="shared" si="162"/>
        <v>89.3060040316536</v>
      </c>
      <c r="BJ76" s="2765">
        <f t="shared" si="162"/>
        <v>91.773112432626704</v>
      </c>
      <c r="BK76" s="2765">
        <f t="shared" si="162"/>
        <v>71.160193614615906</v>
      </c>
      <c r="BL76" s="2765">
        <f t="shared" si="162"/>
        <v>51.984018808049839</v>
      </c>
      <c r="BM76" s="2765">
        <f t="shared" si="162"/>
        <v>55.093315181397443</v>
      </c>
      <c r="BN76" s="2765">
        <f t="shared" si="162"/>
        <v>53.76852694568872</v>
      </c>
      <c r="BO76" s="2765">
        <f t="shared" si="162"/>
        <v>68.085229079804634</v>
      </c>
      <c r="BP76" s="2765">
        <f t="shared" si="162"/>
        <v>43.004789272587836</v>
      </c>
      <c r="BQ76" s="2765">
        <f t="shared" si="162"/>
        <v>75.753066426768925</v>
      </c>
      <c r="BR76" s="2765">
        <f t="shared" si="162"/>
        <v>43.900836356979262</v>
      </c>
      <c r="BS76" s="2765">
        <f t="shared" si="162"/>
        <v>65.396158874294187</v>
      </c>
    </row>
    <row r="77" spans="1:72">
      <c r="AR77" s="1517">
        <f>AR61/(AR46+AR15)*100</f>
        <v>64.329264622925791</v>
      </c>
      <c r="AS77" s="2000">
        <f>AS74-G74</f>
        <v>0.14458683785440485</v>
      </c>
    </row>
    <row r="78" spans="1:72">
      <c r="AW78" s="2000"/>
    </row>
    <row r="80" spans="1:72" ht="21">
      <c r="B80" s="1996">
        <f>B63</f>
        <v>2023</v>
      </c>
      <c r="C80" s="3294" t="s">
        <v>936</v>
      </c>
      <c r="D80" s="3294"/>
      <c r="E80" s="3294"/>
      <c r="F80" s="3294"/>
      <c r="G80" s="3294"/>
      <c r="H80" s="3294"/>
      <c r="I80" s="3294"/>
      <c r="J80" s="3294"/>
      <c r="K80" s="3294"/>
      <c r="L80" s="2094"/>
      <c r="M80" s="2094"/>
      <c r="N80" s="2094"/>
      <c r="O80" s="2094"/>
      <c r="U80" s="3294" t="s">
        <v>936</v>
      </c>
      <c r="V80" s="3294"/>
      <c r="W80" s="3294"/>
      <c r="X80" s="3294"/>
      <c r="Y80" s="3294"/>
      <c r="Z80" s="3294"/>
      <c r="AA80" s="3294"/>
      <c r="AB80" s="3294"/>
      <c r="AC80" s="3294"/>
      <c r="AD80" s="2094"/>
      <c r="AE80" s="2094"/>
      <c r="AF80" s="2094"/>
      <c r="AG80" s="2094"/>
      <c r="AH80" s="2094"/>
      <c r="AI80" s="2094"/>
      <c r="AJ80" s="2094"/>
      <c r="AK80" s="2094"/>
      <c r="AN80" s="1996">
        <f>AN63</f>
        <v>2024</v>
      </c>
      <c r="AO80" s="3294" t="s">
        <v>936</v>
      </c>
      <c r="AP80" s="3294"/>
      <c r="AQ80" s="3294"/>
      <c r="AR80" s="3294"/>
      <c r="AS80" s="3294"/>
      <c r="AT80" s="3294"/>
      <c r="AU80" s="3294"/>
      <c r="AV80" s="3294"/>
      <c r="AW80" s="3294"/>
      <c r="AX80" s="2094"/>
      <c r="AY80" s="2094"/>
      <c r="AZ80" s="2094"/>
      <c r="BA80" s="2094"/>
      <c r="BG80" s="3294" t="s">
        <v>936</v>
      </c>
      <c r="BH80" s="3294"/>
      <c r="BI80" s="3294"/>
      <c r="BJ80" s="3294"/>
      <c r="BK80" s="3294"/>
      <c r="BL80" s="3294"/>
      <c r="BM80" s="3294"/>
      <c r="BN80" s="3294"/>
      <c r="BO80" s="3294"/>
      <c r="BP80" s="2094"/>
      <c r="BQ80" s="2094"/>
      <c r="BR80" s="2094"/>
      <c r="BS80" s="2094"/>
    </row>
    <row r="81" spans="1:77" ht="15" customHeight="1">
      <c r="B81" s="3308" t="s">
        <v>308</v>
      </c>
      <c r="C81" s="3290" t="s">
        <v>925</v>
      </c>
      <c r="D81" s="3290"/>
      <c r="E81" s="3290"/>
      <c r="F81" s="3290"/>
      <c r="G81" s="3290"/>
      <c r="H81" s="3290" t="s">
        <v>318</v>
      </c>
      <c r="I81" s="3290"/>
      <c r="J81" s="3290"/>
      <c r="K81" s="3302" t="s">
        <v>926</v>
      </c>
      <c r="L81" s="3295" t="s">
        <v>1001</v>
      </c>
      <c r="M81" s="3296"/>
      <c r="N81" s="3297"/>
      <c r="O81" s="3278" t="s">
        <v>714</v>
      </c>
      <c r="P81" s="3291" t="s">
        <v>763</v>
      </c>
      <c r="Q81" s="3292"/>
      <c r="R81" s="3292"/>
      <c r="S81" s="3292"/>
      <c r="T81" s="3293"/>
      <c r="U81" s="3290" t="s">
        <v>925</v>
      </c>
      <c r="V81" s="3290"/>
      <c r="W81" s="3290"/>
      <c r="X81" s="3290"/>
      <c r="Y81" s="3290"/>
      <c r="Z81" s="3290" t="s">
        <v>318</v>
      </c>
      <c r="AA81" s="3290"/>
      <c r="AB81" s="3290"/>
      <c r="AC81" s="3302" t="s">
        <v>926</v>
      </c>
      <c r="AD81" s="3295" t="s">
        <v>1001</v>
      </c>
      <c r="AE81" s="3296"/>
      <c r="AF81" s="3297"/>
      <c r="AG81" s="3278" t="s">
        <v>714</v>
      </c>
      <c r="AH81" s="2356"/>
      <c r="AI81" s="2356"/>
      <c r="AJ81" s="2356"/>
      <c r="AK81" s="2356"/>
      <c r="AN81" s="3308" t="s">
        <v>308</v>
      </c>
      <c r="AO81" s="3290" t="s">
        <v>925</v>
      </c>
      <c r="AP81" s="3290"/>
      <c r="AQ81" s="3290"/>
      <c r="AR81" s="3290"/>
      <c r="AS81" s="3290"/>
      <c r="AT81" s="3290" t="s">
        <v>318</v>
      </c>
      <c r="AU81" s="3290"/>
      <c r="AV81" s="3290"/>
      <c r="AW81" s="3302" t="s">
        <v>926</v>
      </c>
      <c r="AX81" s="3295" t="s">
        <v>1001</v>
      </c>
      <c r="AY81" s="3296"/>
      <c r="AZ81" s="3297"/>
      <c r="BA81" s="3278" t="s">
        <v>714</v>
      </c>
      <c r="BB81" s="3291" t="s">
        <v>763</v>
      </c>
      <c r="BC81" s="3292"/>
      <c r="BD81" s="3292"/>
      <c r="BE81" s="3292"/>
      <c r="BF81" s="3293"/>
      <c r="BG81" s="3290" t="s">
        <v>925</v>
      </c>
      <c r="BH81" s="3290"/>
      <c r="BI81" s="3290"/>
      <c r="BJ81" s="3290"/>
      <c r="BK81" s="3290"/>
      <c r="BL81" s="3290" t="s">
        <v>318</v>
      </c>
      <c r="BM81" s="3290"/>
      <c r="BN81" s="3290"/>
      <c r="BO81" s="3302" t="s">
        <v>926</v>
      </c>
      <c r="BP81" s="3295" t="s">
        <v>1001</v>
      </c>
      <c r="BQ81" s="3296"/>
      <c r="BR81" s="3297"/>
      <c r="BS81" s="3278" t="s">
        <v>714</v>
      </c>
      <c r="BU81" s="3278" t="s">
        <v>198</v>
      </c>
      <c r="BV81" s="3278" t="s">
        <v>199</v>
      </c>
      <c r="BW81" s="3278" t="s">
        <v>20</v>
      </c>
      <c r="BX81" s="3278" t="s">
        <v>198</v>
      </c>
      <c r="BY81" s="3278" t="s">
        <v>199</v>
      </c>
    </row>
    <row r="82" spans="1:77" ht="15" customHeight="1">
      <c r="B82" s="3309"/>
      <c r="C82" s="1988" t="s">
        <v>927</v>
      </c>
      <c r="D82" s="1988" t="s">
        <v>928</v>
      </c>
      <c r="E82" s="1988" t="s">
        <v>185</v>
      </c>
      <c r="F82" s="1988" t="s">
        <v>395</v>
      </c>
      <c r="G82" s="1988" t="s">
        <v>929</v>
      </c>
      <c r="H82" s="1988" t="s">
        <v>930</v>
      </c>
      <c r="I82" s="1988" t="s">
        <v>18</v>
      </c>
      <c r="J82" s="1988" t="s">
        <v>726</v>
      </c>
      <c r="K82" s="3302"/>
      <c r="L82" s="1988" t="s">
        <v>318</v>
      </c>
      <c r="M82" s="1988" t="s">
        <v>766</v>
      </c>
      <c r="N82" s="1988" t="s">
        <v>511</v>
      </c>
      <c r="O82" s="3279"/>
      <c r="P82" s="1989" t="s">
        <v>931</v>
      </c>
      <c r="Q82" s="1989" t="s">
        <v>792</v>
      </c>
      <c r="R82" s="1989" t="s">
        <v>932</v>
      </c>
      <c r="S82" s="1989" t="s">
        <v>185</v>
      </c>
      <c r="T82" s="1989" t="s">
        <v>18</v>
      </c>
      <c r="U82" s="1988" t="s">
        <v>927</v>
      </c>
      <c r="V82" s="1988" t="s">
        <v>928</v>
      </c>
      <c r="W82" s="1988" t="s">
        <v>185</v>
      </c>
      <c r="X82" s="1988" t="s">
        <v>395</v>
      </c>
      <c r="Y82" s="1988" t="s">
        <v>929</v>
      </c>
      <c r="Z82" s="1988" t="s">
        <v>930</v>
      </c>
      <c r="AA82" s="1988" t="s">
        <v>18</v>
      </c>
      <c r="AB82" s="1988" t="s">
        <v>726</v>
      </c>
      <c r="AC82" s="3302"/>
      <c r="AD82" s="1988" t="s">
        <v>318</v>
      </c>
      <c r="AE82" s="1988" t="s">
        <v>766</v>
      </c>
      <c r="AF82" s="1988" t="s">
        <v>511</v>
      </c>
      <c r="AG82" s="3279"/>
      <c r="AH82" s="2356"/>
      <c r="AI82" s="2356"/>
      <c r="AJ82" s="2356"/>
      <c r="AK82" s="2356"/>
      <c r="AN82" s="3309"/>
      <c r="AO82" s="1988" t="s">
        <v>927</v>
      </c>
      <c r="AP82" s="1988" t="s">
        <v>928</v>
      </c>
      <c r="AQ82" s="1988" t="s">
        <v>185</v>
      </c>
      <c r="AR82" s="1988" t="s">
        <v>395</v>
      </c>
      <c r="AS82" s="1988" t="s">
        <v>929</v>
      </c>
      <c r="AT82" s="1988" t="s">
        <v>930</v>
      </c>
      <c r="AU82" s="1988" t="s">
        <v>18</v>
      </c>
      <c r="AV82" s="1988" t="s">
        <v>726</v>
      </c>
      <c r="AW82" s="3302"/>
      <c r="AX82" s="1988" t="s">
        <v>318</v>
      </c>
      <c r="AY82" s="1988" t="s">
        <v>766</v>
      </c>
      <c r="AZ82" s="1988" t="s">
        <v>511</v>
      </c>
      <c r="BA82" s="3279"/>
      <c r="BB82" s="1989" t="s">
        <v>931</v>
      </c>
      <c r="BC82" s="1989" t="s">
        <v>792</v>
      </c>
      <c r="BD82" s="1989" t="s">
        <v>932</v>
      </c>
      <c r="BE82" s="1989" t="s">
        <v>185</v>
      </c>
      <c r="BF82" s="1989" t="s">
        <v>18</v>
      </c>
      <c r="BG82" s="1988" t="s">
        <v>927</v>
      </c>
      <c r="BH82" s="1988" t="s">
        <v>928</v>
      </c>
      <c r="BI82" s="1988" t="s">
        <v>185</v>
      </c>
      <c r="BJ82" s="1988" t="s">
        <v>395</v>
      </c>
      <c r="BK82" s="1988" t="s">
        <v>929</v>
      </c>
      <c r="BL82" s="1988" t="s">
        <v>930</v>
      </c>
      <c r="BM82" s="1988" t="s">
        <v>18</v>
      </c>
      <c r="BN82" s="1988" t="s">
        <v>726</v>
      </c>
      <c r="BO82" s="3302"/>
      <c r="BP82" s="1988" t="s">
        <v>318</v>
      </c>
      <c r="BQ82" s="1988" t="s">
        <v>766</v>
      </c>
      <c r="BR82" s="1988" t="s">
        <v>511</v>
      </c>
      <c r="BS82" s="3279"/>
      <c r="BU82" s="3279"/>
      <c r="BV82" s="3279"/>
      <c r="BW82" s="3279"/>
      <c r="BX82" s="3279"/>
      <c r="BY82" s="3279"/>
    </row>
    <row r="83" spans="1:77" ht="15.6">
      <c r="B83" s="1990" t="s">
        <v>6</v>
      </c>
      <c r="C83" s="1999">
        <v>5667.1541244600003</v>
      </c>
      <c r="D83" s="1999">
        <v>2560.65761174</v>
      </c>
      <c r="E83" s="1999">
        <v>37.83934656494371</v>
      </c>
      <c r="F83" s="1999">
        <v>714.34321483999986</v>
      </c>
      <c r="G83" s="1991">
        <f>SUM(C83:F83)</f>
        <v>8979.994297604946</v>
      </c>
      <c r="H83" s="1999">
        <v>451.15537557000005</v>
      </c>
      <c r="I83" s="1999">
        <v>429.55096598505622</v>
      </c>
      <c r="J83" s="1991">
        <f t="shared" ref="J83:J89" si="163">SUM(H83:I83)</f>
        <v>880.70634155505627</v>
      </c>
      <c r="K83" s="1991">
        <f>J83+G83</f>
        <v>9860.7006391600025</v>
      </c>
      <c r="L83" s="1999">
        <v>120.79586</v>
      </c>
      <c r="M83" s="1999">
        <v>0</v>
      </c>
      <c r="N83" s="1991">
        <f>SUM(L83:M83)</f>
        <v>120.79586</v>
      </c>
      <c r="O83" s="1991">
        <f>K83+N83</f>
        <v>9981.4964991600027</v>
      </c>
      <c r="P83" s="1992">
        <f t="shared" ref="P83:T92" si="164">P35</f>
        <v>421.08132891000002</v>
      </c>
      <c r="Q83" s="1992">
        <f t="shared" si="164"/>
        <v>23.920232720000001</v>
      </c>
      <c r="R83" s="1992">
        <f t="shared" si="164"/>
        <v>0</v>
      </c>
      <c r="S83" s="1992">
        <f t="shared" si="164"/>
        <v>0</v>
      </c>
      <c r="T83" s="1992">
        <f t="shared" si="164"/>
        <v>0</v>
      </c>
      <c r="U83" s="1991">
        <f>C83</f>
        <v>5667.1541244600003</v>
      </c>
      <c r="V83" s="1991">
        <f>D83-P83</f>
        <v>2139.5762828299999</v>
      </c>
      <c r="W83" s="1991">
        <f>E83-S83</f>
        <v>37.83934656494371</v>
      </c>
      <c r="X83" s="1991">
        <f>F83-Q83</f>
        <v>690.42298211999992</v>
      </c>
      <c r="Y83" s="1991">
        <f>SUM(U83:X83)</f>
        <v>8534.9927359749436</v>
      </c>
      <c r="Z83" s="1991">
        <f>H83-R83</f>
        <v>451.15537557000005</v>
      </c>
      <c r="AA83" s="1991">
        <f>I83-T83</f>
        <v>429.55096598505622</v>
      </c>
      <c r="AB83" s="1991">
        <f>SUM(Z83:AA83)</f>
        <v>880.70634155505627</v>
      </c>
      <c r="AC83" s="1991">
        <f>AB83+Y83</f>
        <v>9415.6990775300001</v>
      </c>
      <c r="AD83" s="1991">
        <f>L83</f>
        <v>120.79586</v>
      </c>
      <c r="AE83" s="1991">
        <f>M83</f>
        <v>0</v>
      </c>
      <c r="AF83" s="1991">
        <f>SUM(AD83:AE83)</f>
        <v>120.79586</v>
      </c>
      <c r="AG83" s="1991">
        <f>AC83+AF83</f>
        <v>9536.4949375300002</v>
      </c>
      <c r="AH83" s="2357"/>
      <c r="AI83" s="2357"/>
      <c r="AJ83" s="2357"/>
      <c r="AK83" s="2357"/>
      <c r="AN83" s="1990" t="s">
        <v>6</v>
      </c>
      <c r="AO83" s="1999">
        <v>5673.1214186899997</v>
      </c>
      <c r="AP83" s="1999">
        <v>2251.7790858009998</v>
      </c>
      <c r="AQ83" s="1999">
        <v>26.066717380000004</v>
      </c>
      <c r="AR83" s="1991">
        <f>BU83+BV83</f>
        <v>645.30748696000001</v>
      </c>
      <c r="AS83" s="1991">
        <f t="shared" ref="AS83:AS92" si="165">SUM(AO83:AR83)</f>
        <v>8596.2747088309989</v>
      </c>
      <c r="AT83" s="1999">
        <v>383.62224904350006</v>
      </c>
      <c r="AU83" s="1999">
        <v>356.66357002000007</v>
      </c>
      <c r="AV83" s="1991">
        <f t="shared" ref="AV83:AV92" si="166">SUM(AT83:AU83)</f>
        <v>740.28581906350018</v>
      </c>
      <c r="AW83" s="1991">
        <f t="shared" ref="AW83:AW92" si="167">AV83+AS83</f>
        <v>9336.5605278944986</v>
      </c>
      <c r="AX83" s="1991">
        <f t="shared" ref="AX83:AY92" si="168">AX35</f>
        <v>129.05199999999999</v>
      </c>
      <c r="AY83" s="1991">
        <f t="shared" si="168"/>
        <v>0</v>
      </c>
      <c r="AZ83" s="1991">
        <f>SUM(AX83:AY83)</f>
        <v>129.05199999999999</v>
      </c>
      <c r="BA83" s="1991">
        <f>AW83+AZ83</f>
        <v>9465.6125278944983</v>
      </c>
      <c r="BB83" s="1992">
        <f t="shared" ref="BB83:BF92" si="169">BB35</f>
        <v>0</v>
      </c>
      <c r="BC83" s="1992">
        <f t="shared" si="169"/>
        <v>0</v>
      </c>
      <c r="BD83" s="1992">
        <f t="shared" si="169"/>
        <v>0</v>
      </c>
      <c r="BE83" s="1992">
        <f t="shared" si="169"/>
        <v>0</v>
      </c>
      <c r="BF83" s="1992">
        <f t="shared" si="169"/>
        <v>0</v>
      </c>
      <c r="BG83" s="1991">
        <f>AO83</f>
        <v>5673.1214186899997</v>
      </c>
      <c r="BH83" s="1991">
        <f>AP83-BB83</f>
        <v>2251.7790858009998</v>
      </c>
      <c r="BI83" s="1991">
        <f>AQ83-BE83</f>
        <v>26.066717380000004</v>
      </c>
      <c r="BJ83" s="1991">
        <f>AR83-BC83</f>
        <v>645.30748696000001</v>
      </c>
      <c r="BK83" s="1991">
        <f>SUM(BG83:BJ83)</f>
        <v>8596.2747088309989</v>
      </c>
      <c r="BL83" s="1991">
        <f>AT83-BD83</f>
        <v>383.62224904350006</v>
      </c>
      <c r="BM83" s="1991">
        <f>AU83-BF83</f>
        <v>356.66357002000007</v>
      </c>
      <c r="BN83" s="1991">
        <f>SUM(BL83:BM83)</f>
        <v>740.28581906350018</v>
      </c>
      <c r="BO83" s="1991">
        <f>BN83+BK83</f>
        <v>9336.5605278944986</v>
      </c>
      <c r="BP83" s="1991">
        <f>AX83</f>
        <v>129.05199999999999</v>
      </c>
      <c r="BQ83" s="1991">
        <f>AY83</f>
        <v>0</v>
      </c>
      <c r="BR83" s="1991">
        <f>SUM(BP83:BQ83)</f>
        <v>129.05199999999999</v>
      </c>
      <c r="BS83" s="1991">
        <f>BO83+BR83</f>
        <v>9465.6125278944983</v>
      </c>
      <c r="BT83" s="1517" t="str">
        <f t="shared" ref="BT83:BT92" si="170">AN83</f>
        <v>Blida</v>
      </c>
      <c r="BU83" s="1999">
        <f>BX83/1000000</f>
        <v>337.06076851999995</v>
      </c>
      <c r="BV83" s="1999">
        <f t="shared" ref="BV83:BV92" si="171">BY83/1000000</f>
        <v>308.24671844</v>
      </c>
      <c r="BW83" s="2744">
        <f>BU83+BV83</f>
        <v>645.30748696000001</v>
      </c>
      <c r="BX83" s="1517">
        <v>337060768.51999998</v>
      </c>
      <c r="BY83" s="1517">
        <v>308246718.44</v>
      </c>
    </row>
    <row r="84" spans="1:77" ht="15.6">
      <c r="B84" s="1990" t="s">
        <v>7</v>
      </c>
      <c r="C84" s="1999">
        <v>4210.1472747799999</v>
      </c>
      <c r="D84" s="1999">
        <v>1524.01</v>
      </c>
      <c r="E84" s="1999">
        <v>88.032820000000001</v>
      </c>
      <c r="F84" s="1999">
        <v>437.04080081999996</v>
      </c>
      <c r="G84" s="1991">
        <f t="shared" ref="G84:G89" si="172">SUM(C84:F84)</f>
        <v>6259.2308956000006</v>
      </c>
      <c r="H84" s="1999">
        <v>492.00299999999999</v>
      </c>
      <c r="I84" s="1999">
        <v>689.14823000000001</v>
      </c>
      <c r="J84" s="1991">
        <f t="shared" si="163"/>
        <v>1181.1512299999999</v>
      </c>
      <c r="K84" s="1991">
        <f t="shared" ref="K84:K89" si="173">J84+G84</f>
        <v>7440.382125600001</v>
      </c>
      <c r="L84" s="1999">
        <v>0</v>
      </c>
      <c r="M84" s="1999">
        <v>0</v>
      </c>
      <c r="N84" s="1991">
        <f t="shared" ref="N84:N92" si="174">SUM(L84:M84)</f>
        <v>0</v>
      </c>
      <c r="O84" s="1991">
        <f t="shared" ref="O84:O92" si="175">K84+N84</f>
        <v>7440.382125600001</v>
      </c>
      <c r="P84" s="1992">
        <f t="shared" si="164"/>
        <v>383.46547999999996</v>
      </c>
      <c r="Q84" s="1992">
        <f t="shared" si="164"/>
        <v>0</v>
      </c>
      <c r="R84" s="1992">
        <f t="shared" si="164"/>
        <v>0</v>
      </c>
      <c r="S84" s="1992">
        <f t="shared" si="164"/>
        <v>0</v>
      </c>
      <c r="T84" s="1992">
        <f t="shared" si="164"/>
        <v>0</v>
      </c>
      <c r="U84" s="1991">
        <f t="shared" ref="U84:U92" si="176">C84</f>
        <v>4210.1472747799999</v>
      </c>
      <c r="V84" s="1991">
        <f t="shared" ref="V84:V92" si="177">D84-P84</f>
        <v>1140.5445199999999</v>
      </c>
      <c r="W84" s="1991">
        <f t="shared" ref="W84:W92" si="178">E84-S84</f>
        <v>88.032820000000001</v>
      </c>
      <c r="X84" s="1991">
        <f t="shared" ref="X84:X92" si="179">F84-Q84</f>
        <v>437.04080081999996</v>
      </c>
      <c r="Y84" s="1991">
        <f t="shared" ref="Y84:Y92" si="180">SUM(U84:X84)</f>
        <v>5875.7654155999999</v>
      </c>
      <c r="Z84" s="1991">
        <f t="shared" ref="Z84:Z92" si="181">H84-R84</f>
        <v>492.00299999999999</v>
      </c>
      <c r="AA84" s="1991">
        <f t="shared" ref="AA84:AA92" si="182">I84-T84</f>
        <v>689.14823000000001</v>
      </c>
      <c r="AB84" s="1991">
        <f t="shared" ref="AB84:AB92" si="183">SUM(Z84:AA84)</f>
        <v>1181.1512299999999</v>
      </c>
      <c r="AC84" s="1991">
        <f t="shared" ref="AC84:AC92" si="184">AB84+Y84</f>
        <v>7056.9166456000003</v>
      </c>
      <c r="AD84" s="1991">
        <f t="shared" ref="AD84:AD92" si="185">L84</f>
        <v>0</v>
      </c>
      <c r="AE84" s="1991">
        <f t="shared" ref="AE84:AE92" si="186">M84</f>
        <v>0</v>
      </c>
      <c r="AF84" s="1991">
        <f t="shared" ref="AF84:AF92" si="187">SUM(AD84:AE84)</f>
        <v>0</v>
      </c>
      <c r="AG84" s="1991">
        <f t="shared" ref="AG84:AG92" si="188">AC84+AF84</f>
        <v>7056.9166456000003</v>
      </c>
      <c r="AH84" s="2357"/>
      <c r="AI84" s="2357"/>
      <c r="AJ84" s="2357"/>
      <c r="AK84" s="2357"/>
      <c r="AN84" s="1990" t="s">
        <v>7</v>
      </c>
      <c r="AO84" s="1999">
        <v>3349.6379999999999</v>
      </c>
      <c r="AP84" s="1999">
        <v>890.48400000000004</v>
      </c>
      <c r="AQ84" s="1999">
        <v>60.767000000000003</v>
      </c>
      <c r="AR84" s="1991">
        <f t="shared" ref="AR84:AR92" si="189">BU84+BV84</f>
        <v>540.38146151000001</v>
      </c>
      <c r="AS84" s="1991">
        <f t="shared" si="165"/>
        <v>4841.2704615100001</v>
      </c>
      <c r="AT84" s="1999">
        <v>278.2</v>
      </c>
      <c r="AU84" s="1999">
        <v>396.43799999999999</v>
      </c>
      <c r="AV84" s="1991">
        <f t="shared" si="166"/>
        <v>674.63799999999992</v>
      </c>
      <c r="AW84" s="1991">
        <f t="shared" si="167"/>
        <v>5515.9084615100001</v>
      </c>
      <c r="AX84" s="1991">
        <f t="shared" si="168"/>
        <v>197.3</v>
      </c>
      <c r="AY84" s="1991">
        <f t="shared" si="168"/>
        <v>0</v>
      </c>
      <c r="AZ84" s="1991">
        <f t="shared" ref="AZ84:AZ92" si="190">SUM(AX84:AY84)</f>
        <v>197.3</v>
      </c>
      <c r="BA84" s="1991">
        <f t="shared" ref="BA84:BA92" si="191">AW84+AZ84</f>
        <v>5713.2084615100002</v>
      </c>
      <c r="BB84" s="1992">
        <f t="shared" si="169"/>
        <v>418.52747999999997</v>
      </c>
      <c r="BC84" s="1992">
        <f t="shared" si="169"/>
        <v>235.10400000000001</v>
      </c>
      <c r="BD84" s="1992">
        <f t="shared" si="169"/>
        <v>0</v>
      </c>
      <c r="BE84" s="1992">
        <f t="shared" si="169"/>
        <v>0</v>
      </c>
      <c r="BF84" s="1992">
        <f t="shared" si="169"/>
        <v>0</v>
      </c>
      <c r="BG84" s="1991">
        <f t="shared" ref="BG84:BG92" si="192">AO84</f>
        <v>3349.6379999999999</v>
      </c>
      <c r="BH84" s="1991">
        <f t="shared" ref="BH84:BH92" si="193">AP84-BB84</f>
        <v>471.95652000000007</v>
      </c>
      <c r="BI84" s="1991">
        <f t="shared" ref="BI84:BI92" si="194">AQ84-BE84</f>
        <v>60.767000000000003</v>
      </c>
      <c r="BJ84" s="1991">
        <f t="shared" ref="BJ84:BJ92" si="195">AR84-BC84</f>
        <v>305.27746150999997</v>
      </c>
      <c r="BK84" s="1991">
        <f t="shared" ref="BK84:BK92" si="196">SUM(BG84:BJ84)</f>
        <v>4187.6389815100001</v>
      </c>
      <c r="BL84" s="1991">
        <f t="shared" ref="BL84:BL92" si="197">AT84-BD84</f>
        <v>278.2</v>
      </c>
      <c r="BM84" s="1991">
        <f t="shared" ref="BM84:BM92" si="198">AU84-BF84</f>
        <v>396.43799999999999</v>
      </c>
      <c r="BN84" s="1991">
        <f t="shared" ref="BN84:BN92" si="199">SUM(BL84:BM84)</f>
        <v>674.63799999999992</v>
      </c>
      <c r="BO84" s="1991">
        <f t="shared" ref="BO84:BO92" si="200">BN84+BK84</f>
        <v>4862.27698151</v>
      </c>
      <c r="BP84" s="1991">
        <f t="shared" ref="BP84:BP92" si="201">AX84</f>
        <v>197.3</v>
      </c>
      <c r="BQ84" s="1991">
        <f t="shared" ref="BQ84:BQ92" si="202">AY84</f>
        <v>0</v>
      </c>
      <c r="BR84" s="1991">
        <f t="shared" ref="BR84:BR92" si="203">SUM(BP84:BQ84)</f>
        <v>197.3</v>
      </c>
      <c r="BS84" s="1991">
        <f t="shared" ref="BS84:BS92" si="204">BO84+BR84</f>
        <v>5059.5769815100002</v>
      </c>
      <c r="BT84" s="1517" t="str">
        <f t="shared" si="170"/>
        <v>Bouira</v>
      </c>
      <c r="BU84" s="1999">
        <f t="shared" ref="BU84:BU92" si="205">BX84/1000000</f>
        <v>321.08388980999996</v>
      </c>
      <c r="BV84" s="1999">
        <f t="shared" si="171"/>
        <v>219.29757170000002</v>
      </c>
      <c r="BW84" s="2744">
        <f t="shared" ref="BW84:BW92" si="206">BU84+BV84</f>
        <v>540.38146151000001</v>
      </c>
      <c r="BX84" s="1517">
        <v>321083889.80999994</v>
      </c>
      <c r="BY84" s="1517">
        <v>219297571.70000002</v>
      </c>
    </row>
    <row r="85" spans="1:77" ht="15.6">
      <c r="B85" s="1990" t="s">
        <v>8</v>
      </c>
      <c r="C85" s="1999">
        <v>3087.44678974</v>
      </c>
      <c r="D85" s="1999">
        <v>457.87986416000001</v>
      </c>
      <c r="E85" s="1999">
        <v>70.167150650000011</v>
      </c>
      <c r="F85" s="1999">
        <v>119.81259429752195</v>
      </c>
      <c r="G85" s="1991">
        <f t="shared" si="172"/>
        <v>3735.3063988475224</v>
      </c>
      <c r="H85" s="1999">
        <v>289.67421395000002</v>
      </c>
      <c r="I85" s="1999">
        <v>435.83027623000004</v>
      </c>
      <c r="J85" s="1991">
        <f t="shared" si="163"/>
        <v>725.50449018000006</v>
      </c>
      <c r="K85" s="1991">
        <f t="shared" si="173"/>
        <v>4460.8108890275225</v>
      </c>
      <c r="L85" s="1999">
        <v>154.56444206999998</v>
      </c>
      <c r="M85" s="1999">
        <v>3.2762909999999999E-2</v>
      </c>
      <c r="N85" s="1991">
        <f t="shared" si="174"/>
        <v>154.59720497999999</v>
      </c>
      <c r="O85" s="1991">
        <f t="shared" si="175"/>
        <v>4615.4080940075228</v>
      </c>
      <c r="P85" s="1992">
        <f t="shared" si="164"/>
        <v>0</v>
      </c>
      <c r="Q85" s="1992">
        <f t="shared" si="164"/>
        <v>0</v>
      </c>
      <c r="R85" s="1992">
        <f t="shared" si="164"/>
        <v>0</v>
      </c>
      <c r="S85" s="1992">
        <f t="shared" si="164"/>
        <v>0</v>
      </c>
      <c r="T85" s="1992">
        <f t="shared" si="164"/>
        <v>0</v>
      </c>
      <c r="U85" s="1991">
        <f t="shared" si="176"/>
        <v>3087.44678974</v>
      </c>
      <c r="V85" s="1991">
        <f t="shared" si="177"/>
        <v>457.87986416000001</v>
      </c>
      <c r="W85" s="1991">
        <f t="shared" si="178"/>
        <v>70.167150650000011</v>
      </c>
      <c r="X85" s="1991">
        <f t="shared" si="179"/>
        <v>119.81259429752195</v>
      </c>
      <c r="Y85" s="1991">
        <f t="shared" si="180"/>
        <v>3735.3063988475224</v>
      </c>
      <c r="Z85" s="1991">
        <f t="shared" si="181"/>
        <v>289.67421395000002</v>
      </c>
      <c r="AA85" s="1991">
        <f t="shared" si="182"/>
        <v>435.83027623000004</v>
      </c>
      <c r="AB85" s="1991">
        <f t="shared" si="183"/>
        <v>725.50449018000006</v>
      </c>
      <c r="AC85" s="1991">
        <f t="shared" si="184"/>
        <v>4460.8108890275225</v>
      </c>
      <c r="AD85" s="1991">
        <f t="shared" si="185"/>
        <v>154.56444206999998</v>
      </c>
      <c r="AE85" s="1991">
        <f t="shared" si="186"/>
        <v>3.2762909999999999E-2</v>
      </c>
      <c r="AF85" s="1991">
        <f t="shared" si="187"/>
        <v>154.59720497999999</v>
      </c>
      <c r="AG85" s="1991">
        <f t="shared" si="188"/>
        <v>4615.4080940075228</v>
      </c>
      <c r="AH85" s="2357"/>
      <c r="AI85" s="2357"/>
      <c r="AJ85" s="2357"/>
      <c r="AK85" s="2357"/>
      <c r="AN85" s="1990" t="s">
        <v>8</v>
      </c>
      <c r="AO85" s="1999">
        <v>3015.8667934200002</v>
      </c>
      <c r="AP85" s="1999">
        <v>473.51845759000003</v>
      </c>
      <c r="AQ85" s="1999">
        <v>77.335746590000014</v>
      </c>
      <c r="AR85" s="1991">
        <f t="shared" si="189"/>
        <v>135.22066511234149</v>
      </c>
      <c r="AS85" s="1991">
        <f t="shared" si="165"/>
        <v>3701.9416627123419</v>
      </c>
      <c r="AT85" s="1999">
        <v>279.05033724000003</v>
      </c>
      <c r="AU85" s="1999">
        <v>485.93452084</v>
      </c>
      <c r="AV85" s="1991">
        <f t="shared" si="166"/>
        <v>764.98485808000009</v>
      </c>
      <c r="AW85" s="1991">
        <f t="shared" si="167"/>
        <v>4466.9265207923418</v>
      </c>
      <c r="AX85" s="1991">
        <f t="shared" si="168"/>
        <v>959.39783311000008</v>
      </c>
      <c r="AY85" s="1991">
        <f t="shared" si="168"/>
        <v>7.9333400000000005E-3</v>
      </c>
      <c r="AZ85" s="1991">
        <f t="shared" si="190"/>
        <v>959.4057664500001</v>
      </c>
      <c r="BA85" s="1991">
        <f t="shared" si="191"/>
        <v>5426.3322872423414</v>
      </c>
      <c r="BB85" s="1992">
        <f t="shared" si="169"/>
        <v>232.16632011999999</v>
      </c>
      <c r="BC85" s="1992">
        <f t="shared" si="169"/>
        <v>0</v>
      </c>
      <c r="BD85" s="1992">
        <f t="shared" si="169"/>
        <v>59.840246120000003</v>
      </c>
      <c r="BE85" s="1992">
        <f t="shared" si="169"/>
        <v>8.2372216599999994</v>
      </c>
      <c r="BF85" s="1992">
        <f t="shared" si="169"/>
        <v>0</v>
      </c>
      <c r="BG85" s="1991">
        <f t="shared" si="192"/>
        <v>3015.8667934200002</v>
      </c>
      <c r="BH85" s="1991">
        <f t="shared" si="193"/>
        <v>241.35213747000003</v>
      </c>
      <c r="BI85" s="1991">
        <f>AQ85-BE85</f>
        <v>69.098524930000011</v>
      </c>
      <c r="BJ85" s="1991">
        <f t="shared" si="195"/>
        <v>135.22066511234149</v>
      </c>
      <c r="BK85" s="1991">
        <f t="shared" si="196"/>
        <v>3461.5381209323418</v>
      </c>
      <c r="BL85" s="1991">
        <f t="shared" si="197"/>
        <v>219.21009112000002</v>
      </c>
      <c r="BM85" s="1991">
        <f t="shared" si="198"/>
        <v>485.93452084</v>
      </c>
      <c r="BN85" s="1991">
        <f t="shared" si="199"/>
        <v>705.14461196000002</v>
      </c>
      <c r="BO85" s="1991">
        <f t="shared" si="200"/>
        <v>4166.6827328923418</v>
      </c>
      <c r="BP85" s="1991">
        <f t="shared" si="201"/>
        <v>959.39783311000008</v>
      </c>
      <c r="BQ85" s="1991">
        <f t="shared" si="202"/>
        <v>7.9333400000000005E-3</v>
      </c>
      <c r="BR85" s="1991">
        <f t="shared" si="203"/>
        <v>959.4057664500001</v>
      </c>
      <c r="BS85" s="1991">
        <f t="shared" si="204"/>
        <v>5126.0884993423424</v>
      </c>
      <c r="BT85" s="1517" t="str">
        <f t="shared" si="170"/>
        <v>Médéa</v>
      </c>
      <c r="BU85" s="1999">
        <f t="shared" si="205"/>
        <v>107.09092756973</v>
      </c>
      <c r="BV85" s="1999">
        <f t="shared" si="171"/>
        <v>28.129737542611505</v>
      </c>
      <c r="BW85" s="2744">
        <f t="shared" si="206"/>
        <v>135.22066511234149</v>
      </c>
      <c r="BX85" s="1517">
        <v>107090927.56973</v>
      </c>
      <c r="BY85" s="1517">
        <v>28129737.542611506</v>
      </c>
    </row>
    <row r="86" spans="1:77" ht="15.6">
      <c r="A86" s="1517">
        <v>31</v>
      </c>
      <c r="B86" s="1990" t="s">
        <v>4</v>
      </c>
      <c r="C86" s="1999">
        <v>5770.3340075799997</v>
      </c>
      <c r="D86" s="1999">
        <v>1172.9185496399998</v>
      </c>
      <c r="E86" s="1999">
        <v>102.56436885999999</v>
      </c>
      <c r="F86" s="1999">
        <v>152.27361857</v>
      </c>
      <c r="G86" s="1991">
        <f t="shared" si="172"/>
        <v>7198.0905446499992</v>
      </c>
      <c r="H86" s="1999">
        <v>332.00166361999999</v>
      </c>
      <c r="I86" s="1999">
        <v>434.97297983000004</v>
      </c>
      <c r="J86" s="1991">
        <f t="shared" si="163"/>
        <v>766.97464345000003</v>
      </c>
      <c r="K86" s="1991">
        <f t="shared" si="173"/>
        <v>7965.0651880999994</v>
      </c>
      <c r="L86" s="1999">
        <v>0</v>
      </c>
      <c r="M86" s="1999">
        <v>0</v>
      </c>
      <c r="N86" s="1991">
        <f t="shared" si="174"/>
        <v>0</v>
      </c>
      <c r="O86" s="1991">
        <f t="shared" si="175"/>
        <v>7965.0651880999994</v>
      </c>
      <c r="P86" s="1992">
        <f t="shared" si="164"/>
        <v>463.60441818999993</v>
      </c>
      <c r="Q86" s="1992">
        <f t="shared" si="164"/>
        <v>0</v>
      </c>
      <c r="R86" s="1992">
        <f t="shared" si="164"/>
        <v>0</v>
      </c>
      <c r="S86" s="1992">
        <f t="shared" si="164"/>
        <v>0</v>
      </c>
      <c r="T86" s="1992">
        <f t="shared" si="164"/>
        <v>0</v>
      </c>
      <c r="U86" s="1991">
        <f t="shared" si="176"/>
        <v>5770.3340075799997</v>
      </c>
      <c r="V86" s="1991">
        <f t="shared" si="177"/>
        <v>709.31413144999988</v>
      </c>
      <c r="W86" s="1991">
        <f t="shared" si="178"/>
        <v>102.56436885999999</v>
      </c>
      <c r="X86" s="1991">
        <f t="shared" si="179"/>
        <v>152.27361857</v>
      </c>
      <c r="Y86" s="1991">
        <f t="shared" si="180"/>
        <v>6734.4861264599995</v>
      </c>
      <c r="Z86" s="1991">
        <f t="shared" si="181"/>
        <v>332.00166361999999</v>
      </c>
      <c r="AA86" s="1991">
        <f t="shared" si="182"/>
        <v>434.97297983000004</v>
      </c>
      <c r="AB86" s="1991">
        <f t="shared" si="183"/>
        <v>766.97464345000003</v>
      </c>
      <c r="AC86" s="1991">
        <f t="shared" si="184"/>
        <v>7501.4607699099997</v>
      </c>
      <c r="AD86" s="1991">
        <f t="shared" si="185"/>
        <v>0</v>
      </c>
      <c r="AE86" s="1991">
        <f t="shared" si="186"/>
        <v>0</v>
      </c>
      <c r="AF86" s="1991">
        <f t="shared" si="187"/>
        <v>0</v>
      </c>
      <c r="AG86" s="1991">
        <f t="shared" si="188"/>
        <v>7501.4607699099997</v>
      </c>
      <c r="AH86" s="2357"/>
      <c r="AI86" s="2357"/>
      <c r="AJ86" s="2357"/>
      <c r="AK86" s="2357"/>
      <c r="AN86" s="1990" t="s">
        <v>4</v>
      </c>
      <c r="AO86" s="1999">
        <v>5695.8839094299992</v>
      </c>
      <c r="AP86" s="1999">
        <v>1294.2258011499998</v>
      </c>
      <c r="AQ86" s="1999">
        <v>110.84448565999999</v>
      </c>
      <c r="AR86" s="1991">
        <f t="shared" si="189"/>
        <v>158.83399709999998</v>
      </c>
      <c r="AS86" s="1991">
        <f t="shared" si="165"/>
        <v>7259.7881933399985</v>
      </c>
      <c r="AT86" s="1999">
        <v>297.93083715</v>
      </c>
      <c r="AU86" s="1999">
        <v>443.43995949000004</v>
      </c>
      <c r="AV86" s="1991">
        <f t="shared" si="166"/>
        <v>741.37079663999998</v>
      </c>
      <c r="AW86" s="1991">
        <f t="shared" si="167"/>
        <v>8001.1589899799983</v>
      </c>
      <c r="AX86" s="1991">
        <f t="shared" si="168"/>
        <v>0</v>
      </c>
      <c r="AY86" s="1991">
        <f t="shared" si="168"/>
        <v>0</v>
      </c>
      <c r="AZ86" s="1991">
        <f t="shared" si="190"/>
        <v>0</v>
      </c>
      <c r="BA86" s="1991">
        <f>AW86+AZ86</f>
        <v>8001.1589899799983</v>
      </c>
      <c r="BB86" s="1992">
        <f t="shared" si="169"/>
        <v>499.00241488</v>
      </c>
      <c r="BC86" s="1992">
        <f t="shared" si="169"/>
        <v>0</v>
      </c>
      <c r="BD86" s="1992">
        <f t="shared" si="169"/>
        <v>0</v>
      </c>
      <c r="BE86" s="1992">
        <f t="shared" si="169"/>
        <v>0</v>
      </c>
      <c r="BF86" s="1992">
        <f t="shared" si="169"/>
        <v>0</v>
      </c>
      <c r="BG86" s="1991">
        <f t="shared" si="192"/>
        <v>5695.8839094299992</v>
      </c>
      <c r="BH86" s="1991">
        <f t="shared" si="193"/>
        <v>795.22338626999976</v>
      </c>
      <c r="BI86" s="1991">
        <f t="shared" si="194"/>
        <v>110.84448565999999</v>
      </c>
      <c r="BJ86" s="1991">
        <f t="shared" si="195"/>
        <v>158.83399709999998</v>
      </c>
      <c r="BK86" s="1991">
        <f t="shared" si="196"/>
        <v>6760.7857784599983</v>
      </c>
      <c r="BL86" s="1991">
        <f t="shared" si="197"/>
        <v>297.93083715</v>
      </c>
      <c r="BM86" s="1991">
        <f t="shared" si="198"/>
        <v>443.43995949000004</v>
      </c>
      <c r="BN86" s="1991">
        <f t="shared" si="199"/>
        <v>741.37079663999998</v>
      </c>
      <c r="BO86" s="1991">
        <f t="shared" si="200"/>
        <v>7502.156575099998</v>
      </c>
      <c r="BP86" s="1991">
        <f t="shared" si="201"/>
        <v>0</v>
      </c>
      <c r="BQ86" s="1991">
        <f t="shared" si="202"/>
        <v>0</v>
      </c>
      <c r="BR86" s="1991">
        <f t="shared" si="203"/>
        <v>0</v>
      </c>
      <c r="BS86" s="1991">
        <f t="shared" si="204"/>
        <v>7502.156575099998</v>
      </c>
      <c r="BT86" s="1517" t="str">
        <f t="shared" si="170"/>
        <v>T.Ouzou</v>
      </c>
      <c r="BU86" s="1999">
        <f t="shared" si="205"/>
        <v>75.154345269999993</v>
      </c>
      <c r="BV86" s="1999">
        <f t="shared" si="171"/>
        <v>83.679651829999997</v>
      </c>
      <c r="BW86" s="2744">
        <f t="shared" si="206"/>
        <v>158.83399709999998</v>
      </c>
      <c r="BX86" s="1517">
        <v>75154345.269999996</v>
      </c>
      <c r="BY86" s="1517">
        <v>83679651.829999998</v>
      </c>
    </row>
    <row r="87" spans="1:77" ht="15.6">
      <c r="A87" s="1517">
        <v>29</v>
      </c>
      <c r="B87" s="1990" t="s">
        <v>3</v>
      </c>
      <c r="C87" s="1999">
        <v>2815.2221692399999</v>
      </c>
      <c r="D87" s="1999">
        <v>679.83260900000005</v>
      </c>
      <c r="E87" s="1999">
        <v>43.036728850000003</v>
      </c>
      <c r="F87" s="1999">
        <v>17.391784170000001</v>
      </c>
      <c r="G87" s="1991">
        <f t="shared" si="172"/>
        <v>3555.48329126</v>
      </c>
      <c r="H87" s="1999">
        <v>317.64937300000003</v>
      </c>
      <c r="I87" s="1999">
        <v>279.18764546000006</v>
      </c>
      <c r="J87" s="1991">
        <f t="shared" si="163"/>
        <v>596.83701846000008</v>
      </c>
      <c r="K87" s="1991">
        <f t="shared" si="173"/>
        <v>4152.3203097200003</v>
      </c>
      <c r="L87" s="1999">
        <v>1250.2781723899996</v>
      </c>
      <c r="M87" s="1999">
        <v>28.308022299999973</v>
      </c>
      <c r="N87" s="1991">
        <f t="shared" si="174"/>
        <v>1278.5861946899995</v>
      </c>
      <c r="O87" s="1991">
        <f t="shared" si="175"/>
        <v>5430.9065044099998</v>
      </c>
      <c r="P87" s="1992">
        <f t="shared" si="164"/>
        <v>0</v>
      </c>
      <c r="Q87" s="1992">
        <f t="shared" si="164"/>
        <v>0</v>
      </c>
      <c r="R87" s="1992">
        <f t="shared" si="164"/>
        <v>0</v>
      </c>
      <c r="S87" s="1992">
        <f t="shared" si="164"/>
        <v>0</v>
      </c>
      <c r="T87" s="1992">
        <f t="shared" si="164"/>
        <v>0</v>
      </c>
      <c r="U87" s="1991">
        <f t="shared" si="176"/>
        <v>2815.2221692399999</v>
      </c>
      <c r="V87" s="1991">
        <f t="shared" si="177"/>
        <v>679.83260900000005</v>
      </c>
      <c r="W87" s="1991">
        <f t="shared" si="178"/>
        <v>43.036728850000003</v>
      </c>
      <c r="X87" s="1991">
        <f t="shared" si="179"/>
        <v>17.391784170000001</v>
      </c>
      <c r="Y87" s="1991">
        <f t="shared" si="180"/>
        <v>3555.48329126</v>
      </c>
      <c r="Z87" s="1991">
        <f t="shared" si="181"/>
        <v>317.64937300000003</v>
      </c>
      <c r="AA87" s="1991">
        <f t="shared" si="182"/>
        <v>279.18764546000006</v>
      </c>
      <c r="AB87" s="1991">
        <f t="shared" si="183"/>
        <v>596.83701846000008</v>
      </c>
      <c r="AC87" s="1991">
        <f t="shared" si="184"/>
        <v>4152.3203097200003</v>
      </c>
      <c r="AD87" s="1991">
        <f t="shared" si="185"/>
        <v>1250.2781723899996</v>
      </c>
      <c r="AE87" s="1991">
        <f t="shared" si="186"/>
        <v>28.308022299999973</v>
      </c>
      <c r="AF87" s="1991">
        <f t="shared" si="187"/>
        <v>1278.5861946899995</v>
      </c>
      <c r="AG87" s="1991">
        <f t="shared" si="188"/>
        <v>5430.9065044099998</v>
      </c>
      <c r="AH87" s="2357"/>
      <c r="AI87" s="2357"/>
      <c r="AJ87" s="2357"/>
      <c r="AK87" s="2357"/>
      <c r="AN87" s="1990" t="s">
        <v>3</v>
      </c>
      <c r="AO87" s="1999">
        <v>4018.7432091700002</v>
      </c>
      <c r="AP87" s="1999">
        <v>898.14119395</v>
      </c>
      <c r="AQ87" s="1999">
        <v>53.062107099999992</v>
      </c>
      <c r="AR87" s="1991">
        <f t="shared" si="189"/>
        <v>17.015729540000002</v>
      </c>
      <c r="AS87" s="1991">
        <f t="shared" si="165"/>
        <v>4986.9622397600006</v>
      </c>
      <c r="AT87" s="1999">
        <v>365.55112890999999</v>
      </c>
      <c r="AU87" s="1999">
        <v>295.54177630000004</v>
      </c>
      <c r="AV87" s="1991">
        <f t="shared" si="166"/>
        <v>661.09290521000003</v>
      </c>
      <c r="AW87" s="1991">
        <f t="shared" si="167"/>
        <v>5648.0551449700006</v>
      </c>
      <c r="AX87" s="1991">
        <f t="shared" si="168"/>
        <v>1633.1219728299984</v>
      </c>
      <c r="AY87" s="1991">
        <f t="shared" si="168"/>
        <v>19.104317619999993</v>
      </c>
      <c r="AZ87" s="1991">
        <f t="shared" si="190"/>
        <v>1652.2262904499985</v>
      </c>
      <c r="BA87" s="1991">
        <f t="shared" si="191"/>
        <v>7300.2814354199991</v>
      </c>
      <c r="BB87" s="1992">
        <f t="shared" si="169"/>
        <v>160.88483063000001</v>
      </c>
      <c r="BC87" s="1992">
        <f t="shared" si="169"/>
        <v>0</v>
      </c>
      <c r="BD87" s="1992">
        <f t="shared" si="169"/>
        <v>0</v>
      </c>
      <c r="BE87" s="1992">
        <f t="shared" si="169"/>
        <v>0</v>
      </c>
      <c r="BF87" s="1992">
        <f t="shared" si="169"/>
        <v>2.7025950700000001</v>
      </c>
      <c r="BG87" s="1991">
        <f t="shared" si="192"/>
        <v>4018.7432091700002</v>
      </c>
      <c r="BH87" s="1991">
        <f t="shared" si="193"/>
        <v>737.25636331999999</v>
      </c>
      <c r="BI87" s="1991">
        <f t="shared" si="194"/>
        <v>53.062107099999992</v>
      </c>
      <c r="BJ87" s="1991">
        <f t="shared" si="195"/>
        <v>17.015729540000002</v>
      </c>
      <c r="BK87" s="1991">
        <f t="shared" si="196"/>
        <v>4826.07740913</v>
      </c>
      <c r="BL87" s="1991">
        <f t="shared" si="197"/>
        <v>365.55112890999999</v>
      </c>
      <c r="BM87" s="1991">
        <f t="shared" si="198"/>
        <v>292.83918123000007</v>
      </c>
      <c r="BN87" s="1991">
        <f t="shared" si="199"/>
        <v>658.39031014000011</v>
      </c>
      <c r="BO87" s="1991">
        <f t="shared" si="200"/>
        <v>5484.4677192700001</v>
      </c>
      <c r="BP87" s="1991">
        <f t="shared" si="201"/>
        <v>1633.1219728299984</v>
      </c>
      <c r="BQ87" s="1991">
        <f t="shared" si="202"/>
        <v>19.104317619999993</v>
      </c>
      <c r="BR87" s="1991">
        <f t="shared" si="203"/>
        <v>1652.2262904499985</v>
      </c>
      <c r="BS87" s="1991">
        <f t="shared" si="204"/>
        <v>7136.6940097199986</v>
      </c>
      <c r="BT87" s="1517" t="str">
        <f t="shared" si="170"/>
        <v>Djelfa</v>
      </c>
      <c r="BU87" s="1999">
        <f t="shared" si="205"/>
        <v>0</v>
      </c>
      <c r="BV87" s="1999">
        <f t="shared" si="171"/>
        <v>17.015729540000002</v>
      </c>
      <c r="BW87" s="2744">
        <f t="shared" si="206"/>
        <v>17.015729540000002</v>
      </c>
      <c r="BY87" s="1517">
        <v>17015729.540000003</v>
      </c>
    </row>
    <row r="88" spans="1:77" ht="15.6">
      <c r="A88" s="1517">
        <v>31</v>
      </c>
      <c r="B88" s="1990" t="s">
        <v>397</v>
      </c>
      <c r="C88" s="1999">
        <v>3591.1749278600328</v>
      </c>
      <c r="D88" s="1999">
        <v>758.72873337999988</v>
      </c>
      <c r="E88" s="1999">
        <v>1.3559492500000001</v>
      </c>
      <c r="F88" s="1999">
        <v>361.40943055999998</v>
      </c>
      <c r="G88" s="1991">
        <f t="shared" si="172"/>
        <v>4712.6690410500323</v>
      </c>
      <c r="H88" s="1999">
        <v>242.88505224000002</v>
      </c>
      <c r="I88" s="1999">
        <v>334.55866569</v>
      </c>
      <c r="J88" s="1991">
        <f t="shared" si="163"/>
        <v>577.44371793000005</v>
      </c>
      <c r="K88" s="1991">
        <f t="shared" si="173"/>
        <v>5290.1127589800326</v>
      </c>
      <c r="L88" s="1999">
        <v>0</v>
      </c>
      <c r="M88" s="1999">
        <v>0</v>
      </c>
      <c r="N88" s="1991">
        <f t="shared" si="174"/>
        <v>0</v>
      </c>
      <c r="O88" s="1991">
        <f t="shared" si="175"/>
        <v>5290.1127589800326</v>
      </c>
      <c r="P88" s="1992">
        <f t="shared" si="164"/>
        <v>0</v>
      </c>
      <c r="Q88" s="1992">
        <f t="shared" si="164"/>
        <v>0</v>
      </c>
      <c r="R88" s="1992">
        <f t="shared" si="164"/>
        <v>0</v>
      </c>
      <c r="S88" s="1992">
        <f t="shared" si="164"/>
        <v>0</v>
      </c>
      <c r="T88" s="1992">
        <f t="shared" si="164"/>
        <v>0</v>
      </c>
      <c r="U88" s="1991">
        <f t="shared" si="176"/>
        <v>3591.1749278600328</v>
      </c>
      <c r="V88" s="1991">
        <f t="shared" si="177"/>
        <v>758.72873337999988</v>
      </c>
      <c r="W88" s="1991">
        <f t="shared" si="178"/>
        <v>1.3559492500000001</v>
      </c>
      <c r="X88" s="1991">
        <f t="shared" si="179"/>
        <v>361.40943055999998</v>
      </c>
      <c r="Y88" s="1991">
        <f t="shared" si="180"/>
        <v>4712.6690410500323</v>
      </c>
      <c r="Z88" s="1991">
        <f t="shared" si="181"/>
        <v>242.88505224000002</v>
      </c>
      <c r="AA88" s="1991">
        <f t="shared" si="182"/>
        <v>334.55866569</v>
      </c>
      <c r="AB88" s="1991">
        <f t="shared" si="183"/>
        <v>577.44371793000005</v>
      </c>
      <c r="AC88" s="1991">
        <f t="shared" si="184"/>
        <v>5290.1127589800326</v>
      </c>
      <c r="AD88" s="1991">
        <f t="shared" si="185"/>
        <v>0</v>
      </c>
      <c r="AE88" s="1991">
        <f t="shared" si="186"/>
        <v>0</v>
      </c>
      <c r="AF88" s="1991">
        <f t="shared" si="187"/>
        <v>0</v>
      </c>
      <c r="AG88" s="1991">
        <f t="shared" si="188"/>
        <v>5290.1127589800326</v>
      </c>
      <c r="AH88" s="2357"/>
      <c r="AI88" s="2357"/>
      <c r="AJ88" s="2357"/>
      <c r="AK88" s="2357"/>
      <c r="AN88" s="1990" t="s">
        <v>397</v>
      </c>
      <c r="AO88" s="1999">
        <v>2785.4572022899997</v>
      </c>
      <c r="AP88" s="1999">
        <v>1179.06078499</v>
      </c>
      <c r="AQ88" s="1999">
        <v>1.4635233799999998</v>
      </c>
      <c r="AR88" s="1991">
        <f t="shared" si="189"/>
        <v>344.50299638999996</v>
      </c>
      <c r="AS88" s="1991">
        <f t="shared" si="165"/>
        <v>4310.4845070499996</v>
      </c>
      <c r="AT88" s="1999">
        <v>520.5519347799999</v>
      </c>
      <c r="AU88" s="1999">
        <v>872.00245264</v>
      </c>
      <c r="AV88" s="1991">
        <f t="shared" si="166"/>
        <v>1392.5543874199998</v>
      </c>
      <c r="AW88" s="1991">
        <f t="shared" si="167"/>
        <v>5703.0388944699989</v>
      </c>
      <c r="AX88" s="1991">
        <f t="shared" si="168"/>
        <v>0</v>
      </c>
      <c r="AY88" s="1991">
        <f t="shared" si="168"/>
        <v>0</v>
      </c>
      <c r="AZ88" s="1991">
        <f t="shared" si="190"/>
        <v>0</v>
      </c>
      <c r="BA88" s="1991">
        <f t="shared" si="191"/>
        <v>5703.0388944699989</v>
      </c>
      <c r="BB88" s="1992">
        <f t="shared" si="169"/>
        <v>0</v>
      </c>
      <c r="BC88" s="1992">
        <f t="shared" si="169"/>
        <v>0</v>
      </c>
      <c r="BD88" s="1992">
        <f t="shared" si="169"/>
        <v>0</v>
      </c>
      <c r="BE88" s="1992">
        <f t="shared" si="169"/>
        <v>0</v>
      </c>
      <c r="BF88" s="1992">
        <f t="shared" si="169"/>
        <v>0</v>
      </c>
      <c r="BG88" s="1991">
        <f t="shared" si="192"/>
        <v>2785.4572022899997</v>
      </c>
      <c r="BH88" s="1991">
        <f t="shared" si="193"/>
        <v>1179.06078499</v>
      </c>
      <c r="BI88" s="1991">
        <f t="shared" si="194"/>
        <v>1.4635233799999998</v>
      </c>
      <c r="BJ88" s="1991">
        <f t="shared" si="195"/>
        <v>344.50299638999996</v>
      </c>
      <c r="BK88" s="1991">
        <f t="shared" si="196"/>
        <v>4310.4845070499996</v>
      </c>
      <c r="BL88" s="1991">
        <f t="shared" si="197"/>
        <v>520.5519347799999</v>
      </c>
      <c r="BM88" s="1991">
        <f t="shared" si="198"/>
        <v>872.00245264</v>
      </c>
      <c r="BN88" s="1991">
        <f t="shared" si="199"/>
        <v>1392.5543874199998</v>
      </c>
      <c r="BO88" s="1991">
        <f t="shared" si="200"/>
        <v>5703.0388944699989</v>
      </c>
      <c r="BP88" s="1991">
        <f t="shared" si="201"/>
        <v>0</v>
      </c>
      <c r="BQ88" s="1991">
        <f t="shared" si="202"/>
        <v>0</v>
      </c>
      <c r="BR88" s="1991">
        <f t="shared" si="203"/>
        <v>0</v>
      </c>
      <c r="BS88" s="1991">
        <f t="shared" si="204"/>
        <v>5703.0388944699989</v>
      </c>
      <c r="BT88" s="1517" t="str">
        <f t="shared" si="170"/>
        <v>Tipaza</v>
      </c>
      <c r="BU88" s="1999">
        <f t="shared" si="205"/>
        <v>316.16576613999996</v>
      </c>
      <c r="BV88" s="1999">
        <f t="shared" si="171"/>
        <v>28.337230250000001</v>
      </c>
      <c r="BW88" s="2744">
        <f t="shared" si="206"/>
        <v>344.50299638999996</v>
      </c>
      <c r="BX88" s="1517">
        <v>316165766.13999999</v>
      </c>
      <c r="BY88" s="1517">
        <v>28337230.25</v>
      </c>
    </row>
    <row r="89" spans="1:77" ht="15.6">
      <c r="A89" s="1517">
        <v>30</v>
      </c>
      <c r="B89" s="1990" t="s">
        <v>399</v>
      </c>
      <c r="C89" s="1999">
        <v>4343.8219666655004</v>
      </c>
      <c r="D89" s="1999">
        <v>2011.1285896099996</v>
      </c>
      <c r="E89" s="1999">
        <v>70.869083079999953</v>
      </c>
      <c r="F89" s="1999">
        <v>464.09726456167505</v>
      </c>
      <c r="G89" s="1991">
        <f t="shared" si="172"/>
        <v>6889.9169039171747</v>
      </c>
      <c r="H89" s="1999">
        <v>223.15769646999996</v>
      </c>
      <c r="I89" s="1999">
        <v>400.05386314000003</v>
      </c>
      <c r="J89" s="1991">
        <f t="shared" si="163"/>
        <v>623.21155960999999</v>
      </c>
      <c r="K89" s="1991">
        <f t="shared" si="173"/>
        <v>7513.128463527175</v>
      </c>
      <c r="L89" s="1999">
        <v>67.681406660000007</v>
      </c>
      <c r="M89" s="1999">
        <v>37.033948040000006</v>
      </c>
      <c r="N89" s="1991">
        <f t="shared" si="174"/>
        <v>104.71535470000001</v>
      </c>
      <c r="O89" s="1991">
        <f t="shared" si="175"/>
        <v>7617.8438182271748</v>
      </c>
      <c r="P89" s="1992">
        <f t="shared" si="164"/>
        <v>181.77360999999996</v>
      </c>
      <c r="Q89" s="1992">
        <f t="shared" si="164"/>
        <v>26.666574730000004</v>
      </c>
      <c r="R89" s="1992">
        <f t="shared" si="164"/>
        <v>0</v>
      </c>
      <c r="S89" s="1992">
        <f t="shared" si="164"/>
        <v>0</v>
      </c>
      <c r="T89" s="1992">
        <f t="shared" si="164"/>
        <v>0</v>
      </c>
      <c r="U89" s="1991">
        <f t="shared" si="176"/>
        <v>4343.8219666655004</v>
      </c>
      <c r="V89" s="1991">
        <f t="shared" si="177"/>
        <v>1829.3549796099996</v>
      </c>
      <c r="W89" s="1991">
        <f t="shared" si="178"/>
        <v>70.869083079999953</v>
      </c>
      <c r="X89" s="1991">
        <f t="shared" si="179"/>
        <v>437.43068983167507</v>
      </c>
      <c r="Y89" s="1991">
        <f t="shared" si="180"/>
        <v>6681.4767191871751</v>
      </c>
      <c r="Z89" s="1991">
        <f t="shared" si="181"/>
        <v>223.15769646999996</v>
      </c>
      <c r="AA89" s="1991">
        <f t="shared" si="182"/>
        <v>400.05386314000003</v>
      </c>
      <c r="AB89" s="1991">
        <f t="shared" si="183"/>
        <v>623.21155960999999</v>
      </c>
      <c r="AC89" s="1991">
        <f t="shared" si="184"/>
        <v>7304.6882787971754</v>
      </c>
      <c r="AD89" s="1991">
        <f t="shared" si="185"/>
        <v>67.681406660000007</v>
      </c>
      <c r="AE89" s="1991">
        <f t="shared" si="186"/>
        <v>37.033948040000006</v>
      </c>
      <c r="AF89" s="1991">
        <f t="shared" si="187"/>
        <v>104.71535470000001</v>
      </c>
      <c r="AG89" s="1991">
        <f t="shared" si="188"/>
        <v>7409.4036334971752</v>
      </c>
      <c r="AH89" s="2357"/>
      <c r="AI89" s="2357"/>
      <c r="AJ89" s="2357"/>
      <c r="AK89" s="2357"/>
      <c r="AN89" s="1990" t="s">
        <v>399</v>
      </c>
      <c r="AO89" s="1999">
        <v>4219.0720770000007</v>
      </c>
      <c r="AP89" s="1999">
        <v>1835.2874389199997</v>
      </c>
      <c r="AQ89" s="1999">
        <v>83.691035220000003</v>
      </c>
      <c r="AR89" s="1991">
        <f t="shared" si="189"/>
        <v>675.40259213244212</v>
      </c>
      <c r="AS89" s="1991">
        <f>SUM(AO89:AR89)</f>
        <v>6813.4531432724425</v>
      </c>
      <c r="AT89" s="1999">
        <v>196.06281227000002</v>
      </c>
      <c r="AU89" s="1999">
        <v>422.25050785000002</v>
      </c>
      <c r="AV89" s="1991">
        <f t="shared" si="166"/>
        <v>618.31332012000007</v>
      </c>
      <c r="AW89" s="1991">
        <f t="shared" si="167"/>
        <v>7431.7664633924423</v>
      </c>
      <c r="AX89" s="1991">
        <f t="shared" si="168"/>
        <v>67.681406660000007</v>
      </c>
      <c r="AY89" s="1991">
        <f t="shared" si="168"/>
        <v>12.66327175</v>
      </c>
      <c r="AZ89" s="1991">
        <f t="shared" si="190"/>
        <v>80.34467841</v>
      </c>
      <c r="BA89" s="1991">
        <f t="shared" si="191"/>
        <v>7512.111141802442</v>
      </c>
      <c r="BB89" s="1992">
        <f t="shared" si="169"/>
        <v>29.113162989999999</v>
      </c>
      <c r="BC89" s="1992">
        <f t="shared" si="169"/>
        <v>2.2316863699999998</v>
      </c>
      <c r="BD89" s="1992">
        <f t="shared" si="169"/>
        <v>0</v>
      </c>
      <c r="BE89" s="1992">
        <f t="shared" si="169"/>
        <v>0</v>
      </c>
      <c r="BF89" s="1992">
        <f t="shared" si="169"/>
        <v>0</v>
      </c>
      <c r="BG89" s="1991">
        <f t="shared" si="192"/>
        <v>4219.0720770000007</v>
      </c>
      <c r="BH89" s="1991">
        <f t="shared" si="193"/>
        <v>1806.1742759299996</v>
      </c>
      <c r="BI89" s="1991">
        <f t="shared" si="194"/>
        <v>83.691035220000003</v>
      </c>
      <c r="BJ89" s="1991">
        <f t="shared" si="195"/>
        <v>673.17090576244209</v>
      </c>
      <c r="BK89" s="1991">
        <f t="shared" si="196"/>
        <v>6782.1082939124426</v>
      </c>
      <c r="BL89" s="1991">
        <f t="shared" si="197"/>
        <v>196.06281227000002</v>
      </c>
      <c r="BM89" s="1991">
        <f t="shared" si="198"/>
        <v>422.25050785000002</v>
      </c>
      <c r="BN89" s="1991">
        <f t="shared" si="199"/>
        <v>618.31332012000007</v>
      </c>
      <c r="BO89" s="1991">
        <f t="shared" si="200"/>
        <v>7400.4216140324424</v>
      </c>
      <c r="BP89" s="1991">
        <f t="shared" si="201"/>
        <v>67.681406660000007</v>
      </c>
      <c r="BQ89" s="1991">
        <f t="shared" si="202"/>
        <v>12.66327175</v>
      </c>
      <c r="BR89" s="1991">
        <f t="shared" si="203"/>
        <v>80.34467841</v>
      </c>
      <c r="BS89" s="1991">
        <f t="shared" si="204"/>
        <v>7480.7662924424421</v>
      </c>
      <c r="BT89" s="1517" t="str">
        <f t="shared" si="170"/>
        <v>Boumerdes</v>
      </c>
      <c r="BU89" s="1999">
        <f t="shared" si="205"/>
        <v>500.33736409080012</v>
      </c>
      <c r="BV89" s="1999">
        <f t="shared" si="171"/>
        <v>175.06522804164197</v>
      </c>
      <c r="BW89" s="2744">
        <f t="shared" si="206"/>
        <v>675.40259213244212</v>
      </c>
      <c r="BX89" s="1517">
        <v>500337364.09080011</v>
      </c>
      <c r="BY89" s="1517">
        <v>175065228.04164198</v>
      </c>
    </row>
    <row r="90" spans="1:77" ht="15.6">
      <c r="A90" s="1517">
        <v>31</v>
      </c>
      <c r="B90" s="1990" t="s">
        <v>883</v>
      </c>
      <c r="C90" s="1999">
        <v>4589.6713460400306</v>
      </c>
      <c r="D90" s="1999">
        <v>650.83989827999972</v>
      </c>
      <c r="E90" s="1999">
        <v>2.6413948378000032</v>
      </c>
      <c r="F90" s="1999">
        <v>65.841603410792757</v>
      </c>
      <c r="G90" s="1991">
        <f>SUM(C90:F90)</f>
        <v>5308.994242568624</v>
      </c>
      <c r="H90" s="1999">
        <v>463.91269337999989</v>
      </c>
      <c r="I90" s="1999">
        <v>450.24595510219962</v>
      </c>
      <c r="J90" s="1991">
        <f>SUM(H90:I90)</f>
        <v>914.15864848219951</v>
      </c>
      <c r="K90" s="1991">
        <f>J90+G90</f>
        <v>6223.1528910508232</v>
      </c>
      <c r="L90" s="1999">
        <v>237.33829247</v>
      </c>
      <c r="M90" s="1999">
        <v>53.73</v>
      </c>
      <c r="N90" s="1991">
        <f t="shared" si="174"/>
        <v>291.06829247000002</v>
      </c>
      <c r="O90" s="1991">
        <f t="shared" si="175"/>
        <v>6514.2211835208236</v>
      </c>
      <c r="P90" s="1992">
        <f t="shared" si="164"/>
        <v>1.9243994099999782</v>
      </c>
      <c r="Q90" s="1992">
        <f t="shared" si="164"/>
        <v>0</v>
      </c>
      <c r="R90" s="1992">
        <f t="shared" si="164"/>
        <v>212.86323566000002</v>
      </c>
      <c r="S90" s="1992">
        <f t="shared" si="164"/>
        <v>0</v>
      </c>
      <c r="T90" s="1992">
        <f t="shared" si="164"/>
        <v>0</v>
      </c>
      <c r="U90" s="1991">
        <f t="shared" si="176"/>
        <v>4589.6713460400306</v>
      </c>
      <c r="V90" s="1991">
        <f t="shared" si="177"/>
        <v>648.91549886999974</v>
      </c>
      <c r="W90" s="1991">
        <f t="shared" si="178"/>
        <v>2.6413948378000032</v>
      </c>
      <c r="X90" s="1991">
        <f t="shared" si="179"/>
        <v>65.841603410792757</v>
      </c>
      <c r="Y90" s="1991">
        <f t="shared" si="180"/>
        <v>5307.0698431586243</v>
      </c>
      <c r="Z90" s="1991">
        <f t="shared" si="181"/>
        <v>251.04945771999988</v>
      </c>
      <c r="AA90" s="1991">
        <f t="shared" si="182"/>
        <v>450.24595510219962</v>
      </c>
      <c r="AB90" s="1991">
        <f t="shared" si="183"/>
        <v>701.29541282219952</v>
      </c>
      <c r="AC90" s="1991">
        <f t="shared" si="184"/>
        <v>6008.3652559808233</v>
      </c>
      <c r="AD90" s="1991">
        <f t="shared" si="185"/>
        <v>237.33829247</v>
      </c>
      <c r="AE90" s="1991">
        <f t="shared" si="186"/>
        <v>53.73</v>
      </c>
      <c r="AF90" s="1991">
        <f t="shared" si="187"/>
        <v>291.06829247000002</v>
      </c>
      <c r="AG90" s="1991">
        <f t="shared" si="188"/>
        <v>6299.4335484508238</v>
      </c>
      <c r="AH90" s="2357"/>
      <c r="AI90" s="2357"/>
      <c r="AJ90" s="2357"/>
      <c r="AK90" s="2357"/>
      <c r="AN90" s="1990" t="s">
        <v>883</v>
      </c>
      <c r="AO90" s="1999">
        <v>3107.79994541</v>
      </c>
      <c r="AP90" s="1999">
        <v>683.30964702000006</v>
      </c>
      <c r="AQ90" s="1999">
        <v>2.2553232899999998</v>
      </c>
      <c r="AR90" s="1991">
        <f t="shared" si="189"/>
        <v>69.227987895005199</v>
      </c>
      <c r="AS90" s="1991">
        <f t="shared" si="165"/>
        <v>3862.5929036150051</v>
      </c>
      <c r="AT90" s="1999">
        <v>492.4209770600001</v>
      </c>
      <c r="AU90" s="1999">
        <v>467.07067776000002</v>
      </c>
      <c r="AV90" s="1991">
        <f t="shared" si="166"/>
        <v>959.49165482000012</v>
      </c>
      <c r="AW90" s="1991">
        <f t="shared" si="167"/>
        <v>4822.0845584350054</v>
      </c>
      <c r="AX90" s="1991">
        <f t="shared" si="168"/>
        <v>741.52200000000005</v>
      </c>
      <c r="AY90" s="1991">
        <f t="shared" si="168"/>
        <v>42.546999999999997</v>
      </c>
      <c r="AZ90" s="1991">
        <f t="shared" si="190"/>
        <v>784.06900000000007</v>
      </c>
      <c r="BA90" s="1991">
        <f t="shared" si="191"/>
        <v>5606.1535584350058</v>
      </c>
      <c r="BB90" s="1992">
        <f t="shared" si="169"/>
        <v>4.4780485799999994</v>
      </c>
      <c r="BC90" s="1992">
        <f t="shared" si="169"/>
        <v>0</v>
      </c>
      <c r="BD90" s="1992">
        <f t="shared" si="169"/>
        <v>212.40830268000002</v>
      </c>
      <c r="BE90" s="1992">
        <f t="shared" si="169"/>
        <v>0</v>
      </c>
      <c r="BF90" s="1992">
        <f t="shared" si="169"/>
        <v>0</v>
      </c>
      <c r="BG90" s="1991">
        <f t="shared" si="192"/>
        <v>3107.79994541</v>
      </c>
      <c r="BH90" s="1991">
        <f t="shared" si="193"/>
        <v>678.83159844000011</v>
      </c>
      <c r="BI90" s="1991">
        <f t="shared" si="194"/>
        <v>2.2553232899999998</v>
      </c>
      <c r="BJ90" s="1991">
        <f t="shared" si="195"/>
        <v>69.227987895005199</v>
      </c>
      <c r="BK90" s="1991">
        <f t="shared" si="196"/>
        <v>3858.1148550350053</v>
      </c>
      <c r="BL90" s="1991">
        <f t="shared" si="197"/>
        <v>280.01267438000008</v>
      </c>
      <c r="BM90" s="1991">
        <f t="shared" si="198"/>
        <v>467.07067776000002</v>
      </c>
      <c r="BN90" s="1991">
        <f t="shared" si="199"/>
        <v>747.0833521400001</v>
      </c>
      <c r="BO90" s="1991">
        <f t="shared" si="200"/>
        <v>4605.1982071750053</v>
      </c>
      <c r="BP90" s="1991">
        <f t="shared" si="201"/>
        <v>741.52200000000005</v>
      </c>
      <c r="BQ90" s="1991">
        <f t="shared" si="202"/>
        <v>42.546999999999997</v>
      </c>
      <c r="BR90" s="1991">
        <f t="shared" si="203"/>
        <v>784.06900000000007</v>
      </c>
      <c r="BS90" s="1991">
        <f t="shared" si="204"/>
        <v>5389.2672071750058</v>
      </c>
      <c r="BT90" s="1517" t="str">
        <f t="shared" si="170"/>
        <v>Ain Defla</v>
      </c>
      <c r="BU90" s="1999">
        <f t="shared" si="205"/>
        <v>12.392746800539999</v>
      </c>
      <c r="BV90" s="1999">
        <f t="shared" si="171"/>
        <v>56.835241094465204</v>
      </c>
      <c r="BW90" s="2744">
        <f t="shared" si="206"/>
        <v>69.227987895005199</v>
      </c>
      <c r="BX90" s="1517">
        <v>12392746.80054</v>
      </c>
      <c r="BY90" s="1517">
        <v>56835241.094465204</v>
      </c>
    </row>
    <row r="91" spans="1:77" ht="15.6">
      <c r="A91" s="1517">
        <v>30</v>
      </c>
      <c r="B91" s="1990" t="s">
        <v>884</v>
      </c>
      <c r="C91" s="1999">
        <v>3726.9351409400001</v>
      </c>
      <c r="D91" s="1999">
        <v>587.54842000999997</v>
      </c>
      <c r="E91" s="1999">
        <v>95.879545069999992</v>
      </c>
      <c r="F91" s="1999">
        <v>1627.0393951200001</v>
      </c>
      <c r="G91" s="1991">
        <f>SUM(C91:F91)</f>
        <v>6037.4025011400008</v>
      </c>
      <c r="H91" s="1999">
        <v>528.65294249999999</v>
      </c>
      <c r="I91" s="1999">
        <v>385.42552689999997</v>
      </c>
      <c r="J91" s="1991">
        <f>SUM(H91:I91)</f>
        <v>914.0784693999999</v>
      </c>
      <c r="K91" s="1991">
        <f>J91+G91</f>
        <v>6951.4809705400003</v>
      </c>
      <c r="L91" s="1999">
        <v>191.97531171</v>
      </c>
      <c r="M91" s="1999">
        <v>67.967816819999996</v>
      </c>
      <c r="N91" s="1991">
        <f t="shared" si="174"/>
        <v>259.94312852999997</v>
      </c>
      <c r="O91" s="1991">
        <f t="shared" si="175"/>
        <v>7211.42409907</v>
      </c>
      <c r="P91" s="1992">
        <f t="shared" si="164"/>
        <v>6.9225234100000534</v>
      </c>
      <c r="Q91" s="1992">
        <f t="shared" si="164"/>
        <v>0</v>
      </c>
      <c r="R91" s="1992">
        <f t="shared" si="164"/>
        <v>211.86875581000001</v>
      </c>
      <c r="S91" s="1992">
        <f t="shared" si="164"/>
        <v>0</v>
      </c>
      <c r="T91" s="1992">
        <f t="shared" si="164"/>
        <v>0</v>
      </c>
      <c r="U91" s="1991">
        <f t="shared" si="176"/>
        <v>3726.9351409400001</v>
      </c>
      <c r="V91" s="1991">
        <f t="shared" si="177"/>
        <v>580.62589659999992</v>
      </c>
      <c r="W91" s="1991">
        <f t="shared" si="178"/>
        <v>95.879545069999992</v>
      </c>
      <c r="X91" s="1991">
        <f t="shared" si="179"/>
        <v>1627.0393951200001</v>
      </c>
      <c r="Y91" s="1991">
        <f t="shared" si="180"/>
        <v>6030.4799777300004</v>
      </c>
      <c r="Z91" s="1991">
        <f t="shared" si="181"/>
        <v>316.78418668999996</v>
      </c>
      <c r="AA91" s="1991">
        <f t="shared" si="182"/>
        <v>385.42552689999997</v>
      </c>
      <c r="AB91" s="1991">
        <f t="shared" si="183"/>
        <v>702.20971358999986</v>
      </c>
      <c r="AC91" s="1991">
        <f t="shared" si="184"/>
        <v>6732.6896913199998</v>
      </c>
      <c r="AD91" s="1991">
        <f t="shared" si="185"/>
        <v>191.97531171</v>
      </c>
      <c r="AE91" s="1991">
        <f t="shared" si="186"/>
        <v>67.967816819999996</v>
      </c>
      <c r="AF91" s="1991">
        <f t="shared" si="187"/>
        <v>259.94312852999997</v>
      </c>
      <c r="AG91" s="1991">
        <f t="shared" si="188"/>
        <v>6992.6328198499996</v>
      </c>
      <c r="AH91" s="2357"/>
      <c r="AI91" s="2357"/>
      <c r="AJ91" s="2357"/>
      <c r="AK91" s="2357"/>
      <c r="AN91" s="1990" t="s">
        <v>884</v>
      </c>
      <c r="AO91" s="1999">
        <v>5270.4693283899896</v>
      </c>
      <c r="AP91" s="1999">
        <v>613.76457177299994</v>
      </c>
      <c r="AQ91" s="1999">
        <v>99.640817560000016</v>
      </c>
      <c r="AR91" s="1991">
        <f t="shared" si="189"/>
        <v>1561.2816551900003</v>
      </c>
      <c r="AS91" s="1991">
        <f t="shared" si="165"/>
        <v>7545.1563729129903</v>
      </c>
      <c r="AT91" s="1999">
        <v>528.01706600000011</v>
      </c>
      <c r="AU91" s="1999">
        <v>446.49515349000012</v>
      </c>
      <c r="AV91" s="1991">
        <f t="shared" si="166"/>
        <v>974.51221949000023</v>
      </c>
      <c r="AW91" s="1991">
        <f t="shared" si="167"/>
        <v>8519.6685924029898</v>
      </c>
      <c r="AX91" s="1991">
        <f t="shared" si="168"/>
        <v>378.01768857000047</v>
      </c>
      <c r="AY91" s="1991">
        <f t="shared" si="168"/>
        <v>79.090167390000005</v>
      </c>
      <c r="AZ91" s="1991">
        <f t="shared" si="190"/>
        <v>457.10785596000051</v>
      </c>
      <c r="BA91" s="1991">
        <f t="shared" si="191"/>
        <v>8976.7764483629908</v>
      </c>
      <c r="BB91" s="1992">
        <f t="shared" si="169"/>
        <v>5.5548304699999997</v>
      </c>
      <c r="BC91" s="1992">
        <f t="shared" si="169"/>
        <v>0</v>
      </c>
      <c r="BD91" s="1992">
        <f t="shared" si="169"/>
        <v>185.84533084</v>
      </c>
      <c r="BE91" s="1992">
        <f t="shared" si="169"/>
        <v>0.35892521999999999</v>
      </c>
      <c r="BF91" s="1992">
        <f t="shared" si="169"/>
        <v>1.8441448600000001</v>
      </c>
      <c r="BG91" s="1991">
        <f t="shared" si="192"/>
        <v>5270.4693283899896</v>
      </c>
      <c r="BH91" s="1991">
        <f t="shared" si="193"/>
        <v>608.20974130299999</v>
      </c>
      <c r="BI91" s="1991">
        <f t="shared" si="194"/>
        <v>99.281892340000013</v>
      </c>
      <c r="BJ91" s="1991">
        <f t="shared" si="195"/>
        <v>1561.2816551900003</v>
      </c>
      <c r="BK91" s="1991">
        <f t="shared" si="196"/>
        <v>7539.2426172229898</v>
      </c>
      <c r="BL91" s="1991">
        <f t="shared" si="197"/>
        <v>342.17173516000014</v>
      </c>
      <c r="BM91" s="1991">
        <f t="shared" si="198"/>
        <v>444.65100863000009</v>
      </c>
      <c r="BN91" s="1991">
        <f t="shared" si="199"/>
        <v>786.82274379000023</v>
      </c>
      <c r="BO91" s="1991">
        <f t="shared" si="200"/>
        <v>8326.0653610129903</v>
      </c>
      <c r="BP91" s="1991">
        <f t="shared" si="201"/>
        <v>378.01768857000047</v>
      </c>
      <c r="BQ91" s="1991">
        <f t="shared" si="202"/>
        <v>79.090167390000005</v>
      </c>
      <c r="BR91" s="1991">
        <f t="shared" si="203"/>
        <v>457.10785596000051</v>
      </c>
      <c r="BS91" s="1991">
        <f t="shared" si="204"/>
        <v>8783.1732169729912</v>
      </c>
      <c r="BT91" s="1517" t="str">
        <f t="shared" si="170"/>
        <v>Chlef</v>
      </c>
      <c r="BU91" s="1999">
        <f t="shared" si="205"/>
        <v>1040.1886075400002</v>
      </c>
      <c r="BV91" s="1999">
        <f t="shared" si="171"/>
        <v>521.09304765000002</v>
      </c>
      <c r="BW91" s="2744">
        <f t="shared" si="206"/>
        <v>1561.2816551900003</v>
      </c>
      <c r="BX91" s="1517">
        <v>1040188607.5400002</v>
      </c>
      <c r="BY91" s="1517">
        <v>521093047.64999998</v>
      </c>
    </row>
    <row r="92" spans="1:77" ht="15.6">
      <c r="A92" s="1517">
        <v>31</v>
      </c>
      <c r="B92" s="1990" t="s">
        <v>885</v>
      </c>
      <c r="C92" s="1999">
        <v>910.30812613000012</v>
      </c>
      <c r="D92" s="1999">
        <v>85.120877509999985</v>
      </c>
      <c r="E92" s="1999">
        <v>25.504614739999997</v>
      </c>
      <c r="F92" s="1999">
        <v>7.9134315200000005</v>
      </c>
      <c r="G92" s="1991">
        <f>SUM(C92:F92)</f>
        <v>1028.8470499</v>
      </c>
      <c r="H92" s="1999">
        <v>146.01278694000001</v>
      </c>
      <c r="I92" s="1999">
        <v>179.22323517999999</v>
      </c>
      <c r="J92" s="1991">
        <f>SUM(H92:I92)</f>
        <v>325.23602212000003</v>
      </c>
      <c r="K92" s="1991">
        <f>J92+G92</f>
        <v>1354.0830720200001</v>
      </c>
      <c r="L92" s="1999">
        <v>101.4054029700001</v>
      </c>
      <c r="M92" s="1999">
        <v>10.496432370000001</v>
      </c>
      <c r="N92" s="1991">
        <f t="shared" si="174"/>
        <v>111.9018353400001</v>
      </c>
      <c r="O92" s="1991">
        <f t="shared" si="175"/>
        <v>1465.9849073600003</v>
      </c>
      <c r="P92" s="1992">
        <f t="shared" si="164"/>
        <v>0</v>
      </c>
      <c r="Q92" s="1992">
        <f t="shared" si="164"/>
        <v>0</v>
      </c>
      <c r="R92" s="1992">
        <f t="shared" si="164"/>
        <v>96.989744699999989</v>
      </c>
      <c r="S92" s="1992">
        <f t="shared" si="164"/>
        <v>0</v>
      </c>
      <c r="T92" s="1992">
        <f t="shared" si="164"/>
        <v>0</v>
      </c>
      <c r="U92" s="1991">
        <f t="shared" si="176"/>
        <v>910.30812613000012</v>
      </c>
      <c r="V92" s="1991">
        <f t="shared" si="177"/>
        <v>85.120877509999985</v>
      </c>
      <c r="W92" s="1991">
        <f t="shared" si="178"/>
        <v>25.504614739999997</v>
      </c>
      <c r="X92" s="1991">
        <f t="shared" si="179"/>
        <v>7.9134315200000005</v>
      </c>
      <c r="Y92" s="1991">
        <f t="shared" si="180"/>
        <v>1028.8470499</v>
      </c>
      <c r="Z92" s="1991">
        <f t="shared" si="181"/>
        <v>49.023042240000024</v>
      </c>
      <c r="AA92" s="1991">
        <f t="shared" si="182"/>
        <v>179.22323517999999</v>
      </c>
      <c r="AB92" s="1991">
        <f t="shared" si="183"/>
        <v>228.24627742000001</v>
      </c>
      <c r="AC92" s="1991">
        <f t="shared" si="184"/>
        <v>1257.0933273200001</v>
      </c>
      <c r="AD92" s="1991">
        <f t="shared" si="185"/>
        <v>101.4054029700001</v>
      </c>
      <c r="AE92" s="1991">
        <f t="shared" si="186"/>
        <v>10.496432370000001</v>
      </c>
      <c r="AF92" s="1991">
        <f t="shared" si="187"/>
        <v>111.9018353400001</v>
      </c>
      <c r="AG92" s="1991">
        <f t="shared" si="188"/>
        <v>1368.9951626600002</v>
      </c>
      <c r="AH92" s="2357"/>
      <c r="AI92" s="2357"/>
      <c r="AJ92" s="2357"/>
      <c r="AK92" s="2357"/>
      <c r="AN92" s="1990" t="s">
        <v>885</v>
      </c>
      <c r="AO92" s="1999">
        <v>1037.1502623199999</v>
      </c>
      <c r="AP92" s="1999">
        <v>87.297690290000006</v>
      </c>
      <c r="AQ92" s="1999">
        <v>28.71993355</v>
      </c>
      <c r="AR92" s="1991">
        <f t="shared" si="189"/>
        <v>8.14302685</v>
      </c>
      <c r="AS92" s="1991">
        <f t="shared" si="165"/>
        <v>1161.3109130099999</v>
      </c>
      <c r="AT92" s="1999">
        <v>140.44017891999997</v>
      </c>
      <c r="AU92" s="1999">
        <v>193.23540097</v>
      </c>
      <c r="AV92" s="1991">
        <f t="shared" si="166"/>
        <v>333.67557988999999</v>
      </c>
      <c r="AW92" s="1991">
        <f t="shared" si="167"/>
        <v>1494.9864929</v>
      </c>
      <c r="AX92" s="1991">
        <f t="shared" si="168"/>
        <v>403.28948369</v>
      </c>
      <c r="AY92" s="1991">
        <f t="shared" si="168"/>
        <v>13.828555770000001</v>
      </c>
      <c r="AZ92" s="1991">
        <f t="shared" si="190"/>
        <v>417.11803945999998</v>
      </c>
      <c r="BA92" s="1991">
        <f t="shared" si="191"/>
        <v>1912.1045323600001</v>
      </c>
      <c r="BB92" s="1992">
        <f t="shared" si="169"/>
        <v>0</v>
      </c>
      <c r="BC92" s="1992">
        <f t="shared" si="169"/>
        <v>0</v>
      </c>
      <c r="BD92" s="1992">
        <f t="shared" si="169"/>
        <v>57.011105100000002</v>
      </c>
      <c r="BE92" s="1992">
        <f t="shared" si="169"/>
        <v>0</v>
      </c>
      <c r="BF92" s="1992">
        <f t="shared" si="169"/>
        <v>0</v>
      </c>
      <c r="BG92" s="1991">
        <f t="shared" si="192"/>
        <v>1037.1502623199999</v>
      </c>
      <c r="BH92" s="1991">
        <f t="shared" si="193"/>
        <v>87.297690290000006</v>
      </c>
      <c r="BI92" s="1991">
        <f t="shared" si="194"/>
        <v>28.71993355</v>
      </c>
      <c r="BJ92" s="1991">
        <f t="shared" si="195"/>
        <v>8.14302685</v>
      </c>
      <c r="BK92" s="1991">
        <f t="shared" si="196"/>
        <v>1161.3109130099999</v>
      </c>
      <c r="BL92" s="1991">
        <f t="shared" si="197"/>
        <v>83.429073819999957</v>
      </c>
      <c r="BM92" s="1991">
        <f t="shared" si="198"/>
        <v>193.23540097</v>
      </c>
      <c r="BN92" s="1991">
        <f t="shared" si="199"/>
        <v>276.66447478999999</v>
      </c>
      <c r="BO92" s="1991">
        <f t="shared" si="200"/>
        <v>1437.9753877999999</v>
      </c>
      <c r="BP92" s="1991">
        <f t="shared" si="201"/>
        <v>403.28948369</v>
      </c>
      <c r="BQ92" s="1991">
        <f t="shared" si="202"/>
        <v>13.828555770000001</v>
      </c>
      <c r="BR92" s="1991">
        <f t="shared" si="203"/>
        <v>417.11803945999998</v>
      </c>
      <c r="BS92" s="1991">
        <f t="shared" si="204"/>
        <v>1855.0934272599998</v>
      </c>
      <c r="BT92" s="1517" t="str">
        <f t="shared" si="170"/>
        <v>Tissemssilt</v>
      </c>
      <c r="BU92" s="1999">
        <f t="shared" si="205"/>
        <v>0</v>
      </c>
      <c r="BV92" s="1999">
        <f t="shared" si="171"/>
        <v>8.14302685</v>
      </c>
      <c r="BW92" s="2744">
        <f t="shared" si="206"/>
        <v>8.14302685</v>
      </c>
      <c r="BY92" s="1517">
        <v>8143026.8499999996</v>
      </c>
    </row>
    <row r="93" spans="1:77" ht="15.6">
      <c r="A93" s="1517">
        <v>30</v>
      </c>
      <c r="B93" s="1993" t="s">
        <v>933</v>
      </c>
      <c r="C93" s="1994">
        <f>SUM(C83:C92)</f>
        <v>38712.215873435562</v>
      </c>
      <c r="D93" s="1994">
        <f t="shared" ref="D93:J93" si="207">SUM(D83:D92)</f>
        <v>10488.665153329997</v>
      </c>
      <c r="E93" s="1994">
        <f t="shared" si="207"/>
        <v>537.8910019027436</v>
      </c>
      <c r="F93" s="1994">
        <f>SUM(F83:F92)</f>
        <v>3967.1631378699894</v>
      </c>
      <c r="G93" s="1994">
        <f t="shared" si="207"/>
        <v>53705.935166538307</v>
      </c>
      <c r="H93" s="1994">
        <f t="shared" si="207"/>
        <v>3487.1047976699992</v>
      </c>
      <c r="I93" s="1994">
        <f t="shared" si="207"/>
        <v>4018.1973435172558</v>
      </c>
      <c r="J93" s="1994">
        <f t="shared" si="207"/>
        <v>7505.302141187256</v>
      </c>
      <c r="K93" s="1994">
        <f t="shared" ref="K93:T93" si="208">SUM(K83:K92)</f>
        <v>61211.237307725547</v>
      </c>
      <c r="L93" s="1994">
        <f t="shared" si="208"/>
        <v>2124.0388882699995</v>
      </c>
      <c r="M93" s="1994">
        <f t="shared" si="208"/>
        <v>197.56898243999998</v>
      </c>
      <c r="N93" s="1994">
        <f t="shared" si="208"/>
        <v>2321.6078707099996</v>
      </c>
      <c r="O93" s="1994">
        <f t="shared" si="208"/>
        <v>63532.845178435549</v>
      </c>
      <c r="P93" s="1995">
        <f t="shared" si="208"/>
        <v>1458.77175992</v>
      </c>
      <c r="Q93" s="1995">
        <f t="shared" si="208"/>
        <v>50.586807450000009</v>
      </c>
      <c r="R93" s="1995">
        <f t="shared" si="208"/>
        <v>521.72173616999999</v>
      </c>
      <c r="S93" s="1995">
        <f t="shared" si="208"/>
        <v>0</v>
      </c>
      <c r="T93" s="1995">
        <f t="shared" si="208"/>
        <v>0</v>
      </c>
      <c r="U93" s="1994">
        <f>SUM(U83:U92)</f>
        <v>38712.215873435562</v>
      </c>
      <c r="V93" s="1994">
        <f>SUM(V83:V92)</f>
        <v>9029.8933934100005</v>
      </c>
      <c r="W93" s="1994">
        <f>SUM(W83:W92)</f>
        <v>537.8910019027436</v>
      </c>
      <c r="X93" s="1994">
        <f>SUM(X83:X92)</f>
        <v>3916.5763304199891</v>
      </c>
      <c r="Y93" s="1994">
        <f t="shared" ref="Y93:AE93" si="209">SUM(Y83:Y92)</f>
        <v>52196.5765991683</v>
      </c>
      <c r="Z93" s="1994">
        <f t="shared" si="209"/>
        <v>2965.3830614999993</v>
      </c>
      <c r="AA93" s="1994">
        <f t="shared" si="209"/>
        <v>4018.1973435172558</v>
      </c>
      <c r="AB93" s="1994">
        <f t="shared" si="209"/>
        <v>6983.5804050172565</v>
      </c>
      <c r="AC93" s="1994">
        <f t="shared" si="209"/>
        <v>59180.157004185552</v>
      </c>
      <c r="AD93" s="1994">
        <f t="shared" si="209"/>
        <v>2124.0388882699995</v>
      </c>
      <c r="AE93" s="1994">
        <f t="shared" si="209"/>
        <v>197.56898243999998</v>
      </c>
      <c r="AF93" s="1994">
        <f>SUM(AF83:AF92)</f>
        <v>2321.6078707099996</v>
      </c>
      <c r="AG93" s="1994">
        <f>SUM(AG83:AG92)</f>
        <v>61501.764874895554</v>
      </c>
      <c r="AH93" s="2358"/>
      <c r="AI93" s="2358"/>
      <c r="AJ93" s="2358"/>
      <c r="AK93" s="2358"/>
      <c r="AN93" s="1993" t="s">
        <v>933</v>
      </c>
      <c r="AO93" s="1994">
        <f>SUM(AO83:AO92)</f>
        <v>38173.202146119984</v>
      </c>
      <c r="AP93" s="1994">
        <f t="shared" ref="AP93:AV93" si="210">SUM(AP83:AP92)</f>
        <v>10206.868671483999</v>
      </c>
      <c r="AQ93" s="1994">
        <f t="shared" si="210"/>
        <v>543.84668972999998</v>
      </c>
      <c r="AR93" s="1994">
        <f t="shared" si="210"/>
        <v>4155.3175986797887</v>
      </c>
      <c r="AS93" s="1994">
        <f t="shared" si="210"/>
        <v>53079.235106013773</v>
      </c>
      <c r="AT93" s="1994">
        <f t="shared" si="210"/>
        <v>3481.8475213735001</v>
      </c>
      <c r="AU93" s="1994">
        <f t="shared" si="210"/>
        <v>4379.07201936</v>
      </c>
      <c r="AV93" s="1994">
        <f t="shared" si="210"/>
        <v>7860.919540733501</v>
      </c>
      <c r="AW93" s="1994">
        <f t="shared" ref="AW93:BF93" si="211">SUM(AW83:AW92)</f>
        <v>60940.15464674728</v>
      </c>
      <c r="AX93" s="1994">
        <f t="shared" si="211"/>
        <v>4509.3823848599986</v>
      </c>
      <c r="AY93" s="1994">
        <f t="shared" si="211"/>
        <v>167.24124587</v>
      </c>
      <c r="AZ93" s="1994">
        <f t="shared" si="211"/>
        <v>4676.6236307299987</v>
      </c>
      <c r="BA93" s="1994">
        <f t="shared" si="211"/>
        <v>65616.778277477279</v>
      </c>
      <c r="BB93" s="1995">
        <f t="shared" si="211"/>
        <v>1349.7270876700002</v>
      </c>
      <c r="BC93" s="1995">
        <f t="shared" si="211"/>
        <v>237.33568637000002</v>
      </c>
      <c r="BD93" s="1995">
        <f t="shared" si="211"/>
        <v>515.10498474000008</v>
      </c>
      <c r="BE93" s="1995">
        <f t="shared" si="211"/>
        <v>8.5961468799999992</v>
      </c>
      <c r="BF93" s="1995">
        <f t="shared" si="211"/>
        <v>4.5467399300000002</v>
      </c>
      <c r="BG93" s="1994">
        <f>SUM(BG83:BG92)</f>
        <v>38173.202146119984</v>
      </c>
      <c r="BH93" s="1994">
        <f>SUM(BH83:BH92)</f>
        <v>8857.1415838140001</v>
      </c>
      <c r="BI93" s="1994">
        <f>SUM(BI83:BI92)</f>
        <v>535.25054284999999</v>
      </c>
      <c r="BJ93" s="1994">
        <f>SUM(BJ83:BJ92)</f>
        <v>3917.9819123097886</v>
      </c>
      <c r="BK93" s="1994">
        <f t="shared" ref="BK93:BQ93" si="212">SUM(BK83:BK92)</f>
        <v>51483.576185093778</v>
      </c>
      <c r="BL93" s="1994">
        <f t="shared" si="212"/>
        <v>2966.7425366335001</v>
      </c>
      <c r="BM93" s="1994">
        <f t="shared" si="212"/>
        <v>4374.5252794300004</v>
      </c>
      <c r="BN93" s="1994">
        <f t="shared" si="212"/>
        <v>7341.2678160634996</v>
      </c>
      <c r="BO93" s="1994">
        <f t="shared" si="212"/>
        <v>58824.844001157267</v>
      </c>
      <c r="BP93" s="1994">
        <f t="shared" si="212"/>
        <v>4509.3823848599986</v>
      </c>
      <c r="BQ93" s="1994">
        <f t="shared" si="212"/>
        <v>167.24124587</v>
      </c>
      <c r="BR93" s="1994">
        <f>SUM(BR83:BR92)</f>
        <v>4676.6236307299987</v>
      </c>
      <c r="BS93" s="1994">
        <f>SUM(BS83:BS92)</f>
        <v>63501.467631887281</v>
      </c>
      <c r="BU93" s="1994">
        <f>SUM(BU83:BU92)</f>
        <v>2709.4744157410701</v>
      </c>
      <c r="BV93" s="1994">
        <f>SUM(BV83:BV92)</f>
        <v>1445.8431829387189</v>
      </c>
      <c r="BW93" s="1994">
        <f>SUM(BW83:BW92)</f>
        <v>4155.3175986797887</v>
      </c>
      <c r="BX93" s="1994">
        <f>SUM(BX83:BX92)</f>
        <v>2709474415.7410703</v>
      </c>
      <c r="BY93" s="1994">
        <f>SUM(BY83:BY92)</f>
        <v>1445843182.9387186</v>
      </c>
    </row>
    <row r="94" spans="1:77">
      <c r="T94" s="1517">
        <f>SUM(P93:T93)</f>
        <v>2031.0803035399999</v>
      </c>
      <c r="BF94" s="2000">
        <f>SUM(BB93:BF93)</f>
        <v>2115.3106455900006</v>
      </c>
    </row>
    <row r="95" spans="1:77" ht="21">
      <c r="B95" s="2009">
        <f>B80</f>
        <v>2023</v>
      </c>
      <c r="C95" s="3314" t="s">
        <v>358</v>
      </c>
      <c r="D95" s="3314"/>
      <c r="E95" s="3314"/>
      <c r="F95" s="3314"/>
      <c r="G95" s="3314"/>
      <c r="H95" s="3314"/>
      <c r="I95" s="3314"/>
      <c r="J95" s="3314"/>
      <c r="K95" s="3314"/>
      <c r="L95" s="2096"/>
      <c r="M95" s="2096"/>
      <c r="N95" s="2096"/>
      <c r="O95" s="2096"/>
      <c r="P95" s="2009"/>
      <c r="Q95" s="2009"/>
      <c r="R95" s="2009"/>
      <c r="S95" s="2009"/>
      <c r="T95" s="2009"/>
      <c r="U95" s="3314" t="s">
        <v>937</v>
      </c>
      <c r="V95" s="3314"/>
      <c r="W95" s="3314"/>
      <c r="X95" s="3314"/>
      <c r="Y95" s="3314"/>
      <c r="Z95" s="3314"/>
      <c r="AA95" s="3314"/>
      <c r="AB95" s="3314"/>
      <c r="AC95" s="3314"/>
      <c r="AD95" s="2096"/>
      <c r="AE95" s="2096"/>
      <c r="AF95" s="2096"/>
      <c r="AG95" s="2096"/>
      <c r="AI95" s="3305">
        <v>2023</v>
      </c>
      <c r="AJ95" s="3305"/>
      <c r="AN95" s="1996">
        <f>AN80</f>
        <v>2024</v>
      </c>
      <c r="AO95" s="3314" t="s">
        <v>358</v>
      </c>
      <c r="AP95" s="3314"/>
      <c r="AQ95" s="3314"/>
      <c r="AR95" s="3314"/>
      <c r="AS95" s="3314"/>
      <c r="AT95" s="3314"/>
      <c r="AU95" s="3314"/>
      <c r="AV95" s="3314"/>
      <c r="AW95" s="3314"/>
      <c r="AX95" s="2096"/>
      <c r="AY95" s="2096"/>
      <c r="AZ95" s="2096"/>
      <c r="BA95" s="2096"/>
      <c r="BB95" s="2009"/>
      <c r="BC95" s="2009"/>
      <c r="BD95" s="2009"/>
      <c r="BE95" s="2009"/>
      <c r="BF95" s="2009"/>
      <c r="BG95" s="3314" t="s">
        <v>937</v>
      </c>
      <c r="BH95" s="3314"/>
      <c r="BI95" s="3314"/>
      <c r="BJ95" s="3314"/>
      <c r="BK95" s="3314"/>
      <c r="BL95" s="3314"/>
      <c r="BM95" s="3314"/>
      <c r="BN95" s="3314"/>
      <c r="BO95" s="3314"/>
      <c r="BP95" s="2096"/>
      <c r="BQ95" s="2096"/>
      <c r="BR95" s="2096"/>
      <c r="BS95" s="2096"/>
      <c r="BU95" s="3300" t="s">
        <v>358</v>
      </c>
      <c r="BV95" s="3301"/>
    </row>
    <row r="96" spans="1:77" ht="15.6">
      <c r="B96" s="3282" t="s">
        <v>308</v>
      </c>
      <c r="C96" s="3307" t="s">
        <v>925</v>
      </c>
      <c r="D96" s="3307"/>
      <c r="E96" s="3307"/>
      <c r="F96" s="3307"/>
      <c r="G96" s="3307"/>
      <c r="H96" s="3307" t="s">
        <v>318</v>
      </c>
      <c r="I96" s="3307"/>
      <c r="J96" s="3307"/>
      <c r="K96" s="3306" t="s">
        <v>926</v>
      </c>
      <c r="L96" s="3295" t="s">
        <v>1001</v>
      </c>
      <c r="M96" s="3296"/>
      <c r="N96" s="3297"/>
      <c r="O96" s="3278" t="s">
        <v>714</v>
      </c>
      <c r="P96" s="3291" t="s">
        <v>763</v>
      </c>
      <c r="Q96" s="3292"/>
      <c r="R96" s="3292"/>
      <c r="S96" s="3292"/>
      <c r="T96" s="3293"/>
      <c r="U96" s="3307" t="s">
        <v>925</v>
      </c>
      <c r="V96" s="3307"/>
      <c r="W96" s="3307"/>
      <c r="X96" s="3307"/>
      <c r="Y96" s="3307"/>
      <c r="Z96" s="3307" t="s">
        <v>318</v>
      </c>
      <c r="AA96" s="3307"/>
      <c r="AB96" s="3307"/>
      <c r="AC96" s="3306" t="s">
        <v>926</v>
      </c>
      <c r="AD96" s="3295" t="s">
        <v>1001</v>
      </c>
      <c r="AE96" s="3296"/>
      <c r="AF96" s="3297"/>
      <c r="AG96" s="3278" t="s">
        <v>714</v>
      </c>
      <c r="AI96" s="3278" t="s">
        <v>198</v>
      </c>
      <c r="AJ96" s="3278" t="s">
        <v>199</v>
      </c>
      <c r="AK96" s="3278" t="s">
        <v>20</v>
      </c>
      <c r="AN96" s="3282" t="s">
        <v>308</v>
      </c>
      <c r="AO96" s="3307" t="s">
        <v>925</v>
      </c>
      <c r="AP96" s="3307"/>
      <c r="AQ96" s="3307"/>
      <c r="AR96" s="3307"/>
      <c r="AS96" s="3307"/>
      <c r="AT96" s="3307" t="s">
        <v>318</v>
      </c>
      <c r="AU96" s="3307"/>
      <c r="AV96" s="3307"/>
      <c r="AW96" s="3306" t="s">
        <v>926</v>
      </c>
      <c r="AX96" s="3295" t="s">
        <v>1001</v>
      </c>
      <c r="AY96" s="3296"/>
      <c r="AZ96" s="3297"/>
      <c r="BA96" s="3278" t="s">
        <v>714</v>
      </c>
      <c r="BB96" s="3291" t="s">
        <v>763</v>
      </c>
      <c r="BC96" s="3292"/>
      <c r="BD96" s="3292"/>
      <c r="BE96" s="3292"/>
      <c r="BF96" s="3293"/>
      <c r="BG96" s="3307" t="s">
        <v>925</v>
      </c>
      <c r="BH96" s="3307"/>
      <c r="BI96" s="3307"/>
      <c r="BJ96" s="3307"/>
      <c r="BK96" s="3307"/>
      <c r="BL96" s="3307" t="s">
        <v>318</v>
      </c>
      <c r="BM96" s="3307"/>
      <c r="BN96" s="3307"/>
      <c r="BO96" s="3306" t="s">
        <v>926</v>
      </c>
      <c r="BP96" s="3295" t="s">
        <v>1001</v>
      </c>
      <c r="BQ96" s="3296"/>
      <c r="BR96" s="3297"/>
      <c r="BS96" s="3278" t="s">
        <v>714</v>
      </c>
      <c r="BU96" s="3278" t="s">
        <v>198</v>
      </c>
      <c r="BV96" s="3278" t="s">
        <v>199</v>
      </c>
      <c r="BW96" s="3278" t="s">
        <v>20</v>
      </c>
    </row>
    <row r="97" spans="1:75" ht="15.75" customHeight="1">
      <c r="B97" s="3283"/>
      <c r="C97" s="2010" t="s">
        <v>927</v>
      </c>
      <c r="D97" s="2010" t="s">
        <v>928</v>
      </c>
      <c r="E97" s="2010" t="s">
        <v>185</v>
      </c>
      <c r="F97" s="2010" t="s">
        <v>395</v>
      </c>
      <c r="G97" s="2010" t="s">
        <v>929</v>
      </c>
      <c r="H97" s="2010" t="s">
        <v>930</v>
      </c>
      <c r="I97" s="2010" t="s">
        <v>18</v>
      </c>
      <c r="J97" s="2010" t="s">
        <v>726</v>
      </c>
      <c r="K97" s="3306"/>
      <c r="L97" s="1988" t="s">
        <v>318</v>
      </c>
      <c r="M97" s="1988" t="s">
        <v>766</v>
      </c>
      <c r="N97" s="1988" t="s">
        <v>511</v>
      </c>
      <c r="O97" s="3279"/>
      <c r="P97" s="1989" t="s">
        <v>931</v>
      </c>
      <c r="Q97" s="1989" t="s">
        <v>792</v>
      </c>
      <c r="R97" s="1989" t="s">
        <v>932</v>
      </c>
      <c r="S97" s="1989" t="s">
        <v>185</v>
      </c>
      <c r="T97" s="1989" t="s">
        <v>18</v>
      </c>
      <c r="U97" s="2010" t="s">
        <v>927</v>
      </c>
      <c r="V97" s="2010" t="s">
        <v>928</v>
      </c>
      <c r="W97" s="2010" t="s">
        <v>185</v>
      </c>
      <c r="X97" s="2010" t="s">
        <v>395</v>
      </c>
      <c r="Y97" s="2010" t="s">
        <v>929</v>
      </c>
      <c r="Z97" s="2010" t="s">
        <v>930</v>
      </c>
      <c r="AA97" s="2010" t="s">
        <v>18</v>
      </c>
      <c r="AB97" s="2010" t="s">
        <v>726</v>
      </c>
      <c r="AC97" s="3306"/>
      <c r="AD97" s="1988" t="s">
        <v>318</v>
      </c>
      <c r="AE97" s="1988" t="s">
        <v>766</v>
      </c>
      <c r="AF97" s="1988" t="s">
        <v>511</v>
      </c>
      <c r="AG97" s="3279"/>
      <c r="AI97" s="3279"/>
      <c r="AJ97" s="3279"/>
      <c r="AK97" s="3279"/>
      <c r="AN97" s="3283"/>
      <c r="AO97" s="2010" t="s">
        <v>927</v>
      </c>
      <c r="AP97" s="2010" t="s">
        <v>928</v>
      </c>
      <c r="AQ97" s="2010" t="s">
        <v>185</v>
      </c>
      <c r="AR97" s="2010" t="s">
        <v>395</v>
      </c>
      <c r="AS97" s="2010" t="s">
        <v>929</v>
      </c>
      <c r="AT97" s="2010" t="s">
        <v>930</v>
      </c>
      <c r="AU97" s="2010" t="s">
        <v>18</v>
      </c>
      <c r="AV97" s="2010" t="s">
        <v>726</v>
      </c>
      <c r="AW97" s="3306"/>
      <c r="AX97" s="1988" t="s">
        <v>318</v>
      </c>
      <c r="AY97" s="1988" t="s">
        <v>766</v>
      </c>
      <c r="AZ97" s="1988" t="s">
        <v>511</v>
      </c>
      <c r="BA97" s="3279"/>
      <c r="BB97" s="1989" t="s">
        <v>931</v>
      </c>
      <c r="BC97" s="1989" t="s">
        <v>792</v>
      </c>
      <c r="BD97" s="1989" t="s">
        <v>932</v>
      </c>
      <c r="BE97" s="1989" t="s">
        <v>185</v>
      </c>
      <c r="BF97" s="1989" t="s">
        <v>18</v>
      </c>
      <c r="BG97" s="2010" t="s">
        <v>927</v>
      </c>
      <c r="BH97" s="2010" t="s">
        <v>928</v>
      </c>
      <c r="BI97" s="2010" t="s">
        <v>185</v>
      </c>
      <c r="BJ97" s="2010" t="s">
        <v>395</v>
      </c>
      <c r="BK97" s="2010" t="s">
        <v>929</v>
      </c>
      <c r="BL97" s="2010" t="s">
        <v>930</v>
      </c>
      <c r="BM97" s="2010" t="s">
        <v>18</v>
      </c>
      <c r="BN97" s="2010" t="s">
        <v>726</v>
      </c>
      <c r="BO97" s="3306"/>
      <c r="BP97" s="1988" t="s">
        <v>318</v>
      </c>
      <c r="BQ97" s="1988" t="s">
        <v>766</v>
      </c>
      <c r="BR97" s="1988" t="s">
        <v>511</v>
      </c>
      <c r="BS97" s="3279"/>
      <c r="BU97" s="3279"/>
      <c r="BV97" s="3279"/>
      <c r="BW97" s="3279"/>
    </row>
    <row r="98" spans="1:75" ht="15.6">
      <c r="A98" s="2014">
        <f>SUM(A86:A97)</f>
        <v>243</v>
      </c>
      <c r="B98" s="2011" t="s">
        <v>6</v>
      </c>
      <c r="C98" s="2012">
        <f>C20/C83*$A$98</f>
        <v>75.351753796941225</v>
      </c>
      <c r="D98" s="2012">
        <f t="shared" ref="D98:K98" si="213">D20/D83*$A$98</f>
        <v>69.687114993509212</v>
      </c>
      <c r="E98" s="2012">
        <f t="shared" si="213"/>
        <v>10.80735070855763</v>
      </c>
      <c r="F98" s="2012">
        <f>F20/F83*$A$98</f>
        <v>40.558592167043095</v>
      </c>
      <c r="G98" s="2012">
        <f t="shared" si="213"/>
        <v>70.696764489057927</v>
      </c>
      <c r="H98" s="2012">
        <f>H20/H83*$A$98</f>
        <v>299.23174040887341</v>
      </c>
      <c r="I98" s="2012">
        <f t="shared" si="213"/>
        <v>286.2606212780762</v>
      </c>
      <c r="J98" s="2012">
        <f t="shared" si="213"/>
        <v>292.90527664945148</v>
      </c>
      <c r="K98" s="2012">
        <f t="shared" si="213"/>
        <v>90.543269617708035</v>
      </c>
      <c r="L98" s="1991">
        <f t="shared" ref="L98:O108" si="214">L20/L83*$A$98</f>
        <v>517.72120500429401</v>
      </c>
      <c r="M98" s="1991" t="e">
        <f t="shared" si="214"/>
        <v>#DIV/0!</v>
      </c>
      <c r="N98" s="1991">
        <f t="shared" si="214"/>
        <v>575.85611956179616</v>
      </c>
      <c r="O98" s="2097">
        <f t="shared" si="214"/>
        <v>96.416515486499407</v>
      </c>
      <c r="P98" s="2013"/>
      <c r="Q98" s="2013"/>
      <c r="R98" s="2013"/>
      <c r="S98" s="2013"/>
      <c r="T98" s="2013"/>
      <c r="U98" s="2012">
        <f t="shared" ref="U98:AG98" si="215">U20/U83*$A$98</f>
        <v>75.351753796941225</v>
      </c>
      <c r="V98" s="2012">
        <f t="shared" si="215"/>
        <v>38.556814677354829</v>
      </c>
      <c r="W98" s="2012">
        <f t="shared" si="215"/>
        <v>10.80735070855763</v>
      </c>
      <c r="X98" s="2012">
        <f t="shared" si="215"/>
        <v>14.707459518019215</v>
      </c>
      <c r="Y98" s="2012">
        <f t="shared" si="215"/>
        <v>60.9360283925433</v>
      </c>
      <c r="Z98" s="2012">
        <f t="shared" si="215"/>
        <v>292.12953164527005</v>
      </c>
      <c r="AA98" s="2012">
        <f t="shared" si="215"/>
        <v>277.48570763923431</v>
      </c>
      <c r="AB98" s="2012">
        <f t="shared" si="215"/>
        <v>284.98723182215178</v>
      </c>
      <c r="AC98" s="2012">
        <f t="shared" si="215"/>
        <v>81.892870159544799</v>
      </c>
      <c r="AD98" s="1991">
        <f t="shared" si="215"/>
        <v>517.72120500429401</v>
      </c>
      <c r="AE98" s="1991" t="e">
        <f t="shared" si="215"/>
        <v>#DIV/0!</v>
      </c>
      <c r="AF98" s="1991">
        <f t="shared" si="215"/>
        <v>575.85611956179616</v>
      </c>
      <c r="AG98" s="1991">
        <f t="shared" si="215"/>
        <v>88.149751320894623</v>
      </c>
      <c r="AH98" s="1517" t="str">
        <f t="shared" ref="AH98:AH107" si="216">B98</f>
        <v>Blida</v>
      </c>
      <c r="AI98" s="2368">
        <v>48.967906559568341</v>
      </c>
      <c r="AJ98" s="2369">
        <v>1.1757098594184014</v>
      </c>
      <c r="AK98" s="2289">
        <v>34.217268219527028</v>
      </c>
      <c r="AN98" s="2011" t="s">
        <v>6</v>
      </c>
      <c r="AO98" s="2012">
        <f>AO20/AO83*$A$98</f>
        <v>71.642569105110368</v>
      </c>
      <c r="AP98" s="2012">
        <f>AP20/AP83*$A$98</f>
        <v>119.72313932061486</v>
      </c>
      <c r="AQ98" s="2012">
        <f t="shared" ref="AQ98:AW98" si="217">AQ20/AQ83*$A$98</f>
        <v>9.1920316780601343</v>
      </c>
      <c r="AR98" s="2012">
        <f t="shared" ref="AR98:AR108" si="218">AR20/AR83*$A$98</f>
        <v>23.589772646793403</v>
      </c>
      <c r="AS98" s="2012">
        <f t="shared" si="217"/>
        <v>80.440579309892144</v>
      </c>
      <c r="AT98" s="2012">
        <f t="shared" si="217"/>
        <v>321.7449175997977</v>
      </c>
      <c r="AU98" s="2012">
        <f t="shared" si="217"/>
        <v>332.36578073875791</v>
      </c>
      <c r="AV98" s="2012">
        <f t="shared" si="217"/>
        <v>326.86196140407787</v>
      </c>
      <c r="AW98" s="2012">
        <f t="shared" si="217"/>
        <v>99.979065043834296</v>
      </c>
      <c r="AX98" s="2097">
        <f t="shared" ref="AX98:BA108" si="219">AX20/AX83*$A$98</f>
        <v>578.10086157827857</v>
      </c>
      <c r="AY98" s="2097" t="e">
        <f t="shared" si="219"/>
        <v>#DIV/0!</v>
      </c>
      <c r="AZ98" s="2097">
        <f t="shared" si="219"/>
        <v>632.51657772370834</v>
      </c>
      <c r="BA98" s="2097">
        <f t="shared" si="219"/>
        <v>107.23955990180943</v>
      </c>
      <c r="BB98" s="2013"/>
      <c r="BC98" s="2013"/>
      <c r="BD98" s="2013"/>
      <c r="BE98" s="2013"/>
      <c r="BF98" s="2013"/>
      <c r="BG98" s="2012">
        <f t="shared" ref="BG98:BS98" si="220">BG20/BG83*$A$98</f>
        <v>71.642569105110368</v>
      </c>
      <c r="BH98" s="2012">
        <f t="shared" si="220"/>
        <v>23.398418419832559</v>
      </c>
      <c r="BI98" s="2012">
        <f t="shared" si="220"/>
        <v>9.1920316780601343</v>
      </c>
      <c r="BJ98" s="2012">
        <f>BJ20/BJ83*$A$98</f>
        <v>12.306436701628192</v>
      </c>
      <c r="BK98" s="2012">
        <f t="shared" si="220"/>
        <v>54.361467051765317</v>
      </c>
      <c r="BL98" s="2012">
        <f t="shared" si="220"/>
        <v>317.78280942231385</v>
      </c>
      <c r="BM98" s="2012">
        <f t="shared" si="220"/>
        <v>304.75313338369511</v>
      </c>
      <c r="BN98" s="2012">
        <f t="shared" si="220"/>
        <v>311.50521953410447</v>
      </c>
      <c r="BO98" s="2012">
        <f t="shared" si="220"/>
        <v>74.750117974631308</v>
      </c>
      <c r="BP98" s="1991">
        <f t="shared" si="220"/>
        <v>578.10086157827857</v>
      </c>
      <c r="BQ98" s="1991" t="e">
        <f t="shared" si="220"/>
        <v>#DIV/0!</v>
      </c>
      <c r="BR98" s="1991">
        <f t="shared" si="220"/>
        <v>632.51657772370834</v>
      </c>
      <c r="BS98" s="1991">
        <f t="shared" si="220"/>
        <v>82.35457853663037</v>
      </c>
      <c r="BT98" s="1517" t="str">
        <f t="shared" ref="BT98:BT107" si="221">AN98</f>
        <v>Blida</v>
      </c>
      <c r="BU98" s="2368">
        <f>BU20/BU83*$A$98</f>
        <v>44.096867429375912</v>
      </c>
      <c r="BV98" s="2369">
        <f t="shared" ref="BV98" si="222">BV20/BV83*$A$98</f>
        <v>1.1657314031063848</v>
      </c>
      <c r="BW98" s="2289">
        <f>BW20/BW83*$A$98</f>
        <v>23.589772646793403</v>
      </c>
    </row>
    <row r="99" spans="1:75" ht="15.6">
      <c r="B99" s="2011" t="s">
        <v>7</v>
      </c>
      <c r="C99" s="2012">
        <f t="shared" ref="C99:K99" si="223">C21/C84*$A$98</f>
        <v>56.899743396439298</v>
      </c>
      <c r="D99" s="2012">
        <f t="shared" si="223"/>
        <v>54.719286618854206</v>
      </c>
      <c r="E99" s="2012">
        <f t="shared" si="223"/>
        <v>2.744379425764147</v>
      </c>
      <c r="F99" s="2012">
        <f t="shared" si="223"/>
        <v>230.86726797015027</v>
      </c>
      <c r="G99" s="2012">
        <f t="shared" si="223"/>
        <v>67.754179036775668</v>
      </c>
      <c r="H99" s="2012">
        <f t="shared" si="223"/>
        <v>40.543216199901224</v>
      </c>
      <c r="I99" s="2012">
        <f t="shared" si="223"/>
        <v>29.590339207575116</v>
      </c>
      <c r="J99" s="2012">
        <f t="shared" si="223"/>
        <v>34.152708700984881</v>
      </c>
      <c r="K99" s="2012">
        <f t="shared" si="223"/>
        <v>62.419988218756721</v>
      </c>
      <c r="L99" s="1991" t="e">
        <f t="shared" si="214"/>
        <v>#DIV/0!</v>
      </c>
      <c r="M99" s="1991" t="e">
        <f t="shared" si="214"/>
        <v>#DIV/0!</v>
      </c>
      <c r="N99" s="1991" t="e">
        <f t="shared" si="214"/>
        <v>#DIV/0!</v>
      </c>
      <c r="O99" s="2097">
        <f t="shared" si="214"/>
        <v>64.533418389276619</v>
      </c>
      <c r="P99" s="2013"/>
      <c r="Q99" s="2013"/>
      <c r="R99" s="2013"/>
      <c r="S99" s="2013"/>
      <c r="T99" s="2013"/>
      <c r="U99" s="2012">
        <f t="shared" ref="U99:AG99" si="224">U21/U84*$A$98</f>
        <v>56.899743396439298</v>
      </c>
      <c r="V99" s="2012">
        <f t="shared" si="224"/>
        <v>8.8899800246289384</v>
      </c>
      <c r="W99" s="2012">
        <f t="shared" si="224"/>
        <v>2.744379425764147</v>
      </c>
      <c r="X99" s="2012">
        <f t="shared" si="224"/>
        <v>13.267545666264139</v>
      </c>
      <c r="Y99" s="2012">
        <f t="shared" si="224"/>
        <v>43.523822642770675</v>
      </c>
      <c r="Z99" s="2012">
        <f t="shared" si="224"/>
        <v>40.543216199901224</v>
      </c>
      <c r="AA99" s="2012">
        <f t="shared" si="224"/>
        <v>29.590339207575116</v>
      </c>
      <c r="AB99" s="2012">
        <f t="shared" si="224"/>
        <v>34.152708700984881</v>
      </c>
      <c r="AC99" s="2012">
        <f t="shared" si="224"/>
        <v>41.955332703795449</v>
      </c>
      <c r="AD99" s="1991" t="e">
        <f t="shared" si="224"/>
        <v>#DIV/0!</v>
      </c>
      <c r="AE99" s="1991" t="e">
        <f t="shared" si="224"/>
        <v>#DIV/0!</v>
      </c>
      <c r="AF99" s="1991" t="e">
        <f t="shared" si="224"/>
        <v>#DIV/0!</v>
      </c>
      <c r="AG99" s="1991">
        <f t="shared" si="224"/>
        <v>44.183604462431617</v>
      </c>
      <c r="AH99" s="1517" t="str">
        <f t="shared" si="216"/>
        <v>Bouira</v>
      </c>
      <c r="AI99" s="2368">
        <v>144.61713687882178</v>
      </c>
      <c r="AJ99" s="2369">
        <v>10.892386338294852</v>
      </c>
      <c r="AK99" s="2289">
        <v>111.07117937514072</v>
      </c>
      <c r="AN99" s="2011" t="s">
        <v>7</v>
      </c>
      <c r="AO99" s="2012">
        <f>AO21/AO84*$A$98</f>
        <v>73.750550369550353</v>
      </c>
      <c r="AP99" s="2012">
        <f t="shared" ref="AP99:AW99" si="225">AP21/AP84*$A$98</f>
        <v>143.08877531769241</v>
      </c>
      <c r="AQ99" s="2012">
        <f t="shared" si="225"/>
        <v>18.987566606875443</v>
      </c>
      <c r="AR99" s="2012">
        <f t="shared" si="218"/>
        <v>117.08056101704221</v>
      </c>
      <c r="AS99" s="2012">
        <f t="shared" si="225"/>
        <v>90.653454845130284</v>
      </c>
      <c r="AT99" s="2012">
        <f t="shared" si="225"/>
        <v>68.963260244428469</v>
      </c>
      <c r="AU99" s="2012">
        <f t="shared" si="225"/>
        <v>24.810244956336163</v>
      </c>
      <c r="AV99" s="2012">
        <f t="shared" si="225"/>
        <v>43.017592975788503</v>
      </c>
      <c r="AW99" s="2012">
        <f t="shared" si="225"/>
        <v>84.827222810269546</v>
      </c>
      <c r="AX99" s="2097">
        <f t="shared" si="219"/>
        <v>181.18710593005574</v>
      </c>
      <c r="AY99" s="2097" t="e">
        <f t="shared" si="219"/>
        <v>#DIV/0!</v>
      </c>
      <c r="AZ99" s="2097">
        <f t="shared" si="219"/>
        <v>181.18710593005574</v>
      </c>
      <c r="BA99" s="2097">
        <f t="shared" si="219"/>
        <v>88.154916008866564</v>
      </c>
      <c r="BB99" s="2013"/>
      <c r="BC99" s="2013"/>
      <c r="BD99" s="2013"/>
      <c r="BE99" s="2013"/>
      <c r="BF99" s="2013"/>
      <c r="BG99" s="2012">
        <f t="shared" ref="BG99:BS99" si="226">BG21/BG84*$A$98</f>
        <v>73.750550369550353</v>
      </c>
      <c r="BH99" s="2012">
        <f t="shared" si="226"/>
        <v>14.507715668384037</v>
      </c>
      <c r="BI99" s="2012">
        <f t="shared" si="226"/>
        <v>18.987566606875443</v>
      </c>
      <c r="BJ99" s="2012">
        <f t="shared" si="226"/>
        <v>12.186693260937425</v>
      </c>
      <c r="BK99" s="2012">
        <f t="shared" si="226"/>
        <v>61.791094796895635</v>
      </c>
      <c r="BL99" s="2012">
        <f t="shared" si="226"/>
        <v>68.963260244428469</v>
      </c>
      <c r="BM99" s="2012">
        <f t="shared" si="226"/>
        <v>24.810244956336163</v>
      </c>
      <c r="BN99" s="2012">
        <f t="shared" si="226"/>
        <v>43.017592975788503</v>
      </c>
      <c r="BO99" s="2012">
        <f t="shared" si="226"/>
        <v>59.186282736671366</v>
      </c>
      <c r="BP99" s="1991">
        <f t="shared" si="226"/>
        <v>181.18710593005574</v>
      </c>
      <c r="BQ99" s="1991" t="e">
        <f t="shared" si="226"/>
        <v>#DIV/0!</v>
      </c>
      <c r="BR99" s="1991">
        <f t="shared" si="226"/>
        <v>181.18710593005574</v>
      </c>
      <c r="BS99" s="1991">
        <f t="shared" si="226"/>
        <v>63.943748134276795</v>
      </c>
      <c r="BT99" s="1517" t="str">
        <f t="shared" si="221"/>
        <v>Bouira</v>
      </c>
      <c r="BU99" s="2368">
        <f t="shared" ref="BU99:BW99" si="227">BU21/BU84*$A$98</f>
        <v>185.45882800017526</v>
      </c>
      <c r="BV99" s="2369">
        <f t="shared" si="227"/>
        <v>16.964724023435213</v>
      </c>
      <c r="BW99" s="2289">
        <f t="shared" si="227"/>
        <v>117.08056101704221</v>
      </c>
    </row>
    <row r="100" spans="1:75" ht="15.6">
      <c r="B100" s="2011" t="s">
        <v>8</v>
      </c>
      <c r="C100" s="2012">
        <f t="shared" ref="C100:K100" si="228">C22/C85*$A$98</f>
        <v>47.197710035135984</v>
      </c>
      <c r="D100" s="2012">
        <f t="shared" si="228"/>
        <v>162.735538109473</v>
      </c>
      <c r="E100" s="2012">
        <f t="shared" si="228"/>
        <v>52.091151516781729</v>
      </c>
      <c r="F100" s="2012">
        <f t="shared" si="228"/>
        <v>38.332179796018217</v>
      </c>
      <c r="G100" s="2012">
        <f t="shared" si="228"/>
        <v>61.168077153610419</v>
      </c>
      <c r="H100" s="2012">
        <f t="shared" si="228"/>
        <v>151.67923123742023</v>
      </c>
      <c r="I100" s="2012">
        <f t="shared" si="228"/>
        <v>146.939907321959</v>
      </c>
      <c r="J100" s="2012">
        <f t="shared" si="228"/>
        <v>148.83219048277729</v>
      </c>
      <c r="K100" s="2012">
        <f t="shared" si="228"/>
        <v>75.425733313032197</v>
      </c>
      <c r="L100" s="1991">
        <f t="shared" si="214"/>
        <v>394.38254049914815</v>
      </c>
      <c r="M100" s="1991">
        <f t="shared" si="214"/>
        <v>56489.67896533</v>
      </c>
      <c r="N100" s="1991">
        <f t="shared" si="214"/>
        <v>406.27049894204373</v>
      </c>
      <c r="O100" s="2097">
        <f t="shared" si="214"/>
        <v>86.50767341599223</v>
      </c>
      <c r="P100" s="2013"/>
      <c r="Q100" s="2013"/>
      <c r="R100" s="2013"/>
      <c r="S100" s="2013"/>
      <c r="T100" s="2013"/>
      <c r="U100" s="2012">
        <f t="shared" ref="U100:AG100" si="229">U22/U85*$A$98</f>
        <v>47.197710035135984</v>
      </c>
      <c r="V100" s="2012">
        <f t="shared" si="229"/>
        <v>14.289419316730831</v>
      </c>
      <c r="W100" s="2012">
        <f t="shared" si="229"/>
        <v>21.882361785913567</v>
      </c>
      <c r="X100" s="2012">
        <f t="shared" si="229"/>
        <v>38.332179796018217</v>
      </c>
      <c r="Y100" s="2012">
        <f t="shared" si="229"/>
        <v>42.403845809824183</v>
      </c>
      <c r="Z100" s="2012">
        <f t="shared" si="229"/>
        <v>99.909259269088622</v>
      </c>
      <c r="AA100" s="2012">
        <f t="shared" si="229"/>
        <v>146.939907321959</v>
      </c>
      <c r="AB100" s="2012">
        <f t="shared" si="229"/>
        <v>128.16184848059433</v>
      </c>
      <c r="AC100" s="2012">
        <f t="shared" si="229"/>
        <v>56.351492897835108</v>
      </c>
      <c r="AD100" s="1991">
        <f t="shared" si="229"/>
        <v>394.38254049914815</v>
      </c>
      <c r="AE100" s="1991">
        <f t="shared" si="229"/>
        <v>56489.67896533</v>
      </c>
      <c r="AF100" s="1991">
        <f t="shared" si="229"/>
        <v>406.27049894204373</v>
      </c>
      <c r="AG100" s="1991">
        <f t="shared" si="229"/>
        <v>68.072341672627374</v>
      </c>
      <c r="AH100" s="1517" t="str">
        <f t="shared" si="216"/>
        <v>Médéa</v>
      </c>
      <c r="AI100" s="2368">
        <v>0</v>
      </c>
      <c r="AJ100" s="2369">
        <v>82.628088038449519</v>
      </c>
      <c r="AK100" s="2289">
        <v>24.513977116164842</v>
      </c>
      <c r="AN100" s="2011" t="s">
        <v>8</v>
      </c>
      <c r="AO100" s="2012">
        <f t="shared" ref="AO100:AW100" si="230">AO22/AO85*$A$98</f>
        <v>45.022305849358787</v>
      </c>
      <c r="AP100" s="2012">
        <f t="shared" si="230"/>
        <v>254.25997579299559</v>
      </c>
      <c r="AQ100" s="2012">
        <f t="shared" si="230"/>
        <v>42.627664904010558</v>
      </c>
      <c r="AR100" s="2012">
        <f t="shared" si="218"/>
        <v>29.80070104375055</v>
      </c>
      <c r="AS100" s="2012">
        <f t="shared" si="230"/>
        <v>71.180047027611877</v>
      </c>
      <c r="AT100" s="2012">
        <f t="shared" si="230"/>
        <v>146.75177886024053</v>
      </c>
      <c r="AU100" s="2012">
        <f t="shared" si="230"/>
        <v>125.91168616992712</v>
      </c>
      <c r="AV100" s="2012">
        <f t="shared" si="230"/>
        <v>133.5137123171383</v>
      </c>
      <c r="AW100" s="2012">
        <f t="shared" si="230"/>
        <v>81.855017809682494</v>
      </c>
      <c r="AX100" s="2097">
        <f t="shared" si="219"/>
        <v>194.82506262668232</v>
      </c>
      <c r="AY100" s="2097">
        <f t="shared" si="219"/>
        <v>233287.62784527068</v>
      </c>
      <c r="AZ100" s="2097">
        <f t="shared" si="219"/>
        <v>196.75251034556575</v>
      </c>
      <c r="BA100" s="2097">
        <f t="shared" si="219"/>
        <v>102.16953432919937</v>
      </c>
      <c r="BB100" s="2013"/>
      <c r="BC100" s="2013"/>
      <c r="BD100" s="2013"/>
      <c r="BE100" s="2013"/>
      <c r="BF100" s="2013"/>
      <c r="BG100" s="2012">
        <f t="shared" ref="BG100:BS100" si="231">BG22/BG85*$A$98</f>
        <v>45.022305849358787</v>
      </c>
      <c r="BH100" s="2012">
        <f t="shared" si="231"/>
        <v>22.058506199936875</v>
      </c>
      <c r="BI100" s="2012">
        <f t="shared" si="231"/>
        <v>16.255190386305074</v>
      </c>
      <c r="BJ100" s="2012">
        <f t="shared" si="231"/>
        <v>29.80070104375055</v>
      </c>
      <c r="BK100" s="2012">
        <f t="shared" si="231"/>
        <v>42.252322516597516</v>
      </c>
      <c r="BL100" s="2012">
        <f t="shared" si="231"/>
        <v>107.19512077784141</v>
      </c>
      <c r="BM100" s="2012">
        <f t="shared" si="231"/>
        <v>125.91168616992712</v>
      </c>
      <c r="BN100" s="2012">
        <f t="shared" si="231"/>
        <v>120.09322009153172</v>
      </c>
      <c r="BO100" s="2012">
        <f t="shared" si="231"/>
        <v>55.425653205251429</v>
      </c>
      <c r="BP100" s="1991">
        <f t="shared" si="231"/>
        <v>194.82506262668232</v>
      </c>
      <c r="BQ100" s="1991">
        <f t="shared" si="231"/>
        <v>233287.62784527068</v>
      </c>
      <c r="BR100" s="1991">
        <f t="shared" si="231"/>
        <v>196.75251034556575</v>
      </c>
      <c r="BS100" s="1991">
        <f t="shared" si="231"/>
        <v>81.876581961567013</v>
      </c>
      <c r="BT100" s="1517" t="str">
        <f t="shared" si="221"/>
        <v>Médéa</v>
      </c>
      <c r="BU100" s="2368">
        <f t="shared" ref="BU100:BW100" si="232">BU22/BU85*$A$98</f>
        <v>0</v>
      </c>
      <c r="BV100" s="2369">
        <f t="shared" si="232"/>
        <v>143.25304705903392</v>
      </c>
      <c r="BW100" s="2289">
        <f t="shared" si="232"/>
        <v>29.80070104375055</v>
      </c>
    </row>
    <row r="101" spans="1:75" ht="15.6">
      <c r="B101" s="2011" t="s">
        <v>4</v>
      </c>
      <c r="C101" s="2012">
        <f t="shared" ref="C101:K101" si="233">C23/C86*$A$98</f>
        <v>70.316160822001578</v>
      </c>
      <c r="D101" s="2012">
        <f t="shared" si="233"/>
        <v>104.59730147495317</v>
      </c>
      <c r="E101" s="2012">
        <f t="shared" si="233"/>
        <v>30.762877706260753</v>
      </c>
      <c r="F101" s="2012">
        <f t="shared" si="233"/>
        <v>0</v>
      </c>
      <c r="G101" s="2012">
        <f t="shared" si="233"/>
        <v>73.851116633602715</v>
      </c>
      <c r="H101" s="2012">
        <f t="shared" si="233"/>
        <v>264.78110498083777</v>
      </c>
      <c r="I101" s="2012">
        <f t="shared" si="233"/>
        <v>178.66212403042266</v>
      </c>
      <c r="J101" s="2012">
        <f t="shared" si="233"/>
        <v>215.94059886524403</v>
      </c>
      <c r="K101" s="2012">
        <f t="shared" si="233"/>
        <v>87.533243194905126</v>
      </c>
      <c r="L101" s="1991" t="e">
        <f t="shared" si="214"/>
        <v>#DIV/0!</v>
      </c>
      <c r="M101" s="1991" t="e">
        <f t="shared" si="214"/>
        <v>#DIV/0!</v>
      </c>
      <c r="N101" s="1991" t="e">
        <f t="shared" si="214"/>
        <v>#DIV/0!</v>
      </c>
      <c r="O101" s="2097">
        <f t="shared" si="214"/>
        <v>89.710419171456863</v>
      </c>
      <c r="P101" s="2013"/>
      <c r="Q101" s="2013"/>
      <c r="R101" s="2013"/>
      <c r="S101" s="2013"/>
      <c r="T101" s="2013"/>
      <c r="U101" s="2012">
        <f t="shared" ref="U101:AG101" si="234">U23/U86*$A$98</f>
        <v>70.316160822001578</v>
      </c>
      <c r="V101" s="2012">
        <f t="shared" si="234"/>
        <v>15.254021305118457</v>
      </c>
      <c r="W101" s="2012">
        <f t="shared" si="234"/>
        <v>30.762877706260753</v>
      </c>
      <c r="X101" s="2012">
        <f t="shared" si="234"/>
        <v>0</v>
      </c>
      <c r="Y101" s="2012">
        <f t="shared" si="234"/>
        <v>62.324399249109213</v>
      </c>
      <c r="Z101" s="2012">
        <f t="shared" si="234"/>
        <v>240.50178730399583</v>
      </c>
      <c r="AA101" s="2012">
        <f t="shared" si="234"/>
        <v>178.66212403042266</v>
      </c>
      <c r="AB101" s="2012">
        <f t="shared" si="234"/>
        <v>205.43076789611172</v>
      </c>
      <c r="AC101" s="2012">
        <f t="shared" si="234"/>
        <v>76.956076922973239</v>
      </c>
      <c r="AD101" s="1991" t="e">
        <f t="shared" si="234"/>
        <v>#DIV/0!</v>
      </c>
      <c r="AE101" s="1991" t="e">
        <f t="shared" si="234"/>
        <v>#DIV/0!</v>
      </c>
      <c r="AF101" s="1991" t="e">
        <f t="shared" si="234"/>
        <v>#DIV/0!</v>
      </c>
      <c r="AG101" s="1991">
        <f t="shared" si="234"/>
        <v>79.267806479536404</v>
      </c>
      <c r="AH101" s="1517" t="str">
        <f t="shared" si="216"/>
        <v>T.Ouzou</v>
      </c>
      <c r="AI101" s="2368">
        <v>0</v>
      </c>
      <c r="AJ101" s="2369">
        <v>0</v>
      </c>
      <c r="AK101" s="2289">
        <v>0</v>
      </c>
      <c r="AN101" s="2011" t="s">
        <v>4</v>
      </c>
      <c r="AO101" s="2012">
        <f t="shared" ref="AO101:AW101" si="235">AO23/AO86*$A$98</f>
        <v>72.059740437923381</v>
      </c>
      <c r="AP101" s="2012">
        <f t="shared" si="235"/>
        <v>247.07897953069644</v>
      </c>
      <c r="AQ101" s="2012">
        <f t="shared" si="235"/>
        <v>19.169304125669932</v>
      </c>
      <c r="AR101" s="2012">
        <f t="shared" si="218"/>
        <v>36.052395323746467</v>
      </c>
      <c r="AS101" s="2012">
        <f t="shared" si="235"/>
        <v>101.66564703584238</v>
      </c>
      <c r="AT101" s="2012">
        <f t="shared" si="235"/>
        <v>234.87305363663663</v>
      </c>
      <c r="AU101" s="2012">
        <f t="shared" si="235"/>
        <v>202.44554382051453</v>
      </c>
      <c r="AV101" s="2012">
        <f t="shared" si="235"/>
        <v>215.47701901483413</v>
      </c>
      <c r="AW101" s="2012">
        <f t="shared" si="235"/>
        <v>112.21117270486391</v>
      </c>
      <c r="AX101" s="2097" t="e">
        <f t="shared" si="219"/>
        <v>#DIV/0!</v>
      </c>
      <c r="AY101" s="2097" t="e">
        <f t="shared" si="219"/>
        <v>#DIV/0!</v>
      </c>
      <c r="AZ101" s="2097" t="e">
        <f t="shared" si="219"/>
        <v>#DIV/0!</v>
      </c>
      <c r="BA101" s="2097">
        <f t="shared" si="219"/>
        <v>112.63819557733262</v>
      </c>
      <c r="BB101" s="2013"/>
      <c r="BC101" s="2013"/>
      <c r="BD101" s="2013"/>
      <c r="BE101" s="2013"/>
      <c r="BF101" s="2013"/>
      <c r="BG101" s="2012">
        <f t="shared" ref="BG101:BS101" si="236">BG23/BG86*$A$98</f>
        <v>72.059740437923381</v>
      </c>
      <c r="BH101" s="2012">
        <f t="shared" si="236"/>
        <v>12.86604048330414</v>
      </c>
      <c r="BI101" s="2012">
        <f t="shared" si="236"/>
        <v>19.169304125669932</v>
      </c>
      <c r="BJ101" s="2012">
        <f t="shared" si="236"/>
        <v>36.052395323746467</v>
      </c>
      <c r="BK101" s="2012">
        <f t="shared" si="236"/>
        <v>63.384118963649783</v>
      </c>
      <c r="BL101" s="2012">
        <f t="shared" si="236"/>
        <v>234.87305363663663</v>
      </c>
      <c r="BM101" s="2012">
        <f t="shared" si="236"/>
        <v>202.44554382051453</v>
      </c>
      <c r="BN101" s="2012">
        <f t="shared" si="236"/>
        <v>215.47701901483413</v>
      </c>
      <c r="BO101" s="2012">
        <f t="shared" si="236"/>
        <v>78.414095123902271</v>
      </c>
      <c r="BP101" s="1991" t="e">
        <f t="shared" si="236"/>
        <v>#DIV/0!</v>
      </c>
      <c r="BQ101" s="1991" t="e">
        <f t="shared" si="236"/>
        <v>#DIV/0!</v>
      </c>
      <c r="BR101" s="1991" t="e">
        <f t="shared" si="236"/>
        <v>#DIV/0!</v>
      </c>
      <c r="BS101" s="1991">
        <f t="shared" si="236"/>
        <v>78.869521221821913</v>
      </c>
      <c r="BT101" s="1517" t="str">
        <f t="shared" si="221"/>
        <v>T.Ouzou</v>
      </c>
      <c r="BU101" s="2368">
        <f t="shared" ref="BU101:BW101" si="237">BU23/BU86*$A$98</f>
        <v>0</v>
      </c>
      <c r="BV101" s="2369">
        <f t="shared" si="237"/>
        <v>68.431762430529702</v>
      </c>
      <c r="BW101" s="2289">
        <f t="shared" si="237"/>
        <v>36.052395323746467</v>
      </c>
    </row>
    <row r="102" spans="1:75" ht="15.6">
      <c r="B102" s="2011" t="s">
        <v>3</v>
      </c>
      <c r="C102" s="2012">
        <f t="shared" ref="C102:K102" si="238">C24/C87*$A$98</f>
        <v>216.51914122310092</v>
      </c>
      <c r="D102" s="2012">
        <f t="shared" si="238"/>
        <v>126.2245097350133</v>
      </c>
      <c r="E102" s="2012">
        <f t="shared" si="238"/>
        <v>102.88262069992336</v>
      </c>
      <c r="F102" s="2012">
        <f t="shared" si="238"/>
        <v>185.2101364071838</v>
      </c>
      <c r="G102" s="2012">
        <f t="shared" si="238"/>
        <v>197.725550308739</v>
      </c>
      <c r="H102" s="2012">
        <f t="shared" si="238"/>
        <v>308.98451631720991</v>
      </c>
      <c r="I102" s="2012">
        <f t="shared" si="238"/>
        <v>316.07094007579508</v>
      </c>
      <c r="J102" s="2012">
        <f t="shared" si="238"/>
        <v>312.29939442077676</v>
      </c>
      <c r="K102" s="2012">
        <f t="shared" si="238"/>
        <v>214.19391170977471</v>
      </c>
      <c r="L102" s="1991">
        <f t="shared" si="214"/>
        <v>238.03941602215124</v>
      </c>
      <c r="M102" s="1991">
        <f t="shared" si="214"/>
        <v>57.998321045903694</v>
      </c>
      <c r="N102" s="1991">
        <f t="shared" si="214"/>
        <v>234.05328872571215</v>
      </c>
      <c r="O102" s="2097">
        <f t="shared" si="214"/>
        <v>218.86936050770606</v>
      </c>
      <c r="P102" s="2013"/>
      <c r="Q102" s="2013"/>
      <c r="R102" s="2013"/>
      <c r="S102" s="2013"/>
      <c r="T102" s="2013"/>
      <c r="U102" s="2012">
        <f t="shared" ref="U102:AG102" si="239">U24/U87*$A$98</f>
        <v>216.51914122310092</v>
      </c>
      <c r="V102" s="2012">
        <f t="shared" si="239"/>
        <v>59.387767069496356</v>
      </c>
      <c r="W102" s="2012">
        <f t="shared" si="239"/>
        <v>102.88262069992336</v>
      </c>
      <c r="X102" s="2012">
        <f t="shared" si="239"/>
        <v>185.2101364071838</v>
      </c>
      <c r="Y102" s="2012">
        <f t="shared" si="239"/>
        <v>184.94591012450471</v>
      </c>
      <c r="Z102" s="2012">
        <f t="shared" si="239"/>
        <v>308.98451631720991</v>
      </c>
      <c r="AA102" s="2012">
        <f t="shared" si="239"/>
        <v>313.75679977347085</v>
      </c>
      <c r="AB102" s="2012">
        <f t="shared" si="239"/>
        <v>311.21688887523095</v>
      </c>
      <c r="AC102" s="2012">
        <f t="shared" si="239"/>
        <v>203.09556835274753</v>
      </c>
      <c r="AD102" s="1991">
        <f t="shared" si="239"/>
        <v>238.03941602215124</v>
      </c>
      <c r="AE102" s="1991">
        <f t="shared" si="239"/>
        <v>57.998321045903694</v>
      </c>
      <c r="AF102" s="1991">
        <f t="shared" si="239"/>
        <v>234.05328872571215</v>
      </c>
      <c r="AG102" s="1991">
        <f t="shared" si="239"/>
        <v>210.38387535192058</v>
      </c>
      <c r="AH102" s="1517" t="str">
        <f t="shared" si="216"/>
        <v>Djelfa</v>
      </c>
      <c r="AI102" s="2368"/>
      <c r="AJ102" s="2369">
        <v>186.88434949797792</v>
      </c>
      <c r="AK102" s="2289">
        <v>186.88434949797792</v>
      </c>
      <c r="AN102" s="2011" t="s">
        <v>3</v>
      </c>
      <c r="AO102" s="2012">
        <f t="shared" ref="AO102:AW102" si="240">AO24/AO87*$A$98</f>
        <v>173.17614822782022</v>
      </c>
      <c r="AP102" s="2012">
        <f t="shared" si="240"/>
        <v>156.98633015584554</v>
      </c>
      <c r="AQ102" s="2012">
        <f t="shared" si="240"/>
        <v>78.049086746500507</v>
      </c>
      <c r="AR102" s="2012">
        <f t="shared" si="218"/>
        <v>263.82471025159464</v>
      </c>
      <c r="AS102" s="2012">
        <f t="shared" si="240"/>
        <v>169.55752579291109</v>
      </c>
      <c r="AT102" s="2012">
        <f t="shared" si="240"/>
        <v>310.43349335372733</v>
      </c>
      <c r="AU102" s="2012">
        <f t="shared" si="240"/>
        <v>466.7662038410777</v>
      </c>
      <c r="AV102" s="2012">
        <f t="shared" si="240"/>
        <v>380.32207722311341</v>
      </c>
      <c r="AW102" s="2012">
        <f t="shared" si="240"/>
        <v>194.22707062629726</v>
      </c>
      <c r="AX102" s="2097">
        <f t="shared" si="219"/>
        <v>319.9076231533225</v>
      </c>
      <c r="AY102" s="2097">
        <f t="shared" si="219"/>
        <v>125.0894301374163</v>
      </c>
      <c r="AZ102" s="2097">
        <f t="shared" si="219"/>
        <v>317.65498460190668</v>
      </c>
      <c r="BA102" s="2097">
        <f t="shared" si="219"/>
        <v>222.16172578307754</v>
      </c>
      <c r="BB102" s="2013"/>
      <c r="BC102" s="2013"/>
      <c r="BD102" s="2013"/>
      <c r="BE102" s="2013"/>
      <c r="BF102" s="2013"/>
      <c r="BG102" s="2012">
        <f t="shared" ref="BG102:BS102" si="241">BG24/BG87*$A$98</f>
        <v>173.17614822782022</v>
      </c>
      <c r="BH102" s="2012">
        <f t="shared" si="241"/>
        <v>53.697844577024959</v>
      </c>
      <c r="BI102" s="2012">
        <f t="shared" si="241"/>
        <v>78.049086746500507</v>
      </c>
      <c r="BJ102" s="2012">
        <f t="shared" si="241"/>
        <v>263.82471025159464</v>
      </c>
      <c r="BK102" s="2012">
        <f t="shared" si="241"/>
        <v>154.19772687432129</v>
      </c>
      <c r="BL102" s="2012">
        <f t="shared" si="241"/>
        <v>310.43349335372733</v>
      </c>
      <c r="BM102" s="2012">
        <f t="shared" si="241"/>
        <v>466.90434542917939</v>
      </c>
      <c r="BN102" s="2012">
        <f t="shared" si="241"/>
        <v>380.02867952588184</v>
      </c>
      <c r="BO102" s="2012">
        <f t="shared" si="241"/>
        <v>181.30790758211532</v>
      </c>
      <c r="BP102" s="1991">
        <f t="shared" si="241"/>
        <v>319.9076231533225</v>
      </c>
      <c r="BQ102" s="1991">
        <f t="shared" si="241"/>
        <v>125.0894301374163</v>
      </c>
      <c r="BR102" s="1991">
        <f t="shared" si="241"/>
        <v>317.65498460190668</v>
      </c>
      <c r="BS102" s="1991">
        <f t="shared" si="241"/>
        <v>212.87381540600262</v>
      </c>
      <c r="BT102" s="1517" t="str">
        <f t="shared" si="221"/>
        <v>Djelfa</v>
      </c>
      <c r="BU102" s="2368"/>
      <c r="BV102" s="2369">
        <f t="shared" ref="BV102:BW102" si="242">BV24/BV87*$A$98</f>
        <v>263.82471025159464</v>
      </c>
      <c r="BW102" s="2289">
        <f t="shared" si="242"/>
        <v>263.82471025159464</v>
      </c>
    </row>
    <row r="103" spans="1:75" ht="15.6">
      <c r="B103" s="2011" t="s">
        <v>397</v>
      </c>
      <c r="C103" s="2012">
        <f t="shared" ref="C103:K103" si="243">C25/C88*$A$98</f>
        <v>134.58805955040293</v>
      </c>
      <c r="D103" s="2012">
        <f t="shared" si="243"/>
        <v>168.26384849206673</v>
      </c>
      <c r="E103" s="2012">
        <f t="shared" si="243"/>
        <v>295.77871459922977</v>
      </c>
      <c r="F103" s="2012">
        <f t="shared" si="243"/>
        <v>112.75780489271013</v>
      </c>
      <c r="G103" s="2012">
        <f t="shared" si="243"/>
        <v>138.38202322078638</v>
      </c>
      <c r="H103" s="2012">
        <f t="shared" si="243"/>
        <v>431.40130373841919</v>
      </c>
      <c r="I103" s="2012">
        <f t="shared" si="243"/>
        <v>197.66584142643941</v>
      </c>
      <c r="J103" s="2012">
        <f t="shared" si="243"/>
        <v>295.97992505262533</v>
      </c>
      <c r="K103" s="2012">
        <f t="shared" si="243"/>
        <v>155.5846656819067</v>
      </c>
      <c r="L103" s="1991" t="e">
        <f t="shared" si="214"/>
        <v>#DIV/0!</v>
      </c>
      <c r="M103" s="1991" t="e">
        <f t="shared" si="214"/>
        <v>#DIV/0!</v>
      </c>
      <c r="N103" s="1991" t="e">
        <f t="shared" si="214"/>
        <v>#DIV/0!</v>
      </c>
      <c r="O103" s="2097">
        <f t="shared" si="214"/>
        <v>164.6335648734713</v>
      </c>
      <c r="P103" s="2013"/>
      <c r="Q103" s="2013"/>
      <c r="R103" s="2013"/>
      <c r="S103" s="2013"/>
      <c r="T103" s="2013"/>
      <c r="U103" s="2012">
        <f t="shared" ref="U103:AG103" si="244">U25/U88*$A$98</f>
        <v>134.58805955040293</v>
      </c>
      <c r="V103" s="2012">
        <f t="shared" si="244"/>
        <v>57.809395004080379</v>
      </c>
      <c r="W103" s="2012">
        <f t="shared" si="244"/>
        <v>295.77871459922977</v>
      </c>
      <c r="X103" s="2012">
        <f t="shared" si="244"/>
        <v>112.75780489271013</v>
      </c>
      <c r="Y103" s="2012">
        <f t="shared" si="244"/>
        <v>120.59911360818023</v>
      </c>
      <c r="Z103" s="2012">
        <f t="shared" si="244"/>
        <v>422.43550390188494</v>
      </c>
      <c r="AA103" s="2012">
        <f t="shared" si="244"/>
        <v>197.66584142643941</v>
      </c>
      <c r="AB103" s="2012">
        <f t="shared" si="244"/>
        <v>292.20871983547204</v>
      </c>
      <c r="AC103" s="2012">
        <f t="shared" si="244"/>
        <v>139.33120752889596</v>
      </c>
      <c r="AD103" s="1991" t="e">
        <f t="shared" si="244"/>
        <v>#DIV/0!</v>
      </c>
      <c r="AE103" s="1991" t="e">
        <f t="shared" si="244"/>
        <v>#DIV/0!</v>
      </c>
      <c r="AF103" s="1991" t="e">
        <f t="shared" si="244"/>
        <v>#DIV/0!</v>
      </c>
      <c r="AG103" s="1991">
        <f t="shared" si="244"/>
        <v>148.38010672046056</v>
      </c>
      <c r="AH103" s="1517" t="str">
        <f t="shared" si="216"/>
        <v>Tipaza</v>
      </c>
      <c r="AI103" s="2368">
        <v>71.009302336145552</v>
      </c>
      <c r="AJ103" s="2369">
        <v>118.15105437691849</v>
      </c>
      <c r="AK103" s="2289">
        <v>77.395647091061448</v>
      </c>
      <c r="AN103" s="2011" t="s">
        <v>397</v>
      </c>
      <c r="AO103" s="2012">
        <f t="shared" ref="AO103:AW103" si="245">AO25/AO88*$A$98</f>
        <v>206.58290344736758</v>
      </c>
      <c r="AP103" s="2012">
        <f t="shared" si="245"/>
        <v>120.40255054416379</v>
      </c>
      <c r="AQ103" s="2012">
        <f t="shared" si="245"/>
        <v>235.74855858250092</v>
      </c>
      <c r="AR103" s="2012">
        <f t="shared" si="218"/>
        <v>131.38966599796407</v>
      </c>
      <c r="AS103" s="2012">
        <f t="shared" si="245"/>
        <v>177.01001313128393</v>
      </c>
      <c r="AT103" s="2012">
        <f t="shared" si="245"/>
        <v>195.49584069422221</v>
      </c>
      <c r="AU103" s="2012">
        <f t="shared" si="245"/>
        <v>73.654709143790015</v>
      </c>
      <c r="AV103" s="2012">
        <f t="shared" si="245"/>
        <v>119.20024570403127</v>
      </c>
      <c r="AW103" s="2012">
        <f t="shared" si="245"/>
        <v>162.8941624846031</v>
      </c>
      <c r="AX103" s="2097" t="e">
        <f t="shared" si="219"/>
        <v>#DIV/0!</v>
      </c>
      <c r="AY103" s="2097" t="e">
        <f t="shared" si="219"/>
        <v>#DIV/0!</v>
      </c>
      <c r="AZ103" s="2097" t="e">
        <f t="shared" si="219"/>
        <v>#DIV/0!</v>
      </c>
      <c r="BA103" s="2097">
        <f t="shared" si="219"/>
        <v>170.99163154960263</v>
      </c>
      <c r="BB103" s="2013"/>
      <c r="BC103" s="2013"/>
      <c r="BD103" s="2013"/>
      <c r="BE103" s="2013"/>
      <c r="BF103" s="2013"/>
      <c r="BG103" s="2012">
        <f t="shared" ref="BG103:BS103" si="246">BG25/BG88*$A$98</f>
        <v>206.58290344736758</v>
      </c>
      <c r="BH103" s="2012">
        <f t="shared" si="246"/>
        <v>34.090710776833127</v>
      </c>
      <c r="BI103" s="2012">
        <f t="shared" si="246"/>
        <v>235.74855858250092</v>
      </c>
      <c r="BJ103" s="2012">
        <f t="shared" si="246"/>
        <v>131.38966599796407</v>
      </c>
      <c r="BK103" s="2012">
        <f t="shared" si="246"/>
        <v>153.40085611342306</v>
      </c>
      <c r="BL103" s="2012">
        <f t="shared" si="246"/>
        <v>193.30800010221421</v>
      </c>
      <c r="BM103" s="2012">
        <f t="shared" si="246"/>
        <v>73.654709143790015</v>
      </c>
      <c r="BN103" s="2012">
        <f t="shared" si="246"/>
        <v>118.38240715966388</v>
      </c>
      <c r="BO103" s="2012">
        <f t="shared" si="246"/>
        <v>144.85013506214528</v>
      </c>
      <c r="BP103" s="1991" t="e">
        <f t="shared" si="246"/>
        <v>#DIV/0!</v>
      </c>
      <c r="BQ103" s="1991" t="e">
        <f t="shared" si="246"/>
        <v>#DIV/0!</v>
      </c>
      <c r="BR103" s="1991" t="e">
        <f t="shared" si="246"/>
        <v>#DIV/0!</v>
      </c>
      <c r="BS103" s="1991">
        <f t="shared" si="246"/>
        <v>152.94760412714481</v>
      </c>
      <c r="BT103" s="1517" t="str">
        <f t="shared" si="221"/>
        <v>Tipaza</v>
      </c>
      <c r="BU103" s="2368">
        <f t="shared" ref="BU103:BW103" si="247">BU25/BU88*$A$98</f>
        <v>108.46016098699155</v>
      </c>
      <c r="BV103" s="2369">
        <f t="shared" si="247"/>
        <v>387.22005079730758</v>
      </c>
      <c r="BW103" s="2289">
        <f t="shared" si="247"/>
        <v>131.38966599796407</v>
      </c>
    </row>
    <row r="104" spans="1:75" ht="15.6">
      <c r="B104" s="2011" t="s">
        <v>399</v>
      </c>
      <c r="C104" s="2012">
        <f t="shared" ref="C104:K104" si="248">C26/C89*$A$98</f>
        <v>104.64900042998957</v>
      </c>
      <c r="D104" s="2012">
        <f t="shared" si="248"/>
        <v>72.174816683685151</v>
      </c>
      <c r="E104" s="2012">
        <f t="shared" si="248"/>
        <v>39.203828887749196</v>
      </c>
      <c r="F104" s="2012">
        <f t="shared" si="248"/>
        <v>48.299933986728121</v>
      </c>
      <c r="G104" s="2012">
        <f t="shared" si="248"/>
        <v>90.70119124843923</v>
      </c>
      <c r="H104" s="2012">
        <f t="shared" si="248"/>
        <v>284.92971166978174</v>
      </c>
      <c r="I104" s="2012">
        <f t="shared" si="248"/>
        <v>228.31565613847545</v>
      </c>
      <c r="J104" s="2012">
        <f t="shared" si="248"/>
        <v>248.58784465195095</v>
      </c>
      <c r="K104" s="2012">
        <f t="shared" si="248"/>
        <v>103.79783773689978</v>
      </c>
      <c r="L104" s="1991">
        <f t="shared" si="214"/>
        <v>313.7605803784279</v>
      </c>
      <c r="M104" s="1991">
        <f t="shared" si="214"/>
        <v>0</v>
      </c>
      <c r="N104" s="1991">
        <f t="shared" si="214"/>
        <v>202.79506759355888</v>
      </c>
      <c r="O104" s="2097">
        <f t="shared" si="214"/>
        <v>105.1586598128202</v>
      </c>
      <c r="P104" s="2013"/>
      <c r="Q104" s="2013"/>
      <c r="R104" s="2013"/>
      <c r="S104" s="2013"/>
      <c r="T104" s="2013"/>
      <c r="U104" s="2012">
        <f t="shared" ref="U104:AG104" si="249">U26/U89*$A$98</f>
        <v>104.64900042998957</v>
      </c>
      <c r="V104" s="2012">
        <f t="shared" si="249"/>
        <v>40.776807464952988</v>
      </c>
      <c r="W104" s="2012">
        <f t="shared" si="249"/>
        <v>39.203828887749196</v>
      </c>
      <c r="X104" s="2012">
        <f t="shared" si="249"/>
        <v>33.525181770518031</v>
      </c>
      <c r="Y104" s="2012">
        <f t="shared" si="249"/>
        <v>81.810532074650965</v>
      </c>
      <c r="Z104" s="2012">
        <f t="shared" si="249"/>
        <v>269.03722392277376</v>
      </c>
      <c r="AA104" s="2012">
        <f t="shared" si="249"/>
        <v>228.31565613847545</v>
      </c>
      <c r="AB104" s="2012">
        <f t="shared" si="249"/>
        <v>242.89711106058527</v>
      </c>
      <c r="AC104" s="2012">
        <f t="shared" si="249"/>
        <v>95.553899935188113</v>
      </c>
      <c r="AD104" s="1991">
        <f t="shared" si="249"/>
        <v>313.7605803784279</v>
      </c>
      <c r="AE104" s="1991">
        <f t="shared" si="249"/>
        <v>0</v>
      </c>
      <c r="AF104" s="1991">
        <f t="shared" si="249"/>
        <v>202.79506759355888</v>
      </c>
      <c r="AG104" s="1991">
        <f t="shared" si="249"/>
        <v>97.069514074363852</v>
      </c>
      <c r="AH104" s="1517" t="str">
        <f t="shared" si="216"/>
        <v>Boumerdes</v>
      </c>
      <c r="AI104" s="2368">
        <v>0.28734552491588428</v>
      </c>
      <c r="AJ104" s="2369">
        <v>36.679945636264776</v>
      </c>
      <c r="AK104" s="2289">
        <v>14.690657363988077</v>
      </c>
      <c r="AN104" s="2011" t="s">
        <v>399</v>
      </c>
      <c r="AO104" s="2012">
        <f t="shared" ref="AO104:AW104" si="250">AO26/AO89*$A$98</f>
        <v>106.87457201950902</v>
      </c>
      <c r="AP104" s="2012">
        <f t="shared" si="250"/>
        <v>143.54679843689797</v>
      </c>
      <c r="AQ104" s="2012">
        <f t="shared" si="250"/>
        <v>47.879321715480678</v>
      </c>
      <c r="AR104" s="2012">
        <f t="shared" si="218"/>
        <v>48.431074119398232</v>
      </c>
      <c r="AS104" s="2012">
        <f t="shared" si="250"/>
        <v>110.23466160604129</v>
      </c>
      <c r="AT104" s="2012">
        <f t="shared" si="250"/>
        <v>305.56855021036063</v>
      </c>
      <c r="AU104" s="2012">
        <f t="shared" si="250"/>
        <v>261.38654175214862</v>
      </c>
      <c r="AV104" s="2012">
        <f t="shared" si="250"/>
        <v>275.39634640648268</v>
      </c>
      <c r="AW104" s="2012">
        <f t="shared" si="250"/>
        <v>123.97589933042445</v>
      </c>
      <c r="AX104" s="2097">
        <f t="shared" si="219"/>
        <v>171.11474183994144</v>
      </c>
      <c r="AY104" s="2097">
        <f t="shared" si="219"/>
        <v>0</v>
      </c>
      <c r="AZ104" s="2097">
        <f t="shared" si="219"/>
        <v>144.14503433432805</v>
      </c>
      <c r="BA104" s="2097">
        <f t="shared" si="219"/>
        <v>124.1916153435541</v>
      </c>
      <c r="BB104" s="2013"/>
      <c r="BC104" s="2013"/>
      <c r="BD104" s="2013"/>
      <c r="BE104" s="2013"/>
      <c r="BF104" s="2013"/>
      <c r="BG104" s="2012">
        <f t="shared" ref="BG104:BS104" si="251">BG26/BG89*$A$98</f>
        <v>106.87457201950902</v>
      </c>
      <c r="BH104" s="2012">
        <f t="shared" si="251"/>
        <v>69.503631017140535</v>
      </c>
      <c r="BI104" s="2012">
        <f t="shared" si="251"/>
        <v>47.879321715480678</v>
      </c>
      <c r="BJ104" s="2012">
        <f t="shared" si="251"/>
        <v>19.24471613182244</v>
      </c>
      <c r="BK104" s="2012">
        <f t="shared" si="251"/>
        <v>87.4962799544154</v>
      </c>
      <c r="BL104" s="2012">
        <f t="shared" si="251"/>
        <v>264.60468389215362</v>
      </c>
      <c r="BM104" s="2012">
        <f t="shared" si="251"/>
        <v>261.38654175214862</v>
      </c>
      <c r="BN104" s="2012">
        <f t="shared" si="251"/>
        <v>262.4069920282829</v>
      </c>
      <c r="BO104" s="2012">
        <f t="shared" si="251"/>
        <v>102.11026125811256</v>
      </c>
      <c r="BP104" s="1991">
        <f t="shared" si="251"/>
        <v>171.11474183994144</v>
      </c>
      <c r="BQ104" s="1991">
        <f t="shared" si="251"/>
        <v>0</v>
      </c>
      <c r="BR104" s="1991">
        <f t="shared" si="251"/>
        <v>144.14503433432805</v>
      </c>
      <c r="BS104" s="1991">
        <f t="shared" si="251"/>
        <v>102.56172173593257</v>
      </c>
      <c r="BT104" s="1517" t="str">
        <f t="shared" si="221"/>
        <v>Boumerdes</v>
      </c>
      <c r="BU104" s="2368">
        <f t="shared" ref="BU104:BW104" si="252">BU26/BU89*$A$98</f>
        <v>54.896026104129682</v>
      </c>
      <c r="BV104" s="2369">
        <f t="shared" si="252"/>
        <v>29.954206547245622</v>
      </c>
      <c r="BW104" s="2289">
        <f t="shared" si="252"/>
        <v>48.431074119398232</v>
      </c>
    </row>
    <row r="105" spans="1:75" ht="15.6">
      <c r="B105" s="2011" t="s">
        <v>883</v>
      </c>
      <c r="C105" s="2012">
        <f t="shared" ref="C105:K105" si="253">C27/C90*$A$98</f>
        <v>65.049119889732211</v>
      </c>
      <c r="D105" s="2012">
        <f t="shared" si="253"/>
        <v>47.177725864418733</v>
      </c>
      <c r="E105" s="2012">
        <f t="shared" si="253"/>
        <v>50.66407555012141</v>
      </c>
      <c r="F105" s="2012">
        <f t="shared" si="253"/>
        <v>24.584853499704757</v>
      </c>
      <c r="G105" s="2012">
        <f t="shared" si="253"/>
        <v>62.349240331293871</v>
      </c>
      <c r="H105" s="2012">
        <f t="shared" si="253"/>
        <v>244.13478635642505</v>
      </c>
      <c r="I105" s="2012">
        <f t="shared" si="253"/>
        <v>144.68629818103111</v>
      </c>
      <c r="J105" s="2012">
        <f t="shared" si="253"/>
        <v>195.15392333407851</v>
      </c>
      <c r="K105" s="2012">
        <f t="shared" si="253"/>
        <v>81.857767865707771</v>
      </c>
      <c r="L105" s="1991">
        <f t="shared" si="214"/>
        <v>219.7601354021825</v>
      </c>
      <c r="M105" s="1991">
        <f t="shared" si="214"/>
        <v>28.288370020753185</v>
      </c>
      <c r="N105" s="1991">
        <f t="shared" si="214"/>
        <v>184.41524136840675</v>
      </c>
      <c r="O105" s="2097">
        <f t="shared" si="214"/>
        <v>86.440238717017394</v>
      </c>
      <c r="P105" s="2013"/>
      <c r="Q105" s="2013"/>
      <c r="R105" s="2013"/>
      <c r="S105" s="2013"/>
      <c r="T105" s="2013"/>
      <c r="U105" s="2012">
        <f t="shared" ref="U105:AG105" si="254">U27/U90*$A$98</f>
        <v>65.049119889732211</v>
      </c>
      <c r="V105" s="2012">
        <f t="shared" si="254"/>
        <v>47.026500825238358</v>
      </c>
      <c r="W105" s="2012">
        <f t="shared" si="254"/>
        <v>50.66407555012141</v>
      </c>
      <c r="X105" s="2012">
        <f t="shared" si="254"/>
        <v>24.584853499704757</v>
      </c>
      <c r="Y105" s="2012">
        <f t="shared" si="254"/>
        <v>62.336250824788415</v>
      </c>
      <c r="Z105" s="2012">
        <f t="shared" si="254"/>
        <v>187.62700828999834</v>
      </c>
      <c r="AA105" s="2012">
        <f t="shared" si="254"/>
        <v>144.68629818103111</v>
      </c>
      <c r="AB105" s="2012">
        <f t="shared" si="254"/>
        <v>160.05819679874114</v>
      </c>
      <c r="AC105" s="2012">
        <f t="shared" si="254"/>
        <v>73.742340422183332</v>
      </c>
      <c r="AD105" s="1991">
        <f t="shared" si="254"/>
        <v>219.7601354021825</v>
      </c>
      <c r="AE105" s="1991">
        <f t="shared" si="254"/>
        <v>28.288370020753185</v>
      </c>
      <c r="AF105" s="1991">
        <f t="shared" si="254"/>
        <v>184.41524136840675</v>
      </c>
      <c r="AG105" s="1991">
        <f t="shared" si="254"/>
        <v>78.856033908011213</v>
      </c>
      <c r="AH105" s="1517" t="str">
        <f t="shared" si="216"/>
        <v>Ain Defla</v>
      </c>
      <c r="AI105" s="2368">
        <v>30.837521513149092</v>
      </c>
      <c r="AJ105" s="2370">
        <v>32.369113083391234</v>
      </c>
      <c r="AK105" s="2289">
        <v>32.086077514701152</v>
      </c>
      <c r="AN105" s="2011" t="s">
        <v>883</v>
      </c>
      <c r="AO105" s="2012">
        <f t="shared" ref="AO105:AW105" si="255">AO27/AO90*$A$98</f>
        <v>109.39203574946592</v>
      </c>
      <c r="AP105" s="2012">
        <f t="shared" si="255"/>
        <v>43.782341814858604</v>
      </c>
      <c r="AQ105" s="2012">
        <f t="shared" si="255"/>
        <v>78.287020775633437</v>
      </c>
      <c r="AR105" s="2012">
        <f t="shared" si="218"/>
        <v>23.110979887448643</v>
      </c>
      <c r="AS105" s="2012">
        <f t="shared" si="255"/>
        <v>96.220843799254681</v>
      </c>
      <c r="AT105" s="2012">
        <f t="shared" si="255"/>
        <v>360.40336963231317</v>
      </c>
      <c r="AU105" s="2012">
        <f t="shared" si="255"/>
        <v>123.46043862565168</v>
      </c>
      <c r="AV105" s="2012">
        <f t="shared" si="255"/>
        <v>245.06198566114801</v>
      </c>
      <c r="AW105" s="2012">
        <f t="shared" si="255"/>
        <v>125.83704645595705</v>
      </c>
      <c r="AX105" s="2097">
        <f t="shared" si="219"/>
        <v>27.352384794557654</v>
      </c>
      <c r="AY105" s="2097">
        <f t="shared" si="219"/>
        <v>33.482348474747191</v>
      </c>
      <c r="AZ105" s="2097">
        <f t="shared" si="219"/>
        <v>27.685023331090818</v>
      </c>
      <c r="BA105" s="2097">
        <f t="shared" si="219"/>
        <v>112.109638204055</v>
      </c>
      <c r="BB105" s="2013"/>
      <c r="BC105" s="2013"/>
      <c r="BD105" s="2013"/>
      <c r="BE105" s="2013"/>
      <c r="BF105" s="2013"/>
      <c r="BG105" s="2012">
        <f t="shared" ref="BG105:BS105" si="256">BG27/BG90*$A$98</f>
        <v>109.39203574946592</v>
      </c>
      <c r="BH105" s="2012">
        <f t="shared" si="256"/>
        <v>41.029094768165479</v>
      </c>
      <c r="BI105" s="2012">
        <f t="shared" si="256"/>
        <v>78.287020775633437</v>
      </c>
      <c r="BJ105" s="2012">
        <f t="shared" si="256"/>
        <v>23.110979887448643</v>
      </c>
      <c r="BK105" s="2012">
        <f t="shared" si="256"/>
        <v>95.797277110428467</v>
      </c>
      <c r="BL105" s="2012">
        <f t="shared" si="256"/>
        <v>146.48463148313004</v>
      </c>
      <c r="BM105" s="2012">
        <f t="shared" si="256"/>
        <v>123.46043862565168</v>
      </c>
      <c r="BN105" s="2012">
        <f t="shared" si="256"/>
        <v>132.09008590529723</v>
      </c>
      <c r="BO105" s="2012">
        <f t="shared" si="256"/>
        <v>101.68491799650428</v>
      </c>
      <c r="BP105" s="1991">
        <f t="shared" si="256"/>
        <v>27.352384794557654</v>
      </c>
      <c r="BQ105" s="1991">
        <f t="shared" si="256"/>
        <v>33.482348474747191</v>
      </c>
      <c r="BR105" s="1991">
        <f t="shared" si="256"/>
        <v>27.685023331090818</v>
      </c>
      <c r="BS105" s="1991">
        <f t="shared" si="256"/>
        <v>90.918885959130122</v>
      </c>
      <c r="BT105" s="1517" t="str">
        <f t="shared" si="221"/>
        <v>Ain Defla</v>
      </c>
      <c r="BU105" s="2368">
        <f t="shared" ref="BU105:BW105" si="257">BU27/BU90*$A$98</f>
        <v>32.239307499818423</v>
      </c>
      <c r="BV105" s="2370">
        <f t="shared" si="257"/>
        <v>21.120576563137014</v>
      </c>
      <c r="BW105" s="2289">
        <f t="shared" si="257"/>
        <v>23.110979887448643</v>
      </c>
    </row>
    <row r="106" spans="1:75" ht="15.6">
      <c r="B106" s="2011" t="s">
        <v>884</v>
      </c>
      <c r="C106" s="2012">
        <f t="shared" ref="C106:K106" si="258">C28/C91*$A$98</f>
        <v>63.239517621062042</v>
      </c>
      <c r="D106" s="2012">
        <f t="shared" si="258"/>
        <v>29.45365773424389</v>
      </c>
      <c r="E106" s="2012">
        <f t="shared" si="258"/>
        <v>13.169477772637805</v>
      </c>
      <c r="F106" s="2012">
        <f t="shared" si="258"/>
        <v>4.329958025515662</v>
      </c>
      <c r="G106" s="2012">
        <f t="shared" si="258"/>
        <v>43.280653618562084</v>
      </c>
      <c r="H106" s="2012">
        <f t="shared" si="258"/>
        <v>241.75875987505509</v>
      </c>
      <c r="I106" s="2012">
        <f t="shared" si="258"/>
        <v>238.85802460944839</v>
      </c>
      <c r="J106" s="2012">
        <f t="shared" si="258"/>
        <v>240.53565107688186</v>
      </c>
      <c r="K106" s="2012">
        <f t="shared" si="258"/>
        <v>69.218514474735201</v>
      </c>
      <c r="L106" s="1991">
        <f t="shared" si="214"/>
        <v>184.95340904681277</v>
      </c>
      <c r="M106" s="1991">
        <f t="shared" si="214"/>
        <v>15.488118526859054</v>
      </c>
      <c r="N106" s="1991">
        <f t="shared" si="214"/>
        <v>140.64300204146281</v>
      </c>
      <c r="O106" s="2097">
        <f t="shared" si="214"/>
        <v>71.79308289515879</v>
      </c>
      <c r="P106" s="2013"/>
      <c r="Q106" s="2013"/>
      <c r="R106" s="2013"/>
      <c r="S106" s="2013"/>
      <c r="T106" s="2013"/>
      <c r="U106" s="2012">
        <f t="shared" ref="U106:AG106" si="259">U28/U91*$A$98</f>
        <v>63.239517621062042</v>
      </c>
      <c r="V106" s="2012">
        <f t="shared" si="259"/>
        <v>23.738265611438269</v>
      </c>
      <c r="W106" s="2012">
        <f t="shared" si="259"/>
        <v>13.169477772637805</v>
      </c>
      <c r="X106" s="2012">
        <f t="shared" si="259"/>
        <v>4.329958025515662</v>
      </c>
      <c r="Y106" s="2012">
        <f t="shared" si="259"/>
        <v>42.746237289359946</v>
      </c>
      <c r="Z106" s="2012">
        <f t="shared" si="259"/>
        <v>205.39546386263257</v>
      </c>
      <c r="AA106" s="2012">
        <f t="shared" si="259"/>
        <v>238.85802460944839</v>
      </c>
      <c r="AB106" s="2012">
        <f t="shared" si="259"/>
        <v>223.76223501042554</v>
      </c>
      <c r="AC106" s="2012">
        <f t="shared" si="259"/>
        <v>61.625941797172544</v>
      </c>
      <c r="AD106" s="1991">
        <f t="shared" si="259"/>
        <v>184.95340904681277</v>
      </c>
      <c r="AE106" s="1991">
        <f t="shared" si="259"/>
        <v>15.488118526859054</v>
      </c>
      <c r="AF106" s="1991">
        <f t="shared" si="259"/>
        <v>140.64300204146281</v>
      </c>
      <c r="AG106" s="1991">
        <f t="shared" si="259"/>
        <v>64.563310650408695</v>
      </c>
      <c r="AH106" s="1517" t="str">
        <f t="shared" si="216"/>
        <v>Chlef</v>
      </c>
      <c r="AI106" s="2368">
        <v>2.429025839326918</v>
      </c>
      <c r="AJ106" s="2370">
        <v>11.143236748584414</v>
      </c>
      <c r="AK106" s="2289">
        <v>5.6339344137764922</v>
      </c>
      <c r="AN106" s="2011" t="s">
        <v>884</v>
      </c>
      <c r="AO106" s="2012">
        <f t="shared" ref="AO106:AW106" si="260">AO28/AO91*$A$98</f>
        <v>45.33729486539557</v>
      </c>
      <c r="AP106" s="2012">
        <f t="shared" si="260"/>
        <v>19.885322256860842</v>
      </c>
      <c r="AQ106" s="2012">
        <f t="shared" si="260"/>
        <v>7.9810710707095831</v>
      </c>
      <c r="AR106" s="2012">
        <f t="shared" si="218"/>
        <v>4.3087051929725844</v>
      </c>
      <c r="AS106" s="2012">
        <f t="shared" si="260"/>
        <v>34.283725658799348</v>
      </c>
      <c r="AT106" s="2012">
        <f t="shared" si="260"/>
        <v>374.24691576138895</v>
      </c>
      <c r="AU106" s="2012">
        <f t="shared" si="260"/>
        <v>185.50639415488044</v>
      </c>
      <c r="AV106" s="2012">
        <f t="shared" si="260"/>
        <v>287.77111127267432</v>
      </c>
      <c r="AW106" s="2012">
        <f t="shared" si="260"/>
        <v>63.278580574584339</v>
      </c>
      <c r="AX106" s="2097">
        <f t="shared" si="219"/>
        <v>4.7119401104434635</v>
      </c>
      <c r="AY106" s="2097">
        <f t="shared" si="219"/>
        <v>0.49029569021899627</v>
      </c>
      <c r="AZ106" s="2097">
        <f t="shared" si="219"/>
        <v>3.9814985756871013</v>
      </c>
      <c r="BA106" s="2097">
        <f t="shared" si="219"/>
        <v>60.259104466081816</v>
      </c>
      <c r="BB106" s="2013"/>
      <c r="BC106" s="2013"/>
      <c r="BD106" s="2013"/>
      <c r="BE106" s="2013"/>
      <c r="BF106" s="2013"/>
      <c r="BG106" s="2012">
        <f t="shared" ref="BG106:BS106" si="261">BG28/BG91*$A$98</f>
        <v>45.33729486539557</v>
      </c>
      <c r="BH106" s="2012">
        <f t="shared" si="261"/>
        <v>12.780250473294961</v>
      </c>
      <c r="BI106" s="2012">
        <f t="shared" si="261"/>
        <v>6.4278759048477081</v>
      </c>
      <c r="BJ106" s="2012">
        <f t="shared" si="261"/>
        <v>4.3087051929725844</v>
      </c>
      <c r="BK106" s="2012">
        <f t="shared" si="261"/>
        <v>33.701948831426684</v>
      </c>
      <c r="BL106" s="2012">
        <f t="shared" si="261"/>
        <v>190.09108464228856</v>
      </c>
      <c r="BM106" s="2012">
        <f t="shared" si="261"/>
        <v>183.98338011625569</v>
      </c>
      <c r="BN106" s="2012">
        <f t="shared" si="261"/>
        <v>186.63948515644634</v>
      </c>
      <c r="BO106" s="2012">
        <f t="shared" si="261"/>
        <v>48.154721749016922</v>
      </c>
      <c r="BP106" s="1991">
        <f t="shared" si="261"/>
        <v>4.7119401104434635</v>
      </c>
      <c r="BQ106" s="1991">
        <f t="shared" si="261"/>
        <v>0.49029569021899627</v>
      </c>
      <c r="BR106" s="1991">
        <f t="shared" si="261"/>
        <v>3.9814985756871013</v>
      </c>
      <c r="BS106" s="1991">
        <f t="shared" si="261"/>
        <v>45.855788682709679</v>
      </c>
      <c r="BT106" s="1517" t="str">
        <f t="shared" si="221"/>
        <v>Chlef</v>
      </c>
      <c r="BU106" s="2368">
        <f t="shared" ref="BU106:BW106" si="262">BU28/BU91*$A$98</f>
        <v>2.1630316215162124</v>
      </c>
      <c r="BV106" s="2370">
        <f t="shared" si="262"/>
        <v>8.5918274004054407</v>
      </c>
      <c r="BW106" s="2289">
        <f t="shared" si="262"/>
        <v>4.3087051929725844</v>
      </c>
    </row>
    <row r="107" spans="1:75" ht="15.6">
      <c r="B107" s="2011" t="s">
        <v>885</v>
      </c>
      <c r="C107" s="2012">
        <f>C29/C92*$A$98</f>
        <v>71.501650993726031</v>
      </c>
      <c r="D107" s="2012">
        <f t="shared" ref="D107:K107" si="263">D29/D92*$A$98</f>
        <v>26.305239076828695</v>
      </c>
      <c r="E107" s="2012">
        <f t="shared" si="263"/>
        <v>26.896304152916606</v>
      </c>
      <c r="F107" s="2012">
        <f t="shared" si="263"/>
        <v>0</v>
      </c>
      <c r="G107" s="2012">
        <f t="shared" si="263"/>
        <v>66.106656812196391</v>
      </c>
      <c r="H107" s="2012">
        <f t="shared" si="263"/>
        <v>317.37152154333097</v>
      </c>
      <c r="I107" s="2012">
        <f t="shared" si="263"/>
        <v>128.31922287789578</v>
      </c>
      <c r="J107" s="2012">
        <f t="shared" si="263"/>
        <v>213.19313329415513</v>
      </c>
      <c r="K107" s="2012">
        <f t="shared" si="263"/>
        <v>101.43522823232016</v>
      </c>
      <c r="L107" s="1991">
        <f t="shared" si="214"/>
        <v>212.02436943730436</v>
      </c>
      <c r="M107" s="1991">
        <f t="shared" si="214"/>
        <v>17.809813825342637</v>
      </c>
      <c r="N107" s="1991">
        <f t="shared" si="214"/>
        <v>193.80697432437663</v>
      </c>
      <c r="O107" s="2097">
        <f t="shared" si="214"/>
        <v>108.48616570743788</v>
      </c>
      <c r="P107" s="2013"/>
      <c r="Q107" s="2013"/>
      <c r="R107" s="2013"/>
      <c r="S107" s="2013"/>
      <c r="T107" s="2013"/>
      <c r="U107" s="2012">
        <f t="shared" ref="U107:AG107" si="264">U29/U92*$A$98</f>
        <v>71.501650993726031</v>
      </c>
      <c r="V107" s="2012">
        <f t="shared" si="264"/>
        <v>26.305239076828695</v>
      </c>
      <c r="W107" s="2012">
        <f t="shared" si="264"/>
        <v>26.896304152916606</v>
      </c>
      <c r="X107" s="2012">
        <f t="shared" si="264"/>
        <v>0</v>
      </c>
      <c r="Y107" s="2012">
        <f t="shared" si="264"/>
        <v>66.106656812196391</v>
      </c>
      <c r="Z107" s="2012">
        <f t="shared" si="264"/>
        <v>318.79512045313652</v>
      </c>
      <c r="AA107" s="2012">
        <f t="shared" si="264"/>
        <v>128.31922287789578</v>
      </c>
      <c r="AB107" s="2012">
        <f t="shared" si="264"/>
        <v>169.22989216934042</v>
      </c>
      <c r="AC107" s="2012">
        <f t="shared" si="264"/>
        <v>84.830401560690348</v>
      </c>
      <c r="AD107" s="1991">
        <f t="shared" si="264"/>
        <v>212.02436943730436</v>
      </c>
      <c r="AE107" s="1991">
        <f t="shared" si="264"/>
        <v>17.809813825342637</v>
      </c>
      <c r="AF107" s="1991">
        <f t="shared" si="264"/>
        <v>193.80697432437663</v>
      </c>
      <c r="AG107" s="1991">
        <f t="shared" si="264"/>
        <v>93.738160210198586</v>
      </c>
      <c r="AH107" s="1517" t="str">
        <f t="shared" si="216"/>
        <v>Tissemssilt</v>
      </c>
      <c r="AI107" s="2368"/>
      <c r="AJ107" s="2370">
        <v>0</v>
      </c>
      <c r="AK107" s="2289">
        <v>0</v>
      </c>
      <c r="AN107" s="2011" t="s">
        <v>885</v>
      </c>
      <c r="AO107" s="2012">
        <f>AO29/AO92*$A$98</f>
        <v>60.983271307195942</v>
      </c>
      <c r="AP107" s="2012">
        <f t="shared" ref="AP107:AW107" si="265">AP29/AP92*$A$98</f>
        <v>23.730014115359708</v>
      </c>
      <c r="AQ107" s="2012">
        <f t="shared" si="265"/>
        <v>22.136409084762665</v>
      </c>
      <c r="AR107" s="2012">
        <f t="shared" si="218"/>
        <v>0</v>
      </c>
      <c r="AS107" s="2012">
        <f t="shared" si="265"/>
        <v>56.794564414458456</v>
      </c>
      <c r="AT107" s="2012">
        <f t="shared" si="265"/>
        <v>529.31857855582416</v>
      </c>
      <c r="AU107" s="2012">
        <f t="shared" si="265"/>
        <v>137.21918924020849</v>
      </c>
      <c r="AV107" s="2012">
        <f t="shared" si="265"/>
        <v>302.2492714777552</v>
      </c>
      <c r="AW107" s="2012">
        <f t="shared" si="265"/>
        <v>111.57916755639071</v>
      </c>
      <c r="AX107" s="2097">
        <f t="shared" si="219"/>
        <v>21.013569730011127</v>
      </c>
      <c r="AY107" s="2097">
        <f t="shared" si="219"/>
        <v>13.487984067334024</v>
      </c>
      <c r="AZ107" s="2097">
        <f t="shared" si="219"/>
        <v>20.764076849835124</v>
      </c>
      <c r="BA107" s="2097">
        <f t="shared" si="219"/>
        <v>91.76821478272268</v>
      </c>
      <c r="BB107" s="2013"/>
      <c r="BC107" s="2013"/>
      <c r="BD107" s="2013"/>
      <c r="BE107" s="2013"/>
      <c r="BF107" s="2013"/>
      <c r="BG107" s="2012">
        <f t="shared" ref="BG107:BS107" si="266">BG29/BG92*$A$98</f>
        <v>60.983271307195942</v>
      </c>
      <c r="BH107" s="2012">
        <f t="shared" si="266"/>
        <v>23.730014115359708</v>
      </c>
      <c r="BI107" s="2012">
        <f t="shared" si="266"/>
        <v>22.136409084762665</v>
      </c>
      <c r="BJ107" s="2012">
        <f t="shared" si="266"/>
        <v>0</v>
      </c>
      <c r="BK107" s="2012">
        <f t="shared" si="266"/>
        <v>56.794564414458456</v>
      </c>
      <c r="BL107" s="2012">
        <f t="shared" si="266"/>
        <v>157.62365141691811</v>
      </c>
      <c r="BM107" s="2012">
        <f t="shared" si="266"/>
        <v>137.21918924020849</v>
      </c>
      <c r="BN107" s="2012">
        <f t="shared" si="266"/>
        <v>143.37222129280664</v>
      </c>
      <c r="BO107" s="2012">
        <f t="shared" si="266"/>
        <v>73.451985794558269</v>
      </c>
      <c r="BP107" s="1991">
        <f t="shared" si="266"/>
        <v>21.013569730011127</v>
      </c>
      <c r="BQ107" s="1991">
        <f t="shared" si="266"/>
        <v>13.487984067334024</v>
      </c>
      <c r="BR107" s="1991">
        <f t="shared" si="266"/>
        <v>20.764076849835124</v>
      </c>
      <c r="BS107" s="1991">
        <f t="shared" si="266"/>
        <v>61.605101449369052</v>
      </c>
      <c r="BT107" s="1517" t="str">
        <f t="shared" si="221"/>
        <v>Tissemssilt</v>
      </c>
      <c r="BU107" s="2368"/>
      <c r="BV107" s="2370">
        <f t="shared" ref="BV107:BW107" si="267">BV29/BV92*$A$98</f>
        <v>0</v>
      </c>
      <c r="BW107" s="2289">
        <f t="shared" si="267"/>
        <v>0</v>
      </c>
    </row>
    <row r="108" spans="1:75" ht="15.6">
      <c r="B108" s="2007" t="s">
        <v>933</v>
      </c>
      <c r="C108" s="2015">
        <f t="shared" ref="C108:J108" si="268">C30/C93*$A$98</f>
        <v>86.919385853550892</v>
      </c>
      <c r="D108" s="2015">
        <f t="shared" si="268"/>
        <v>82.747968696020365</v>
      </c>
      <c r="E108" s="2015">
        <f t="shared" si="268"/>
        <v>31.884564575905952</v>
      </c>
      <c r="F108" s="2015">
        <f t="shared" si="268"/>
        <v>52.812626024802547</v>
      </c>
      <c r="G108" s="2015">
        <f t="shared" si="268"/>
        <v>83.034109251728154</v>
      </c>
      <c r="H108" s="2015">
        <f t="shared" si="268"/>
        <v>241.09130669822474</v>
      </c>
      <c r="I108" s="2015">
        <f t="shared" si="268"/>
        <v>176.95158328548575</v>
      </c>
      <c r="J108" s="2015">
        <f t="shared" si="268"/>
        <v>206.7521073718363</v>
      </c>
      <c r="K108" s="2015">
        <f>K30/K93*$A$98</f>
        <v>98.203561741737801</v>
      </c>
      <c r="L108" s="1994">
        <f t="shared" si="214"/>
        <v>296.37754267678241</v>
      </c>
      <c r="M108" s="1994">
        <f t="shared" si="214"/>
        <v>82.020440525355738</v>
      </c>
      <c r="N108" s="1994">
        <f t="shared" si="214"/>
        <v>278.13573919000618</v>
      </c>
      <c r="O108" s="2098">
        <f t="shared" si="214"/>
        <v>104.77861686770713</v>
      </c>
      <c r="P108" s="2016">
        <f>SUM(P98:P107)</f>
        <v>0</v>
      </c>
      <c r="Q108" s="2016">
        <f>SUM(Q98:Q107)</f>
        <v>0</v>
      </c>
      <c r="R108" s="2016">
        <f>SUM(R98:R107)</f>
        <v>0</v>
      </c>
      <c r="S108" s="2016"/>
      <c r="T108" s="2016"/>
      <c r="U108" s="2015">
        <f t="shared" ref="U108:AG108" si="269">U30/U93*$A$98</f>
        <v>86.919385853550892</v>
      </c>
      <c r="V108" s="2015">
        <f t="shared" si="269"/>
        <v>34.92471375154927</v>
      </c>
      <c r="W108" s="2015">
        <f t="shared" si="269"/>
        <v>27.943868984230562</v>
      </c>
      <c r="X108" s="2015">
        <f t="shared" si="269"/>
        <v>22.429547636340782</v>
      </c>
      <c r="Y108" s="2015">
        <f t="shared" si="269"/>
        <v>72.477670151278076</v>
      </c>
      <c r="Z108" s="2015">
        <f t="shared" si="269"/>
        <v>218.8988887808043</v>
      </c>
      <c r="AA108" s="2015">
        <f t="shared" si="269"/>
        <v>175.8527442701762</v>
      </c>
      <c r="AB108" s="2015">
        <f t="shared" si="269"/>
        <v>194.13109153499616</v>
      </c>
      <c r="AC108" s="2015">
        <f t="shared" si="269"/>
        <v>86.833435542683773</v>
      </c>
      <c r="AD108" s="1994">
        <f t="shared" si="269"/>
        <v>296.37754267678241</v>
      </c>
      <c r="AE108" s="1994">
        <f t="shared" si="269"/>
        <v>82.020440525355738</v>
      </c>
      <c r="AF108" s="1994">
        <f t="shared" si="269"/>
        <v>278.13573919000618</v>
      </c>
      <c r="AG108" s="1994">
        <f t="shared" si="269"/>
        <v>94.054836989227724</v>
      </c>
      <c r="AI108" s="2098">
        <v>56.153895084606113</v>
      </c>
      <c r="AJ108" s="2098">
        <v>20.711945329212554</v>
      </c>
      <c r="AK108" s="2098">
        <v>43.605267265966667</v>
      </c>
      <c r="AN108" s="2007" t="s">
        <v>933</v>
      </c>
      <c r="AO108" s="2015">
        <f t="shared" ref="AO108:AV108" si="270">AO30/AO93*$A$98</f>
        <v>93.368008479339068</v>
      </c>
      <c r="AP108" s="2015">
        <f t="shared" si="270"/>
        <v>139.88442332698611</v>
      </c>
      <c r="AQ108" s="2015">
        <f t="shared" si="270"/>
        <v>31.104315851025817</v>
      </c>
      <c r="AR108" s="2015">
        <f t="shared" si="218"/>
        <v>43.086392208981337</v>
      </c>
      <c r="AS108" s="2015">
        <f t="shared" si="270"/>
        <v>97.738624386864856</v>
      </c>
      <c r="AT108" s="2015">
        <f t="shared" si="270"/>
        <v>280.91791953681741</v>
      </c>
      <c r="AU108" s="2015">
        <f t="shared" si="270"/>
        <v>173.29937183860065</v>
      </c>
      <c r="AV108" s="2015">
        <f t="shared" si="270"/>
        <v>220.96699794966591</v>
      </c>
      <c r="AW108" s="2015">
        <f>AW30/AW93*$A$98</f>
        <v>113.63435578642959</v>
      </c>
      <c r="AX108" s="2098">
        <f t="shared" si="219"/>
        <v>201.46936421202719</v>
      </c>
      <c r="AY108" s="2098">
        <f t="shared" si="219"/>
        <v>94.73089183227026</v>
      </c>
      <c r="AZ108" s="2098">
        <f t="shared" si="219"/>
        <v>197.65227810192158</v>
      </c>
      <c r="BA108" s="2098">
        <f t="shared" si="219"/>
        <v>119.62246143897936</v>
      </c>
      <c r="BB108" s="2016">
        <f>SUM(BB98:BB107)</f>
        <v>0</v>
      </c>
      <c r="BC108" s="2016">
        <f>SUM(BC98:BC107)</f>
        <v>0</v>
      </c>
      <c r="BD108" s="2016">
        <f>SUM(BD98:BD107)</f>
        <v>0</v>
      </c>
      <c r="BE108" s="2016"/>
      <c r="BF108" s="2016"/>
      <c r="BG108" s="2015">
        <f t="shared" ref="BG108:BS108" si="271">BG30/BG93*$A$98</f>
        <v>93.368008479339068</v>
      </c>
      <c r="BH108" s="2015">
        <f t="shared" si="271"/>
        <v>35.915264943935661</v>
      </c>
      <c r="BI108" s="2015">
        <f t="shared" si="271"/>
        <v>27.249814187417343</v>
      </c>
      <c r="BJ108" s="2015">
        <f t="shared" si="271"/>
        <v>23.597120357172741</v>
      </c>
      <c r="BK108" s="2015">
        <f t="shared" si="271"/>
        <v>77.486866928729356</v>
      </c>
      <c r="BL108" s="2015">
        <f t="shared" si="271"/>
        <v>208.9043305585576</v>
      </c>
      <c r="BM108" s="2015">
        <f t="shared" si="271"/>
        <v>170.71604801459247</v>
      </c>
      <c r="BN108" s="2015">
        <f t="shared" si="271"/>
        <v>186.14864154785914</v>
      </c>
      <c r="BO108" s="2015">
        <f t="shared" si="271"/>
        <v>91.047722080883602</v>
      </c>
      <c r="BP108" s="1994">
        <f t="shared" si="271"/>
        <v>201.46936421202719</v>
      </c>
      <c r="BQ108" s="1994">
        <f t="shared" si="271"/>
        <v>94.73089183227026</v>
      </c>
      <c r="BR108" s="1994">
        <f t="shared" si="271"/>
        <v>197.65227810192158</v>
      </c>
      <c r="BS108" s="1994">
        <f t="shared" si="271"/>
        <v>98.898712056761241</v>
      </c>
      <c r="BU108" s="2098">
        <f>BU30/BU93*$A$98</f>
        <v>51.234506010436533</v>
      </c>
      <c r="BV108" s="2098">
        <f t="shared" ref="BV108:BW108" si="272">BV30/BV93*$A$98</f>
        <v>27.817028185203068</v>
      </c>
      <c r="BW108" s="2098">
        <f t="shared" si="272"/>
        <v>43.086392208981337</v>
      </c>
    </row>
    <row r="110" spans="1:75">
      <c r="BN110" s="1517">
        <f>41-35</f>
        <v>6</v>
      </c>
    </row>
    <row r="111" spans="1:75" ht="21">
      <c r="AN111" s="1996" t="s">
        <v>1002</v>
      </c>
      <c r="BD111" s="2000">
        <f>AW109-BD110</f>
        <v>0</v>
      </c>
      <c r="BE111" s="2000"/>
      <c r="BF111" s="2000"/>
    </row>
    <row r="112" spans="1:75" ht="15.6">
      <c r="B112" s="3282" t="s">
        <v>308</v>
      </c>
      <c r="C112" s="3284" t="s">
        <v>963</v>
      </c>
      <c r="D112" s="3285"/>
      <c r="E112" s="3280" t="s">
        <v>358</v>
      </c>
      <c r="F112" s="3284" t="s">
        <v>18</v>
      </c>
      <c r="G112" s="3285"/>
      <c r="H112" s="3280" t="s">
        <v>358</v>
      </c>
      <c r="I112" s="3284" t="s">
        <v>1221</v>
      </c>
      <c r="J112" s="3285"/>
      <c r="K112" s="3280" t="s">
        <v>358</v>
      </c>
      <c r="U112" s="3282" t="s">
        <v>308</v>
      </c>
      <c r="V112" s="3284" t="s">
        <v>963</v>
      </c>
      <c r="W112" s="3285"/>
      <c r="X112" s="3280" t="s">
        <v>358</v>
      </c>
      <c r="Y112" s="3284" t="s">
        <v>18</v>
      </c>
      <c r="Z112" s="3285"/>
      <c r="AA112" s="3280" t="s">
        <v>358</v>
      </c>
      <c r="AO112" s="3294" t="s">
        <v>934</v>
      </c>
      <c r="AP112" s="3294"/>
      <c r="AQ112" s="3294"/>
      <c r="AR112" s="3294"/>
      <c r="AS112" s="3294"/>
      <c r="AT112" s="3294"/>
      <c r="AU112" s="3294"/>
      <c r="AV112" s="3294"/>
      <c r="AW112" s="3294"/>
      <c r="AX112" s="2094"/>
      <c r="AY112" s="2094"/>
      <c r="AZ112" s="2094"/>
      <c r="BA112" s="2094"/>
      <c r="BG112" s="3294" t="s">
        <v>924</v>
      </c>
      <c r="BH112" s="3294"/>
      <c r="BI112" s="3294"/>
      <c r="BJ112" s="3294"/>
      <c r="BK112" s="3294"/>
      <c r="BL112" s="3294"/>
      <c r="BM112" s="3294"/>
      <c r="BN112" s="3294"/>
      <c r="BO112" s="3294"/>
    </row>
    <row r="113" spans="2:72" ht="15.75" customHeight="1">
      <c r="B113" s="3283"/>
      <c r="C113" s="2010" t="str">
        <f>C17</f>
        <v>Solde avec les eaux</v>
      </c>
      <c r="D113" s="2010" t="str">
        <f>C80</f>
        <v>Recettes</v>
      </c>
      <c r="E113" s="3281"/>
      <c r="F113" s="2010" t="s">
        <v>934</v>
      </c>
      <c r="G113" s="2010" t="s">
        <v>936</v>
      </c>
      <c r="H113" s="3281"/>
      <c r="I113" s="2010" t="s">
        <v>934</v>
      </c>
      <c r="J113" s="2010" t="s">
        <v>936</v>
      </c>
      <c r="K113" s="3281"/>
      <c r="U113" s="3283"/>
      <c r="V113" s="2010" t="s">
        <v>934</v>
      </c>
      <c r="W113" s="2010" t="s">
        <v>936</v>
      </c>
      <c r="X113" s="3281"/>
      <c r="Y113" s="2010" t="s">
        <v>934</v>
      </c>
      <c r="Z113" s="2010" t="s">
        <v>936</v>
      </c>
      <c r="AA113" s="3281"/>
      <c r="AN113" s="3308" t="s">
        <v>308</v>
      </c>
      <c r="AO113" s="3290" t="s">
        <v>925</v>
      </c>
      <c r="AP113" s="3290"/>
      <c r="AQ113" s="3290"/>
      <c r="AR113" s="3290"/>
      <c r="AS113" s="3290"/>
      <c r="AT113" s="3290" t="s">
        <v>318</v>
      </c>
      <c r="AU113" s="3290"/>
      <c r="AV113" s="3290"/>
      <c r="AW113" s="3302" t="s">
        <v>926</v>
      </c>
      <c r="AX113" s="3295" t="s">
        <v>1001</v>
      </c>
      <c r="AY113" s="3296"/>
      <c r="AZ113" s="3297"/>
      <c r="BA113" s="3278" t="s">
        <v>714</v>
      </c>
      <c r="BB113" s="3291" t="s">
        <v>763</v>
      </c>
      <c r="BC113" s="3292"/>
      <c r="BD113" s="3292"/>
      <c r="BE113" s="3292"/>
      <c r="BF113" s="3293"/>
      <c r="BG113" s="3290" t="s">
        <v>925</v>
      </c>
      <c r="BH113" s="3290"/>
      <c r="BI113" s="3290"/>
      <c r="BJ113" s="3290"/>
      <c r="BK113" s="3290"/>
      <c r="BL113" s="3290" t="s">
        <v>318</v>
      </c>
      <c r="BM113" s="3290"/>
      <c r="BN113" s="3290"/>
      <c r="BO113" s="3302" t="s">
        <v>926</v>
      </c>
      <c r="BP113" s="3295" t="s">
        <v>1001</v>
      </c>
      <c r="BQ113" s="3296"/>
      <c r="BR113" s="3297"/>
      <c r="BS113" s="3278" t="s">
        <v>714</v>
      </c>
    </row>
    <row r="114" spans="2:72" ht="15.75" customHeight="1">
      <c r="B114" s="2011" t="s">
        <v>6</v>
      </c>
      <c r="C114" s="2038">
        <f>D20+H20</f>
        <v>1289.8965007200004</v>
      </c>
      <c r="D114" s="2038">
        <f>D83+H83</f>
        <v>3011.8129873100002</v>
      </c>
      <c r="E114" s="2039">
        <f>C114/D114*$A$98</f>
        <v>104.07181687429845</v>
      </c>
      <c r="F114" s="2038">
        <f>E20+I20</f>
        <v>507.70563572999993</v>
      </c>
      <c r="G114" s="2038">
        <f>E83+I83</f>
        <v>467.39031254999992</v>
      </c>
      <c r="H114" s="2039">
        <f>F114/G114*$A$98</f>
        <v>263.96026226836267</v>
      </c>
      <c r="I114" s="2038">
        <f>C20+D20+E20</f>
        <v>2493.3489170900002</v>
      </c>
      <c r="J114" s="2038">
        <f>C83+D83+E83</f>
        <v>8265.6510827649454</v>
      </c>
      <c r="K114" s="2039">
        <f>I114/J114*$A$98</f>
        <v>73.301398859700683</v>
      </c>
      <c r="U114" s="2011" t="s">
        <v>6</v>
      </c>
      <c r="V114" s="2038">
        <f>V20+Z20</f>
        <v>881.85619255000029</v>
      </c>
      <c r="W114" s="2038">
        <f>V83+Z83</f>
        <v>2590.7316584</v>
      </c>
      <c r="X114" s="2039">
        <f>V114/W114*$A$98</f>
        <v>82.714492678100541</v>
      </c>
      <c r="Y114" s="2038">
        <f>W20+AA20</f>
        <v>492.19422572999991</v>
      </c>
      <c r="Z114" s="2038">
        <f>W83+AA83</f>
        <v>467.39031254999992</v>
      </c>
      <c r="AA114" s="2039">
        <f>Y114/Z114*$A$98</f>
        <v>255.895754877451</v>
      </c>
      <c r="AN114" s="3309"/>
      <c r="AO114" s="1988" t="s">
        <v>927</v>
      </c>
      <c r="AP114" s="1988" t="s">
        <v>928</v>
      </c>
      <c r="AQ114" s="1988" t="s">
        <v>185</v>
      </c>
      <c r="AR114" s="1988" t="s">
        <v>395</v>
      </c>
      <c r="AS114" s="1988" t="s">
        <v>929</v>
      </c>
      <c r="AT114" s="1988" t="s">
        <v>930</v>
      </c>
      <c r="AU114" s="1988" t="s">
        <v>18</v>
      </c>
      <c r="AV114" s="1988" t="s">
        <v>726</v>
      </c>
      <c r="AW114" s="3302"/>
      <c r="AX114" s="1988" t="s">
        <v>318</v>
      </c>
      <c r="AY114" s="1988" t="s">
        <v>766</v>
      </c>
      <c r="AZ114" s="1988" t="s">
        <v>511</v>
      </c>
      <c r="BA114" s="3279"/>
      <c r="BB114" s="1989" t="s">
        <v>931</v>
      </c>
      <c r="BC114" s="1989" t="s">
        <v>792</v>
      </c>
      <c r="BD114" s="1989" t="s">
        <v>932</v>
      </c>
      <c r="BE114" s="1989" t="s">
        <v>185</v>
      </c>
      <c r="BF114" s="1989" t="s">
        <v>18</v>
      </c>
      <c r="BG114" s="1988" t="s">
        <v>927</v>
      </c>
      <c r="BH114" s="1988" t="s">
        <v>928</v>
      </c>
      <c r="BI114" s="1988" t="s">
        <v>185</v>
      </c>
      <c r="BJ114" s="1988" t="s">
        <v>395</v>
      </c>
      <c r="BK114" s="1988" t="s">
        <v>929</v>
      </c>
      <c r="BL114" s="1988" t="s">
        <v>930</v>
      </c>
      <c r="BM114" s="1988" t="s">
        <v>18</v>
      </c>
      <c r="BN114" s="1988" t="s">
        <v>726</v>
      </c>
      <c r="BO114" s="3302"/>
      <c r="BP114" s="1988" t="s">
        <v>318</v>
      </c>
      <c r="BQ114" s="1988" t="s">
        <v>766</v>
      </c>
      <c r="BR114" s="1988" t="s">
        <v>511</v>
      </c>
      <c r="BS114" s="3279"/>
    </row>
    <row r="115" spans="2:72" ht="15.6">
      <c r="B115" s="2011" t="s">
        <v>7</v>
      </c>
      <c r="C115" s="2038">
        <f t="shared" ref="C115:C123" si="273">D21+H21</f>
        <v>425.26800000000003</v>
      </c>
      <c r="D115" s="2038">
        <f t="shared" ref="D115:D123" si="274">D84+H84</f>
        <v>2016.0129999999999</v>
      </c>
      <c r="E115" s="2039">
        <f t="shared" ref="E115:E123" si="275">C115/D115*$A$98</f>
        <v>51.25965159946886</v>
      </c>
      <c r="F115" s="2038">
        <f t="shared" ref="F115:F123" si="276">E21+I21</f>
        <v>84.912449999999978</v>
      </c>
      <c r="G115" s="2038">
        <f t="shared" ref="G115:G123" si="277">E84+I84</f>
        <v>777.18105000000003</v>
      </c>
      <c r="H115" s="2039">
        <f t="shared" ref="H115:H124" si="278">F115/G115*$A$98</f>
        <v>26.549444752931116</v>
      </c>
      <c r="I115" s="2038">
        <f t="shared" ref="I115:I124" si="279">C21+D21+E21</f>
        <v>1330.0026134000009</v>
      </c>
      <c r="J115" s="2038">
        <f t="shared" ref="J115:J124" si="280">C84+D84+E84</f>
        <v>5822.1900947800004</v>
      </c>
      <c r="K115" s="2039">
        <f t="shared" ref="K115:K123" si="281">I115/J115*$A$98</f>
        <v>55.510148207967852</v>
      </c>
      <c r="U115" s="2011" t="s">
        <v>7</v>
      </c>
      <c r="V115" s="2038">
        <f t="shared" ref="V115:V124" si="282">V21+Z21</f>
        <v>123.81399999999999</v>
      </c>
      <c r="W115" s="2038">
        <f t="shared" ref="W115:W124" si="283">V84+Z84</f>
        <v>1632.5475199999998</v>
      </c>
      <c r="X115" s="2039">
        <f t="shared" ref="X115:X124" si="284">V115/W115*$A$98</f>
        <v>18.429357572390909</v>
      </c>
      <c r="Y115" s="2038">
        <f t="shared" ref="Y115:Y124" si="285">W21+AA21</f>
        <v>84.912449999999978</v>
      </c>
      <c r="Z115" s="2038">
        <f t="shared" ref="Z115:Z124" si="286">W84+AA84</f>
        <v>777.18105000000003</v>
      </c>
      <c r="AA115" s="2039">
        <f t="shared" ref="AA115:AA124" si="287">Y115/Z115*$A$98</f>
        <v>26.549444752931116</v>
      </c>
      <c r="AN115" s="1990" t="s">
        <v>6</v>
      </c>
      <c r="AO115" s="2127">
        <f t="shared" ref="AO115:AO124" si="288">(AO20-C20)/C20</f>
        <v>-4.82237990862035E-2</v>
      </c>
      <c r="AP115" s="2127">
        <f t="shared" ref="AP115:AP124" si="289">(AP20-D20)/D20</f>
        <v>0.5107753130911411</v>
      </c>
      <c r="AQ115" s="2127">
        <f t="shared" ref="AQ115:AQ124" si="290">(AQ20-E20)/E20</f>
        <v>-0.41408450613837905</v>
      </c>
      <c r="AR115" s="2127">
        <f t="shared" ref="AR115:AR124" si="291">(AR20-F20)/F20</f>
        <v>-0.47458718224530111</v>
      </c>
      <c r="AS115" s="2127">
        <f t="shared" ref="AS115:AS124" si="292">(AS20-G20)/G20</f>
        <v>8.9205626421786824E-2</v>
      </c>
      <c r="AT115" s="2127">
        <f t="shared" ref="AT115:AT124" si="293">(AT20-H20)/H20</f>
        <v>-8.5714804544711434E-2</v>
      </c>
      <c r="AU115" s="2127">
        <f t="shared" ref="AU115:AU124" si="294">(AU20-I20)/I20</f>
        <v>-3.5951803045756084E-2</v>
      </c>
      <c r="AV115" s="2127">
        <f t="shared" ref="AV115:AV124" si="295">(AV20-J20)/J20</f>
        <v>-6.1994265293895366E-2</v>
      </c>
      <c r="AW115" s="2127">
        <f t="shared" ref="AW115:AW124" si="296">(AW20-K20)/K20</f>
        <v>4.5519267295451492E-2</v>
      </c>
      <c r="AX115" s="2127">
        <f t="shared" ref="AX115:AX124" si="297">(AX20-L20)/L20</f>
        <v>0.19294481162213312</v>
      </c>
      <c r="AY115" s="2127">
        <f t="shared" ref="AY115:AY124" si="298">(AY20-M20)/M20</f>
        <v>0</v>
      </c>
      <c r="AZ115" s="2127">
        <f t="shared" ref="AZ115:AZ124" si="299">(AZ20-N20)/N20</f>
        <v>0.17346628259911667</v>
      </c>
      <c r="BA115" s="2127">
        <f t="shared" ref="BA115:BA124" si="300">(BA20-O20)/O20</f>
        <v>5.4767294637300956E-2</v>
      </c>
      <c r="BB115" s="2100">
        <f t="shared" ref="BB115:BB124" si="301">(BB20-P20)/P20</f>
        <v>1.260582668071299</v>
      </c>
      <c r="BC115" s="2100">
        <f>(BC20-Q20)/Q20</f>
        <v>-0.61307942382093805</v>
      </c>
      <c r="BD115" s="2100">
        <f t="shared" ref="BD115:BD124" si="302">(BD20-R20)/R20</f>
        <v>-0.52563728535120335</v>
      </c>
      <c r="BE115" s="2100" t="e">
        <f t="shared" ref="BE115:BE124" si="303">(BE20-S20)/S20</f>
        <v>#DIV/0!</v>
      </c>
      <c r="BF115" s="2100"/>
      <c r="BG115" s="2127">
        <f t="shared" ref="BG115:BG125" si="304">(BG20-U20)/U20</f>
        <v>-4.82237990862035E-2</v>
      </c>
      <c r="BH115" s="2127">
        <f t="shared" ref="BH115:BH125" si="305">(BH20-V20)/V20</f>
        <v>-0.36131993478984986</v>
      </c>
      <c r="BI115" s="2127">
        <f t="shared" ref="BI115:BI125" si="306">(BI20-W20)/W20</f>
        <v>-0.41408450613837905</v>
      </c>
      <c r="BJ115" s="2127">
        <f>(BJ20-X20)/X20</f>
        <v>-0.21792910257330883</v>
      </c>
      <c r="BK115" s="2127">
        <f t="shared" ref="BK115:BK125" si="307">(BK20-Y20)/Y20</f>
        <v>-0.101487437772117</v>
      </c>
      <c r="BL115" s="2127">
        <f t="shared" ref="BL115:BL125" si="308">(BL20-Z20)/Z20</f>
        <v>-7.5019476068698507E-2</v>
      </c>
      <c r="BM115" s="2127">
        <f t="shared" ref="BM115:BM125" si="309">(BM20-AA20)/AA20</f>
        <v>-8.8090767000439926E-2</v>
      </c>
      <c r="BN115" s="2127">
        <f t="shared" ref="BN115:BN125" si="310">(BN20-AB20)/AB20</f>
        <v>-8.1226983863561905E-2</v>
      </c>
      <c r="BO115" s="2127">
        <f t="shared" ref="BO115:BO125" si="311">(BO20-AC20)/AC20</f>
        <v>-9.4892555688631919E-2</v>
      </c>
      <c r="BP115" s="2127">
        <f t="shared" ref="BP115:BP125" si="312">(BP20-AD20)/AD20</f>
        <v>0.19294481162213312</v>
      </c>
      <c r="BQ115" s="2127">
        <f t="shared" ref="BQ115:BQ125" si="313">(BQ20-AE20)/AE20</f>
        <v>0</v>
      </c>
      <c r="BR115" s="2127">
        <f t="shared" ref="BR115:BR125" si="314">(BR20-AF20)/AF20</f>
        <v>0.17346628259911667</v>
      </c>
      <c r="BS115" s="2127">
        <f t="shared" ref="BS115:BS125" si="315">(BS20-AG20)/AG20</f>
        <v>-7.2686467222807305E-2</v>
      </c>
      <c r="BT115" s="1517" t="e">
        <f>#REF!*100</f>
        <v>#REF!</v>
      </c>
    </row>
    <row r="116" spans="2:72" ht="15.6">
      <c r="B116" s="2011" t="s">
        <v>8</v>
      </c>
      <c r="C116" s="2038">
        <f t="shared" si="273"/>
        <v>487.45221466999999</v>
      </c>
      <c r="D116" s="2038">
        <f t="shared" si="274"/>
        <v>747.55407811000009</v>
      </c>
      <c r="E116" s="2039">
        <f t="shared" si="275"/>
        <v>158.45126343806839</v>
      </c>
      <c r="F116" s="2038">
        <f t="shared" si="276"/>
        <v>278.58414844999999</v>
      </c>
      <c r="G116" s="2038">
        <f t="shared" si="277"/>
        <v>505.99742688000003</v>
      </c>
      <c r="H116" s="2039">
        <f t="shared" si="278"/>
        <v>133.78713897967003</v>
      </c>
      <c r="I116" s="2038">
        <f t="shared" si="279"/>
        <v>921.35321847999978</v>
      </c>
      <c r="J116" s="2038">
        <f t="shared" si="280"/>
        <v>3615.4938045500003</v>
      </c>
      <c r="K116" s="2039">
        <f t="shared" si="281"/>
        <v>61.924828030097018</v>
      </c>
      <c r="U116" s="2011" t="s">
        <v>8</v>
      </c>
      <c r="V116" s="2038">
        <f t="shared" si="282"/>
        <v>146.02458238999998</v>
      </c>
      <c r="W116" s="2038">
        <f t="shared" si="283"/>
        <v>747.55407811000009</v>
      </c>
      <c r="X116" s="2039">
        <f t="shared" si="284"/>
        <v>47.466764692772699</v>
      </c>
      <c r="Y116" s="2038">
        <f t="shared" si="285"/>
        <v>269.86124845000001</v>
      </c>
      <c r="Z116" s="2038">
        <f t="shared" si="286"/>
        <v>505.99742688000003</v>
      </c>
      <c r="AA116" s="2039">
        <f t="shared" si="287"/>
        <v>129.59805700534079</v>
      </c>
      <c r="AN116" s="1990" t="s">
        <v>7</v>
      </c>
      <c r="AO116" s="2127">
        <f t="shared" si="288"/>
        <v>3.1230013383786493E-2</v>
      </c>
      <c r="AP116" s="2127">
        <f t="shared" si="289"/>
        <v>0.52792994929774462</v>
      </c>
      <c r="AQ116" s="2127">
        <f>(AQ21-E21)/E21</f>
        <v>3.7758242642473796</v>
      </c>
      <c r="AR116" s="2127">
        <f t="shared" si="291"/>
        <v>-0.3729518520938726</v>
      </c>
      <c r="AS116" s="2127">
        <f t="shared" si="292"/>
        <v>3.4872021376167212E-2</v>
      </c>
      <c r="AT116" s="2127">
        <f t="shared" si="293"/>
        <v>-3.8190722151836942E-2</v>
      </c>
      <c r="AU116" s="2127">
        <f t="shared" si="294"/>
        <v>-0.51767059433927542</v>
      </c>
      <c r="AV116" s="2127">
        <f t="shared" si="295"/>
        <v>-0.28057380738060239</v>
      </c>
      <c r="AW116" s="2127">
        <f t="shared" si="296"/>
        <v>7.4729069375328574E-3</v>
      </c>
      <c r="AX116" s="2127">
        <f t="shared" si="297"/>
        <v>1.2733757845289069</v>
      </c>
      <c r="AY116" s="2127" t="e">
        <f t="shared" si="298"/>
        <v>#DIV/0!</v>
      </c>
      <c r="AZ116" s="2127">
        <f t="shared" si="299"/>
        <v>1.2733757845289069</v>
      </c>
      <c r="BA116" s="2127">
        <f t="shared" si="300"/>
        <v>4.8930455618917026E-2</v>
      </c>
      <c r="BB116" s="2100">
        <f t="shared" si="301"/>
        <v>0.64594929906387044</v>
      </c>
      <c r="BC116" s="2100">
        <f t="shared" ref="BC116:BC124" si="316">(BC21-Q21)/Q21</f>
        <v>-0.37383944389863771</v>
      </c>
      <c r="BD116" s="2100" t="e">
        <f t="shared" si="302"/>
        <v>#DIV/0!</v>
      </c>
      <c r="BE116" s="2100" t="e">
        <f t="shared" si="303"/>
        <v>#DIV/0!</v>
      </c>
      <c r="BF116" s="2100"/>
      <c r="BG116" s="2127">
        <f t="shared" si="304"/>
        <v>3.1230013383786493E-2</v>
      </c>
      <c r="BH116" s="2127">
        <f t="shared" si="305"/>
        <v>-0.32471360782246028</v>
      </c>
      <c r="BI116" s="2127">
        <f>(BI21-W21)/W21</f>
        <v>3.7758242642473796</v>
      </c>
      <c r="BJ116" s="2127">
        <f t="shared" ref="BJ116:BJ125" si="317">(BJ21-X21)/X21</f>
        <v>-0.358394545483111</v>
      </c>
      <c r="BK116" s="2127">
        <f t="shared" si="307"/>
        <v>1.1820893967316046E-2</v>
      </c>
      <c r="BL116" s="2127">
        <f t="shared" si="308"/>
        <v>-3.8190722151836942E-2</v>
      </c>
      <c r="BM116" s="2127">
        <f t="shared" si="309"/>
        <v>-0.51767059433927542</v>
      </c>
      <c r="BN116" s="2127">
        <f t="shared" si="310"/>
        <v>-0.28057380738060239</v>
      </c>
      <c r="BO116" s="2127">
        <f t="shared" si="311"/>
        <v>-2.801714954699093E-2</v>
      </c>
      <c r="BP116" s="2127">
        <f t="shared" si="312"/>
        <v>1.2733757845289069</v>
      </c>
      <c r="BQ116" s="2127" t="e">
        <f t="shared" si="313"/>
        <v>#DIV/0!</v>
      </c>
      <c r="BR116" s="2127">
        <f t="shared" si="314"/>
        <v>1.2733757845289069</v>
      </c>
      <c r="BS116" s="2127">
        <f t="shared" si="315"/>
        <v>3.7614823153554154E-2</v>
      </c>
      <c r="BT116" s="1517" t="e">
        <f>#REF!*100</f>
        <v>#REF!</v>
      </c>
    </row>
    <row r="117" spans="2:72" ht="15.6">
      <c r="B117" s="2011" t="s">
        <v>4</v>
      </c>
      <c r="C117" s="2038">
        <f t="shared" si="273"/>
        <v>866.63326127999949</v>
      </c>
      <c r="D117" s="2038">
        <f t="shared" si="274"/>
        <v>1504.9202132599999</v>
      </c>
      <c r="E117" s="2039">
        <f t="shared" si="275"/>
        <v>139.9355797307353</v>
      </c>
      <c r="F117" s="2038">
        <f t="shared" si="276"/>
        <v>332.79165270999999</v>
      </c>
      <c r="G117" s="2038">
        <f t="shared" si="277"/>
        <v>537.53734869000004</v>
      </c>
      <c r="H117" s="2039">
        <f t="shared" si="278"/>
        <v>150.44233076196369</v>
      </c>
      <c r="I117" s="2038">
        <f t="shared" si="279"/>
        <v>2187.6009232599999</v>
      </c>
      <c r="J117" s="2038">
        <f t="shared" si="280"/>
        <v>7045.8169260799996</v>
      </c>
      <c r="K117" s="2039">
        <f t="shared" si="281"/>
        <v>75.447180920145328</v>
      </c>
      <c r="U117" s="2011" t="s">
        <v>4</v>
      </c>
      <c r="V117" s="2038">
        <f t="shared" si="282"/>
        <v>373.11475868999958</v>
      </c>
      <c r="W117" s="2038">
        <f t="shared" si="283"/>
        <v>1041.3157950699999</v>
      </c>
      <c r="X117" s="2039">
        <f t="shared" si="284"/>
        <v>87.069539126288802</v>
      </c>
      <c r="Y117" s="2038">
        <f t="shared" si="285"/>
        <v>332.79165270999999</v>
      </c>
      <c r="Z117" s="2038">
        <f t="shared" si="286"/>
        <v>537.53734869000004</v>
      </c>
      <c r="AA117" s="2039">
        <f t="shared" si="287"/>
        <v>150.44233076196369</v>
      </c>
      <c r="AN117" s="1990" t="s">
        <v>8</v>
      </c>
      <c r="AO117" s="2127">
        <f t="shared" si="288"/>
        <v>-6.8206921655956196E-2</v>
      </c>
      <c r="AP117" s="2127">
        <f t="shared" si="289"/>
        <v>0.61577529674812348</v>
      </c>
      <c r="AQ117" s="2127">
        <f t="shared" si="290"/>
        <v>-9.8067520410698245E-2</v>
      </c>
      <c r="AR117" s="2127">
        <f t="shared" si="291"/>
        <v>-0.12258801987845329</v>
      </c>
      <c r="AS117" s="2127">
        <f t="shared" si="292"/>
        <v>0.1532853649676415</v>
      </c>
      <c r="AT117" s="2127">
        <f t="shared" si="293"/>
        <v>-6.7969831694305274E-2</v>
      </c>
      <c r="AU117" s="2127">
        <f t="shared" si="294"/>
        <v>-4.4596925970073725E-2</v>
      </c>
      <c r="AV117" s="2127">
        <f t="shared" si="295"/>
        <v>-5.4107608500012699E-2</v>
      </c>
      <c r="AW117" s="2127">
        <f t="shared" si="296"/>
        <v>8.6727763462448107E-2</v>
      </c>
      <c r="AX117" s="2127">
        <f t="shared" si="297"/>
        <v>2.0663116067241463</v>
      </c>
      <c r="AY117" s="2127">
        <f t="shared" si="298"/>
        <v>-8.752255906862958E-6</v>
      </c>
      <c r="AZ117" s="2127">
        <f t="shared" si="299"/>
        <v>2.0054235231836008</v>
      </c>
      <c r="BA117" s="2127">
        <f t="shared" si="300"/>
        <v>0.38855491265760878</v>
      </c>
      <c r="BB117" s="2100">
        <f t="shared" si="301"/>
        <v>0.69298361878992076</v>
      </c>
      <c r="BC117" s="2100" t="e">
        <f t="shared" si="316"/>
        <v>#DIV/0!</v>
      </c>
      <c r="BD117" s="2100">
        <f t="shared" si="302"/>
        <v>0.16380271289375567</v>
      </c>
      <c r="BE117" s="2100">
        <f t="shared" si="303"/>
        <v>2.5366234853087977E-2</v>
      </c>
      <c r="BF117" s="2100"/>
      <c r="BG117" s="2127">
        <f t="shared" si="304"/>
        <v>-6.8206921655956196E-2</v>
      </c>
      <c r="BH117" s="2127">
        <f t="shared" si="305"/>
        <v>-0.18630598392263364</v>
      </c>
      <c r="BI117" s="2127">
        <f t="shared" si="306"/>
        <v>-0.26846888727117613</v>
      </c>
      <c r="BJ117" s="2127">
        <f>(BJ22-X22)/X22</f>
        <v>-0.12258801987845329</v>
      </c>
      <c r="BK117" s="2127">
        <f t="shared" si="307"/>
        <v>-7.6603495047523312E-2</v>
      </c>
      <c r="BL117" s="2127">
        <f t="shared" si="308"/>
        <v>-0.18806739046046436</v>
      </c>
      <c r="BM117" s="2127">
        <f t="shared" si="309"/>
        <v>-4.4596925970073725E-2</v>
      </c>
      <c r="BN117" s="2127">
        <f t="shared" si="310"/>
        <v>-8.9252863678637939E-2</v>
      </c>
      <c r="BO117" s="2127">
        <f t="shared" si="311"/>
        <v>-8.1282445841908052E-2</v>
      </c>
      <c r="BP117" s="2127">
        <f t="shared" si="312"/>
        <v>2.0663116067241463</v>
      </c>
      <c r="BQ117" s="2127">
        <f t="shared" si="313"/>
        <v>-8.752255906862958E-6</v>
      </c>
      <c r="BR117" s="2127">
        <f t="shared" si="314"/>
        <v>2.0054235231836008</v>
      </c>
      <c r="BS117" s="2127">
        <f t="shared" si="315"/>
        <v>0.33587248930827357</v>
      </c>
      <c r="BT117" s="1517" t="e">
        <f>#REF!*100</f>
        <v>#REF!</v>
      </c>
    </row>
    <row r="118" spans="2:72" ht="15.6">
      <c r="B118" s="2011" t="s">
        <v>3</v>
      </c>
      <c r="C118" s="2038">
        <f t="shared" si="273"/>
        <v>757.03817139</v>
      </c>
      <c r="D118" s="2038">
        <f t="shared" si="274"/>
        <v>997.48198200000002</v>
      </c>
      <c r="E118" s="2039">
        <f t="shared" si="275"/>
        <v>184.42466026195348</v>
      </c>
      <c r="F118" s="2038">
        <f t="shared" si="276"/>
        <v>381.36145270999998</v>
      </c>
      <c r="G118" s="2038">
        <f t="shared" si="277"/>
        <v>322.22437431000003</v>
      </c>
      <c r="H118" s="2039">
        <f t="shared" si="278"/>
        <v>287.59721609196095</v>
      </c>
      <c r="I118" s="2038">
        <f t="shared" si="279"/>
        <v>2879.7891179400003</v>
      </c>
      <c r="J118" s="2038">
        <f t="shared" si="280"/>
        <v>3538.0915070900001</v>
      </c>
      <c r="K118" s="2039">
        <f t="shared" si="281"/>
        <v>197.7870708705837</v>
      </c>
      <c r="U118" s="2011" t="s">
        <v>3</v>
      </c>
      <c r="V118" s="2038">
        <f t="shared" si="282"/>
        <v>570.05135186999996</v>
      </c>
      <c r="W118" s="2038">
        <f t="shared" si="283"/>
        <v>997.48198200000002</v>
      </c>
      <c r="X118" s="2039">
        <f t="shared" si="284"/>
        <v>138.87216110577324</v>
      </c>
      <c r="Y118" s="2038">
        <f t="shared" si="285"/>
        <v>378.70268981999999</v>
      </c>
      <c r="Z118" s="2038">
        <f t="shared" si="286"/>
        <v>322.22437431000003</v>
      </c>
      <c r="AA118" s="2039">
        <f t="shared" si="287"/>
        <v>285.59215553857018</v>
      </c>
      <c r="AN118" s="1990" t="s">
        <v>4</v>
      </c>
      <c r="AO118" s="2127">
        <f t="shared" si="288"/>
        <v>1.1574142281118532E-2</v>
      </c>
      <c r="AP118" s="2127">
        <f>(AP23-D23)/D23</f>
        <v>1.6064987293557917</v>
      </c>
      <c r="AQ118" s="2127">
        <f t="shared" si="290"/>
        <v>-0.32656300696237889</v>
      </c>
      <c r="AR118" s="2127" t="e">
        <f t="shared" si="291"/>
        <v>#DIV/0!</v>
      </c>
      <c r="AS118" s="2127">
        <f t="shared" si="292"/>
        <v>0.38842942022246035</v>
      </c>
      <c r="AT118" s="2127">
        <f t="shared" si="293"/>
        <v>-0.20398472621530941</v>
      </c>
      <c r="AU118" s="2127">
        <f t="shared" si="294"/>
        <v>0.15517631272229326</v>
      </c>
      <c r="AV118" s="2127">
        <f t="shared" si="295"/>
        <v>-3.5458038891472976E-2</v>
      </c>
      <c r="AW118" s="2127">
        <f t="shared" si="296"/>
        <v>0.28773543690472725</v>
      </c>
      <c r="AX118" s="2127">
        <f t="shared" si="297"/>
        <v>-0.80297507547491942</v>
      </c>
      <c r="AY118" s="2127" t="e">
        <f t="shared" si="298"/>
        <v>#DIV/0!</v>
      </c>
      <c r="AZ118" s="2127">
        <f t="shared" si="299"/>
        <v>-0.80297507547491942</v>
      </c>
      <c r="BA118" s="2127">
        <f t="shared" si="300"/>
        <v>0.26126505869384314</v>
      </c>
      <c r="BB118" s="2100">
        <f t="shared" si="301"/>
        <v>1.7671458100766222</v>
      </c>
      <c r="BC118" s="2100" t="e">
        <f t="shared" si="316"/>
        <v>#DIV/0!</v>
      </c>
      <c r="BD118" s="2100">
        <f t="shared" si="302"/>
        <v>-1</v>
      </c>
      <c r="BE118" s="2100" t="e">
        <f t="shared" si="303"/>
        <v>#DIV/0!</v>
      </c>
      <c r="BF118" s="2100"/>
      <c r="BG118" s="2127">
        <f t="shared" si="304"/>
        <v>1.1574142281118532E-2</v>
      </c>
      <c r="BH118" s="2127">
        <f t="shared" si="305"/>
        <v>-5.4392090479912142E-2</v>
      </c>
      <c r="BI118" s="2127">
        <f t="shared" si="306"/>
        <v>-0.32656300696237889</v>
      </c>
      <c r="BJ118" s="2127" t="e">
        <f t="shared" si="317"/>
        <v>#DIV/0!</v>
      </c>
      <c r="BK118" s="2127">
        <f t="shared" si="307"/>
        <v>2.0974909971266067E-2</v>
      </c>
      <c r="BL118" s="2127">
        <f t="shared" si="308"/>
        <v>-0.12362479240987895</v>
      </c>
      <c r="BM118" s="2127">
        <f t="shared" si="309"/>
        <v>0.15517631272229326</v>
      </c>
      <c r="BN118" s="2127">
        <f t="shared" si="310"/>
        <v>1.3887894425645624E-2</v>
      </c>
      <c r="BO118" s="2127">
        <f t="shared" si="311"/>
        <v>1.9040622055265632E-2</v>
      </c>
      <c r="BP118" s="2127">
        <f t="shared" si="312"/>
        <v>-0.80297507547491942</v>
      </c>
      <c r="BQ118" s="2127" t="e">
        <f t="shared" si="313"/>
        <v>#DIV/0!</v>
      </c>
      <c r="BR118" s="2127">
        <f t="shared" si="314"/>
        <v>-0.80297507547491942</v>
      </c>
      <c r="BS118" s="2127">
        <f t="shared" si="315"/>
        <v>-4.9322626293884821E-3</v>
      </c>
      <c r="BT118" s="1517" t="e">
        <f>#REF!*100</f>
        <v>#REF!</v>
      </c>
    </row>
    <row r="119" spans="2:72" ht="15.6">
      <c r="B119" s="2011" t="s">
        <v>397</v>
      </c>
      <c r="C119" s="2038">
        <f t="shared" si="273"/>
        <v>956.57425858000011</v>
      </c>
      <c r="D119" s="2038">
        <f t="shared" si="274"/>
        <v>1001.6137856199999</v>
      </c>
      <c r="E119" s="2039">
        <f t="shared" si="275"/>
        <v>232.07302871840443</v>
      </c>
      <c r="F119" s="2038">
        <f t="shared" si="276"/>
        <v>273.79374932653286</v>
      </c>
      <c r="G119" s="2038">
        <f t="shared" si="277"/>
        <v>335.91461493999998</v>
      </c>
      <c r="H119" s="2039">
        <f t="shared" si="278"/>
        <v>198.06188277408293</v>
      </c>
      <c r="I119" s="2038">
        <f t="shared" si="279"/>
        <v>2516.0368008765299</v>
      </c>
      <c r="J119" s="2038">
        <f t="shared" si="280"/>
        <v>4351.2596104900322</v>
      </c>
      <c r="K119" s="2039">
        <f t="shared" si="281"/>
        <v>140.51033432687834</v>
      </c>
      <c r="U119" s="2011" t="s">
        <v>397</v>
      </c>
      <c r="V119" s="2038">
        <f t="shared" si="282"/>
        <v>602.73629005000021</v>
      </c>
      <c r="W119" s="2038">
        <f t="shared" si="283"/>
        <v>1001.6137856199999</v>
      </c>
      <c r="X119" s="2039">
        <f t="shared" si="284"/>
        <v>146.22893632747687</v>
      </c>
      <c r="Y119" s="2038">
        <f t="shared" si="285"/>
        <v>273.79374932653286</v>
      </c>
      <c r="Z119" s="2038">
        <f t="shared" si="286"/>
        <v>335.91461493999998</v>
      </c>
      <c r="AA119" s="2039">
        <f t="shared" si="287"/>
        <v>198.06188277408293</v>
      </c>
      <c r="AN119" s="1990" t="s">
        <v>3</v>
      </c>
      <c r="AO119" s="2127">
        <f t="shared" si="288"/>
        <v>0.14174564193279851</v>
      </c>
      <c r="AP119" s="2127">
        <f t="shared" si="289"/>
        <v>0.64308779051536458</v>
      </c>
      <c r="AQ119" s="2127">
        <f t="shared" si="290"/>
        <v>-6.4656687887326827E-2</v>
      </c>
      <c r="AR119" s="2127">
        <f t="shared" si="291"/>
        <v>0.39366102567558175</v>
      </c>
      <c r="AS119" s="2127">
        <f t="shared" si="292"/>
        <v>0.20279528093385929</v>
      </c>
      <c r="AT119" s="2127">
        <f t="shared" si="293"/>
        <v>0.15619738372596273</v>
      </c>
      <c r="AU119" s="2127">
        <f t="shared" si="294"/>
        <v>0.56328268798653824</v>
      </c>
      <c r="AV119" s="2127">
        <f t="shared" si="295"/>
        <v>0.34892293413608261</v>
      </c>
      <c r="AW119" s="2127">
        <f t="shared" si="296"/>
        <v>0.23341923989352531</v>
      </c>
      <c r="AX119" s="2127">
        <f t="shared" si="297"/>
        <v>0.75544685403473566</v>
      </c>
      <c r="AY119" s="2127">
        <f t="shared" si="298"/>
        <v>0.45555021660918588</v>
      </c>
      <c r="AZ119" s="2127">
        <f t="shared" si="299"/>
        <v>0.75380152868789196</v>
      </c>
      <c r="BA119" s="2127">
        <f t="shared" si="300"/>
        <v>0.36443090621767527</v>
      </c>
      <c r="BB119" s="2100">
        <f t="shared" si="301"/>
        <v>1.2317721976942044</v>
      </c>
      <c r="BC119" s="2100" t="e">
        <f t="shared" si="316"/>
        <v>#DIV/0!</v>
      </c>
      <c r="BD119" s="2100" t="e">
        <f t="shared" si="302"/>
        <v>#DIV/0!</v>
      </c>
      <c r="BE119" s="2100" t="e">
        <f t="shared" si="303"/>
        <v>#DIV/0!</v>
      </c>
      <c r="BF119" s="2100"/>
      <c r="BG119" s="2127">
        <f t="shared" si="304"/>
        <v>0.14174564193279851</v>
      </c>
      <c r="BH119" s="2127">
        <f t="shared" si="305"/>
        <v>-1.9434984381553177E-2</v>
      </c>
      <c r="BI119" s="2127">
        <f>(BI24-W24)/W24</f>
        <v>-6.4656687887326827E-2</v>
      </c>
      <c r="BJ119" s="2127">
        <f t="shared" si="317"/>
        <v>0.39366102567558175</v>
      </c>
      <c r="BK119" s="2127">
        <f t="shared" si="307"/>
        <v>0.13169365589534077</v>
      </c>
      <c r="BL119" s="2127">
        <f t="shared" si="308"/>
        <v>0.15619738372596273</v>
      </c>
      <c r="BM119" s="2127">
        <f t="shared" si="309"/>
        <v>0.56087367848849023</v>
      </c>
      <c r="BN119" s="2127">
        <f t="shared" si="310"/>
        <v>0.34704124663119368</v>
      </c>
      <c r="BO119" s="2127">
        <f t="shared" si="311"/>
        <v>0.17912524027422211</v>
      </c>
      <c r="BP119" s="2127">
        <f t="shared" si="312"/>
        <v>0.75544685403473566</v>
      </c>
      <c r="BQ119" s="2127">
        <f t="shared" si="313"/>
        <v>0.45555021660918588</v>
      </c>
      <c r="BR119" s="2127">
        <f t="shared" si="314"/>
        <v>0.75380152868789196</v>
      </c>
      <c r="BS119" s="2127">
        <f t="shared" si="315"/>
        <v>0.32964144531884576</v>
      </c>
      <c r="BT119" s="1517" t="e">
        <f>#REF!*100</f>
        <v>#REF!</v>
      </c>
    </row>
    <row r="120" spans="2:72" ht="15.6">
      <c r="B120" s="2011" t="s">
        <v>399</v>
      </c>
      <c r="C120" s="2038">
        <f t="shared" si="273"/>
        <v>859.00039256999912</v>
      </c>
      <c r="D120" s="2038">
        <f t="shared" si="274"/>
        <v>2234.2862860799996</v>
      </c>
      <c r="E120" s="2039">
        <f t="shared" si="275"/>
        <v>93.424507277773202</v>
      </c>
      <c r="F120" s="2038">
        <f t="shared" si="276"/>
        <v>387.31234428000397</v>
      </c>
      <c r="G120" s="2038">
        <f t="shared" si="277"/>
        <v>470.92294621999997</v>
      </c>
      <c r="H120" s="2039">
        <f t="shared" si="278"/>
        <v>199.85626186937299</v>
      </c>
      <c r="I120" s="2038">
        <f t="shared" si="279"/>
        <v>2479.4559816720002</v>
      </c>
      <c r="J120" s="2038">
        <f t="shared" si="280"/>
        <v>6425.8196393554999</v>
      </c>
      <c r="K120" s="2039">
        <f t="shared" si="281"/>
        <v>93.763572176253405</v>
      </c>
      <c r="U120" s="2011" t="s">
        <v>399</v>
      </c>
      <c r="V120" s="2038">
        <f t="shared" si="282"/>
        <v>554.04519729999879</v>
      </c>
      <c r="W120" s="2038">
        <f t="shared" si="283"/>
        <v>2052.5126760799994</v>
      </c>
      <c r="X120" s="2039">
        <f t="shared" si="284"/>
        <v>65.594227267345843</v>
      </c>
      <c r="Y120" s="2038">
        <f t="shared" si="285"/>
        <v>387.31234428000397</v>
      </c>
      <c r="Z120" s="2038">
        <f t="shared" si="286"/>
        <v>470.92294621999997</v>
      </c>
      <c r="AA120" s="2039">
        <f t="shared" si="287"/>
        <v>199.85626186937299</v>
      </c>
      <c r="AN120" s="1990" t="s">
        <v>397</v>
      </c>
      <c r="AO120" s="2127">
        <f t="shared" si="288"/>
        <v>0.1905503719535861</v>
      </c>
      <c r="AP120" s="2127">
        <f t="shared" si="289"/>
        <v>0.11197374455122529</v>
      </c>
      <c r="AQ120" s="2127">
        <f t="shared" si="290"/>
        <v>-0.1397229081057681</v>
      </c>
      <c r="AR120" s="2127">
        <f t="shared" si="291"/>
        <v>0.11072901995155304</v>
      </c>
      <c r="AS120" s="2127">
        <f t="shared" si="292"/>
        <v>0.16997694926039497</v>
      </c>
      <c r="AT120" s="2127">
        <f t="shared" si="293"/>
        <v>-2.8776134474408157E-2</v>
      </c>
      <c r="AU120" s="2127">
        <f t="shared" si="294"/>
        <v>-2.8787381339600973E-2</v>
      </c>
      <c r="AV120" s="2127">
        <f t="shared" si="295"/>
        <v>-2.8780486219835862E-2</v>
      </c>
      <c r="AW120" s="2127">
        <f t="shared" si="296"/>
        <v>0.12870418268868666</v>
      </c>
      <c r="AX120" s="2127">
        <f t="shared" si="297"/>
        <v>-3.7595253499087919E-2</v>
      </c>
      <c r="AY120" s="2127">
        <f t="shared" si="298"/>
        <v>0</v>
      </c>
      <c r="AZ120" s="2127">
        <f t="shared" si="299"/>
        <v>-3.5294061735115997E-2</v>
      </c>
      <c r="BA120" s="2127">
        <f t="shared" si="300"/>
        <v>0.11969020317287475</v>
      </c>
      <c r="BB120" s="2100">
        <f t="shared" si="301"/>
        <v>0.21433022976054772</v>
      </c>
      <c r="BC120" s="2100" t="e">
        <f t="shared" si="316"/>
        <v>#DIV/0!</v>
      </c>
      <c r="BD120" s="2100">
        <f t="shared" si="302"/>
        <v>-0.47701417999640422</v>
      </c>
      <c r="BE120" s="2100" t="e">
        <f t="shared" si="303"/>
        <v>#DIV/0!</v>
      </c>
      <c r="BF120" s="2100"/>
      <c r="BG120" s="2127">
        <f t="shared" si="304"/>
        <v>0.1905503719535861</v>
      </c>
      <c r="BH120" s="2127">
        <f t="shared" si="305"/>
        <v>-8.3595325734822021E-2</v>
      </c>
      <c r="BI120" s="2127">
        <f t="shared" si="306"/>
        <v>-0.1397229081057681</v>
      </c>
      <c r="BJ120" s="2127">
        <f t="shared" si="317"/>
        <v>0.11072901995155304</v>
      </c>
      <c r="BK120" s="2127">
        <f t="shared" si="307"/>
        <v>0.16343684830476679</v>
      </c>
      <c r="BL120" s="2127">
        <f t="shared" si="308"/>
        <v>-1.9262699741415309E-2</v>
      </c>
      <c r="BM120" s="2127">
        <f t="shared" si="309"/>
        <v>-2.8787381339600973E-2</v>
      </c>
      <c r="BN120" s="2127">
        <f t="shared" si="310"/>
        <v>-2.29956443252274E-2</v>
      </c>
      <c r="BO120" s="2127">
        <f t="shared" si="311"/>
        <v>0.1207581555382907</v>
      </c>
      <c r="BP120" s="2127">
        <f t="shared" si="312"/>
        <v>-3.7595253499087919E-2</v>
      </c>
      <c r="BQ120" s="2127">
        <f t="shared" si="313"/>
        <v>0</v>
      </c>
      <c r="BR120" s="2127">
        <f t="shared" si="314"/>
        <v>-3.5294061735115997E-2</v>
      </c>
      <c r="BS120" s="2127">
        <f t="shared" si="315"/>
        <v>0.11124137587059907</v>
      </c>
      <c r="BT120" s="1517" t="e">
        <f>#REF!*100</f>
        <v>#REF!</v>
      </c>
    </row>
    <row r="121" spans="2:72" ht="15.6">
      <c r="B121" s="2011" t="s">
        <v>883</v>
      </c>
      <c r="C121" s="2038">
        <f t="shared" si="273"/>
        <v>592.43774728000005</v>
      </c>
      <c r="D121" s="2038">
        <f t="shared" si="274"/>
        <v>1114.7525916599996</v>
      </c>
      <c r="E121" s="2039">
        <f t="shared" si="275"/>
        <v>129.14289113664483</v>
      </c>
      <c r="F121" s="2038">
        <f t="shared" si="276"/>
        <v>268.63475038000001</v>
      </c>
      <c r="G121" s="2038">
        <f t="shared" si="277"/>
        <v>452.88734993999964</v>
      </c>
      <c r="H121" s="2039">
        <f t="shared" si="278"/>
        <v>144.13792823091288</v>
      </c>
      <c r="I121" s="2038">
        <f t="shared" si="279"/>
        <v>1355.5269620301503</v>
      </c>
      <c r="J121" s="2038">
        <f t="shared" si="280"/>
        <v>5243.1526391578309</v>
      </c>
      <c r="K121" s="2039">
        <f t="shared" si="281"/>
        <v>62.823471762636792</v>
      </c>
      <c r="U121" s="2011" t="s">
        <v>883</v>
      </c>
      <c r="V121" s="2038">
        <f t="shared" si="282"/>
        <v>319.42339065000004</v>
      </c>
      <c r="W121" s="2038">
        <f t="shared" si="283"/>
        <v>899.96495658999959</v>
      </c>
      <c r="X121" s="2039">
        <f t="shared" si="284"/>
        <v>86.24767371171275</v>
      </c>
      <c r="Y121" s="2038">
        <f t="shared" si="285"/>
        <v>268.63475038000001</v>
      </c>
      <c r="Z121" s="2038">
        <f t="shared" si="286"/>
        <v>452.88734993999964</v>
      </c>
      <c r="AA121" s="2039">
        <f t="shared" si="287"/>
        <v>144.13792823091288</v>
      </c>
      <c r="AN121" s="1990" t="s">
        <v>399</v>
      </c>
      <c r="AO121" s="2127">
        <f t="shared" si="288"/>
        <v>-8.0626765477978726E-3</v>
      </c>
      <c r="AP121" s="2127">
        <f t="shared" si="289"/>
        <v>0.81498096076367366</v>
      </c>
      <c r="AQ121" s="2127">
        <f t="shared" si="290"/>
        <v>0.44225359602406955</v>
      </c>
      <c r="AR121" s="2127">
        <f t="shared" si="291"/>
        <v>0.45925529658188224</v>
      </c>
      <c r="AS121" s="2127">
        <f t="shared" si="292"/>
        <v>0.20187270338171862</v>
      </c>
      <c r="AT121" s="2127">
        <f t="shared" si="293"/>
        <v>-5.7775759687306256E-2</v>
      </c>
      <c r="AU121" s="2127">
        <f t="shared" si="294"/>
        <v>0.20836807251646156</v>
      </c>
      <c r="AV121" s="2127">
        <f t="shared" si="295"/>
        <v>9.9135886449161478E-2</v>
      </c>
      <c r="AW121" s="2127">
        <f t="shared" si="296"/>
        <v>0.18146320298584115</v>
      </c>
      <c r="AX121" s="2127">
        <f t="shared" si="297"/>
        <v>-0.45463275968714967</v>
      </c>
      <c r="AY121" s="2127" t="e">
        <f t="shared" si="298"/>
        <v>#DIV/0!</v>
      </c>
      <c r="AZ121" s="2127">
        <f t="shared" si="299"/>
        <v>-0.45463275968714967</v>
      </c>
      <c r="BA121" s="2127">
        <f t="shared" si="300"/>
        <v>0.16460103979860213</v>
      </c>
      <c r="BB121" s="2100">
        <f t="shared" si="301"/>
        <v>0.95463000178980406</v>
      </c>
      <c r="BC121" s="2100">
        <f t="shared" si="316"/>
        <v>1.5487916517715237</v>
      </c>
      <c r="BD121" s="2100">
        <f t="shared" si="302"/>
        <v>1.2646047446450983</v>
      </c>
      <c r="BE121" s="2100" t="e">
        <f t="shared" si="303"/>
        <v>#DIV/0!</v>
      </c>
      <c r="BF121" s="2100"/>
      <c r="BG121" s="2127">
        <f t="shared" si="304"/>
        <v>-8.0626765477978726E-3</v>
      </c>
      <c r="BH121" s="2127">
        <f t="shared" si="305"/>
        <v>0.68289080987450501</v>
      </c>
      <c r="BI121" s="2127">
        <f t="shared" si="306"/>
        <v>0.44225359602406955</v>
      </c>
      <c r="BJ121" s="2127">
        <f t="shared" si="317"/>
        <v>-0.11660190930829664</v>
      </c>
      <c r="BK121" s="2127">
        <f t="shared" si="307"/>
        <v>8.5606992785260114E-2</v>
      </c>
      <c r="BL121" s="2127">
        <f t="shared" si="308"/>
        <v>-0.13589103182532655</v>
      </c>
      <c r="BM121" s="2127">
        <f t="shared" si="309"/>
        <v>0.20836807251646156</v>
      </c>
      <c r="BN121" s="2127">
        <f t="shared" si="310"/>
        <v>7.1830609939010442E-2</v>
      </c>
      <c r="BO121" s="2127">
        <f t="shared" si="311"/>
        <v>8.2619251774001159E-2</v>
      </c>
      <c r="BP121" s="2127">
        <f t="shared" si="312"/>
        <v>-0.45463275968714967</v>
      </c>
      <c r="BQ121" s="2127" t="e">
        <f t="shared" si="313"/>
        <v>#DIV/0!</v>
      </c>
      <c r="BR121" s="2127">
        <f t="shared" si="314"/>
        <v>-0.45463275968714967</v>
      </c>
      <c r="BS121" s="2127">
        <f t="shared" si="315"/>
        <v>6.6756457328197544E-2</v>
      </c>
      <c r="BT121" s="1517" t="e">
        <f>#REF!*100</f>
        <v>#REF!</v>
      </c>
    </row>
    <row r="122" spans="2:72" ht="15.6">
      <c r="B122" s="2011" t="s">
        <v>884</v>
      </c>
      <c r="C122" s="2038">
        <f t="shared" si="273"/>
        <v>597.16843558999642</v>
      </c>
      <c r="D122" s="2038">
        <f t="shared" si="274"/>
        <v>1116.2013625099999</v>
      </c>
      <c r="E122" s="2039">
        <f t="shared" si="275"/>
        <v>130.00515383895984</v>
      </c>
      <c r="F122" s="2038">
        <f t="shared" si="276"/>
        <v>384.05211327999916</v>
      </c>
      <c r="G122" s="2038">
        <f t="shared" si="277"/>
        <v>481.30507196999997</v>
      </c>
      <c r="H122" s="2039">
        <f t="shared" si="278"/>
        <v>193.89918985282742</v>
      </c>
      <c r="I122" s="2038">
        <f t="shared" si="279"/>
        <v>1046.3280416500031</v>
      </c>
      <c r="J122" s="2038">
        <f t="shared" si="280"/>
        <v>4410.3631060200005</v>
      </c>
      <c r="K122" s="2039">
        <f t="shared" si="281"/>
        <v>57.650063726929275</v>
      </c>
      <c r="U122" s="2011" t="s">
        <v>884</v>
      </c>
      <c r="V122" s="2038">
        <f t="shared" si="282"/>
        <v>324.48183836999846</v>
      </c>
      <c r="W122" s="2038">
        <f t="shared" si="283"/>
        <v>897.41008328999987</v>
      </c>
      <c r="X122" s="2039">
        <f t="shared" si="284"/>
        <v>87.862938239829631</v>
      </c>
      <c r="Y122" s="2038">
        <f t="shared" si="285"/>
        <v>384.05211327999916</v>
      </c>
      <c r="Z122" s="2038">
        <f t="shared" si="286"/>
        <v>481.30507196999997</v>
      </c>
      <c r="AA122" s="2039">
        <f t="shared" si="287"/>
        <v>193.89918985282742</v>
      </c>
      <c r="AN122" s="1990" t="s">
        <v>883</v>
      </c>
      <c r="AO122" s="2127">
        <f t="shared" si="288"/>
        <v>0.13871684774676993</v>
      </c>
      <c r="AP122" s="2127">
        <f t="shared" si="289"/>
        <v>-2.5671584941810877E-2</v>
      </c>
      <c r="AQ122" s="2127">
        <f t="shared" si="290"/>
        <v>0.31936550015112974</v>
      </c>
      <c r="AR122" s="2127">
        <f t="shared" si="291"/>
        <v>-1.1601573189238566E-2</v>
      </c>
      <c r="AS122" s="2127">
        <f t="shared" si="292"/>
        <v>0.1228058808048326</v>
      </c>
      <c r="AT122" s="2127">
        <f t="shared" si="293"/>
        <v>0.56696561649270605</v>
      </c>
      <c r="AU122" s="2127">
        <f t="shared" si="294"/>
        <v>-0.11481673657070723</v>
      </c>
      <c r="AV122" s="2127">
        <f t="shared" si="295"/>
        <v>0.31800874247348371</v>
      </c>
      <c r="AW122" s="2127">
        <f t="shared" si="296"/>
        <v>0.1911678666838014</v>
      </c>
      <c r="AX122" s="2127">
        <f t="shared" si="297"/>
        <v>-0.61113172775803892</v>
      </c>
      <c r="AY122" s="2127">
        <f t="shared" si="298"/>
        <v>-6.2739982824891363E-2</v>
      </c>
      <c r="AZ122" s="2127">
        <f t="shared" si="299"/>
        <v>-0.59560342593602922</v>
      </c>
      <c r="BA122" s="2127">
        <f t="shared" si="300"/>
        <v>0.11616778151118461</v>
      </c>
      <c r="BB122" s="2100">
        <f t="shared" si="301"/>
        <v>9.9307588683312176</v>
      </c>
      <c r="BC122" s="2100" t="e">
        <f t="shared" si="316"/>
        <v>#DIV/0!</v>
      </c>
      <c r="BD122" s="2100">
        <f t="shared" si="302"/>
        <v>1.0626646595208593</v>
      </c>
      <c r="BE122" s="2100" t="e">
        <f t="shared" si="303"/>
        <v>#DIV/0!</v>
      </c>
      <c r="BF122" s="2100"/>
      <c r="BG122" s="2127">
        <f t="shared" si="304"/>
        <v>0.13871684774676993</v>
      </c>
      <c r="BH122" s="2127">
        <f t="shared" si="305"/>
        <v>-8.7310250133268819E-2</v>
      </c>
      <c r="BI122" s="2127">
        <f t="shared" si="306"/>
        <v>0.31936550015112974</v>
      </c>
      <c r="BJ122" s="2127">
        <f t="shared" si="317"/>
        <v>-1.1601573189238566E-2</v>
      </c>
      <c r="BK122" s="2127">
        <f t="shared" si="307"/>
        <v>0.11720491054549552</v>
      </c>
      <c r="BL122" s="2127">
        <f t="shared" si="308"/>
        <v>-0.12920663569664653</v>
      </c>
      <c r="BM122" s="2127">
        <f t="shared" si="309"/>
        <v>-0.11481673657070723</v>
      </c>
      <c r="BN122" s="2127">
        <f t="shared" si="310"/>
        <v>-0.12085529778058217</v>
      </c>
      <c r="BO122" s="2127">
        <f t="shared" si="311"/>
        <v>5.6894472310415244E-2</v>
      </c>
      <c r="BP122" s="2127">
        <f t="shared" si="312"/>
        <v>-0.61113172775803892</v>
      </c>
      <c r="BQ122" s="2127">
        <f t="shared" si="313"/>
        <v>-6.2739982824891363E-2</v>
      </c>
      <c r="BR122" s="2127">
        <f t="shared" si="314"/>
        <v>-0.59560342593602922</v>
      </c>
      <c r="BS122" s="2127">
        <f t="shared" si="315"/>
        <v>-1.3612878526449306E-2</v>
      </c>
      <c r="BT122" s="1517" t="e">
        <f>#REF!*100</f>
        <v>#REF!</v>
      </c>
    </row>
    <row r="123" spans="2:72" ht="15.6">
      <c r="B123" s="2011" t="s">
        <v>885</v>
      </c>
      <c r="C123" s="2038">
        <f t="shared" si="273"/>
        <v>199.91533082000001</v>
      </c>
      <c r="D123" s="2038">
        <f t="shared" si="274"/>
        <v>231.13366445</v>
      </c>
      <c r="E123" s="2039">
        <f t="shared" si="275"/>
        <v>210.17892614153985</v>
      </c>
      <c r="F123" s="2038">
        <f t="shared" si="276"/>
        <v>97.464058169999802</v>
      </c>
      <c r="G123" s="2038">
        <f t="shared" si="277"/>
        <v>204.72784991999998</v>
      </c>
      <c r="H123" s="2039">
        <f t="shared" si="278"/>
        <v>115.68414431434066</v>
      </c>
      <c r="I123" s="2038">
        <f t="shared" si="279"/>
        <v>279.89151785999996</v>
      </c>
      <c r="J123" s="2038">
        <f t="shared" si="280"/>
        <v>1020.9336183800001</v>
      </c>
      <c r="K123" s="2039">
        <f t="shared" si="281"/>
        <v>66.619060843449205</v>
      </c>
      <c r="U123" s="2011" t="s">
        <v>885</v>
      </c>
      <c r="V123" s="2038">
        <f t="shared" si="282"/>
        <v>73.528525470000034</v>
      </c>
      <c r="W123" s="2038">
        <f t="shared" si="283"/>
        <v>134.14391975000001</v>
      </c>
      <c r="X123" s="2039">
        <f t="shared" si="284"/>
        <v>133.19598624006963</v>
      </c>
      <c r="Y123" s="2038">
        <f t="shared" si="285"/>
        <v>97.464058169999802</v>
      </c>
      <c r="Z123" s="2038">
        <f t="shared" si="286"/>
        <v>204.72784991999998</v>
      </c>
      <c r="AA123" s="2039">
        <f t="shared" si="287"/>
        <v>115.68414431434066</v>
      </c>
      <c r="AN123" s="1990" t="s">
        <v>884</v>
      </c>
      <c r="AO123" s="2127">
        <f t="shared" si="288"/>
        <v>1.3828534528536371E-2</v>
      </c>
      <c r="AP123" s="2127">
        <f t="shared" si="289"/>
        <v>-0.29473626785102303</v>
      </c>
      <c r="AQ123" s="2127">
        <f t="shared" si="290"/>
        <v>-0.37019813533800505</v>
      </c>
      <c r="AR123" s="2127">
        <f t="shared" si="291"/>
        <v>-4.5125529719631997E-2</v>
      </c>
      <c r="AS123" s="2127">
        <f t="shared" si="292"/>
        <v>-1.005215407470385E-2</v>
      </c>
      <c r="AT123" s="2127">
        <f t="shared" si="293"/>
        <v>0.54615602241170325</v>
      </c>
      <c r="AU123" s="2127">
        <f t="shared" si="294"/>
        <v>-0.10030496909684387</v>
      </c>
      <c r="AV123" s="2127">
        <f t="shared" si="295"/>
        <v>0.27547382030884499</v>
      </c>
      <c r="AW123" s="2127">
        <f t="shared" si="296"/>
        <v>0.12041732958478386</v>
      </c>
      <c r="AX123" s="2127">
        <f t="shared" si="297"/>
        <v>-0.9498346135643666</v>
      </c>
      <c r="AY123" s="2127">
        <f t="shared" si="298"/>
        <v>-0.96316348071038593</v>
      </c>
      <c r="AZ123" s="2127">
        <f t="shared" si="299"/>
        <v>-0.95021840807036717</v>
      </c>
      <c r="BA123" s="2127">
        <f t="shared" si="300"/>
        <v>4.481510659186351E-2</v>
      </c>
      <c r="BB123" s="2100">
        <f t="shared" si="301"/>
        <v>0.25818634754785225</v>
      </c>
      <c r="BC123" s="2100" t="e">
        <f t="shared" si="316"/>
        <v>#DIV/0!</v>
      </c>
      <c r="BD123" s="2100">
        <f t="shared" si="302"/>
        <v>1.1129107793754363</v>
      </c>
      <c r="BE123" s="2100" t="e">
        <f t="shared" si="303"/>
        <v>#DIV/0!</v>
      </c>
      <c r="BF123" s="2100"/>
      <c r="BG123" s="2127">
        <f t="shared" si="304"/>
        <v>1.3828534528536371E-2</v>
      </c>
      <c r="BH123" s="2127">
        <f t="shared" si="305"/>
        <v>-0.43604123581081317</v>
      </c>
      <c r="BI123" s="2127">
        <f t="shared" si="306"/>
        <v>-0.49459095289411392</v>
      </c>
      <c r="BJ123" s="2127">
        <f t="shared" si="317"/>
        <v>-4.5125529719631997E-2</v>
      </c>
      <c r="BK123" s="2127">
        <f t="shared" si="307"/>
        <v>-1.4326768883751355E-2</v>
      </c>
      <c r="BL123" s="2127">
        <f t="shared" si="308"/>
        <v>-3.4178660266328837E-4</v>
      </c>
      <c r="BM123" s="2127">
        <f t="shared" si="309"/>
        <v>-0.11137697071822412</v>
      </c>
      <c r="BN123" s="2127">
        <f t="shared" si="310"/>
        <v>-6.5397778691896349E-2</v>
      </c>
      <c r="BO123" s="2127">
        <f t="shared" si="311"/>
        <v>-3.3667634227652975E-2</v>
      </c>
      <c r="BP123" s="2127">
        <f t="shared" si="312"/>
        <v>-0.9498346135643666</v>
      </c>
      <c r="BQ123" s="2127">
        <f t="shared" si="313"/>
        <v>-0.96316348071038593</v>
      </c>
      <c r="BR123" s="2127">
        <f t="shared" si="314"/>
        <v>-0.95021840807036717</v>
      </c>
      <c r="BS123" s="2127">
        <f t="shared" si="315"/>
        <v>-0.10788857960437308</v>
      </c>
      <c r="BT123" s="1517" t="e">
        <f>#REF!*100</f>
        <v>#REF!</v>
      </c>
    </row>
    <row r="124" spans="2:72" ht="15.6">
      <c r="B124" s="2007" t="s">
        <v>933</v>
      </c>
      <c r="C124" s="2038">
        <f>D30+H30</f>
        <v>7031.3843128999961</v>
      </c>
      <c r="D124" s="2038">
        <f>D93+H93</f>
        <v>13975.769950999997</v>
      </c>
      <c r="E124" s="2039">
        <f>C124/D124*$A$98</f>
        <v>122.2563332127861</v>
      </c>
      <c r="F124" s="2038">
        <f>E30+I30</f>
        <v>2996.6123550365351</v>
      </c>
      <c r="G124" s="2038">
        <f>E93+I93</f>
        <v>4556.0883454199993</v>
      </c>
      <c r="H124" s="2039">
        <f t="shared" si="278"/>
        <v>159.82499615177056</v>
      </c>
      <c r="I124" s="2038">
        <f t="shared" si="279"/>
        <v>17489.334094258684</v>
      </c>
      <c r="J124" s="2038">
        <f t="shared" si="280"/>
        <v>49738.772028668303</v>
      </c>
      <c r="K124" s="2039">
        <f>I124/J124*$A$98</f>
        <v>85.444573952394919</v>
      </c>
      <c r="U124" s="2007" t="s">
        <v>933</v>
      </c>
      <c r="V124" s="2038">
        <f t="shared" si="282"/>
        <v>3969.0761273399976</v>
      </c>
      <c r="W124" s="2038">
        <f t="shared" si="283"/>
        <v>11995.276454909999</v>
      </c>
      <c r="X124" s="2039">
        <f t="shared" si="284"/>
        <v>80.405441472658069</v>
      </c>
      <c r="Y124" s="2038">
        <f t="shared" si="285"/>
        <v>2969.7192821465355</v>
      </c>
      <c r="Z124" s="2038">
        <f t="shared" si="286"/>
        <v>4556.0883454199993</v>
      </c>
      <c r="AA124" s="2039">
        <f t="shared" si="287"/>
        <v>158.39064804066794</v>
      </c>
      <c r="AN124" s="1990" t="s">
        <v>885</v>
      </c>
      <c r="AO124" s="2127">
        <f t="shared" si="288"/>
        <v>-2.8264856907851021E-2</v>
      </c>
      <c r="AP124" s="2127">
        <f t="shared" si="289"/>
        <v>-7.4828161900732409E-2</v>
      </c>
      <c r="AQ124" s="2127">
        <f t="shared" si="290"/>
        <v>-7.3214505563118523E-2</v>
      </c>
      <c r="AR124" s="2127" t="e">
        <f t="shared" si="291"/>
        <v>#DIV/0!</v>
      </c>
      <c r="AS124" s="2127">
        <f t="shared" si="292"/>
        <v>-3.0251158751567159E-2</v>
      </c>
      <c r="AT124" s="2127">
        <f t="shared" si="293"/>
        <v>0.60416732966961195</v>
      </c>
      <c r="AU124" s="2127">
        <f t="shared" si="294"/>
        <v>0.15296336585990064</v>
      </c>
      <c r="AV124" s="2127">
        <f t="shared" si="295"/>
        <v>0.4545137579345585</v>
      </c>
      <c r="AW124" s="2127">
        <f t="shared" si="296"/>
        <v>0.21446853202746691</v>
      </c>
      <c r="AX124" s="2127">
        <f t="shared" si="297"/>
        <v>-0.60584244315852065</v>
      </c>
      <c r="AY124" s="2127">
        <f t="shared" si="298"/>
        <v>-2.2476064488787025E-3</v>
      </c>
      <c r="AZ124" s="2127">
        <f t="shared" si="299"/>
        <v>-0.60063960883723044</v>
      </c>
      <c r="BA124" s="2127">
        <f t="shared" si="300"/>
        <v>0.10331635258748621</v>
      </c>
      <c r="BB124" s="2100" t="e">
        <f t="shared" si="301"/>
        <v>#DIV/0!</v>
      </c>
      <c r="BC124" s="2100" t="e">
        <f t="shared" si="316"/>
        <v>#DIV/0!</v>
      </c>
      <c r="BD124" s="2100">
        <f t="shared" si="302"/>
        <v>0.99229008789880002</v>
      </c>
      <c r="BE124" s="2100" t="e">
        <f t="shared" si="303"/>
        <v>#DIV/0!</v>
      </c>
      <c r="BF124" s="2100"/>
      <c r="BG124" s="2127">
        <f t="shared" si="304"/>
        <v>-2.8264856907851021E-2</v>
      </c>
      <c r="BH124" s="2127">
        <f t="shared" si="305"/>
        <v>-7.4828161900732409E-2</v>
      </c>
      <c r="BI124" s="2127">
        <f t="shared" si="306"/>
        <v>-7.3214505563118523E-2</v>
      </c>
      <c r="BJ124" s="2127" t="e">
        <f t="shared" si="317"/>
        <v>#DIV/0!</v>
      </c>
      <c r="BK124" s="2127">
        <f t="shared" si="307"/>
        <v>-3.0251158751567159E-2</v>
      </c>
      <c r="BL124" s="2127">
        <f t="shared" si="308"/>
        <v>-0.15855277610051971</v>
      </c>
      <c r="BM124" s="2127">
        <f t="shared" si="309"/>
        <v>0.15296336585990064</v>
      </c>
      <c r="BN124" s="2127">
        <f t="shared" si="310"/>
        <v>2.6922406826800728E-2</v>
      </c>
      <c r="BO124" s="2127">
        <f t="shared" si="311"/>
        <v>-9.5422595448755379E-3</v>
      </c>
      <c r="BP124" s="2127">
        <f t="shared" si="312"/>
        <v>-0.60584244315852065</v>
      </c>
      <c r="BQ124" s="2127">
        <f t="shared" si="313"/>
        <v>-2.2476064488787025E-3</v>
      </c>
      <c r="BR124" s="2127">
        <f t="shared" si="314"/>
        <v>-0.60063960883723044</v>
      </c>
      <c r="BS124" s="2127">
        <f t="shared" si="315"/>
        <v>-0.10943807212901074</v>
      </c>
      <c r="BT124" s="1517" t="e">
        <f>#REF!*100</f>
        <v>#REF!</v>
      </c>
    </row>
    <row r="125" spans="2:72" ht="15.6">
      <c r="AN125" s="1993" t="s">
        <v>933</v>
      </c>
      <c r="AO125" s="2128">
        <f t="shared" ref="AO125:BD125" si="318">(AO30-C30)/C30</f>
        <v>5.9234231863017919E-2</v>
      </c>
      <c r="AP125" s="2128">
        <f t="shared" si="318"/>
        <v>0.64506976799633253</v>
      </c>
      <c r="AQ125" s="2128">
        <f t="shared" si="318"/>
        <v>-1.3669704170955513E-2</v>
      </c>
      <c r="AR125" s="2128">
        <f t="shared" si="318"/>
        <v>-0.145471540436485</v>
      </c>
      <c r="AS125" s="2128">
        <f t="shared" si="318"/>
        <v>0.16335447245056825</v>
      </c>
      <c r="AT125" s="2128">
        <f t="shared" si="318"/>
        <v>0.16343638469996094</v>
      </c>
      <c r="AU125" s="2128">
        <f t="shared" si="318"/>
        <v>6.7316838757816022E-2</v>
      </c>
      <c r="AV125" s="2128">
        <f t="shared" si="318"/>
        <v>0.11939314059619342</v>
      </c>
      <c r="AW125" s="2128">
        <f t="shared" si="318"/>
        <v>0.15200617870454999</v>
      </c>
      <c r="AX125" s="2128">
        <f t="shared" si="318"/>
        <v>0.44317276087301033</v>
      </c>
      <c r="AY125" s="2128">
        <f t="shared" si="318"/>
        <v>-2.232578904158615E-2</v>
      </c>
      <c r="AZ125" s="2128">
        <f t="shared" si="318"/>
        <v>0.43149085968959316</v>
      </c>
      <c r="BA125" s="2128">
        <f>(BA30-O30)/O30</f>
        <v>0.1791163778190957</v>
      </c>
      <c r="BB125" s="2102">
        <f t="shared" si="318"/>
        <v>1.0082829964849715</v>
      </c>
      <c r="BC125" s="2102">
        <f t="shared" si="318"/>
        <v>-0.28836135345012237</v>
      </c>
      <c r="BD125" s="2102">
        <f t="shared" si="318"/>
        <v>0.87037431233473139</v>
      </c>
      <c r="BE125" s="2102"/>
      <c r="BF125" s="2102"/>
      <c r="BG125" s="2128">
        <f t="shared" si="304"/>
        <v>5.9234231863017919E-2</v>
      </c>
      <c r="BH125" s="2128">
        <f t="shared" si="305"/>
        <v>8.6887642186868931E-3</v>
      </c>
      <c r="BI125" s="2128">
        <f t="shared" si="306"/>
        <v>-2.962444855885496E-2</v>
      </c>
      <c r="BJ125" s="2128">
        <f t="shared" si="317"/>
        <v>5.2432678551335245E-2</v>
      </c>
      <c r="BK125" s="2128">
        <f t="shared" si="307"/>
        <v>5.4509662434176188E-2</v>
      </c>
      <c r="BL125" s="2128">
        <f t="shared" si="308"/>
        <v>-4.5220815968167731E-2</v>
      </c>
      <c r="BM125" s="2128">
        <f t="shared" si="309"/>
        <v>5.6878022091723636E-2</v>
      </c>
      <c r="BN125" s="2128">
        <f t="shared" si="310"/>
        <v>7.9934379681876715E-3</v>
      </c>
      <c r="BO125" s="2128">
        <f t="shared" si="311"/>
        <v>4.2237683683279036E-2</v>
      </c>
      <c r="BP125" s="2128">
        <f t="shared" si="312"/>
        <v>0.44317276087301033</v>
      </c>
      <c r="BQ125" s="2128">
        <f t="shared" si="313"/>
        <v>-2.232578904158615E-2</v>
      </c>
      <c r="BR125" s="2128">
        <f t="shared" si="314"/>
        <v>0.43149085968959316</v>
      </c>
      <c r="BS125" s="2128">
        <f t="shared" si="315"/>
        <v>8.5689618148880625E-2</v>
      </c>
    </row>
    <row r="126" spans="2:72">
      <c r="AX126" s="2000"/>
      <c r="AY126" s="2000"/>
      <c r="AZ126" s="2000"/>
      <c r="BA126" s="2000"/>
    </row>
    <row r="127" spans="2:72">
      <c r="B127" s="87"/>
      <c r="C127" s="87"/>
      <c r="D127" s="87"/>
      <c r="E127" s="87"/>
      <c r="F127" s="87"/>
      <c r="G127" s="87"/>
      <c r="H127" s="87"/>
      <c r="I127" s="87"/>
      <c r="J127" s="87"/>
      <c r="K127" s="87"/>
      <c r="L127" s="87"/>
    </row>
    <row r="129" spans="2:71" ht="21">
      <c r="AN129" s="1996" t="s">
        <v>1003</v>
      </c>
      <c r="BD129" s="2000">
        <f>AW127-BD128</f>
        <v>0</v>
      </c>
      <c r="BE129" s="2000"/>
      <c r="BF129" s="2000"/>
    </row>
    <row r="130" spans="2:71" ht="12.75" customHeight="1">
      <c r="B130" s="87"/>
      <c r="C130" s="87"/>
      <c r="D130" s="87"/>
      <c r="E130" s="87"/>
      <c r="F130" s="87"/>
      <c r="G130" s="87"/>
      <c r="H130" s="87"/>
      <c r="I130" s="87"/>
      <c r="J130" s="87"/>
      <c r="K130" s="87"/>
      <c r="L130" s="87"/>
      <c r="AO130" s="3294" t="s">
        <v>934</v>
      </c>
      <c r="AP130" s="3294"/>
      <c r="AQ130" s="3294"/>
      <c r="AR130" s="3294"/>
      <c r="AS130" s="3294"/>
      <c r="AT130" s="3294"/>
      <c r="AU130" s="3294"/>
      <c r="AV130" s="3294"/>
      <c r="AW130" s="3294"/>
      <c r="AX130" s="2094"/>
      <c r="AY130" s="2094"/>
      <c r="AZ130" s="2094"/>
      <c r="BA130" s="2094"/>
      <c r="BG130" s="3294" t="s">
        <v>924</v>
      </c>
      <c r="BH130" s="3294"/>
      <c r="BI130" s="3294"/>
      <c r="BJ130" s="3294"/>
      <c r="BK130" s="3294"/>
      <c r="BL130" s="3294"/>
      <c r="BM130" s="3294"/>
      <c r="BN130" s="3294"/>
      <c r="BO130" s="3294"/>
    </row>
    <row r="131" spans="2:71" ht="15" customHeight="1">
      <c r="AN131" s="3308" t="s">
        <v>308</v>
      </c>
      <c r="AO131" s="3290" t="s">
        <v>925</v>
      </c>
      <c r="AP131" s="3290"/>
      <c r="AQ131" s="3290"/>
      <c r="AR131" s="3290"/>
      <c r="AS131" s="3290"/>
      <c r="AT131" s="3290" t="s">
        <v>318</v>
      </c>
      <c r="AU131" s="3290"/>
      <c r="AV131" s="3290"/>
      <c r="AW131" s="3302" t="s">
        <v>926</v>
      </c>
      <c r="AX131" s="3295" t="s">
        <v>1001</v>
      </c>
      <c r="AY131" s="3296"/>
      <c r="AZ131" s="3297"/>
      <c r="BA131" s="3278" t="s">
        <v>714</v>
      </c>
      <c r="BB131" s="3291" t="s">
        <v>763</v>
      </c>
      <c r="BC131" s="3292"/>
      <c r="BD131" s="3292"/>
      <c r="BE131" s="3292"/>
      <c r="BF131" s="3293"/>
      <c r="BG131" s="3290" t="s">
        <v>925</v>
      </c>
      <c r="BH131" s="3290"/>
      <c r="BI131" s="3290"/>
      <c r="BJ131" s="3290"/>
      <c r="BK131" s="3290"/>
      <c r="BL131" s="3290" t="s">
        <v>318</v>
      </c>
      <c r="BM131" s="3290"/>
      <c r="BN131" s="3290"/>
      <c r="BO131" s="3302" t="s">
        <v>926</v>
      </c>
      <c r="BP131" s="3295" t="s">
        <v>1001</v>
      </c>
      <c r="BQ131" s="3296"/>
      <c r="BR131" s="3297"/>
      <c r="BS131" s="3278" t="s">
        <v>714</v>
      </c>
    </row>
    <row r="132" spans="2:71" ht="15" customHeight="1">
      <c r="AN132" s="3309"/>
      <c r="AO132" s="1988" t="s">
        <v>927</v>
      </c>
      <c r="AP132" s="1988" t="s">
        <v>928</v>
      </c>
      <c r="AQ132" s="1988" t="s">
        <v>185</v>
      </c>
      <c r="AR132" s="1988" t="s">
        <v>395</v>
      </c>
      <c r="AS132" s="1988" t="s">
        <v>929</v>
      </c>
      <c r="AT132" s="1988" t="s">
        <v>930</v>
      </c>
      <c r="AU132" s="1988" t="s">
        <v>18</v>
      </c>
      <c r="AV132" s="1988" t="s">
        <v>726</v>
      </c>
      <c r="AW132" s="3302"/>
      <c r="AX132" s="1988" t="s">
        <v>318</v>
      </c>
      <c r="AY132" s="1988" t="s">
        <v>766</v>
      </c>
      <c r="AZ132" s="1988" t="s">
        <v>511</v>
      </c>
      <c r="BA132" s="3279"/>
      <c r="BB132" s="1989" t="s">
        <v>931</v>
      </c>
      <c r="BC132" s="1989" t="s">
        <v>792</v>
      </c>
      <c r="BD132" s="1989" t="s">
        <v>932</v>
      </c>
      <c r="BE132" s="1989" t="s">
        <v>185</v>
      </c>
      <c r="BF132" s="1989" t="s">
        <v>18</v>
      </c>
      <c r="BG132" s="1988" t="s">
        <v>927</v>
      </c>
      <c r="BH132" s="1988" t="s">
        <v>928</v>
      </c>
      <c r="BI132" s="1988" t="s">
        <v>185</v>
      </c>
      <c r="BJ132" s="1988" t="s">
        <v>395</v>
      </c>
      <c r="BK132" s="1988" t="s">
        <v>929</v>
      </c>
      <c r="BL132" s="1988" t="s">
        <v>930</v>
      </c>
      <c r="BM132" s="1988" t="s">
        <v>18</v>
      </c>
      <c r="BN132" s="1988" t="s">
        <v>726</v>
      </c>
      <c r="BO132" s="3302"/>
      <c r="BP132" s="1988" t="s">
        <v>318</v>
      </c>
      <c r="BQ132" s="1988" t="s">
        <v>766</v>
      </c>
      <c r="BR132" s="1988" t="s">
        <v>511</v>
      </c>
      <c r="BS132" s="3279"/>
    </row>
    <row r="133" spans="2:71" ht="15.6">
      <c r="B133" s="87"/>
      <c r="C133" s="87"/>
      <c r="D133" s="87"/>
      <c r="E133" s="87"/>
      <c r="F133" s="87"/>
      <c r="G133" s="87"/>
      <c r="H133" s="87"/>
      <c r="I133" s="87"/>
      <c r="J133" s="87"/>
      <c r="K133" s="87"/>
      <c r="L133" s="87"/>
      <c r="AN133" s="1990" t="s">
        <v>6</v>
      </c>
      <c r="AO133" s="2099">
        <f>(AO20-AO4)/AO4</f>
        <v>0.72169610621349745</v>
      </c>
      <c r="AP133" s="2099">
        <f t="shared" ref="AP133:BS133" si="319">(AP20-AP4)/AP4</f>
        <v>0.42816476204427689</v>
      </c>
      <c r="AQ133" s="2099">
        <f t="shared" si="319"/>
        <v>3.9945548021426149</v>
      </c>
      <c r="AR133" s="2099">
        <f t="shared" si="319"/>
        <v>1.1437733326238104</v>
      </c>
      <c r="AS133" s="2099">
        <f t="shared" si="319"/>
        <v>0.60073118324612385</v>
      </c>
      <c r="AT133" s="2099">
        <f t="shared" si="319"/>
        <v>7.4606450571545718E-2</v>
      </c>
      <c r="AU133" s="2099">
        <f t="shared" si="319"/>
        <v>0.49417534674464114</v>
      </c>
      <c r="AV133" s="2099">
        <f t="shared" si="319"/>
        <v>0.24601671769466377</v>
      </c>
      <c r="AW133" s="2099">
        <f t="shared" si="319"/>
        <v>0.49072422322374398</v>
      </c>
      <c r="AX133" s="2099">
        <f t="shared" si="319"/>
        <v>0.72515480519955611</v>
      </c>
      <c r="AY133" s="2099">
        <f t="shared" si="319"/>
        <v>0</v>
      </c>
      <c r="AZ133" s="2099">
        <f t="shared" si="319"/>
        <v>0.62385021305143173</v>
      </c>
      <c r="BA133" s="2099">
        <f t="shared" si="319"/>
        <v>0.50061703306329819</v>
      </c>
      <c r="BB133" s="2100">
        <f t="shared" si="319"/>
        <v>0.55462452141259155</v>
      </c>
      <c r="BC133" s="2100">
        <f t="shared" si="319"/>
        <v>0.95522826101141933</v>
      </c>
      <c r="BD133" s="2100">
        <f t="shared" si="319"/>
        <v>-0.10952185710665607</v>
      </c>
      <c r="BE133" s="2100" t="e">
        <f t="shared" si="319"/>
        <v>#DIV/0!</v>
      </c>
      <c r="BF133" s="2100"/>
      <c r="BG133" s="2099">
        <f t="shared" si="319"/>
        <v>0.72169610621349745</v>
      </c>
      <c r="BH133" s="2099">
        <f t="shared" si="319"/>
        <v>6.988937834375733E-2</v>
      </c>
      <c r="BI133" s="2099">
        <f t="shared" si="319"/>
        <v>3.9945548021426149</v>
      </c>
      <c r="BJ133" s="2099">
        <f t="shared" si="319"/>
        <v>1.3516971859053855</v>
      </c>
      <c r="BK133" s="2099">
        <f t="shared" si="319"/>
        <v>0.6184381346440857</v>
      </c>
      <c r="BL133" s="2099">
        <f t="shared" si="319"/>
        <v>7.7384012514302214E-2</v>
      </c>
      <c r="BM133" s="2099">
        <f t="shared" si="319"/>
        <v>0.46747751366794493</v>
      </c>
      <c r="BN133" s="2099">
        <f t="shared" si="319"/>
        <v>0.2317135898846511</v>
      </c>
      <c r="BO133" s="2099">
        <f t="shared" si="319"/>
        <v>0.46631818180372892</v>
      </c>
      <c r="BP133" s="2099">
        <f t="shared" si="319"/>
        <v>0.72515480519955611</v>
      </c>
      <c r="BQ133" s="2099">
        <f t="shared" si="319"/>
        <v>0</v>
      </c>
      <c r="BR133" s="2099">
        <f t="shared" si="319"/>
        <v>0.62385021305143173</v>
      </c>
      <c r="BS133" s="2099">
        <f t="shared" si="319"/>
        <v>0.48136641738371094</v>
      </c>
    </row>
    <row r="134" spans="2:71" ht="15.6">
      <c r="AN134" s="1990" t="s">
        <v>7</v>
      </c>
      <c r="AO134" s="2099">
        <f t="shared" ref="AO134:BS134" si="320">(AO21-AO5)/AO5</f>
        <v>1.980737643108222</v>
      </c>
      <c r="AP134" s="2099">
        <f t="shared" si="320"/>
        <v>0.6487077097220475</v>
      </c>
      <c r="AQ134" s="2099">
        <f t="shared" si="320"/>
        <v>12.442670290470486</v>
      </c>
      <c r="AR134" s="2099">
        <f t="shared" si="320"/>
        <v>0.88239280590281477</v>
      </c>
      <c r="AS134" s="2099">
        <f t="shared" si="320"/>
        <v>1.2639133719360447</v>
      </c>
      <c r="AT134" s="2099">
        <f t="shared" si="320"/>
        <v>1.2197762033288351</v>
      </c>
      <c r="AU134" s="2099">
        <f t="shared" si="320"/>
        <v>0.11979119260846845</v>
      </c>
      <c r="AV134" s="2099">
        <f t="shared" si="320"/>
        <v>0.6653491224823862</v>
      </c>
      <c r="AW134" s="2099">
        <f t="shared" si="320"/>
        <v>1.2145443558656051</v>
      </c>
      <c r="AX134" s="2099">
        <f t="shared" si="320"/>
        <v>0.21788247767536206</v>
      </c>
      <c r="AY134" s="2099" t="e">
        <f t="shared" si="320"/>
        <v>#DIV/0!</v>
      </c>
      <c r="AZ134" s="2099">
        <f t="shared" si="320"/>
        <v>0.21788247767536206</v>
      </c>
      <c r="BA134" s="2099">
        <f t="shared" si="320"/>
        <v>1.0929723129017592</v>
      </c>
      <c r="BB134" s="2100">
        <f t="shared" si="320"/>
        <v>0.64579097328870949</v>
      </c>
      <c r="BC134" s="2100">
        <f t="shared" si="320"/>
        <v>0.96671868072185019</v>
      </c>
      <c r="BD134" s="2100" t="e">
        <f t="shared" si="320"/>
        <v>#DIV/0!</v>
      </c>
      <c r="BE134" s="2100" t="e">
        <f t="shared" si="320"/>
        <v>#DIV/0!</v>
      </c>
      <c r="BF134" s="2100"/>
      <c r="BG134" s="2099">
        <f t="shared" si="320"/>
        <v>1.980737643108222</v>
      </c>
      <c r="BH134" s="2099">
        <f t="shared" si="320"/>
        <v>0.70181796219121784</v>
      </c>
      <c r="BI134" s="2099">
        <f t="shared" si="320"/>
        <v>12.442670290470486</v>
      </c>
      <c r="BJ134" s="2099">
        <f t="shared" si="320"/>
        <v>0.1162962780896456</v>
      </c>
      <c r="BK134" s="2099">
        <f t="shared" si="320"/>
        <v>1.8649131315871441</v>
      </c>
      <c r="BL134" s="2099">
        <f t="shared" si="320"/>
        <v>1.2197762033288351</v>
      </c>
      <c r="BM134" s="2099">
        <f t="shared" si="320"/>
        <v>0.11979119260846845</v>
      </c>
      <c r="BN134" s="2099">
        <f t="shared" si="320"/>
        <v>0.6653491224823862</v>
      </c>
      <c r="BO134" s="2099">
        <f t="shared" si="320"/>
        <v>1.6708996737757082</v>
      </c>
      <c r="BP134" s="2099">
        <f t="shared" si="320"/>
        <v>0.21788247767536206</v>
      </c>
      <c r="BQ134" s="2099" t="e">
        <f t="shared" si="320"/>
        <v>#DIV/0!</v>
      </c>
      <c r="BR134" s="2099">
        <f t="shared" si="320"/>
        <v>0.21788247767536206</v>
      </c>
      <c r="BS134" s="2099">
        <f t="shared" si="320"/>
        <v>1.3598107027180426</v>
      </c>
    </row>
    <row r="135" spans="2:71" ht="15.6">
      <c r="AN135" s="1990" t="s">
        <v>8</v>
      </c>
      <c r="AO135" s="2099">
        <f t="shared" ref="AO135:BS135" si="321">(AO22-AO6)/AO6</f>
        <v>1.0817142508451147</v>
      </c>
      <c r="AP135" s="2099">
        <f t="shared" si="321"/>
        <v>1.0756949601386663</v>
      </c>
      <c r="AQ135" s="2099">
        <f t="shared" si="321"/>
        <v>2.4943014153901935</v>
      </c>
      <c r="AR135" s="2099">
        <f t="shared" si="321"/>
        <v>0.27974202661421799</v>
      </c>
      <c r="AS135" s="2099">
        <f t="shared" si="321"/>
        <v>1.0696053593813837</v>
      </c>
      <c r="AT135" s="2099">
        <f t="shared" si="321"/>
        <v>3.4886650994841819</v>
      </c>
      <c r="AU135" s="2099">
        <f t="shared" si="321"/>
        <v>3.9249425495156158</v>
      </c>
      <c r="AV135" s="2099">
        <f t="shared" si="321"/>
        <v>3.7402153484354357</v>
      </c>
      <c r="AW135" s="2099">
        <f t="shared" si="321"/>
        <v>1.4561417836805319</v>
      </c>
      <c r="AX135" s="2099">
        <f t="shared" si="321"/>
        <v>1.2898227396057917</v>
      </c>
      <c r="AY135" s="2099">
        <f t="shared" si="321"/>
        <v>-4.7569776815636412E-4</v>
      </c>
      <c r="AZ135" s="2099">
        <f t="shared" si="321"/>
        <v>1.2612032696692324</v>
      </c>
      <c r="BA135" s="2099">
        <f t="shared" si="321"/>
        <v>1.3861024601454688</v>
      </c>
      <c r="BB135" s="2100">
        <f t="shared" si="321"/>
        <v>1.1041539835800083</v>
      </c>
      <c r="BC135" s="2100" t="e">
        <f t="shared" si="321"/>
        <v>#DIV/0!</v>
      </c>
      <c r="BD135" s="2100" t="e">
        <f t="shared" si="321"/>
        <v>#DIV/0!</v>
      </c>
      <c r="BE135" s="2100">
        <f t="shared" si="321"/>
        <v>1.7802819801056884</v>
      </c>
      <c r="BF135" s="2100"/>
      <c r="BG135" s="2099">
        <f t="shared" si="321"/>
        <v>1.0817142508451147</v>
      </c>
      <c r="BH135" s="2099">
        <f t="shared" si="321"/>
        <v>0.60615226406614098</v>
      </c>
      <c r="BI135" s="2099">
        <f>(BI22-BI6)/BI6</f>
        <v>0.19055475905409594</v>
      </c>
      <c r="BJ135" s="2099">
        <f t="shared" si="321"/>
        <v>0.27974202661421799</v>
      </c>
      <c r="BK135" s="2099">
        <f t="shared" si="321"/>
        <v>1.0136684656513522</v>
      </c>
      <c r="BL135" s="2099">
        <f t="shared" si="321"/>
        <v>1.5756499468870875</v>
      </c>
      <c r="BM135" s="2099">
        <f t="shared" si="321"/>
        <v>4.5419401026182831</v>
      </c>
      <c r="BN135" s="2099">
        <f t="shared" si="321"/>
        <v>3.1998083674624183</v>
      </c>
      <c r="BO135" s="2099">
        <f t="shared" si="321"/>
        <v>1.4886919059339376</v>
      </c>
      <c r="BP135" s="2099">
        <f t="shared" si="321"/>
        <v>1.2898227396057917</v>
      </c>
      <c r="BQ135" s="2099">
        <f t="shared" si="321"/>
        <v>-4.7569776815636412E-4</v>
      </c>
      <c r="BR135" s="2099">
        <f t="shared" si="321"/>
        <v>1.2612032696692324</v>
      </c>
      <c r="BS135" s="2099">
        <f t="shared" si="321"/>
        <v>1.380958893779247</v>
      </c>
    </row>
    <row r="136" spans="2:71" ht="15.6">
      <c r="B136" s="87"/>
      <c r="C136" s="87"/>
      <c r="D136" s="87"/>
      <c r="E136" s="87"/>
      <c r="F136" s="87"/>
      <c r="G136" s="87"/>
      <c r="H136" s="87"/>
      <c r="I136" s="87"/>
      <c r="J136" s="87"/>
      <c r="K136" s="87"/>
      <c r="L136" s="87"/>
      <c r="AN136" s="1990" t="s">
        <v>4</v>
      </c>
      <c r="AO136" s="2099">
        <f t="shared" ref="AO136:BS136" si="322">(AO23-AO7)/AO7</f>
        <v>0.71794938320072466</v>
      </c>
      <c r="AP136" s="2099">
        <f t="shared" si="322"/>
        <v>0.73541884613364839</v>
      </c>
      <c r="AQ136" s="2099">
        <f t="shared" si="322"/>
        <v>0.39480539397839959</v>
      </c>
      <c r="AR136" s="2099" t="e">
        <f t="shared" si="322"/>
        <v>#DIV/0!</v>
      </c>
      <c r="AS136" s="2099">
        <f t="shared" si="322"/>
        <v>0.73785289366133067</v>
      </c>
      <c r="AT136" s="2099">
        <f t="shared" si="322"/>
        <v>0.18907876539488402</v>
      </c>
      <c r="AU136" s="2099">
        <f t="shared" si="322"/>
        <v>0.44558502561603874</v>
      </c>
      <c r="AV136" s="2099">
        <f t="shared" si="322"/>
        <v>0.32078053216807773</v>
      </c>
      <c r="AW136" s="2099">
        <f t="shared" si="322"/>
        <v>0.64540419862453247</v>
      </c>
      <c r="AX136" s="2099">
        <f t="shared" si="322"/>
        <v>-0.88441267367364573</v>
      </c>
      <c r="AY136" s="2099" t="e">
        <f t="shared" si="322"/>
        <v>#DIV/0!</v>
      </c>
      <c r="AZ136" s="2099">
        <f t="shared" si="322"/>
        <v>-0.88441267367364573</v>
      </c>
      <c r="BA136" s="2099">
        <f t="shared" si="322"/>
        <v>0.56678922767821538</v>
      </c>
      <c r="BB136" s="2100">
        <f t="shared" si="322"/>
        <v>0.74376323442133208</v>
      </c>
      <c r="BC136" s="2100" t="e">
        <f t="shared" si="322"/>
        <v>#DIV/0!</v>
      </c>
      <c r="BD136" s="2100" t="e">
        <f t="shared" si="322"/>
        <v>#DIV/0!</v>
      </c>
      <c r="BE136" s="2100" t="e">
        <f t="shared" si="322"/>
        <v>#DIV/0!</v>
      </c>
      <c r="BF136" s="2100"/>
      <c r="BG136" s="2099">
        <f t="shared" si="322"/>
        <v>0.71794938320072466</v>
      </c>
      <c r="BH136" s="2099">
        <f t="shared" si="322"/>
        <v>0.5159463891210998</v>
      </c>
      <c r="BI136" s="2099">
        <f t="shared" si="322"/>
        <v>0.39480539397839959</v>
      </c>
      <c r="BJ136" s="2099" t="e">
        <f t="shared" si="322"/>
        <v>#DIV/0!</v>
      </c>
      <c r="BK136" s="2099">
        <f t="shared" si="322"/>
        <v>0.73360844157237248</v>
      </c>
      <c r="BL136" s="2099">
        <f t="shared" si="322"/>
        <v>0.18907876539488402</v>
      </c>
      <c r="BM136" s="2099">
        <f t="shared" si="322"/>
        <v>0.44558502561603874</v>
      </c>
      <c r="BN136" s="2099">
        <f t="shared" si="322"/>
        <v>0.32078053216807773</v>
      </c>
      <c r="BO136" s="2099">
        <f t="shared" si="322"/>
        <v>0.59797564353336852</v>
      </c>
      <c r="BP136" s="2099">
        <f t="shared" si="322"/>
        <v>-0.88441267367364573</v>
      </c>
      <c r="BQ136" s="2099" t="e">
        <f t="shared" si="322"/>
        <v>#DIV/0!</v>
      </c>
      <c r="BR136" s="2099">
        <f t="shared" si="322"/>
        <v>-0.88441267367364573</v>
      </c>
      <c r="BS136" s="2099">
        <f t="shared" si="322"/>
        <v>0.48779540975427982</v>
      </c>
    </row>
    <row r="137" spans="2:71" ht="15.6">
      <c r="AN137" s="1990" t="s">
        <v>3</v>
      </c>
      <c r="AO137" s="2099">
        <f t="shared" ref="AO137:BS137" si="323">(AO24-AO8)/AO8</f>
        <v>0.5475095900177287</v>
      </c>
      <c r="AP137" s="2099">
        <f t="shared" si="323"/>
        <v>0.59491917240014414</v>
      </c>
      <c r="AQ137" s="2099">
        <f t="shared" si="323"/>
        <v>0.64075319241732775</v>
      </c>
      <c r="AR137" s="2099">
        <f t="shared" si="323"/>
        <v>0.23199784698426973</v>
      </c>
      <c r="AS137" s="2099">
        <f t="shared" si="323"/>
        <v>0.55352995524763904</v>
      </c>
      <c r="AT137" s="2099">
        <f t="shared" si="323"/>
        <v>0.58188515244924843</v>
      </c>
      <c r="AU137" s="2099">
        <f t="shared" si="323"/>
        <v>0.80427286047095548</v>
      </c>
      <c r="AV137" s="2099">
        <f t="shared" si="323"/>
        <v>0.69662058130687865</v>
      </c>
      <c r="AW137" s="2099">
        <f t="shared" si="323"/>
        <v>0.58415160170018454</v>
      </c>
      <c r="AX137" s="2099">
        <f t="shared" si="323"/>
        <v>1.2912089683620545E-2</v>
      </c>
      <c r="AY137" s="2099">
        <f t="shared" si="323"/>
        <v>0.5402014538394645</v>
      </c>
      <c r="AZ137" s="2099">
        <f t="shared" si="323"/>
        <v>1.4493511394879878E-2</v>
      </c>
      <c r="BA137" s="2099">
        <f t="shared" si="323"/>
        <v>0.34055748384840567</v>
      </c>
      <c r="BB137" s="2100">
        <f t="shared" si="323"/>
        <v>0.5826244565666796</v>
      </c>
      <c r="BC137" s="2100" t="e">
        <f t="shared" si="323"/>
        <v>#DIV/0!</v>
      </c>
      <c r="BD137" s="2100" t="e">
        <f t="shared" si="323"/>
        <v>#DIV/0!</v>
      </c>
      <c r="BE137" s="2100">
        <f t="shared" si="323"/>
        <v>-1</v>
      </c>
      <c r="BF137" s="2100"/>
      <c r="BG137" s="2099">
        <f t="shared" si="323"/>
        <v>0.5475095900177287</v>
      </c>
      <c r="BH137" s="2099">
        <f t="shared" si="323"/>
        <v>0.62730091676634447</v>
      </c>
      <c r="BI137" s="2099">
        <f t="shared" si="323"/>
        <v>0.64075319241732775</v>
      </c>
      <c r="BJ137" s="2099">
        <f t="shared" si="323"/>
        <v>0.23199784698426973</v>
      </c>
      <c r="BK137" s="2099">
        <f t="shared" si="323"/>
        <v>0.54964790676229935</v>
      </c>
      <c r="BL137" s="2099">
        <f t="shared" si="323"/>
        <v>0.58188515244924843</v>
      </c>
      <c r="BM137" s="2099">
        <f t="shared" si="323"/>
        <v>0.80354310506476223</v>
      </c>
      <c r="BN137" s="2099">
        <f t="shared" si="323"/>
        <v>0.69577424219886264</v>
      </c>
      <c r="BO137" s="2099">
        <f t="shared" si="323"/>
        <v>0.58399280517407837</v>
      </c>
      <c r="BP137" s="2099">
        <f t="shared" si="323"/>
        <v>1.2912089683620545E-2</v>
      </c>
      <c r="BQ137" s="2099">
        <f t="shared" si="323"/>
        <v>0.5402014538394645</v>
      </c>
      <c r="BR137" s="2099">
        <f t="shared" si="323"/>
        <v>1.4493511394879878E-2</v>
      </c>
      <c r="BS137" s="2099">
        <f t="shared" si="323"/>
        <v>0.32670253774576807</v>
      </c>
    </row>
    <row r="138" spans="2:71" ht="15.6">
      <c r="AN138" s="1990" t="s">
        <v>397</v>
      </c>
      <c r="AO138" s="2099">
        <f t="shared" ref="AO138:BS138" si="324">(AO25-AO9)/AO9</f>
        <v>0.30845187942886387</v>
      </c>
      <c r="AP138" s="2099">
        <f t="shared" si="324"/>
        <v>0.76123586173073732</v>
      </c>
      <c r="AQ138" s="2099">
        <f t="shared" si="324"/>
        <v>7.4955346222705069E-2</v>
      </c>
      <c r="AR138" s="2099">
        <f t="shared" si="324"/>
        <v>6.6208808125788318E-2</v>
      </c>
      <c r="AS138" s="2099">
        <f t="shared" si="324"/>
        <v>0.3548636404913143</v>
      </c>
      <c r="AT138" s="2099">
        <f t="shared" si="324"/>
        <v>-2.7689134444545078E-2</v>
      </c>
      <c r="AU138" s="2099">
        <f t="shared" si="324"/>
        <v>-4.1149725865999534E-2</v>
      </c>
      <c r="AV138" s="2099">
        <f t="shared" si="324"/>
        <v>-3.2941981842826949E-2</v>
      </c>
      <c r="AW138" s="2099">
        <f t="shared" si="324"/>
        <v>0.26427366842902394</v>
      </c>
      <c r="AX138" s="2099">
        <f t="shared" si="324"/>
        <v>0</v>
      </c>
      <c r="AY138" s="2099">
        <f t="shared" si="324"/>
        <v>0</v>
      </c>
      <c r="AZ138" s="2099">
        <f t="shared" si="324"/>
        <v>0</v>
      </c>
      <c r="BA138" s="2099">
        <f t="shared" si="324"/>
        <v>0.24864694259460648</v>
      </c>
      <c r="BB138" s="2100">
        <f t="shared" si="324"/>
        <v>0.93743911249978795</v>
      </c>
      <c r="BC138" s="2100" t="e">
        <f t="shared" si="324"/>
        <v>#DIV/0!</v>
      </c>
      <c r="BD138" s="2100">
        <f t="shared" si="324"/>
        <v>-0.48493250503832802</v>
      </c>
      <c r="BE138" s="2100" t="e">
        <f t="shared" si="324"/>
        <v>#DIV/0!</v>
      </c>
      <c r="BF138" s="2100"/>
      <c r="BG138" s="2099">
        <f t="shared" si="324"/>
        <v>0.30845187942886387</v>
      </c>
      <c r="BH138" s="2099">
        <f t="shared" si="324"/>
        <v>0.43159542982742638</v>
      </c>
      <c r="BI138" s="2099">
        <f t="shared" si="324"/>
        <v>7.4955346222705069E-2</v>
      </c>
      <c r="BJ138" s="2099">
        <f t="shared" si="324"/>
        <v>6.6208808125788318E-2</v>
      </c>
      <c r="BK138" s="2099">
        <f t="shared" si="324"/>
        <v>0.29493626957840319</v>
      </c>
      <c r="BL138" s="2099">
        <f t="shared" si="324"/>
        <v>-1.7820891919068653E-2</v>
      </c>
      <c r="BM138" s="2099">
        <f t="shared" si="324"/>
        <v>-4.1149725865999534E-2</v>
      </c>
      <c r="BN138" s="2099">
        <f t="shared" si="324"/>
        <v>-2.7043516791943206E-2</v>
      </c>
      <c r="BO138" s="2099">
        <f t="shared" si="324"/>
        <v>0.2147160136845907</v>
      </c>
      <c r="BP138" s="2099">
        <f t="shared" si="324"/>
        <v>0</v>
      </c>
      <c r="BQ138" s="2099">
        <f t="shared" si="324"/>
        <v>0</v>
      </c>
      <c r="BR138" s="2099">
        <f t="shared" si="324"/>
        <v>0</v>
      </c>
      <c r="BS138" s="2099">
        <f t="shared" si="324"/>
        <v>0.20106274145256381</v>
      </c>
    </row>
    <row r="139" spans="2:71" ht="15.6">
      <c r="B139" s="87"/>
      <c r="C139" s="87"/>
      <c r="D139" s="87"/>
      <c r="E139" s="87"/>
      <c r="F139" s="87"/>
      <c r="G139" s="87"/>
      <c r="H139" s="87"/>
      <c r="I139" s="87"/>
      <c r="J139" s="87"/>
      <c r="K139" s="87"/>
      <c r="L139" s="87"/>
      <c r="AN139" s="1990" t="s">
        <v>399</v>
      </c>
      <c r="AO139" s="2099">
        <f t="shared" ref="AO139:BS139" si="325">(AO26-AO10)/AO10</f>
        <v>0.36174863935378859</v>
      </c>
      <c r="AP139" s="2099">
        <f t="shared" si="325"/>
        <v>0.93377619258955535</v>
      </c>
      <c r="AQ139" s="2099">
        <f t="shared" si="325"/>
        <v>1.9691548635768608</v>
      </c>
      <c r="AR139" s="2099">
        <f t="shared" si="325"/>
        <v>1.3659211472862007</v>
      </c>
      <c r="AS139" s="2099">
        <f t="shared" si="325"/>
        <v>0.55651742643717295</v>
      </c>
      <c r="AT139" s="2099">
        <f t="shared" si="325"/>
        <v>-4.1403000047110297E-2</v>
      </c>
      <c r="AU139" s="2099">
        <f t="shared" si="325"/>
        <v>0.21574876023192074</v>
      </c>
      <c r="AV139" s="2099">
        <f t="shared" si="325"/>
        <v>0.11089951293777513</v>
      </c>
      <c r="AW139" s="2099">
        <f t="shared" si="325"/>
        <v>0.44908873164345486</v>
      </c>
      <c r="AX139" s="2099">
        <f t="shared" si="325"/>
        <v>-0.16685245261220819</v>
      </c>
      <c r="AY139" s="2099" t="e">
        <f t="shared" si="325"/>
        <v>#DIV/0!</v>
      </c>
      <c r="AZ139" s="2099">
        <f t="shared" si="325"/>
        <v>-0.16685245261220819</v>
      </c>
      <c r="BA139" s="2099">
        <f t="shared" si="325"/>
        <v>0.43591079828172141</v>
      </c>
      <c r="BB139" s="2100">
        <f t="shared" si="325"/>
        <v>0.51212333209042915</v>
      </c>
      <c r="BC139" s="2100">
        <f t="shared" si="325"/>
        <v>2.5497582469934135</v>
      </c>
      <c r="BD139" s="2100">
        <f t="shared" si="325"/>
        <v>1.4533565762810061</v>
      </c>
      <c r="BE139" s="2100" t="e">
        <f t="shared" si="325"/>
        <v>#DIV/0!</v>
      </c>
      <c r="BF139" s="2100"/>
      <c r="BG139" s="2099">
        <f t="shared" si="325"/>
        <v>0.36174863935378859</v>
      </c>
      <c r="BH139" s="2099">
        <f t="shared" si="325"/>
        <v>1.787801623734997</v>
      </c>
      <c r="BI139" s="2099">
        <f t="shared" si="325"/>
        <v>1.9691548635768608</v>
      </c>
      <c r="BJ139" s="2099">
        <f t="shared" si="325"/>
        <v>0.56832847410666121</v>
      </c>
      <c r="BK139" s="2099">
        <f t="shared" si="325"/>
        <v>0.53825768233954152</v>
      </c>
      <c r="BL139" s="2099">
        <f t="shared" si="325"/>
        <v>-0.12402675437109176</v>
      </c>
      <c r="BM139" s="2099">
        <f t="shared" si="325"/>
        <v>0.21574876023192074</v>
      </c>
      <c r="BN139" s="2099">
        <f t="shared" si="325"/>
        <v>8.1602747464413622E-2</v>
      </c>
      <c r="BO139" s="2099">
        <f t="shared" si="325"/>
        <v>0.41040161955247006</v>
      </c>
      <c r="BP139" s="2099">
        <f t="shared" si="325"/>
        <v>-0.16685245261220819</v>
      </c>
      <c r="BQ139" s="2099" t="e">
        <f t="shared" si="325"/>
        <v>#DIV/0!</v>
      </c>
      <c r="BR139" s="2099">
        <f t="shared" si="325"/>
        <v>-0.16685245261220819</v>
      </c>
      <c r="BS139" s="2099">
        <f t="shared" si="325"/>
        <v>0.39580357102882741</v>
      </c>
    </row>
    <row r="140" spans="2:71" ht="15.6">
      <c r="AN140" s="1990" t="s">
        <v>883</v>
      </c>
      <c r="AO140" s="2099">
        <f t="shared" ref="AO140:BS140" si="326">(AO27-AO11)/AO11</f>
        <v>1.2221499587992051</v>
      </c>
      <c r="AP140" s="2099">
        <f t="shared" si="326"/>
        <v>0.98959594983239474</v>
      </c>
      <c r="AQ140" s="2099">
        <f t="shared" si="326"/>
        <v>0.36835136289407605</v>
      </c>
      <c r="AR140" s="2099">
        <f t="shared" si="326"/>
        <v>1.3285555411047756</v>
      </c>
      <c r="AS140" s="2099">
        <f t="shared" si="326"/>
        <v>1.2012199657837908</v>
      </c>
      <c r="AT140" s="2099">
        <f t="shared" si="326"/>
        <v>0.44452015255281146</v>
      </c>
      <c r="AU140" s="2099">
        <f t="shared" si="326"/>
        <v>0.18496654257204112</v>
      </c>
      <c r="AV140" s="2099">
        <f t="shared" si="326"/>
        <v>0.37088015842349797</v>
      </c>
      <c r="AW140" s="2099">
        <f t="shared" si="326"/>
        <v>0.7827840767957791</v>
      </c>
      <c r="AX140" s="2099">
        <f t="shared" si="326"/>
        <v>-0.69178379049148819</v>
      </c>
      <c r="AY140" s="2099">
        <f t="shared" si="326"/>
        <v>3.5210248935048124E-3</v>
      </c>
      <c r="AZ140" s="2099">
        <f t="shared" si="326"/>
        <v>-0.6771012643080927</v>
      </c>
      <c r="BA140" s="2099">
        <f t="shared" si="326"/>
        <v>0.54199987993188714</v>
      </c>
      <c r="BB140" s="2100">
        <f t="shared" si="326"/>
        <v>1.1139142192174627</v>
      </c>
      <c r="BC140" s="2100" t="e">
        <f t="shared" si="326"/>
        <v>#DIV/0!</v>
      </c>
      <c r="BD140" s="2100">
        <f t="shared" si="326"/>
        <v>0.54297818889439675</v>
      </c>
      <c r="BE140" s="2100" t="e">
        <f t="shared" si="326"/>
        <v>#DIV/0!</v>
      </c>
      <c r="BF140" s="2100"/>
      <c r="BG140" s="2099">
        <f t="shared" si="326"/>
        <v>1.2221499587992051</v>
      </c>
      <c r="BH140" s="2099">
        <f t="shared" si="326"/>
        <v>0.98095822005709665</v>
      </c>
      <c r="BI140" s="2099">
        <f t="shared" si="326"/>
        <v>0.36835136289407605</v>
      </c>
      <c r="BJ140" s="2099">
        <f t="shared" si="326"/>
        <v>1.3285555411047756</v>
      </c>
      <c r="BK140" s="2099">
        <f t="shared" si="326"/>
        <v>1.2017280333968925</v>
      </c>
      <c r="BL140" s="2099">
        <f t="shared" si="326"/>
        <v>0.19157569647149816</v>
      </c>
      <c r="BM140" s="2099">
        <f t="shared" si="326"/>
        <v>0.18496654257204112</v>
      </c>
      <c r="BN140" s="2099">
        <f t="shared" si="326"/>
        <v>0.18770473008239608</v>
      </c>
      <c r="BO140" s="2099">
        <f t="shared" si="326"/>
        <v>0.8660013796036905</v>
      </c>
      <c r="BP140" s="2099">
        <f t="shared" si="326"/>
        <v>-0.69178379049148819</v>
      </c>
      <c r="BQ140" s="2099">
        <f t="shared" si="326"/>
        <v>3.5210248935048124E-3</v>
      </c>
      <c r="BR140" s="2099">
        <f t="shared" si="326"/>
        <v>-0.6771012643080927</v>
      </c>
      <c r="BS140" s="2099">
        <f t="shared" si="326"/>
        <v>0.53997205433744899</v>
      </c>
    </row>
    <row r="141" spans="2:71" ht="15.6">
      <c r="AN141" s="1990" t="s">
        <v>884</v>
      </c>
      <c r="AO141" s="2099">
        <f t="shared" ref="AO141:BS141" si="327">(AO28-AO12)/AO12</f>
        <v>2.2982959211070444</v>
      </c>
      <c r="AP141" s="2099">
        <f t="shared" si="327"/>
        <v>0.21147012869587861</v>
      </c>
      <c r="AQ141" s="2099">
        <f t="shared" si="327"/>
        <v>3.6024195331083732E-2</v>
      </c>
      <c r="AR141" s="2099">
        <f t="shared" si="327"/>
        <v>0.244711710888767</v>
      </c>
      <c r="AS141" s="2099">
        <f t="shared" si="327"/>
        <v>1.9165417063253518</v>
      </c>
      <c r="AT141" s="2099">
        <f t="shared" si="327"/>
        <v>0.44292414955870202</v>
      </c>
      <c r="AU141" s="2099">
        <f t="shared" si="327"/>
        <v>0.35800209280608164</v>
      </c>
      <c r="AV141" s="2099">
        <f t="shared" si="327"/>
        <v>0.4167569902347088</v>
      </c>
      <c r="AW141" s="2099">
        <f t="shared" si="327"/>
        <v>0.88083112175905698</v>
      </c>
      <c r="AX141" s="2099">
        <f t="shared" si="327"/>
        <v>-0.96304268767539403</v>
      </c>
      <c r="AY141" s="2099">
        <f t="shared" si="327"/>
        <v>-0.77561963769653575</v>
      </c>
      <c r="AZ141" s="2099">
        <f t="shared" si="327"/>
        <v>-0.96237303019976173</v>
      </c>
      <c r="BA141" s="2099">
        <f t="shared" si="327"/>
        <v>0.61470392310210087</v>
      </c>
      <c r="BB141" s="2100">
        <f t="shared" si="327"/>
        <v>0.15958538028502842</v>
      </c>
      <c r="BC141" s="2100" t="e">
        <f t="shared" si="327"/>
        <v>#DIV/0!</v>
      </c>
      <c r="BD141" s="2100">
        <f t="shared" si="327"/>
        <v>0.502062530516308</v>
      </c>
      <c r="BE141" s="2100" t="e">
        <f t="shared" si="327"/>
        <v>#DIV/0!</v>
      </c>
      <c r="BF141" s="2100"/>
      <c r="BG141" s="2099">
        <f t="shared" si="327"/>
        <v>2.2982959211070444</v>
      </c>
      <c r="BH141" s="2099">
        <f t="shared" si="327"/>
        <v>0.24318503652396503</v>
      </c>
      <c r="BI141" s="2099">
        <f t="shared" si="327"/>
        <v>-0.16860201482264242</v>
      </c>
      <c r="BJ141" s="2099">
        <f t="shared" si="327"/>
        <v>0.244711710888767</v>
      </c>
      <c r="BK141" s="2099">
        <f t="shared" si="327"/>
        <v>1.9938104718129135</v>
      </c>
      <c r="BL141" s="2099">
        <f t="shared" si="327"/>
        <v>0.33574099283376529</v>
      </c>
      <c r="BM141" s="2099">
        <f t="shared" si="327"/>
        <v>0.34128998386146175</v>
      </c>
      <c r="BN141" s="2099">
        <f t="shared" si="327"/>
        <v>0.33882654645774984</v>
      </c>
      <c r="BO141" s="2099">
        <f t="shared" si="327"/>
        <v>1.0607696371899507</v>
      </c>
      <c r="BP141" s="2099">
        <f t="shared" si="327"/>
        <v>-0.96304268767539403</v>
      </c>
      <c r="BQ141" s="2099">
        <f t="shared" si="327"/>
        <v>-0.77561963769653575</v>
      </c>
      <c r="BR141" s="2099">
        <f t="shared" si="327"/>
        <v>-0.96237303019976173</v>
      </c>
      <c r="BS141" s="2099">
        <f t="shared" si="327"/>
        <v>0.65794425823839209</v>
      </c>
    </row>
    <row r="142" spans="2:71" ht="15.6">
      <c r="B142" s="87"/>
      <c r="C142" s="87"/>
      <c r="D142" s="87"/>
      <c r="E142" s="87"/>
      <c r="F142" s="87"/>
      <c r="G142" s="87"/>
      <c r="H142" s="87"/>
      <c r="I142" s="87"/>
      <c r="J142" s="87"/>
      <c r="K142" s="87"/>
      <c r="L142" s="87"/>
      <c r="AN142" s="1990" t="s">
        <v>885</v>
      </c>
      <c r="AO142" s="2099">
        <f t="shared" ref="AO142:BS142" si="328">(AO29-AO13)/AO13</f>
        <v>1.5884220082966958</v>
      </c>
      <c r="AP142" s="2099">
        <f t="shared" si="328"/>
        <v>1.5549510640807072</v>
      </c>
      <c r="AQ142" s="2099" t="e">
        <f t="shared" si="328"/>
        <v>#DIV/0!</v>
      </c>
      <c r="AR142" s="2099" t="e">
        <f t="shared" si="328"/>
        <v>#DIV/0!</v>
      </c>
      <c r="AS142" s="2099">
        <f t="shared" si="328"/>
        <v>1.6125294137776698</v>
      </c>
      <c r="AT142" s="2099">
        <f t="shared" si="328"/>
        <v>0.49776613110526469</v>
      </c>
      <c r="AU142" s="2099">
        <f t="shared" si="328"/>
        <v>0.62430070515548952</v>
      </c>
      <c r="AV142" s="2099">
        <f t="shared" si="328"/>
        <v>0.52908354149067494</v>
      </c>
      <c r="AW142" s="2099">
        <f t="shared" si="328"/>
        <v>0.82899531748400102</v>
      </c>
      <c r="AX142" s="2099">
        <f t="shared" si="328"/>
        <v>-0.47460348180230982</v>
      </c>
      <c r="AY142" s="2099">
        <f t="shared" si="328"/>
        <v>0</v>
      </c>
      <c r="AZ142" s="2099">
        <f t="shared" si="328"/>
        <v>-0.46917807834866104</v>
      </c>
      <c r="BA142" s="2099">
        <f t="shared" si="328"/>
        <v>0.63199360822926465</v>
      </c>
      <c r="BB142" s="2100" t="e">
        <f t="shared" si="328"/>
        <v>#DIV/0!</v>
      </c>
      <c r="BC142" s="2100" t="e">
        <f t="shared" si="328"/>
        <v>#DIV/0!</v>
      </c>
      <c r="BD142" s="2100">
        <f t="shared" si="328"/>
        <v>0.56776633678855426</v>
      </c>
      <c r="BE142" s="2100" t="e">
        <f t="shared" si="328"/>
        <v>#DIV/0!</v>
      </c>
      <c r="BF142" s="2100"/>
      <c r="BG142" s="2099">
        <f t="shared" si="328"/>
        <v>1.5884220082966958</v>
      </c>
      <c r="BH142" s="2099">
        <f t="shared" si="328"/>
        <v>1.5549510640807072</v>
      </c>
      <c r="BI142" s="2099" t="e">
        <f t="shared" si="328"/>
        <v>#DIV/0!</v>
      </c>
      <c r="BJ142" s="2099" t="e">
        <f t="shared" si="328"/>
        <v>#DIV/0!</v>
      </c>
      <c r="BK142" s="2099">
        <f t="shared" si="328"/>
        <v>1.6125294137776698</v>
      </c>
      <c r="BL142" s="2099">
        <f t="shared" si="328"/>
        <v>0.24012989978604471</v>
      </c>
      <c r="BM142" s="2099">
        <f t="shared" si="328"/>
        <v>0.62430070515548952</v>
      </c>
      <c r="BN142" s="2099">
        <f t="shared" si="328"/>
        <v>0.47301915396763039</v>
      </c>
      <c r="BO142" s="2099">
        <f t="shared" si="328"/>
        <v>1.0244034725349949</v>
      </c>
      <c r="BP142" s="2099">
        <f t="shared" si="328"/>
        <v>-0.47460348180230982</v>
      </c>
      <c r="BQ142" s="2099">
        <f t="shared" si="328"/>
        <v>0</v>
      </c>
      <c r="BR142" s="2099">
        <f t="shared" si="328"/>
        <v>-0.46917807834866104</v>
      </c>
      <c r="BS142" s="2099">
        <f t="shared" si="328"/>
        <v>0.66859238023677159</v>
      </c>
    </row>
    <row r="143" spans="2:71" ht="15.6">
      <c r="AN143" s="1993" t="s">
        <v>933</v>
      </c>
      <c r="AO143" s="2101">
        <f t="shared" ref="AO143:BR143" si="329">(AO30-AO14)/AO14</f>
        <v>0.70241664818764149</v>
      </c>
      <c r="AP143" s="2101">
        <f t="shared" si="329"/>
        <v>0.70078802159983522</v>
      </c>
      <c r="AQ143" s="2101">
        <f t="shared" si="329"/>
        <v>1.1991989007851707</v>
      </c>
      <c r="AR143" s="2101">
        <f t="shared" si="329"/>
        <v>0.62947157415183519</v>
      </c>
      <c r="AS143" s="2101">
        <f t="shared" si="329"/>
        <v>0.70059380535241367</v>
      </c>
      <c r="AT143" s="2101">
        <f t="shared" si="329"/>
        <v>0.32210852375747789</v>
      </c>
      <c r="AU143" s="2101">
        <f t="shared" si="329"/>
        <v>0.451451743424225</v>
      </c>
      <c r="AV143" s="2101">
        <f t="shared" si="329"/>
        <v>0.37566757518727439</v>
      </c>
      <c r="AW143" s="2101">
        <f t="shared" si="329"/>
        <v>0.60547582885640949</v>
      </c>
      <c r="AX143" s="2101">
        <f t="shared" si="329"/>
        <v>2.4407363992721032E-2</v>
      </c>
      <c r="AY143" s="2101">
        <f t="shared" si="329"/>
        <v>4.6795931959637042E-2</v>
      </c>
      <c r="AZ143" s="2101">
        <f t="shared" si="329"/>
        <v>2.4783025752722298E-2</v>
      </c>
      <c r="BA143" s="2101">
        <f t="shared" si="329"/>
        <v>0.50504422713440356</v>
      </c>
      <c r="BB143" s="2102">
        <f t="shared" si="329"/>
        <v>0.68748690383414091</v>
      </c>
      <c r="BC143" s="2102">
        <f t="shared" si="329"/>
        <v>1.188299783780298</v>
      </c>
      <c r="BD143" s="2102">
        <f t="shared" si="329"/>
        <v>0.60759166068974324</v>
      </c>
      <c r="BE143" s="2102">
        <f t="shared" si="329"/>
        <v>-0.68062055464650439</v>
      </c>
      <c r="BF143" s="2102"/>
      <c r="BG143" s="2101">
        <f t="shared" si="329"/>
        <v>0.70241664818764149</v>
      </c>
      <c r="BH143" s="2101">
        <f t="shared" si="329"/>
        <v>0.74887526032654217</v>
      </c>
      <c r="BI143" s="2101">
        <f t="shared" si="329"/>
        <v>0.89621696878342161</v>
      </c>
      <c r="BJ143" s="2101">
        <f t="shared" si="329"/>
        <v>0.31497963645256899</v>
      </c>
      <c r="BK143" s="2101">
        <f t="shared" si="329"/>
        <v>0.69506640599227121</v>
      </c>
      <c r="BL143" s="2101">
        <f t="shared" si="329"/>
        <v>0.19899654064366387</v>
      </c>
      <c r="BM143" s="2101">
        <f t="shared" si="329"/>
        <v>0.44854696206841638</v>
      </c>
      <c r="BN143" s="2101">
        <f t="shared" si="329"/>
        <v>0.32360846537747862</v>
      </c>
      <c r="BO143" s="2101">
        <f t="shared" si="329"/>
        <v>0.5817996028877187</v>
      </c>
      <c r="BP143" s="2101">
        <f t="shared" si="329"/>
        <v>2.4407363992721032E-2</v>
      </c>
      <c r="BQ143" s="2101">
        <f t="shared" si="329"/>
        <v>4.6795931959637042E-2</v>
      </c>
      <c r="BR143" s="2101">
        <f t="shared" si="329"/>
        <v>2.4783025752722298E-2</v>
      </c>
      <c r="BS143" s="2101">
        <f>(BS30-BS14)/BS14</f>
        <v>0.46462774920842009</v>
      </c>
    </row>
    <row r="145" spans="40:67" ht="15.6">
      <c r="AO145" s="2354" t="s">
        <v>358</v>
      </c>
      <c r="AP145" s="2355"/>
    </row>
    <row r="146" spans="40:67" ht="15.6">
      <c r="AN146" s="3282" t="s">
        <v>308</v>
      </c>
      <c r="AO146" s="3284" t="s">
        <v>963</v>
      </c>
      <c r="AP146" s="3285"/>
      <c r="AQ146" s="3280" t="s">
        <v>358</v>
      </c>
      <c r="AR146" s="3284" t="s">
        <v>18</v>
      </c>
      <c r="AS146" s="3285"/>
      <c r="AT146" s="3280" t="s">
        <v>358</v>
      </c>
      <c r="AU146" s="3284" t="s">
        <v>1221</v>
      </c>
      <c r="AV146" s="3285"/>
      <c r="AW146" s="3280" t="s">
        <v>358</v>
      </c>
      <c r="BF146" s="3282" t="s">
        <v>308</v>
      </c>
      <c r="BG146" s="3286" t="s">
        <v>963</v>
      </c>
      <c r="BH146" s="3287"/>
      <c r="BI146" s="3288" t="s">
        <v>358</v>
      </c>
      <c r="BJ146" s="3286" t="s">
        <v>18</v>
      </c>
      <c r="BK146" s="3287"/>
      <c r="BL146" s="3280" t="s">
        <v>358</v>
      </c>
      <c r="BM146" s="3284" t="s">
        <v>1222</v>
      </c>
      <c r="BN146" s="3285"/>
      <c r="BO146" s="3280" t="s">
        <v>358</v>
      </c>
    </row>
    <row r="147" spans="40:67" ht="31.2">
      <c r="AN147" s="3283"/>
      <c r="AO147" s="2010" t="s">
        <v>934</v>
      </c>
      <c r="AP147" s="2010" t="s">
        <v>936</v>
      </c>
      <c r="AQ147" s="3281"/>
      <c r="AR147" s="2010" t="s">
        <v>934</v>
      </c>
      <c r="AS147" s="2010" t="s">
        <v>936</v>
      </c>
      <c r="AT147" s="3281"/>
      <c r="AU147" s="2010" t="s">
        <v>934</v>
      </c>
      <c r="AV147" s="2010" t="s">
        <v>936</v>
      </c>
      <c r="AW147" s="3281"/>
      <c r="BF147" s="3283"/>
      <c r="BG147" s="2371" t="s">
        <v>924</v>
      </c>
      <c r="BH147" s="2371" t="s">
        <v>936</v>
      </c>
      <c r="BI147" s="3289"/>
      <c r="BJ147" s="2371" t="s">
        <v>924</v>
      </c>
      <c r="BK147" s="2371" t="s">
        <v>936</v>
      </c>
      <c r="BL147" s="3281"/>
      <c r="BM147" s="2010" t="s">
        <v>934</v>
      </c>
      <c r="BN147" s="2010" t="s">
        <v>936</v>
      </c>
      <c r="BO147" s="3281"/>
    </row>
    <row r="148" spans="40:67" ht="15.6">
      <c r="AN148" s="2011" t="s">
        <v>6</v>
      </c>
      <c r="AO148" s="2038">
        <f>AP20+AT20</f>
        <v>1617.3603708499995</v>
      </c>
      <c r="AP148" s="2038">
        <f>AP83+AT83</f>
        <v>2635.4013348445001</v>
      </c>
      <c r="AQ148" s="2039">
        <f>AO148/AP148*$A$98</f>
        <v>149.13044359512691</v>
      </c>
      <c r="AR148" s="2038">
        <f>AQ20+AU20</f>
        <v>488.81634568999988</v>
      </c>
      <c r="AS148" s="2038">
        <f>AQ83+AU83</f>
        <v>382.73028740000007</v>
      </c>
      <c r="AT148" s="2039">
        <f>AR148/AS148*$A$98</f>
        <v>310.3552969627612</v>
      </c>
      <c r="AU148" s="2038">
        <f>AO20+AP20+AQ20</f>
        <v>2782.9903727599999</v>
      </c>
      <c r="AV148" s="2038">
        <f>AO83+AP83+AQ83</f>
        <v>7950.9672218709993</v>
      </c>
      <c r="AW148" s="2039">
        <f>AU148/AV148*$A$98</f>
        <v>85.054640738607247</v>
      </c>
      <c r="BF148" s="2011" t="s">
        <v>6</v>
      </c>
      <c r="BG148" s="2038">
        <f>BH20+BL20</f>
        <v>718.50463084999933</v>
      </c>
      <c r="BH148" s="2038">
        <f>BH83+BL83</f>
        <v>2635.4013348445001</v>
      </c>
      <c r="BI148" s="2039">
        <f>BG148/BH148*$A$98</f>
        <v>66.250488298721223</v>
      </c>
      <c r="BJ148" s="2038">
        <f>BI20+BM20</f>
        <v>448.28784616999985</v>
      </c>
      <c r="BK148" s="2038">
        <f>BI83+BM83</f>
        <v>382.73028740000007</v>
      </c>
      <c r="BL148" s="2039">
        <f>BJ148/BK148*$A$98</f>
        <v>284.62327180670871</v>
      </c>
      <c r="BM148" s="2038">
        <f>BG20+BH20+BI20</f>
        <v>1890.3895827599993</v>
      </c>
      <c r="BN148" s="2038">
        <f>BG83+BH83+BI83</f>
        <v>7950.9672218709993</v>
      </c>
      <c r="BO148" s="2039">
        <f>BM148/BN148*$A$98</f>
        <v>57.774690272535594</v>
      </c>
    </row>
    <row r="149" spans="40:67" ht="15.6">
      <c r="AN149" s="2011" t="s">
        <v>7</v>
      </c>
      <c r="AO149" s="2038">
        <f t="shared" ref="AO149:AO157" si="330">AP21+AT21</f>
        <v>603.30799999999999</v>
      </c>
      <c r="AP149" s="2038">
        <f t="shared" ref="AP149:AP157" si="331">AP84+AT84</f>
        <v>1168.684</v>
      </c>
      <c r="AQ149" s="2039">
        <f t="shared" ref="AQ149:AQ158" si="332">AO149/AP149*$A$98</f>
        <v>125.44352793398386</v>
      </c>
      <c r="AR149" s="2038">
        <f t="shared" ref="AR149:AR157" si="333">AQ21+AU21</f>
        <v>45.224449999999983</v>
      </c>
      <c r="AS149" s="2038">
        <f t="shared" ref="AS149:AS157" si="334">AQ84+AU84</f>
        <v>457.20499999999998</v>
      </c>
      <c r="AT149" s="2039">
        <f t="shared" ref="AT149:AT158" si="335">AR149/AS149*$A$98</f>
        <v>24.036354261217607</v>
      </c>
      <c r="AU149" s="2038">
        <f t="shared" ref="AU149:AU158" si="336">AO21+AP21+AQ21</f>
        <v>1545.7190473199994</v>
      </c>
      <c r="AV149" s="2038">
        <f t="shared" ref="AV149:AV157" si="337">AO84+AP84+AQ84</f>
        <v>4300.8890000000001</v>
      </c>
      <c r="AW149" s="2039">
        <f t="shared" ref="AW149:AW158" si="338">AU149/AV149*$A$98</f>
        <v>87.333044051766947</v>
      </c>
      <c r="BF149" s="2011" t="s">
        <v>7</v>
      </c>
      <c r="BG149" s="2038">
        <f t="shared" ref="BG149:BG157" si="339">BH21+BL21</f>
        <v>107.13000000000002</v>
      </c>
      <c r="BH149" s="2038">
        <f t="shared" ref="BH149:BH157" si="340">BH84+BL84</f>
        <v>750.15652</v>
      </c>
      <c r="BI149" s="2039">
        <f t="shared" ref="BI149:BI158" si="341">BG149/BH149*$A$98</f>
        <v>34.702877740768024</v>
      </c>
      <c r="BJ149" s="2038">
        <f t="shared" ref="BJ149:BJ157" si="342">BI21+BM21</f>
        <v>45.224449999999983</v>
      </c>
      <c r="BK149" s="2038">
        <f t="shared" ref="BK149:BK157" si="343">BI84+BM84</f>
        <v>457.20499999999998</v>
      </c>
      <c r="BL149" s="2039">
        <f t="shared" ref="BL149:BL158" si="344">BJ149/BK149*$A$98</f>
        <v>24.036354261217607</v>
      </c>
      <c r="BM149" s="2038">
        <f t="shared" ref="BM149:BM158" si="345">BG21+BH21+BI21</f>
        <v>1049.5410473199995</v>
      </c>
      <c r="BN149" s="2038">
        <f t="shared" ref="BN149:BN157" si="346">BG84+BH84+BI84</f>
        <v>3882.3615199999999</v>
      </c>
      <c r="BO149" s="2039">
        <f t="shared" ref="BO149:BO158" si="347">BM149/BN149*$A$98</f>
        <v>65.691583121491448</v>
      </c>
    </row>
    <row r="150" spans="40:67" ht="15.6">
      <c r="AN150" s="2011" t="s">
        <v>8</v>
      </c>
      <c r="AO150" s="2038">
        <f t="shared" si="330"/>
        <v>663.98323023000012</v>
      </c>
      <c r="AP150" s="2038">
        <f t="shared" si="331"/>
        <v>752.56879483000012</v>
      </c>
      <c r="AQ150" s="2039">
        <f t="shared" si="332"/>
        <v>214.39624663461814</v>
      </c>
      <c r="AR150" s="2038">
        <f t="shared" si="333"/>
        <v>265.35587315999999</v>
      </c>
      <c r="AS150" s="2038">
        <f t="shared" si="334"/>
        <v>563.27026742999999</v>
      </c>
      <c r="AT150" s="2039">
        <f t="shared" si="335"/>
        <v>114.47697651801475</v>
      </c>
      <c r="AU150" s="2038">
        <f t="shared" si="336"/>
        <v>1067.7971647300008</v>
      </c>
      <c r="AV150" s="2038">
        <f t="shared" si="337"/>
        <v>3566.7209976000004</v>
      </c>
      <c r="AW150" s="2039">
        <f t="shared" si="338"/>
        <v>72.748810799607625</v>
      </c>
      <c r="BF150" s="2011" t="s">
        <v>8</v>
      </c>
      <c r="BG150" s="2038">
        <f t="shared" si="339"/>
        <v>118.60954656000014</v>
      </c>
      <c r="BH150" s="2038">
        <f t="shared" si="340"/>
        <v>460.56222859000002</v>
      </c>
      <c r="BI150" s="2039">
        <f t="shared" si="341"/>
        <v>62.580294311841961</v>
      </c>
      <c r="BJ150" s="2038">
        <f t="shared" si="342"/>
        <v>256.41170603</v>
      </c>
      <c r="BK150" s="2038">
        <f t="shared" si="343"/>
        <v>555.03304577000006</v>
      </c>
      <c r="BL150" s="2039">
        <f t="shared" si="344"/>
        <v>112.26006278391903</v>
      </c>
      <c r="BM150" s="2038">
        <f t="shared" si="345"/>
        <v>585.3018702600009</v>
      </c>
      <c r="BN150" s="2038">
        <f t="shared" si="346"/>
        <v>3326.3174558200003</v>
      </c>
      <c r="BO150" s="2039">
        <f t="shared" si="347"/>
        <v>42.758502867585811</v>
      </c>
    </row>
    <row r="151" spans="40:67" ht="15.6">
      <c r="AN151" s="2011" t="s">
        <v>4</v>
      </c>
      <c r="AO151" s="2038">
        <f t="shared" si="330"/>
        <v>1603.9173486600002</v>
      </c>
      <c r="AP151" s="2038">
        <f t="shared" si="331"/>
        <v>1592.1566382999999</v>
      </c>
      <c r="AQ151" s="2039">
        <f t="shared" si="332"/>
        <v>244.79495694627855</v>
      </c>
      <c r="AR151" s="2038">
        <f t="shared" si="333"/>
        <v>378.17800578999999</v>
      </c>
      <c r="AS151" s="2038">
        <f t="shared" si="334"/>
        <v>554.28444515000001</v>
      </c>
      <c r="AT151" s="2039">
        <f t="shared" si="335"/>
        <v>165.79439710255775</v>
      </c>
      <c r="AU151" s="2038">
        <f t="shared" si="336"/>
        <v>3013.7642714600006</v>
      </c>
      <c r="AV151" s="2038">
        <f t="shared" si="337"/>
        <v>7100.954196239999</v>
      </c>
      <c r="AW151" s="2039">
        <f t="shared" si="338"/>
        <v>103.13328289774935</v>
      </c>
      <c r="BF151" s="2011" t="s">
        <v>4</v>
      </c>
      <c r="BG151" s="2038">
        <f t="shared" si="339"/>
        <v>330.07120072000009</v>
      </c>
      <c r="BH151" s="2038">
        <f t="shared" si="340"/>
        <v>1093.1542234199997</v>
      </c>
      <c r="BI151" s="2039">
        <f t="shared" si="341"/>
        <v>73.372356851923954</v>
      </c>
      <c r="BJ151" s="2038">
        <f t="shared" si="342"/>
        <v>378.17800578999999</v>
      </c>
      <c r="BK151" s="2038">
        <f t="shared" si="343"/>
        <v>554.28444515000001</v>
      </c>
      <c r="BL151" s="2039">
        <f t="shared" si="344"/>
        <v>165.79439710255775</v>
      </c>
      <c r="BM151" s="2038">
        <f t="shared" si="345"/>
        <v>1739.9181235200006</v>
      </c>
      <c r="BN151" s="2038">
        <f t="shared" si="346"/>
        <v>6601.9517813599987</v>
      </c>
      <c r="BO151" s="2039">
        <f t="shared" si="347"/>
        <v>64.04168312908574</v>
      </c>
    </row>
    <row r="152" spans="40:67" ht="15.6">
      <c r="AN152" s="2011" t="s">
        <v>3</v>
      </c>
      <c r="AO152" s="2038">
        <f t="shared" si="330"/>
        <v>1047.22306151</v>
      </c>
      <c r="AP152" s="2038">
        <f t="shared" si="331"/>
        <v>1263.6923228599999</v>
      </c>
      <c r="AQ152" s="2039">
        <f t="shared" si="332"/>
        <v>201.37433720496097</v>
      </c>
      <c r="AR152" s="2038">
        <f t="shared" si="333"/>
        <v>584.73400000000004</v>
      </c>
      <c r="AS152" s="2038">
        <f t="shared" si="334"/>
        <v>348.60388340000003</v>
      </c>
      <c r="AT152" s="2039">
        <f t="shared" si="335"/>
        <v>407.59833371380051</v>
      </c>
      <c r="AU152" s="2038">
        <f t="shared" si="336"/>
        <v>3461.2667023899999</v>
      </c>
      <c r="AV152" s="2038">
        <f t="shared" si="337"/>
        <v>4969.9465102200002</v>
      </c>
      <c r="AW152" s="2039">
        <f t="shared" si="338"/>
        <v>169.23478088771992</v>
      </c>
      <c r="BF152" s="2011" t="s">
        <v>3</v>
      </c>
      <c r="BG152" s="2038">
        <f t="shared" si="339"/>
        <v>629.91107637000005</v>
      </c>
      <c r="BH152" s="2038">
        <f t="shared" si="340"/>
        <v>1102.80749223</v>
      </c>
      <c r="BI152" s="2039">
        <f t="shared" si="341"/>
        <v>138.79883174205557</v>
      </c>
      <c r="BJ152" s="2038">
        <f t="shared" si="342"/>
        <v>579.70919847000005</v>
      </c>
      <c r="BK152" s="2038">
        <f t="shared" si="343"/>
        <v>345.90128833000006</v>
      </c>
      <c r="BL152" s="2039">
        <f t="shared" si="344"/>
        <v>407.25299378999858</v>
      </c>
      <c r="BM152" s="2038">
        <f t="shared" si="345"/>
        <v>3043.9547172499997</v>
      </c>
      <c r="BN152" s="2038">
        <f t="shared" si="346"/>
        <v>4809.0616795899996</v>
      </c>
      <c r="BO152" s="2039">
        <f t="shared" si="347"/>
        <v>153.80983767187033</v>
      </c>
    </row>
    <row r="153" spans="40:67" ht="15.6">
      <c r="AN153" s="2011" t="s">
        <v>397</v>
      </c>
      <c r="AO153" s="2038">
        <f t="shared" si="330"/>
        <v>1002.9945015399996</v>
      </c>
      <c r="AP153" s="2038">
        <f t="shared" si="331"/>
        <v>1699.6127197699998</v>
      </c>
      <c r="AQ153" s="2039">
        <f t="shared" si="332"/>
        <v>143.40188269902004</v>
      </c>
      <c r="AR153" s="2038">
        <f t="shared" si="333"/>
        <v>265.72884999653297</v>
      </c>
      <c r="AS153" s="2038">
        <f t="shared" si="334"/>
        <v>873.46597601999997</v>
      </c>
      <c r="AT153" s="2039">
        <f t="shared" si="335"/>
        <v>73.926303166820773</v>
      </c>
      <c r="AU153" s="2038">
        <f t="shared" si="336"/>
        <v>2953.6410928565283</v>
      </c>
      <c r="AV153" s="2038">
        <f t="shared" si="337"/>
        <v>3965.9815106599999</v>
      </c>
      <c r="AW153" s="2039">
        <f t="shared" si="338"/>
        <v>180.97280172259158</v>
      </c>
      <c r="BF153" s="2011" t="s">
        <v>397</v>
      </c>
      <c r="BG153" s="2038">
        <f t="shared" si="339"/>
        <v>579.51388341999973</v>
      </c>
      <c r="BH153" s="2038">
        <f t="shared" si="340"/>
        <v>1699.6127197699998</v>
      </c>
      <c r="BI153" s="2039">
        <f t="shared" si="341"/>
        <v>82.855271693963701</v>
      </c>
      <c r="BJ153" s="2038">
        <f t="shared" si="342"/>
        <v>265.72884999653297</v>
      </c>
      <c r="BK153" s="2038">
        <f t="shared" si="343"/>
        <v>873.46597601999997</v>
      </c>
      <c r="BL153" s="2039">
        <f t="shared" si="344"/>
        <v>73.926303166820773</v>
      </c>
      <c r="BM153" s="2038">
        <f t="shared" si="345"/>
        <v>2534.8472428565283</v>
      </c>
      <c r="BN153" s="2038">
        <f t="shared" si="346"/>
        <v>3965.9815106599999</v>
      </c>
      <c r="BO153" s="2039">
        <f t="shared" si="347"/>
        <v>155.31284711199521</v>
      </c>
    </row>
    <row r="154" spans="40:67" ht="15.6">
      <c r="AN154" s="2011" t="s">
        <v>399</v>
      </c>
      <c r="AO154" s="2038">
        <f t="shared" si="330"/>
        <v>1330.7006805099995</v>
      </c>
      <c r="AP154" s="2038">
        <f t="shared" si="331"/>
        <v>2031.3502511899997</v>
      </c>
      <c r="AQ154" s="2039">
        <f t="shared" si="332"/>
        <v>159.18488954551287</v>
      </c>
      <c r="AR154" s="2038">
        <f t="shared" si="333"/>
        <v>470.68999999999994</v>
      </c>
      <c r="AS154" s="2038">
        <f t="shared" si="334"/>
        <v>505.94154307000002</v>
      </c>
      <c r="AT154" s="2039">
        <f t="shared" si="335"/>
        <v>226.06894327350216</v>
      </c>
      <c r="AU154" s="2038">
        <f t="shared" si="336"/>
        <v>2956.2478543920001</v>
      </c>
      <c r="AV154" s="2038">
        <f t="shared" si="337"/>
        <v>6138.0505511400006</v>
      </c>
      <c r="AW154" s="2039">
        <f t="shared" si="338"/>
        <v>117.03524150413453</v>
      </c>
      <c r="BF154" s="2011" t="s">
        <v>399</v>
      </c>
      <c r="BG154" s="2038">
        <f t="shared" si="339"/>
        <v>730.10209419999865</v>
      </c>
      <c r="BH154" s="2038">
        <f t="shared" si="340"/>
        <v>2002.2370881999996</v>
      </c>
      <c r="BI154" s="2039">
        <f t="shared" si="341"/>
        <v>88.608292162889981</v>
      </c>
      <c r="BJ154" s="2038">
        <f t="shared" si="342"/>
        <v>470.68999999999994</v>
      </c>
      <c r="BK154" s="2038">
        <f t="shared" si="343"/>
        <v>505.94154307000002</v>
      </c>
      <c r="BL154" s="2039">
        <f t="shared" si="344"/>
        <v>226.06894327350216</v>
      </c>
      <c r="BM154" s="2038">
        <f t="shared" si="345"/>
        <v>2388.7006706819989</v>
      </c>
      <c r="BN154" s="2038">
        <f t="shared" si="346"/>
        <v>6108.9373881500005</v>
      </c>
      <c r="BO154" s="2039">
        <f t="shared" si="347"/>
        <v>95.017222488100757</v>
      </c>
    </row>
    <row r="155" spans="40:67" ht="15.6">
      <c r="AN155" s="2011" t="s">
        <v>883</v>
      </c>
      <c r="AO155" s="2038">
        <f t="shared" si="330"/>
        <v>853.44475696000018</v>
      </c>
      <c r="AP155" s="2038">
        <f t="shared" si="331"/>
        <v>1175.7306240800001</v>
      </c>
      <c r="AQ155" s="2039">
        <f t="shared" si="332"/>
        <v>176.38995845970993</v>
      </c>
      <c r="AR155" s="2038">
        <f t="shared" si="333"/>
        <v>238.03009583000008</v>
      </c>
      <c r="AS155" s="2038">
        <f t="shared" si="334"/>
        <v>469.32600105</v>
      </c>
      <c r="AT155" s="2039">
        <f t="shared" si="335"/>
        <v>123.24335996148623</v>
      </c>
      <c r="AU155" s="2038">
        <f t="shared" si="336"/>
        <v>1522.8889786129998</v>
      </c>
      <c r="AV155" s="2038">
        <f t="shared" si="337"/>
        <v>3793.3649157199998</v>
      </c>
      <c r="AW155" s="2039">
        <f t="shared" si="338"/>
        <v>97.555081049385237</v>
      </c>
      <c r="BF155" s="2011" t="s">
        <v>883</v>
      </c>
      <c r="BG155" s="2038">
        <f t="shared" si="339"/>
        <v>283.41316626000008</v>
      </c>
      <c r="BH155" s="2038">
        <f t="shared" si="340"/>
        <v>958.84427282000024</v>
      </c>
      <c r="BI155" s="2039">
        <f t="shared" si="341"/>
        <v>71.825427082786135</v>
      </c>
      <c r="BJ155" s="2038">
        <f t="shared" si="342"/>
        <v>238.03009583000008</v>
      </c>
      <c r="BK155" s="2038">
        <f t="shared" si="343"/>
        <v>469.32600105</v>
      </c>
      <c r="BL155" s="2039">
        <f t="shared" si="344"/>
        <v>123.24335996148623</v>
      </c>
      <c r="BM155" s="2038">
        <f t="shared" si="345"/>
        <v>1514.3908282129998</v>
      </c>
      <c r="BN155" s="2038">
        <f t="shared" si="346"/>
        <v>3788.88686714</v>
      </c>
      <c r="BO155" s="2039">
        <f t="shared" si="347"/>
        <v>97.125352157462927</v>
      </c>
    </row>
    <row r="156" spans="40:67" ht="15.6">
      <c r="AN156" s="2011" t="s">
        <v>884</v>
      </c>
      <c r="AO156" s="2038">
        <f t="shared" si="330"/>
        <v>863.43071900999223</v>
      </c>
      <c r="AP156" s="2038">
        <f t="shared" si="331"/>
        <v>1141.7816377730001</v>
      </c>
      <c r="AQ156" s="2039">
        <f t="shared" si="332"/>
        <v>183.75988698562483</v>
      </c>
      <c r="AR156" s="2038">
        <f t="shared" si="333"/>
        <v>344.12735134999906</v>
      </c>
      <c r="AS156" s="2038">
        <f t="shared" si="334"/>
        <v>546.13597105000008</v>
      </c>
      <c r="AT156" s="2039">
        <f t="shared" si="335"/>
        <v>153.11744842090593</v>
      </c>
      <c r="AU156" s="2038">
        <f t="shared" si="336"/>
        <v>1036.8270319600024</v>
      </c>
      <c r="AV156" s="2038">
        <f t="shared" si="337"/>
        <v>5983.8747177229898</v>
      </c>
      <c r="AW156" s="2039">
        <f t="shared" si="338"/>
        <v>42.104653030261517</v>
      </c>
      <c r="BF156" s="2011" t="s">
        <v>884</v>
      </c>
      <c r="BG156" s="2038">
        <f t="shared" si="339"/>
        <v>299.65789754999423</v>
      </c>
      <c r="BH156" s="2038">
        <f t="shared" si="340"/>
        <v>950.38147646300013</v>
      </c>
      <c r="BI156" s="2039">
        <f t="shared" si="341"/>
        <v>76.618569393469741</v>
      </c>
      <c r="BJ156" s="2038">
        <f t="shared" si="342"/>
        <v>339.28628486999906</v>
      </c>
      <c r="BK156" s="2038">
        <f t="shared" si="343"/>
        <v>543.93290097000011</v>
      </c>
      <c r="BL156" s="2039">
        <f t="shared" si="344"/>
        <v>151.57488557206619</v>
      </c>
      <c r="BM156" s="2038">
        <f t="shared" si="345"/>
        <v>1017.9426606500024</v>
      </c>
      <c r="BN156" s="2038">
        <f t="shared" si="346"/>
        <v>5977.9609620329893</v>
      </c>
      <c r="BO156" s="2039">
        <f t="shared" si="347"/>
        <v>41.378668764981057</v>
      </c>
    </row>
    <row r="157" spans="40:67" ht="15.6">
      <c r="AN157" s="2011" t="s">
        <v>885</v>
      </c>
      <c r="AO157" s="2038">
        <f t="shared" si="330"/>
        <v>314.44103416000002</v>
      </c>
      <c r="AP157" s="2038">
        <f t="shared" si="331"/>
        <v>227.73786920999999</v>
      </c>
      <c r="AQ157" s="2039">
        <f t="shared" si="332"/>
        <v>335.51368319171434</v>
      </c>
      <c r="AR157" s="2038">
        <f t="shared" si="333"/>
        <v>111.73399692000001</v>
      </c>
      <c r="AS157" s="2038">
        <f t="shared" si="334"/>
        <v>221.95533452000001</v>
      </c>
      <c r="AT157" s="2039">
        <f t="shared" si="335"/>
        <v>122.32804095597639</v>
      </c>
      <c r="AU157" s="2038">
        <f t="shared" si="336"/>
        <v>271.42447512000001</v>
      </c>
      <c r="AV157" s="2038">
        <f t="shared" si="337"/>
        <v>1153.1678861599999</v>
      </c>
      <c r="AW157" s="2039">
        <f t="shared" si="338"/>
        <v>57.19561587323696</v>
      </c>
      <c r="BF157" s="2011" t="s">
        <v>885</v>
      </c>
      <c r="BG157" s="2038">
        <f t="shared" si="339"/>
        <v>62.641854620000011</v>
      </c>
      <c r="BH157" s="2038">
        <f t="shared" si="340"/>
        <v>170.72676410999998</v>
      </c>
      <c r="BI157" s="2039">
        <f t="shared" si="341"/>
        <v>89.159838248046583</v>
      </c>
      <c r="BJ157" s="2038">
        <f t="shared" si="342"/>
        <v>111.73399692000001</v>
      </c>
      <c r="BK157" s="2038">
        <f t="shared" si="343"/>
        <v>221.95533452000001</v>
      </c>
      <c r="BL157" s="2039">
        <f t="shared" si="344"/>
        <v>122.32804095597639</v>
      </c>
      <c r="BM157" s="2038">
        <f t="shared" si="345"/>
        <v>271.42447512000001</v>
      </c>
      <c r="BN157" s="2038">
        <f t="shared" si="346"/>
        <v>1153.1678861599999</v>
      </c>
      <c r="BO157" s="2039">
        <f t="shared" si="347"/>
        <v>57.19561587323696</v>
      </c>
    </row>
    <row r="158" spans="40:67" ht="15.6">
      <c r="AN158" s="2007" t="s">
        <v>933</v>
      </c>
      <c r="AO158" s="2038">
        <f>AP30+AT30</f>
        <v>9900.8037034299923</v>
      </c>
      <c r="AP158" s="2038">
        <f>AP93+AT93</f>
        <v>13688.716192857499</v>
      </c>
      <c r="AQ158" s="2039">
        <f t="shared" si="332"/>
        <v>175.7575557880904</v>
      </c>
      <c r="AR158" s="2038">
        <f>AQ30+AU30</f>
        <v>3192.6189687365318</v>
      </c>
      <c r="AS158" s="2038">
        <f>AQ93+AU93</f>
        <v>4922.9187090899995</v>
      </c>
      <c r="AT158" s="2039">
        <f t="shared" si="335"/>
        <v>157.59074143769172</v>
      </c>
      <c r="AU158" s="2038">
        <f t="shared" si="336"/>
        <v>20612.566991601529</v>
      </c>
      <c r="AV158" s="2038">
        <f>AO93+AP93+AQ93</f>
        <v>48923.917507333987</v>
      </c>
      <c r="AW158" s="2039">
        <f t="shared" si="338"/>
        <v>102.38047225487033</v>
      </c>
      <c r="BF158" s="2007" t="s">
        <v>933</v>
      </c>
      <c r="BG158" s="2038">
        <f>BH30+BL30</f>
        <v>3859.555350549992</v>
      </c>
      <c r="BH158" s="2038">
        <f>BH93+BL93</f>
        <v>11823.884120447499</v>
      </c>
      <c r="BI158" s="2039">
        <f t="shared" si="341"/>
        <v>79.320123626867243</v>
      </c>
      <c r="BJ158" s="2038">
        <f>BI30+BM30</f>
        <v>3133.2804340765319</v>
      </c>
      <c r="BK158" s="2038">
        <f>BI93+BM93</f>
        <v>4909.7758222800003</v>
      </c>
      <c r="BL158" s="2039">
        <f t="shared" si="344"/>
        <v>155.07574541906976</v>
      </c>
      <c r="BM158" s="2038">
        <f t="shared" si="345"/>
        <v>16036.411218631529</v>
      </c>
      <c r="BN158" s="2038">
        <f>BG93+BH93+BI93</f>
        <v>47565.594272783987</v>
      </c>
      <c r="BO158" s="2039">
        <f t="shared" si="347"/>
        <v>81.925769786022727</v>
      </c>
    </row>
  </sheetData>
  <mergeCells count="271">
    <mergeCell ref="AU146:AV146"/>
    <mergeCell ref="AW146:AW147"/>
    <mergeCell ref="BM146:BN146"/>
    <mergeCell ref="BO146:BO147"/>
    <mergeCell ref="I112:J112"/>
    <mergeCell ref="K112:K113"/>
    <mergeCell ref="BO64:BO65"/>
    <mergeCell ref="BP64:BR64"/>
    <mergeCell ref="BS48:BS49"/>
    <mergeCell ref="AN64:AN65"/>
    <mergeCell ref="AO64:AS64"/>
    <mergeCell ref="U96:Y96"/>
    <mergeCell ref="U95:AC95"/>
    <mergeCell ref="AO95:AW95"/>
    <mergeCell ref="P81:T81"/>
    <mergeCell ref="AD64:AF64"/>
    <mergeCell ref="AT81:AV81"/>
    <mergeCell ref="AW81:AW82"/>
    <mergeCell ref="AG48:AG49"/>
    <mergeCell ref="BL48:BN48"/>
    <mergeCell ref="BO48:BO49"/>
    <mergeCell ref="BG95:BO95"/>
    <mergeCell ref="AO63:AW63"/>
    <mergeCell ref="BO131:BO132"/>
    <mergeCell ref="AO18:AS18"/>
    <mergeCell ref="AT18:AV18"/>
    <mergeCell ref="AW18:AW19"/>
    <mergeCell ref="BA48:BA49"/>
    <mergeCell ref="AO47:AW47"/>
    <mergeCell ref="U47:AC47"/>
    <mergeCell ref="AD33:AF33"/>
    <mergeCell ref="AX18:AZ18"/>
    <mergeCell ref="BA18:BA19"/>
    <mergeCell ref="AX33:AZ33"/>
    <mergeCell ref="U18:Y18"/>
    <mergeCell ref="AN48:AN49"/>
    <mergeCell ref="AO48:AS48"/>
    <mergeCell ref="AT48:AV48"/>
    <mergeCell ref="AD48:AF48"/>
    <mergeCell ref="Z33:AB33"/>
    <mergeCell ref="AC33:AC34"/>
    <mergeCell ref="AO33:AS33"/>
    <mergeCell ref="AT33:AV33"/>
    <mergeCell ref="AW33:AW34"/>
    <mergeCell ref="AG18:AG19"/>
    <mergeCell ref="Z18:AB18"/>
    <mergeCell ref="AC18:AC19"/>
    <mergeCell ref="AD18:AF18"/>
    <mergeCell ref="BB2:BF2"/>
    <mergeCell ref="BB18:BF18"/>
    <mergeCell ref="BB33:BF33"/>
    <mergeCell ref="BB48:BF48"/>
    <mergeCell ref="BB64:BF64"/>
    <mergeCell ref="BB81:BF81"/>
    <mergeCell ref="Z81:AB81"/>
    <mergeCell ref="AC81:AC82"/>
    <mergeCell ref="AD81:AF81"/>
    <mergeCell ref="AG81:AG82"/>
    <mergeCell ref="BA2:BA3"/>
    <mergeCell ref="AX2:AZ2"/>
    <mergeCell ref="AX81:AZ81"/>
    <mergeCell ref="BA81:BA82"/>
    <mergeCell ref="AO80:AW80"/>
    <mergeCell ref="BA33:BA34"/>
    <mergeCell ref="AX48:AZ48"/>
    <mergeCell ref="AK18:AK19"/>
    <mergeCell ref="AN33:AN34"/>
    <mergeCell ref="U80:AC80"/>
    <mergeCell ref="AT64:AV64"/>
    <mergeCell ref="AW64:AW65"/>
    <mergeCell ref="BA64:BA65"/>
    <mergeCell ref="AW48:AW49"/>
    <mergeCell ref="C81:G81"/>
    <mergeCell ref="H81:J81"/>
    <mergeCell ref="K81:K82"/>
    <mergeCell ref="B96:B97"/>
    <mergeCell ref="C96:G96"/>
    <mergeCell ref="H96:J96"/>
    <mergeCell ref="K96:K97"/>
    <mergeCell ref="AN96:AN97"/>
    <mergeCell ref="AO96:AS96"/>
    <mergeCell ref="L81:N81"/>
    <mergeCell ref="O81:O82"/>
    <mergeCell ref="L96:N96"/>
    <mergeCell ref="O96:O97"/>
    <mergeCell ref="AG96:AG97"/>
    <mergeCell ref="Z96:AB96"/>
    <mergeCell ref="AC96:AC97"/>
    <mergeCell ref="AD96:AF96"/>
    <mergeCell ref="U81:Y81"/>
    <mergeCell ref="P96:T96"/>
    <mergeCell ref="AN81:AN82"/>
    <mergeCell ref="AO81:AS81"/>
    <mergeCell ref="U63:AC63"/>
    <mergeCell ref="C48:G48"/>
    <mergeCell ref="H48:J48"/>
    <mergeCell ref="K48:K49"/>
    <mergeCell ref="U48:Y48"/>
    <mergeCell ref="Z48:AB48"/>
    <mergeCell ref="AC48:AC49"/>
    <mergeCell ref="P48:T48"/>
    <mergeCell ref="P64:T64"/>
    <mergeCell ref="U64:Y64"/>
    <mergeCell ref="Z64:AB64"/>
    <mergeCell ref="AC64:AC65"/>
    <mergeCell ref="C63:K63"/>
    <mergeCell ref="C1:K1"/>
    <mergeCell ref="AO1:AW1"/>
    <mergeCell ref="AO17:AW17"/>
    <mergeCell ref="AN2:AN3"/>
    <mergeCell ref="AO2:AS2"/>
    <mergeCell ref="AT2:AV2"/>
    <mergeCell ref="AW2:AW3"/>
    <mergeCell ref="O2:O3"/>
    <mergeCell ref="AG2:AG3"/>
    <mergeCell ref="U1:AC1"/>
    <mergeCell ref="L2:N2"/>
    <mergeCell ref="P2:T2"/>
    <mergeCell ref="AN18:AN19"/>
    <mergeCell ref="BG18:BK18"/>
    <mergeCell ref="BL18:BN18"/>
    <mergeCell ref="BO18:BO19"/>
    <mergeCell ref="BG33:BK33"/>
    <mergeCell ref="BL33:BN33"/>
    <mergeCell ref="BO33:BO34"/>
    <mergeCell ref="B2:B3"/>
    <mergeCell ref="C2:G2"/>
    <mergeCell ref="H2:J2"/>
    <mergeCell ref="K2:K3"/>
    <mergeCell ref="B33:B34"/>
    <mergeCell ref="B18:B19"/>
    <mergeCell ref="C17:K17"/>
    <mergeCell ref="U17:AC17"/>
    <mergeCell ref="U2:Y2"/>
    <mergeCell ref="Z2:AB2"/>
    <mergeCell ref="AC2:AC3"/>
    <mergeCell ref="C18:G18"/>
    <mergeCell ref="H18:J18"/>
    <mergeCell ref="K18:K19"/>
    <mergeCell ref="U32:AC32"/>
    <mergeCell ref="U33:Y33"/>
    <mergeCell ref="AD2:AF2"/>
    <mergeCell ref="P18:T18"/>
    <mergeCell ref="P33:T33"/>
    <mergeCell ref="B112:B113"/>
    <mergeCell ref="C112:D112"/>
    <mergeCell ref="E112:E113"/>
    <mergeCell ref="F112:G112"/>
    <mergeCell ref="H112:H113"/>
    <mergeCell ref="AI17:AJ17"/>
    <mergeCell ref="AI18:AI19"/>
    <mergeCell ref="AJ18:AJ19"/>
    <mergeCell ref="B64:B65"/>
    <mergeCell ref="B48:B49"/>
    <mergeCell ref="AJ96:AJ97"/>
    <mergeCell ref="C33:G33"/>
    <mergeCell ref="H33:J33"/>
    <mergeCell ref="K33:K34"/>
    <mergeCell ref="L18:N18"/>
    <mergeCell ref="O18:O19"/>
    <mergeCell ref="AG33:AG34"/>
    <mergeCell ref="C80:K80"/>
    <mergeCell ref="B81:B82"/>
    <mergeCell ref="C95:K95"/>
    <mergeCell ref="AI95:AJ95"/>
    <mergeCell ref="L33:N33"/>
    <mergeCell ref="O33:O34"/>
    <mergeCell ref="C32:K32"/>
    <mergeCell ref="AN131:AN132"/>
    <mergeCell ref="AO131:AS131"/>
    <mergeCell ref="AT131:AV131"/>
    <mergeCell ref="AW131:AW132"/>
    <mergeCell ref="AX131:AZ131"/>
    <mergeCell ref="BA131:BA132"/>
    <mergeCell ref="AO112:AW112"/>
    <mergeCell ref="AN113:AN114"/>
    <mergeCell ref="AO113:AS113"/>
    <mergeCell ref="AT113:AV113"/>
    <mergeCell ref="AW113:AW114"/>
    <mergeCell ref="AX113:AZ113"/>
    <mergeCell ref="BA113:BA114"/>
    <mergeCell ref="L64:N64"/>
    <mergeCell ref="O64:O65"/>
    <mergeCell ref="AO32:AW32"/>
    <mergeCell ref="C47:K47"/>
    <mergeCell ref="C64:G64"/>
    <mergeCell ref="H64:J64"/>
    <mergeCell ref="K64:K65"/>
    <mergeCell ref="L48:N48"/>
    <mergeCell ref="O48:O49"/>
    <mergeCell ref="BG112:BO112"/>
    <mergeCell ref="BG113:BK113"/>
    <mergeCell ref="BG130:BO130"/>
    <mergeCell ref="AK96:AK97"/>
    <mergeCell ref="BO113:BO114"/>
    <mergeCell ref="AO130:AW130"/>
    <mergeCell ref="BG80:BO80"/>
    <mergeCell ref="BL81:BN81"/>
    <mergeCell ref="BG81:BK81"/>
    <mergeCell ref="BG96:BK96"/>
    <mergeCell ref="BL96:BN96"/>
    <mergeCell ref="BO96:BO97"/>
    <mergeCell ref="AX64:AZ64"/>
    <mergeCell ref="AG64:AG65"/>
    <mergeCell ref="AW96:AW97"/>
    <mergeCell ref="BA96:BA97"/>
    <mergeCell ref="AX96:AZ96"/>
    <mergeCell ref="AT96:AV96"/>
    <mergeCell ref="BU95:BV95"/>
    <mergeCell ref="BU96:BU97"/>
    <mergeCell ref="BV96:BV97"/>
    <mergeCell ref="BP113:BR113"/>
    <mergeCell ref="BS113:BS114"/>
    <mergeCell ref="BS131:BS132"/>
    <mergeCell ref="BS64:BS65"/>
    <mergeCell ref="BU17:BW17"/>
    <mergeCell ref="BS96:BS97"/>
    <mergeCell ref="BP96:BR96"/>
    <mergeCell ref="BP131:BR131"/>
    <mergeCell ref="BP48:BR48"/>
    <mergeCell ref="BP18:BR18"/>
    <mergeCell ref="BP33:BR33"/>
    <mergeCell ref="BP81:BR81"/>
    <mergeCell ref="BX81:BX82"/>
    <mergeCell ref="BU81:BU82"/>
    <mergeCell ref="BV81:BV82"/>
    <mergeCell ref="BS81:BS82"/>
    <mergeCell ref="BW81:BW82"/>
    <mergeCell ref="BG1:BO1"/>
    <mergeCell ref="BP2:BR2"/>
    <mergeCell ref="BS2:BS3"/>
    <mergeCell ref="BS18:BS19"/>
    <mergeCell ref="BS33:BS34"/>
    <mergeCell ref="BG63:BO63"/>
    <mergeCell ref="BG64:BK64"/>
    <mergeCell ref="BU1:BV1"/>
    <mergeCell ref="BU2:BU3"/>
    <mergeCell ref="BV2:BV3"/>
    <mergeCell ref="BL64:BN64"/>
    <mergeCell ref="BO81:BO82"/>
    <mergeCell ref="BG2:BK2"/>
    <mergeCell ref="BL2:BN2"/>
    <mergeCell ref="BO2:BO3"/>
    <mergeCell ref="BG17:BO17"/>
    <mergeCell ref="BG32:BO32"/>
    <mergeCell ref="BG47:BO47"/>
    <mergeCell ref="BG48:BK48"/>
    <mergeCell ref="BY81:BY82"/>
    <mergeCell ref="BL146:BL147"/>
    <mergeCell ref="U112:U113"/>
    <mergeCell ref="V112:W112"/>
    <mergeCell ref="X112:X113"/>
    <mergeCell ref="Y112:Z112"/>
    <mergeCell ref="AA112:AA113"/>
    <mergeCell ref="BG146:BH146"/>
    <mergeCell ref="BI146:BI147"/>
    <mergeCell ref="BJ146:BK146"/>
    <mergeCell ref="BG131:BK131"/>
    <mergeCell ref="BL131:BN131"/>
    <mergeCell ref="BB113:BF113"/>
    <mergeCell ref="BB131:BF131"/>
    <mergeCell ref="BF146:BF147"/>
    <mergeCell ref="BL113:BN113"/>
    <mergeCell ref="BW96:BW97"/>
    <mergeCell ref="AN146:AN147"/>
    <mergeCell ref="AO146:AP146"/>
    <mergeCell ref="AQ146:AQ147"/>
    <mergeCell ref="AR146:AS146"/>
    <mergeCell ref="AT146:AT147"/>
    <mergeCell ref="AI96:AI97"/>
    <mergeCell ref="BB96:BF96"/>
  </mergeCells>
  <conditionalFormatting sqref="C66:O76">
    <cfRule type="cellIs" dxfId="28" priority="11" operator="greaterThan">
      <formula>100</formula>
    </cfRule>
  </conditionalFormatting>
  <conditionalFormatting sqref="U4:AG13 U20:AG29 U35:AG44 U50:AG59 U83:AG92">
    <cfRule type="cellIs" dxfId="27" priority="4" operator="lessThan">
      <formula>0</formula>
    </cfRule>
  </conditionalFormatting>
  <conditionalFormatting sqref="U66:AG76">
    <cfRule type="cellIs" dxfId="26" priority="9" operator="greaterThan">
      <formula>100</formula>
    </cfRule>
    <cfRule type="cellIs" dxfId="25" priority="10" operator="greaterThan">
      <formula>394.94</formula>
    </cfRule>
  </conditionalFormatting>
  <conditionalFormatting sqref="AI20:AK29">
    <cfRule type="cellIs" dxfId="24" priority="7" operator="lessThan">
      <formula>0</formula>
    </cfRule>
  </conditionalFormatting>
  <conditionalFormatting sqref="AI98:AK107">
    <cfRule type="cellIs" dxfId="23" priority="6" operator="lessThan">
      <formula>0</formula>
    </cfRule>
  </conditionalFormatting>
  <conditionalFormatting sqref="AO66:BA75">
    <cfRule type="cellIs" dxfId="22" priority="14" operator="greaterThan">
      <formula>100</formula>
    </cfRule>
  </conditionalFormatting>
  <conditionalFormatting sqref="AO66:BS76">
    <cfRule type="cellIs" dxfId="21" priority="12" operator="greaterThan">
      <formula>100</formula>
    </cfRule>
    <cfRule type="cellIs" dxfId="20" priority="13" operator="greaterThan">
      <formula>100</formula>
    </cfRule>
  </conditionalFormatting>
  <conditionalFormatting sqref="AO115:BS125">
    <cfRule type="cellIs" dxfId="19" priority="23" operator="lessThanOrEqual">
      <formula>0</formula>
    </cfRule>
    <cfRule type="cellIs" dxfId="18" priority="24" operator="greaterThan">
      <formula>0</formula>
    </cfRule>
  </conditionalFormatting>
  <conditionalFormatting sqref="AO133:BS143">
    <cfRule type="cellIs" dxfId="17" priority="21" operator="lessThanOrEqual">
      <formula>0</formula>
    </cfRule>
    <cfRule type="cellIs" dxfId="16" priority="22" operator="greaterThan">
      <formula>0</formula>
    </cfRule>
  </conditionalFormatting>
  <conditionalFormatting sqref="BG4:BS13">
    <cfRule type="cellIs" dxfId="15" priority="20" operator="lessThan">
      <formula>0</formula>
    </cfRule>
  </conditionalFormatting>
  <conditionalFormatting sqref="BG20:BS29 BG35:BR44 BG50:BR59">
    <cfRule type="cellIs" dxfId="14" priority="3" operator="lessThan">
      <formula>0</formula>
    </cfRule>
  </conditionalFormatting>
  <conditionalFormatting sqref="BU4:BV13">
    <cfRule type="cellIs" dxfId="13" priority="8" operator="lessThan">
      <formula>0</formula>
    </cfRule>
  </conditionalFormatting>
  <conditionalFormatting sqref="BU20:BW29">
    <cfRule type="cellIs" dxfId="12" priority="1" operator="lessThan">
      <formula>0</formula>
    </cfRule>
  </conditionalFormatting>
  <conditionalFormatting sqref="BU83:BW92">
    <cfRule type="cellIs" dxfId="11" priority="2" operator="lessThan">
      <formula>0</formula>
    </cfRule>
  </conditionalFormatting>
  <conditionalFormatting sqref="BU98:BW107">
    <cfRule type="cellIs" dxfId="10" priority="5" operator="lessThan">
      <formula>0</formula>
    </cfRule>
  </conditionalFormatting>
  <pageMargins left="0.70866141732283472" right="0.70866141732283472" top="0.74803149606299213" bottom="0.74803149606299213" header="0.31496062992125984" footer="0.31496062992125984"/>
  <pageSetup paperSize="9" scale="60" orientation="landscape" r:id="rId1"/>
  <colBreaks count="2" manualBreakCount="2">
    <brk id="39" max="1048575" man="1"/>
    <brk id="71" max="1048575" man="1"/>
  </colBreaks>
</worksheet>
</file>

<file path=xl/worksheets/sheet3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000-000000000000}">
  <sheetPr>
    <tabColor theme="4" tint="-0.249977111117893"/>
  </sheetPr>
  <dimension ref="A1:R47"/>
  <sheetViews>
    <sheetView showGridLines="0" topLeftCell="A7" zoomScale="86" zoomScaleNormal="86" workbookViewId="0">
      <selection activeCell="D4" sqref="D4:F43"/>
    </sheetView>
  </sheetViews>
  <sheetFormatPr baseColWidth="10" defaultColWidth="11.44140625" defaultRowHeight="14.4"/>
  <cols>
    <col min="1" max="1" width="11.44140625" style="2377"/>
    <col min="2" max="2" width="56.109375" style="2377" customWidth="1"/>
    <col min="3" max="3" width="12.109375" style="2377" hidden="1" customWidth="1"/>
    <col min="4" max="4" width="14.109375" style="2377" customWidth="1"/>
    <col min="5" max="5" width="16.44140625" style="2377" customWidth="1"/>
    <col min="6" max="6" width="11.44140625" style="2377" customWidth="1"/>
    <col min="7" max="14" width="11.44140625" style="2377" hidden="1" customWidth="1"/>
    <col min="15" max="15" width="11.44140625" style="2377" customWidth="1"/>
    <col min="16" max="16384" width="11.44140625" style="2377"/>
  </cols>
  <sheetData>
    <row r="1" spans="2:14" ht="15" thickBot="1"/>
    <row r="2" spans="2:14" ht="47.25" customHeight="1">
      <c r="B2" s="3324" t="s">
        <v>1112</v>
      </c>
      <c r="C2" s="2378" t="s">
        <v>1113</v>
      </c>
      <c r="D2" s="3326" t="s">
        <v>1114</v>
      </c>
      <c r="E2" s="3326" t="s">
        <v>1115</v>
      </c>
      <c r="F2" s="2378" t="s">
        <v>1116</v>
      </c>
      <c r="G2" s="2378" t="s">
        <v>1116</v>
      </c>
      <c r="H2" s="2378" t="s">
        <v>1117</v>
      </c>
      <c r="I2" s="3326" t="s">
        <v>1118</v>
      </c>
      <c r="J2" s="3327" t="s">
        <v>1119</v>
      </c>
      <c r="K2" s="3329" t="s">
        <v>1120</v>
      </c>
      <c r="L2" s="3322" t="s">
        <v>1119</v>
      </c>
      <c r="M2" s="3322" t="s">
        <v>1121</v>
      </c>
      <c r="N2" s="2379" t="s">
        <v>542</v>
      </c>
    </row>
    <row r="3" spans="2:14" ht="15.6">
      <c r="B3" s="3325"/>
      <c r="C3" s="2380">
        <v>45291</v>
      </c>
      <c r="D3" s="3323"/>
      <c r="E3" s="3323"/>
      <c r="F3" s="2380" t="s">
        <v>1122</v>
      </c>
      <c r="G3" s="2380" t="s">
        <v>1123</v>
      </c>
      <c r="H3" s="2381">
        <v>2023</v>
      </c>
      <c r="I3" s="3323"/>
      <c r="J3" s="3328"/>
      <c r="K3" s="3330"/>
      <c r="L3" s="3323"/>
      <c r="M3" s="3323"/>
      <c r="N3" s="2382" t="s">
        <v>583</v>
      </c>
    </row>
    <row r="4" spans="2:14" ht="15.6">
      <c r="B4" s="2702" t="s">
        <v>1124</v>
      </c>
      <c r="C4" s="2703">
        <f>'Solde créances Privé-ADM'!C10</f>
        <v>8615.5807324250036</v>
      </c>
      <c r="D4" s="2703">
        <f>'Solde créances Privé-ADM'!D10</f>
        <v>13847.086538062153</v>
      </c>
      <c r="E4" s="2703">
        <f>'Solde créances Privé-ADM'!E10</f>
        <v>14667.308072685</v>
      </c>
      <c r="F4" s="2401">
        <f>+(E4-D4)/D4*100</f>
        <v>5.9234231863017923</v>
      </c>
      <c r="G4" s="2385">
        <f t="shared" ref="G4:G32" si="0">+(E4-C4)/C4*100</f>
        <v>70.24166481876415</v>
      </c>
      <c r="H4" s="2385">
        <v>9419.8209443562118</v>
      </c>
      <c r="I4" s="2385">
        <f>+E4-H4</f>
        <v>5247.4871283287885</v>
      </c>
      <c r="J4" s="2386">
        <f>+E4/H4*100</f>
        <v>155.70686703416339</v>
      </c>
      <c r="K4" s="2387">
        <v>13148.011387302418</v>
      </c>
      <c r="L4" s="2388">
        <f>+(E4-K4)/K4</f>
        <v>0.11555334420000807</v>
      </c>
      <c r="M4" s="2389">
        <v>95.972583205188769</v>
      </c>
      <c r="N4" s="2390">
        <v>65.157080035151353</v>
      </c>
    </row>
    <row r="5" spans="2:14" ht="15.6">
      <c r="B5" s="2383" t="s">
        <v>1125</v>
      </c>
      <c r="C5" s="2384">
        <f>'Solde créances Privé-ADM'!C12</f>
        <v>31.65383683652998</v>
      </c>
      <c r="D5" s="2384">
        <f>'Solde créances Privé-ADM'!D12</f>
        <v>70.577861666529955</v>
      </c>
      <c r="E5" s="2384">
        <f>'Solde créances Privé-ADM'!E12</f>
        <v>69.613083176529869</v>
      </c>
      <c r="F5" s="2385">
        <f t="shared" ref="F5:F33" si="1">+(E5-D5)/D5*100</f>
        <v>-1.3669704170955512</v>
      </c>
      <c r="G5" s="2385">
        <f t="shared" si="0"/>
        <v>119.91989007851707</v>
      </c>
      <c r="H5" s="2385">
        <v>67.22002400397848</v>
      </c>
      <c r="I5" s="2385">
        <f>+E5-H5</f>
        <v>2.3930591725513892</v>
      </c>
      <c r="J5" s="2386">
        <f>+E5/H5*100</f>
        <v>103.56003915203861</v>
      </c>
      <c r="K5" s="2387">
        <v>75.126948818877011</v>
      </c>
      <c r="L5" s="2388">
        <f>+(E5-K5)/K5</f>
        <v>-7.3393978180059979E-2</v>
      </c>
      <c r="M5" s="2389">
        <v>44.934520326055974</v>
      </c>
      <c r="N5" s="2390">
        <v>80.014546338001807</v>
      </c>
    </row>
    <row r="6" spans="2:14" ht="15.6">
      <c r="B6" s="2391" t="s">
        <v>1126</v>
      </c>
      <c r="C6" s="2384">
        <f>'Solde créances Privé-ADM'!C13</f>
        <v>5.8757628900000007</v>
      </c>
      <c r="D6" s="2384">
        <f>'Solde créances Privé-ADM'!D13</f>
        <v>8.7228999999999992</v>
      </c>
      <c r="E6" s="2384">
        <f>'Solde créances Privé-ADM'!E13</f>
        <v>9.5905406399999897</v>
      </c>
      <c r="F6" s="2385">
        <f t="shared" si="1"/>
        <v>9.9466993775004937</v>
      </c>
      <c r="G6" s="2385"/>
      <c r="H6" s="2385"/>
      <c r="I6" s="2385"/>
      <c r="J6" s="2386"/>
      <c r="K6" s="2387"/>
      <c r="L6" s="2388"/>
      <c r="M6" s="2389"/>
      <c r="N6" s="2390"/>
    </row>
    <row r="7" spans="2:14" ht="15.6">
      <c r="B7" s="2704" t="s">
        <v>1105</v>
      </c>
      <c r="C7" s="2703">
        <f>C5-C6</f>
        <v>25.778073946529979</v>
      </c>
      <c r="D7" s="2703">
        <f>D5-D6</f>
        <v>61.85496166652996</v>
      </c>
      <c r="E7" s="2703">
        <f>E5-E6</f>
        <v>60.022542536529883</v>
      </c>
      <c r="F7" s="2401">
        <f>+(E7-D7)/D7*100</f>
        <v>-2.9624448558855185</v>
      </c>
      <c r="G7" s="2385"/>
      <c r="H7" s="2385"/>
      <c r="I7" s="2385"/>
      <c r="J7" s="2386"/>
      <c r="K7" s="2387"/>
      <c r="L7" s="2388"/>
      <c r="M7" s="2389"/>
      <c r="N7" s="2390"/>
    </row>
    <row r="8" spans="2:14" ht="15.6">
      <c r="B8" s="2383" t="s">
        <v>1127</v>
      </c>
      <c r="C8" s="2384">
        <f>'Solde créances Privé-ADM'!C15</f>
        <v>3454.6608755000007</v>
      </c>
      <c r="D8" s="2384">
        <f>'Solde créances Privé-ADM'!D15</f>
        <v>3571.6696945300009</v>
      </c>
      <c r="E8" s="2384">
        <f>'Solde créances Privé-ADM'!E15</f>
        <v>5875.6458357400006</v>
      </c>
      <c r="F8" s="2385">
        <f>+(E8-D8)/D8*100</f>
        <v>64.50697679963325</v>
      </c>
      <c r="G8" s="2385">
        <f t="shared" si="0"/>
        <v>70.078802159983525</v>
      </c>
      <c r="H8" s="2385">
        <v>3527.2881482301214</v>
      </c>
      <c r="I8" s="2385">
        <f>+E8-H8</f>
        <v>2348.3576875098793</v>
      </c>
      <c r="J8" s="2386">
        <f>+E8/H8*100</f>
        <v>166.57685986579261</v>
      </c>
      <c r="K8" s="2387">
        <v>6223.4440166172408</v>
      </c>
      <c r="L8" s="2388">
        <f>+(E8-K8)/K8</f>
        <v>-5.5885162612306458E-2</v>
      </c>
      <c r="M8" s="2389">
        <v>215.65258430263393</v>
      </c>
      <c r="N8" s="2390">
        <v>39.177108042692041</v>
      </c>
    </row>
    <row r="9" spans="2:14" ht="15.6">
      <c r="B9" s="2391" t="s">
        <v>1128</v>
      </c>
      <c r="C9" s="2385">
        <f>'Solde créances Privé-ADM'!C18</f>
        <v>2706.1337317370007</v>
      </c>
      <c r="D9" s="2385">
        <f>'Solde créances Privé-ADM'!D18</f>
        <v>2273.8654065800001</v>
      </c>
      <c r="E9" s="2385">
        <f>'Solde créances Privé-ADM'!E18</f>
        <v>4566.565232330001</v>
      </c>
      <c r="F9" s="2385">
        <f t="shared" si="1"/>
        <v>100.82829964849715</v>
      </c>
      <c r="G9" s="2385">
        <f t="shared" si="0"/>
        <v>68.748690383414086</v>
      </c>
      <c r="H9" s="2385">
        <v>3528.28814823012</v>
      </c>
      <c r="I9" s="2385">
        <f>+E9-H9</f>
        <v>1038.277084099881</v>
      </c>
      <c r="J9" s="2386">
        <f>+E9/H9*100</f>
        <v>129.42721910682684</v>
      </c>
      <c r="K9" s="2387"/>
      <c r="L9" s="2388"/>
      <c r="M9" s="2389"/>
      <c r="N9" s="2390"/>
    </row>
    <row r="10" spans="2:14" ht="15.6">
      <c r="B10" s="2704" t="s">
        <v>1129</v>
      </c>
      <c r="C10" s="2703">
        <f>C8-C9</f>
        <v>748.52714376299991</v>
      </c>
      <c r="D10" s="2703">
        <f>D8-D9</f>
        <v>1297.8042879500008</v>
      </c>
      <c r="E10" s="2703">
        <f>E8-E9</f>
        <v>1309.0806034099996</v>
      </c>
      <c r="F10" s="2703">
        <f t="shared" si="1"/>
        <v>0.86887642186872416</v>
      </c>
      <c r="G10" s="2385">
        <f t="shared" si="0"/>
        <v>74.887526032654222</v>
      </c>
      <c r="H10" s="2385"/>
      <c r="I10" s="2385"/>
      <c r="J10" s="2386"/>
      <c r="K10" s="2387"/>
      <c r="L10" s="2392"/>
      <c r="M10" s="2389"/>
      <c r="N10" s="2390"/>
    </row>
    <row r="11" spans="2:14" ht="15.6">
      <c r="B11" s="2393" t="s">
        <v>1130</v>
      </c>
      <c r="C11" s="2394">
        <f>C4+C5+C8</f>
        <v>12101.895444761532</v>
      </c>
      <c r="D11" s="2394">
        <f>D4+D5+D8</f>
        <v>17489.334094258684</v>
      </c>
      <c r="E11" s="2394">
        <f>E4+E5+E8</f>
        <v>20612.566991601532</v>
      </c>
      <c r="F11" s="2394">
        <f t="shared" si="1"/>
        <v>17.857929184211358</v>
      </c>
      <c r="G11" s="2394">
        <f t="shared" si="0"/>
        <v>70.325112175084598</v>
      </c>
      <c r="H11" s="2394">
        <f>H4+H5+H8</f>
        <v>13014.329116590312</v>
      </c>
      <c r="I11" s="2394">
        <f>+E11-H11</f>
        <v>7598.2378750112202</v>
      </c>
      <c r="J11" s="2395">
        <f>+E11/H11*100</f>
        <v>158.38363089592681</v>
      </c>
      <c r="K11" s="2396">
        <f>+K8+K5+K4</f>
        <v>19446.582352738536</v>
      </c>
      <c r="L11" s="2397">
        <f>+(E11-K11)/K11</f>
        <v>5.9958331891608589E-2</v>
      </c>
      <c r="M11" s="2398">
        <v>118.17825037605468</v>
      </c>
      <c r="N11" s="2399">
        <v>59.152459197829344</v>
      </c>
    </row>
    <row r="12" spans="2:14" ht="15.6">
      <c r="B12" s="2400" t="s">
        <v>1131</v>
      </c>
      <c r="C12" s="2385">
        <f>'Solde créances Privé-ADM'!C30</f>
        <v>452.15911641999958</v>
      </c>
      <c r="D12" s="2385">
        <f>'Solde créances Privé-ADM'!D30</f>
        <v>862.20700896999972</v>
      </c>
      <c r="E12" s="2385">
        <f>'Solde créances Privé-ADM'!E30</f>
        <v>736.78042719999962</v>
      </c>
      <c r="F12" s="2384">
        <f t="shared" si="1"/>
        <v>-14.547154043648499</v>
      </c>
      <c r="G12" s="2385">
        <f t="shared" si="0"/>
        <v>62.947157415183518</v>
      </c>
      <c r="H12" s="2385">
        <v>238.01977992383007</v>
      </c>
      <c r="I12" s="2385">
        <f>+E12-H12</f>
        <v>498.76064727616955</v>
      </c>
      <c r="J12" s="2386">
        <f>+E12/H12*100</f>
        <v>309.54588204214815</v>
      </c>
      <c r="K12" s="2387">
        <v>479.9085700597181</v>
      </c>
      <c r="L12" s="2388">
        <f>+(E12-K12)/K12</f>
        <v>0.53525165659850027</v>
      </c>
      <c r="M12" s="2389">
        <v>36.758750382341766</v>
      </c>
      <c r="N12" s="2390">
        <v>82.024889704834308</v>
      </c>
    </row>
    <row r="13" spans="2:14" ht="15.6">
      <c r="B13" s="2391" t="s">
        <v>1132</v>
      </c>
      <c r="C13" s="2385">
        <f>'Solde créances Privé-ADM'!C31</f>
        <v>162.82734013000001</v>
      </c>
      <c r="D13" s="2385">
        <f>'Solde créances Privé-ADM'!D31</f>
        <v>500.69657533000003</v>
      </c>
      <c r="E13" s="2385">
        <f>'Solde créances Privé-ADM'!E31</f>
        <v>356.31503320000007</v>
      </c>
      <c r="F13" s="2384">
        <f t="shared" si="1"/>
        <v>-28.836135345012238</v>
      </c>
      <c r="G13" s="2385"/>
      <c r="H13" s="2385"/>
      <c r="I13" s="2385"/>
      <c r="J13" s="2386"/>
      <c r="K13" s="2387"/>
      <c r="L13" s="2388"/>
      <c r="M13" s="2389"/>
      <c r="N13" s="2390"/>
    </row>
    <row r="14" spans="2:14" ht="15.6">
      <c r="B14" s="2391" t="s">
        <v>1133</v>
      </c>
      <c r="C14" s="2385">
        <v>133</v>
      </c>
      <c r="D14" s="2739">
        <v>167.04490772</v>
      </c>
      <c r="E14" s="2739">
        <v>192.43307659999999</v>
      </c>
      <c r="F14" s="2384">
        <f t="shared" si="1"/>
        <v>15.198409353822113</v>
      </c>
      <c r="G14" s="2385"/>
      <c r="H14" s="2385"/>
      <c r="I14" s="2385"/>
      <c r="J14" s="2386"/>
      <c r="K14" s="2387"/>
      <c r="L14" s="2388"/>
      <c r="M14" s="2389"/>
      <c r="N14" s="2390"/>
    </row>
    <row r="15" spans="2:14" ht="15.6">
      <c r="B15" s="2704" t="s">
        <v>1134</v>
      </c>
      <c r="C15" s="2401">
        <f>C12-C13-C14</f>
        <v>156.33177628999954</v>
      </c>
      <c r="D15" s="2401">
        <f>D12-D13-D14</f>
        <v>194.46552591999969</v>
      </c>
      <c r="E15" s="2401">
        <f>E12-E13-E14</f>
        <v>188.03231739999956</v>
      </c>
      <c r="F15" s="2384">
        <f t="shared" si="1"/>
        <v>-3.3081485726404098</v>
      </c>
      <c r="G15" s="2385"/>
      <c r="H15" s="2385"/>
      <c r="I15" s="2385"/>
      <c r="J15" s="2386"/>
      <c r="K15" s="2387"/>
      <c r="L15" s="2388"/>
      <c r="M15" s="2389"/>
      <c r="N15" s="2390"/>
    </row>
    <row r="16" spans="2:14" ht="15.6">
      <c r="B16" s="2393" t="s">
        <v>1135</v>
      </c>
      <c r="C16" s="2394">
        <f>C11+C12</f>
        <v>12554.054561181532</v>
      </c>
      <c r="D16" s="2394">
        <f>D11+D12</f>
        <v>18351.541103228683</v>
      </c>
      <c r="E16" s="2394">
        <f>E11+E12</f>
        <v>21349.347418801532</v>
      </c>
      <c r="F16" s="2394">
        <f t="shared" si="1"/>
        <v>16.335447245056869</v>
      </c>
      <c r="G16" s="2394">
        <f t="shared" si="0"/>
        <v>70.059380535241402</v>
      </c>
      <c r="H16" s="2394" t="e">
        <f>+#REF!+#REF!</f>
        <v>#REF!</v>
      </c>
      <c r="I16" s="2394">
        <f>I11+I12</f>
        <v>8096.9985222873902</v>
      </c>
      <c r="J16" s="2395" t="e">
        <f>+E16/H16*100</f>
        <v>#REF!</v>
      </c>
      <c r="K16" s="2396" t="e">
        <f>+#REF!+#REF!</f>
        <v>#REF!</v>
      </c>
      <c r="L16" s="2397" t="e">
        <f>+(E16-K16)/K16</f>
        <v>#REF!</v>
      </c>
      <c r="M16" s="2398">
        <v>111.60123264510845</v>
      </c>
      <c r="N16" s="2399">
        <v>60.474301777978582</v>
      </c>
    </row>
    <row r="17" spans="1:15" ht="16.5" customHeight="1">
      <c r="B17" s="2705" t="s">
        <v>1136</v>
      </c>
      <c r="C17" s="2703">
        <f>C16-(C6+C9+C13+C14)</f>
        <v>9546.2177264245329</v>
      </c>
      <c r="D17" s="2703">
        <f>D16-(D6+D9+D13+D14)</f>
        <v>15401.211313598682</v>
      </c>
      <c r="E17" s="2703">
        <f>E16-(E6+E9+E13+E14)</f>
        <v>16224.443536031529</v>
      </c>
      <c r="F17" s="2703">
        <f t="shared" si="1"/>
        <v>5.3452433426841219</v>
      </c>
      <c r="G17" s="2394">
        <f t="shared" si="0"/>
        <v>69.956772420151765</v>
      </c>
      <c r="H17" s="2394"/>
      <c r="I17" s="2394"/>
      <c r="J17" s="2395"/>
      <c r="K17" s="2396"/>
      <c r="L17" s="2397"/>
      <c r="M17" s="2398"/>
      <c r="N17" s="2399"/>
    </row>
    <row r="18" spans="1:15" ht="15.75" customHeight="1">
      <c r="A18" s="2402"/>
      <c r="B18" s="2383" t="s">
        <v>1137</v>
      </c>
      <c r="C18" s="2385">
        <f>'Solde créances Privé-ADM'!C20</f>
        <v>2151.6429324700057</v>
      </c>
      <c r="D18" s="2385">
        <f>'Solde créances Privé-ADM'!D20</f>
        <v>2926.0344933700053</v>
      </c>
      <c r="E18" s="2385">
        <f>'Solde créances Privé-ADM'!E20</f>
        <v>3123.0058855600018</v>
      </c>
      <c r="F18" s="2385">
        <f t="shared" si="1"/>
        <v>6.7316838757816022</v>
      </c>
      <c r="G18" s="2385">
        <f t="shared" si="0"/>
        <v>45.1451743424225</v>
      </c>
      <c r="H18" s="2385">
        <v>3264.7143721576558</v>
      </c>
      <c r="I18" s="2385">
        <f>+E18-H18</f>
        <v>-141.70848659765397</v>
      </c>
      <c r="J18" s="2386">
        <f>+E18/H18*100</f>
        <v>95.659390977471688</v>
      </c>
      <c r="K18" s="2387">
        <v>4579.3985859360064</v>
      </c>
      <c r="L18" s="2388">
        <f>+(E18-K18)/K18</f>
        <v>-0.31803143426929392</v>
      </c>
      <c r="M18" s="2389">
        <v>295.19944818770495</v>
      </c>
      <c r="N18" s="2390">
        <v>37.261848894153573</v>
      </c>
    </row>
    <row r="19" spans="1:15" ht="15.75" customHeight="1">
      <c r="B19" s="2391" t="s">
        <v>1138</v>
      </c>
      <c r="C19" s="2385">
        <f>'Solde créances Privé-ADM'!C21</f>
        <v>21.678000000000001</v>
      </c>
      <c r="D19" s="2385">
        <f>'Solde créances Privé-ADM'!D21</f>
        <v>18.17017289</v>
      </c>
      <c r="E19" s="2385">
        <f>'Solde créances Privé-ADM'!E21</f>
        <v>49.747994019999979</v>
      </c>
      <c r="F19" s="2385">
        <f t="shared" si="1"/>
        <v>173.78932672335173</v>
      </c>
      <c r="G19" s="2385"/>
      <c r="H19" s="2385"/>
      <c r="I19" s="2385"/>
      <c r="J19" s="2386"/>
      <c r="K19" s="2387"/>
      <c r="L19" s="2388"/>
      <c r="M19" s="2389"/>
      <c r="N19" s="2390"/>
    </row>
    <row r="20" spans="1:15" ht="15.75" customHeight="1">
      <c r="B20" s="2704" t="s">
        <v>1139</v>
      </c>
      <c r="C20" s="2401">
        <f>C18-C19</f>
        <v>2129.9649324700058</v>
      </c>
      <c r="D20" s="2401">
        <f>D18-D19</f>
        <v>2907.8643204800055</v>
      </c>
      <c r="E20" s="2401">
        <f>E18-E19</f>
        <v>3073.2578915400018</v>
      </c>
      <c r="F20" s="2401">
        <f t="shared" si="1"/>
        <v>5.6878022091723484</v>
      </c>
      <c r="G20" s="2385"/>
      <c r="H20" s="2385"/>
      <c r="I20" s="2385"/>
      <c r="J20" s="2386"/>
      <c r="K20" s="2387"/>
      <c r="L20" s="2388"/>
      <c r="M20" s="2389"/>
      <c r="N20" s="2390"/>
    </row>
    <row r="21" spans="1:15" ht="15.6">
      <c r="B21" s="2383" t="s">
        <v>1140</v>
      </c>
      <c r="C21" s="2385">
        <f>'Solde créances Privé-ADM'!C23</f>
        <v>3044.4988405719937</v>
      </c>
      <c r="D21" s="2385">
        <f>'Solde créances Privé-ADM'!D23</f>
        <v>3459.7146183699947</v>
      </c>
      <c r="E21" s="2385">
        <f>'Solde créances Privé-ADM'!E23</f>
        <v>4025.1578676899917</v>
      </c>
      <c r="F21" s="2385">
        <f t="shared" si="1"/>
        <v>16.343638469996094</v>
      </c>
      <c r="G21" s="2385">
        <f t="shared" si="0"/>
        <v>32.210852375747791</v>
      </c>
      <c r="H21" s="2385">
        <v>3468.8924531808179</v>
      </c>
      <c r="I21" s="2385">
        <f>+E21-H21</f>
        <v>556.26541450917375</v>
      </c>
      <c r="J21" s="2386">
        <f>+E21/H21*100</f>
        <v>116.03582186582646</v>
      </c>
      <c r="K21" s="2387">
        <v>5772.4526674350018</v>
      </c>
      <c r="L21" s="2388">
        <f>+(E21-K21)/K21</f>
        <v>-0.30269538797646361</v>
      </c>
      <c r="M21" s="2389">
        <v>418.9142045331335</v>
      </c>
      <c r="N21" s="2390">
        <v>28.707510006317293</v>
      </c>
    </row>
    <row r="22" spans="1:15" ht="15.6">
      <c r="B22" s="2391" t="s">
        <v>1141</v>
      </c>
      <c r="C22" s="2403">
        <f>'Solde créances Privé-ADM'!C26</f>
        <v>917.32444040999792</v>
      </c>
      <c r="D22" s="2403">
        <f>'Solde créances Privé-ADM'!D26</f>
        <v>788.4427789799978</v>
      </c>
      <c r="E22" s="2403">
        <f>'Solde créances Privé-ADM'!E26</f>
        <v>1474.683120549998</v>
      </c>
      <c r="F22" s="2385">
        <f t="shared" si="1"/>
        <v>87.037431233473143</v>
      </c>
      <c r="G22" s="2403"/>
      <c r="H22" s="2403"/>
      <c r="I22" s="2403"/>
      <c r="J22" s="2404"/>
      <c r="K22" s="2405"/>
      <c r="L22" s="2406"/>
      <c r="M22" s="2407"/>
      <c r="N22" s="2408"/>
    </row>
    <row r="23" spans="1:15" ht="15.6">
      <c r="B23" s="2391" t="s">
        <v>1142</v>
      </c>
      <c r="C23" s="2403">
        <f>C21-C22</f>
        <v>2127.1744001619959</v>
      </c>
      <c r="D23" s="2403">
        <f>D21-D22</f>
        <v>2671.2718393899968</v>
      </c>
      <c r="E23" s="2403">
        <f>E21-E22</f>
        <v>2550.4747471399937</v>
      </c>
      <c r="F23" s="2385">
        <f t="shared" si="1"/>
        <v>-4.52208159681674</v>
      </c>
      <c r="G23" s="2403"/>
      <c r="H23" s="2403"/>
      <c r="I23" s="2403"/>
      <c r="J23" s="2404"/>
      <c r="K23" s="2405"/>
      <c r="L23" s="2406"/>
      <c r="M23" s="2407"/>
      <c r="N23" s="2408"/>
    </row>
    <row r="24" spans="1:15" ht="16.2" thickBot="1">
      <c r="B24" s="2409" t="s">
        <v>1143</v>
      </c>
      <c r="C24" s="2410">
        <f>C18+C21</f>
        <v>5196.1417730419998</v>
      </c>
      <c r="D24" s="2410">
        <f>D18+D21</f>
        <v>6385.7491117400004</v>
      </c>
      <c r="E24" s="2410">
        <f>E18+E21</f>
        <v>7148.1637532499935</v>
      </c>
      <c r="F24" s="2410">
        <f t="shared" si="1"/>
        <v>11.939314059619372</v>
      </c>
      <c r="G24" s="2410">
        <f t="shared" si="0"/>
        <v>37.566757518727456</v>
      </c>
      <c r="H24" s="2410">
        <f>H18+H21</f>
        <v>6733.6068253384738</v>
      </c>
      <c r="I24" s="2410">
        <f t="shared" ref="I24:I32" si="2">+E24-H24</f>
        <v>414.55692791151978</v>
      </c>
      <c r="J24" s="2411">
        <f t="shared" ref="J24:J32" si="3">+E24/H24*100</f>
        <v>106.15653599422447</v>
      </c>
      <c r="K24" s="2412" t="e">
        <f>+K16+K12</f>
        <v>#REF!</v>
      </c>
      <c r="L24" s="2413" t="e">
        <f t="shared" ref="L24:L32" si="4">+(E24-K24)/K24</f>
        <v>#REF!</v>
      </c>
      <c r="M24" s="2414">
        <v>353.3502687473524</v>
      </c>
      <c r="N24" s="2415">
        <v>32.858929225029904</v>
      </c>
    </row>
    <row r="25" spans="1:15" ht="16.5" customHeight="1" thickBot="1">
      <c r="B25" s="2416" t="s">
        <v>926</v>
      </c>
      <c r="C25" s="2417">
        <f>C24+C16</f>
        <v>17750.196334223532</v>
      </c>
      <c r="D25" s="2417">
        <f>D24+D16</f>
        <v>24737.290214968685</v>
      </c>
      <c r="E25" s="2417">
        <f>E24+E16</f>
        <v>28497.511172051527</v>
      </c>
      <c r="F25" s="2417">
        <f t="shared" si="1"/>
        <v>15.200617870454982</v>
      </c>
      <c r="G25" s="2417">
        <f t="shared" si="0"/>
        <v>60.547582885640949</v>
      </c>
      <c r="H25" s="2417" t="e">
        <f>H24+H16</f>
        <v>#REF!</v>
      </c>
      <c r="I25" s="2417" t="e">
        <f t="shared" si="2"/>
        <v>#REF!</v>
      </c>
      <c r="J25" s="2418" t="e">
        <f t="shared" si="3"/>
        <v>#REF!</v>
      </c>
      <c r="K25" s="2419" t="e">
        <f>+K10+K24</f>
        <v>#REF!</v>
      </c>
      <c r="L25" s="2420" t="e">
        <f t="shared" si="4"/>
        <v>#REF!</v>
      </c>
      <c r="M25" s="2421">
        <v>146.28015924537917</v>
      </c>
      <c r="N25" s="2422">
        <v>54.083179019557484</v>
      </c>
    </row>
    <row r="26" spans="1:15" ht="16.2" thickBot="1">
      <c r="A26" s="2377" t="s">
        <v>1144</v>
      </c>
      <c r="B26" s="2416" t="s">
        <v>1145</v>
      </c>
      <c r="C26" s="2417">
        <f>C25-C31</f>
        <v>13936.357059056534</v>
      </c>
      <c r="D26" s="2417">
        <f>D25-D31</f>
        <v>21147.392381188685</v>
      </c>
      <c r="E26" s="2417">
        <f>E25-E31</f>
        <v>22040.609251311529</v>
      </c>
      <c r="F26" s="2417">
        <f t="shared" si="1"/>
        <v>4.2237683683279563</v>
      </c>
      <c r="G26" s="2417">
        <f t="shared" si="0"/>
        <v>58.151869659427611</v>
      </c>
      <c r="H26" s="2417" t="e">
        <f>H25-H31</f>
        <v>#REF!</v>
      </c>
      <c r="I26" s="2417" t="e">
        <f t="shared" si="2"/>
        <v>#REF!</v>
      </c>
      <c r="J26" s="2418" t="e">
        <f t="shared" si="3"/>
        <v>#REF!</v>
      </c>
      <c r="K26" s="2419" t="e">
        <f>+#REF!-K25</f>
        <v>#REF!</v>
      </c>
      <c r="L26" s="2420" t="e">
        <f t="shared" si="4"/>
        <v>#REF!</v>
      </c>
      <c r="M26" s="2421">
        <v>108.16011236569059</v>
      </c>
      <c r="N26" s="2422">
        <v>62.872280406941073</v>
      </c>
    </row>
    <row r="27" spans="1:15" ht="15.6">
      <c r="A27" s="2402"/>
      <c r="B27" s="2383" t="s">
        <v>1146</v>
      </c>
      <c r="C27" s="2384">
        <f>'Solde créances_DCM'!C30</f>
        <v>3649.6155182329994</v>
      </c>
      <c r="D27" s="2384">
        <f>'Solde créances_DCM'!D30</f>
        <v>2590.606692409001</v>
      </c>
      <c r="E27" s="2384">
        <f>'Solde créances_DCM'!E30</f>
        <v>3738.6930126199954</v>
      </c>
      <c r="F27" s="2385">
        <f t="shared" si="1"/>
        <v>44.317276087301032</v>
      </c>
      <c r="G27" s="2385">
        <f t="shared" si="0"/>
        <v>2.4407363992721032</v>
      </c>
      <c r="H27" s="2385">
        <v>597.76483364460717</v>
      </c>
      <c r="I27" s="2385">
        <f t="shared" si="2"/>
        <v>3140.9281789753882</v>
      </c>
      <c r="J27" s="2386">
        <f t="shared" si="3"/>
        <v>625.4454598516553</v>
      </c>
      <c r="K27" s="2387">
        <v>740.24091501299995</v>
      </c>
      <c r="L27" s="2388">
        <f t="shared" si="4"/>
        <v>4.0506435631896096</v>
      </c>
      <c r="M27" s="2423">
        <v>0</v>
      </c>
      <c r="N27" s="2390">
        <v>0</v>
      </c>
    </row>
    <row r="28" spans="1:15" ht="15.6">
      <c r="B28" s="2383" t="s">
        <v>1124</v>
      </c>
      <c r="C28" s="2384">
        <f>'Solde créances_DCM'!C31</f>
        <v>62.282598036811017</v>
      </c>
      <c r="D28" s="2384">
        <f>'Solde créances_DCM'!D31</f>
        <v>66.685987546810992</v>
      </c>
      <c r="E28" s="2384">
        <f>'Solde créances_DCM'!E31</f>
        <v>65.197170256811049</v>
      </c>
      <c r="F28" s="2385">
        <f t="shared" si="1"/>
        <v>-2.2325789041586148</v>
      </c>
      <c r="G28" s="2385">
        <f t="shared" si="0"/>
        <v>4.6795931959637045</v>
      </c>
      <c r="H28" s="2385">
        <v>55.002414668956135</v>
      </c>
      <c r="I28" s="2385">
        <f t="shared" si="2"/>
        <v>10.194755587854914</v>
      </c>
      <c r="J28" s="2386">
        <f t="shared" si="3"/>
        <v>118.53510550257521</v>
      </c>
      <c r="K28" s="2387">
        <v>62.438892678000009</v>
      </c>
      <c r="L28" s="2388">
        <f t="shared" si="4"/>
        <v>4.4175632534606164E-2</v>
      </c>
      <c r="M28" s="2423">
        <v>0</v>
      </c>
      <c r="N28" s="2390">
        <v>0</v>
      </c>
    </row>
    <row r="29" spans="1:15" ht="16.2" thickBot="1">
      <c r="B29" s="2409" t="s">
        <v>1147</v>
      </c>
      <c r="C29" s="2424">
        <f>+C28+C27</f>
        <v>3711.8981162698105</v>
      </c>
      <c r="D29" s="2424">
        <f>+D28+D27</f>
        <v>2657.2926799558118</v>
      </c>
      <c r="E29" s="2424">
        <f>+E28+E27</f>
        <v>3803.8901828768066</v>
      </c>
      <c r="F29" s="2410">
        <f t="shared" si="1"/>
        <v>43.14908596895927</v>
      </c>
      <c r="G29" s="2410">
        <f t="shared" si="0"/>
        <v>2.4783025752722296</v>
      </c>
      <c r="H29" s="2410">
        <f>+H28+H27</f>
        <v>652.7672483135633</v>
      </c>
      <c r="I29" s="2410">
        <f t="shared" si="2"/>
        <v>3151.1229345632432</v>
      </c>
      <c r="J29" s="2411">
        <f t="shared" si="3"/>
        <v>582.7330021082139</v>
      </c>
      <c r="K29" s="2412">
        <f>+K28+K27</f>
        <v>802.67980769099995</v>
      </c>
      <c r="L29" s="2413">
        <f t="shared" si="4"/>
        <v>3.7389882571222648</v>
      </c>
      <c r="M29" s="2425">
        <v>0</v>
      </c>
      <c r="N29" s="2415">
        <v>0</v>
      </c>
    </row>
    <row r="30" spans="1:15" ht="16.2" thickBot="1">
      <c r="B30" s="2416" t="s">
        <v>1148</v>
      </c>
      <c r="C30" s="2426">
        <f>C25+C29</f>
        <v>21462.094450493343</v>
      </c>
      <c r="D30" s="2426">
        <f>D25+D29</f>
        <v>27394.582894924497</v>
      </c>
      <c r="E30" s="2426">
        <f>E25+E29</f>
        <v>32301.401354928334</v>
      </c>
      <c r="F30" s="2417">
        <f t="shared" si="1"/>
        <v>17.911637781909583</v>
      </c>
      <c r="G30" s="2417">
        <f t="shared" si="0"/>
        <v>50.504422713440398</v>
      </c>
      <c r="H30" s="2417" t="e">
        <f>H25+H29</f>
        <v>#REF!</v>
      </c>
      <c r="I30" s="2417" t="e">
        <f t="shared" si="2"/>
        <v>#REF!</v>
      </c>
      <c r="J30" s="2418" t="e">
        <f t="shared" si="3"/>
        <v>#REF!</v>
      </c>
      <c r="K30" s="2419" t="e">
        <f>+K28+K16</f>
        <v>#REF!</v>
      </c>
      <c r="L30" s="2420" t="e">
        <f t="shared" si="4"/>
        <v>#REF!</v>
      </c>
      <c r="M30" s="2421">
        <v>150.01495159831023</v>
      </c>
      <c r="N30" s="2422">
        <v>53.4067788567015</v>
      </c>
    </row>
    <row r="31" spans="1:15" ht="16.2" thickBot="1">
      <c r="B31" s="2427" t="s">
        <v>1149</v>
      </c>
      <c r="C31" s="2428">
        <f>C6+C9+C13+C19+C22</f>
        <v>3813.839275166998</v>
      </c>
      <c r="D31" s="2428">
        <f>D6+D9+D13+D19+D22</f>
        <v>3589.8978337799981</v>
      </c>
      <c r="E31" s="2428">
        <f>E6+E9+E13+E19+E22</f>
        <v>6456.9019207399997</v>
      </c>
      <c r="F31" s="2429">
        <f t="shared" si="1"/>
        <v>79.863110865781309</v>
      </c>
      <c r="G31" s="2429">
        <f t="shared" si="0"/>
        <v>69.301888592493682</v>
      </c>
      <c r="H31" s="2385">
        <f>H6+H9+H13+H22</f>
        <v>3528.28814823012</v>
      </c>
      <c r="I31" s="2429">
        <f t="shared" si="2"/>
        <v>2928.6137725098797</v>
      </c>
      <c r="J31" s="2430">
        <f t="shared" si="3"/>
        <v>183.00381514981839</v>
      </c>
      <c r="K31" s="2431">
        <v>8636.6056601099626</v>
      </c>
      <c r="L31" s="2432">
        <f t="shared" si="4"/>
        <v>-0.25237967613102885</v>
      </c>
      <c r="M31" s="2433">
        <v>1018.335924746876</v>
      </c>
      <c r="N31" s="2434">
        <v>0</v>
      </c>
      <c r="O31" s="2467">
        <f>D31-[11]créances!$C$21</f>
        <v>2017.18696905</v>
      </c>
    </row>
    <row r="32" spans="1:15" ht="16.2" thickBot="1">
      <c r="B32" s="2416" t="s">
        <v>1150</v>
      </c>
      <c r="C32" s="2426">
        <f>C30-C31</f>
        <v>17648.255175326347</v>
      </c>
      <c r="D32" s="2426">
        <f>D30-D31</f>
        <v>23804.685061144497</v>
      </c>
      <c r="E32" s="2426">
        <f>E30-E31</f>
        <v>25844.499434188336</v>
      </c>
      <c r="F32" s="2417">
        <f t="shared" si="1"/>
        <v>8.5689618148880786</v>
      </c>
      <c r="G32" s="2417">
        <f t="shared" si="0"/>
        <v>46.442235662599579</v>
      </c>
      <c r="H32" s="2417" t="e">
        <f>H30-H31</f>
        <v>#REF!</v>
      </c>
      <c r="I32" s="2417" t="e">
        <f t="shared" si="2"/>
        <v>#REF!</v>
      </c>
      <c r="J32" s="2418" t="e">
        <f t="shared" si="3"/>
        <v>#REF!</v>
      </c>
      <c r="K32" s="2419" t="e">
        <f>+K30+K21</f>
        <v>#REF!</v>
      </c>
      <c r="L32" s="2420" t="e">
        <f t="shared" si="4"/>
        <v>#REF!</v>
      </c>
      <c r="M32" s="2421">
        <v>150.01495159831023</v>
      </c>
      <c r="N32" s="2422">
        <v>53.4067788567015</v>
      </c>
    </row>
    <row r="33" spans="2:18" ht="16.5" customHeight="1" thickBot="1">
      <c r="B33" s="2435" t="s">
        <v>1151</v>
      </c>
      <c r="C33" s="2436">
        <v>3080.7495533529996</v>
      </c>
      <c r="D33" s="2436">
        <f>'Sans ADE APC DSA'!$D$127</f>
        <v>1616.596803553</v>
      </c>
      <c r="E33" s="2436">
        <f>'Sans ADE APC DSA'!$F$127</f>
        <v>4849.6899029530014</v>
      </c>
      <c r="F33" s="2436">
        <f t="shared" si="1"/>
        <v>199.99378275982127</v>
      </c>
    </row>
    <row r="34" spans="2:18" ht="15.75" customHeight="1" thickBot="1">
      <c r="B34" s="2437" t="s">
        <v>1152</v>
      </c>
      <c r="C34" s="2438">
        <f>C30-C33</f>
        <v>18381.344897140345</v>
      </c>
      <c r="D34" s="2438">
        <f>D30-D33</f>
        <v>25777.986091371498</v>
      </c>
      <c r="E34" s="2438">
        <f>E30-E33</f>
        <v>27451.71145197533</v>
      </c>
      <c r="F34" s="2439">
        <f>+(E34-D34)/D34*100</f>
        <v>6.4928476362397731</v>
      </c>
      <c r="O34" s="2377" t="s">
        <v>1216</v>
      </c>
      <c r="Q34" s="2377">
        <v>25769.463271566492</v>
      </c>
      <c r="R34" s="2377">
        <v>31378.913851738336</v>
      </c>
    </row>
    <row r="35" spans="2:18" ht="16.5" customHeight="1">
      <c r="B35" s="2440" t="s">
        <v>1153</v>
      </c>
      <c r="C35" s="2441">
        <v>3236.7384135100001</v>
      </c>
      <c r="D35" s="2441">
        <f>'Sans ADE APC DSA'!$E$16</f>
        <v>2098.8024979299998</v>
      </c>
      <c r="E35" s="2441">
        <f>'Sans ADE APC DSA'!$F$16</f>
        <v>5012.9940810600001</v>
      </c>
      <c r="F35" s="2441">
        <f t="shared" ref="F35:F43" si="5">+(E35-D35)/D35*100</f>
        <v>138.85020558171624</v>
      </c>
    </row>
    <row r="36" spans="2:18" ht="16.5" customHeight="1">
      <c r="B36" s="2442" t="s">
        <v>1154</v>
      </c>
      <c r="C36" s="2443">
        <f>C30-C35</f>
        <v>18225.356036983343</v>
      </c>
      <c r="D36" s="2443">
        <f>D30-D35</f>
        <v>25295.780396994498</v>
      </c>
      <c r="E36" s="2443">
        <f>E30-E35</f>
        <v>27288.407273868332</v>
      </c>
      <c r="F36" s="2444">
        <f t="shared" si="5"/>
        <v>7.8773093599064703</v>
      </c>
      <c r="O36" s="2377" t="s">
        <v>1217</v>
      </c>
      <c r="Q36" s="2377">
        <v>3203.17127213</v>
      </c>
      <c r="R36" s="2377">
        <v>6229.7406186699991</v>
      </c>
    </row>
    <row r="37" spans="2:18" ht="15.6">
      <c r="B37" s="2440" t="s">
        <v>1155</v>
      </c>
      <c r="C37" s="2441">
        <v>31.647322019999997</v>
      </c>
      <c r="D37" s="2441">
        <f>'Sans ADE APC DSA'!$E$32</f>
        <v>88.750371599999994</v>
      </c>
      <c r="E37" s="2441">
        <f>'Sans ADE APC DSA'!$F$32</f>
        <v>63.559995229999998</v>
      </c>
      <c r="F37" s="2441">
        <f t="shared" si="5"/>
        <v>-28.383403827911408</v>
      </c>
      <c r="O37" s="2377" t="s">
        <v>1218</v>
      </c>
      <c r="Q37" s="2377">
        <v>72.289857069999982</v>
      </c>
      <c r="R37" s="2377">
        <v>55.637609699999999</v>
      </c>
    </row>
    <row r="38" spans="2:18" ht="15.6">
      <c r="B38" s="2442" t="s">
        <v>1156</v>
      </c>
      <c r="C38" s="2443">
        <f>C30-C37</f>
        <v>21430.447128473344</v>
      </c>
      <c r="D38" s="2443">
        <f>D30-D37</f>
        <v>27305.832523324498</v>
      </c>
      <c r="E38" s="2443">
        <f>E30-E37</f>
        <v>32237.841359698334</v>
      </c>
      <c r="F38" s="2444">
        <f t="shared" si="5"/>
        <v>18.06210754482926</v>
      </c>
      <c r="O38" s="2377" t="s">
        <v>1219</v>
      </c>
      <c r="Q38" s="2377">
        <v>1771.4267134500001</v>
      </c>
      <c r="R38" s="2377">
        <v>2304.6672199500017</v>
      </c>
    </row>
    <row r="39" spans="2:18" ht="15.6">
      <c r="B39" s="2440" t="s">
        <v>1157</v>
      </c>
      <c r="C39" s="2441">
        <v>1559.7689023199996</v>
      </c>
      <c r="D39" s="2441">
        <f>'Sans ADE APC DSA'!$E$48</f>
        <v>1618.4498626049999</v>
      </c>
      <c r="E39" s="2441">
        <f>'Sans ADE APC DSA'!$F$48</f>
        <v>2566.916150720002</v>
      </c>
      <c r="F39" s="2441">
        <f t="shared" si="5"/>
        <v>58.603377838865157</v>
      </c>
      <c r="O39" s="2377" t="s">
        <v>1220</v>
      </c>
      <c r="Q39" s="2377">
        <v>1924.0623060330008</v>
      </c>
      <c r="R39" s="2377">
        <v>4849.6899029530014</v>
      </c>
    </row>
    <row r="40" spans="2:18" ht="15.6">
      <c r="B40" s="2442" t="s">
        <v>1158</v>
      </c>
      <c r="C40" s="2443">
        <f>C30-C39</f>
        <v>19902.325548173343</v>
      </c>
      <c r="D40" s="2443">
        <f>D30-D39</f>
        <v>25776.133032319496</v>
      </c>
      <c r="E40" s="2443">
        <f>E30-E39</f>
        <v>29734.485204208333</v>
      </c>
      <c r="F40" s="2444">
        <f t="shared" si="5"/>
        <v>15.356656356970392</v>
      </c>
    </row>
    <row r="41" spans="2:18" ht="16.2" thickBot="1">
      <c r="B41" s="2445" t="s">
        <v>1159</v>
      </c>
      <c r="C41" s="2446">
        <f>C35+C37+C39</f>
        <v>4828.1546378499997</v>
      </c>
      <c r="D41" s="2446">
        <f>D35+D37+D39</f>
        <v>3806.0027321349999</v>
      </c>
      <c r="E41" s="2446">
        <f>E35+E37+E39</f>
        <v>7643.4702270100024</v>
      </c>
      <c r="F41" s="2446">
        <f>+(E41-D41)/D41*100</f>
        <v>100.82671413959685</v>
      </c>
      <c r="Q41" s="2377">
        <f>SUM(Q36:Q39)</f>
        <v>6970.9501486830004</v>
      </c>
      <c r="R41" s="2377">
        <f>SUM(R36:R39)</f>
        <v>13439.735351273002</v>
      </c>
    </row>
    <row r="42" spans="2:18" ht="16.2" thickBot="1">
      <c r="B42" s="2447" t="s">
        <v>1160</v>
      </c>
      <c r="C42" s="2448">
        <f>C30-C41</f>
        <v>16633.939812643344</v>
      </c>
      <c r="D42" s="2448">
        <f>D30-D41</f>
        <v>23588.580162789498</v>
      </c>
      <c r="E42" s="2448">
        <f>E30-E41</f>
        <v>24657.931127918331</v>
      </c>
      <c r="F42" s="2449">
        <f t="shared" si="5"/>
        <v>4.533341802469792</v>
      </c>
      <c r="Q42" s="2377">
        <f>Q34-Q41</f>
        <v>18798.513122883491</v>
      </c>
      <c r="R42" s="2377">
        <f>R34-R41</f>
        <v>17939.178500465336</v>
      </c>
    </row>
    <row r="43" spans="2:18" ht="16.2" thickBot="1">
      <c r="B43" s="2447" t="s">
        <v>1161</v>
      </c>
      <c r="C43" s="2448">
        <f t="shared" ref="C43:D43" si="6">C30-C31-C33-C37-C39</f>
        <v>12976.089397633346</v>
      </c>
      <c r="D43" s="2448">
        <f t="shared" si="6"/>
        <v>20480.888023386498</v>
      </c>
      <c r="E43" s="2448">
        <f>E30-E31-E33-E37-E39</f>
        <v>18364.333385285332</v>
      </c>
      <c r="F43" s="2449">
        <f t="shared" si="5"/>
        <v>-10.3342913436387</v>
      </c>
    </row>
    <row r="44" spans="2:18">
      <c r="D44" s="2377">
        <v>18631.468215163492</v>
      </c>
      <c r="E44" s="2467">
        <f>E43-[12]créances!$D$27</f>
        <v>192.43307659999846</v>
      </c>
    </row>
    <row r="45" spans="2:18">
      <c r="D45" s="2467">
        <f>D43-D44</f>
        <v>1849.4198082230068</v>
      </c>
      <c r="E45" s="2467"/>
    </row>
    <row r="47" spans="2:18">
      <c r="D47" s="2467">
        <f>D30-D14</f>
        <v>27227.537987204498</v>
      </c>
      <c r="E47" s="2467">
        <f>E30-E14</f>
        <v>32108.968278328335</v>
      </c>
    </row>
  </sheetData>
  <mergeCells count="8">
    <mergeCell ref="L2:L3"/>
    <mergeCell ref="M2:M3"/>
    <mergeCell ref="B2:B3"/>
    <mergeCell ref="D2:D3"/>
    <mergeCell ref="E2:E3"/>
    <mergeCell ref="I2:I3"/>
    <mergeCell ref="J2:J3"/>
    <mergeCell ref="K2:K3"/>
  </mergeCells>
  <conditionalFormatting sqref="F33:F43">
    <cfRule type="cellIs" dxfId="9" priority="67" operator="lessThan">
      <formula>0</formula>
    </cfRule>
    <cfRule type="cellIs" dxfId="8" priority="68" operator="greaterThan">
      <formula>0</formula>
    </cfRule>
  </conditionalFormatting>
  <conditionalFormatting sqref="F4:G32">
    <cfRule type="cellIs" dxfId="7" priority="5" operator="lessThan">
      <formula>0</formula>
    </cfRule>
    <cfRule type="cellIs" dxfId="6" priority="6" operator="greaterThan">
      <formula>0</formula>
    </cfRule>
  </conditionalFormatting>
  <conditionalFormatting sqref="I4:I32">
    <cfRule type="cellIs" dxfId="5" priority="3" operator="lessThan">
      <formula>0</formula>
    </cfRule>
    <cfRule type="cellIs" dxfId="4" priority="4" operator="greaterThan">
      <formula>0</formula>
    </cfRule>
  </conditionalFormatting>
  <conditionalFormatting sqref="J4:J32 L4:L32">
    <cfRule type="cellIs" dxfId="3" priority="1" operator="lessThan">
      <formula>100</formula>
    </cfRule>
    <cfRule type="cellIs" dxfId="2" priority="2" operator="greaterThan">
      <formula>100</formula>
    </cfRule>
  </conditionalFormatting>
  <pageMargins left="0.7" right="0.7" top="0.75" bottom="0.75" header="0.3" footer="0.3"/>
  <pageSetup paperSize="9" orientation="portrait" horizontalDpi="360" verticalDpi="360" r:id="rId1"/>
</worksheet>
</file>

<file path=xl/worksheets/sheet3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100-000000000000}">
  <sheetPr codeName="Feuil10">
    <tabColor theme="1" tint="4.9989318521683403E-2"/>
  </sheetPr>
  <dimension ref="A1:O101"/>
  <sheetViews>
    <sheetView showGridLines="0" showOutlineSymbols="0" workbookViewId="0">
      <selection activeCell="D9" sqref="D9"/>
    </sheetView>
  </sheetViews>
  <sheetFormatPr baseColWidth="10" defaultColWidth="12.5546875" defaultRowHeight="15.6"/>
  <cols>
    <col min="1" max="1" width="17.5546875" style="288" customWidth="1"/>
    <col min="2" max="2" width="12.44140625" style="288" customWidth="1"/>
    <col min="3" max="3" width="16" style="288" customWidth="1"/>
    <col min="4" max="4" width="15.5546875" style="288" customWidth="1"/>
    <col min="5" max="16384" width="12.5546875" style="288"/>
  </cols>
  <sheetData>
    <row r="1" spans="1:13">
      <c r="A1" s="3333" t="s">
        <v>396</v>
      </c>
      <c r="B1" s="3333"/>
      <c r="C1" s="3333"/>
      <c r="D1" s="3333"/>
      <c r="E1" s="3333"/>
      <c r="F1" s="3333"/>
      <c r="G1" s="3333"/>
    </row>
    <row r="2" spans="1:13" ht="15.75" customHeight="1">
      <c r="A2" s="3331" t="s">
        <v>16</v>
      </c>
      <c r="B2" s="3331"/>
      <c r="C2" s="3331"/>
      <c r="D2" s="3331"/>
      <c r="E2" s="3331"/>
      <c r="F2" s="3331"/>
      <c r="G2" s="3331"/>
      <c r="H2" s="3331"/>
      <c r="I2" s="3331"/>
      <c r="J2" s="3331"/>
      <c r="K2" s="611"/>
      <c r="L2" s="611"/>
      <c r="M2" s="611"/>
    </row>
    <row r="3" spans="1:13" ht="29.25" customHeight="1">
      <c r="A3" s="3338" t="s">
        <v>37</v>
      </c>
      <c r="B3" s="3340" t="s">
        <v>659</v>
      </c>
      <c r="C3" s="3341"/>
      <c r="D3" s="3342"/>
      <c r="E3" s="3340" t="s">
        <v>708</v>
      </c>
      <c r="F3" s="3341"/>
      <c r="G3" s="3342"/>
      <c r="H3" s="3334" t="s">
        <v>38</v>
      </c>
      <c r="I3" s="3335"/>
      <c r="J3" s="3336"/>
    </row>
    <row r="4" spans="1:13" ht="27.6">
      <c r="A4" s="3339"/>
      <c r="B4" s="290" t="s">
        <v>39</v>
      </c>
      <c r="C4" s="291" t="s">
        <v>40</v>
      </c>
      <c r="D4" s="292" t="s">
        <v>41</v>
      </c>
      <c r="E4" s="290" t="s">
        <v>39</v>
      </c>
      <c r="F4" s="291" t="s">
        <v>40</v>
      </c>
      <c r="G4" s="292" t="s">
        <v>41</v>
      </c>
      <c r="H4" s="293" t="s">
        <v>39</v>
      </c>
      <c r="I4" s="612" t="s">
        <v>42</v>
      </c>
      <c r="J4" s="613" t="s">
        <v>41</v>
      </c>
    </row>
    <row r="5" spans="1:13">
      <c r="A5" s="294" t="s">
        <v>43</v>
      </c>
      <c r="B5" s="295">
        <v>22687</v>
      </c>
      <c r="C5" s="296">
        <v>14334</v>
      </c>
      <c r="D5" s="297">
        <v>37021</v>
      </c>
      <c r="E5" s="295"/>
      <c r="F5" s="296">
        <f>G5-E5</f>
        <v>0</v>
      </c>
      <c r="G5" s="297"/>
      <c r="H5" s="298">
        <f>+(E5/B5)*100-100</f>
        <v>-100</v>
      </c>
      <c r="I5" s="299">
        <f t="shared" ref="I5:J20" si="0">+(F5/C5)*100-100</f>
        <v>-100</v>
      </c>
      <c r="J5" s="614">
        <f t="shared" si="0"/>
        <v>-100</v>
      </c>
    </row>
    <row r="6" spans="1:13">
      <c r="A6" s="294" t="s">
        <v>7</v>
      </c>
      <c r="B6" s="295">
        <v>21234</v>
      </c>
      <c r="C6" s="296">
        <v>12619</v>
      </c>
      <c r="D6" s="297">
        <v>33853</v>
      </c>
      <c r="E6" s="295"/>
      <c r="F6" s="296">
        <f t="shared" ref="F6:F19" si="1">G6-E6</f>
        <v>0</v>
      </c>
      <c r="G6" s="297"/>
      <c r="H6" s="298">
        <f t="shared" ref="H6:H20" si="2">+(E6/B6)*100-100</f>
        <v>-100</v>
      </c>
      <c r="I6" s="299">
        <f t="shared" si="0"/>
        <v>-100</v>
      </c>
      <c r="J6" s="614">
        <f t="shared" si="0"/>
        <v>-100</v>
      </c>
    </row>
    <row r="7" spans="1:13">
      <c r="A7" s="294" t="s">
        <v>8</v>
      </c>
      <c r="B7" s="295">
        <v>10451</v>
      </c>
      <c r="C7" s="296">
        <v>3802</v>
      </c>
      <c r="D7" s="297">
        <v>14253</v>
      </c>
      <c r="E7" s="295">
        <v>64336</v>
      </c>
      <c r="F7" s="296">
        <f t="shared" si="1"/>
        <v>96567</v>
      </c>
      <c r="G7" s="297">
        <v>160903</v>
      </c>
      <c r="H7" s="298">
        <f>+(E7/B7)*100-100</f>
        <v>515.5965936274041</v>
      </c>
      <c r="I7" s="299">
        <f>+(F7/C7)*100-100</f>
        <v>2439.9000526038926</v>
      </c>
      <c r="J7" s="614">
        <f t="shared" si="0"/>
        <v>1028.906195186978</v>
      </c>
    </row>
    <row r="8" spans="1:13">
      <c r="A8" s="294" t="s">
        <v>44</v>
      </c>
      <c r="B8" s="295">
        <v>48306</v>
      </c>
      <c r="C8" s="296">
        <v>18723</v>
      </c>
      <c r="D8" s="297">
        <v>67029</v>
      </c>
      <c r="E8" s="295"/>
      <c r="F8" s="296">
        <f t="shared" si="1"/>
        <v>0</v>
      </c>
      <c r="G8" s="297"/>
      <c r="H8" s="298">
        <f t="shared" si="2"/>
        <v>-100</v>
      </c>
      <c r="I8" s="299">
        <f t="shared" si="0"/>
        <v>-100</v>
      </c>
      <c r="J8" s="614">
        <f t="shared" si="0"/>
        <v>-100</v>
      </c>
    </row>
    <row r="9" spans="1:13">
      <c r="A9" s="294" t="s">
        <v>3</v>
      </c>
      <c r="B9" s="295">
        <v>32646</v>
      </c>
      <c r="C9" s="296">
        <v>12221</v>
      </c>
      <c r="D9" s="297">
        <v>44867</v>
      </c>
      <c r="E9" s="295">
        <v>90781</v>
      </c>
      <c r="F9" s="296">
        <f t="shared" si="1"/>
        <v>213407</v>
      </c>
      <c r="G9" s="297">
        <v>304188</v>
      </c>
      <c r="H9" s="298">
        <f t="shared" si="2"/>
        <v>178.07694663971085</v>
      </c>
      <c r="I9" s="299">
        <f t="shared" si="0"/>
        <v>1646.2318959168645</v>
      </c>
      <c r="J9" s="614">
        <f t="shared" si="0"/>
        <v>577.97713241357792</v>
      </c>
    </row>
    <row r="10" spans="1:13" hidden="1">
      <c r="A10" s="294" t="s">
        <v>293</v>
      </c>
      <c r="B10" s="295"/>
      <c r="C10" s="296">
        <v>0</v>
      </c>
      <c r="D10" s="297"/>
      <c r="E10" s="295"/>
      <c r="F10" s="296">
        <f t="shared" si="1"/>
        <v>0</v>
      </c>
      <c r="G10" s="297"/>
      <c r="H10" s="298" t="e">
        <f>+(E10/B10)*100-100</f>
        <v>#DIV/0!</v>
      </c>
      <c r="I10" s="299" t="e">
        <f>+(F10/C10)*100-100</f>
        <v>#DIV/0!</v>
      </c>
      <c r="J10" s="614" t="e">
        <f t="shared" si="0"/>
        <v>#DIV/0!</v>
      </c>
      <c r="K10" s="615"/>
    </row>
    <row r="11" spans="1:13">
      <c r="A11" s="294" t="s">
        <v>9</v>
      </c>
      <c r="B11" s="295">
        <v>19568</v>
      </c>
      <c r="C11" s="296">
        <v>11538</v>
      </c>
      <c r="D11" s="297">
        <v>31106</v>
      </c>
      <c r="E11" s="295"/>
      <c r="F11" s="296">
        <f t="shared" si="1"/>
        <v>0</v>
      </c>
      <c r="G11" s="297"/>
      <c r="H11" s="298">
        <f t="shared" si="2"/>
        <v>-100</v>
      </c>
      <c r="I11" s="299">
        <f t="shared" si="0"/>
        <v>-100</v>
      </c>
      <c r="J11" s="614">
        <f t="shared" si="0"/>
        <v>-100</v>
      </c>
    </row>
    <row r="12" spans="1:13">
      <c r="A12" s="294" t="s">
        <v>5</v>
      </c>
      <c r="B12" s="295">
        <v>21917</v>
      </c>
      <c r="C12" s="296">
        <v>10364</v>
      </c>
      <c r="D12" s="297">
        <v>32281</v>
      </c>
      <c r="E12" s="295">
        <v>46607</v>
      </c>
      <c r="F12" s="296">
        <f t="shared" si="1"/>
        <v>143767</v>
      </c>
      <c r="G12" s="297">
        <v>190374</v>
      </c>
      <c r="H12" s="298">
        <f t="shared" si="2"/>
        <v>112.65227905279005</v>
      </c>
      <c r="I12" s="299">
        <f t="shared" si="0"/>
        <v>1287.1767657275184</v>
      </c>
      <c r="J12" s="614">
        <f t="shared" si="0"/>
        <v>489.74009479260246</v>
      </c>
    </row>
    <row r="13" spans="1:13">
      <c r="A13" s="294" t="s">
        <v>32</v>
      </c>
      <c r="B13" s="295">
        <v>14022</v>
      </c>
      <c r="C13" s="296">
        <v>4250</v>
      </c>
      <c r="D13" s="297">
        <v>18272</v>
      </c>
      <c r="E13" s="295">
        <v>0</v>
      </c>
      <c r="F13" s="296">
        <f t="shared" si="1"/>
        <v>64891</v>
      </c>
      <c r="G13" s="297">
        <v>64891</v>
      </c>
      <c r="H13" s="298">
        <f t="shared" si="2"/>
        <v>-100</v>
      </c>
      <c r="I13" s="299">
        <f t="shared" si="0"/>
        <v>1426.8470588235293</v>
      </c>
      <c r="J13" s="614">
        <f t="shared" si="0"/>
        <v>255.13901050788093</v>
      </c>
    </row>
    <row r="14" spans="1:13">
      <c r="A14" s="294" t="s">
        <v>10</v>
      </c>
      <c r="B14" s="295">
        <v>15697</v>
      </c>
      <c r="C14" s="296">
        <v>2898</v>
      </c>
      <c r="D14" s="297">
        <v>18595</v>
      </c>
      <c r="E14" s="295">
        <v>78465</v>
      </c>
      <c r="F14" s="296">
        <f t="shared" si="1"/>
        <v>119541</v>
      </c>
      <c r="G14" s="297">
        <v>198006</v>
      </c>
      <c r="H14" s="298">
        <f t="shared" si="2"/>
        <v>399.87258711855765</v>
      </c>
      <c r="I14" s="299">
        <f t="shared" si="0"/>
        <v>4024.9482401656314</v>
      </c>
      <c r="J14" s="614">
        <f t="shared" si="0"/>
        <v>964.83463296585114</v>
      </c>
    </row>
    <row r="15" spans="1:13">
      <c r="A15" s="294" t="s">
        <v>64</v>
      </c>
      <c r="B15" s="295">
        <v>22755</v>
      </c>
      <c r="C15" s="296">
        <v>14353</v>
      </c>
      <c r="D15" s="297">
        <v>37108</v>
      </c>
      <c r="E15" s="295">
        <v>62930</v>
      </c>
      <c r="F15" s="296">
        <f t="shared" si="1"/>
        <v>102260</v>
      </c>
      <c r="G15" s="297">
        <v>165190</v>
      </c>
      <c r="H15" s="298">
        <f t="shared" si="2"/>
        <v>176.55460338387167</v>
      </c>
      <c r="I15" s="299">
        <f t="shared" si="0"/>
        <v>612.46429317912634</v>
      </c>
      <c r="J15" s="614">
        <f t="shared" si="0"/>
        <v>345.16007329955806</v>
      </c>
    </row>
    <row r="16" spans="1:13">
      <c r="A16" s="294" t="s">
        <v>563</v>
      </c>
      <c r="B16" s="295">
        <v>35298</v>
      </c>
      <c r="C16" s="296">
        <v>25397</v>
      </c>
      <c r="D16" s="297">
        <v>60695</v>
      </c>
      <c r="E16" s="295"/>
      <c r="F16" s="296">
        <f t="shared" si="1"/>
        <v>0</v>
      </c>
      <c r="G16" s="297"/>
      <c r="H16" s="298">
        <f t="shared" si="2"/>
        <v>-100</v>
      </c>
      <c r="I16" s="299">
        <f t="shared" si="0"/>
        <v>-100</v>
      </c>
      <c r="J16" s="614">
        <f t="shared" si="0"/>
        <v>-100</v>
      </c>
    </row>
    <row r="17" spans="1:11">
      <c r="A17" s="294" t="s">
        <v>48</v>
      </c>
      <c r="B17" s="295">
        <v>1870</v>
      </c>
      <c r="C17" s="296">
        <v>1402</v>
      </c>
      <c r="D17" s="297">
        <v>3272</v>
      </c>
      <c r="E17" s="295">
        <v>5205</v>
      </c>
      <c r="F17" s="296">
        <f t="shared" si="1"/>
        <v>10021</v>
      </c>
      <c r="G17" s="297">
        <v>15226</v>
      </c>
      <c r="H17" s="298">
        <f t="shared" si="2"/>
        <v>178.34224598930479</v>
      </c>
      <c r="I17" s="299">
        <f t="shared" si="0"/>
        <v>614.76462196861621</v>
      </c>
      <c r="J17" s="614">
        <f t="shared" si="0"/>
        <v>365.34229828850852</v>
      </c>
    </row>
    <row r="18" spans="1:11">
      <c r="A18" s="294" t="s">
        <v>397</v>
      </c>
      <c r="B18" s="295">
        <v>41177</v>
      </c>
      <c r="C18" s="296">
        <v>25370</v>
      </c>
      <c r="D18" s="297">
        <v>66547</v>
      </c>
      <c r="E18" s="295"/>
      <c r="F18" s="296">
        <f t="shared" si="1"/>
        <v>0</v>
      </c>
      <c r="G18" s="297"/>
      <c r="H18" s="298">
        <f t="shared" si="2"/>
        <v>-100</v>
      </c>
      <c r="I18" s="299">
        <f t="shared" ref="H18:J19" si="3">+(F18/C18)*100-100</f>
        <v>-100</v>
      </c>
      <c r="J18" s="614">
        <f t="shared" si="3"/>
        <v>-100</v>
      </c>
    </row>
    <row r="19" spans="1:11">
      <c r="A19" s="294" t="s">
        <v>399</v>
      </c>
      <c r="B19" s="295">
        <v>23983</v>
      </c>
      <c r="C19" s="296">
        <v>36572</v>
      </c>
      <c r="D19" s="297">
        <v>60555</v>
      </c>
      <c r="E19" s="295"/>
      <c r="F19" s="296">
        <f t="shared" si="1"/>
        <v>0</v>
      </c>
      <c r="G19" s="297"/>
      <c r="H19" s="298">
        <f t="shared" si="3"/>
        <v>-100</v>
      </c>
      <c r="I19" s="299">
        <f t="shared" si="3"/>
        <v>-100</v>
      </c>
      <c r="J19" s="614">
        <f t="shared" si="3"/>
        <v>-100</v>
      </c>
    </row>
    <row r="20" spans="1:11">
      <c r="A20" s="300" t="s">
        <v>49</v>
      </c>
      <c r="B20" s="301">
        <f t="shared" ref="B20:G20" si="4">SUM(B5:B19)</f>
        <v>331611</v>
      </c>
      <c r="C20" s="302">
        <f t="shared" si="4"/>
        <v>193843</v>
      </c>
      <c r="D20" s="303">
        <f>SUM(D5:D19)</f>
        <v>525454</v>
      </c>
      <c r="E20" s="301">
        <f t="shared" si="4"/>
        <v>348324</v>
      </c>
      <c r="F20" s="302">
        <f t="shared" si="4"/>
        <v>750454</v>
      </c>
      <c r="G20" s="303">
        <f t="shared" si="4"/>
        <v>1098778</v>
      </c>
      <c r="H20" s="304">
        <f t="shared" si="2"/>
        <v>5.0399413770954453</v>
      </c>
      <c r="I20" s="616">
        <f t="shared" si="0"/>
        <v>287.14526704601144</v>
      </c>
      <c r="J20" s="617">
        <f t="shared" si="0"/>
        <v>109.1102170694295</v>
      </c>
    </row>
    <row r="21" spans="1:11" ht="23.4">
      <c r="A21" s="3337" t="s">
        <v>314</v>
      </c>
      <c r="B21" s="3337"/>
      <c r="C21" s="3337"/>
      <c r="D21" s="3337"/>
      <c r="E21" s="3337"/>
      <c r="F21" s="3337"/>
      <c r="G21" s="3337"/>
      <c r="H21" s="3337"/>
      <c r="I21" s="3337"/>
      <c r="J21" s="3337"/>
      <c r="K21" s="618"/>
    </row>
    <row r="22" spans="1:11" ht="23.4">
      <c r="A22" s="3337"/>
      <c r="B22" s="3337"/>
      <c r="C22" s="3337"/>
      <c r="D22" s="3337"/>
      <c r="E22" s="3337"/>
      <c r="F22" s="3337"/>
      <c r="G22" s="3337"/>
      <c r="H22" s="3337"/>
      <c r="I22" s="3337"/>
      <c r="J22" s="3337"/>
      <c r="K22" s="619" t="s">
        <v>307</v>
      </c>
    </row>
    <row r="45" spans="1:10">
      <c r="A45" s="305"/>
      <c r="B45" s="305"/>
      <c r="C45" s="305"/>
      <c r="D45" s="305"/>
      <c r="E45" s="305"/>
    </row>
    <row r="46" spans="1:10">
      <c r="A46" s="305"/>
      <c r="B46" s="305"/>
      <c r="C46" s="305"/>
      <c r="D46" s="305"/>
      <c r="E46" s="305"/>
    </row>
    <row r="47" spans="1:10" ht="23.4">
      <c r="A47" s="305"/>
      <c r="B47" s="305"/>
      <c r="C47" s="305"/>
      <c r="D47" s="305"/>
      <c r="E47" s="305"/>
      <c r="I47" s="3332" t="s">
        <v>29</v>
      </c>
      <c r="J47" s="3332"/>
    </row>
    <row r="48" spans="1:10">
      <c r="A48" s="305"/>
      <c r="B48" s="305"/>
      <c r="C48" s="305"/>
      <c r="D48" s="305"/>
      <c r="E48" s="305"/>
    </row>
    <row r="49" spans="1:7">
      <c r="A49" s="289"/>
      <c r="B49" s="289"/>
      <c r="C49" s="289"/>
      <c r="D49" s="289"/>
      <c r="E49" s="305"/>
      <c r="G49" s="119"/>
    </row>
    <row r="50" spans="1:7">
      <c r="A50" s="289"/>
      <c r="B50" s="289"/>
      <c r="C50" s="289"/>
      <c r="D50" s="289"/>
      <c r="E50" s="305"/>
      <c r="G50" s="119"/>
    </row>
    <row r="51" spans="1:7">
      <c r="E51" s="305"/>
      <c r="G51" s="119"/>
    </row>
    <row r="52" spans="1:7">
      <c r="E52" s="305"/>
      <c r="G52" s="119"/>
    </row>
    <row r="53" spans="1:7">
      <c r="E53" s="305"/>
      <c r="G53" s="119"/>
    </row>
    <row r="54" spans="1:7">
      <c r="E54" s="305"/>
      <c r="G54" s="119"/>
    </row>
    <row r="55" spans="1:7">
      <c r="E55" s="305"/>
      <c r="G55" s="119"/>
    </row>
    <row r="56" spans="1:7">
      <c r="E56" s="305"/>
      <c r="G56" s="119"/>
    </row>
    <row r="57" spans="1:7">
      <c r="E57" s="305"/>
      <c r="G57" s="119"/>
    </row>
    <row r="58" spans="1:7">
      <c r="E58" s="305"/>
      <c r="G58" s="119"/>
    </row>
    <row r="59" spans="1:7">
      <c r="E59" s="305"/>
      <c r="G59" s="119"/>
    </row>
    <row r="60" spans="1:7">
      <c r="E60" s="305"/>
      <c r="G60" s="119"/>
    </row>
    <row r="61" spans="1:7">
      <c r="E61" s="305"/>
    </row>
    <row r="62" spans="1:7">
      <c r="E62" s="305"/>
    </row>
    <row r="63" spans="1:7">
      <c r="E63" s="305"/>
    </row>
    <row r="64" spans="1:7">
      <c r="E64" s="305"/>
    </row>
    <row r="65" spans="1:15">
      <c r="E65" s="305"/>
    </row>
    <row r="66" spans="1:15">
      <c r="A66" s="289"/>
      <c r="B66" s="289"/>
      <c r="C66" s="289"/>
      <c r="D66" s="289"/>
      <c r="E66" s="289"/>
      <c r="F66" s="289"/>
      <c r="G66" s="289"/>
      <c r="H66" s="289"/>
      <c r="I66" s="289"/>
    </row>
    <row r="67" spans="1:15">
      <c r="A67" s="289"/>
      <c r="B67" s="289"/>
      <c r="C67" s="289"/>
      <c r="D67" s="289"/>
      <c r="E67" s="289"/>
      <c r="F67" s="289"/>
      <c r="G67" s="289"/>
      <c r="H67" s="289"/>
      <c r="I67" s="289"/>
    </row>
    <row r="68" spans="1:15">
      <c r="A68" s="289"/>
      <c r="B68" s="289"/>
      <c r="C68" s="289"/>
      <c r="D68" s="289"/>
      <c r="E68" s="289"/>
      <c r="F68" s="289"/>
      <c r="G68" s="289"/>
      <c r="H68" s="289"/>
      <c r="I68" s="289"/>
    </row>
    <row r="69" spans="1:15">
      <c r="A69" s="289"/>
      <c r="B69" s="289"/>
      <c r="C69" s="289"/>
      <c r="D69" s="289"/>
      <c r="E69" s="289"/>
      <c r="F69" s="289"/>
      <c r="G69" s="289"/>
      <c r="H69" s="289"/>
      <c r="I69" s="289"/>
    </row>
    <row r="70" spans="1:15">
      <c r="A70" s="289"/>
      <c r="B70" s="289"/>
      <c r="C70" s="289"/>
      <c r="D70" s="289"/>
      <c r="E70" s="289"/>
      <c r="F70" s="289"/>
      <c r="G70" s="289"/>
      <c r="H70" s="289"/>
      <c r="I70" s="289"/>
    </row>
    <row r="71" spans="1:15">
      <c r="A71" s="289"/>
      <c r="B71" s="289"/>
      <c r="C71" s="289"/>
      <c r="D71" s="289"/>
      <c r="E71" s="289"/>
      <c r="F71" s="289"/>
      <c r="G71" s="289"/>
      <c r="H71" s="289"/>
      <c r="I71" s="289"/>
    </row>
    <row r="72" spans="1:15">
      <c r="A72" s="289"/>
      <c r="B72" s="289"/>
      <c r="C72" s="289"/>
      <c r="D72" s="289"/>
      <c r="E72" s="289"/>
      <c r="F72" s="289"/>
      <c r="G72" s="289"/>
      <c r="H72" s="289"/>
      <c r="I72" s="289"/>
    </row>
    <row r="73" spans="1:15">
      <c r="A73" s="289"/>
      <c r="B73" s="289"/>
      <c r="C73" s="289"/>
      <c r="D73" s="289"/>
      <c r="E73" s="289"/>
      <c r="F73" s="289"/>
      <c r="G73" s="289"/>
      <c r="H73" s="289"/>
      <c r="I73" s="289"/>
    </row>
    <row r="74" spans="1:15">
      <c r="A74" s="289"/>
      <c r="B74" s="289"/>
      <c r="C74" s="289"/>
      <c r="D74" s="289"/>
      <c r="E74" s="289"/>
      <c r="F74" s="289"/>
      <c r="G74" s="289"/>
      <c r="H74" s="289"/>
      <c r="I74" s="289"/>
      <c r="J74" s="289"/>
      <c r="K74" s="289"/>
      <c r="L74" s="620"/>
      <c r="M74" s="620"/>
      <c r="N74" s="620"/>
      <c r="O74" s="620"/>
    </row>
    <row r="75" spans="1:15">
      <c r="A75" s="289" t="s">
        <v>37</v>
      </c>
      <c r="B75" s="289" t="s">
        <v>50</v>
      </c>
      <c r="C75" s="289" t="s">
        <v>51</v>
      </c>
      <c r="D75" s="289"/>
      <c r="E75" s="289" t="s">
        <v>37</v>
      </c>
      <c r="F75" s="289" t="s">
        <v>50</v>
      </c>
      <c r="G75" s="289" t="s">
        <v>51</v>
      </c>
      <c r="H75" s="289"/>
      <c r="I75" s="289"/>
      <c r="J75" s="289"/>
      <c r="K75" s="289"/>
      <c r="L75" s="620"/>
      <c r="M75" s="620"/>
      <c r="N75" s="620"/>
      <c r="O75" s="620"/>
    </row>
    <row r="76" spans="1:15">
      <c r="A76" s="621" t="s">
        <v>43</v>
      </c>
      <c r="B76" s="622">
        <f t="shared" ref="B76:B88" si="5">(B5/D5)*100</f>
        <v>61.28143486129494</v>
      </c>
      <c r="C76" s="622">
        <f t="shared" ref="C76:C88" si="6">(C5/D5)*100</f>
        <v>38.71856513870506</v>
      </c>
      <c r="D76" s="289"/>
      <c r="E76" s="621" t="s">
        <v>43</v>
      </c>
      <c r="F76" s="622" t="e">
        <f t="shared" ref="F76:F88" si="7">(E5/G5)*100</f>
        <v>#DIV/0!</v>
      </c>
      <c r="G76" s="622" t="e">
        <f t="shared" ref="G76:G88" si="8">(F5/G5)*100</f>
        <v>#DIV/0!</v>
      </c>
      <c r="H76" s="289"/>
      <c r="I76" s="289"/>
      <c r="J76" s="289"/>
      <c r="K76" s="289"/>
      <c r="L76" s="620"/>
      <c r="M76" s="620"/>
      <c r="N76" s="620"/>
      <c r="O76" s="620"/>
    </row>
    <row r="77" spans="1:15">
      <c r="A77" s="621" t="s">
        <v>7</v>
      </c>
      <c r="B77" s="622">
        <f t="shared" si="5"/>
        <v>62.724130800815288</v>
      </c>
      <c r="C77" s="622">
        <f t="shared" si="6"/>
        <v>37.275869199184712</v>
      </c>
      <c r="D77" s="289"/>
      <c r="E77" s="621" t="s">
        <v>7</v>
      </c>
      <c r="F77" s="622" t="e">
        <f t="shared" si="7"/>
        <v>#DIV/0!</v>
      </c>
      <c r="G77" s="622" t="e">
        <f t="shared" si="8"/>
        <v>#DIV/0!</v>
      </c>
      <c r="H77" s="289"/>
      <c r="I77" s="289"/>
      <c r="J77" s="289"/>
      <c r="K77" s="289"/>
      <c r="L77" s="620"/>
      <c r="M77" s="620"/>
      <c r="N77" s="620"/>
      <c r="O77" s="620"/>
    </row>
    <row r="78" spans="1:15">
      <c r="A78" s="621" t="s">
        <v>8</v>
      </c>
      <c r="B78" s="622">
        <f t="shared" si="5"/>
        <v>73.324914053181786</v>
      </c>
      <c r="C78" s="622">
        <f t="shared" si="6"/>
        <v>26.675085946818211</v>
      </c>
      <c r="D78" s="289"/>
      <c r="E78" s="621" t="s">
        <v>8</v>
      </c>
      <c r="F78" s="622">
        <f t="shared" si="7"/>
        <v>39.984338390210247</v>
      </c>
      <c r="G78" s="622">
        <f t="shared" si="8"/>
        <v>60.015661609789753</v>
      </c>
      <c r="H78" s="289"/>
      <c r="I78" s="289"/>
      <c r="J78" s="289"/>
      <c r="K78" s="289"/>
      <c r="L78" s="620"/>
      <c r="M78" s="620"/>
      <c r="N78" s="620"/>
      <c r="O78" s="620"/>
    </row>
    <row r="79" spans="1:15">
      <c r="A79" s="621" t="s">
        <v>44</v>
      </c>
      <c r="B79" s="622">
        <f t="shared" si="5"/>
        <v>72.067314147607746</v>
      </c>
      <c r="C79" s="622">
        <f t="shared" si="6"/>
        <v>27.932685852392247</v>
      </c>
      <c r="D79" s="289"/>
      <c r="E79" s="621" t="s">
        <v>44</v>
      </c>
      <c r="F79" s="622" t="e">
        <f t="shared" si="7"/>
        <v>#DIV/0!</v>
      </c>
      <c r="G79" s="622" t="e">
        <f t="shared" si="8"/>
        <v>#DIV/0!</v>
      </c>
      <c r="H79" s="289"/>
      <c r="I79" s="289"/>
      <c r="J79" s="289"/>
      <c r="K79" s="289"/>
      <c r="L79" s="620"/>
      <c r="M79" s="620"/>
      <c r="N79" s="620"/>
      <c r="O79" s="620"/>
    </row>
    <row r="80" spans="1:15">
      <c r="A80" s="621" t="s">
        <v>3</v>
      </c>
      <c r="B80" s="622">
        <f t="shared" si="5"/>
        <v>72.761717966434119</v>
      </c>
      <c r="C80" s="622">
        <f t="shared" si="6"/>
        <v>27.238282033565874</v>
      </c>
      <c r="D80" s="289"/>
      <c r="E80" s="621" t="s">
        <v>3</v>
      </c>
      <c r="F80" s="622">
        <f t="shared" si="7"/>
        <v>29.843715070942974</v>
      </c>
      <c r="G80" s="622">
        <f t="shared" si="8"/>
        <v>70.156284929057037</v>
      </c>
      <c r="H80" s="289"/>
      <c r="I80" s="289"/>
      <c r="J80" s="289"/>
      <c r="K80" s="289"/>
      <c r="L80" s="620"/>
      <c r="M80" s="620"/>
      <c r="N80" s="620"/>
      <c r="O80" s="620"/>
    </row>
    <row r="81" spans="1:15">
      <c r="A81" s="621" t="s">
        <v>45</v>
      </c>
      <c r="B81" s="622" t="e">
        <f t="shared" si="5"/>
        <v>#DIV/0!</v>
      </c>
      <c r="C81" s="622" t="e">
        <f t="shared" si="6"/>
        <v>#DIV/0!</v>
      </c>
      <c r="D81" s="289"/>
      <c r="E81" s="621" t="s">
        <v>45</v>
      </c>
      <c r="F81" s="622" t="e">
        <f t="shared" si="7"/>
        <v>#DIV/0!</v>
      </c>
      <c r="G81" s="622" t="e">
        <f t="shared" si="8"/>
        <v>#DIV/0!</v>
      </c>
      <c r="H81" s="289"/>
      <c r="I81" s="289"/>
      <c r="J81" s="289"/>
      <c r="K81" s="289"/>
      <c r="L81" s="620"/>
      <c r="M81" s="620"/>
      <c r="N81" s="620"/>
      <c r="O81" s="620"/>
    </row>
    <row r="82" spans="1:15">
      <c r="A82" s="621" t="s">
        <v>9</v>
      </c>
      <c r="B82" s="622">
        <f t="shared" si="5"/>
        <v>62.907477657043657</v>
      </c>
      <c r="C82" s="622">
        <f t="shared" si="6"/>
        <v>37.092522342956343</v>
      </c>
      <c r="D82" s="289"/>
      <c r="E82" s="621" t="s">
        <v>9</v>
      </c>
      <c r="F82" s="622" t="e">
        <f t="shared" si="7"/>
        <v>#DIV/0!</v>
      </c>
      <c r="G82" s="622" t="e">
        <f t="shared" si="8"/>
        <v>#DIV/0!</v>
      </c>
      <c r="H82" s="289"/>
      <c r="I82" s="289"/>
      <c r="J82" s="289"/>
      <c r="K82" s="289"/>
      <c r="L82" s="620"/>
      <c r="M82" s="620"/>
      <c r="N82" s="620"/>
      <c r="O82" s="620"/>
    </row>
    <row r="83" spans="1:15">
      <c r="A83" s="621" t="s">
        <v>5</v>
      </c>
      <c r="B83" s="622">
        <f t="shared" si="5"/>
        <v>67.894427062358659</v>
      </c>
      <c r="C83" s="622">
        <f t="shared" si="6"/>
        <v>32.105572937641334</v>
      </c>
      <c r="D83" s="289"/>
      <c r="E83" s="621" t="s">
        <v>5</v>
      </c>
      <c r="F83" s="622">
        <f t="shared" si="7"/>
        <v>24.481809490791807</v>
      </c>
      <c r="G83" s="622">
        <f t="shared" si="8"/>
        <v>75.518190509208196</v>
      </c>
      <c r="H83" s="289"/>
      <c r="I83" s="289"/>
      <c r="J83" s="289"/>
      <c r="K83" s="289"/>
      <c r="L83" s="620"/>
      <c r="M83" s="620"/>
      <c r="N83" s="620"/>
      <c r="O83" s="620"/>
    </row>
    <row r="84" spans="1:15">
      <c r="A84" s="621" t="s">
        <v>32</v>
      </c>
      <c r="B84" s="622">
        <f t="shared" si="5"/>
        <v>76.740367775831871</v>
      </c>
      <c r="C84" s="622">
        <f t="shared" si="6"/>
        <v>23.259632224168126</v>
      </c>
      <c r="D84" s="289"/>
      <c r="E84" s="621" t="s">
        <v>32</v>
      </c>
      <c r="F84" s="622">
        <f t="shared" si="7"/>
        <v>0</v>
      </c>
      <c r="G84" s="622">
        <f t="shared" si="8"/>
        <v>100</v>
      </c>
      <c r="H84" s="289"/>
      <c r="I84" s="289"/>
      <c r="J84" s="289"/>
      <c r="K84" s="289"/>
      <c r="L84" s="620"/>
      <c r="M84" s="620"/>
      <c r="N84" s="620"/>
      <c r="O84" s="620"/>
    </row>
    <row r="85" spans="1:15">
      <c r="A85" s="621" t="s">
        <v>10</v>
      </c>
      <c r="B85" s="622">
        <f t="shared" si="5"/>
        <v>84.415165367034149</v>
      </c>
      <c r="C85" s="622">
        <f t="shared" si="6"/>
        <v>15.584834632965853</v>
      </c>
      <c r="D85" s="289"/>
      <c r="E85" s="621" t="s">
        <v>10</v>
      </c>
      <c r="F85" s="622">
        <f t="shared" si="7"/>
        <v>39.627587042816884</v>
      </c>
      <c r="G85" s="622">
        <f t="shared" si="8"/>
        <v>60.372412957183116</v>
      </c>
      <c r="H85" s="289"/>
      <c r="I85" s="289"/>
      <c r="J85" s="289"/>
      <c r="K85" s="289"/>
      <c r="L85" s="620"/>
      <c r="M85" s="620"/>
      <c r="N85" s="620"/>
      <c r="O85" s="620"/>
    </row>
    <row r="86" spans="1:15">
      <c r="A86" s="621" t="s">
        <v>46</v>
      </c>
      <c r="B86" s="622">
        <f t="shared" si="5"/>
        <v>61.321008946857823</v>
      </c>
      <c r="C86" s="622">
        <f t="shared" si="6"/>
        <v>38.678991053142184</v>
      </c>
      <c r="D86" s="289"/>
      <c r="E86" s="621" t="s">
        <v>46</v>
      </c>
      <c r="F86" s="622">
        <f t="shared" si="7"/>
        <v>38.095526363581328</v>
      </c>
      <c r="G86" s="622">
        <f t="shared" si="8"/>
        <v>61.904473636418665</v>
      </c>
      <c r="H86" s="289"/>
      <c r="I86" s="289"/>
      <c r="J86" s="289"/>
      <c r="K86" s="289"/>
      <c r="L86" s="620"/>
      <c r="M86" s="620"/>
      <c r="N86" s="620"/>
      <c r="O86" s="620"/>
    </row>
    <row r="87" spans="1:15">
      <c r="A87" s="621" t="s">
        <v>47</v>
      </c>
      <c r="B87" s="622">
        <f t="shared" si="5"/>
        <v>58.156355548232966</v>
      </c>
      <c r="C87" s="622">
        <f t="shared" si="6"/>
        <v>41.843644451767034</v>
      </c>
      <c r="D87" s="289"/>
      <c r="E87" s="621" t="s">
        <v>47</v>
      </c>
      <c r="F87" s="622" t="e">
        <f t="shared" si="7"/>
        <v>#DIV/0!</v>
      </c>
      <c r="G87" s="622" t="e">
        <f t="shared" si="8"/>
        <v>#DIV/0!</v>
      </c>
      <c r="H87" s="289"/>
      <c r="I87" s="289"/>
      <c r="J87" s="289"/>
      <c r="K87" s="289"/>
      <c r="L87" s="620"/>
      <c r="M87" s="620"/>
      <c r="N87" s="620"/>
      <c r="O87" s="620"/>
    </row>
    <row r="88" spans="1:15">
      <c r="A88" s="621" t="s">
        <v>48</v>
      </c>
      <c r="B88" s="622">
        <f t="shared" si="5"/>
        <v>57.151589242053788</v>
      </c>
      <c r="C88" s="622">
        <f t="shared" si="6"/>
        <v>42.848410757946212</v>
      </c>
      <c r="D88" s="289"/>
      <c r="E88" s="621" t="s">
        <v>48</v>
      </c>
      <c r="F88" s="622">
        <f t="shared" si="7"/>
        <v>34.184946801523708</v>
      </c>
      <c r="G88" s="622">
        <f t="shared" si="8"/>
        <v>65.815053198476292</v>
      </c>
      <c r="H88" s="289"/>
      <c r="I88" s="289"/>
      <c r="J88" s="289"/>
      <c r="K88" s="289"/>
      <c r="L88" s="620"/>
      <c r="M88" s="620"/>
      <c r="N88" s="620"/>
      <c r="O88" s="620"/>
    </row>
    <row r="89" spans="1:15">
      <c r="A89" s="621" t="s">
        <v>397</v>
      </c>
      <c r="B89" s="622">
        <f>(B18/D18)*100</f>
        <v>61.876568440350432</v>
      </c>
      <c r="C89" s="622">
        <f>(C18/D18)*100</f>
        <v>38.123431559649575</v>
      </c>
      <c r="D89" s="289"/>
      <c r="E89" s="621" t="s">
        <v>16</v>
      </c>
      <c r="F89" s="622" t="e">
        <f>(E18/G18)*100</f>
        <v>#DIV/0!</v>
      </c>
      <c r="G89" s="622" t="e">
        <f>(F18/G18)*100</f>
        <v>#DIV/0!</v>
      </c>
      <c r="H89" s="289"/>
      <c r="I89" s="289"/>
      <c r="J89" s="289"/>
      <c r="K89" s="289"/>
      <c r="L89" s="620"/>
      <c r="M89" s="620"/>
      <c r="N89" s="620"/>
      <c r="O89" s="620"/>
    </row>
    <row r="90" spans="1:15">
      <c r="A90" s="621" t="s">
        <v>399</v>
      </c>
      <c r="B90" s="622">
        <f>(B19/D19)*100</f>
        <v>39.605317479976883</v>
      </c>
      <c r="C90" s="622">
        <f>(C19/D19)*100</f>
        <v>60.394682520023125</v>
      </c>
      <c r="D90" s="289"/>
      <c r="E90" s="621" t="s">
        <v>6</v>
      </c>
      <c r="F90" s="622" t="e">
        <f>(E19/G19)*100</f>
        <v>#DIV/0!</v>
      </c>
      <c r="G90" s="622" t="e">
        <f>(F19/G19)*100</f>
        <v>#DIV/0!</v>
      </c>
      <c r="H90" s="289"/>
      <c r="I90" s="289"/>
      <c r="J90" s="289"/>
      <c r="K90" s="289"/>
      <c r="L90" s="620"/>
      <c r="M90" s="620"/>
      <c r="N90" s="620"/>
      <c r="O90" s="620"/>
    </row>
    <row r="91" spans="1:15">
      <c r="A91" s="621" t="s">
        <v>16</v>
      </c>
      <c r="B91" s="622">
        <f>(B20/D20)*100</f>
        <v>63.109425373105921</v>
      </c>
      <c r="C91" s="622">
        <f>(C20/D20)*100</f>
        <v>36.890574626894072</v>
      </c>
      <c r="D91" s="289"/>
      <c r="E91" s="621" t="s">
        <v>7</v>
      </c>
      <c r="F91" s="622">
        <f>(E20/G20)*100</f>
        <v>31.701035149957494</v>
      </c>
      <c r="G91" s="622">
        <f>(F20/G20)*100</f>
        <v>68.298964850042495</v>
      </c>
      <c r="H91" s="289"/>
      <c r="I91" s="289"/>
      <c r="J91" s="289"/>
      <c r="K91" s="289"/>
      <c r="L91" s="620"/>
      <c r="M91" s="620"/>
      <c r="N91" s="620"/>
      <c r="O91" s="620"/>
    </row>
    <row r="92" spans="1:15">
      <c r="A92" s="289"/>
      <c r="B92" s="289"/>
      <c r="C92" s="289"/>
      <c r="D92" s="289"/>
      <c r="E92" s="289"/>
      <c r="F92" s="289"/>
      <c r="G92" s="289"/>
      <c r="H92" s="289"/>
      <c r="I92" s="289"/>
      <c r="J92" s="289"/>
      <c r="K92" s="289"/>
      <c r="L92" s="620"/>
      <c r="M92" s="620"/>
      <c r="N92" s="620"/>
      <c r="O92" s="620"/>
    </row>
    <row r="93" spans="1:15">
      <c r="A93" s="289"/>
      <c r="B93" s="289"/>
      <c r="C93" s="289"/>
      <c r="D93" s="289"/>
      <c r="E93" s="289"/>
      <c r="F93" s="289"/>
      <c r="G93" s="289"/>
      <c r="H93" s="289"/>
      <c r="I93" s="289"/>
      <c r="J93" s="289"/>
      <c r="K93" s="289"/>
      <c r="L93" s="620"/>
      <c r="M93" s="620"/>
      <c r="N93" s="620"/>
      <c r="O93" s="620"/>
    </row>
    <row r="94" spans="1:15">
      <c r="A94" s="289"/>
      <c r="B94" s="289"/>
      <c r="C94" s="289"/>
      <c r="D94" s="289"/>
      <c r="E94" s="289"/>
      <c r="F94" s="289"/>
      <c r="G94" s="289"/>
      <c r="H94" s="289"/>
      <c r="I94" s="289"/>
      <c r="J94" s="289"/>
      <c r="K94" s="289"/>
      <c r="L94" s="620"/>
      <c r="M94" s="620"/>
      <c r="N94" s="620"/>
      <c r="O94" s="620"/>
    </row>
    <row r="95" spans="1:15">
      <c r="A95" s="289"/>
      <c r="B95" s="289"/>
      <c r="C95" s="289"/>
      <c r="D95" s="289"/>
      <c r="E95" s="289"/>
      <c r="F95" s="289"/>
      <c r="G95" s="289"/>
      <c r="H95" s="289"/>
      <c r="I95" s="289"/>
      <c r="J95" s="289"/>
      <c r="K95" s="289"/>
      <c r="L95" s="620"/>
      <c r="M95" s="620"/>
      <c r="N95" s="620"/>
      <c r="O95" s="620"/>
    </row>
    <row r="96" spans="1:15">
      <c r="A96" s="289"/>
      <c r="B96" s="289"/>
      <c r="C96" s="289"/>
      <c r="D96" s="289"/>
      <c r="E96" s="289"/>
      <c r="F96" s="289"/>
      <c r="G96" s="289"/>
      <c r="H96" s="289"/>
      <c r="I96" s="289"/>
      <c r="J96" s="289"/>
      <c r="K96" s="289"/>
      <c r="L96" s="620"/>
      <c r="M96" s="620"/>
      <c r="N96" s="620"/>
      <c r="O96" s="620"/>
    </row>
    <row r="97" spans="1:15">
      <c r="A97" s="289"/>
      <c r="B97" s="289"/>
      <c r="C97" s="289"/>
      <c r="D97" s="289"/>
      <c r="E97" s="289"/>
      <c r="F97" s="289"/>
      <c r="G97" s="289"/>
      <c r="H97" s="289"/>
      <c r="I97" s="289"/>
      <c r="J97" s="289"/>
      <c r="K97" s="289"/>
      <c r="L97" s="620"/>
      <c r="M97" s="620"/>
      <c r="N97" s="620"/>
      <c r="O97" s="620"/>
    </row>
    <row r="98" spans="1:15">
      <c r="A98" s="289"/>
      <c r="B98" s="289"/>
      <c r="C98" s="289"/>
      <c r="D98" s="289"/>
      <c r="E98" s="289"/>
      <c r="F98" s="289"/>
      <c r="G98" s="289"/>
      <c r="H98" s="289"/>
      <c r="I98" s="289"/>
      <c r="J98" s="289"/>
      <c r="K98" s="289"/>
      <c r="L98" s="620"/>
      <c r="M98" s="620"/>
      <c r="N98" s="620"/>
      <c r="O98" s="620"/>
    </row>
    <row r="99" spans="1:15">
      <c r="A99" s="289"/>
      <c r="B99" s="289"/>
      <c r="C99" s="289"/>
      <c r="D99" s="289"/>
      <c r="E99" s="289"/>
      <c r="F99" s="289"/>
      <c r="G99" s="289"/>
      <c r="H99" s="289"/>
      <c r="I99" s="289"/>
      <c r="J99" s="289"/>
      <c r="K99" s="289"/>
      <c r="L99" s="620"/>
      <c r="M99" s="620"/>
      <c r="N99" s="620"/>
      <c r="O99" s="620"/>
    </row>
    <row r="100" spans="1:15">
      <c r="A100" s="289"/>
      <c r="B100" s="289"/>
      <c r="C100" s="289"/>
      <c r="D100" s="289"/>
      <c r="E100" s="289"/>
      <c r="F100" s="289"/>
      <c r="G100" s="289"/>
      <c r="H100" s="289"/>
      <c r="I100" s="289"/>
      <c r="J100" s="289"/>
      <c r="K100" s="289"/>
      <c r="L100" s="620"/>
      <c r="M100" s="620"/>
      <c r="N100" s="620"/>
      <c r="O100" s="620"/>
    </row>
    <row r="101" spans="1:15">
      <c r="A101" s="620"/>
      <c r="B101" s="620"/>
      <c r="C101" s="620"/>
      <c r="D101" s="620"/>
      <c r="E101" s="620"/>
      <c r="F101" s="620"/>
      <c r="G101" s="620"/>
      <c r="H101" s="620"/>
      <c r="I101" s="620"/>
      <c r="J101" s="620"/>
      <c r="K101" s="620"/>
      <c r="L101" s="620"/>
      <c r="M101" s="620"/>
      <c r="N101" s="620"/>
      <c r="O101" s="620"/>
    </row>
  </sheetData>
  <mergeCells count="9">
    <mergeCell ref="A2:J2"/>
    <mergeCell ref="I47:J47"/>
    <mergeCell ref="A1:G1"/>
    <mergeCell ref="H3:J3"/>
    <mergeCell ref="A22:J22"/>
    <mergeCell ref="A3:A4"/>
    <mergeCell ref="B3:D3"/>
    <mergeCell ref="E3:G3"/>
    <mergeCell ref="A21:J21"/>
  </mergeCells>
  <phoneticPr fontId="25" type="noConversion"/>
  <hyperlinks>
    <hyperlink ref="I47" location="'tableau de bord'!F4" display="Retour" xr:uid="{00000000-0004-0000-2100-000000000000}"/>
    <hyperlink ref="I47:J47" location="'tableau de bord'!C31" display="Retour" xr:uid="{00000000-0004-0000-2100-000001000000}"/>
  </hyperlinks>
  <pageMargins left="0.33" right="0.16" top="1.24" bottom="0.28999999999999998" header="0.4" footer="0.4921259845"/>
  <pageSetup paperSize="9" scale="70" orientation="portrait" horizontalDpi="4294967294" verticalDpi="4294967294" r:id="rId1"/>
  <headerFooter alignWithMargins="0">
    <oddHeader>&amp;L&amp;"Times New Roman,Gras"&amp;12SDC_SPADCMD/EC&amp;C&amp;"Times New Roman,Gras"&amp;20Une quittance par portefeuille&amp;G</oddHeader>
    <oddFooter>&amp;LTableau de bord oct  2008&amp;Rpage -12-</oddFooter>
  </headerFooter>
  <legacyDrawingHF r:id="rId2"/>
</worksheet>
</file>

<file path=xl/worksheets/sheet3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200-000000000000}">
  <sheetPr>
    <tabColor rgb="FFFF0000"/>
  </sheetPr>
  <dimension ref="A1:FP463"/>
  <sheetViews>
    <sheetView topLeftCell="A115" zoomScale="85" zoomScaleNormal="85" workbookViewId="0">
      <pane xSplit="1" topLeftCell="B1" activePane="topRight" state="frozen"/>
      <selection pane="topRight" activeCell="FA10" sqref="FA10"/>
    </sheetView>
  </sheetViews>
  <sheetFormatPr baseColWidth="10" defaultColWidth="11.44140625" defaultRowHeight="13.8"/>
  <cols>
    <col min="1" max="1" width="19.33203125" style="730" customWidth="1"/>
    <col min="2" max="2" width="17.88671875" style="77" customWidth="1"/>
    <col min="3" max="3" width="16.6640625" style="77" bestFit="1" customWidth="1"/>
    <col min="4" max="4" width="16.6640625" style="1041" customWidth="1"/>
    <col min="5" max="5" width="19.6640625" style="77" customWidth="1"/>
    <col min="6" max="6" width="18.88671875" style="77" customWidth="1"/>
    <col min="7" max="7" width="17.44140625" style="77" customWidth="1"/>
    <col min="8" max="8" width="19.44140625" style="77" customWidth="1"/>
    <col min="9" max="9" width="21" style="77" bestFit="1" customWidth="1"/>
    <col min="10" max="10" width="18.44140625" style="77" bestFit="1" customWidth="1"/>
    <col min="11" max="11" width="17.6640625" style="77" customWidth="1"/>
    <col min="12" max="12" width="18.6640625" style="77" customWidth="1"/>
    <col min="13" max="13" width="18.44140625" style="77" customWidth="1"/>
    <col min="14" max="14" width="19.6640625" style="77" customWidth="1"/>
    <col min="15" max="15" width="16.44140625" style="77" bestFit="1" customWidth="1"/>
    <col min="16" max="16" width="15" style="77" bestFit="1" customWidth="1"/>
    <col min="17" max="17" width="14.88671875" style="77" customWidth="1"/>
    <col min="18" max="18" width="14" style="77" customWidth="1"/>
    <col min="19" max="19" width="14.44140625" style="77" customWidth="1"/>
    <col min="20" max="20" width="14.5546875" style="77" customWidth="1"/>
    <col min="21" max="21" width="13.5546875" style="77" customWidth="1"/>
    <col min="22" max="22" width="14.33203125" style="77" customWidth="1"/>
    <col min="23" max="23" width="15" style="77" customWidth="1"/>
    <col min="24" max="24" width="13.44140625" style="77" customWidth="1"/>
    <col min="25" max="25" width="15.33203125" style="77" customWidth="1"/>
    <col min="26" max="26" width="14.5546875" style="77" customWidth="1"/>
    <col min="27" max="28" width="13.109375" style="77" customWidth="1"/>
    <col min="29" max="29" width="15.6640625" style="77" customWidth="1"/>
    <col min="30" max="30" width="15" style="77" customWidth="1"/>
    <col min="31" max="31" width="15.6640625" style="77" customWidth="1"/>
    <col min="32" max="32" width="11.88671875" style="77" customWidth="1"/>
    <col min="33" max="33" width="11.44140625" style="77" customWidth="1"/>
    <col min="34" max="34" width="12.5546875" style="77" customWidth="1"/>
    <col min="35" max="35" width="15" style="77" customWidth="1"/>
    <col min="36" max="36" width="14.33203125" style="77" customWidth="1"/>
    <col min="37" max="37" width="15.109375" style="77" customWidth="1"/>
    <col min="38" max="38" width="12.33203125" style="77" customWidth="1"/>
    <col min="39" max="39" width="14.33203125" style="77" customWidth="1"/>
    <col min="40" max="40" width="11.44140625" style="77" customWidth="1"/>
    <col min="41" max="41" width="14.5546875" style="77" customWidth="1"/>
    <col min="42" max="42" width="13.5546875" style="77" customWidth="1"/>
    <col min="43" max="43" width="14.5546875" style="77" customWidth="1"/>
    <col min="44" max="44" width="15.6640625" style="77" customWidth="1"/>
    <col min="45" max="45" width="15.33203125" style="77" customWidth="1"/>
    <col min="46" max="46" width="15.6640625" style="77" customWidth="1"/>
    <col min="47" max="47" width="14.5546875" style="77" bestFit="1" customWidth="1"/>
    <col min="48" max="48" width="13.44140625" style="77" customWidth="1"/>
    <col min="49" max="49" width="13.33203125" style="77" customWidth="1"/>
    <col min="50" max="50" width="14.109375" style="77" customWidth="1"/>
    <col min="51" max="51" width="13.5546875" style="77" customWidth="1"/>
    <col min="52" max="52" width="14.6640625" style="77" customWidth="1"/>
    <col min="53" max="53" width="16" style="77" customWidth="1"/>
    <col min="54" max="54" width="14.5546875" style="77" customWidth="1"/>
    <col min="55" max="55" width="16" style="77" customWidth="1"/>
    <col min="56" max="56" width="14.5546875" style="77" customWidth="1"/>
    <col min="57" max="57" width="13.109375" style="77" customWidth="1"/>
    <col min="58" max="58" width="13.44140625" style="77" customWidth="1"/>
    <col min="59" max="59" width="16.109375" style="77" customWidth="1"/>
    <col min="60" max="60" width="14.5546875" style="77" customWidth="1"/>
    <col min="61" max="61" width="15" style="77" customWidth="1"/>
    <col min="62" max="62" width="12" style="77" bestFit="1" customWidth="1"/>
    <col min="63" max="63" width="11.44140625" style="77" customWidth="1"/>
    <col min="64" max="64" width="12.44140625" style="77" customWidth="1"/>
    <col min="65" max="65" width="15.6640625" style="77" customWidth="1"/>
    <col min="66" max="66" width="13.33203125" style="77" customWidth="1"/>
    <col min="67" max="67" width="15.5546875" style="77" customWidth="1"/>
    <col min="68" max="68" width="12.33203125" style="77" customWidth="1"/>
    <col min="69" max="69" width="13.33203125" style="77" customWidth="1"/>
    <col min="70" max="70" width="11.44140625" style="77" customWidth="1"/>
    <col min="71" max="71" width="14.5546875" style="77" customWidth="1"/>
    <col min="72" max="72" width="13.44140625" style="77" customWidth="1"/>
    <col min="73" max="73" width="13.5546875" style="77" customWidth="1"/>
    <col min="74" max="74" width="16.44140625" style="77" customWidth="1"/>
    <col min="75" max="75" width="15" style="77" customWidth="1"/>
    <col min="76" max="76" width="16.109375" style="77" customWidth="1"/>
    <col min="77" max="77" width="15.6640625" style="77" customWidth="1"/>
    <col min="78" max="78" width="14.88671875" style="77" customWidth="1"/>
    <col min="79" max="79" width="16.6640625" style="77" customWidth="1"/>
    <col min="80" max="80" width="14.5546875" style="77" customWidth="1"/>
    <col min="81" max="81" width="14.33203125" style="77" customWidth="1"/>
    <col min="82" max="82" width="14.5546875" style="77" customWidth="1"/>
    <col min="83" max="83" width="14.33203125" style="77" customWidth="1"/>
    <col min="84" max="88" width="13.5546875" style="77" customWidth="1"/>
    <col min="89" max="89" width="15.6640625" style="77" customWidth="1"/>
    <col min="90" max="90" width="15" style="77" customWidth="1"/>
    <col min="91" max="91" width="14.109375" style="77" customWidth="1"/>
    <col min="92" max="94" width="13.5546875" style="77" customWidth="1"/>
    <col min="95" max="95" width="14.88671875" style="77" customWidth="1"/>
    <col min="96" max="96" width="13.5546875" style="77" customWidth="1"/>
    <col min="97" max="97" width="14.33203125" style="77" customWidth="1"/>
    <col min="98" max="100" width="13.5546875" style="77" customWidth="1"/>
    <col min="101" max="101" width="15.5546875" style="77" customWidth="1"/>
    <col min="102" max="102" width="18.109375" style="77" customWidth="1"/>
    <col min="103" max="103" width="14.5546875" style="77" customWidth="1"/>
    <col min="104" max="104" width="15.6640625" style="77" customWidth="1"/>
    <col min="105" max="105" width="13.5546875" style="77" customWidth="1"/>
    <col min="106" max="106" width="16.6640625" style="77" customWidth="1"/>
    <col min="107" max="107" width="14.33203125" style="77" customWidth="1"/>
    <col min="108" max="109" width="13.5546875" style="77" customWidth="1"/>
    <col min="110" max="110" width="14.5546875" style="77" customWidth="1"/>
    <col min="111" max="111" width="13.5546875" style="77" customWidth="1"/>
    <col min="112" max="112" width="14.33203125" style="77" customWidth="1"/>
    <col min="113" max="113" width="15.6640625" style="77" customWidth="1"/>
    <col min="114" max="114" width="13.5546875" style="77" customWidth="1"/>
    <col min="115" max="115" width="15.33203125" style="77" customWidth="1"/>
    <col min="116" max="118" width="13.5546875" style="77" customWidth="1"/>
    <col min="119" max="119" width="15.33203125" style="77" customWidth="1"/>
    <col min="120" max="120" width="13.5546875" style="77" customWidth="1"/>
    <col min="121" max="121" width="15" style="77" customWidth="1"/>
    <col min="122" max="124" width="13.5546875" style="77" customWidth="1"/>
    <col min="125" max="125" width="15.109375" style="77" customWidth="1"/>
    <col min="126" max="126" width="13.5546875" style="77" customWidth="1"/>
    <col min="127" max="127" width="15" style="77" customWidth="1"/>
    <col min="128" max="130" width="13.5546875" style="77" customWidth="1"/>
    <col min="131" max="131" width="14.33203125" style="77" customWidth="1"/>
    <col min="132" max="132" width="13.5546875" style="77" customWidth="1"/>
    <col min="133" max="133" width="15.33203125" style="77" customWidth="1"/>
    <col min="134" max="134" width="15" style="77" customWidth="1"/>
    <col min="135" max="135" width="14.33203125" style="77" customWidth="1"/>
    <col min="136" max="136" width="13.5546875" style="77" customWidth="1"/>
    <col min="137" max="137" width="14.5546875" style="77" customWidth="1"/>
    <col min="138" max="138" width="15.44140625" style="77" customWidth="1"/>
    <col min="139" max="139" width="15.6640625" style="77" customWidth="1"/>
    <col min="140" max="142" width="14.5546875" style="77" customWidth="1"/>
    <col min="143" max="143" width="14.109375" style="77" customWidth="1"/>
    <col min="144" max="145" width="13.5546875" style="77" customWidth="1"/>
    <col min="146" max="146" width="13.6640625" style="77" customWidth="1"/>
    <col min="147" max="147" width="14.6640625" style="77" customWidth="1"/>
    <col min="148" max="148" width="17.44140625" style="77" customWidth="1"/>
    <col min="149" max="149" width="15.6640625" style="77" customWidth="1"/>
    <col min="150" max="150" width="15" style="77" customWidth="1"/>
    <col min="151" max="151" width="16.88671875" style="77" customWidth="1"/>
    <col min="152" max="152" width="13.6640625" style="77" customWidth="1"/>
    <col min="153" max="153" width="13.44140625" style="77" bestFit="1" customWidth="1"/>
    <col min="154" max="154" width="13.5546875" style="77" customWidth="1"/>
    <col min="155" max="155" width="16" style="77" customWidth="1"/>
    <col min="156" max="156" width="14" style="77" customWidth="1"/>
    <col min="157" max="157" width="19.33203125" style="77" customWidth="1"/>
    <col min="158" max="160" width="11.44140625" style="77"/>
    <col min="161" max="161" width="14.33203125" style="77" bestFit="1" customWidth="1"/>
    <col min="162" max="162" width="12" style="77" bestFit="1" customWidth="1"/>
    <col min="163" max="163" width="14.88671875" style="77" customWidth="1"/>
    <col min="164" max="164" width="15.6640625" style="77" bestFit="1" customWidth="1"/>
    <col min="165" max="165" width="13.5546875" style="77" bestFit="1" customWidth="1"/>
    <col min="166" max="166" width="15" style="77" bestFit="1" customWidth="1"/>
    <col min="167" max="169" width="11.44140625" style="77"/>
    <col min="170" max="170" width="14.33203125" style="77" bestFit="1" customWidth="1"/>
    <col min="171" max="171" width="13.5546875" style="77" bestFit="1" customWidth="1"/>
    <col min="172" max="172" width="14.33203125" style="77" bestFit="1" customWidth="1"/>
    <col min="173" max="173" width="11.88671875" style="77" bestFit="1" customWidth="1"/>
    <col min="174" max="175" width="11.44140625" style="77"/>
    <col min="176" max="176" width="14.33203125" style="77" bestFit="1" customWidth="1"/>
    <col min="177" max="177" width="13.5546875" style="77" bestFit="1" customWidth="1"/>
    <col min="178" max="178" width="13.109375" style="77" bestFit="1" customWidth="1"/>
    <col min="179" max="179" width="17.5546875" style="77" customWidth="1"/>
    <col min="180" max="180" width="14.33203125" style="77" bestFit="1" customWidth="1"/>
    <col min="181" max="181" width="14.5546875" style="77" bestFit="1" customWidth="1"/>
    <col min="182" max="182" width="12.33203125" style="77" bestFit="1" customWidth="1"/>
    <col min="183" max="183" width="11.44140625" style="77"/>
    <col min="184" max="184" width="11.88671875" style="77" bestFit="1" customWidth="1"/>
    <col min="185" max="185" width="16.109375" style="77" bestFit="1" customWidth="1"/>
    <col min="186" max="186" width="14.5546875" style="77" bestFit="1" customWidth="1"/>
    <col min="187" max="187" width="15.6640625" style="77" bestFit="1" customWidth="1"/>
    <col min="188" max="188" width="13.33203125" style="77" bestFit="1" customWidth="1"/>
    <col min="189" max="190" width="11.88671875" style="77" bestFit="1" customWidth="1"/>
    <col min="191" max="191" width="15.6640625" style="77" bestFit="1" customWidth="1"/>
    <col min="192" max="192" width="14.33203125" style="77" bestFit="1" customWidth="1"/>
    <col min="193" max="193" width="14.5546875" style="77" bestFit="1" customWidth="1"/>
    <col min="194" max="194" width="16.109375" style="77" bestFit="1" customWidth="1"/>
    <col min="195" max="196" width="15" style="77" bestFit="1" customWidth="1"/>
    <col min="197" max="16384" width="11.44140625" style="77"/>
  </cols>
  <sheetData>
    <row r="1" spans="1:172">
      <c r="B1" s="3343" t="s">
        <v>71</v>
      </c>
      <c r="C1" s="3343"/>
      <c r="D1" s="3343"/>
      <c r="E1" s="3343"/>
      <c r="F1" s="3343"/>
      <c r="G1" s="3343"/>
      <c r="H1" s="3343"/>
      <c r="I1" s="3343"/>
      <c r="J1" s="3343"/>
      <c r="K1" s="3343"/>
      <c r="L1" s="3343"/>
      <c r="M1" s="3343"/>
      <c r="N1" s="3343" t="s">
        <v>72</v>
      </c>
      <c r="O1" s="3343"/>
      <c r="P1" s="3343"/>
      <c r="Q1" s="3343"/>
      <c r="R1" s="3343"/>
      <c r="S1" s="3343"/>
      <c r="T1" s="3343"/>
      <c r="U1" s="3343"/>
      <c r="V1" s="3343"/>
      <c r="W1" s="3343"/>
      <c r="X1" s="3343"/>
      <c r="Y1" s="3343"/>
      <c r="Z1" s="3343" t="s">
        <v>73</v>
      </c>
      <c r="AA1" s="3343"/>
      <c r="AB1" s="3343"/>
      <c r="AC1" s="3343"/>
      <c r="AD1" s="3343"/>
      <c r="AE1" s="3343"/>
      <c r="AF1" s="3343"/>
      <c r="AG1" s="3343"/>
      <c r="AH1" s="3343"/>
      <c r="AI1" s="3343"/>
      <c r="AJ1" s="3343"/>
      <c r="AK1" s="3343"/>
      <c r="AL1" s="3343" t="s">
        <v>74</v>
      </c>
      <c r="AM1" s="3343"/>
      <c r="AN1" s="3343"/>
      <c r="AO1" s="3343"/>
      <c r="AP1" s="3343"/>
      <c r="AQ1" s="3343"/>
      <c r="AR1" s="3343"/>
      <c r="AS1" s="3343"/>
      <c r="AT1" s="3343"/>
      <c r="AU1" s="3343"/>
      <c r="AV1" s="3343"/>
      <c r="AW1" s="3343"/>
      <c r="AX1" s="3343" t="s">
        <v>75</v>
      </c>
      <c r="AY1" s="3343"/>
      <c r="AZ1" s="3343"/>
      <c r="BA1" s="3343"/>
      <c r="BB1" s="3343"/>
      <c r="BC1" s="3343"/>
      <c r="BD1" s="3343"/>
      <c r="BE1" s="3343"/>
      <c r="BF1" s="3343"/>
      <c r="BG1" s="3343"/>
      <c r="BH1" s="3343"/>
      <c r="BI1" s="3343"/>
      <c r="BJ1" s="3343" t="s">
        <v>76</v>
      </c>
      <c r="BK1" s="3343"/>
      <c r="BL1" s="3343"/>
      <c r="BM1" s="3343"/>
      <c r="BN1" s="3343"/>
      <c r="BO1" s="3343"/>
      <c r="BP1" s="3343"/>
      <c r="BQ1" s="3343"/>
      <c r="BR1" s="3343"/>
      <c r="BS1" s="3343"/>
      <c r="BT1" s="3343"/>
      <c r="BU1" s="3343"/>
      <c r="BV1" s="3343" t="s">
        <v>557</v>
      </c>
      <c r="BW1" s="3343"/>
      <c r="BX1" s="3343"/>
      <c r="BY1" s="3343"/>
      <c r="BZ1" s="3343"/>
      <c r="CA1" s="3343"/>
      <c r="CB1" s="3343"/>
      <c r="CC1" s="3343"/>
      <c r="CD1" s="3343"/>
      <c r="CE1" s="3343"/>
      <c r="CF1" s="3343"/>
      <c r="CG1" s="3343"/>
      <c r="CH1" s="3343" t="s">
        <v>78</v>
      </c>
      <c r="CI1" s="3343"/>
      <c r="CJ1" s="3343"/>
      <c r="CK1" s="3343"/>
      <c r="CL1" s="3343"/>
      <c r="CM1" s="3343"/>
      <c r="CN1" s="3343"/>
      <c r="CO1" s="3343"/>
      <c r="CP1" s="3343"/>
      <c r="CQ1" s="3343"/>
      <c r="CR1" s="3343"/>
      <c r="CS1" s="3343"/>
      <c r="CT1" s="3343" t="s">
        <v>79</v>
      </c>
      <c r="CU1" s="3343"/>
      <c r="CV1" s="3343"/>
      <c r="CW1" s="3343"/>
      <c r="CX1" s="3343"/>
      <c r="CY1" s="3343"/>
      <c r="CZ1" s="3343"/>
      <c r="DA1" s="3343"/>
      <c r="DB1" s="3343"/>
      <c r="DC1" s="3343"/>
      <c r="DD1" s="3343"/>
      <c r="DE1" s="3343"/>
      <c r="DF1" s="3343" t="s">
        <v>80</v>
      </c>
      <c r="DG1" s="3343"/>
      <c r="DH1" s="3343"/>
      <c r="DI1" s="3343"/>
      <c r="DJ1" s="3343"/>
      <c r="DK1" s="3343"/>
      <c r="DL1" s="3343"/>
      <c r="DM1" s="3343"/>
      <c r="DN1" s="3343"/>
      <c r="DO1" s="3343"/>
      <c r="DP1" s="3343"/>
      <c r="DQ1" s="3343"/>
      <c r="DR1" s="3343" t="s">
        <v>81</v>
      </c>
      <c r="DS1" s="3343"/>
      <c r="DT1" s="3343"/>
      <c r="DU1" s="3343"/>
      <c r="DV1" s="3343"/>
      <c r="DW1" s="3343"/>
      <c r="DX1" s="3343"/>
      <c r="DY1" s="3343"/>
      <c r="DZ1" s="3343"/>
      <c r="EA1" s="3343"/>
      <c r="EB1" s="3343"/>
      <c r="EC1" s="3343"/>
      <c r="ED1" s="3343" t="s">
        <v>82</v>
      </c>
      <c r="EE1" s="3343"/>
      <c r="EF1" s="3343"/>
      <c r="EG1" s="3343"/>
      <c r="EH1" s="3343"/>
      <c r="EI1" s="3343"/>
      <c r="EJ1" s="3343"/>
      <c r="EK1" s="3343"/>
      <c r="EL1" s="3343"/>
      <c r="EM1" s="3343"/>
      <c r="EN1" s="3343"/>
      <c r="EO1" s="3343"/>
      <c r="EP1" s="3343" t="s">
        <v>205</v>
      </c>
      <c r="EQ1" s="3343"/>
      <c r="ER1" s="3343"/>
      <c r="ES1" s="3343"/>
      <c r="ET1" s="3343"/>
      <c r="EU1" s="3343"/>
      <c r="EV1" s="3343"/>
      <c r="EW1" s="3343"/>
      <c r="EX1" s="3343"/>
      <c r="EY1" s="3343"/>
      <c r="EZ1" s="3343"/>
      <c r="FA1" s="3343"/>
      <c r="FB1" s="3343" t="s">
        <v>2</v>
      </c>
      <c r="FC1" s="3343"/>
      <c r="FD1" s="3343"/>
      <c r="FE1" s="3343"/>
      <c r="FF1" s="3343"/>
      <c r="FG1" s="3343"/>
      <c r="FH1" s="3343"/>
      <c r="FI1" s="3343"/>
      <c r="FJ1" s="3343"/>
      <c r="FK1" s="3343"/>
      <c r="FL1" s="3343"/>
      <c r="FM1" s="3343"/>
    </row>
    <row r="2" spans="1:172">
      <c r="B2" s="3344" t="s">
        <v>25</v>
      </c>
      <c r="C2" s="3345"/>
      <c r="D2" s="3345"/>
      <c r="E2" s="3345"/>
      <c r="F2" s="3345"/>
      <c r="G2" s="3346"/>
      <c r="H2" s="3347" t="s">
        <v>26</v>
      </c>
      <c r="I2" s="3348"/>
      <c r="J2" s="3348"/>
      <c r="K2" s="3348"/>
      <c r="L2" s="3348"/>
      <c r="M2" s="3349"/>
      <c r="N2" s="3344" t="s">
        <v>25</v>
      </c>
      <c r="O2" s="3345"/>
      <c r="P2" s="3345"/>
      <c r="Q2" s="3345"/>
      <c r="R2" s="3345"/>
      <c r="S2" s="3346"/>
      <c r="T2" s="3347" t="s">
        <v>26</v>
      </c>
      <c r="U2" s="3348"/>
      <c r="V2" s="3348"/>
      <c r="W2" s="3348"/>
      <c r="X2" s="3348"/>
      <c r="Y2" s="3349"/>
      <c r="Z2" s="3344" t="s">
        <v>25</v>
      </c>
      <c r="AA2" s="3345"/>
      <c r="AB2" s="3345"/>
      <c r="AC2" s="3345"/>
      <c r="AD2" s="3345"/>
      <c r="AE2" s="3346"/>
      <c r="AF2" s="3347" t="s">
        <v>26</v>
      </c>
      <c r="AG2" s="3348"/>
      <c r="AH2" s="3348"/>
      <c r="AI2" s="3348"/>
      <c r="AJ2" s="3348"/>
      <c r="AK2" s="3349"/>
      <c r="AL2" s="3344" t="s">
        <v>25</v>
      </c>
      <c r="AM2" s="3345"/>
      <c r="AN2" s="3345"/>
      <c r="AO2" s="3345"/>
      <c r="AP2" s="3345"/>
      <c r="AQ2" s="3346"/>
      <c r="AR2" s="3347" t="s">
        <v>26</v>
      </c>
      <c r="AS2" s="3348"/>
      <c r="AT2" s="3348"/>
      <c r="AU2" s="3348"/>
      <c r="AV2" s="3348"/>
      <c r="AW2" s="3349"/>
      <c r="AX2" s="3344" t="s">
        <v>25</v>
      </c>
      <c r="AY2" s="3345"/>
      <c r="AZ2" s="3345"/>
      <c r="BA2" s="3345"/>
      <c r="BB2" s="3345"/>
      <c r="BC2" s="3346"/>
      <c r="BD2" s="3347" t="s">
        <v>26</v>
      </c>
      <c r="BE2" s="3348"/>
      <c r="BF2" s="3348"/>
      <c r="BG2" s="3348"/>
      <c r="BH2" s="3348"/>
      <c r="BI2" s="3349"/>
      <c r="BJ2" s="3344" t="s">
        <v>25</v>
      </c>
      <c r="BK2" s="3345"/>
      <c r="BL2" s="3345"/>
      <c r="BM2" s="3345"/>
      <c r="BN2" s="3345"/>
      <c r="BO2" s="3346"/>
      <c r="BP2" s="3347" t="s">
        <v>26</v>
      </c>
      <c r="BQ2" s="3348"/>
      <c r="BR2" s="3348"/>
      <c r="BS2" s="3348"/>
      <c r="BT2" s="3348"/>
      <c r="BU2" s="3349"/>
      <c r="BV2" s="3344" t="s">
        <v>25</v>
      </c>
      <c r="BW2" s="3345"/>
      <c r="BX2" s="3345"/>
      <c r="BY2" s="3345"/>
      <c r="BZ2" s="3345"/>
      <c r="CA2" s="3346"/>
      <c r="CB2" s="3347" t="s">
        <v>26</v>
      </c>
      <c r="CC2" s="3348"/>
      <c r="CD2" s="3348"/>
      <c r="CE2" s="3348"/>
      <c r="CF2" s="3348"/>
      <c r="CG2" s="3349"/>
      <c r="CH2" s="3344" t="s">
        <v>25</v>
      </c>
      <c r="CI2" s="3345"/>
      <c r="CJ2" s="3345"/>
      <c r="CK2" s="3345"/>
      <c r="CL2" s="3345"/>
      <c r="CM2" s="3346"/>
      <c r="CN2" s="3347" t="s">
        <v>26</v>
      </c>
      <c r="CO2" s="3348"/>
      <c r="CP2" s="3348"/>
      <c r="CQ2" s="3348"/>
      <c r="CR2" s="3348"/>
      <c r="CS2" s="3349"/>
      <c r="CT2" s="3344" t="s">
        <v>25</v>
      </c>
      <c r="CU2" s="3345"/>
      <c r="CV2" s="3345"/>
      <c r="CW2" s="3345"/>
      <c r="CX2" s="3345"/>
      <c r="CY2" s="3346"/>
      <c r="CZ2" s="3347" t="s">
        <v>26</v>
      </c>
      <c r="DA2" s="3348"/>
      <c r="DB2" s="3348"/>
      <c r="DC2" s="3348"/>
      <c r="DD2" s="3348"/>
      <c r="DE2" s="3349"/>
      <c r="DF2" s="3344" t="s">
        <v>25</v>
      </c>
      <c r="DG2" s="3345"/>
      <c r="DH2" s="3345"/>
      <c r="DI2" s="3345"/>
      <c r="DJ2" s="3345"/>
      <c r="DK2" s="3346"/>
      <c r="DL2" s="3347" t="s">
        <v>26</v>
      </c>
      <c r="DM2" s="3348"/>
      <c r="DN2" s="3348"/>
      <c r="DO2" s="3348"/>
      <c r="DP2" s="3348"/>
      <c r="DQ2" s="3349"/>
      <c r="DR2" s="3344" t="s">
        <v>25</v>
      </c>
      <c r="DS2" s="3345"/>
      <c r="DT2" s="3345"/>
      <c r="DU2" s="3345"/>
      <c r="DV2" s="3345"/>
      <c r="DW2" s="3346"/>
      <c r="DX2" s="3347" t="s">
        <v>26</v>
      </c>
      <c r="DY2" s="3348"/>
      <c r="DZ2" s="3348"/>
      <c r="EA2" s="3348"/>
      <c r="EB2" s="3348"/>
      <c r="EC2" s="3349"/>
      <c r="ED2" s="3344" t="s">
        <v>25</v>
      </c>
      <c r="EE2" s="3345"/>
      <c r="EF2" s="3345"/>
      <c r="EG2" s="3345"/>
      <c r="EH2" s="3345"/>
      <c r="EI2" s="3346"/>
      <c r="EJ2" s="3347" t="s">
        <v>26</v>
      </c>
      <c r="EK2" s="3348"/>
      <c r="EL2" s="3348"/>
      <c r="EM2" s="3348"/>
      <c r="EN2" s="3348"/>
      <c r="EO2" s="3349"/>
      <c r="EP2" s="3344" t="s">
        <v>25</v>
      </c>
      <c r="EQ2" s="3345"/>
      <c r="ER2" s="3345"/>
      <c r="ES2" s="3345"/>
      <c r="ET2" s="3345"/>
      <c r="EU2" s="3346"/>
      <c r="EV2" s="3347" t="s">
        <v>26</v>
      </c>
      <c r="EW2" s="3348"/>
      <c r="EX2" s="3348"/>
      <c r="EY2" s="3348"/>
      <c r="EZ2" s="3348"/>
      <c r="FA2" s="3349"/>
      <c r="FB2" s="3344" t="s">
        <v>25</v>
      </c>
      <c r="FC2" s="3345"/>
      <c r="FD2" s="3345"/>
      <c r="FE2" s="3345"/>
      <c r="FF2" s="3345"/>
      <c r="FG2" s="3346"/>
      <c r="FH2" s="3347" t="s">
        <v>26</v>
      </c>
      <c r="FI2" s="3348"/>
      <c r="FJ2" s="3348"/>
      <c r="FK2" s="3348"/>
      <c r="FL2" s="3348"/>
      <c r="FM2" s="3348"/>
    </row>
    <row r="3" spans="1:172">
      <c r="B3" s="3344" t="s">
        <v>477</v>
      </c>
      <c r="C3" s="3345"/>
      <c r="D3" s="3360"/>
      <c r="E3" s="3344" t="s">
        <v>478</v>
      </c>
      <c r="F3" s="3345"/>
      <c r="G3" s="3346"/>
      <c r="H3" s="3361" t="s">
        <v>1024</v>
      </c>
      <c r="I3" s="3362"/>
      <c r="J3" s="3363"/>
      <c r="K3" s="3361" t="s">
        <v>478</v>
      </c>
      <c r="L3" s="3362"/>
      <c r="M3" s="3363"/>
      <c r="N3" s="3344" t="s">
        <v>477</v>
      </c>
      <c r="O3" s="3345"/>
      <c r="P3" s="3360"/>
      <c r="Q3" s="3344" t="s">
        <v>478</v>
      </c>
      <c r="R3" s="3345"/>
      <c r="S3" s="3346"/>
      <c r="T3" s="3361" t="s">
        <v>477</v>
      </c>
      <c r="U3" s="3362"/>
      <c r="V3" s="3363"/>
      <c r="W3" s="3361" t="s">
        <v>478</v>
      </c>
      <c r="X3" s="3362"/>
      <c r="Y3" s="3363"/>
      <c r="Z3" s="3344" t="s">
        <v>477</v>
      </c>
      <c r="AA3" s="3345"/>
      <c r="AB3" s="3360"/>
      <c r="AC3" s="3344" t="s">
        <v>478</v>
      </c>
      <c r="AD3" s="3345"/>
      <c r="AE3" s="3346"/>
      <c r="AF3" s="3361" t="s">
        <v>477</v>
      </c>
      <c r="AG3" s="3362"/>
      <c r="AH3" s="3363"/>
      <c r="AI3" s="3361" t="s">
        <v>478</v>
      </c>
      <c r="AJ3" s="3362"/>
      <c r="AK3" s="3363"/>
      <c r="AL3" s="3344" t="s">
        <v>477</v>
      </c>
      <c r="AM3" s="3345"/>
      <c r="AN3" s="3360"/>
      <c r="AO3" s="3344" t="s">
        <v>478</v>
      </c>
      <c r="AP3" s="3345"/>
      <c r="AQ3" s="3346"/>
      <c r="AR3" s="3361" t="s">
        <v>477</v>
      </c>
      <c r="AS3" s="3362"/>
      <c r="AT3" s="3363"/>
      <c r="AU3" s="3361" t="s">
        <v>478</v>
      </c>
      <c r="AV3" s="3362"/>
      <c r="AW3" s="3363"/>
      <c r="AX3" s="3344" t="s">
        <v>477</v>
      </c>
      <c r="AY3" s="3345"/>
      <c r="AZ3" s="3360"/>
      <c r="BA3" s="3344" t="s">
        <v>478</v>
      </c>
      <c r="BB3" s="3345"/>
      <c r="BC3" s="3346"/>
      <c r="BD3" s="3361" t="s">
        <v>477</v>
      </c>
      <c r="BE3" s="3362"/>
      <c r="BF3" s="3363"/>
      <c r="BG3" s="3361" t="s">
        <v>478</v>
      </c>
      <c r="BH3" s="3362"/>
      <c r="BI3" s="3363"/>
      <c r="BJ3" s="3344" t="s">
        <v>477</v>
      </c>
      <c r="BK3" s="3345"/>
      <c r="BL3" s="3360"/>
      <c r="BM3" s="3344" t="s">
        <v>478</v>
      </c>
      <c r="BN3" s="3345"/>
      <c r="BO3" s="3346"/>
      <c r="BP3" s="3361" t="s">
        <v>477</v>
      </c>
      <c r="BQ3" s="3362"/>
      <c r="BR3" s="3363"/>
      <c r="BS3" s="3361" t="s">
        <v>478</v>
      </c>
      <c r="BT3" s="3362"/>
      <c r="BU3" s="3363"/>
      <c r="BV3" s="3344" t="s">
        <v>477</v>
      </c>
      <c r="BW3" s="3345"/>
      <c r="BX3" s="3360"/>
      <c r="BY3" s="3344" t="s">
        <v>478</v>
      </c>
      <c r="BZ3" s="3345"/>
      <c r="CA3" s="3346"/>
      <c r="CB3" s="3361" t="s">
        <v>477</v>
      </c>
      <c r="CC3" s="3362"/>
      <c r="CD3" s="3363"/>
      <c r="CE3" s="3361" t="s">
        <v>478</v>
      </c>
      <c r="CF3" s="3362"/>
      <c r="CG3" s="3363"/>
      <c r="CH3" s="3344" t="s">
        <v>477</v>
      </c>
      <c r="CI3" s="3345"/>
      <c r="CJ3" s="3360"/>
      <c r="CK3" s="3344" t="s">
        <v>478</v>
      </c>
      <c r="CL3" s="3345"/>
      <c r="CM3" s="3346"/>
      <c r="CN3" s="3361" t="s">
        <v>477</v>
      </c>
      <c r="CO3" s="3362"/>
      <c r="CP3" s="3363"/>
      <c r="CQ3" s="3361" t="s">
        <v>478</v>
      </c>
      <c r="CR3" s="3362"/>
      <c r="CS3" s="3363"/>
      <c r="CT3" s="3344" t="s">
        <v>477</v>
      </c>
      <c r="CU3" s="3345"/>
      <c r="CV3" s="3360"/>
      <c r="CW3" s="3344" t="s">
        <v>478</v>
      </c>
      <c r="CX3" s="3345"/>
      <c r="CY3" s="3346"/>
      <c r="CZ3" s="3361" t="s">
        <v>477</v>
      </c>
      <c r="DA3" s="3362"/>
      <c r="DB3" s="3363"/>
      <c r="DC3" s="3361" t="s">
        <v>478</v>
      </c>
      <c r="DD3" s="3362"/>
      <c r="DE3" s="3363"/>
      <c r="DF3" s="3344" t="s">
        <v>477</v>
      </c>
      <c r="DG3" s="3345"/>
      <c r="DH3" s="3360"/>
      <c r="DI3" s="3344" t="s">
        <v>478</v>
      </c>
      <c r="DJ3" s="3345"/>
      <c r="DK3" s="3346"/>
      <c r="DL3" s="3361" t="s">
        <v>477</v>
      </c>
      <c r="DM3" s="3362"/>
      <c r="DN3" s="3363"/>
      <c r="DO3" s="3361" t="s">
        <v>478</v>
      </c>
      <c r="DP3" s="3362"/>
      <c r="DQ3" s="3363"/>
      <c r="DR3" s="3344" t="s">
        <v>477</v>
      </c>
      <c r="DS3" s="3345"/>
      <c r="DT3" s="3360"/>
      <c r="DU3" s="3344" t="s">
        <v>478</v>
      </c>
      <c r="DV3" s="3345"/>
      <c r="DW3" s="3346"/>
      <c r="DX3" s="3361" t="s">
        <v>477</v>
      </c>
      <c r="DY3" s="3362"/>
      <c r="DZ3" s="3363"/>
      <c r="EA3" s="3361" t="s">
        <v>478</v>
      </c>
      <c r="EB3" s="3362"/>
      <c r="EC3" s="3363"/>
      <c r="ED3" s="3344" t="s">
        <v>477</v>
      </c>
      <c r="EE3" s="3345"/>
      <c r="EF3" s="3360"/>
      <c r="EG3" s="3344" t="s">
        <v>478</v>
      </c>
      <c r="EH3" s="3345"/>
      <c r="EI3" s="3346"/>
      <c r="EJ3" s="3361" t="s">
        <v>477</v>
      </c>
      <c r="EK3" s="3362"/>
      <c r="EL3" s="3363"/>
      <c r="EM3" s="3361" t="s">
        <v>478</v>
      </c>
      <c r="EN3" s="3362"/>
      <c r="EO3" s="3363"/>
      <c r="EP3" s="3344" t="s">
        <v>477</v>
      </c>
      <c r="EQ3" s="3345"/>
      <c r="ER3" s="3360"/>
      <c r="ES3" s="3344" t="s">
        <v>478</v>
      </c>
      <c r="ET3" s="3345"/>
      <c r="EU3" s="3346"/>
      <c r="EV3" s="3361" t="s">
        <v>477</v>
      </c>
      <c r="EW3" s="3362"/>
      <c r="EX3" s="3363"/>
      <c r="EY3" s="3361" t="s">
        <v>478</v>
      </c>
      <c r="EZ3" s="3362"/>
      <c r="FA3" s="3363"/>
      <c r="FB3" s="3344" t="s">
        <v>477</v>
      </c>
      <c r="FC3" s="3345"/>
      <c r="FD3" s="3360"/>
      <c r="FE3" s="3344" t="s">
        <v>478</v>
      </c>
      <c r="FF3" s="3345"/>
      <c r="FG3" s="3346"/>
      <c r="FH3" s="3361" t="s">
        <v>477</v>
      </c>
      <c r="FI3" s="3362"/>
      <c r="FJ3" s="3363"/>
      <c r="FK3" s="3361" t="s">
        <v>478</v>
      </c>
      <c r="FL3" s="3362"/>
      <c r="FM3" s="3363"/>
    </row>
    <row r="4" spans="1:172">
      <c r="B4" s="1835" t="s">
        <v>17</v>
      </c>
      <c r="C4" s="1835" t="s">
        <v>18</v>
      </c>
      <c r="D4" s="1835" t="s">
        <v>19</v>
      </c>
      <c r="E4" s="1835" t="s">
        <v>17</v>
      </c>
      <c r="F4" s="1835" t="s">
        <v>18</v>
      </c>
      <c r="G4" s="1836" t="s">
        <v>19</v>
      </c>
      <c r="H4" s="1837" t="s">
        <v>17</v>
      </c>
      <c r="I4" s="1837" t="s">
        <v>18</v>
      </c>
      <c r="J4" s="1837" t="s">
        <v>21</v>
      </c>
      <c r="K4" s="1837" t="s">
        <v>17</v>
      </c>
      <c r="L4" s="1837" t="s">
        <v>18</v>
      </c>
      <c r="M4" s="1837" t="s">
        <v>21</v>
      </c>
      <c r="N4" s="1835" t="s">
        <v>17</v>
      </c>
      <c r="O4" s="1835" t="s">
        <v>18</v>
      </c>
      <c r="P4" s="1835" t="s">
        <v>19</v>
      </c>
      <c r="Q4" s="1835" t="s">
        <v>17</v>
      </c>
      <c r="R4" s="1835" t="s">
        <v>18</v>
      </c>
      <c r="S4" s="1836" t="s">
        <v>19</v>
      </c>
      <c r="T4" s="1837" t="s">
        <v>17</v>
      </c>
      <c r="U4" s="1837" t="s">
        <v>18</v>
      </c>
      <c r="V4" s="1837" t="s">
        <v>21</v>
      </c>
      <c r="W4" s="1837" t="s">
        <v>17</v>
      </c>
      <c r="X4" s="1837" t="s">
        <v>18</v>
      </c>
      <c r="Y4" s="1837" t="s">
        <v>21</v>
      </c>
      <c r="Z4" s="1835" t="s">
        <v>17</v>
      </c>
      <c r="AA4" s="1835" t="s">
        <v>18</v>
      </c>
      <c r="AB4" s="1835" t="s">
        <v>19</v>
      </c>
      <c r="AC4" s="1835" t="s">
        <v>17</v>
      </c>
      <c r="AD4" s="1835" t="s">
        <v>18</v>
      </c>
      <c r="AE4" s="1836" t="s">
        <v>19</v>
      </c>
      <c r="AF4" s="1837" t="s">
        <v>17</v>
      </c>
      <c r="AG4" s="1837" t="s">
        <v>18</v>
      </c>
      <c r="AH4" s="1837" t="s">
        <v>21</v>
      </c>
      <c r="AI4" s="1837" t="s">
        <v>17</v>
      </c>
      <c r="AJ4" s="1837" t="s">
        <v>18</v>
      </c>
      <c r="AK4" s="1837" t="s">
        <v>21</v>
      </c>
      <c r="AL4" s="1835" t="s">
        <v>17</v>
      </c>
      <c r="AM4" s="1835" t="s">
        <v>18</v>
      </c>
      <c r="AN4" s="1835" t="s">
        <v>19</v>
      </c>
      <c r="AO4" s="1835" t="s">
        <v>17</v>
      </c>
      <c r="AP4" s="1835" t="s">
        <v>18</v>
      </c>
      <c r="AQ4" s="1836" t="s">
        <v>19</v>
      </c>
      <c r="AR4" s="1837" t="s">
        <v>17</v>
      </c>
      <c r="AS4" s="1837" t="s">
        <v>18</v>
      </c>
      <c r="AT4" s="1837" t="s">
        <v>21</v>
      </c>
      <c r="AU4" s="1837" t="s">
        <v>17</v>
      </c>
      <c r="AV4" s="1837" t="s">
        <v>18</v>
      </c>
      <c r="AW4" s="1837" t="s">
        <v>21</v>
      </c>
      <c r="AX4" s="1835" t="s">
        <v>17</v>
      </c>
      <c r="AY4" s="1835" t="s">
        <v>18</v>
      </c>
      <c r="AZ4" s="1835" t="s">
        <v>19</v>
      </c>
      <c r="BA4" s="1835" t="s">
        <v>17</v>
      </c>
      <c r="BB4" s="1835" t="s">
        <v>18</v>
      </c>
      <c r="BC4" s="1836" t="s">
        <v>19</v>
      </c>
      <c r="BD4" s="1837" t="s">
        <v>17</v>
      </c>
      <c r="BE4" s="1837" t="s">
        <v>18</v>
      </c>
      <c r="BF4" s="1837" t="s">
        <v>21</v>
      </c>
      <c r="BG4" s="1837" t="s">
        <v>17</v>
      </c>
      <c r="BH4" s="1837" t="s">
        <v>18</v>
      </c>
      <c r="BI4" s="1837" t="s">
        <v>21</v>
      </c>
      <c r="BJ4" s="1835" t="s">
        <v>17</v>
      </c>
      <c r="BK4" s="1835" t="s">
        <v>18</v>
      </c>
      <c r="BL4" s="1835" t="s">
        <v>19</v>
      </c>
      <c r="BM4" s="1835" t="s">
        <v>17</v>
      </c>
      <c r="BN4" s="1835" t="s">
        <v>18</v>
      </c>
      <c r="BO4" s="1836" t="s">
        <v>19</v>
      </c>
      <c r="BP4" s="1837" t="s">
        <v>17</v>
      </c>
      <c r="BQ4" s="1837" t="s">
        <v>18</v>
      </c>
      <c r="BR4" s="1837" t="s">
        <v>21</v>
      </c>
      <c r="BS4" s="1837" t="s">
        <v>17</v>
      </c>
      <c r="BT4" s="1837" t="s">
        <v>18</v>
      </c>
      <c r="BU4" s="1837" t="s">
        <v>21</v>
      </c>
      <c r="BV4" s="1835" t="s">
        <v>17</v>
      </c>
      <c r="BW4" s="1835" t="s">
        <v>18</v>
      </c>
      <c r="BX4" s="1835" t="s">
        <v>19</v>
      </c>
      <c r="BY4" s="1835" t="s">
        <v>17</v>
      </c>
      <c r="BZ4" s="1835" t="s">
        <v>18</v>
      </c>
      <c r="CA4" s="1836" t="s">
        <v>19</v>
      </c>
      <c r="CB4" s="1837" t="s">
        <v>17</v>
      </c>
      <c r="CC4" s="1837" t="s">
        <v>18</v>
      </c>
      <c r="CD4" s="1837" t="s">
        <v>21</v>
      </c>
      <c r="CE4" s="1837" t="s">
        <v>17</v>
      </c>
      <c r="CF4" s="1837" t="s">
        <v>18</v>
      </c>
      <c r="CG4" s="1837" t="s">
        <v>21</v>
      </c>
      <c r="CH4" s="1835" t="s">
        <v>17</v>
      </c>
      <c r="CI4" s="1835" t="s">
        <v>18</v>
      </c>
      <c r="CJ4" s="1835" t="s">
        <v>19</v>
      </c>
      <c r="CK4" s="1835" t="s">
        <v>17</v>
      </c>
      <c r="CL4" s="1835" t="s">
        <v>18</v>
      </c>
      <c r="CM4" s="1836" t="s">
        <v>19</v>
      </c>
      <c r="CN4" s="1837" t="s">
        <v>17</v>
      </c>
      <c r="CO4" s="1837" t="s">
        <v>18</v>
      </c>
      <c r="CP4" s="1837" t="s">
        <v>21</v>
      </c>
      <c r="CQ4" s="1837" t="s">
        <v>17</v>
      </c>
      <c r="CR4" s="1837" t="s">
        <v>18</v>
      </c>
      <c r="CS4" s="1837" t="s">
        <v>21</v>
      </c>
      <c r="CT4" s="1835" t="s">
        <v>17</v>
      </c>
      <c r="CU4" s="1835" t="s">
        <v>18</v>
      </c>
      <c r="CV4" s="1835" t="s">
        <v>19</v>
      </c>
      <c r="CW4" s="1835" t="s">
        <v>17</v>
      </c>
      <c r="CX4" s="1835" t="s">
        <v>18</v>
      </c>
      <c r="CY4" s="1836" t="s">
        <v>19</v>
      </c>
      <c r="CZ4" s="1837" t="s">
        <v>17</v>
      </c>
      <c r="DA4" s="1837" t="s">
        <v>18</v>
      </c>
      <c r="DB4" s="1837" t="s">
        <v>21</v>
      </c>
      <c r="DC4" s="1837" t="s">
        <v>17</v>
      </c>
      <c r="DD4" s="1837" t="s">
        <v>18</v>
      </c>
      <c r="DE4" s="1837" t="s">
        <v>21</v>
      </c>
      <c r="DF4" s="1835" t="s">
        <v>17</v>
      </c>
      <c r="DG4" s="1835" t="s">
        <v>18</v>
      </c>
      <c r="DH4" s="1835" t="s">
        <v>19</v>
      </c>
      <c r="DI4" s="1835" t="s">
        <v>17</v>
      </c>
      <c r="DJ4" s="1835" t="s">
        <v>18</v>
      </c>
      <c r="DK4" s="1836" t="s">
        <v>19</v>
      </c>
      <c r="DL4" s="1837" t="s">
        <v>17</v>
      </c>
      <c r="DM4" s="1837" t="s">
        <v>18</v>
      </c>
      <c r="DN4" s="1837" t="s">
        <v>21</v>
      </c>
      <c r="DO4" s="1837" t="s">
        <v>17</v>
      </c>
      <c r="DP4" s="1837" t="s">
        <v>18</v>
      </c>
      <c r="DQ4" s="1837" t="s">
        <v>21</v>
      </c>
      <c r="DR4" s="1835" t="s">
        <v>17</v>
      </c>
      <c r="DS4" s="1835" t="s">
        <v>18</v>
      </c>
      <c r="DT4" s="1835" t="s">
        <v>19</v>
      </c>
      <c r="DU4" s="1835" t="s">
        <v>17</v>
      </c>
      <c r="DV4" s="1835" t="s">
        <v>18</v>
      </c>
      <c r="DW4" s="1836" t="s">
        <v>19</v>
      </c>
      <c r="DX4" s="1837" t="s">
        <v>17</v>
      </c>
      <c r="DY4" s="1837" t="s">
        <v>18</v>
      </c>
      <c r="DZ4" s="1837" t="s">
        <v>21</v>
      </c>
      <c r="EA4" s="1837" t="s">
        <v>17</v>
      </c>
      <c r="EB4" s="1837" t="s">
        <v>18</v>
      </c>
      <c r="EC4" s="1837" t="s">
        <v>21</v>
      </c>
      <c r="ED4" s="1835" t="s">
        <v>17</v>
      </c>
      <c r="EE4" s="1835" t="s">
        <v>18</v>
      </c>
      <c r="EF4" s="1835" t="s">
        <v>19</v>
      </c>
      <c r="EG4" s="1835" t="s">
        <v>17</v>
      </c>
      <c r="EH4" s="1835" t="s">
        <v>18</v>
      </c>
      <c r="EI4" s="1836" t="s">
        <v>19</v>
      </c>
      <c r="EJ4" s="1837" t="s">
        <v>17</v>
      </c>
      <c r="EK4" s="1837" t="s">
        <v>18</v>
      </c>
      <c r="EL4" s="1837" t="s">
        <v>21</v>
      </c>
      <c r="EM4" s="1837" t="s">
        <v>17</v>
      </c>
      <c r="EN4" s="1837" t="s">
        <v>18</v>
      </c>
      <c r="EO4" s="1837" t="s">
        <v>21</v>
      </c>
      <c r="EP4" s="1835" t="s">
        <v>17</v>
      </c>
      <c r="EQ4" s="1835" t="s">
        <v>18</v>
      </c>
      <c r="ER4" s="1835" t="s">
        <v>19</v>
      </c>
      <c r="ES4" s="1835" t="s">
        <v>17</v>
      </c>
      <c r="ET4" s="1835" t="s">
        <v>18</v>
      </c>
      <c r="EU4" s="1836" t="s">
        <v>19</v>
      </c>
      <c r="EV4" s="1837" t="s">
        <v>17</v>
      </c>
      <c r="EW4" s="1837" t="s">
        <v>18</v>
      </c>
      <c r="EX4" s="1837" t="s">
        <v>21</v>
      </c>
      <c r="EY4" s="1837" t="s">
        <v>17</v>
      </c>
      <c r="EZ4" s="1837" t="s">
        <v>18</v>
      </c>
      <c r="FA4" s="1837" t="s">
        <v>21</v>
      </c>
      <c r="FB4" s="1835" t="s">
        <v>17</v>
      </c>
      <c r="FC4" s="1835" t="s">
        <v>18</v>
      </c>
      <c r="FD4" s="1835" t="s">
        <v>19</v>
      </c>
      <c r="FE4" s="1835" t="s">
        <v>17</v>
      </c>
      <c r="FF4" s="1835" t="s">
        <v>18</v>
      </c>
      <c r="FG4" s="1836" t="s">
        <v>19</v>
      </c>
      <c r="FH4" s="1837" t="s">
        <v>17</v>
      </c>
      <c r="FI4" s="1837" t="s">
        <v>18</v>
      </c>
      <c r="FJ4" s="1837" t="s">
        <v>21</v>
      </c>
      <c r="FK4" s="1837" t="s">
        <v>17</v>
      </c>
      <c r="FL4" s="1837" t="s">
        <v>18</v>
      </c>
      <c r="FM4" s="1837" t="s">
        <v>21</v>
      </c>
    </row>
    <row r="5" spans="1:172">
      <c r="A5" s="730" t="s">
        <v>6</v>
      </c>
      <c r="B5" s="1118">
        <v>83288051</v>
      </c>
      <c r="C5" s="1118">
        <v>10773744</v>
      </c>
      <c r="D5" s="1119">
        <v>79292672.799999997</v>
      </c>
      <c r="E5" s="1118">
        <v>380351628.29000008</v>
      </c>
      <c r="F5" s="1118">
        <v>42522926.829999998</v>
      </c>
      <c r="G5" s="1120">
        <v>296390584.62</v>
      </c>
      <c r="H5" s="1121">
        <v>412373764.05000019</v>
      </c>
      <c r="I5" s="1121">
        <v>9178602.5900000017</v>
      </c>
      <c r="J5" s="1121">
        <v>74691636.98999998</v>
      </c>
      <c r="K5" s="1121">
        <v>156300811</v>
      </c>
      <c r="L5" s="1121">
        <v>3996899.7900000005</v>
      </c>
      <c r="M5" s="1121">
        <v>29329831.710000001</v>
      </c>
      <c r="N5" s="835">
        <v>96069946</v>
      </c>
      <c r="O5" s="835">
        <v>10712343</v>
      </c>
      <c r="P5" s="835">
        <v>67895132.529999986</v>
      </c>
      <c r="Q5" s="836">
        <v>449291424.47999996</v>
      </c>
      <c r="R5" s="836">
        <v>46309733.789999992</v>
      </c>
      <c r="S5" s="837">
        <v>257441806.84999996</v>
      </c>
      <c r="T5" s="838">
        <v>522911404.6400001</v>
      </c>
      <c r="U5" s="838">
        <v>12143964.329999998</v>
      </c>
      <c r="V5" s="838">
        <v>73158044.870000005</v>
      </c>
      <c r="W5" s="839">
        <v>205050957.13000003</v>
      </c>
      <c r="X5" s="839">
        <v>5407201.1200000001</v>
      </c>
      <c r="Y5" s="839">
        <v>28679462.120000005</v>
      </c>
      <c r="Z5" s="835">
        <v>83691610</v>
      </c>
      <c r="AA5" s="835">
        <v>17701756</v>
      </c>
      <c r="AB5" s="835">
        <v>76630558.459999993</v>
      </c>
      <c r="AC5" s="836">
        <v>385856046.01999998</v>
      </c>
      <c r="AD5" s="836">
        <v>74840827.590000004</v>
      </c>
      <c r="AE5" s="837">
        <v>281651081.13</v>
      </c>
      <c r="AF5" s="838">
        <v>433934613.64000034</v>
      </c>
      <c r="AG5" s="838">
        <v>22981512.720000003</v>
      </c>
      <c r="AH5" s="838">
        <v>58185848.640000008</v>
      </c>
      <c r="AI5" s="839">
        <v>166012019.16</v>
      </c>
      <c r="AJ5" s="839">
        <v>10141349.200000001</v>
      </c>
      <c r="AK5" s="839">
        <v>22922767.829999998</v>
      </c>
      <c r="AL5" s="835">
        <v>86254931</v>
      </c>
      <c r="AM5" s="835">
        <v>12623055</v>
      </c>
      <c r="AN5" s="835">
        <v>67630046.179999992</v>
      </c>
      <c r="AO5" s="836">
        <v>398169777.50999993</v>
      </c>
      <c r="AP5" s="836">
        <v>44037676.689999998</v>
      </c>
      <c r="AQ5" s="837">
        <v>262558933.23999998</v>
      </c>
      <c r="AR5" s="838">
        <v>385211148.09000021</v>
      </c>
      <c r="AS5" s="838">
        <v>7325888.0499999998</v>
      </c>
      <c r="AT5" s="838">
        <v>58389679.569999993</v>
      </c>
      <c r="AU5" s="839">
        <v>144019557.27000001</v>
      </c>
      <c r="AV5" s="839">
        <v>3148794.7699999996</v>
      </c>
      <c r="AW5" s="839">
        <v>23976067.439999994</v>
      </c>
      <c r="AX5" s="835">
        <v>87992202</v>
      </c>
      <c r="AY5" s="835">
        <v>13297905</v>
      </c>
      <c r="AZ5" s="835">
        <v>80665052.870000005</v>
      </c>
      <c r="BA5" s="836">
        <v>402872069.90999997</v>
      </c>
      <c r="BB5" s="836">
        <v>44995837.240000002</v>
      </c>
      <c r="BC5" s="837">
        <v>307241530.12</v>
      </c>
      <c r="BD5" s="838">
        <v>258091896.12</v>
      </c>
      <c r="BE5" s="838">
        <v>5497688.7700000005</v>
      </c>
      <c r="BF5" s="838">
        <v>61378729</v>
      </c>
      <c r="BG5" s="839">
        <v>92310224.359999999</v>
      </c>
      <c r="BH5" s="839">
        <v>2376260.2200000007</v>
      </c>
      <c r="BI5" s="839">
        <v>23488074.889999997</v>
      </c>
      <c r="BJ5" s="835">
        <v>94831011</v>
      </c>
      <c r="BK5" s="835">
        <v>19940289</v>
      </c>
      <c r="BL5" s="835">
        <v>79561185.829999998</v>
      </c>
      <c r="BM5" s="836">
        <v>438879151.16000009</v>
      </c>
      <c r="BN5" s="836">
        <v>71824494.24000001</v>
      </c>
      <c r="BO5" s="836">
        <v>307215633.68000001</v>
      </c>
      <c r="BP5" s="838">
        <v>160769064.85999992</v>
      </c>
      <c r="BQ5" s="838">
        <v>6885434.3499999996</v>
      </c>
      <c r="BR5" s="838">
        <v>60453422.25999999</v>
      </c>
      <c r="BS5" s="839">
        <v>55522370.460000008</v>
      </c>
      <c r="BT5" s="839">
        <v>2934553.8899999997</v>
      </c>
      <c r="BU5" s="839">
        <v>23821483.960000005</v>
      </c>
      <c r="BV5" s="835">
        <v>146815560</v>
      </c>
      <c r="BW5" s="835">
        <v>10051644</v>
      </c>
      <c r="BX5" s="835">
        <v>92976532.5</v>
      </c>
      <c r="BY5" s="836">
        <v>706386188.8599999</v>
      </c>
      <c r="BZ5" s="836">
        <v>38998882.850000001</v>
      </c>
      <c r="CA5" s="837">
        <v>346495145.78999984</v>
      </c>
      <c r="CB5" s="838">
        <v>136046757.38</v>
      </c>
      <c r="CC5" s="838">
        <v>1296242.57</v>
      </c>
      <c r="CD5" s="838">
        <v>90586672.019999981</v>
      </c>
      <c r="CE5" s="839">
        <v>47646142.510000005</v>
      </c>
      <c r="CF5" s="839">
        <v>535392.61</v>
      </c>
      <c r="CG5" s="1051">
        <v>33731484.420000002</v>
      </c>
      <c r="CH5" s="835">
        <v>193853620</v>
      </c>
      <c r="CI5" s="835">
        <v>12626743.000000002</v>
      </c>
      <c r="CJ5" s="835">
        <v>96694337.939999998</v>
      </c>
      <c r="CK5" s="836">
        <v>770297168.77999997</v>
      </c>
      <c r="CL5" s="836">
        <v>27903106.640000001</v>
      </c>
      <c r="CM5" s="837">
        <v>357331691.426</v>
      </c>
      <c r="CN5" s="838">
        <v>94824811.670000002</v>
      </c>
      <c r="CO5" s="838">
        <v>1260366.28</v>
      </c>
      <c r="CP5" s="838">
        <v>88108672.379999995</v>
      </c>
      <c r="CQ5" s="839">
        <v>26477821.600000001</v>
      </c>
      <c r="CR5" s="839">
        <v>460123.59</v>
      </c>
      <c r="CS5" s="839">
        <v>31232159.219999999</v>
      </c>
      <c r="CT5" s="835"/>
      <c r="CU5" s="835"/>
      <c r="CV5" s="835"/>
      <c r="CW5" s="836"/>
      <c r="CX5" s="836"/>
      <c r="CY5" s="837"/>
      <c r="CZ5" s="838"/>
      <c r="DA5" s="838"/>
      <c r="DB5" s="838"/>
      <c r="DC5" s="839"/>
      <c r="DD5" s="839"/>
      <c r="DE5" s="839"/>
      <c r="DF5" s="835"/>
      <c r="DG5" s="835"/>
      <c r="DH5" s="835"/>
      <c r="DI5" s="836"/>
      <c r="DJ5" s="836"/>
      <c r="DK5" s="837"/>
      <c r="DL5" s="838"/>
      <c r="DM5" s="838"/>
      <c r="DN5" s="838"/>
      <c r="DO5" s="839"/>
      <c r="DP5" s="839"/>
      <c r="DQ5" s="839"/>
      <c r="DR5" s="835"/>
      <c r="DS5" s="835"/>
      <c r="DT5" s="835"/>
      <c r="DU5" s="836"/>
      <c r="DV5" s="836"/>
      <c r="DW5" s="837"/>
      <c r="DX5" s="838"/>
      <c r="DY5" s="838"/>
      <c r="DZ5" s="838"/>
      <c r="EA5" s="839"/>
      <c r="EB5" s="839"/>
      <c r="EC5" s="839"/>
      <c r="ED5" s="835"/>
      <c r="EE5" s="835"/>
      <c r="EF5" s="835"/>
      <c r="EG5" s="836"/>
      <c r="EH5" s="836"/>
      <c r="EI5" s="837"/>
      <c r="EJ5" s="838"/>
      <c r="EK5" s="838"/>
      <c r="EL5" s="838"/>
      <c r="EM5" s="839"/>
      <c r="EN5" s="839"/>
      <c r="EO5" s="839"/>
      <c r="EP5" s="835">
        <f t="shared" ref="EP5:EP14" si="0">B5+N5+Z5+AL5+AX5+BJ5+BV5+CH5+CT5+DF5+DR5+ED5</f>
        <v>872796931</v>
      </c>
      <c r="EQ5" s="835">
        <f t="shared" ref="EQ5:EQ14" si="1">C5+O5+AA5+AM5+AY5+BK5+BW5+CI5+CU5+DG5+DS5+EE5</f>
        <v>107727479</v>
      </c>
      <c r="ER5" s="835">
        <f t="shared" ref="ER5:ER14" si="2">D5+P5+AB5+AN5+AZ5+BL5+BX5+CJ5+CV5+DH5+DT5+EF5</f>
        <v>641345519.1099999</v>
      </c>
      <c r="ES5" s="836">
        <f t="shared" ref="ES5:ES14" si="3">E5+Q5+AC5+AO5+BA5+BM5+BY5+CK5+CW5+DI5+DU5+EG5</f>
        <v>3932103455.0099993</v>
      </c>
      <c r="ET5" s="836">
        <f t="shared" ref="ET5:ET14" si="4">F5+R5+AD5+AP5+BB5+BN5+BZ5+CL5+CX5+DJ5+DV5+EH5</f>
        <v>391433485.87</v>
      </c>
      <c r="EU5" s="837">
        <f t="shared" ref="EU5:EU14" si="5">G5+S5+AE5+AQ5+BC5+BO5+CA5+CM5+CY5+DK5+DW5+EI5</f>
        <v>2416326406.8559999</v>
      </c>
      <c r="EV5" s="838">
        <f t="shared" ref="EV5:EV14" si="6">H5+T5+AF5+AR5+BD5+BP5+CB5+CN5+CZ5+DL5+DX5+EJ5</f>
        <v>2404163460.4500012</v>
      </c>
      <c r="EW5" s="838">
        <f t="shared" ref="EW5:EW14" si="7">I5+U5+AG5+AS5+BE5+BQ5+CC5+CO5+DA5+DM5+DY5+EK5</f>
        <v>66569699.660000004</v>
      </c>
      <c r="EX5" s="838">
        <f t="shared" ref="EX5:EX14" si="8">J5+V5+AH5+AT5+BF5+BR5+CD5+CP5+DB5+DN5+DZ5+EL5</f>
        <v>564952705.73000002</v>
      </c>
      <c r="EY5" s="839">
        <f t="shared" ref="EY5:EY14" si="9">K5+W5+AI5+AU5+BG5+BS5+CE5+CQ5+DC5+DO5+EA5+EM5</f>
        <v>893339903.49000001</v>
      </c>
      <c r="EZ5" s="839">
        <f t="shared" ref="EZ5:EZ14" si="10">L5+X5+AJ5+AV5+BH5+BT5+CF5+CR5+DD5+DP5+EB5+EN5</f>
        <v>29000575.190000001</v>
      </c>
      <c r="FA5" s="839">
        <f t="shared" ref="FA5:FA14" si="11">M5+Y5+AK5+AW5+BI5+BU5+CG5+CS5+DE5+DQ5+EC5+EO5</f>
        <v>217181331.59</v>
      </c>
      <c r="FB5" s="2132">
        <f>((EP5/1000000)-élec!AX209)</f>
        <v>-1.1368683772161603E-13</v>
      </c>
      <c r="FC5" s="2132">
        <f>((EQ5/1000000)-élec!AY209)</f>
        <v>0</v>
      </c>
      <c r="FD5" s="2132">
        <f>((ER5/1000000)-élec!BA209)</f>
        <v>0</v>
      </c>
      <c r="FE5" s="2132">
        <f>((ES5/1000000)-élec!AX273)</f>
        <v>-4.5474735088646412E-13</v>
      </c>
      <c r="FF5" s="2132">
        <f>((ET5/1000000)-élec!AY273)</f>
        <v>5.6843418860808015E-14</v>
      </c>
      <c r="FG5" s="2132">
        <f>((EU5/1000000)-élec!BA273)</f>
        <v>4.5474735088646412E-13</v>
      </c>
      <c r="FH5" s="2133">
        <f>((EV5/1000000)-gaz!AX211)</f>
        <v>0</v>
      </c>
      <c r="FI5" s="2133">
        <f>((EW5/1000000)-gaz!AY211)</f>
        <v>-1.4210854715202004E-14</v>
      </c>
      <c r="FJ5" s="2133">
        <f>((EX5/1000000)-gaz!BA211)</f>
        <v>1.1368683772161603E-13</v>
      </c>
      <c r="FK5" s="2133">
        <f>((EY5/1000000)-gaz!AX365)</f>
        <v>-1.1368683772161603E-13</v>
      </c>
      <c r="FL5" s="2133">
        <f>((EZ5/1000000)-gaz!AY365)</f>
        <v>7.1054273576010019E-15</v>
      </c>
      <c r="FM5" s="2133">
        <f>((FA5/1000000)-gaz!BA365)</f>
        <v>2.8421709430404007E-14</v>
      </c>
    </row>
    <row r="6" spans="1:172">
      <c r="A6" s="730" t="s">
        <v>7</v>
      </c>
      <c r="B6" s="1118">
        <v>39860378</v>
      </c>
      <c r="C6" s="1118">
        <v>4994064</v>
      </c>
      <c r="D6" s="1119">
        <v>28285837.569000002</v>
      </c>
      <c r="E6" s="1118">
        <v>172066277.19999999</v>
      </c>
      <c r="F6" s="1118">
        <v>24325097.789999999</v>
      </c>
      <c r="G6" s="1120">
        <v>111552780.27999999</v>
      </c>
      <c r="H6" s="1121">
        <v>514521272.08000004</v>
      </c>
      <c r="I6" s="1121">
        <v>11083224.899999999</v>
      </c>
      <c r="J6" s="1121">
        <v>27507790.539999999</v>
      </c>
      <c r="K6" s="1121">
        <v>200582501</v>
      </c>
      <c r="L6" s="1121">
        <v>4892707.21</v>
      </c>
      <c r="M6" s="1121">
        <v>12788030.34</v>
      </c>
      <c r="N6" s="835">
        <v>37730693</v>
      </c>
      <c r="O6" s="835">
        <v>4957036</v>
      </c>
      <c r="P6" s="835">
        <v>28429835.789999999</v>
      </c>
      <c r="Q6" s="836">
        <v>164692081.72999996</v>
      </c>
      <c r="R6" s="836">
        <v>23861467.16</v>
      </c>
      <c r="S6" s="837">
        <v>111793919.36</v>
      </c>
      <c r="T6" s="838">
        <v>545160431.51999986</v>
      </c>
      <c r="U6" s="838">
        <v>14458091.4</v>
      </c>
      <c r="V6" s="838">
        <v>25960000</v>
      </c>
      <c r="W6" s="839">
        <v>217878370.34000003</v>
      </c>
      <c r="X6" s="839">
        <v>6426434.709999999</v>
      </c>
      <c r="Y6" s="839">
        <v>12605896.460000001</v>
      </c>
      <c r="Z6" s="2530">
        <v>30057313.0012412</v>
      </c>
      <c r="AA6" s="2530">
        <v>17891689</v>
      </c>
      <c r="AB6" s="2530">
        <v>30183659.580000002</v>
      </c>
      <c r="AC6" s="2531">
        <v>134781315.78999999</v>
      </c>
      <c r="AD6" s="2531">
        <v>85301784.200000003</v>
      </c>
      <c r="AE6" s="2532">
        <v>112944824.10000001</v>
      </c>
      <c r="AF6" s="838">
        <v>359709333.82000011</v>
      </c>
      <c r="AG6" s="838">
        <v>56041679.400000006</v>
      </c>
      <c r="AH6" s="838">
        <v>23458464</v>
      </c>
      <c r="AI6" s="839">
        <v>143381206.04000002</v>
      </c>
      <c r="AJ6" s="839">
        <v>25025863.279999997</v>
      </c>
      <c r="AK6" s="839">
        <v>11574113.119999999</v>
      </c>
      <c r="AL6" s="835">
        <v>40714533</v>
      </c>
      <c r="AM6" s="835">
        <v>5463279</v>
      </c>
      <c r="AN6" s="835">
        <v>26060000</v>
      </c>
      <c r="AO6" s="836">
        <v>177725008.18000001</v>
      </c>
      <c r="AP6" s="836">
        <v>25462810.470000003</v>
      </c>
      <c r="AQ6" s="837">
        <v>104892292.3</v>
      </c>
      <c r="AR6" s="838">
        <v>463402008.21000004</v>
      </c>
      <c r="AS6" s="838">
        <v>11568163.180000002</v>
      </c>
      <c r="AT6" s="838">
        <v>12814263.02</v>
      </c>
      <c r="AU6" s="839">
        <v>178209179.41999999</v>
      </c>
      <c r="AV6" s="839">
        <v>5117589.68</v>
      </c>
      <c r="AW6" s="839">
        <v>7010866.3900000006</v>
      </c>
      <c r="AX6" s="835">
        <v>38869508</v>
      </c>
      <c r="AY6" s="835">
        <v>5511155</v>
      </c>
      <c r="AZ6" s="835">
        <v>28817659</v>
      </c>
      <c r="BA6" s="836">
        <v>165918833.54999998</v>
      </c>
      <c r="BB6" s="836">
        <v>21763459.98</v>
      </c>
      <c r="BC6" s="837">
        <v>112833146.60000001</v>
      </c>
      <c r="BD6" s="838">
        <v>261554429.08999997</v>
      </c>
      <c r="BE6" s="838">
        <v>6303577.9099999992</v>
      </c>
      <c r="BF6" s="838">
        <v>10311141</v>
      </c>
      <c r="BG6" s="839">
        <v>94937410.150000006</v>
      </c>
      <c r="BH6" s="839">
        <v>2703082.8200000003</v>
      </c>
      <c r="BI6" s="839">
        <v>6357663</v>
      </c>
      <c r="BJ6" s="835">
        <v>35493236</v>
      </c>
      <c r="BK6" s="835">
        <v>12827802</v>
      </c>
      <c r="BL6" s="835">
        <v>32390031.467999995</v>
      </c>
      <c r="BM6" s="836">
        <v>156925037.76999998</v>
      </c>
      <c r="BN6" s="836">
        <v>64542829.43</v>
      </c>
      <c r="BO6" s="837">
        <v>122821563.60000001</v>
      </c>
      <c r="BP6" s="838">
        <v>100347514.84</v>
      </c>
      <c r="BQ6" s="838">
        <v>16428825.85</v>
      </c>
      <c r="BR6" s="838">
        <v>8355420.7999999989</v>
      </c>
      <c r="BS6" s="839">
        <v>33646382.699999996</v>
      </c>
      <c r="BT6" s="839">
        <v>7114557.4299999997</v>
      </c>
      <c r="BU6" s="839">
        <v>5393224.0300000003</v>
      </c>
      <c r="BV6" s="835">
        <v>72354202</v>
      </c>
      <c r="BW6" s="835">
        <v>5197535</v>
      </c>
      <c r="BX6" s="835">
        <v>31171141.770000003</v>
      </c>
      <c r="BY6" s="836">
        <v>341658095.38</v>
      </c>
      <c r="BZ6" s="836">
        <v>22492813.059999999</v>
      </c>
      <c r="CA6" s="837">
        <v>122630232</v>
      </c>
      <c r="CB6" s="838">
        <v>98623577</v>
      </c>
      <c r="CC6" s="838">
        <v>1939406.0000000002</v>
      </c>
      <c r="CD6" s="838">
        <v>9924773.1899999995</v>
      </c>
      <c r="CE6" s="839">
        <v>34391334.372491337</v>
      </c>
      <c r="CF6" s="839">
        <v>888868.46866553708</v>
      </c>
      <c r="CG6" s="1051">
        <v>6312659.0599999996</v>
      </c>
      <c r="CH6" s="835">
        <v>80651585</v>
      </c>
      <c r="CI6" s="835">
        <v>5245041</v>
      </c>
      <c r="CJ6" s="835">
        <v>34079603.170000002</v>
      </c>
      <c r="CK6" s="836">
        <v>369745864.40400004</v>
      </c>
      <c r="CL6" s="836">
        <v>22620016.755784001</v>
      </c>
      <c r="CM6" s="837">
        <v>129496859.59999999</v>
      </c>
      <c r="CN6" s="838">
        <v>61471590.82</v>
      </c>
      <c r="CO6" s="838">
        <v>1143332.3699999999</v>
      </c>
      <c r="CP6" s="838">
        <v>7826935.0999999996</v>
      </c>
      <c r="CQ6" s="839">
        <v>25026739.859999999</v>
      </c>
      <c r="CR6" s="839">
        <v>310886.18856868998</v>
      </c>
      <c r="CS6" s="839">
        <v>5169963.28</v>
      </c>
      <c r="CT6" s="835"/>
      <c r="CU6" s="835"/>
      <c r="CV6" s="835"/>
      <c r="CW6" s="836"/>
      <c r="CX6" s="836"/>
      <c r="CY6" s="837"/>
      <c r="CZ6" s="838"/>
      <c r="DA6" s="838"/>
      <c r="DB6" s="838"/>
      <c r="DC6" s="839"/>
      <c r="DD6" s="839"/>
      <c r="DE6" s="839"/>
      <c r="DF6" s="835"/>
      <c r="DG6" s="835"/>
      <c r="DH6" s="835"/>
      <c r="DI6" s="836"/>
      <c r="DJ6" s="836"/>
      <c r="DK6" s="837"/>
      <c r="DL6" s="838"/>
      <c r="DM6" s="838"/>
      <c r="DN6" s="838"/>
      <c r="DO6" s="839"/>
      <c r="DP6" s="839"/>
      <c r="DQ6" s="839"/>
      <c r="DR6" s="835"/>
      <c r="DS6" s="835"/>
      <c r="DT6" s="835"/>
      <c r="DU6" s="836"/>
      <c r="DV6" s="836"/>
      <c r="DW6" s="837"/>
      <c r="DX6" s="838"/>
      <c r="DY6" s="838"/>
      <c r="DZ6" s="838"/>
      <c r="EA6" s="839"/>
      <c r="EB6" s="839"/>
      <c r="EC6" s="839"/>
      <c r="ED6" s="835"/>
      <c r="EE6" s="835"/>
      <c r="EF6" s="835"/>
      <c r="EG6" s="836"/>
      <c r="EH6" s="836"/>
      <c r="EI6" s="837"/>
      <c r="EJ6" s="838"/>
      <c r="EK6" s="838"/>
      <c r="EL6" s="838"/>
      <c r="EM6" s="839"/>
      <c r="EN6" s="839"/>
      <c r="EO6" s="839"/>
      <c r="EP6" s="835">
        <f t="shared" si="0"/>
        <v>375731448.00124121</v>
      </c>
      <c r="EQ6" s="835">
        <f t="shared" si="1"/>
        <v>62087601</v>
      </c>
      <c r="ER6" s="835">
        <f t="shared" si="2"/>
        <v>239417768.347</v>
      </c>
      <c r="ES6" s="836">
        <f t="shared" si="3"/>
        <v>1683512514.0039999</v>
      </c>
      <c r="ET6" s="836">
        <f t="shared" si="4"/>
        <v>290370278.84578401</v>
      </c>
      <c r="EU6" s="837">
        <f t="shared" si="5"/>
        <v>928965617.84000003</v>
      </c>
      <c r="EV6" s="838">
        <f t="shared" si="6"/>
        <v>2404790157.3800001</v>
      </c>
      <c r="EW6" s="838">
        <f t="shared" si="7"/>
        <v>118966301.01000001</v>
      </c>
      <c r="EX6" s="838">
        <f t="shared" si="8"/>
        <v>126158787.64999998</v>
      </c>
      <c r="EY6" s="839">
        <f t="shared" si="9"/>
        <v>928053123.88249147</v>
      </c>
      <c r="EZ6" s="839">
        <f t="shared" si="10"/>
        <v>52479989.787234224</v>
      </c>
      <c r="FA6" s="839">
        <f t="shared" si="11"/>
        <v>67212415.680000007</v>
      </c>
      <c r="FB6" s="2132">
        <f>((EP6/1000000)-élec!AX210)</f>
        <v>0</v>
      </c>
      <c r="FC6" s="2132">
        <f>((EQ6/1000000)-élec!AY210)</f>
        <v>0</v>
      </c>
      <c r="FD6" s="2132">
        <f>((ER6/1000000)-élec!BA210)</f>
        <v>0</v>
      </c>
      <c r="FE6" s="2132">
        <f>((ES6/1000000)-élec!AX274)</f>
        <v>-2.2737367544323206E-13</v>
      </c>
      <c r="FF6" s="2132">
        <f>((ET6/1000000)-élec!AY274)</f>
        <v>5.6843418860808015E-14</v>
      </c>
      <c r="FG6" s="2132">
        <f>((EU6/1000000)-élec!BA274)</f>
        <v>1.1368683772161603E-13</v>
      </c>
      <c r="FH6" s="2133">
        <f>((EV6/1000000)-gaz!AX212)</f>
        <v>4.5474735088646412E-13</v>
      </c>
      <c r="FI6" s="2133">
        <f>((EW6/1000000)-gaz!AY212)</f>
        <v>1.4210854715202004E-14</v>
      </c>
      <c r="FJ6" s="2133">
        <f>((EX6/1000000)-gaz!BA212)</f>
        <v>-1.4210854715202004E-14</v>
      </c>
      <c r="FK6" s="2133">
        <f>((EY6/1000000)-gaz!AX366)</f>
        <v>0</v>
      </c>
      <c r="FL6" s="2133">
        <f>((EZ6/1000000)-gaz!AY366)</f>
        <v>7.1054273576010019E-15</v>
      </c>
      <c r="FM6" s="2133">
        <f>((FA6/1000000)-gaz!BA366)</f>
        <v>0</v>
      </c>
      <c r="FN6" s="77" t="s">
        <v>1199</v>
      </c>
    </row>
    <row r="7" spans="1:172">
      <c r="A7" s="730" t="s">
        <v>8</v>
      </c>
      <c r="B7" s="1118">
        <v>39125927</v>
      </c>
      <c r="C7" s="1118">
        <v>6465387</v>
      </c>
      <c r="D7" s="1119">
        <v>21025404.720000003</v>
      </c>
      <c r="E7" s="1118">
        <v>168318380.72</v>
      </c>
      <c r="F7" s="1118">
        <v>33759206.590000004</v>
      </c>
      <c r="G7" s="1120">
        <v>63312000</v>
      </c>
      <c r="H7" s="1121">
        <v>515565000.00000006</v>
      </c>
      <c r="I7" s="1121">
        <v>26782000</v>
      </c>
      <c r="J7" s="1121">
        <v>20403058.640000001</v>
      </c>
      <c r="K7" s="1121">
        <v>203668802.45000002</v>
      </c>
      <c r="L7" s="1121">
        <v>11952834.350000001</v>
      </c>
      <c r="M7" s="1121">
        <v>7355030</v>
      </c>
      <c r="N7" s="835">
        <v>38556599.000000015</v>
      </c>
      <c r="O7" s="835">
        <v>7517727</v>
      </c>
      <c r="P7" s="835">
        <v>17473900.609999999</v>
      </c>
      <c r="Q7" s="836">
        <v>162077537.74000001</v>
      </c>
      <c r="R7" s="836">
        <v>38053791.060000002</v>
      </c>
      <c r="S7" s="837">
        <v>74006571.369999975</v>
      </c>
      <c r="T7" s="838">
        <v>473185560.13999993</v>
      </c>
      <c r="U7" s="838">
        <v>21799500.349999998</v>
      </c>
      <c r="V7" s="838">
        <v>18779460.84</v>
      </c>
      <c r="W7" s="839">
        <v>189128896.22000006</v>
      </c>
      <c r="X7" s="839">
        <v>9802688.4900000021</v>
      </c>
      <c r="Y7" s="839">
        <v>8956510.75</v>
      </c>
      <c r="Z7" s="835">
        <v>35859210</v>
      </c>
      <c r="AA7" s="835">
        <v>17172402</v>
      </c>
      <c r="AB7" s="835">
        <v>17192378.900000002</v>
      </c>
      <c r="AC7" s="836">
        <v>151324294.93000001</v>
      </c>
      <c r="AD7" s="836">
        <v>80008338.170000002</v>
      </c>
      <c r="AE7" s="837">
        <v>71616548.859999999</v>
      </c>
      <c r="AF7" s="838">
        <v>378354580.1899997</v>
      </c>
      <c r="AG7" s="838">
        <v>36771455.82</v>
      </c>
      <c r="AH7" s="838">
        <v>18230000</v>
      </c>
      <c r="AI7" s="839">
        <v>149567038.41</v>
      </c>
      <c r="AJ7" s="839">
        <v>16512635.070000002</v>
      </c>
      <c r="AK7" s="839">
        <v>8569730</v>
      </c>
      <c r="AL7" s="835">
        <v>42051565.999999978</v>
      </c>
      <c r="AM7" s="835">
        <v>8558048</v>
      </c>
      <c r="AN7" s="835">
        <v>16185976.34</v>
      </c>
      <c r="AO7" s="836">
        <v>180789472.45000002</v>
      </c>
      <c r="AP7" s="836">
        <v>36978440.630000003</v>
      </c>
      <c r="AQ7" s="837">
        <v>81930000</v>
      </c>
      <c r="AR7" s="838">
        <v>450719997.95999986</v>
      </c>
      <c r="AS7" s="838">
        <v>22223969.309999995</v>
      </c>
      <c r="AT7" s="838">
        <v>10800000</v>
      </c>
      <c r="AU7" s="839">
        <v>175291280.26999998</v>
      </c>
      <c r="AV7" s="839">
        <v>9919589.5899999999</v>
      </c>
      <c r="AW7" s="839">
        <v>5964602.7999999998</v>
      </c>
      <c r="AX7" s="835">
        <v>40643937.999999963</v>
      </c>
      <c r="AY7" s="835">
        <v>8316560.0000000009</v>
      </c>
      <c r="AZ7" s="835">
        <v>16749000.880000001</v>
      </c>
      <c r="BA7" s="836">
        <v>170111950.99000001</v>
      </c>
      <c r="BB7" s="836">
        <v>36685031.439999998</v>
      </c>
      <c r="BC7" s="837">
        <v>84413935</v>
      </c>
      <c r="BD7" s="838">
        <v>245298643.29999977</v>
      </c>
      <c r="BE7" s="838">
        <v>10697498.280000001</v>
      </c>
      <c r="BF7" s="838">
        <v>6570671.6300000008</v>
      </c>
      <c r="BG7" s="839">
        <v>89756331.570000008</v>
      </c>
      <c r="BH7" s="839">
        <v>4705932.97</v>
      </c>
      <c r="BI7" s="839">
        <v>4476768.8499999996</v>
      </c>
      <c r="BJ7" s="835">
        <v>42186650</v>
      </c>
      <c r="BK7" s="835">
        <v>13974151.999999998</v>
      </c>
      <c r="BL7" s="835">
        <v>18027346.91</v>
      </c>
      <c r="BM7" s="836">
        <v>183365671.28999999</v>
      </c>
      <c r="BN7" s="836">
        <v>64922409.829999991</v>
      </c>
      <c r="BO7" s="837">
        <v>88207000</v>
      </c>
      <c r="BP7" s="838">
        <v>129413772.54999998</v>
      </c>
      <c r="BQ7" s="838">
        <v>10295281.92</v>
      </c>
      <c r="BR7" s="838">
        <v>3026766.3699999996</v>
      </c>
      <c r="BS7" s="839">
        <v>43614773.68999999</v>
      </c>
      <c r="BT7" s="839">
        <v>4463397.51</v>
      </c>
      <c r="BU7" s="839">
        <v>3920000</v>
      </c>
      <c r="BV7" s="835">
        <v>65917273.999999993</v>
      </c>
      <c r="BW7" s="835">
        <v>8435210</v>
      </c>
      <c r="BX7" s="835">
        <v>16044153.02</v>
      </c>
      <c r="BY7" s="836">
        <v>300107814.56999999</v>
      </c>
      <c r="BZ7" s="836">
        <v>33778706.520000003</v>
      </c>
      <c r="CA7" s="837">
        <v>84330907</v>
      </c>
      <c r="CB7" s="838">
        <v>104774799.19999999</v>
      </c>
      <c r="CC7" s="838">
        <v>2944009.0499999993</v>
      </c>
      <c r="CD7" s="838">
        <v>1380000</v>
      </c>
      <c r="CE7" s="839">
        <v>34292945.599999994</v>
      </c>
      <c r="CF7" s="839">
        <v>1238355.1499999999</v>
      </c>
      <c r="CG7" s="1051">
        <v>1380000</v>
      </c>
      <c r="CH7" s="835">
        <v>72233455.999999985</v>
      </c>
      <c r="CI7" s="835">
        <v>9128653.0000000019</v>
      </c>
      <c r="CJ7" s="835">
        <v>17501550.110000003</v>
      </c>
      <c r="CK7" s="836">
        <v>329332191.71000004</v>
      </c>
      <c r="CL7" s="836">
        <v>38620850.100000001</v>
      </c>
      <c r="CM7" s="837">
        <v>73104027.709999993</v>
      </c>
      <c r="CN7" s="838">
        <v>61102983.379999965</v>
      </c>
      <c r="CO7" s="838">
        <v>1531633.9200000002</v>
      </c>
      <c r="CP7" s="838">
        <v>1790000</v>
      </c>
      <c r="CQ7" s="839">
        <v>20068063.890000001</v>
      </c>
      <c r="CR7" s="839">
        <v>682806.8899999999</v>
      </c>
      <c r="CS7" s="839">
        <v>2809793.4499999997</v>
      </c>
      <c r="CT7" s="835"/>
      <c r="CU7" s="835"/>
      <c r="CV7" s="835"/>
      <c r="CW7" s="836"/>
      <c r="CX7" s="836"/>
      <c r="CY7" s="837"/>
      <c r="CZ7" s="838"/>
      <c r="DA7" s="838"/>
      <c r="DB7" s="838"/>
      <c r="DC7" s="839"/>
      <c r="DD7" s="839"/>
      <c r="DE7" s="839"/>
      <c r="DF7" s="835"/>
      <c r="DG7" s="835"/>
      <c r="DH7" s="835"/>
      <c r="DI7" s="836"/>
      <c r="DJ7" s="836"/>
      <c r="DK7" s="837"/>
      <c r="DL7" s="838"/>
      <c r="DM7" s="838"/>
      <c r="DN7" s="838"/>
      <c r="DO7" s="839"/>
      <c r="DP7" s="839"/>
      <c r="DQ7" s="839"/>
      <c r="DR7" s="835"/>
      <c r="DS7" s="835"/>
      <c r="DT7" s="835"/>
      <c r="DU7" s="836"/>
      <c r="DV7" s="836"/>
      <c r="DW7" s="837"/>
      <c r="DX7" s="838"/>
      <c r="DY7" s="838"/>
      <c r="DZ7" s="838"/>
      <c r="EA7" s="839"/>
      <c r="EB7" s="839"/>
      <c r="EC7" s="839"/>
      <c r="ED7" s="835"/>
      <c r="EE7" s="835"/>
      <c r="EF7" s="835"/>
      <c r="EG7" s="836"/>
      <c r="EH7" s="836"/>
      <c r="EI7" s="837"/>
      <c r="EJ7" s="838"/>
      <c r="EK7" s="838"/>
      <c r="EL7" s="838"/>
      <c r="EM7" s="839"/>
      <c r="EN7" s="839"/>
      <c r="EO7" s="839"/>
      <c r="EP7" s="835">
        <f t="shared" si="0"/>
        <v>376574619.99999994</v>
      </c>
      <c r="EQ7" s="835">
        <f t="shared" si="1"/>
        <v>79568139</v>
      </c>
      <c r="ER7" s="835">
        <f t="shared" si="2"/>
        <v>140199711.49000001</v>
      </c>
      <c r="ES7" s="836">
        <f t="shared" si="3"/>
        <v>1645427314.4000001</v>
      </c>
      <c r="ET7" s="836">
        <f t="shared" si="4"/>
        <v>362806774.33999997</v>
      </c>
      <c r="EU7" s="837">
        <f t="shared" si="5"/>
        <v>620920989.94000006</v>
      </c>
      <c r="EV7" s="838">
        <f t="shared" si="6"/>
        <v>2358415336.7199993</v>
      </c>
      <c r="EW7" s="838">
        <f t="shared" si="7"/>
        <v>133045348.64999999</v>
      </c>
      <c r="EX7" s="838">
        <f t="shared" si="8"/>
        <v>80979957.480000004</v>
      </c>
      <c r="EY7" s="839">
        <f t="shared" si="9"/>
        <v>905388132.10000002</v>
      </c>
      <c r="EZ7" s="839">
        <f t="shared" si="10"/>
        <v>59278240.019999996</v>
      </c>
      <c r="FA7" s="839">
        <f t="shared" si="11"/>
        <v>43432435.850000001</v>
      </c>
      <c r="FB7" s="2132">
        <f>((EP7/1000000)-élec!AX211)</f>
        <v>0</v>
      </c>
      <c r="FC7" s="2132">
        <f>((EQ7/1000000)-élec!AY211)</f>
        <v>0</v>
      </c>
      <c r="FD7" s="2132">
        <f>((ER7/1000000)-élec!BA211)</f>
        <v>0</v>
      </c>
      <c r="FE7" s="2132">
        <f>((ES7/1000000)-élec!AX275)</f>
        <v>2.2737367544323206E-13</v>
      </c>
      <c r="FF7" s="2132">
        <f>((ET7/1000000)-élec!AY275)</f>
        <v>0</v>
      </c>
      <c r="FG7" s="2132">
        <f>((EU7/1000000)-élec!BA275)</f>
        <v>1.1368683772161603E-13</v>
      </c>
      <c r="FH7" s="2133">
        <f>((EV7/1000000)-gaz!AX213)</f>
        <v>0</v>
      </c>
      <c r="FI7" s="2133">
        <f>((EW7/1000000)-gaz!AY213)</f>
        <v>0</v>
      </c>
      <c r="FJ7" s="2133">
        <f>((EX7/1000000)-gaz!BA213)</f>
        <v>0</v>
      </c>
      <c r="FK7" s="2133">
        <f>((EY7/1000000)-gaz!AX367)</f>
        <v>0</v>
      </c>
      <c r="FL7" s="2133">
        <f>((EZ7/1000000)-gaz!AY367)</f>
        <v>-7.1054273576010019E-15</v>
      </c>
      <c r="FM7" s="2133">
        <f>((FA7/1000000)-gaz!BA367)</f>
        <v>0</v>
      </c>
      <c r="FN7" s="77" t="s">
        <v>1193</v>
      </c>
      <c r="FO7" s="77" t="s">
        <v>1198</v>
      </c>
      <c r="FP7" s="77" t="s">
        <v>1228</v>
      </c>
    </row>
    <row r="8" spans="1:172">
      <c r="A8" s="730" t="s">
        <v>125</v>
      </c>
      <c r="B8" s="1118">
        <v>74514548</v>
      </c>
      <c r="C8" s="1118">
        <v>9087741</v>
      </c>
      <c r="D8" s="1119">
        <v>35267711.359999999</v>
      </c>
      <c r="E8" s="1118">
        <v>334658818.39000005</v>
      </c>
      <c r="F8" s="1118">
        <v>47915676.030000001</v>
      </c>
      <c r="G8" s="1120">
        <v>139985417.72</v>
      </c>
      <c r="H8" s="1121">
        <v>706818621.39999998</v>
      </c>
      <c r="I8" s="1121">
        <v>23086853.600000001</v>
      </c>
      <c r="J8" s="1121">
        <v>34978052.849999994</v>
      </c>
      <c r="K8" s="1121">
        <v>273730518.72999996</v>
      </c>
      <c r="L8" s="1121">
        <v>10225217.5</v>
      </c>
      <c r="M8" s="1121">
        <v>14953637.16</v>
      </c>
      <c r="N8" s="835">
        <v>74631697</v>
      </c>
      <c r="O8" s="835">
        <v>10124969</v>
      </c>
      <c r="P8" s="835">
        <v>40433869.340000004</v>
      </c>
      <c r="Q8" s="836">
        <v>337555736.48999995</v>
      </c>
      <c r="R8" s="836">
        <v>53464350.920000002</v>
      </c>
      <c r="S8" s="837">
        <v>152470226.66</v>
      </c>
      <c r="T8" s="838">
        <v>780403870.60000002</v>
      </c>
      <c r="U8" s="838">
        <v>28732467</v>
      </c>
      <c r="V8" s="838">
        <v>35851183.149999999</v>
      </c>
      <c r="W8" s="839">
        <v>306904334.07000005</v>
      </c>
      <c r="X8" s="839">
        <v>12769480.9</v>
      </c>
      <c r="Y8" s="839">
        <v>15251855.890000001</v>
      </c>
      <c r="Z8" s="835">
        <v>67351993</v>
      </c>
      <c r="AA8" s="835">
        <v>12556579</v>
      </c>
      <c r="AB8" s="835">
        <v>41926467.709999993</v>
      </c>
      <c r="AC8" s="836">
        <v>305681050.23000002</v>
      </c>
      <c r="AD8" s="836">
        <v>66605627.239999987</v>
      </c>
      <c r="AE8" s="837">
        <v>154159077.48999998</v>
      </c>
      <c r="AF8" s="838">
        <v>665812129.10000002</v>
      </c>
      <c r="AG8" s="838">
        <v>33533928.199999999</v>
      </c>
      <c r="AH8" s="838">
        <v>25854756.030000001</v>
      </c>
      <c r="AI8" s="839">
        <v>262662377.98000002</v>
      </c>
      <c r="AJ8" s="839">
        <v>14972714.830000002</v>
      </c>
      <c r="AK8" s="839">
        <v>11833941.149999999</v>
      </c>
      <c r="AL8" s="835">
        <v>76093520</v>
      </c>
      <c r="AM8" s="835">
        <v>9147909</v>
      </c>
      <c r="AN8" s="835">
        <v>41570230.449999996</v>
      </c>
      <c r="AO8" s="836">
        <v>341778775.94</v>
      </c>
      <c r="AP8" s="836">
        <v>48185084.789999992</v>
      </c>
      <c r="AQ8" s="837">
        <v>156960857.94000003</v>
      </c>
      <c r="AR8" s="838">
        <v>676785648.89999998</v>
      </c>
      <c r="AS8" s="838">
        <v>24164106.5</v>
      </c>
      <c r="AT8" s="838">
        <v>20956912.440000001</v>
      </c>
      <c r="AU8" s="839">
        <v>260299706.39999998</v>
      </c>
      <c r="AV8" s="839">
        <v>10709006.839999998</v>
      </c>
      <c r="AW8" s="839">
        <v>10040734.15</v>
      </c>
      <c r="AX8" s="835">
        <v>69392555</v>
      </c>
      <c r="AY8" s="835">
        <v>8872405</v>
      </c>
      <c r="AZ8" s="835">
        <v>38917549.600000016</v>
      </c>
      <c r="BA8" s="836">
        <v>308432209.23000008</v>
      </c>
      <c r="BB8" s="836">
        <v>46577926.619999997</v>
      </c>
      <c r="BC8" s="837">
        <v>151441256.02999997</v>
      </c>
      <c r="BD8" s="838">
        <v>404125808.49999988</v>
      </c>
      <c r="BE8" s="838">
        <v>15341442.399999999</v>
      </c>
      <c r="BF8" s="838">
        <v>14300080.810000001</v>
      </c>
      <c r="BG8" s="839">
        <v>146121812.81999999</v>
      </c>
      <c r="BH8" s="839">
        <v>6671687.9300000006</v>
      </c>
      <c r="BI8" s="839">
        <v>7934108.1799999997</v>
      </c>
      <c r="BJ8" s="835">
        <v>65840055.000000007</v>
      </c>
      <c r="BK8" s="835">
        <v>10064227</v>
      </c>
      <c r="BL8" s="835">
        <v>44188272.899999999</v>
      </c>
      <c r="BM8" s="836">
        <v>295089985.42000002</v>
      </c>
      <c r="BN8" s="836">
        <v>53063153.199999988</v>
      </c>
      <c r="BO8" s="837">
        <v>166304107.59999999</v>
      </c>
      <c r="BP8" s="838">
        <v>204927244.80000004</v>
      </c>
      <c r="BQ8" s="838">
        <v>9655147.1999999993</v>
      </c>
      <c r="BR8" s="838">
        <v>10779346.08</v>
      </c>
      <c r="BS8" s="839">
        <v>69809413.620000005</v>
      </c>
      <c r="BT8" s="839">
        <v>4162153.7600000007</v>
      </c>
      <c r="BU8" s="839">
        <v>7265360.1399999978</v>
      </c>
      <c r="BV8" s="835">
        <v>108767377</v>
      </c>
      <c r="BW8" s="835">
        <v>8004478.0000000009</v>
      </c>
      <c r="BX8" s="835">
        <v>38586111.950000003</v>
      </c>
      <c r="BY8" s="836">
        <v>504860077.03000003</v>
      </c>
      <c r="BZ8" s="836">
        <v>42000725.690000005</v>
      </c>
      <c r="CA8" s="837">
        <v>152174760.55000001</v>
      </c>
      <c r="CB8" s="838">
        <v>152933347</v>
      </c>
      <c r="CC8" s="838">
        <v>7497252.0999999996</v>
      </c>
      <c r="CD8" s="838">
        <v>21677175.170000002</v>
      </c>
      <c r="CE8" s="839">
        <v>52356110.509999998</v>
      </c>
      <c r="CF8" s="839">
        <v>3250360.53</v>
      </c>
      <c r="CG8" s="1051">
        <v>11483451.08</v>
      </c>
      <c r="CH8" s="835">
        <v>135680117</v>
      </c>
      <c r="CI8" s="835">
        <v>9388161</v>
      </c>
      <c r="CJ8" s="835">
        <v>47205277.950000003</v>
      </c>
      <c r="CK8" s="836">
        <v>646881347.27998853</v>
      </c>
      <c r="CL8" s="836">
        <v>49383954.110000007</v>
      </c>
      <c r="CM8" s="837">
        <v>175996337.06999996</v>
      </c>
      <c r="CN8" s="838">
        <v>90010799.199999988</v>
      </c>
      <c r="CO8" s="838">
        <v>1723292.3</v>
      </c>
      <c r="CP8" s="838">
        <v>9227566.7999999989</v>
      </c>
      <c r="CQ8" s="839">
        <v>32270362.999999948</v>
      </c>
      <c r="CR8" s="839">
        <v>797872.61999999988</v>
      </c>
      <c r="CS8" s="839">
        <v>6458756.5099999998</v>
      </c>
      <c r="CT8" s="835"/>
      <c r="CU8" s="835"/>
      <c r="CV8" s="835"/>
      <c r="CW8" s="836"/>
      <c r="CX8" s="836"/>
      <c r="CY8" s="837"/>
      <c r="CZ8" s="838"/>
      <c r="DA8" s="838"/>
      <c r="DB8" s="838"/>
      <c r="DC8" s="839"/>
      <c r="DD8" s="839"/>
      <c r="DE8" s="839"/>
      <c r="DF8" s="835"/>
      <c r="DG8" s="835"/>
      <c r="DH8" s="835"/>
      <c r="DI8" s="836"/>
      <c r="DJ8" s="836"/>
      <c r="DK8" s="837"/>
      <c r="DL8" s="838"/>
      <c r="DM8" s="838"/>
      <c r="DN8" s="838"/>
      <c r="DO8" s="839"/>
      <c r="DP8" s="839"/>
      <c r="DQ8" s="839"/>
      <c r="DR8" s="835"/>
      <c r="DS8" s="835"/>
      <c r="DT8" s="835"/>
      <c r="DU8" s="836"/>
      <c r="DV8" s="836"/>
      <c r="DW8" s="837"/>
      <c r="DX8" s="838"/>
      <c r="DY8" s="838"/>
      <c r="DZ8" s="838"/>
      <c r="EA8" s="839"/>
      <c r="EB8" s="839"/>
      <c r="EC8" s="839"/>
      <c r="ED8" s="835"/>
      <c r="EE8" s="835"/>
      <c r="EF8" s="835"/>
      <c r="EG8" s="836"/>
      <c r="EH8" s="836"/>
      <c r="EI8" s="837"/>
      <c r="EJ8" s="838"/>
      <c r="EK8" s="838"/>
      <c r="EL8" s="838"/>
      <c r="EM8" s="839"/>
      <c r="EN8" s="839"/>
      <c r="EO8" s="839"/>
      <c r="EP8" s="835">
        <f t="shared" si="0"/>
        <v>672271862</v>
      </c>
      <c r="EQ8" s="835">
        <f t="shared" si="1"/>
        <v>77246469</v>
      </c>
      <c r="ER8" s="835">
        <f t="shared" si="2"/>
        <v>328095491.25999999</v>
      </c>
      <c r="ES8" s="836">
        <f t="shared" si="3"/>
        <v>3074938000.0099888</v>
      </c>
      <c r="ET8" s="836">
        <f t="shared" si="4"/>
        <v>407196498.59999996</v>
      </c>
      <c r="EU8" s="837">
        <f t="shared" si="5"/>
        <v>1249492041.0599999</v>
      </c>
      <c r="EV8" s="838">
        <f t="shared" si="6"/>
        <v>3681817469.5</v>
      </c>
      <c r="EW8" s="838">
        <f t="shared" si="7"/>
        <v>143734489.29999998</v>
      </c>
      <c r="EX8" s="838">
        <f t="shared" si="8"/>
        <v>173625073.33000004</v>
      </c>
      <c r="EY8" s="839">
        <f t="shared" si="9"/>
        <v>1404154637.1299999</v>
      </c>
      <c r="EZ8" s="839">
        <f t="shared" si="10"/>
        <v>63558494.909999996</v>
      </c>
      <c r="FA8" s="839">
        <f t="shared" si="11"/>
        <v>85221844.260000005</v>
      </c>
      <c r="FB8" s="2132">
        <f>((EP8/1000000)-élec!AX212)</f>
        <v>0</v>
      </c>
      <c r="FC8" s="2132">
        <f>((EQ8/1000000)-élec!AY212)</f>
        <v>0</v>
      </c>
      <c r="FD8" s="2132">
        <f>((ER8/1000000)-élec!BA212)</f>
        <v>0</v>
      </c>
      <c r="FE8" s="2132">
        <f>((ES8/1000000)-élec!AX276)</f>
        <v>0</v>
      </c>
      <c r="FF8" s="2132">
        <f>((ET8/1000000)-élec!AY276)</f>
        <v>0</v>
      </c>
      <c r="FG8" s="2132">
        <f>((EU8/1000000)-élec!BA276)</f>
        <v>2.2737367544323206E-13</v>
      </c>
      <c r="FH8" s="2133">
        <f>((EV8/1000000)-gaz!AX214)</f>
        <v>0</v>
      </c>
      <c r="FI8" s="2133">
        <f>((EW8/1000000)-gaz!AY214)</f>
        <v>0</v>
      </c>
      <c r="FJ8" s="2133">
        <f>((EX8/1000000)-gaz!BA214)</f>
        <v>2.8421709430404007E-14</v>
      </c>
      <c r="FK8" s="2133">
        <f>((EY8/1000000)-gaz!AX368)</f>
        <v>-2.2737367544323206E-13</v>
      </c>
      <c r="FL8" s="2133">
        <f>((EZ8/1000000)-gaz!AY368)</f>
        <v>-7.1054273576010019E-15</v>
      </c>
      <c r="FM8" s="2133">
        <f>((FA8/1000000)-gaz!BA368)</f>
        <v>1.4210854715202004E-14</v>
      </c>
      <c r="FN8" s="77" t="s">
        <v>1194</v>
      </c>
      <c r="FO8" s="728"/>
    </row>
    <row r="9" spans="1:172">
      <c r="A9" s="730" t="s">
        <v>3</v>
      </c>
      <c r="B9" s="1118">
        <v>56572083</v>
      </c>
      <c r="C9" s="1118">
        <v>8275660</v>
      </c>
      <c r="D9" s="1119">
        <v>25813354.219999999</v>
      </c>
      <c r="E9" s="1492">
        <v>208867427.13999999</v>
      </c>
      <c r="F9" s="1492">
        <v>30270801.740000002</v>
      </c>
      <c r="G9" s="1120">
        <v>111375185.23999999</v>
      </c>
      <c r="H9" s="1121">
        <v>740236222.74000001</v>
      </c>
      <c r="I9" s="1121">
        <v>21820495.109999999</v>
      </c>
      <c r="J9" s="1121">
        <v>36872173.800000019</v>
      </c>
      <c r="K9" s="1121">
        <v>299227984.65999997</v>
      </c>
      <c r="L9" s="1121">
        <v>9820362.290000001</v>
      </c>
      <c r="M9" s="1121">
        <v>14688558.35</v>
      </c>
      <c r="N9" s="835">
        <v>60623953</v>
      </c>
      <c r="O9" s="835">
        <v>7751573</v>
      </c>
      <c r="P9" s="835">
        <v>29134354.949999999</v>
      </c>
      <c r="Q9" s="836">
        <v>219132541.18000004</v>
      </c>
      <c r="R9" s="836">
        <v>20590589.899999999</v>
      </c>
      <c r="S9" s="837">
        <v>121465438.59999999</v>
      </c>
      <c r="T9" s="838">
        <v>825059537.20000005</v>
      </c>
      <c r="U9" s="838">
        <v>23167247.619999997</v>
      </c>
      <c r="V9" s="838">
        <v>34504829.82</v>
      </c>
      <c r="W9" s="839">
        <v>339925676.98000002</v>
      </c>
      <c r="X9" s="839">
        <v>10453794.940000001</v>
      </c>
      <c r="Y9" s="839">
        <v>13890282.970000001</v>
      </c>
      <c r="Z9" s="835">
        <v>50302033</v>
      </c>
      <c r="AA9" s="835">
        <v>20732003</v>
      </c>
      <c r="AB9" s="835">
        <v>33047569.059999999</v>
      </c>
      <c r="AC9" s="836">
        <v>175463570.11000001</v>
      </c>
      <c r="AD9" s="836">
        <v>76148174.520000011</v>
      </c>
      <c r="AE9" s="837">
        <v>131730182.81</v>
      </c>
      <c r="AF9" s="838">
        <v>577263756.43999982</v>
      </c>
      <c r="AG9" s="838">
        <v>89346383.279999986</v>
      </c>
      <c r="AH9" s="838">
        <v>26629621.450000003</v>
      </c>
      <c r="AI9" s="839">
        <v>235756028.01999995</v>
      </c>
      <c r="AJ9" s="839">
        <v>40242112.940000005</v>
      </c>
      <c r="AK9" s="839">
        <v>10947690.57</v>
      </c>
      <c r="AL9" s="835">
        <v>67816526</v>
      </c>
      <c r="AM9" s="835">
        <v>9066923</v>
      </c>
      <c r="AN9" s="835">
        <v>29788639.190000001</v>
      </c>
      <c r="AO9" s="836">
        <v>240669293.20999998</v>
      </c>
      <c r="AP9" s="836">
        <v>27996492.939999998</v>
      </c>
      <c r="AQ9" s="837">
        <v>122486098.40000001</v>
      </c>
      <c r="AR9" s="838">
        <v>682024621.41999996</v>
      </c>
      <c r="AS9" s="838">
        <v>12202420.499999998</v>
      </c>
      <c r="AT9" s="838">
        <v>20721043.73</v>
      </c>
      <c r="AU9" s="839">
        <v>273419762.36000001</v>
      </c>
      <c r="AV9" s="839">
        <v>5409317.7300000004</v>
      </c>
      <c r="AW9" s="839">
        <v>8649787.7400000002</v>
      </c>
      <c r="AX9" s="835">
        <v>78618995</v>
      </c>
      <c r="AY9" s="835">
        <v>13872884</v>
      </c>
      <c r="AZ9" s="835">
        <v>33503483.989999998</v>
      </c>
      <c r="BA9" s="836">
        <v>271995001.38999999</v>
      </c>
      <c r="BB9" s="836">
        <v>41027639.329999998</v>
      </c>
      <c r="BC9" s="837">
        <v>136092824.90000001</v>
      </c>
      <c r="BD9" s="838">
        <v>419311480.77999997</v>
      </c>
      <c r="BE9" s="838">
        <v>11938294.719999999</v>
      </c>
      <c r="BF9" s="838">
        <v>10713199.449999999</v>
      </c>
      <c r="BG9" s="839">
        <v>159818453.75000003</v>
      </c>
      <c r="BH9" s="839">
        <v>5314315.9000000004</v>
      </c>
      <c r="BI9" s="839">
        <v>5148964.9000000004</v>
      </c>
      <c r="BJ9" s="835">
        <v>65395288</v>
      </c>
      <c r="BK9" s="835">
        <v>17250522</v>
      </c>
      <c r="BL9" s="835">
        <v>32612138.039999995</v>
      </c>
      <c r="BM9" s="836">
        <v>228166550.66</v>
      </c>
      <c r="BN9" s="836">
        <v>52136193.069999993</v>
      </c>
      <c r="BO9" s="837">
        <v>134113272.81999999</v>
      </c>
      <c r="BP9" s="838">
        <v>200330954.60000002</v>
      </c>
      <c r="BQ9" s="838">
        <v>35002894.740000002</v>
      </c>
      <c r="BR9" s="838">
        <v>7685079.5199999996</v>
      </c>
      <c r="BS9" s="839">
        <v>72127935.579999998</v>
      </c>
      <c r="BT9" s="839">
        <v>15524222.329999998</v>
      </c>
      <c r="BU9" s="839">
        <v>4711524.62</v>
      </c>
      <c r="BV9" s="835">
        <v>83318653</v>
      </c>
      <c r="BW9" s="835">
        <v>7954967</v>
      </c>
      <c r="BX9" s="835">
        <v>38973374.93</v>
      </c>
      <c r="BY9" s="836">
        <v>329613596.91000003</v>
      </c>
      <c r="BZ9" s="836">
        <v>23294241.789999999</v>
      </c>
      <c r="CA9" s="837">
        <v>153643046.65000001</v>
      </c>
      <c r="CB9" s="838">
        <v>156306696.9799999</v>
      </c>
      <c r="CC9" s="838">
        <v>1712068.7299999997</v>
      </c>
      <c r="CD9" s="838">
        <v>7277918.79</v>
      </c>
      <c r="CE9" s="839">
        <v>52750635.219999999</v>
      </c>
      <c r="CF9" s="839">
        <v>730617.87000000011</v>
      </c>
      <c r="CG9" s="1051">
        <v>3774190.17</v>
      </c>
      <c r="CH9" s="835">
        <v>100763377</v>
      </c>
      <c r="CI9" s="835">
        <v>4404435</v>
      </c>
      <c r="CJ9" s="835">
        <v>37931612.340000004</v>
      </c>
      <c r="CK9" s="836">
        <v>397188391.38</v>
      </c>
      <c r="CL9" s="836">
        <v>14498154.909999996</v>
      </c>
      <c r="CM9" s="837">
        <v>151691864.19999999</v>
      </c>
      <c r="CN9" s="838">
        <v>109602968.86000003</v>
      </c>
      <c r="CO9" s="838">
        <v>1095451.94</v>
      </c>
      <c r="CP9" s="838">
        <v>8375351.5099999998</v>
      </c>
      <c r="CQ9" s="839">
        <v>37624971.020000003</v>
      </c>
      <c r="CR9" s="839">
        <v>488532.10000000003</v>
      </c>
      <c r="CS9" s="839">
        <v>4087028.51</v>
      </c>
      <c r="CT9" s="835"/>
      <c r="CU9" s="835"/>
      <c r="CV9" s="835"/>
      <c r="CW9" s="836"/>
      <c r="CX9" s="836"/>
      <c r="CY9" s="837"/>
      <c r="CZ9" s="838"/>
      <c r="DA9" s="838"/>
      <c r="DB9" s="838"/>
      <c r="DC9" s="839"/>
      <c r="DD9" s="839"/>
      <c r="DE9" s="839"/>
      <c r="DF9" s="835"/>
      <c r="DG9" s="835"/>
      <c r="DH9" s="835"/>
      <c r="DI9" s="836"/>
      <c r="DJ9" s="836"/>
      <c r="DK9" s="837"/>
      <c r="DL9" s="838"/>
      <c r="DM9" s="838"/>
      <c r="DN9" s="838"/>
      <c r="DO9" s="839"/>
      <c r="DP9" s="839"/>
      <c r="DQ9" s="839"/>
      <c r="DR9" s="835"/>
      <c r="DS9" s="835"/>
      <c r="DT9" s="835"/>
      <c r="DU9" s="836"/>
      <c r="DV9" s="836"/>
      <c r="DW9" s="837"/>
      <c r="DX9" s="838"/>
      <c r="DY9" s="838"/>
      <c r="DZ9" s="838"/>
      <c r="EA9" s="839"/>
      <c r="EB9" s="839"/>
      <c r="EC9" s="839"/>
      <c r="ED9" s="835"/>
      <c r="EE9" s="835"/>
      <c r="EF9" s="835"/>
      <c r="EG9" s="836"/>
      <c r="EH9" s="836"/>
      <c r="EI9" s="837"/>
      <c r="EJ9" s="838"/>
      <c r="EK9" s="838"/>
      <c r="EL9" s="838"/>
      <c r="EM9" s="839"/>
      <c r="EN9" s="839"/>
      <c r="EO9" s="839"/>
      <c r="EP9" s="835">
        <f t="shared" si="0"/>
        <v>563410908</v>
      </c>
      <c r="EQ9" s="835">
        <f t="shared" si="1"/>
        <v>89308967</v>
      </c>
      <c r="ER9" s="835">
        <f t="shared" si="2"/>
        <v>260804526.72</v>
      </c>
      <c r="ES9" s="836">
        <f t="shared" si="3"/>
        <v>2071096371.9800005</v>
      </c>
      <c r="ET9" s="836">
        <f t="shared" si="4"/>
        <v>285962288.20000005</v>
      </c>
      <c r="EU9" s="837">
        <f t="shared" si="5"/>
        <v>1062597913.6199999</v>
      </c>
      <c r="EV9" s="838">
        <f>H9+T9+AF9+AR9+BD9+BP9+CB9+CN9+CZ9+DL9+DX9+EJ9</f>
        <v>3710136239.02</v>
      </c>
      <c r="EW9" s="838">
        <f t="shared" si="7"/>
        <v>196285256.63999999</v>
      </c>
      <c r="EX9" s="838">
        <f t="shared" si="8"/>
        <v>152779218.07000002</v>
      </c>
      <c r="EY9" s="839">
        <f t="shared" si="9"/>
        <v>1470651447.5899999</v>
      </c>
      <c r="EZ9" s="839">
        <f t="shared" si="10"/>
        <v>87983276.100000009</v>
      </c>
      <c r="FA9" s="839">
        <f t="shared" si="11"/>
        <v>65898027.829999998</v>
      </c>
      <c r="FB9" s="2132">
        <f>((EP9/1000000)-élec!AX213)</f>
        <v>0</v>
      </c>
      <c r="FC9" s="2132">
        <f>((EQ9/1000000)-élec!AY213)</f>
        <v>-1.4210854715202004E-14</v>
      </c>
      <c r="FD9" s="2132">
        <f>((ER9/1000000)-élec!BA213)</f>
        <v>0</v>
      </c>
      <c r="FE9" s="2132">
        <f>((ES9/1000000)-élec!AX277)</f>
        <v>4.5474735088646412E-13</v>
      </c>
      <c r="FF9" s="2132">
        <f>((ET9/1000000)-élec!AY277)</f>
        <v>5.6843418860808015E-14</v>
      </c>
      <c r="FG9" s="2132">
        <f>((EU9/1000000)-élec!BA277)</f>
        <v>-2.2737367544323206E-13</v>
      </c>
      <c r="FH9" s="2133">
        <f>((EV9/1000000)-gaz!AX215)</f>
        <v>9.0949470177292824E-13</v>
      </c>
      <c r="FI9" s="2133">
        <f>((EW9/1000000)-gaz!AY215)</f>
        <v>0</v>
      </c>
      <c r="FJ9" s="2133">
        <f>((EX9/1000000)-gaz!BA215)</f>
        <v>0</v>
      </c>
      <c r="FK9" s="2133">
        <f>((EY9/1000000)-gaz!AX369)</f>
        <v>0</v>
      </c>
      <c r="FL9" s="2133">
        <f>((EZ9/1000000)-gaz!AY369)</f>
        <v>0</v>
      </c>
      <c r="FM9" s="2133">
        <f>((FA9/1000000)-gaz!BA369)</f>
        <v>0</v>
      </c>
    </row>
    <row r="10" spans="1:172">
      <c r="A10" s="730" t="s">
        <v>397</v>
      </c>
      <c r="B10" s="1118">
        <v>46356506</v>
      </c>
      <c r="C10" s="1118">
        <v>9705588</v>
      </c>
      <c r="D10" s="1119">
        <v>22686844.350000001</v>
      </c>
      <c r="E10" s="1492">
        <v>212468426.54000735</v>
      </c>
      <c r="F10" s="1492">
        <v>36198470.040000007</v>
      </c>
      <c r="G10" s="1493">
        <v>95571689.090000004</v>
      </c>
      <c r="H10" s="1121">
        <v>163052440.99999976</v>
      </c>
      <c r="I10" s="1121">
        <v>6511348.0999999987</v>
      </c>
      <c r="J10" s="1121">
        <v>20224878.100000001</v>
      </c>
      <c r="K10" s="1121">
        <v>60725838.010000259</v>
      </c>
      <c r="L10" s="1121">
        <v>2858961.98</v>
      </c>
      <c r="M10" s="1121">
        <v>9293868.8499999996</v>
      </c>
      <c r="N10" s="835">
        <v>43776964</v>
      </c>
      <c r="O10" s="835">
        <v>8069857</v>
      </c>
      <c r="P10" s="835">
        <v>22074379.739999998</v>
      </c>
      <c r="Q10" s="836">
        <v>197986386.46000856</v>
      </c>
      <c r="R10" s="836">
        <v>35900679.289999969</v>
      </c>
      <c r="S10" s="837">
        <v>94683548.629999995</v>
      </c>
      <c r="T10" s="838">
        <v>202080671.59999773</v>
      </c>
      <c r="U10" s="838">
        <v>8460407.8999999966</v>
      </c>
      <c r="V10" s="838">
        <v>18361747.98</v>
      </c>
      <c r="W10" s="839">
        <v>76405562.060000062</v>
      </c>
      <c r="X10" s="839">
        <v>3768973.8299999996</v>
      </c>
      <c r="Y10" s="839">
        <v>8660529.4800000004</v>
      </c>
      <c r="Z10" s="835">
        <v>41621949</v>
      </c>
      <c r="AA10" s="835">
        <v>7572305</v>
      </c>
      <c r="AB10" s="835">
        <v>21829499.470000003</v>
      </c>
      <c r="AC10" s="836">
        <v>189941853.23000705</v>
      </c>
      <c r="AD10" s="836">
        <v>33174089.460000001</v>
      </c>
      <c r="AE10" s="837">
        <v>90748890.020000011</v>
      </c>
      <c r="AF10" s="838">
        <v>184817911.30000195</v>
      </c>
      <c r="AG10" s="838">
        <v>7256628.200000002</v>
      </c>
      <c r="AH10" s="838">
        <v>13639341.779999997</v>
      </c>
      <c r="AI10" s="839">
        <v>69990683.970000446</v>
      </c>
      <c r="AJ10" s="839">
        <v>3217433.5900000008</v>
      </c>
      <c r="AK10" s="839">
        <v>8580451.75</v>
      </c>
      <c r="AL10" s="835">
        <v>46112448</v>
      </c>
      <c r="AM10" s="835">
        <v>9125587</v>
      </c>
      <c r="AN10" s="835">
        <v>21102370.899999999</v>
      </c>
      <c r="AO10" s="836">
        <v>210199666.57000694</v>
      </c>
      <c r="AP10" s="836">
        <v>35274871.439999998</v>
      </c>
      <c r="AQ10" s="837">
        <v>89627026.510000005</v>
      </c>
      <c r="AR10" s="838">
        <v>171165684.3000001</v>
      </c>
      <c r="AS10" s="838">
        <v>8076578.8999999985</v>
      </c>
      <c r="AT10" s="838">
        <v>11059653.390000001</v>
      </c>
      <c r="AU10" s="839">
        <v>64045070.720000543</v>
      </c>
      <c r="AV10" s="839">
        <v>3574060.0999999973</v>
      </c>
      <c r="AW10" s="839">
        <v>5614184.7800000003</v>
      </c>
      <c r="AX10" s="835">
        <v>40727001</v>
      </c>
      <c r="AY10" s="835">
        <v>7053365</v>
      </c>
      <c r="AZ10" s="835">
        <v>23733997.75</v>
      </c>
      <c r="BA10" s="836">
        <v>182511761.02000967</v>
      </c>
      <c r="BB10" s="836">
        <v>28981217.970000044</v>
      </c>
      <c r="BC10" s="837">
        <v>99632457.680000007</v>
      </c>
      <c r="BD10" s="838">
        <v>114180949.70000179</v>
      </c>
      <c r="BE10" s="838">
        <v>3376443.8999999994</v>
      </c>
      <c r="BF10" s="838">
        <v>12997259.029999999</v>
      </c>
      <c r="BG10" s="839">
        <v>40088118.880000852</v>
      </c>
      <c r="BH10" s="839">
        <v>1454175.75</v>
      </c>
      <c r="BI10" s="839">
        <v>6119829.0300000003</v>
      </c>
      <c r="BJ10" s="835">
        <v>45322369</v>
      </c>
      <c r="BK10" s="835">
        <v>12129961</v>
      </c>
      <c r="BL10" s="835">
        <v>25901903.25</v>
      </c>
      <c r="BM10" s="836">
        <v>207076277.5800066</v>
      </c>
      <c r="BN10" s="836">
        <v>36345952.599999987</v>
      </c>
      <c r="BO10" s="837">
        <v>110114708</v>
      </c>
      <c r="BP10" s="838">
        <v>78950261.000000924</v>
      </c>
      <c r="BQ10" s="838">
        <v>3036206.6999999993</v>
      </c>
      <c r="BR10" s="838">
        <v>10234557.789999999</v>
      </c>
      <c r="BS10" s="839">
        <v>27617306.480000477</v>
      </c>
      <c r="BT10" s="839">
        <v>1319428.42</v>
      </c>
      <c r="BU10" s="839">
        <v>5060781</v>
      </c>
      <c r="BV10" s="835">
        <v>66094474</v>
      </c>
      <c r="BW10" s="835">
        <v>13343769</v>
      </c>
      <c r="BX10" s="835">
        <v>29804962.120000001</v>
      </c>
      <c r="BY10" s="836">
        <v>311090523.12000918</v>
      </c>
      <c r="BZ10" s="836">
        <v>45009892.980000004</v>
      </c>
      <c r="CA10" s="837">
        <v>122418715.3</v>
      </c>
      <c r="CB10" s="838">
        <v>66261969.700000107</v>
      </c>
      <c r="CC10" s="838">
        <v>3494502.5999999996</v>
      </c>
      <c r="CD10" s="838">
        <v>6757648.1900000004</v>
      </c>
      <c r="CE10" s="839">
        <v>23626093.440000288</v>
      </c>
      <c r="CF10" s="839">
        <v>1549365.3000000007</v>
      </c>
      <c r="CG10" s="1051">
        <v>4462430.7</v>
      </c>
      <c r="CH10" s="835">
        <v>74387291</v>
      </c>
      <c r="CI10" s="835">
        <v>11254087</v>
      </c>
      <c r="CJ10" s="835">
        <v>30202004.989999998</v>
      </c>
      <c r="CK10" s="836">
        <v>355358138.25000399</v>
      </c>
      <c r="CL10" s="836">
        <v>37391298.409999974</v>
      </c>
      <c r="CM10" s="837">
        <v>146631181.05000001</v>
      </c>
      <c r="CN10" s="838">
        <v>48138341.399999864</v>
      </c>
      <c r="CO10" s="838">
        <v>1222228.5</v>
      </c>
      <c r="CP10" s="838">
        <v>10058000.960000001</v>
      </c>
      <c r="CQ10" s="839">
        <v>17069173.059999742</v>
      </c>
      <c r="CR10" s="839">
        <v>334288.22000000009</v>
      </c>
      <c r="CS10" s="839">
        <v>5106157.04</v>
      </c>
      <c r="CT10" s="835"/>
      <c r="CU10" s="835"/>
      <c r="CV10" s="835"/>
      <c r="CW10" s="836"/>
      <c r="CX10" s="836"/>
      <c r="CY10" s="837"/>
      <c r="CZ10" s="838"/>
      <c r="DA10" s="838"/>
      <c r="DB10" s="838"/>
      <c r="DC10" s="839"/>
      <c r="DD10" s="839"/>
      <c r="DE10" s="839"/>
      <c r="DF10" s="835"/>
      <c r="DG10" s="835"/>
      <c r="DH10" s="835"/>
      <c r="DI10" s="836"/>
      <c r="DJ10" s="836"/>
      <c r="DK10" s="837"/>
      <c r="DL10" s="838"/>
      <c r="DM10" s="838"/>
      <c r="DN10" s="838"/>
      <c r="DO10" s="839"/>
      <c r="DP10" s="839"/>
      <c r="DQ10" s="1051"/>
      <c r="DR10" s="835"/>
      <c r="DS10" s="835"/>
      <c r="DT10" s="835"/>
      <c r="DU10" s="836"/>
      <c r="DV10" s="836"/>
      <c r="DW10" s="837"/>
      <c r="DX10" s="838"/>
      <c r="DY10" s="838"/>
      <c r="DZ10" s="838"/>
      <c r="EA10" s="839"/>
      <c r="EB10" s="839"/>
      <c r="EC10" s="839"/>
      <c r="ED10" s="835"/>
      <c r="EE10" s="835"/>
      <c r="EF10" s="835"/>
      <c r="EG10" s="836"/>
      <c r="EH10" s="836"/>
      <c r="EI10" s="837"/>
      <c r="EJ10" s="838"/>
      <c r="EK10" s="838"/>
      <c r="EL10" s="838"/>
      <c r="EM10" s="839"/>
      <c r="EN10" s="839"/>
      <c r="EO10" s="839"/>
      <c r="EP10" s="835">
        <f t="shared" si="0"/>
        <v>404399002</v>
      </c>
      <c r="EQ10" s="835">
        <f t="shared" si="1"/>
        <v>78254519</v>
      </c>
      <c r="ER10" s="835">
        <f t="shared" si="2"/>
        <v>197335962.57000002</v>
      </c>
      <c r="ES10" s="836">
        <f t="shared" si="3"/>
        <v>1866633032.7700593</v>
      </c>
      <c r="ET10" s="836">
        <f t="shared" si="4"/>
        <v>288276472.19</v>
      </c>
      <c r="EU10" s="837">
        <f t="shared" si="5"/>
        <v>849428216.27999997</v>
      </c>
      <c r="EV10" s="838">
        <f t="shared" si="6"/>
        <v>1028648230.0000024</v>
      </c>
      <c r="EW10" s="838">
        <f t="shared" si="7"/>
        <v>41434344.800000004</v>
      </c>
      <c r="EX10" s="838">
        <f t="shared" si="8"/>
        <v>103333087.22</v>
      </c>
      <c r="EY10" s="839">
        <f t="shared" si="9"/>
        <v>379567846.62000269</v>
      </c>
      <c r="EZ10" s="839">
        <f t="shared" si="10"/>
        <v>18076687.189999998</v>
      </c>
      <c r="FA10" s="839">
        <f t="shared" si="11"/>
        <v>52898232.630000003</v>
      </c>
      <c r="FB10" s="2132">
        <f>((EP10/1000000)-élec!AX214)</f>
        <v>0</v>
      </c>
      <c r="FC10" s="2132">
        <f>((EQ10/1000000)-élec!AY214)</f>
        <v>0</v>
      </c>
      <c r="FD10" s="2132">
        <f>((ER10/1000000)-élec!BA214)</f>
        <v>2.8421709430404007E-14</v>
      </c>
      <c r="FE10" s="2132">
        <f>((ES10/1000000)-élec!AX278)</f>
        <v>0</v>
      </c>
      <c r="FF10" s="2132">
        <f>((ET10/1000000)-élec!AY278)</f>
        <v>0</v>
      </c>
      <c r="FG10" s="2132">
        <f>((EU10/1000000)-élec!BA278)</f>
        <v>0</v>
      </c>
      <c r="FH10" s="2133">
        <f>((EV10/1000000)-gaz!AX216)</f>
        <v>2.2737367544323206E-13</v>
      </c>
      <c r="FI10" s="2133">
        <f>((EW10/1000000)-gaz!AY216)</f>
        <v>1.4210854715202004E-14</v>
      </c>
      <c r="FJ10" s="2133">
        <f>((EX10/1000000)-gaz!BA216)</f>
        <v>0</v>
      </c>
      <c r="FK10" s="2133">
        <f>((EY10/1000000)-gaz!AX370)</f>
        <v>-5.6843418860808015E-14</v>
      </c>
      <c r="FL10" s="2133">
        <f>((EZ10/1000000)-gaz!AY370)</f>
        <v>-3.5527136788005009E-15</v>
      </c>
      <c r="FM10" s="2133">
        <f>((FA10/1000000)-gaz!BA370)</f>
        <v>7.1054273576010019E-15</v>
      </c>
      <c r="FO10" s="728"/>
    </row>
    <row r="11" spans="1:172">
      <c r="A11" s="730" t="s">
        <v>399</v>
      </c>
      <c r="B11" s="1118">
        <v>80770649</v>
      </c>
      <c r="C11" s="1118">
        <v>1282344</v>
      </c>
      <c r="D11" s="1119">
        <v>55537966.200000003</v>
      </c>
      <c r="E11" s="1118">
        <v>380497969.50999999</v>
      </c>
      <c r="F11" s="1118">
        <v>6760033.3700000001</v>
      </c>
      <c r="G11" s="1120">
        <v>213801930.88</v>
      </c>
      <c r="H11" s="1121">
        <v>318772298.02999997</v>
      </c>
      <c r="I11" s="1121">
        <v>979393.8</v>
      </c>
      <c r="J11" s="1121">
        <v>85279651.25</v>
      </c>
      <c r="K11" s="1121">
        <v>120554153.04000001</v>
      </c>
      <c r="L11" s="1121">
        <v>427170.30000000005</v>
      </c>
      <c r="M11" s="1121">
        <v>27572514.710000001</v>
      </c>
      <c r="N11" s="835">
        <v>69169006</v>
      </c>
      <c r="O11" s="835">
        <v>3094093</v>
      </c>
      <c r="P11" s="835">
        <v>54774104.009999998</v>
      </c>
      <c r="Q11" s="836">
        <v>322227851.89999998</v>
      </c>
      <c r="R11" s="836">
        <v>16027774.270000001</v>
      </c>
      <c r="S11" s="837">
        <v>211083464.31999999</v>
      </c>
      <c r="T11" s="838">
        <v>358359429.94999999</v>
      </c>
      <c r="U11" s="838">
        <v>2262517.0699999998</v>
      </c>
      <c r="V11" s="838">
        <v>87108470.799999997</v>
      </c>
      <c r="W11" s="839">
        <v>137508126.42000002</v>
      </c>
      <c r="X11" s="839">
        <v>1002348.51</v>
      </c>
      <c r="Y11" s="1051">
        <v>28221569.579999998</v>
      </c>
      <c r="Z11" s="2530">
        <v>56209703</v>
      </c>
      <c r="AA11" s="2530">
        <v>23603715</v>
      </c>
      <c r="AB11" s="2530">
        <v>55303696.079999998</v>
      </c>
      <c r="AC11" s="2531">
        <v>262882440.50999999</v>
      </c>
      <c r="AD11" s="2531">
        <v>116298350.03999999</v>
      </c>
      <c r="AE11" s="2532">
        <v>203727736.19</v>
      </c>
      <c r="AF11" s="838">
        <v>232126235.87999991</v>
      </c>
      <c r="AG11" s="838">
        <v>25971350.550000001</v>
      </c>
      <c r="AH11" s="838">
        <v>61242002.850000001</v>
      </c>
      <c r="AI11" s="839">
        <v>88734673.020000011</v>
      </c>
      <c r="AJ11" s="839">
        <v>11490648.709999999</v>
      </c>
      <c r="AK11" s="839">
        <v>21436052.350000001</v>
      </c>
      <c r="AL11" s="835">
        <v>74414415</v>
      </c>
      <c r="AM11" s="835">
        <v>5955577</v>
      </c>
      <c r="AN11" s="835">
        <v>63948434.329999998</v>
      </c>
      <c r="AO11" s="836">
        <v>346252730.40999997</v>
      </c>
      <c r="AP11" s="836">
        <v>13773835.250000002</v>
      </c>
      <c r="AQ11" s="837">
        <v>216027114.84999999</v>
      </c>
      <c r="AR11" s="838">
        <v>298919664.82999998</v>
      </c>
      <c r="AS11" s="838">
        <v>985793.90999999992</v>
      </c>
      <c r="AT11" s="838">
        <v>73341044.859999999</v>
      </c>
      <c r="AU11" s="839">
        <v>111641317.50999999</v>
      </c>
      <c r="AV11" s="839">
        <v>434896.14999999997</v>
      </c>
      <c r="AW11" s="839">
        <v>23921243.379999999</v>
      </c>
      <c r="AX11" s="835">
        <v>60827551</v>
      </c>
      <c r="AY11" s="835">
        <v>5728144</v>
      </c>
      <c r="AZ11" s="835">
        <v>57377868.240000002</v>
      </c>
      <c r="BA11" s="836">
        <v>275317517.69999999</v>
      </c>
      <c r="BB11" s="836">
        <v>18884993.670000002</v>
      </c>
      <c r="BC11" s="837">
        <v>219601002.5</v>
      </c>
      <c r="BD11" s="838">
        <v>184737610.55000016</v>
      </c>
      <c r="BE11" s="838">
        <v>1139979.9900000002</v>
      </c>
      <c r="BF11" s="838">
        <v>74787479.340000004</v>
      </c>
      <c r="BG11" s="839">
        <v>65216619.520000003</v>
      </c>
      <c r="BH11" s="839">
        <v>495587.25999999995</v>
      </c>
      <c r="BI11" s="839">
        <v>25554623.109999999</v>
      </c>
      <c r="BJ11" s="835">
        <v>57993435</v>
      </c>
      <c r="BK11" s="835">
        <v>25594435</v>
      </c>
      <c r="BL11" s="835">
        <v>57551826.659999996</v>
      </c>
      <c r="BM11" s="836">
        <v>268651559.37</v>
      </c>
      <c r="BN11" s="836">
        <v>102129764.78000002</v>
      </c>
      <c r="BO11" s="837">
        <v>219769044.62</v>
      </c>
      <c r="BP11" s="838">
        <v>82808968.470000029</v>
      </c>
      <c r="BQ11" s="838">
        <v>7926497.4299999997</v>
      </c>
      <c r="BR11" s="838">
        <v>60599538.710000001</v>
      </c>
      <c r="BS11" s="839">
        <v>28284464.280000005</v>
      </c>
      <c r="BT11" s="839">
        <v>3430127.4500000007</v>
      </c>
      <c r="BU11" s="1051">
        <v>20654338.010000002</v>
      </c>
      <c r="BV11" s="835">
        <v>109118169</v>
      </c>
      <c r="BW11" s="835">
        <v>5927040</v>
      </c>
      <c r="BX11" s="835">
        <v>59200033.770000003</v>
      </c>
      <c r="BY11" s="836">
        <v>523515909</v>
      </c>
      <c r="BZ11" s="836">
        <v>13793869.5</v>
      </c>
      <c r="CA11" s="837">
        <v>233907141.66000003</v>
      </c>
      <c r="CB11" s="838">
        <v>100680810.20999999</v>
      </c>
      <c r="CC11" s="838">
        <v>353074.7</v>
      </c>
      <c r="CD11" s="838">
        <v>66396830.730000004</v>
      </c>
      <c r="CE11" s="839">
        <v>35818279.799999997</v>
      </c>
      <c r="CF11" s="839">
        <v>156518.85</v>
      </c>
      <c r="CG11" s="1051">
        <v>22320271.080000002</v>
      </c>
      <c r="CH11" s="835">
        <v>119535984</v>
      </c>
      <c r="CI11" s="835">
        <v>3445803</v>
      </c>
      <c r="CJ11" s="835">
        <v>63368111.240000002</v>
      </c>
      <c r="CK11" s="836">
        <v>579181137.41999996</v>
      </c>
      <c r="CL11" s="836">
        <v>15770369.74</v>
      </c>
      <c r="CM11" s="837">
        <v>292689853.49000001</v>
      </c>
      <c r="CN11" s="838">
        <v>71212302.909999996</v>
      </c>
      <c r="CO11" s="838">
        <v>45515.799999999996</v>
      </c>
      <c r="CP11" s="838">
        <v>69229719.739999995</v>
      </c>
      <c r="CQ11" s="839">
        <v>25643871.630000003</v>
      </c>
      <c r="CR11" s="839">
        <v>17288.779999999984</v>
      </c>
      <c r="CS11" s="839">
        <v>27521311.969999999</v>
      </c>
      <c r="CT11" s="835"/>
      <c r="CU11" s="835"/>
      <c r="CV11" s="835"/>
      <c r="CW11" s="836"/>
      <c r="CX11" s="836"/>
      <c r="CY11" s="837"/>
      <c r="CZ11" s="838"/>
      <c r="DA11" s="838"/>
      <c r="DB11" s="838"/>
      <c r="DC11" s="839"/>
      <c r="DD11" s="839"/>
      <c r="DE11" s="1051"/>
      <c r="DF11" s="835"/>
      <c r="DG11" s="835"/>
      <c r="DH11" s="835"/>
      <c r="DI11" s="836"/>
      <c r="DJ11" s="836"/>
      <c r="DK11" s="837"/>
      <c r="DL11" s="838"/>
      <c r="DM11" s="838"/>
      <c r="DN11" s="838"/>
      <c r="DO11" s="839"/>
      <c r="DP11" s="839"/>
      <c r="DQ11" s="1051"/>
      <c r="DR11" s="835"/>
      <c r="DS11" s="835"/>
      <c r="DT11" s="835"/>
      <c r="DU11" s="836"/>
      <c r="DV11" s="836"/>
      <c r="DW11" s="837"/>
      <c r="DX11" s="838"/>
      <c r="DY11" s="838"/>
      <c r="DZ11" s="838"/>
      <c r="EA11" s="839"/>
      <c r="EB11" s="839"/>
      <c r="EC11" s="1051"/>
      <c r="ED11" s="835"/>
      <c r="EE11" s="835"/>
      <c r="EF11" s="835"/>
      <c r="EG11" s="836"/>
      <c r="EH11" s="836"/>
      <c r="EI11" s="837"/>
      <c r="EJ11" s="838"/>
      <c r="EK11" s="838"/>
      <c r="EL11" s="838"/>
      <c r="EM11" s="839"/>
      <c r="EN11" s="839"/>
      <c r="EO11" s="1051"/>
      <c r="EP11" s="835">
        <f t="shared" si="0"/>
        <v>628038912</v>
      </c>
      <c r="EQ11" s="835">
        <f t="shared" si="1"/>
        <v>74631151</v>
      </c>
      <c r="ER11" s="835">
        <f t="shared" si="2"/>
        <v>467062040.52999997</v>
      </c>
      <c r="ES11" s="836">
        <f t="shared" si="3"/>
        <v>2958527115.8200002</v>
      </c>
      <c r="ET11" s="836">
        <f t="shared" si="4"/>
        <v>303438990.62000006</v>
      </c>
      <c r="EU11" s="837">
        <f t="shared" si="5"/>
        <v>1810607288.5100002</v>
      </c>
      <c r="EV11" s="838">
        <f t="shared" si="6"/>
        <v>1647617320.8300002</v>
      </c>
      <c r="EW11" s="838">
        <f t="shared" si="7"/>
        <v>39664123.25</v>
      </c>
      <c r="EX11" s="838">
        <f t="shared" si="8"/>
        <v>577984738.27999997</v>
      </c>
      <c r="EY11" s="839">
        <f t="shared" si="9"/>
        <v>613401505.21999991</v>
      </c>
      <c r="EZ11" s="839">
        <f t="shared" si="10"/>
        <v>17454586.010000002</v>
      </c>
      <c r="FA11" s="839">
        <f t="shared" si="11"/>
        <v>197201924.19</v>
      </c>
      <c r="FB11" s="2132">
        <f>((EP11/1000000)-élec!AX215)</f>
        <v>0</v>
      </c>
      <c r="FC11" s="2132">
        <f>((EQ11/1000000)-élec!AY215)</f>
        <v>0</v>
      </c>
      <c r="FD11" s="2132">
        <f>((ER11/1000000)-élec!BA215)</f>
        <v>-5.6843418860808015E-14</v>
      </c>
      <c r="FE11" s="2132">
        <f>((ES11/1000000)-élec!AX279)</f>
        <v>9.0949470177292824E-13</v>
      </c>
      <c r="FF11" s="2132">
        <f>((ET11/1000000)-élec!AY279)</f>
        <v>5.6843418860808015E-14</v>
      </c>
      <c r="FG11" s="2132">
        <f>((EU11/1000000)-élec!BA279)</f>
        <v>4.5474735088646412E-13</v>
      </c>
      <c r="FH11" s="2133">
        <f>((EV11/1000000)-gaz!AX217)</f>
        <v>0</v>
      </c>
      <c r="FI11" s="2133">
        <f>((EW11/1000000)-gaz!AY217)</f>
        <v>7.1054273576010019E-15</v>
      </c>
      <c r="FJ11" s="2133">
        <f>((EX11/1000000)-gaz!BA217)</f>
        <v>0</v>
      </c>
      <c r="FK11" s="2133">
        <f>((EY11/1000000)-gaz!AX371)</f>
        <v>-1.1368683772161603E-13</v>
      </c>
      <c r="FL11" s="2133">
        <f>((EZ11/1000000)-gaz!AY371)</f>
        <v>-3.5527136788005009E-15</v>
      </c>
      <c r="FM11" s="2133">
        <f>((FA11/1000000)-gaz!BA371)</f>
        <v>0</v>
      </c>
      <c r="FN11" s="77" t="s">
        <v>1172</v>
      </c>
    </row>
    <row r="12" spans="1:172">
      <c r="A12" s="730" t="s">
        <v>883</v>
      </c>
      <c r="B12" s="1118">
        <v>43211083</v>
      </c>
      <c r="C12" s="1118">
        <v>7681077</v>
      </c>
      <c r="D12" s="1119">
        <v>25039884</v>
      </c>
      <c r="E12" s="1118">
        <v>192139391.63000003</v>
      </c>
      <c r="F12" s="1118">
        <v>41183749.939999998</v>
      </c>
      <c r="G12" s="1120">
        <v>106058309.43000001</v>
      </c>
      <c r="H12" s="1121">
        <v>312123238.77000117</v>
      </c>
      <c r="I12" s="1121">
        <v>12330608.470000003</v>
      </c>
      <c r="J12" s="1121">
        <v>15509120.689999999</v>
      </c>
      <c r="K12" s="1121">
        <v>120474380.04000001</v>
      </c>
      <c r="L12" s="1121">
        <v>5512282.5999999996</v>
      </c>
      <c r="M12" s="1121">
        <v>7083732.5800000001</v>
      </c>
      <c r="N12" s="835">
        <v>41041009</v>
      </c>
      <c r="O12" s="835">
        <v>10042572</v>
      </c>
      <c r="P12" s="835">
        <v>24416477.18</v>
      </c>
      <c r="Q12" s="836">
        <v>181438592.77000001</v>
      </c>
      <c r="R12" s="836">
        <v>53848456.990000002</v>
      </c>
      <c r="S12" s="837">
        <v>103968407.40000001</v>
      </c>
      <c r="T12" s="838">
        <v>342131934.24000078</v>
      </c>
      <c r="U12" s="838">
        <v>17242859.68</v>
      </c>
      <c r="V12" s="838">
        <v>13279690.99</v>
      </c>
      <c r="W12" s="839">
        <v>134621417.06999999</v>
      </c>
      <c r="X12" s="839">
        <v>7701029.4500000002</v>
      </c>
      <c r="Y12" s="839">
        <v>6482631</v>
      </c>
      <c r="Z12" s="835">
        <v>29534493</v>
      </c>
      <c r="AA12" s="835">
        <v>8170020</v>
      </c>
      <c r="AB12" s="835">
        <v>25732525.32</v>
      </c>
      <c r="AC12" s="836">
        <v>124853583.92999998</v>
      </c>
      <c r="AD12" s="836">
        <v>43857606.530000001</v>
      </c>
      <c r="AE12" s="837">
        <v>105934284.12</v>
      </c>
      <c r="AF12" s="838">
        <v>221994950.88999885</v>
      </c>
      <c r="AG12" s="838">
        <v>14151390.910000006</v>
      </c>
      <c r="AH12" s="838">
        <v>7341390.3899999997</v>
      </c>
      <c r="AI12" s="839">
        <v>84676784.709999993</v>
      </c>
      <c r="AJ12" s="839">
        <v>6319417.7699999996</v>
      </c>
      <c r="AK12" s="839">
        <v>4122114.32</v>
      </c>
      <c r="AL12" s="835">
        <v>42341119</v>
      </c>
      <c r="AM12" s="835">
        <v>7175073</v>
      </c>
      <c r="AN12" s="835">
        <v>28714677.5</v>
      </c>
      <c r="AO12" s="836">
        <v>189295977.18999997</v>
      </c>
      <c r="AP12" s="836">
        <v>38398498.43999999</v>
      </c>
      <c r="AQ12" s="837">
        <v>117482261.7</v>
      </c>
      <c r="AR12" s="838">
        <v>252789638.10999891</v>
      </c>
      <c r="AS12" s="838">
        <v>9408187.8999999966</v>
      </c>
      <c r="AT12" s="838">
        <v>5951112.6199999982</v>
      </c>
      <c r="AU12" s="839">
        <v>94804631.049999997</v>
      </c>
      <c r="AV12" s="839">
        <v>4175608.24</v>
      </c>
      <c r="AW12" s="839">
        <v>3531779.22</v>
      </c>
      <c r="AX12" s="835">
        <v>40940605</v>
      </c>
      <c r="AY12" s="835">
        <v>8945208</v>
      </c>
      <c r="AZ12" s="835">
        <v>30070919.68</v>
      </c>
      <c r="BA12" s="836">
        <v>180065148.56000006</v>
      </c>
      <c r="BB12" s="836">
        <v>47878799.149999999</v>
      </c>
      <c r="BC12" s="837">
        <v>123638011.31999999</v>
      </c>
      <c r="BD12" s="838">
        <v>141643519.80000129</v>
      </c>
      <c r="BE12" s="838">
        <v>6542364.3100000015</v>
      </c>
      <c r="BF12" s="838">
        <v>5208141.03</v>
      </c>
      <c r="BG12" s="839">
        <v>49350875.729999997</v>
      </c>
      <c r="BH12" s="839">
        <v>2834513.9899999998</v>
      </c>
      <c r="BI12" s="839">
        <v>3014612.13</v>
      </c>
      <c r="BJ12" s="835">
        <v>41174909</v>
      </c>
      <c r="BK12" s="835">
        <v>9102669</v>
      </c>
      <c r="BL12" s="835">
        <v>32439234.100000001</v>
      </c>
      <c r="BM12" s="836">
        <v>183716458.79999998</v>
      </c>
      <c r="BN12" s="836">
        <v>48838841.799999997</v>
      </c>
      <c r="BO12" s="837">
        <v>133500504.02000001</v>
      </c>
      <c r="BP12" s="838">
        <v>66607841.029999338</v>
      </c>
      <c r="BQ12" s="838">
        <v>3230548.9600000014</v>
      </c>
      <c r="BR12" s="838">
        <v>3373919.48</v>
      </c>
      <c r="BS12" s="839">
        <v>21998540.18</v>
      </c>
      <c r="BT12" s="839">
        <v>1406348.6</v>
      </c>
      <c r="BU12" s="839">
        <v>2603106.4500000002</v>
      </c>
      <c r="BV12" s="835">
        <v>85983896</v>
      </c>
      <c r="BW12" s="835">
        <v>8118171</v>
      </c>
      <c r="BX12" s="835">
        <v>36082602.020000003</v>
      </c>
      <c r="BY12" s="836">
        <v>408653139.63000005</v>
      </c>
      <c r="BZ12" s="836">
        <v>43534869.36999999</v>
      </c>
      <c r="CA12" s="837">
        <v>144837729.90000001</v>
      </c>
      <c r="CB12" s="838">
        <v>73517093.989999741</v>
      </c>
      <c r="CC12" s="838">
        <v>1765248.4900000009</v>
      </c>
      <c r="CD12" s="838">
        <v>2034684.08</v>
      </c>
      <c r="CE12" s="839">
        <v>24753452.910000004</v>
      </c>
      <c r="CF12" s="839">
        <v>775588.82000000007</v>
      </c>
      <c r="CG12" s="1051">
        <v>2041876.7700000003</v>
      </c>
      <c r="CH12" s="835">
        <v>103639579.3</v>
      </c>
      <c r="CI12" s="835">
        <v>10133416.5</v>
      </c>
      <c r="CJ12" s="835">
        <v>35474420.88000001</v>
      </c>
      <c r="CK12" s="836">
        <v>461614949.66725624</v>
      </c>
      <c r="CL12" s="836">
        <v>54320803.151731297</v>
      </c>
      <c r="CM12" s="837">
        <v>146675695.47328746</v>
      </c>
      <c r="CN12" s="838">
        <v>52396143.04299964</v>
      </c>
      <c r="CO12" s="838">
        <v>408838.15900000039</v>
      </c>
      <c r="CP12" s="838">
        <v>2236097.59</v>
      </c>
      <c r="CQ12" s="839">
        <v>19097044.713777531</v>
      </c>
      <c r="CR12" s="839">
        <v>180589.40200402512</v>
      </c>
      <c r="CS12" s="839">
        <v>1422721.0004898855</v>
      </c>
      <c r="CT12" s="835"/>
      <c r="CU12" s="835"/>
      <c r="CV12" s="835"/>
      <c r="CW12" s="836"/>
      <c r="CX12" s="836"/>
      <c r="CY12" s="837"/>
      <c r="CZ12" s="838"/>
      <c r="DA12" s="838"/>
      <c r="DB12" s="838"/>
      <c r="DC12" s="839"/>
      <c r="DD12" s="839"/>
      <c r="DE12" s="839"/>
      <c r="DF12" s="835"/>
      <c r="DG12" s="835"/>
      <c r="DH12" s="835"/>
      <c r="DI12" s="836"/>
      <c r="DJ12" s="836"/>
      <c r="DK12" s="837"/>
      <c r="DL12" s="838"/>
      <c r="DM12" s="838"/>
      <c r="DN12" s="838"/>
      <c r="DO12" s="839"/>
      <c r="DP12" s="839"/>
      <c r="DQ12" s="839"/>
      <c r="DR12" s="835"/>
      <c r="DS12" s="835"/>
      <c r="DT12" s="835"/>
      <c r="DU12" s="836"/>
      <c r="DV12" s="836"/>
      <c r="DW12" s="837"/>
      <c r="DX12" s="838"/>
      <c r="DY12" s="838"/>
      <c r="DZ12" s="838"/>
      <c r="EA12" s="839"/>
      <c r="EB12" s="839"/>
      <c r="EC12" s="839"/>
      <c r="ED12" s="835"/>
      <c r="EE12" s="835"/>
      <c r="EF12" s="835"/>
      <c r="EG12" s="836"/>
      <c r="EH12" s="836"/>
      <c r="EI12" s="837"/>
      <c r="EJ12" s="838"/>
      <c r="EK12" s="838"/>
      <c r="EL12" s="838"/>
      <c r="EM12" s="839"/>
      <c r="EN12" s="839"/>
      <c r="EO12" s="839"/>
      <c r="EP12" s="835">
        <f t="shared" si="0"/>
        <v>427866693.30000001</v>
      </c>
      <c r="EQ12" s="835">
        <f t="shared" si="1"/>
        <v>69368206.5</v>
      </c>
      <c r="ER12" s="835">
        <f t="shared" si="2"/>
        <v>237970740.68000001</v>
      </c>
      <c r="ES12" s="836">
        <f t="shared" si="3"/>
        <v>1921777242.1772561</v>
      </c>
      <c r="ET12" s="836">
        <f t="shared" si="4"/>
        <v>371861625.37173134</v>
      </c>
      <c r="EU12" s="837">
        <f t="shared" si="5"/>
        <v>982095203.36328745</v>
      </c>
      <c r="EV12" s="838">
        <f t="shared" si="6"/>
        <v>1463204359.8729999</v>
      </c>
      <c r="EW12" s="838">
        <f t="shared" si="7"/>
        <v>65080046.879000016</v>
      </c>
      <c r="EX12" s="838">
        <f t="shared" si="8"/>
        <v>54934156.86999999</v>
      </c>
      <c r="EY12" s="839">
        <f t="shared" si="9"/>
        <v>549777126.4037776</v>
      </c>
      <c r="EZ12" s="839">
        <f t="shared" si="10"/>
        <v>28905378.872004028</v>
      </c>
      <c r="FA12" s="839">
        <f t="shared" si="11"/>
        <v>30302573.470489882</v>
      </c>
      <c r="FB12" s="2132">
        <f>((EP12/1000000)-élec!AX216)</f>
        <v>0</v>
      </c>
      <c r="FC12" s="2132">
        <f>((EQ12/1000000)-élec!AY216)</f>
        <v>0</v>
      </c>
      <c r="FD12" s="2132">
        <f>((ER12/1000000)-élec!BA216)</f>
        <v>0</v>
      </c>
      <c r="FE12" s="2132">
        <f>((ES12/1000000)-élec!AX280)</f>
        <v>-2.2737367544323206E-13</v>
      </c>
      <c r="FF12" s="2132">
        <f>((ET12/1000000)-élec!AY280)</f>
        <v>1.1368683772161603E-13</v>
      </c>
      <c r="FG12" s="2132">
        <f>((EU12/1000000)-élec!BA280)</f>
        <v>-1.1368683772161603E-13</v>
      </c>
      <c r="FH12" s="2133">
        <f>((EV12/1000000)-gaz!AX218)</f>
        <v>2.2737367544323206E-13</v>
      </c>
      <c r="FI12" s="2133">
        <f>((EW12/1000000)-gaz!AY218)</f>
        <v>1.4210854715202004E-14</v>
      </c>
      <c r="FJ12" s="2133">
        <f>((EX12/1000000)-gaz!BA218)</f>
        <v>-7.1054273576010019E-15</v>
      </c>
      <c r="FK12" s="2133">
        <f>((EY12/1000000)-gaz!AX372)</f>
        <v>0</v>
      </c>
      <c r="FL12" s="2133">
        <f>((EZ12/1000000)-gaz!AY372)</f>
        <v>3.5527136788005009E-15</v>
      </c>
      <c r="FM12" s="2133">
        <f>((FA12/1000000)-gaz!BA372)</f>
        <v>-7.1054273576010019E-15</v>
      </c>
      <c r="FN12" s="77" t="s">
        <v>1195</v>
      </c>
      <c r="FO12" s="77" t="s">
        <v>1213</v>
      </c>
    </row>
    <row r="13" spans="1:172">
      <c r="A13" s="730" t="s">
        <v>884</v>
      </c>
      <c r="B13" s="1118">
        <v>60688494</v>
      </c>
      <c r="C13" s="1118">
        <v>8576384</v>
      </c>
      <c r="D13" s="1119">
        <v>23162023.25</v>
      </c>
      <c r="E13" s="1118">
        <v>266547362.01000002</v>
      </c>
      <c r="F13" s="1118">
        <v>44491657.380000003</v>
      </c>
      <c r="G13" s="1120">
        <v>98779200.079999998</v>
      </c>
      <c r="H13" s="1121">
        <v>305443746.59999996</v>
      </c>
      <c r="I13" s="1121">
        <v>12665396.099999998</v>
      </c>
      <c r="J13" s="1121">
        <v>16391618.42</v>
      </c>
      <c r="K13" s="1121">
        <v>113580615.84</v>
      </c>
      <c r="L13" s="1121">
        <v>5590941.2199999997</v>
      </c>
      <c r="M13" s="1121">
        <v>7684836.3300000001</v>
      </c>
      <c r="N13" s="835">
        <v>58954295</v>
      </c>
      <c r="O13" s="835">
        <v>9749331</v>
      </c>
      <c r="P13" s="835">
        <v>21833737.77</v>
      </c>
      <c r="Q13" s="836">
        <v>258414763.62000003</v>
      </c>
      <c r="R13" s="836">
        <v>50107381.409999996</v>
      </c>
      <c r="S13" s="837">
        <v>95374218.900000006</v>
      </c>
      <c r="T13" s="838">
        <v>338787757.59999996</v>
      </c>
      <c r="U13" s="838">
        <v>17387550.700000003</v>
      </c>
      <c r="V13" s="838">
        <v>17274267.98</v>
      </c>
      <c r="W13" s="839">
        <v>130302923.62000002</v>
      </c>
      <c r="X13" s="839">
        <v>7751155.96</v>
      </c>
      <c r="Y13" s="839">
        <v>7741256.4299999997</v>
      </c>
      <c r="Z13" s="835">
        <v>44666930</v>
      </c>
      <c r="AA13" s="835">
        <v>14799832</v>
      </c>
      <c r="AB13" s="835">
        <v>23130708.219999999</v>
      </c>
      <c r="AC13" s="836">
        <v>191363886.56999999</v>
      </c>
      <c r="AD13" s="836">
        <v>65332084.269999996</v>
      </c>
      <c r="AE13" s="837">
        <v>96263340.349999994</v>
      </c>
      <c r="AF13" s="838">
        <v>215311328.20000002</v>
      </c>
      <c r="AG13" s="838">
        <v>12432383.300000001</v>
      </c>
      <c r="AH13" s="838">
        <v>11915872.67</v>
      </c>
      <c r="AI13" s="839">
        <v>81533460.940000027</v>
      </c>
      <c r="AJ13" s="839">
        <v>5553248.9700000007</v>
      </c>
      <c r="AK13" s="839">
        <v>5932357.29</v>
      </c>
      <c r="AL13" s="835">
        <v>58291012</v>
      </c>
      <c r="AM13" s="835">
        <v>9961788</v>
      </c>
      <c r="AN13" s="835">
        <v>24298778.870000001</v>
      </c>
      <c r="AO13" s="836">
        <v>252269857.37</v>
      </c>
      <c r="AP13" s="836">
        <v>47493029.800000004</v>
      </c>
      <c r="AQ13" s="837">
        <v>102139228.40000001</v>
      </c>
      <c r="AR13" s="838">
        <v>286333544.39999998</v>
      </c>
      <c r="AS13" s="838">
        <v>13510965.100000001</v>
      </c>
      <c r="AT13" s="838">
        <v>7018771.0199999996</v>
      </c>
      <c r="AU13" s="839">
        <v>105701914.27</v>
      </c>
      <c r="AV13" s="839">
        <v>5993506.3199999994</v>
      </c>
      <c r="AW13" s="839">
        <v>4339732.13</v>
      </c>
      <c r="AX13" s="835">
        <v>58327533</v>
      </c>
      <c r="AY13" s="835">
        <v>11641099</v>
      </c>
      <c r="AZ13" s="835">
        <v>29500546.41</v>
      </c>
      <c r="BA13" s="836">
        <v>245740349.39999998</v>
      </c>
      <c r="BB13" s="836">
        <v>51133630.789999992</v>
      </c>
      <c r="BC13" s="837">
        <v>119948250.40000001</v>
      </c>
      <c r="BD13" s="838">
        <v>165448647.09999999</v>
      </c>
      <c r="BE13" s="838">
        <v>9324852.5</v>
      </c>
      <c r="BF13" s="838">
        <v>15574697.539999999</v>
      </c>
      <c r="BG13" s="839">
        <v>57396830.480000004</v>
      </c>
      <c r="BH13" s="839">
        <v>4065725.89</v>
      </c>
      <c r="BI13" s="839">
        <v>7329976.2400000002</v>
      </c>
      <c r="BJ13" s="835">
        <v>54339718</v>
      </c>
      <c r="BK13" s="835">
        <v>14495318</v>
      </c>
      <c r="BL13" s="835">
        <v>30120260.539999999</v>
      </c>
      <c r="BM13" s="836">
        <v>223880425.47999999</v>
      </c>
      <c r="BN13" s="836">
        <v>55709120.289999999</v>
      </c>
      <c r="BO13" s="837">
        <v>123623169.3</v>
      </c>
      <c r="BP13" s="838">
        <v>70447217.300000012</v>
      </c>
      <c r="BQ13" s="838">
        <v>2669694.3000000003</v>
      </c>
      <c r="BR13" s="838">
        <v>7670293.3700000001</v>
      </c>
      <c r="BS13" s="839">
        <v>23071128.339999996</v>
      </c>
      <c r="BT13" s="839">
        <v>1153946.75</v>
      </c>
      <c r="BU13" s="1051">
        <v>4145856.35</v>
      </c>
      <c r="BV13" s="835">
        <v>108718182</v>
      </c>
      <c r="BW13" s="835">
        <v>11848188</v>
      </c>
      <c r="BX13" s="835">
        <v>36490037.020000003</v>
      </c>
      <c r="BY13" s="836">
        <v>487308757.74999994</v>
      </c>
      <c r="BZ13" s="836">
        <v>51991040.579999998</v>
      </c>
      <c r="CA13" s="837">
        <v>142212972.69999999</v>
      </c>
      <c r="CB13" s="838">
        <v>96341456.200000018</v>
      </c>
      <c r="CC13" s="838">
        <v>4349732.1999999993</v>
      </c>
      <c r="CD13" s="838">
        <v>21728125.579999998</v>
      </c>
      <c r="CE13" s="839">
        <v>32415016.909999996</v>
      </c>
      <c r="CF13" s="839">
        <v>1898675.45</v>
      </c>
      <c r="CG13" s="1051">
        <v>7767662.7199999997</v>
      </c>
      <c r="CH13" s="835">
        <v>142140892</v>
      </c>
      <c r="CI13" s="835">
        <v>15669142</v>
      </c>
      <c r="CJ13" s="835">
        <v>35196384.280000001</v>
      </c>
      <c r="CK13" s="836">
        <v>665938457.18999124</v>
      </c>
      <c r="CL13" s="836">
        <v>61526351.680000044</v>
      </c>
      <c r="CM13" s="837">
        <v>107994476.3</v>
      </c>
      <c r="CN13" s="838">
        <v>67280575.099999994</v>
      </c>
      <c r="CO13" s="838">
        <v>2080814.9</v>
      </c>
      <c r="CP13" s="838">
        <v>12638274.779999999</v>
      </c>
      <c r="CQ13" s="839">
        <v>22507847.45999999</v>
      </c>
      <c r="CR13" s="839">
        <v>917357.0499999997</v>
      </c>
      <c r="CS13" s="839">
        <v>5702769.2400000002</v>
      </c>
      <c r="CT13" s="835"/>
      <c r="CU13" s="835"/>
      <c r="CV13" s="835"/>
      <c r="CW13" s="836"/>
      <c r="CX13" s="836"/>
      <c r="CY13" s="837"/>
      <c r="CZ13" s="838"/>
      <c r="DA13" s="838"/>
      <c r="DB13" s="838"/>
      <c r="DC13" s="839"/>
      <c r="DD13" s="839"/>
      <c r="DE13" s="1051"/>
      <c r="DF13" s="835"/>
      <c r="DG13" s="835"/>
      <c r="DH13" s="835"/>
      <c r="DI13" s="836"/>
      <c r="DJ13" s="836"/>
      <c r="DK13" s="837"/>
      <c r="DL13" s="838"/>
      <c r="DM13" s="838"/>
      <c r="DN13" s="838"/>
      <c r="DO13" s="839"/>
      <c r="DP13" s="839"/>
      <c r="DQ13" s="839"/>
      <c r="DR13" s="835"/>
      <c r="DS13" s="835"/>
      <c r="DT13" s="835"/>
      <c r="DU13" s="836"/>
      <c r="DV13" s="836"/>
      <c r="DW13" s="837"/>
      <c r="DX13" s="838"/>
      <c r="DY13" s="838"/>
      <c r="DZ13" s="838"/>
      <c r="EA13" s="839"/>
      <c r="EB13" s="839"/>
      <c r="EC13" s="839"/>
      <c r="ED13" s="835"/>
      <c r="EE13" s="835"/>
      <c r="EF13" s="835"/>
      <c r="EG13" s="836"/>
      <c r="EH13" s="836"/>
      <c r="EI13" s="837"/>
      <c r="EJ13" s="838"/>
      <c r="EK13" s="838"/>
      <c r="EL13" s="838"/>
      <c r="EM13" s="839"/>
      <c r="EN13" s="839"/>
      <c r="EO13" s="839"/>
      <c r="EP13" s="835">
        <f t="shared" si="0"/>
        <v>586127056</v>
      </c>
      <c r="EQ13" s="835">
        <f t="shared" si="1"/>
        <v>96741082</v>
      </c>
      <c r="ER13" s="835">
        <f t="shared" si="2"/>
        <v>223732476.36000001</v>
      </c>
      <c r="ES13" s="836">
        <f t="shared" si="3"/>
        <v>2591463859.3899913</v>
      </c>
      <c r="ET13" s="836">
        <f t="shared" si="4"/>
        <v>427784296.20000005</v>
      </c>
      <c r="EU13" s="837">
        <f t="shared" si="5"/>
        <v>886334856.42999983</v>
      </c>
      <c r="EV13" s="838">
        <f t="shared" si="6"/>
        <v>1545394272.4999998</v>
      </c>
      <c r="EW13" s="838">
        <f t="shared" si="7"/>
        <v>74421389.100000009</v>
      </c>
      <c r="EX13" s="838">
        <f t="shared" si="8"/>
        <v>110211921.36</v>
      </c>
      <c r="EY13" s="839">
        <f t="shared" si="9"/>
        <v>566509737.86000013</v>
      </c>
      <c r="EZ13" s="839">
        <f t="shared" si="10"/>
        <v>32924557.609999999</v>
      </c>
      <c r="FA13" s="839">
        <f t="shared" si="11"/>
        <v>50644446.730000004</v>
      </c>
      <c r="FB13" s="2132">
        <f>((EP13/1000000)-élec!AX217)</f>
        <v>0</v>
      </c>
      <c r="FC13" s="2132">
        <f>((EQ13/1000000)-élec!AY217)</f>
        <v>2.8421709430404007E-14</v>
      </c>
      <c r="FD13" s="2132">
        <f>((ER13/1000000)-élec!BA217)</f>
        <v>0</v>
      </c>
      <c r="FE13" s="2132">
        <f>((ES13/1000000)-élec!AX281)</f>
        <v>0</v>
      </c>
      <c r="FF13" s="2132">
        <f>((ET13/1000000)-élec!AY281)</f>
        <v>0</v>
      </c>
      <c r="FG13" s="2132">
        <f>((EU13/1000000)-élec!BA281)</f>
        <v>-1.1368683772161603E-13</v>
      </c>
      <c r="FH13" s="2133">
        <f>((EV13/1000000)-gaz!AX219)</f>
        <v>-2.2737367544323206E-13</v>
      </c>
      <c r="FI13" s="2133">
        <f>((EW13/1000000)-gaz!AY219)</f>
        <v>1.4210854715202004E-14</v>
      </c>
      <c r="FJ13" s="2133">
        <f>((EX13/1000000)-gaz!BA219)</f>
        <v>0</v>
      </c>
      <c r="FK13" s="2133">
        <f>((EY13/1000000)-gaz!AX373)</f>
        <v>1.1368683772161603E-13</v>
      </c>
      <c r="FL13" s="2133">
        <f>((EZ13/1000000)-gaz!AY373)</f>
        <v>0</v>
      </c>
      <c r="FM13" s="2133">
        <f>((FA13/1000000)-gaz!BA373)</f>
        <v>7.1054273576010019E-15</v>
      </c>
      <c r="FN13" s="77" t="s">
        <v>1173</v>
      </c>
    </row>
    <row r="14" spans="1:172">
      <c r="A14" s="730" t="s">
        <v>891</v>
      </c>
      <c r="B14" s="1118">
        <v>11575321</v>
      </c>
      <c r="C14" s="1118">
        <v>3342771</v>
      </c>
      <c r="D14" s="1119">
        <v>5837694.1400000025</v>
      </c>
      <c r="E14" s="1118">
        <v>47928377.820000313</v>
      </c>
      <c r="F14" s="1118">
        <v>17962890.050000004</v>
      </c>
      <c r="G14" s="1120">
        <v>23096466.090000011</v>
      </c>
      <c r="H14" s="1121">
        <v>180690315.08399975</v>
      </c>
      <c r="I14" s="1121">
        <v>12784857.689999988</v>
      </c>
      <c r="J14" s="1121">
        <v>4802310.6899999995</v>
      </c>
      <c r="K14" s="1121">
        <v>69956512.629999742</v>
      </c>
      <c r="L14" s="1121">
        <v>5708475.0000000009</v>
      </c>
      <c r="M14" s="1121">
        <v>2276364.8499999996</v>
      </c>
      <c r="N14" s="835">
        <v>11990903</v>
      </c>
      <c r="O14" s="835">
        <v>4127504</v>
      </c>
      <c r="P14" s="835">
        <v>5370259.46</v>
      </c>
      <c r="Q14" s="836">
        <v>49975441.789999999</v>
      </c>
      <c r="R14" s="836">
        <v>22165406.099999998</v>
      </c>
      <c r="S14" s="837">
        <v>21741308.709999997</v>
      </c>
      <c r="T14" s="838">
        <v>204608513.89400011</v>
      </c>
      <c r="U14" s="838">
        <v>19473933.100000001</v>
      </c>
      <c r="V14" s="838">
        <v>4339551.04</v>
      </c>
      <c r="W14" s="839">
        <v>81786506.38000001</v>
      </c>
      <c r="X14" s="839">
        <v>8710988.8999999985</v>
      </c>
      <c r="Y14" s="839">
        <v>2079090.44</v>
      </c>
      <c r="Z14" s="835">
        <v>8874745</v>
      </c>
      <c r="AA14" s="835">
        <v>4514808</v>
      </c>
      <c r="AB14" s="835">
        <v>6202649.1899999995</v>
      </c>
      <c r="AC14" s="836">
        <v>36224758.710000001</v>
      </c>
      <c r="AD14" s="836">
        <v>24232083.710000001</v>
      </c>
      <c r="AE14" s="837">
        <v>23072246.84</v>
      </c>
      <c r="AF14" s="838">
        <v>161396054.73999995</v>
      </c>
      <c r="AG14" s="838">
        <v>18032530.366</v>
      </c>
      <c r="AH14" s="838">
        <v>4601651.2200000007</v>
      </c>
      <c r="AI14" s="839">
        <v>64385345.019999996</v>
      </c>
      <c r="AJ14" s="839">
        <v>8117904.3499999996</v>
      </c>
      <c r="AK14" s="839">
        <v>2190823.73</v>
      </c>
      <c r="AL14" s="835">
        <v>13483085</v>
      </c>
      <c r="AM14" s="835">
        <v>3689183</v>
      </c>
      <c r="AN14" s="835">
        <v>5952465.669999999</v>
      </c>
      <c r="AO14" s="836">
        <v>56473489.969999999</v>
      </c>
      <c r="AP14" s="836">
        <v>19792602.330000002</v>
      </c>
      <c r="AQ14" s="837">
        <v>23239603.849999998</v>
      </c>
      <c r="AR14" s="838">
        <v>197171485.31200019</v>
      </c>
      <c r="AS14" s="838">
        <v>12525246.306000002</v>
      </c>
      <c r="AT14" s="838">
        <v>2004624.58</v>
      </c>
      <c r="AU14" s="839">
        <v>77054571.420000017</v>
      </c>
      <c r="AV14" s="839">
        <v>5587785.9399999995</v>
      </c>
      <c r="AW14" s="839">
        <v>1083711.31</v>
      </c>
      <c r="AX14" s="835">
        <v>12301969</v>
      </c>
      <c r="AY14" s="835">
        <v>3321971</v>
      </c>
      <c r="AZ14" s="835">
        <v>6568396.2200000007</v>
      </c>
      <c r="BA14" s="836">
        <v>51619559.600000001</v>
      </c>
      <c r="BB14" s="836">
        <v>17728942.870000001</v>
      </c>
      <c r="BC14" s="837">
        <v>25446173.430000003</v>
      </c>
      <c r="BD14" s="838">
        <v>121727517.96599998</v>
      </c>
      <c r="BE14" s="838">
        <v>12261103.952</v>
      </c>
      <c r="BF14" s="838">
        <v>1161257.3599999999</v>
      </c>
      <c r="BG14" s="839">
        <v>45484445.100000001</v>
      </c>
      <c r="BH14" s="839">
        <v>5405604.9000000004</v>
      </c>
      <c r="BI14" s="839">
        <v>758457.91</v>
      </c>
      <c r="BJ14" s="835">
        <v>8983390</v>
      </c>
      <c r="BK14" s="835">
        <v>3215225</v>
      </c>
      <c r="BL14" s="835">
        <v>5763915.5299999993</v>
      </c>
      <c r="BM14" s="836">
        <v>36762800.950000003</v>
      </c>
      <c r="BN14" s="836">
        <v>17118523.990000002</v>
      </c>
      <c r="BO14" s="837">
        <v>23190018.759999998</v>
      </c>
      <c r="BP14" s="838">
        <v>50077811.292000055</v>
      </c>
      <c r="BQ14" s="838">
        <v>3470098.3619999997</v>
      </c>
      <c r="BR14" s="838">
        <v>574845.74</v>
      </c>
      <c r="BS14" s="839">
        <v>16947062.119999997</v>
      </c>
      <c r="BT14" s="839">
        <v>1485154.97</v>
      </c>
      <c r="BU14" s="1051">
        <v>478004.77999999997</v>
      </c>
      <c r="BV14" s="835">
        <v>18803341</v>
      </c>
      <c r="BW14" s="835">
        <v>3220652</v>
      </c>
      <c r="BX14" s="835">
        <v>5419644.4399999995</v>
      </c>
      <c r="BY14" s="836">
        <v>81051395.780000001</v>
      </c>
      <c r="BZ14" s="836">
        <v>17024476.330000002</v>
      </c>
      <c r="CA14" s="837">
        <v>22968385.999999996</v>
      </c>
      <c r="CB14" s="838">
        <v>48931581.458000019</v>
      </c>
      <c r="CC14" s="838">
        <v>2317525.169999999</v>
      </c>
      <c r="CD14" s="838">
        <v>562082.03999999992</v>
      </c>
      <c r="CE14" s="839">
        <v>16496463.74</v>
      </c>
      <c r="CF14" s="839">
        <v>996941.7</v>
      </c>
      <c r="CG14" s="839">
        <v>472563.62999999995</v>
      </c>
      <c r="CH14" s="835">
        <v>21202586</v>
      </c>
      <c r="CI14" s="835">
        <v>3865479</v>
      </c>
      <c r="CJ14" s="835">
        <v>5173601.5199999996</v>
      </c>
      <c r="CK14" s="836">
        <v>96532057.519999981</v>
      </c>
      <c r="CL14" s="836">
        <v>20515560.220000006</v>
      </c>
      <c r="CM14" s="837">
        <v>23379748.09</v>
      </c>
      <c r="CN14" s="838">
        <v>25679285.671999995</v>
      </c>
      <c r="CO14" s="838">
        <v>911481.598</v>
      </c>
      <c r="CP14" s="838">
        <v>273693.51</v>
      </c>
      <c r="CQ14" s="839">
        <v>8442231.7799999993</v>
      </c>
      <c r="CR14" s="839">
        <v>399570.48</v>
      </c>
      <c r="CS14" s="839">
        <v>349623.58</v>
      </c>
      <c r="CT14" s="835"/>
      <c r="CU14" s="835"/>
      <c r="CV14" s="835"/>
      <c r="CW14" s="836"/>
      <c r="CX14" s="836"/>
      <c r="CY14" s="837"/>
      <c r="CZ14" s="838"/>
      <c r="DA14" s="838"/>
      <c r="DB14" s="838"/>
      <c r="DC14" s="839"/>
      <c r="DD14" s="839"/>
      <c r="DE14" s="839"/>
      <c r="DF14" s="835"/>
      <c r="DG14" s="835"/>
      <c r="DH14" s="835"/>
      <c r="DI14" s="836"/>
      <c r="DJ14" s="836"/>
      <c r="DK14" s="837"/>
      <c r="DL14" s="838"/>
      <c r="DM14" s="838"/>
      <c r="DN14" s="838"/>
      <c r="DO14" s="839"/>
      <c r="DP14" s="839"/>
      <c r="DQ14" s="839"/>
      <c r="DR14" s="835"/>
      <c r="DS14" s="835"/>
      <c r="DT14" s="835"/>
      <c r="DU14" s="836"/>
      <c r="DV14" s="836"/>
      <c r="DW14" s="837"/>
      <c r="DX14" s="838"/>
      <c r="DY14" s="838"/>
      <c r="DZ14" s="838"/>
      <c r="EA14" s="839"/>
      <c r="EB14" s="839"/>
      <c r="EC14" s="839"/>
      <c r="ED14" s="835"/>
      <c r="EE14" s="835"/>
      <c r="EF14" s="835"/>
      <c r="EG14" s="836"/>
      <c r="EH14" s="836"/>
      <c r="EI14" s="837"/>
      <c r="EJ14" s="838"/>
      <c r="EK14" s="838"/>
      <c r="EL14" s="838"/>
      <c r="EM14" s="839"/>
      <c r="EN14" s="839"/>
      <c r="EO14" s="839"/>
      <c r="EP14" s="835">
        <f t="shared" si="0"/>
        <v>107215340</v>
      </c>
      <c r="EQ14" s="835">
        <f t="shared" si="1"/>
        <v>29297593</v>
      </c>
      <c r="ER14" s="835">
        <f t="shared" si="2"/>
        <v>46288626.170000002</v>
      </c>
      <c r="ES14" s="836">
        <f t="shared" si="3"/>
        <v>456567882.14000034</v>
      </c>
      <c r="ET14" s="836">
        <f t="shared" si="4"/>
        <v>156540485.60000002</v>
      </c>
      <c r="EU14" s="837">
        <f t="shared" si="5"/>
        <v>186133951.77000001</v>
      </c>
      <c r="EV14" s="838">
        <f t="shared" si="6"/>
        <v>990282565.4180001</v>
      </c>
      <c r="EW14" s="838">
        <f t="shared" si="7"/>
        <v>81776776.544</v>
      </c>
      <c r="EX14" s="838">
        <f t="shared" si="8"/>
        <v>18320016.18</v>
      </c>
      <c r="EY14" s="839">
        <f t="shared" si="9"/>
        <v>380553138.18999976</v>
      </c>
      <c r="EZ14" s="839">
        <f t="shared" si="10"/>
        <v>36412426.239999995</v>
      </c>
      <c r="FA14" s="839">
        <f t="shared" si="11"/>
        <v>9688640.2300000004</v>
      </c>
      <c r="FB14" s="2132">
        <f>((EP14/1000000)-élec!AX218)</f>
        <v>0</v>
      </c>
      <c r="FC14" s="2132">
        <f>((EQ14/1000000)-élec!AY218)</f>
        <v>-3.5527136788005009E-15</v>
      </c>
      <c r="FD14" s="2132">
        <f>((ER14/1000000)-élec!BA218)</f>
        <v>0</v>
      </c>
      <c r="FE14" s="2132">
        <f>((ES14/1000000)-élec!AX282)</f>
        <v>5.6843418860808015E-14</v>
      </c>
      <c r="FF14" s="2132">
        <f>((ET14/1000000)-élec!AY282)</f>
        <v>0</v>
      </c>
      <c r="FG14" s="2132">
        <f>((EU14/1000000)-élec!BA282)</f>
        <v>2.8421709430404007E-14</v>
      </c>
      <c r="FH14" s="2133">
        <f>((EV14/1000000)-gaz!AX220)</f>
        <v>1.1368683772161603E-13</v>
      </c>
      <c r="FI14" s="2133">
        <f>((EW14/1000000)-gaz!AY220)</f>
        <v>1.4210854715202004E-14</v>
      </c>
      <c r="FJ14" s="2133">
        <f>((EX14/1000000)-gaz!BA220)</f>
        <v>0</v>
      </c>
      <c r="FK14" s="2133">
        <f>((EY14/1000000)-gaz!AX374)</f>
        <v>0</v>
      </c>
      <c r="FL14" s="2133">
        <f>((EZ14/1000000)-gaz!AY374)</f>
        <v>-7.1054273576010019E-15</v>
      </c>
      <c r="FM14" s="2133">
        <f>((FA14/1000000)-gaz!BA374)</f>
        <v>1.7763568394002505E-15</v>
      </c>
      <c r="FN14" s="77" t="s">
        <v>1196</v>
      </c>
    </row>
    <row r="15" spans="1:172">
      <c r="BX15" s="580"/>
    </row>
    <row r="16" spans="1:172">
      <c r="B16" s="580"/>
      <c r="C16" s="580"/>
      <c r="D16" s="1270"/>
      <c r="E16" s="78"/>
      <c r="F16" s="78"/>
      <c r="G16" s="78"/>
      <c r="H16" s="580"/>
      <c r="I16" s="580"/>
      <c r="J16" s="580"/>
      <c r="K16" s="78"/>
      <c r="L16" s="78"/>
      <c r="M16" s="78"/>
      <c r="N16" s="580"/>
      <c r="O16" s="580"/>
      <c r="P16" s="580"/>
      <c r="Q16" s="78"/>
      <c r="R16" s="78"/>
      <c r="S16" s="78"/>
      <c r="T16" s="580"/>
      <c r="U16" s="580"/>
      <c r="V16" s="580"/>
      <c r="W16" s="78"/>
      <c r="X16" s="78"/>
      <c r="Y16" s="78"/>
      <c r="Z16" s="580"/>
      <c r="AA16" s="580"/>
      <c r="AB16" s="580"/>
      <c r="AC16" s="78"/>
      <c r="AD16" s="78"/>
      <c r="AE16" s="78"/>
      <c r="AH16" s="580"/>
      <c r="AI16" s="78"/>
      <c r="AJ16" s="78"/>
      <c r="AK16" s="78"/>
      <c r="AL16" s="580"/>
      <c r="AM16" s="580"/>
      <c r="AN16" s="580"/>
      <c r="AO16" s="78"/>
      <c r="AP16" s="78"/>
      <c r="AQ16" s="78"/>
      <c r="AR16" s="580"/>
      <c r="AS16" s="580"/>
      <c r="AT16" s="580"/>
      <c r="AU16" s="78"/>
      <c r="AV16" s="78"/>
      <c r="AW16" s="78"/>
      <c r="AX16" s="580"/>
      <c r="AZ16" s="580"/>
      <c r="BA16" s="78"/>
      <c r="BB16" s="78"/>
      <c r="BC16" s="78"/>
      <c r="BD16" s="580"/>
      <c r="BE16" s="580"/>
      <c r="BF16" s="580"/>
      <c r="BG16" s="78"/>
      <c r="BH16" s="78"/>
      <c r="BI16" s="78"/>
      <c r="BJ16" s="1845"/>
      <c r="BK16" s="1845"/>
      <c r="BL16" s="1845"/>
      <c r="BM16" s="1845"/>
      <c r="BN16" s="1845"/>
      <c r="BO16" s="1845"/>
      <c r="BP16" s="580"/>
      <c r="BQ16" s="580"/>
      <c r="BR16" s="580"/>
      <c r="BS16" s="78"/>
      <c r="BT16" s="78"/>
      <c r="BU16" s="78"/>
      <c r="CJ16" s="580"/>
      <c r="CZ16" s="580"/>
      <c r="DA16" s="580"/>
      <c r="DB16" s="580"/>
      <c r="DC16" s="78"/>
      <c r="DD16" s="78"/>
      <c r="DE16" s="78"/>
      <c r="DF16" s="580"/>
      <c r="DG16" s="580"/>
      <c r="DH16" s="580"/>
      <c r="DI16" s="580"/>
      <c r="DJ16" s="580"/>
      <c r="DK16" s="580"/>
      <c r="DL16" s="580"/>
      <c r="DM16" s="580"/>
      <c r="DN16" s="580"/>
      <c r="DO16" s="580"/>
      <c r="DP16" s="580"/>
      <c r="DQ16" s="580"/>
      <c r="DR16" s="580"/>
      <c r="DS16" s="580"/>
      <c r="DT16" s="580"/>
      <c r="DU16" s="580"/>
      <c r="DV16" s="580"/>
      <c r="DW16" s="580"/>
      <c r="DX16" s="580"/>
      <c r="DY16" s="580"/>
      <c r="DZ16" s="580"/>
      <c r="EA16" s="580"/>
      <c r="EB16" s="580"/>
      <c r="EC16" s="580"/>
      <c r="ED16" s="580"/>
      <c r="EE16" s="580"/>
      <c r="EF16" s="580"/>
      <c r="EG16" s="78"/>
      <c r="EH16" s="78"/>
      <c r="EI16" s="78"/>
      <c r="EJ16" s="580"/>
      <c r="EK16" s="580"/>
      <c r="EL16" s="580"/>
      <c r="EM16" s="78"/>
      <c r="EN16" s="78"/>
      <c r="EO16" s="78"/>
      <c r="EP16" s="580"/>
      <c r="EQ16" s="580"/>
      <c r="ER16" s="580"/>
      <c r="ES16" s="78"/>
      <c r="ET16" s="78"/>
      <c r="EU16" s="78"/>
      <c r="EV16" s="580"/>
      <c r="EW16" s="580"/>
      <c r="EX16" s="580"/>
      <c r="EY16" s="78"/>
      <c r="EZ16" s="78"/>
      <c r="FA16" s="78"/>
    </row>
    <row r="17" spans="1:162">
      <c r="B17" s="580"/>
      <c r="C17" s="580"/>
      <c r="D17" s="1270"/>
      <c r="E17" s="78"/>
      <c r="F17" s="78"/>
      <c r="G17" s="78"/>
      <c r="H17" s="580"/>
      <c r="I17" s="580"/>
      <c r="J17" s="580"/>
      <c r="K17" s="78"/>
      <c r="L17" s="78"/>
      <c r="M17" s="78"/>
      <c r="N17" s="580"/>
      <c r="O17" s="580"/>
      <c r="P17" s="580"/>
      <c r="Q17" s="78"/>
      <c r="R17" s="78"/>
      <c r="S17" s="78"/>
      <c r="T17" s="580"/>
      <c r="U17" s="78"/>
      <c r="V17" s="580"/>
      <c r="W17" s="78"/>
      <c r="X17" s="580"/>
      <c r="Y17" s="78"/>
      <c r="Z17" s="580"/>
      <c r="AA17" s="580"/>
      <c r="AB17" s="580"/>
      <c r="AC17" s="580"/>
      <c r="AD17" s="78"/>
      <c r="AE17" s="78"/>
      <c r="AH17" s="580"/>
      <c r="AI17" s="78"/>
      <c r="AJ17" s="78"/>
      <c r="AK17" s="78"/>
      <c r="AL17" s="580"/>
      <c r="AM17" s="580"/>
      <c r="AN17" s="580"/>
      <c r="AO17" s="78"/>
      <c r="AP17" s="78"/>
      <c r="AQ17" s="78"/>
      <c r="AR17" s="580"/>
      <c r="AS17" s="580"/>
      <c r="AT17" s="580"/>
      <c r="AU17" s="78"/>
      <c r="AV17" s="78"/>
      <c r="AW17" s="78"/>
      <c r="AX17" s="580"/>
      <c r="AY17" s="580"/>
      <c r="AZ17" s="580"/>
      <c r="BA17" s="78"/>
      <c r="BB17" s="78"/>
      <c r="BC17" s="78"/>
      <c r="BD17" s="580"/>
      <c r="BE17" s="580"/>
      <c r="BF17" s="580"/>
      <c r="BG17" s="78"/>
      <c r="BH17" s="78"/>
      <c r="BI17" s="78"/>
      <c r="BJ17" s="580"/>
      <c r="BK17" s="580"/>
      <c r="BL17" s="580"/>
      <c r="BM17" s="580"/>
      <c r="BN17" s="580"/>
      <c r="BO17" s="580"/>
      <c r="BP17" s="580"/>
      <c r="BQ17" s="580"/>
      <c r="BR17" s="580"/>
      <c r="BS17" s="78"/>
      <c r="BT17" s="78"/>
      <c r="BU17" s="78"/>
      <c r="CZ17" s="580"/>
      <c r="DA17" s="580"/>
      <c r="DB17" s="580"/>
      <c r="DC17" s="78"/>
      <c r="DD17" s="78"/>
      <c r="DE17" s="78"/>
      <c r="DF17" s="580"/>
      <c r="DG17" s="580"/>
      <c r="DH17" s="580"/>
      <c r="DI17" s="580"/>
      <c r="DJ17" s="580"/>
      <c r="DK17" s="580"/>
      <c r="DL17" s="580"/>
      <c r="DM17" s="580"/>
      <c r="DN17" s="580"/>
      <c r="DO17" s="580"/>
      <c r="DP17" s="580"/>
      <c r="DQ17" s="580"/>
      <c r="DR17" s="580"/>
      <c r="DS17" s="580"/>
      <c r="DT17" s="580"/>
      <c r="DU17" s="580"/>
      <c r="DV17" s="580"/>
      <c r="DW17" s="580"/>
      <c r="DX17" s="580"/>
      <c r="DY17" s="580"/>
      <c r="DZ17" s="580"/>
      <c r="EA17" s="580"/>
      <c r="EB17" s="580"/>
      <c r="EC17" s="580"/>
      <c r="ED17" s="580"/>
      <c r="EE17" s="580"/>
      <c r="EF17" s="580"/>
      <c r="EG17" s="78"/>
      <c r="EH17" s="78"/>
      <c r="EI17" s="78"/>
      <c r="EJ17" s="580"/>
      <c r="EK17" s="580"/>
      <c r="EL17" s="580"/>
      <c r="EM17" s="78"/>
      <c r="EN17" s="78"/>
      <c r="EO17" s="78"/>
      <c r="EP17" s="580"/>
      <c r="EQ17" s="78"/>
      <c r="ER17" s="580"/>
      <c r="ES17" s="78"/>
      <c r="ET17" s="78"/>
      <c r="EU17" s="580"/>
      <c r="EV17" s="78"/>
      <c r="EW17" s="580"/>
      <c r="EX17" s="580"/>
      <c r="EY17" s="78"/>
      <c r="EZ17" s="78"/>
      <c r="FA17" s="78"/>
    </row>
    <row r="18" spans="1:162">
      <c r="B18" s="842"/>
      <c r="C18" s="1491"/>
      <c r="D18" s="1491"/>
      <c r="N18" s="580"/>
      <c r="O18" s="580"/>
      <c r="P18" s="580"/>
      <c r="Q18" s="580"/>
      <c r="R18" s="580"/>
      <c r="S18" s="580"/>
      <c r="T18" s="580"/>
      <c r="U18" s="580"/>
      <c r="V18" s="580"/>
      <c r="W18" s="580"/>
      <c r="X18" s="580"/>
      <c r="Y18" s="580"/>
      <c r="Z18" s="580"/>
      <c r="AA18" s="580"/>
      <c r="AB18" s="580"/>
      <c r="AC18" s="78"/>
      <c r="AD18" s="78"/>
      <c r="AE18" s="78"/>
      <c r="AF18" s="580"/>
      <c r="AG18" s="580"/>
      <c r="AH18" s="580"/>
      <c r="AI18" s="78"/>
      <c r="AJ18" s="78"/>
      <c r="AK18" s="78"/>
      <c r="AL18" s="78"/>
      <c r="AM18" s="78"/>
      <c r="AN18" s="78"/>
      <c r="AO18" s="78"/>
      <c r="AP18" s="78"/>
      <c r="AQ18" s="78"/>
      <c r="AR18" s="78"/>
      <c r="AS18" s="78"/>
      <c r="AT18" s="78"/>
      <c r="AU18" s="78"/>
      <c r="AV18" s="78"/>
      <c r="AW18" s="78"/>
      <c r="AX18" s="78"/>
      <c r="AY18" s="78"/>
      <c r="AZ18" s="78"/>
      <c r="BA18" s="78"/>
      <c r="BB18" s="78"/>
      <c r="BC18" s="78"/>
      <c r="BD18" s="78"/>
      <c r="BE18" s="78"/>
      <c r="BF18" s="78"/>
      <c r="BG18" s="78"/>
      <c r="BH18" s="78"/>
      <c r="BI18" s="78"/>
      <c r="BJ18" s="580"/>
      <c r="BK18" s="580"/>
      <c r="BL18" s="580"/>
      <c r="BM18" s="580"/>
      <c r="BN18" s="580"/>
      <c r="BO18" s="580"/>
      <c r="BP18" s="580"/>
      <c r="BQ18" s="580"/>
      <c r="BR18" s="580"/>
      <c r="BS18" s="580"/>
      <c r="BT18" s="580"/>
      <c r="BU18" s="580"/>
      <c r="DA18" s="580"/>
      <c r="DB18" s="580"/>
      <c r="DC18" s="580"/>
      <c r="DD18" s="580"/>
      <c r="DE18" s="580"/>
      <c r="DF18" s="580"/>
      <c r="DG18" s="580"/>
      <c r="DH18" s="580"/>
      <c r="DI18" s="580"/>
      <c r="DJ18" s="580"/>
      <c r="DK18" s="580"/>
      <c r="DL18" s="580"/>
      <c r="DM18" s="580"/>
      <c r="DN18" s="580"/>
      <c r="DO18" s="580"/>
      <c r="DP18" s="580"/>
      <c r="DQ18" s="580"/>
      <c r="DR18" s="580"/>
      <c r="DS18" s="580"/>
      <c r="DT18" s="580"/>
      <c r="DU18" s="580"/>
      <c r="DV18" s="580"/>
      <c r="DW18" s="580"/>
      <c r="DX18" s="580"/>
      <c r="DY18" s="580"/>
      <c r="DZ18" s="580"/>
      <c r="EA18" s="580"/>
      <c r="EB18" s="580"/>
      <c r="EC18" s="580"/>
      <c r="ED18" s="580"/>
      <c r="EE18" s="580"/>
      <c r="EF18" s="580"/>
      <c r="EG18" s="580"/>
      <c r="EH18" s="580"/>
      <c r="EI18" s="580"/>
      <c r="EJ18" s="580"/>
      <c r="EK18" s="580"/>
      <c r="EL18" s="580"/>
      <c r="EM18" s="580"/>
      <c r="EN18" s="580"/>
      <c r="EO18" s="580"/>
      <c r="EP18" s="580"/>
      <c r="EQ18" s="78"/>
      <c r="ER18" s="580"/>
      <c r="ES18" s="78"/>
      <c r="ET18" s="580"/>
      <c r="EU18" s="580"/>
      <c r="EV18" s="78"/>
      <c r="EW18" s="580"/>
      <c r="EX18" s="580"/>
      <c r="EY18" s="580"/>
      <c r="EZ18" s="580"/>
      <c r="FA18" s="580"/>
    </row>
    <row r="19" spans="1:162">
      <c r="T19" s="580"/>
      <c r="U19" s="78"/>
      <c r="V19" s="580"/>
      <c r="W19" s="78"/>
      <c r="X19" s="580"/>
      <c r="Y19" s="78"/>
      <c r="AL19" s="580"/>
      <c r="AM19" s="580"/>
      <c r="AN19" s="580"/>
      <c r="AO19" s="78"/>
      <c r="AP19" s="78"/>
      <c r="AQ19" s="78"/>
      <c r="AR19" s="580"/>
      <c r="AS19" s="580"/>
      <c r="AT19" s="580"/>
      <c r="AU19" s="78"/>
      <c r="AV19" s="78"/>
      <c r="AW19" s="78"/>
      <c r="AX19" s="728"/>
      <c r="AY19" s="728"/>
      <c r="AZ19" s="728"/>
      <c r="BA19" s="728"/>
      <c r="BB19" s="728"/>
      <c r="BC19" s="728"/>
      <c r="BD19" s="728"/>
      <c r="BE19" s="728"/>
      <c r="BF19" s="728"/>
      <c r="BG19" s="728"/>
      <c r="BH19" s="728"/>
      <c r="BI19" s="728"/>
      <c r="BJ19" s="728"/>
      <c r="BK19" s="728"/>
      <c r="BL19" s="728"/>
      <c r="BN19" s="728"/>
      <c r="BO19" s="728"/>
      <c r="BP19" s="728"/>
      <c r="BQ19" s="2063"/>
      <c r="BR19" s="728"/>
      <c r="BS19" s="728"/>
      <c r="BT19" s="728"/>
      <c r="BU19" s="728"/>
      <c r="BV19" s="2303"/>
      <c r="BW19" s="2303"/>
      <c r="BX19" s="2303"/>
      <c r="BY19" s="2303"/>
      <c r="BZ19" s="2303"/>
      <c r="CA19" s="2303"/>
      <c r="EP19" s="580"/>
      <c r="EQ19" s="78"/>
      <c r="ER19" s="580"/>
      <c r="ES19" s="78"/>
      <c r="EU19" s="580"/>
      <c r="EV19" s="78"/>
      <c r="FE19" s="730"/>
    </row>
    <row r="20" spans="1:162">
      <c r="Z20" s="580"/>
      <c r="AA20" s="580"/>
      <c r="AB20" s="580"/>
      <c r="AC20" s="78"/>
      <c r="AD20" s="78"/>
      <c r="AE20" s="78"/>
      <c r="AF20" s="580"/>
      <c r="AG20" s="580"/>
      <c r="AH20" s="580"/>
      <c r="AI20" s="78"/>
      <c r="AJ20" s="78"/>
      <c r="AK20" s="78"/>
      <c r="AL20" s="580"/>
      <c r="AM20" s="580"/>
      <c r="AN20" s="580"/>
      <c r="AO20" s="78"/>
      <c r="AP20" s="78"/>
      <c r="AQ20" s="78"/>
      <c r="AR20" s="580"/>
      <c r="AS20" s="580"/>
      <c r="AT20" s="580"/>
      <c r="AU20" s="78"/>
      <c r="AV20" s="78"/>
      <c r="AW20" s="78"/>
      <c r="AX20" s="580"/>
      <c r="AY20" s="580"/>
      <c r="AZ20" s="580"/>
      <c r="BA20" s="580"/>
      <c r="BB20" s="580"/>
      <c r="BC20" s="580"/>
      <c r="BD20" s="580"/>
      <c r="BE20" s="580"/>
      <c r="BF20" s="580"/>
      <c r="BG20" s="580"/>
      <c r="BH20" s="580"/>
      <c r="BI20" s="580"/>
      <c r="BJ20" s="580"/>
      <c r="BK20" s="580"/>
      <c r="BL20" s="580"/>
      <c r="BM20" s="580"/>
      <c r="BN20" s="580"/>
      <c r="BO20" s="580"/>
      <c r="EQ20" s="78"/>
      <c r="ER20" s="580"/>
      <c r="ES20" s="78"/>
      <c r="EU20" s="580"/>
      <c r="EV20" s="78"/>
      <c r="FE20" s="730"/>
    </row>
    <row r="21" spans="1:162" ht="31.2">
      <c r="A21" s="2198" t="s">
        <v>495</v>
      </c>
      <c r="X21" s="580"/>
      <c r="Y21" s="580"/>
      <c r="Z21" s="580"/>
      <c r="AA21" s="580"/>
      <c r="AB21" s="580"/>
      <c r="AC21" s="580"/>
      <c r="AD21" s="580"/>
      <c r="AE21" s="580"/>
      <c r="AF21" s="580"/>
      <c r="AG21" s="580"/>
      <c r="AH21" s="580"/>
      <c r="AI21" s="580"/>
      <c r="AJ21" s="580"/>
      <c r="AK21" s="580"/>
      <c r="AL21" s="580"/>
      <c r="AM21" s="580"/>
      <c r="AN21" s="580"/>
      <c r="AO21" s="580"/>
      <c r="AP21" s="580"/>
      <c r="AQ21" s="580"/>
      <c r="AR21" s="580"/>
      <c r="AS21" s="580"/>
      <c r="AT21" s="580"/>
      <c r="AU21" s="580"/>
      <c r="AV21" s="580"/>
      <c r="AW21" s="580"/>
      <c r="AX21" s="580"/>
      <c r="AY21" s="580"/>
      <c r="AZ21" s="580"/>
      <c r="BA21" s="580"/>
      <c r="BB21" s="580"/>
      <c r="BC21" s="580"/>
      <c r="BD21" s="580"/>
      <c r="BE21" s="580"/>
      <c r="BF21" s="580"/>
      <c r="BG21" s="580"/>
      <c r="BH21" s="580"/>
      <c r="BI21" s="580"/>
      <c r="BJ21" s="580"/>
      <c r="BK21" s="580"/>
      <c r="BL21" s="580"/>
      <c r="BM21" s="580"/>
      <c r="BN21" s="580"/>
      <c r="BO21" s="580"/>
      <c r="BP21" s="580"/>
      <c r="BQ21" s="580"/>
      <c r="BR21" s="580"/>
      <c r="BS21" s="580"/>
      <c r="BT21" s="580"/>
      <c r="BU21" s="580"/>
      <c r="BV21" s="580"/>
      <c r="BW21" s="580"/>
      <c r="BX21" s="580"/>
      <c r="BY21" s="580"/>
      <c r="BZ21" s="580"/>
      <c r="CA21" s="580"/>
      <c r="CB21" s="580"/>
      <c r="CC21" s="580"/>
      <c r="CD21" s="580"/>
      <c r="CE21" s="580"/>
      <c r="CF21" s="580"/>
      <c r="CG21" s="580"/>
      <c r="CH21" s="580"/>
      <c r="CI21" s="580"/>
      <c r="CJ21" s="580"/>
      <c r="CK21" s="580"/>
      <c r="CL21" s="580"/>
      <c r="CM21" s="580"/>
      <c r="CN21" s="580"/>
      <c r="CO21" s="580"/>
      <c r="CP21" s="580"/>
      <c r="CQ21" s="580"/>
      <c r="CR21" s="580"/>
      <c r="CS21" s="580"/>
      <c r="CZ21" s="580"/>
      <c r="DA21" s="580"/>
      <c r="DB21" s="580"/>
      <c r="DC21" s="580"/>
      <c r="EA21" s="78"/>
      <c r="EB21" s="78"/>
      <c r="EC21" s="78"/>
      <c r="ED21" s="580"/>
      <c r="EE21" s="580"/>
      <c r="EF21" s="580"/>
      <c r="EG21" s="580"/>
      <c r="EH21" s="580"/>
      <c r="EI21" s="580"/>
      <c r="EJ21" s="580"/>
      <c r="EK21" s="580"/>
      <c r="EL21" s="580"/>
      <c r="EM21" s="580"/>
      <c r="EN21" s="580"/>
      <c r="EO21" s="580"/>
      <c r="EP21" s="580"/>
      <c r="EQ21" s="78"/>
      <c r="ER21" s="580"/>
      <c r="ES21" s="78"/>
      <c r="EU21" s="580"/>
      <c r="EV21" s="78"/>
      <c r="FE21" s="730"/>
    </row>
    <row r="22" spans="1:162">
      <c r="X22" s="580"/>
      <c r="Y22" s="580"/>
      <c r="Z22" s="580"/>
      <c r="AA22" s="580"/>
      <c r="AB22" s="580"/>
      <c r="AC22" s="580"/>
      <c r="AD22" s="580"/>
      <c r="AE22" s="580"/>
      <c r="AF22" s="580"/>
      <c r="AG22" s="580"/>
      <c r="AH22" s="580"/>
      <c r="AI22" s="580"/>
      <c r="AJ22" s="580"/>
      <c r="AK22" s="580"/>
      <c r="AL22" s="580"/>
      <c r="AM22" s="580"/>
      <c r="AN22" s="580"/>
      <c r="AO22" s="580"/>
      <c r="AP22" s="580"/>
      <c r="AQ22" s="580"/>
      <c r="AR22" s="580"/>
      <c r="AS22" s="580"/>
      <c r="AT22" s="580"/>
      <c r="AU22" s="580"/>
      <c r="AV22" s="580"/>
      <c r="AW22" s="580"/>
      <c r="AX22" s="1196"/>
      <c r="AY22" s="1196"/>
      <c r="AZ22" s="1196"/>
      <c r="BA22" s="1196"/>
      <c r="BB22" s="1196"/>
      <c r="BC22" s="1196"/>
      <c r="BD22" s="1196"/>
      <c r="BE22" s="1196"/>
      <c r="BF22" s="1196"/>
      <c r="BG22" s="1196"/>
      <c r="BH22" s="1196"/>
      <c r="BI22" s="1196"/>
      <c r="BJ22" s="580"/>
      <c r="BK22" s="580"/>
      <c r="BL22" s="580"/>
      <c r="BM22" s="580"/>
      <c r="BN22" s="580"/>
      <c r="BO22" s="580"/>
      <c r="BP22" s="580"/>
      <c r="BQ22" s="580"/>
      <c r="BR22" s="580"/>
      <c r="BS22" s="580"/>
      <c r="BT22" s="580"/>
      <c r="BU22" s="580"/>
      <c r="BV22" s="580"/>
      <c r="BW22" s="580"/>
      <c r="BX22" s="580"/>
      <c r="BY22" s="580"/>
      <c r="BZ22" s="580"/>
      <c r="CA22" s="580"/>
      <c r="CB22" s="580"/>
      <c r="CC22" s="580"/>
      <c r="CD22" s="580"/>
      <c r="CE22" s="580"/>
      <c r="CF22" s="580"/>
      <c r="CG22" s="580"/>
      <c r="CH22" s="580"/>
      <c r="CI22" s="580"/>
      <c r="CJ22" s="580"/>
      <c r="CK22" s="580"/>
      <c r="CL22" s="580"/>
      <c r="CM22" s="580"/>
      <c r="CN22" s="580"/>
      <c r="CO22" s="580"/>
      <c r="CP22" s="580"/>
      <c r="CQ22" s="580"/>
      <c r="CR22" s="580"/>
      <c r="CS22" s="580"/>
      <c r="CT22" s="580"/>
      <c r="CU22" s="580"/>
      <c r="CV22" s="580"/>
      <c r="CW22" s="580"/>
      <c r="CX22" s="580"/>
      <c r="CY22" s="580"/>
      <c r="CZ22" s="580"/>
      <c r="DA22" s="580"/>
      <c r="DB22" s="580"/>
      <c r="DC22" s="580"/>
      <c r="EA22" s="78"/>
      <c r="EB22" s="78"/>
      <c r="EC22" s="78"/>
      <c r="ED22" s="580"/>
      <c r="EE22" s="580"/>
      <c r="EF22" s="580"/>
      <c r="EG22" s="580"/>
      <c r="EH22" s="580"/>
      <c r="EI22" s="580"/>
      <c r="EJ22" s="580"/>
      <c r="EK22" s="580"/>
      <c r="EL22" s="580"/>
      <c r="EM22" s="580"/>
      <c r="EN22" s="580"/>
      <c r="EO22" s="580"/>
      <c r="EP22" s="580"/>
      <c r="EQ22" s="78"/>
      <c r="ER22" s="580"/>
      <c r="ES22" s="78"/>
      <c r="EU22" s="580"/>
      <c r="EV22" s="78"/>
    </row>
    <row r="23" spans="1:162" ht="23.4">
      <c r="A23" s="2199" t="s">
        <v>6</v>
      </c>
      <c r="B23" s="843"/>
      <c r="C23" s="3357" t="s">
        <v>479</v>
      </c>
      <c r="D23" s="3359" t="s">
        <v>358</v>
      </c>
      <c r="E23" s="3357" t="s">
        <v>488</v>
      </c>
      <c r="F23" s="3357" t="s">
        <v>480</v>
      </c>
      <c r="L23" s="3371" t="s">
        <v>1197</v>
      </c>
      <c r="M23" s="3372"/>
      <c r="N23" s="3372"/>
      <c r="O23" s="3372"/>
      <c r="P23" s="3372"/>
      <c r="Q23" s="1853"/>
      <c r="R23" s="1853"/>
      <c r="S23" s="1853"/>
      <c r="X23" s="580"/>
      <c r="Y23" s="580"/>
      <c r="Z23" s="580"/>
      <c r="AA23" s="580"/>
      <c r="AB23" s="580"/>
      <c r="AC23" s="580"/>
      <c r="AD23" s="580"/>
      <c r="AE23" s="580"/>
      <c r="AF23" s="580"/>
      <c r="AG23" s="580"/>
      <c r="AH23" s="580"/>
      <c r="AI23" s="580"/>
      <c r="AJ23" s="580"/>
      <c r="AK23" s="580"/>
      <c r="AL23" s="580"/>
      <c r="AM23" s="580"/>
      <c r="AN23" s="580"/>
      <c r="AO23" s="580"/>
      <c r="AP23" s="580"/>
      <c r="AQ23" s="580"/>
      <c r="AR23" s="580"/>
      <c r="AS23" s="580"/>
      <c r="AT23" s="580"/>
      <c r="AU23" s="580"/>
      <c r="AV23" s="580"/>
      <c r="AW23" s="580"/>
      <c r="AX23" s="580"/>
      <c r="AY23" s="580"/>
      <c r="AZ23" s="580"/>
      <c r="BA23" s="580"/>
      <c r="BB23" s="580"/>
      <c r="BC23" s="580"/>
      <c r="BD23" s="580"/>
      <c r="BE23" s="580"/>
      <c r="BF23" s="580"/>
      <c r="BG23" s="580"/>
      <c r="BH23" s="580"/>
      <c r="BI23" s="580"/>
      <c r="BJ23" s="580"/>
      <c r="BK23" s="580"/>
      <c r="BL23" s="580"/>
      <c r="BM23" s="580"/>
      <c r="BN23" s="580"/>
      <c r="BO23" s="580"/>
      <c r="BP23" s="580"/>
      <c r="BQ23" s="580"/>
      <c r="BR23" s="580"/>
      <c r="BS23" s="580"/>
      <c r="BT23" s="580"/>
      <c r="BU23" s="580"/>
      <c r="BV23" s="580"/>
      <c r="BW23" s="580"/>
      <c r="BX23" s="580"/>
      <c r="BY23" s="580"/>
      <c r="BZ23" s="580"/>
      <c r="CA23" s="580"/>
      <c r="CB23" s="580"/>
      <c r="CC23" s="580"/>
      <c r="CD23" s="580"/>
      <c r="CE23" s="580"/>
      <c r="CF23" s="580"/>
      <c r="CG23" s="580"/>
      <c r="CH23" s="580"/>
      <c r="CI23" s="580"/>
      <c r="CJ23" s="580"/>
      <c r="CK23" s="580"/>
      <c r="CL23" s="580"/>
      <c r="CM23" s="580"/>
      <c r="CN23" s="580"/>
      <c r="CO23" s="580"/>
      <c r="CP23" s="580"/>
      <c r="CQ23" s="580"/>
      <c r="CR23" s="580"/>
      <c r="CS23" s="580"/>
      <c r="CT23" s="580"/>
      <c r="CU23" s="580"/>
      <c r="CV23" s="580"/>
      <c r="CW23" s="580"/>
      <c r="CX23" s="580"/>
      <c r="CY23" s="580"/>
      <c r="CZ23" s="580"/>
      <c r="DA23" s="580"/>
      <c r="DB23" s="580"/>
      <c r="DC23" s="580"/>
      <c r="EA23" s="580"/>
      <c r="EB23" s="580"/>
      <c r="EC23" s="580"/>
      <c r="ED23" s="580"/>
      <c r="EE23" s="580"/>
      <c r="EF23" s="580"/>
      <c r="EG23" s="580"/>
      <c r="EH23" s="580"/>
      <c r="EI23" s="580"/>
      <c r="EJ23" s="580"/>
      <c r="EK23" s="580"/>
      <c r="EL23" s="580"/>
      <c r="EM23" s="580"/>
      <c r="EN23" s="580"/>
      <c r="EO23" s="580"/>
      <c r="EP23" s="580"/>
      <c r="EQ23" s="78"/>
      <c r="ER23" s="580"/>
      <c r="ES23" s="78"/>
      <c r="EU23" s="580"/>
      <c r="EV23" s="78"/>
      <c r="EX23" s="78"/>
      <c r="EY23" s="78"/>
    </row>
    <row r="24" spans="1:162" ht="15.6">
      <c r="A24" s="2200"/>
      <c r="B24" s="843"/>
      <c r="C24" s="3358"/>
      <c r="D24" s="3359"/>
      <c r="E24" s="3358"/>
      <c r="F24" s="3358"/>
      <c r="L24" s="2075" t="s">
        <v>277</v>
      </c>
      <c r="M24" s="2709">
        <f t="shared" ref="M24:P33" si="12">C25+C49+C72+C96+C119+C144+C167+C190+C213+C238</f>
        <v>14667308.072685001</v>
      </c>
      <c r="N24" s="2717">
        <f>M24/1000</f>
        <v>14667.308072685002</v>
      </c>
      <c r="O24" s="2709">
        <f t="shared" si="12"/>
        <v>31899561.632029999</v>
      </c>
      <c r="P24" s="2709">
        <f t="shared" si="12"/>
        <v>26829465.244009998</v>
      </c>
      <c r="BV24" s="1751"/>
      <c r="BW24" s="1751"/>
      <c r="BX24" s="1751"/>
      <c r="BY24" s="1751"/>
      <c r="BZ24" s="1751"/>
      <c r="CA24" s="1751"/>
      <c r="CC24" s="2304"/>
      <c r="CD24" s="1933"/>
      <c r="CE24" s="1934"/>
      <c r="CH24" s="1593"/>
      <c r="EU24" s="78"/>
      <c r="EV24" s="580"/>
      <c r="EW24" s="78"/>
      <c r="EY24" s="580"/>
      <c r="EZ24" s="78"/>
    </row>
    <row r="25" spans="1:162" ht="15.6">
      <c r="B25" s="2075" t="s">
        <v>277</v>
      </c>
      <c r="C25" s="2075">
        <v>1672580.2192600002</v>
      </c>
      <c r="D25" s="2076">
        <v>371.66098330186065</v>
      </c>
      <c r="E25" s="2075">
        <v>819051.80683999998</v>
      </c>
      <c r="F25" s="2075">
        <v>1081080.3268000002</v>
      </c>
      <c r="H25" s="2269"/>
      <c r="K25" s="2269"/>
      <c r="L25" s="2077" t="s">
        <v>484</v>
      </c>
      <c r="M25" s="2710">
        <f>C26+C50+C73+C97+C120+C145+C168+C191+C214+C239</f>
        <v>14124189.625841999</v>
      </c>
      <c r="N25" s="2717">
        <f t="shared" ref="N25:N45" si="13">M25/1000</f>
        <v>14124.189625842</v>
      </c>
      <c r="O25" s="2710">
        <f>E26+E50+E73+E97+E120+E145+E168+E191+E214+E239</f>
        <v>31899561.632029999</v>
      </c>
      <c r="P25" s="2710">
        <f>F26+F50+F73+F97+F120+F145+F168+F191+F214+F239</f>
        <v>26716071.052700002</v>
      </c>
      <c r="BP25" s="580"/>
      <c r="BQ25" s="78"/>
      <c r="BY25" s="2308"/>
      <c r="BZ25" s="2308"/>
      <c r="CA25" s="731"/>
      <c r="CC25" s="2304"/>
      <c r="CD25" s="1933"/>
      <c r="CE25" s="1934"/>
      <c r="CZ25" s="580"/>
      <c r="DA25" s="580"/>
      <c r="EL25" s="1751"/>
      <c r="EM25" s="1751"/>
      <c r="EN25" s="1751"/>
      <c r="EP25" s="731"/>
      <c r="EQ25" s="731"/>
      <c r="ER25" s="731"/>
      <c r="EX25" s="78"/>
      <c r="EY25" s="580"/>
      <c r="EZ25" s="78"/>
      <c r="FB25" s="580"/>
      <c r="FC25" s="78"/>
    </row>
    <row r="26" spans="1:162" ht="15.6">
      <c r="B26" s="2077" t="s">
        <v>484</v>
      </c>
      <c r="C26" s="2078">
        <v>1672580.2192600002</v>
      </c>
      <c r="D26" s="2076">
        <v>371.66098330186065</v>
      </c>
      <c r="E26" s="2078">
        <v>819051.80683999998</v>
      </c>
      <c r="F26" s="2079">
        <v>972134.33680000016</v>
      </c>
      <c r="G26" s="1495">
        <f>(C26+C27)-E282</f>
        <v>-35537.890719999792</v>
      </c>
      <c r="H26" s="2264"/>
      <c r="K26" s="2270"/>
      <c r="L26" s="2077" t="s">
        <v>993</v>
      </c>
      <c r="M26" s="2710">
        <f t="shared" si="12"/>
        <v>543118.44684300001</v>
      </c>
      <c r="N26" s="2717">
        <f t="shared" si="13"/>
        <v>543.11844684300002</v>
      </c>
      <c r="O26" s="2710">
        <f t="shared" si="12"/>
        <v>0</v>
      </c>
      <c r="P26" s="2710">
        <f t="shared" si="12"/>
        <v>113394.19130999997</v>
      </c>
      <c r="BP26" s="580"/>
      <c r="BQ26" s="580"/>
      <c r="BY26" s="2308"/>
      <c r="BZ26" s="2308"/>
      <c r="CA26" s="731"/>
      <c r="CC26" s="2304"/>
      <c r="CD26" s="1933"/>
      <c r="CE26" s="1934"/>
      <c r="EA26" s="580"/>
      <c r="EO26" s="1751"/>
      <c r="EP26" s="1751"/>
      <c r="EQ26" s="1751"/>
      <c r="ES26" s="731"/>
      <c r="ET26" s="731"/>
      <c r="EU26" s="731"/>
      <c r="FA26" s="78"/>
      <c r="FB26" s="580"/>
      <c r="FC26" s="78"/>
      <c r="FE26" s="580"/>
      <c r="FF26" s="78"/>
    </row>
    <row r="27" spans="1:162" ht="15.6">
      <c r="B27" s="2077" t="s">
        <v>993</v>
      </c>
      <c r="C27" s="2078">
        <v>0</v>
      </c>
      <c r="D27" s="2076" t="e">
        <v>#DIV/0!</v>
      </c>
      <c r="E27" s="2078">
        <v>0</v>
      </c>
      <c r="F27" s="2079">
        <v>108945.99</v>
      </c>
      <c r="H27" s="2264"/>
      <c r="K27" s="2270"/>
      <c r="L27" s="2075" t="s">
        <v>487</v>
      </c>
      <c r="M27" s="2709">
        <f t="shared" si="12"/>
        <v>3192618.9687365317</v>
      </c>
      <c r="N27" s="2717">
        <f t="shared" si="13"/>
        <v>3192.6189687365318</v>
      </c>
      <c r="O27" s="2709">
        <f t="shared" si="12"/>
        <v>5245313.542609998</v>
      </c>
      <c r="P27" s="2709">
        <f t="shared" si="12"/>
        <v>4269308.3210700024</v>
      </c>
      <c r="BY27" s="2308"/>
      <c r="BZ27" s="2308"/>
      <c r="CA27" s="731"/>
      <c r="CC27" s="2304"/>
      <c r="CD27" s="1933"/>
      <c r="CE27" s="1934"/>
      <c r="EA27" s="580"/>
      <c r="EB27" s="1751"/>
      <c r="EC27" s="1751"/>
      <c r="ED27" s="1751"/>
      <c r="EE27" s="1751"/>
      <c r="EF27" s="1751"/>
      <c r="EG27" s="1751"/>
      <c r="EH27" s="1751"/>
      <c r="EI27" s="1751"/>
      <c r="EJ27" s="1751"/>
      <c r="EK27" s="1751"/>
      <c r="EL27" s="1751"/>
      <c r="EM27" s="1751"/>
      <c r="EO27" s="1751"/>
      <c r="EP27" s="1751"/>
      <c r="EQ27" s="1751"/>
      <c r="ES27" s="731"/>
      <c r="ET27" s="731"/>
      <c r="EU27" s="731"/>
      <c r="FA27" s="78"/>
      <c r="FB27" s="580"/>
      <c r="FC27" s="78"/>
    </row>
    <row r="28" spans="1:162" ht="15.6">
      <c r="B28" s="2075" t="s">
        <v>487</v>
      </c>
      <c r="C28" s="2075">
        <v>488816.34568999987</v>
      </c>
      <c r="D28" s="2076">
        <v>174.83351849191467</v>
      </c>
      <c r="E28" s="2075">
        <v>508853.08311000001</v>
      </c>
      <c r="F28" s="2075">
        <v>346722.15357999998</v>
      </c>
      <c r="H28" s="2269"/>
      <c r="K28" s="2269"/>
      <c r="L28" s="2080" t="s">
        <v>18</v>
      </c>
      <c r="M28" s="2710">
        <f t="shared" si="12"/>
        <v>3123005.8855600022</v>
      </c>
      <c r="N28" s="2717">
        <f t="shared" si="13"/>
        <v>3123.0058855600023</v>
      </c>
      <c r="O28" s="2710">
        <f t="shared" si="12"/>
        <v>4687218.8002999993</v>
      </c>
      <c r="P28" s="2710">
        <f t="shared" si="12"/>
        <v>3749172.8251000028</v>
      </c>
      <c r="BX28" s="2305"/>
      <c r="BY28" s="2306"/>
      <c r="BZ28" s="2306"/>
      <c r="CA28" s="2307"/>
      <c r="CB28" s="2305"/>
      <c r="CC28" s="1933"/>
      <c r="CD28" s="1933"/>
      <c r="CE28" s="1934"/>
      <c r="EA28" s="580"/>
      <c r="EO28" s="1751"/>
      <c r="EP28" s="1751"/>
      <c r="EQ28" s="1751"/>
      <c r="ES28" s="731"/>
      <c r="ET28" s="731"/>
      <c r="EU28" s="731"/>
      <c r="FA28" s="78"/>
      <c r="FB28" s="580"/>
      <c r="FC28" s="78"/>
    </row>
    <row r="29" spans="1:162" ht="18" customHeight="1">
      <c r="B29" s="2080" t="s">
        <v>18</v>
      </c>
      <c r="C29" s="2078">
        <v>487830.31238999986</v>
      </c>
      <c r="D29" s="2076">
        <v>187.29053943482239</v>
      </c>
      <c r="E29" s="2078">
        <v>474050.19561</v>
      </c>
      <c r="F29" s="2079">
        <v>312707.87771999999</v>
      </c>
      <c r="G29" s="2197"/>
      <c r="H29" s="2266"/>
      <c r="K29" s="2270"/>
      <c r="L29" s="2080" t="s">
        <v>185</v>
      </c>
      <c r="M29" s="2710">
        <f t="shared" si="12"/>
        <v>69613.083176529879</v>
      </c>
      <c r="N29" s="2717">
        <f t="shared" si="13"/>
        <v>69.613083176529884</v>
      </c>
      <c r="O29" s="2710">
        <f t="shared" si="12"/>
        <v>558094.74230999989</v>
      </c>
      <c r="P29" s="2710">
        <f t="shared" si="12"/>
        <v>520135.49597000005</v>
      </c>
      <c r="BP29" s="580"/>
      <c r="BQ29" s="78"/>
      <c r="BX29" s="1932"/>
      <c r="BY29" s="1933"/>
      <c r="BZ29" s="1933"/>
      <c r="CA29" s="1934"/>
      <c r="CB29" s="1932"/>
      <c r="CC29" s="1933"/>
      <c r="CD29" s="1933"/>
      <c r="CE29" s="1934"/>
      <c r="EA29" s="580"/>
      <c r="EO29" s="1751"/>
      <c r="EP29" s="1751"/>
      <c r="EQ29" s="1751"/>
      <c r="ES29" s="731"/>
      <c r="ET29" s="731"/>
      <c r="EU29" s="731"/>
    </row>
    <row r="30" spans="1:162" ht="15.6">
      <c r="B30" s="2080" t="s">
        <v>185</v>
      </c>
      <c r="C30" s="2078">
        <v>986.03330000000278</v>
      </c>
      <c r="D30" s="2076">
        <v>5.1564129729178507</v>
      </c>
      <c r="E30" s="2078">
        <v>34802.887499999997</v>
      </c>
      <c r="F30" s="2079">
        <v>34014.275860000002</v>
      </c>
      <c r="H30" s="2265"/>
      <c r="K30" s="2270"/>
      <c r="L30" s="2075" t="s">
        <v>278</v>
      </c>
      <c r="M30" s="2709">
        <f t="shared" si="12"/>
        <v>9900803.7034299914</v>
      </c>
      <c r="N30" s="2717">
        <f t="shared" si="13"/>
        <v>9900.8037034299905</v>
      </c>
      <c r="O30" s="2709">
        <f t="shared" si="12"/>
        <v>13913493.790959997</v>
      </c>
      <c r="P30" s="2709">
        <f t="shared" si="12"/>
        <v>10683833.609820003</v>
      </c>
      <c r="BP30" s="580"/>
      <c r="BQ30" s="580"/>
      <c r="BX30" s="1932"/>
      <c r="BY30" s="1933"/>
      <c r="BZ30" s="1933"/>
      <c r="CA30" s="1934"/>
      <c r="CB30" s="1932"/>
      <c r="CC30" s="1933"/>
      <c r="CD30" s="1933"/>
      <c r="CE30" s="1934"/>
      <c r="EA30" s="580"/>
      <c r="EO30" s="1751"/>
      <c r="EP30" s="1751"/>
      <c r="EQ30" s="1751"/>
      <c r="ES30" s="731"/>
      <c r="ET30" s="731"/>
      <c r="EU30" s="731"/>
    </row>
    <row r="31" spans="1:162" ht="15.6">
      <c r="B31" s="2075" t="s">
        <v>278</v>
      </c>
      <c r="C31" s="2075">
        <v>1617360.3708499994</v>
      </c>
      <c r="D31" s="2076">
        <v>112.00006965868475</v>
      </c>
      <c r="E31" s="2075">
        <v>2628208.9680099995</v>
      </c>
      <c r="F31" s="2075">
        <v>2411501.1787</v>
      </c>
      <c r="H31" s="2266"/>
      <c r="K31" s="2270"/>
      <c r="L31" s="2081" t="s">
        <v>486</v>
      </c>
      <c r="M31" s="2711">
        <f t="shared" si="12"/>
        <v>4025157.8676899918</v>
      </c>
      <c r="N31" s="2717">
        <f t="shared" si="13"/>
        <v>4025.1578676899917</v>
      </c>
      <c r="O31" s="2711">
        <f t="shared" si="12"/>
        <v>3439316.0503999987</v>
      </c>
      <c r="P31" s="2711">
        <f t="shared" si="12"/>
        <v>2630640.8295000014</v>
      </c>
      <c r="BX31" s="1932"/>
      <c r="BY31" s="1933"/>
      <c r="BZ31" s="1933"/>
      <c r="CA31" s="1935"/>
      <c r="CB31" s="1932"/>
      <c r="CC31" s="1933"/>
      <c r="CD31" s="1933"/>
      <c r="CE31" s="1934"/>
      <c r="EA31" s="580"/>
      <c r="EO31" s="1751"/>
      <c r="EP31" s="1751"/>
      <c r="EQ31" s="1751"/>
      <c r="ES31" s="731"/>
      <c r="ET31" s="731"/>
      <c r="EU31" s="731"/>
    </row>
    <row r="32" spans="1:162" ht="15.6">
      <c r="B32" s="2081" t="s">
        <v>486</v>
      </c>
      <c r="C32" s="2078">
        <v>507936.25065000006</v>
      </c>
      <c r="D32" s="2076">
        <v>336.57438032668972</v>
      </c>
      <c r="E32" s="2082">
        <v>274662.60957999999</v>
      </c>
      <c r="F32" s="2083">
        <v>390560.92220999999</v>
      </c>
      <c r="H32" s="2266"/>
      <c r="K32" s="2270"/>
      <c r="L32" s="2081" t="s">
        <v>485</v>
      </c>
      <c r="M32" s="2711">
        <f t="shared" si="12"/>
        <v>5875645.83574</v>
      </c>
      <c r="N32" s="2717">
        <f t="shared" si="13"/>
        <v>5875.6458357399997</v>
      </c>
      <c r="O32" s="2711">
        <f t="shared" si="12"/>
        <v>10474177.740560001</v>
      </c>
      <c r="P32" s="2711">
        <f t="shared" si="12"/>
        <v>8053192.780319999</v>
      </c>
      <c r="BX32" s="1932"/>
      <c r="BY32" s="1933"/>
      <c r="BZ32" s="1933"/>
      <c r="CA32" s="1934"/>
      <c r="CB32" s="1932"/>
      <c r="CC32" s="1933"/>
      <c r="CD32" s="1933"/>
      <c r="CE32" s="1934"/>
      <c r="EA32" s="580"/>
      <c r="EO32" s="1751"/>
      <c r="EP32" s="1751"/>
      <c r="EQ32" s="1751"/>
      <c r="ES32" s="731"/>
      <c r="ET32" s="731"/>
      <c r="EU32" s="731"/>
    </row>
    <row r="33" spans="1:151" ht="15.6">
      <c r="B33" s="2081" t="s">
        <v>485</v>
      </c>
      <c r="C33" s="2082">
        <v>1109424.1201999993</v>
      </c>
      <c r="D33" s="2076">
        <v>85.791889823276392</v>
      </c>
      <c r="E33" s="2082">
        <v>2353546.3584299996</v>
      </c>
      <c r="F33" s="2083">
        <v>2020940.2564900001</v>
      </c>
      <c r="H33" s="2269"/>
      <c r="K33" s="2269"/>
      <c r="L33" s="2077" t="s">
        <v>994</v>
      </c>
      <c r="M33" s="2710">
        <f t="shared" si="12"/>
        <v>4566565.232330001</v>
      </c>
      <c r="N33" s="2717">
        <f t="shared" si="13"/>
        <v>4566.565232330001</v>
      </c>
      <c r="O33" s="2710">
        <f t="shared" si="12"/>
        <v>1349727.08767</v>
      </c>
      <c r="P33" s="2710">
        <f t="shared" si="12"/>
        <v>3642.5568899999998</v>
      </c>
      <c r="BX33" s="1932"/>
      <c r="BY33" s="1933"/>
      <c r="BZ33" s="1933"/>
      <c r="CA33" s="1934"/>
      <c r="CB33" s="1932"/>
      <c r="CC33" s="1933"/>
      <c r="CD33" s="1933"/>
      <c r="CE33" s="1934"/>
      <c r="EA33" s="580"/>
      <c r="EO33" s="1751"/>
      <c r="EP33" s="1751"/>
      <c r="EQ33" s="1751"/>
      <c r="ES33" s="731"/>
      <c r="ET33" s="731"/>
      <c r="EU33" s="731"/>
    </row>
    <row r="34" spans="1:151" ht="15.6">
      <c r="B34" s="2077" t="s">
        <v>994</v>
      </c>
      <c r="C34" s="2084">
        <v>892600.79</v>
      </c>
      <c r="D34" s="2076" t="e">
        <v>#DIV/0!</v>
      </c>
      <c r="E34" s="2082"/>
      <c r="F34" s="2085"/>
      <c r="H34" s="2267"/>
      <c r="K34" s="2268"/>
      <c r="L34" s="2350" t="s">
        <v>1192</v>
      </c>
      <c r="M34" s="2712">
        <f>C35+C129+C224</f>
        <v>49747.994019999991</v>
      </c>
      <c r="N34" s="2717">
        <f t="shared" si="13"/>
        <v>49.747994019999993</v>
      </c>
      <c r="O34" s="2712">
        <f>E35+E129+E224</f>
        <v>4546.7399300000006</v>
      </c>
      <c r="P34" s="2712">
        <f>F35+F129+F224</f>
        <v>465.91656999999998</v>
      </c>
      <c r="BX34" s="1932"/>
      <c r="BY34" s="1933"/>
      <c r="BZ34" s="1933"/>
      <c r="CA34" s="1934"/>
      <c r="CB34" s="1932"/>
      <c r="CC34" s="1933"/>
      <c r="CD34" s="1933"/>
      <c r="CE34" s="1934"/>
      <c r="EA34" s="580"/>
      <c r="EO34" s="1751"/>
      <c r="EP34" s="1751"/>
      <c r="EQ34" s="1751"/>
      <c r="ES34" s="731"/>
      <c r="ET34" s="731"/>
      <c r="EU34" s="731"/>
    </row>
    <row r="35" spans="1:151" ht="15.6">
      <c r="B35" s="2350" t="s">
        <v>18</v>
      </c>
      <c r="C35" s="2351">
        <v>40528.499520000005</v>
      </c>
      <c r="D35" s="2076"/>
      <c r="E35" s="2352"/>
      <c r="F35" s="2353"/>
      <c r="H35" s="2267"/>
      <c r="K35" s="2268"/>
      <c r="L35" s="2350" t="s">
        <v>185</v>
      </c>
      <c r="M35" s="2712">
        <f>C82+C130+C223</f>
        <v>9590.5406399999883</v>
      </c>
      <c r="N35" s="2717">
        <f t="shared" si="13"/>
        <v>9.590540639999988</v>
      </c>
      <c r="O35" s="2712">
        <f>E82+E130+E223</f>
        <v>8596.1468799999984</v>
      </c>
      <c r="P35" s="2712">
        <f>F82+F130+F223</f>
        <v>1131.4813799999999</v>
      </c>
      <c r="BX35" s="1932"/>
      <c r="BY35" s="1933"/>
      <c r="BZ35" s="1933"/>
      <c r="CA35" s="1934"/>
      <c r="CB35" s="1932"/>
      <c r="CC35" s="1933"/>
      <c r="CD35" s="1933"/>
      <c r="CE35" s="1934"/>
      <c r="EA35" s="580"/>
      <c r="EO35" s="1751"/>
      <c r="EP35" s="1751"/>
      <c r="EQ35" s="1751"/>
      <c r="ES35" s="731"/>
      <c r="ET35" s="731"/>
      <c r="EU35" s="731"/>
    </row>
    <row r="36" spans="1:151" ht="15.6">
      <c r="B36" s="2077" t="s">
        <v>988</v>
      </c>
      <c r="C36" s="2084">
        <v>6254.95</v>
      </c>
      <c r="D36" s="2076" t="e">
        <v>#DIV/0!</v>
      </c>
      <c r="E36" s="2082"/>
      <c r="F36" s="2085"/>
      <c r="H36" s="2267"/>
      <c r="K36" s="2268"/>
      <c r="L36" s="2077" t="s">
        <v>988</v>
      </c>
      <c r="M36" s="2710">
        <f>C36+C59+C83+C106+C131+C154+C177+C200+C225+C248</f>
        <v>1474683.1205499978</v>
      </c>
      <c r="N36" s="2717">
        <f t="shared" si="13"/>
        <v>1474.6831205499977</v>
      </c>
      <c r="O36" s="2710">
        <f>E36+E59+E83+E106+E131+E154+E177+E200+E225+E248</f>
        <v>516416.68034000002</v>
      </c>
      <c r="P36" s="2710">
        <f>F36+F59+F83+F106+F131+F154+F177+F200+F225+F248</f>
        <v>4727.65888</v>
      </c>
      <c r="BX36" s="1932"/>
      <c r="BY36" s="1933"/>
      <c r="BZ36" s="1933"/>
      <c r="CA36" s="1934"/>
      <c r="CB36" s="1932"/>
      <c r="CC36" s="1933"/>
      <c r="CD36" s="1933"/>
      <c r="CE36" s="1934"/>
      <c r="EA36" s="580"/>
    </row>
    <row r="37" spans="1:151" ht="15.6">
      <c r="B37" s="2077" t="s">
        <v>995</v>
      </c>
      <c r="C37" s="2084">
        <v>29963.873100000001</v>
      </c>
      <c r="D37" s="2076" t="e">
        <v>#DIV/0!</v>
      </c>
      <c r="E37" s="2082"/>
      <c r="F37" s="2085"/>
      <c r="G37" s="84"/>
      <c r="H37" s="2264"/>
      <c r="K37" s="2268"/>
      <c r="L37" s="2077" t="s">
        <v>995</v>
      </c>
      <c r="M37" s="2710">
        <f>C37+C60+C84+C107+C132+C155+C178+C201+C226+C249</f>
        <v>356315.03320000006</v>
      </c>
      <c r="N37" s="2717">
        <f t="shared" si="13"/>
        <v>356.31503320000007</v>
      </c>
      <c r="O37" s="2710">
        <f>E37+E60+E84+E107+E132+E155+E178+E201+E226+E249</f>
        <v>237335.68637000001</v>
      </c>
      <c r="P37" s="2710">
        <f>F37+F60+F84+F107+F132+F155+F178+F201+F226+F249</f>
        <v>0</v>
      </c>
      <c r="BX37" s="1932"/>
      <c r="BY37" s="1933"/>
      <c r="BZ37" s="1933"/>
      <c r="CA37" s="1934"/>
      <c r="CB37" s="1932"/>
      <c r="CC37" s="1933"/>
      <c r="CD37" s="1933"/>
      <c r="CE37" s="1934"/>
      <c r="EA37" s="580"/>
    </row>
    <row r="38" spans="1:151" ht="15.6">
      <c r="B38" s="2075" t="s">
        <v>996</v>
      </c>
      <c r="C38" s="2075">
        <v>969348.11262000003</v>
      </c>
      <c r="D38" s="2076" t="e">
        <v>#DIV/0!</v>
      </c>
      <c r="E38" s="2075">
        <v>0</v>
      </c>
      <c r="F38" s="2075">
        <v>0</v>
      </c>
      <c r="H38" s="2264"/>
      <c r="K38" s="2268"/>
      <c r="L38" s="2075" t="s">
        <v>996</v>
      </c>
      <c r="M38" s="2709">
        <f>M33+M34+M35+M36+M37</f>
        <v>6456901.92074</v>
      </c>
      <c r="N38" s="2717">
        <f t="shared" si="13"/>
        <v>6456.9019207399997</v>
      </c>
      <c r="O38" s="2709">
        <f>O33+O34+O35+O36+O37</f>
        <v>2116622.3411900001</v>
      </c>
      <c r="P38" s="2709">
        <f>P33+P34+P35+P36+P37</f>
        <v>9967.6137200000012</v>
      </c>
      <c r="BX38" s="1932"/>
      <c r="BY38" s="1933"/>
      <c r="BZ38" s="1933"/>
      <c r="CA38" s="1934"/>
      <c r="CB38" s="1932"/>
      <c r="CC38" s="1933"/>
      <c r="CD38" s="1933"/>
      <c r="CE38" s="1934"/>
    </row>
    <row r="39" spans="1:151" ht="15.6">
      <c r="B39" s="2075" t="s">
        <v>282</v>
      </c>
      <c r="C39" s="2075">
        <v>3778756.9357999992</v>
      </c>
      <c r="D39" s="2076">
        <v>173.84074043567466</v>
      </c>
      <c r="E39" s="2075">
        <v>3956113.8579599997</v>
      </c>
      <c r="F39" s="2075">
        <v>3839303.6590800001</v>
      </c>
      <c r="H39" s="2264"/>
      <c r="K39" s="2268"/>
      <c r="L39" s="2075" t="s">
        <v>282</v>
      </c>
      <c r="M39" s="2709">
        <f>M24+M27+M30</f>
        <v>27760730.744851522</v>
      </c>
      <c r="N39" s="2717">
        <f t="shared" si="13"/>
        <v>27760.730744851524</v>
      </c>
      <c r="O39" s="2709">
        <f>O24+O27+O30</f>
        <v>51058368.965599999</v>
      </c>
      <c r="P39" s="2709">
        <f>P24+P27+P30</f>
        <v>41782607.174900003</v>
      </c>
      <c r="BX39" s="1932"/>
      <c r="BY39" s="1933"/>
      <c r="BZ39" s="1933"/>
      <c r="CA39" s="1934"/>
      <c r="CB39" s="1932"/>
      <c r="CC39" s="1933"/>
      <c r="CD39" s="1933"/>
      <c r="CE39" s="1934"/>
    </row>
    <row r="40" spans="1:151" ht="15.6">
      <c r="B40" s="2075" t="s">
        <v>481</v>
      </c>
      <c r="C40" s="2075">
        <v>335915.75880000001</v>
      </c>
      <c r="D40" s="2076">
        <v>473.73669607290083</v>
      </c>
      <c r="E40" s="2075">
        <v>129052</v>
      </c>
      <c r="F40" s="2075">
        <v>0</v>
      </c>
      <c r="H40" s="2269"/>
      <c r="K40" s="2269"/>
      <c r="L40" s="2075" t="s">
        <v>481</v>
      </c>
      <c r="M40" s="2709">
        <f>M41+M42</f>
        <v>3803890.1828768072</v>
      </c>
      <c r="N40" s="2717">
        <f t="shared" si="13"/>
        <v>3803.8901828768071</v>
      </c>
      <c r="O40" s="2709">
        <f>O41+O42</f>
        <v>4676623.6307299985</v>
      </c>
      <c r="P40" s="2709">
        <f>P41+P42</f>
        <v>3682631.2049200041</v>
      </c>
    </row>
    <row r="41" spans="1:151" ht="15.6">
      <c r="B41" s="2077" t="s">
        <v>482</v>
      </c>
      <c r="C41" s="2078">
        <v>307016.75880000001</v>
      </c>
      <c r="D41" s="2076">
        <v>432.98089221089174</v>
      </c>
      <c r="E41" s="2078">
        <v>129052</v>
      </c>
      <c r="F41" s="2078">
        <v>0</v>
      </c>
      <c r="H41" s="2269"/>
      <c r="K41" s="2269"/>
      <c r="L41" s="2077" t="s">
        <v>482</v>
      </c>
      <c r="M41" s="2710">
        <f>C41+C64+C88+C111+C136+C159+C182+C205+C230+C253</f>
        <v>3738693.012619996</v>
      </c>
      <c r="N41" s="2717">
        <f t="shared" si="13"/>
        <v>3738.6930126199959</v>
      </c>
      <c r="O41" s="2710">
        <f>E41+E64+E88+E111+E136+E159+E182+E205+E230+E253</f>
        <v>4509382.3848599987</v>
      </c>
      <c r="P41" s="2710">
        <f>F41+F64+F88+F111+F136+F159+F182+F205+F230+F253</f>
        <v>3508759.854980004</v>
      </c>
    </row>
    <row r="42" spans="1:151" ht="23.25" customHeight="1">
      <c r="B42" s="2077" t="s">
        <v>997</v>
      </c>
      <c r="C42" s="2078">
        <v>28899</v>
      </c>
      <c r="D42" s="2076" t="e">
        <v>#DIV/0!</v>
      </c>
      <c r="E42" s="2078">
        <v>0</v>
      </c>
      <c r="F42" s="2078">
        <v>0</v>
      </c>
      <c r="H42" s="2269"/>
      <c r="K42" s="2269"/>
      <c r="L42" s="2077" t="s">
        <v>997</v>
      </c>
      <c r="M42" s="2710">
        <f>C42+C65+C89+C112+C137+C160+C183+C206+C231+C254</f>
        <v>65197.170256811049</v>
      </c>
      <c r="N42" s="2717">
        <f t="shared" si="13"/>
        <v>65.197170256811049</v>
      </c>
      <c r="O42" s="2710">
        <f>E42+E65+E89+E112+E137+E160+E183+E206+E231+E254</f>
        <v>167241.24587000001</v>
      </c>
      <c r="P42" s="2710">
        <f>F42+F65+F89+F112+F137+F160+F183+F206+F231+F254</f>
        <v>173871.34993999996</v>
      </c>
    </row>
    <row r="43" spans="1:151" ht="15.6">
      <c r="B43" s="2075" t="s">
        <v>395</v>
      </c>
      <c r="C43" s="2075">
        <v>62644.678619999999</v>
      </c>
      <c r="D43" s="2076">
        <v>17.852807514871895</v>
      </c>
      <c r="E43" s="2075">
        <v>638629.61046000011</v>
      </c>
      <c r="F43" s="2075">
        <v>605206.62131000008</v>
      </c>
      <c r="H43" s="2708"/>
      <c r="K43" s="2270"/>
      <c r="L43" s="2075" t="s">
        <v>395</v>
      </c>
      <c r="M43" s="2709">
        <f>M44+M45</f>
        <v>736780.42719999957</v>
      </c>
      <c r="N43" s="2717">
        <f t="shared" si="13"/>
        <v>736.78042719999962</v>
      </c>
      <c r="O43" s="2709">
        <f>O44+O45</f>
        <v>4177456.2601999994</v>
      </c>
      <c r="P43" s="2709">
        <f>P44+P45</f>
        <v>3881500.0605600001</v>
      </c>
    </row>
    <row r="44" spans="1:151" ht="15.6">
      <c r="A44" s="730">
        <f>C44*1000</f>
        <v>61165942.490000002</v>
      </c>
      <c r="B44" s="2077" t="s">
        <v>198</v>
      </c>
      <c r="C44" s="2078">
        <v>61165.942490000001</v>
      </c>
      <c r="D44" s="2076">
        <v>33.852310853445289</v>
      </c>
      <c r="E44" s="2078">
        <v>328846.13347000006</v>
      </c>
      <c r="F44" s="2078">
        <v>296901.88045000006</v>
      </c>
      <c r="H44" s="2708"/>
      <c r="K44" s="2270"/>
      <c r="L44" s="2077" t="s">
        <v>198</v>
      </c>
      <c r="M44" s="2710">
        <f>C44+C67+C91+C114+C139+C162+C185+C208+C233+C256</f>
        <v>571269.88986999937</v>
      </c>
      <c r="N44" s="2717">
        <f t="shared" si="13"/>
        <v>571.26988986999936</v>
      </c>
      <c r="O44" s="2710">
        <f>E44+E67+E91+E114+E139+E162+E185+E208+E233+E256</f>
        <v>2740976.3818099997</v>
      </c>
      <c r="P44" s="2710">
        <f>F44+F67+F91+F114+F139+F162+F185+F208+F233+F256</f>
        <v>2501385.2586300001</v>
      </c>
    </row>
    <row r="45" spans="1:151" ht="15.6">
      <c r="A45" s="730">
        <f>C45*1000</f>
        <v>1478736.13</v>
      </c>
      <c r="B45" s="2077" t="s">
        <v>199</v>
      </c>
      <c r="C45" s="2078">
        <v>1478.7361299999998</v>
      </c>
      <c r="D45" s="2076">
        <v>0.86876801266159076</v>
      </c>
      <c r="E45" s="2078">
        <v>309783.47699</v>
      </c>
      <c r="F45" s="2078">
        <v>308304.74086000002</v>
      </c>
      <c r="H45" s="2269"/>
      <c r="K45" s="2269"/>
      <c r="L45" s="2077" t="s">
        <v>199</v>
      </c>
      <c r="M45" s="2710">
        <f>C45+C68+C92+C115+C140+C163+C186+C209+C234+C257</f>
        <v>165510.5373300002</v>
      </c>
      <c r="N45" s="2717">
        <f t="shared" si="13"/>
        <v>165.5105373300002</v>
      </c>
      <c r="O45" s="2710">
        <f>E45+E68+E92+E115+E140+E163+E186+E209+E234+E257</f>
        <v>1436479.87839</v>
      </c>
      <c r="P45" s="2710">
        <f>F45+F68+F92+F115+F140+F163+F186+F209+F234+F257</f>
        <v>1380114.8019299998</v>
      </c>
    </row>
    <row r="46" spans="1:151" ht="15.6">
      <c r="B46" s="2086" t="s">
        <v>483</v>
      </c>
      <c r="C46" s="2087">
        <v>4177317.373219999</v>
      </c>
      <c r="D46" s="2076">
        <v>160.94510590238005</v>
      </c>
      <c r="E46" s="2088">
        <v>4723795.4684199998</v>
      </c>
      <c r="F46" s="2088">
        <v>4444510.28039</v>
      </c>
      <c r="H46" s="2264"/>
      <c r="K46" s="2270"/>
      <c r="L46" s="2086" t="s">
        <v>483</v>
      </c>
      <c r="M46" s="2713">
        <f>M39+M40+M43</f>
        <v>32301401.35492833</v>
      </c>
      <c r="N46" s="2717">
        <f>M46/1000</f>
        <v>32301.40135492833</v>
      </c>
      <c r="O46" s="2713">
        <f>O39+O40+O43</f>
        <v>59912448.856529996</v>
      </c>
      <c r="P46" s="2713">
        <f>P39+P40+P43</f>
        <v>49346738.440380007</v>
      </c>
    </row>
    <row r="47" spans="1:151" ht="23.4">
      <c r="A47" s="2199" t="s">
        <v>7</v>
      </c>
      <c r="B47" s="843"/>
      <c r="C47" s="3357" t="s">
        <v>479</v>
      </c>
      <c r="D47" s="3359" t="s">
        <v>358</v>
      </c>
      <c r="E47" s="3357" t="s">
        <v>488</v>
      </c>
      <c r="F47" s="3357" t="s">
        <v>480</v>
      </c>
      <c r="H47" s="2264"/>
      <c r="K47" s="2270"/>
      <c r="L47" s="2270"/>
      <c r="M47" s="2727">
        <f>(M46/1000)-'calcul-DCC-TX-Encais'!BA30</f>
        <v>0</v>
      </c>
      <c r="N47" s="2727"/>
      <c r="O47" s="2727">
        <f>(O46/1000)-'calcul-DCC-TX-Encais'!BA45</f>
        <v>0</v>
      </c>
      <c r="P47" s="2727">
        <f>(P46/1000)-'calcul-DCC-TX-Encais'!BA60</f>
        <v>0</v>
      </c>
    </row>
    <row r="48" spans="1:151" ht="15.6">
      <c r="A48" s="2200"/>
      <c r="B48" s="843"/>
      <c r="C48" s="3358"/>
      <c r="D48" s="3359"/>
      <c r="E48" s="3358"/>
      <c r="F48" s="3358"/>
      <c r="H48" s="2271"/>
      <c r="K48" s="2272"/>
      <c r="L48" s="2272"/>
    </row>
    <row r="49" spans="2:20" ht="18.75" customHeight="1">
      <c r="B49" s="2075" t="s">
        <v>277</v>
      </c>
      <c r="C49" s="2075">
        <v>1016615.8273199996</v>
      </c>
      <c r="D49" s="2076">
        <v>74.393677760520319</v>
      </c>
      <c r="E49" s="2075">
        <v>3334346</v>
      </c>
      <c r="F49" s="2075">
        <v>2658792</v>
      </c>
      <c r="L49" s="3126"/>
      <c r="M49" s="3373" t="s">
        <v>1205</v>
      </c>
      <c r="N49" s="3374"/>
      <c r="O49" s="3375"/>
      <c r="P49" s="3373" t="s">
        <v>1206</v>
      </c>
      <c r="Q49" s="3374"/>
      <c r="R49" s="3375"/>
      <c r="S49" s="3376" t="s">
        <v>1207</v>
      </c>
      <c r="T49" s="3378" t="s">
        <v>1208</v>
      </c>
    </row>
    <row r="50" spans="2:20" ht="18">
      <c r="B50" s="2077" t="s">
        <v>484</v>
      </c>
      <c r="C50" s="2078">
        <v>1007421.9657599996</v>
      </c>
      <c r="D50" s="2076">
        <v>73.72089148679828</v>
      </c>
      <c r="E50" s="2078">
        <v>3334346</v>
      </c>
      <c r="F50" s="2079">
        <v>2658792</v>
      </c>
      <c r="G50" s="1495">
        <f>(C50)-E296</f>
        <v>0</v>
      </c>
      <c r="H50" s="84"/>
      <c r="L50" s="3118"/>
      <c r="M50" s="2740" t="s">
        <v>1202</v>
      </c>
      <c r="N50" s="2740" t="s">
        <v>1203</v>
      </c>
      <c r="O50" s="2741" t="s">
        <v>1204</v>
      </c>
      <c r="P50" s="2741" t="s">
        <v>1202</v>
      </c>
      <c r="Q50" s="2741" t="s">
        <v>1203</v>
      </c>
      <c r="R50" s="2741" t="s">
        <v>1204</v>
      </c>
      <c r="S50" s="3377"/>
      <c r="T50" s="3379"/>
    </row>
    <row r="51" spans="2:20" ht="14.4">
      <c r="B51" s="2077" t="s">
        <v>993</v>
      </c>
      <c r="C51" s="2078">
        <v>9193.8615599999976</v>
      </c>
      <c r="D51" s="2076" t="e">
        <v>#DIV/0!</v>
      </c>
      <c r="E51" s="2078">
        <v>0</v>
      </c>
      <c r="F51" s="2079">
        <v>0</v>
      </c>
      <c r="L51" s="667" t="s">
        <v>6</v>
      </c>
      <c r="M51" s="792">
        <v>1072672588.4300001</v>
      </c>
      <c r="N51" s="1793">
        <v>423043040.69999999</v>
      </c>
      <c r="O51" s="2743">
        <f>M51+N51</f>
        <v>1495715629.1300001</v>
      </c>
      <c r="P51" s="1809">
        <v>1261039134.9699998</v>
      </c>
      <c r="Q51" s="792">
        <v>537147565.76999998</v>
      </c>
      <c r="R51" s="668">
        <f t="shared" ref="R51:R60" si="14">P51+Q51</f>
        <v>1798186700.7399998</v>
      </c>
      <c r="S51" s="2063">
        <f>O51-'Créanc-agence-compare'!D8</f>
        <v>1495713871.8048878</v>
      </c>
      <c r="T51" s="2063">
        <f>R51-'Créanc-agence-compare'!E8</f>
        <v>1798184992.6218898</v>
      </c>
    </row>
    <row r="52" spans="2:20" ht="14.4">
      <c r="B52" s="2075" t="s">
        <v>487</v>
      </c>
      <c r="C52" s="2075">
        <v>45224.449999999983</v>
      </c>
      <c r="D52" s="2076">
        <v>22.828534722452076</v>
      </c>
      <c r="E52" s="2075">
        <v>483376</v>
      </c>
      <c r="F52" s="2075">
        <v>474651</v>
      </c>
      <c r="G52" s="84"/>
      <c r="L52" s="667" t="s">
        <v>7</v>
      </c>
      <c r="M52" s="792"/>
      <c r="N52" s="1793"/>
      <c r="O52" s="2743">
        <f t="shared" ref="O52:O60" si="15">M52+N52</f>
        <v>0</v>
      </c>
      <c r="P52" s="1809"/>
      <c r="Q52" s="792"/>
      <c r="R52" s="668">
        <f t="shared" si="14"/>
        <v>0</v>
      </c>
      <c r="S52" s="2063">
        <f>O52-'Créanc-agence-compare'!D9</f>
        <v>-924.79053183999929</v>
      </c>
      <c r="T52" s="2063">
        <f>R52-'Créanc-agence-compare'!E9</f>
        <v>-1007.4219657599996</v>
      </c>
    </row>
    <row r="53" spans="2:20" ht="14.4">
      <c r="B53" s="2080" t="s">
        <v>18</v>
      </c>
      <c r="C53" s="2078">
        <v>40476.229999999981</v>
      </c>
      <c r="D53" s="2076">
        <v>23.369592507495096</v>
      </c>
      <c r="E53" s="2078">
        <v>422609</v>
      </c>
      <c r="F53" s="2079">
        <v>418279</v>
      </c>
      <c r="L53" s="667" t="s">
        <v>8</v>
      </c>
      <c r="M53" s="792">
        <v>345612.74475199898</v>
      </c>
      <c r="N53" s="1793">
        <v>195042.40564800001</v>
      </c>
      <c r="O53" s="2743">
        <f t="shared" si="15"/>
        <v>540655.15039999899</v>
      </c>
      <c r="P53" s="1809">
        <v>321835.72019250353</v>
      </c>
      <c r="Q53" s="792">
        <v>191669.3296974969</v>
      </c>
      <c r="R53" s="668">
        <f t="shared" si="14"/>
        <v>513505.04989000043</v>
      </c>
      <c r="S53" s="2063">
        <f>O53-'Créanc-agence-compare'!D10</f>
        <v>540116.73439866898</v>
      </c>
      <c r="T53" s="2063">
        <f>R53-'Créanc-agence-compare'!E10</f>
        <v>513020.61117365042</v>
      </c>
    </row>
    <row r="54" spans="2:20" ht="14.4">
      <c r="B54" s="2080" t="s">
        <v>185</v>
      </c>
      <c r="C54" s="2078">
        <v>4748.2200000000012</v>
      </c>
      <c r="D54" s="2076">
        <v>19.065704741060117</v>
      </c>
      <c r="E54" s="2078">
        <v>60767</v>
      </c>
      <c r="F54" s="2079">
        <v>56372</v>
      </c>
      <c r="L54" s="667" t="s">
        <v>4</v>
      </c>
      <c r="M54" s="792">
        <v>1187196.3353400002</v>
      </c>
      <c r="N54" s="1793">
        <v>295611.37896</v>
      </c>
      <c r="O54" s="2743">
        <f t="shared" si="15"/>
        <v>1482807.7143000001</v>
      </c>
      <c r="P54" s="1809">
        <v>1210902.0122000009</v>
      </c>
      <c r="Q54" s="792">
        <v>278971.74375999899</v>
      </c>
      <c r="R54" s="668">
        <f t="shared" si="14"/>
        <v>1489873.75596</v>
      </c>
      <c r="S54" s="2063">
        <f>O54-'Créanc-agence-compare'!D11</f>
        <v>1481266.86917691</v>
      </c>
      <c r="T54" s="2063">
        <f>R54-'Créanc-agence-compare'!E11</f>
        <v>1488363.9396182001</v>
      </c>
    </row>
    <row r="55" spans="2:20" ht="14.4">
      <c r="B55" s="2075" t="s">
        <v>278</v>
      </c>
      <c r="C55" s="2075">
        <v>603308</v>
      </c>
      <c r="D55" s="2076">
        <v>126.06773584954135</v>
      </c>
      <c r="E55" s="2075">
        <v>1167683</v>
      </c>
      <c r="F55" s="2075">
        <v>917983</v>
      </c>
      <c r="G55" s="84"/>
      <c r="L55" s="667" t="s">
        <v>3</v>
      </c>
      <c r="M55" s="792"/>
      <c r="N55" s="1793"/>
      <c r="O55" s="2743">
        <f t="shared" si="15"/>
        <v>0</v>
      </c>
      <c r="P55" s="1809"/>
      <c r="Q55" s="792"/>
      <c r="R55" s="668">
        <f t="shared" si="14"/>
        <v>0</v>
      </c>
      <c r="S55" s="2063">
        <f>O55-'Créanc-agence-compare'!D12</f>
        <v>-2262.8086117499997</v>
      </c>
      <c r="T55" s="2063">
        <f>R55-'Créanc-agence-compare'!E12</f>
        <v>-2615.5532980599996</v>
      </c>
    </row>
    <row r="56" spans="2:20" ht="14.4">
      <c r="B56" s="2081" t="s">
        <v>486</v>
      </c>
      <c r="C56" s="2078">
        <v>78953</v>
      </c>
      <c r="D56" s="2076">
        <v>69.295132856366919</v>
      </c>
      <c r="E56" s="2082">
        <v>278007</v>
      </c>
      <c r="F56" s="2083">
        <v>234622</v>
      </c>
      <c r="L56" s="667" t="s">
        <v>397</v>
      </c>
      <c r="M56" s="792"/>
      <c r="N56" s="1793"/>
      <c r="O56" s="2743">
        <f t="shared" si="15"/>
        <v>0</v>
      </c>
      <c r="P56" s="1809"/>
      <c r="Q56" s="792"/>
      <c r="R56" s="668">
        <f t="shared" si="14"/>
        <v>0</v>
      </c>
      <c r="S56" s="2063">
        <f>O56-'Créanc-agence-compare'!D13</f>
        <v>-1989.009321179999</v>
      </c>
      <c r="T56" s="2063">
        <f>R56-'Créanc-agence-compare'!E13</f>
        <v>-2368.0157871499987</v>
      </c>
    </row>
    <row r="57" spans="2:20" ht="14.4">
      <c r="B57" s="2081" t="s">
        <v>485</v>
      </c>
      <c r="C57" s="2082">
        <v>524355</v>
      </c>
      <c r="D57" s="2076">
        <v>143.80810542264825</v>
      </c>
      <c r="E57" s="2082">
        <v>889676</v>
      </c>
      <c r="F57" s="2083">
        <v>683361</v>
      </c>
      <c r="L57" s="667" t="s">
        <v>399</v>
      </c>
      <c r="M57" s="792"/>
      <c r="N57" s="1793"/>
      <c r="O57" s="2743">
        <f t="shared" si="15"/>
        <v>0</v>
      </c>
      <c r="P57" s="1809"/>
      <c r="Q57" s="792"/>
      <c r="R57" s="668">
        <f t="shared" si="14"/>
        <v>0</v>
      </c>
      <c r="S57" s="2063">
        <f>O57-'Créanc-agence-compare'!D14</f>
        <v>-1708.252718082</v>
      </c>
      <c r="T57" s="2063">
        <f>R57-'Créanc-agence-compare'!E14</f>
        <v>-1694.7950696119999</v>
      </c>
    </row>
    <row r="58" spans="2:20" ht="14.4">
      <c r="B58" s="2077" t="s">
        <v>994</v>
      </c>
      <c r="C58" s="2084">
        <v>496178</v>
      </c>
      <c r="D58" s="2076">
        <v>289.26997099449721</v>
      </c>
      <c r="E58" s="2082">
        <v>418527.48</v>
      </c>
      <c r="F58" s="2085">
        <v>0</v>
      </c>
      <c r="L58" s="667" t="s">
        <v>883</v>
      </c>
      <c r="M58" s="792"/>
      <c r="N58" s="1793"/>
      <c r="O58" s="2743">
        <f t="shared" si="15"/>
        <v>0</v>
      </c>
      <c r="P58" s="1809"/>
      <c r="Q58" s="792"/>
      <c r="R58" s="668">
        <f t="shared" si="14"/>
        <v>0</v>
      </c>
      <c r="S58" s="2063">
        <f>O58-'Créanc-agence-compare'!D15</f>
        <v>-1227.7332952271518</v>
      </c>
      <c r="T58" s="2063">
        <f>R58-'Créanc-agence-compare'!E15</f>
        <v>-1398.1632585499999</v>
      </c>
    </row>
    <row r="59" spans="2:20" ht="14.4">
      <c r="B59" s="2077" t="s">
        <v>988</v>
      </c>
      <c r="C59" s="2084">
        <v>0</v>
      </c>
      <c r="D59" s="2076" t="e">
        <v>#DIV/0!</v>
      </c>
      <c r="E59" s="2082">
        <v>0</v>
      </c>
      <c r="F59" s="2085">
        <v>0</v>
      </c>
      <c r="L59" s="667" t="s">
        <v>884</v>
      </c>
      <c r="M59" s="792"/>
      <c r="N59" s="1793"/>
      <c r="O59" s="2743">
        <f t="shared" si="15"/>
        <v>0</v>
      </c>
      <c r="P59" s="1809"/>
      <c r="Q59" s="792"/>
      <c r="R59" s="668">
        <f t="shared" si="14"/>
        <v>0</v>
      </c>
      <c r="S59" s="2063">
        <f>O59-'Créanc-agence-compare'!D16</f>
        <v>-942.54202729999918</v>
      </c>
      <c r="T59" s="2063">
        <f>R59-'Créanc-agence-compare'!E16</f>
        <v>-956.24476399999935</v>
      </c>
    </row>
    <row r="60" spans="2:20" ht="23.25" customHeight="1">
      <c r="B60" s="2077" t="s">
        <v>995</v>
      </c>
      <c r="C60" s="2084">
        <v>245052.84730000002</v>
      </c>
      <c r="D60" s="2076">
        <v>254.32529749047234</v>
      </c>
      <c r="E60" s="2082">
        <v>235104</v>
      </c>
      <c r="F60" s="2085">
        <v>0</v>
      </c>
      <c r="L60" s="667" t="s">
        <v>885</v>
      </c>
      <c r="M60" s="792"/>
      <c r="N60" s="1793"/>
      <c r="O60" s="2743">
        <f t="shared" si="15"/>
        <v>0</v>
      </c>
      <c r="P60" s="1809"/>
      <c r="Q60" s="792"/>
      <c r="R60" s="668">
        <f t="shared" si="14"/>
        <v>0</v>
      </c>
      <c r="S60" s="2063">
        <f>O60-'Créanc-agence-compare'!D17</f>
        <v>-265.39447605999965</v>
      </c>
      <c r="T60" s="2063">
        <f>R60-'Créanc-agence-compare'!E17</f>
        <v>-257.82361968999976</v>
      </c>
    </row>
    <row r="61" spans="2:20" ht="18">
      <c r="B61" s="2075" t="s">
        <v>996</v>
      </c>
      <c r="C61" s="2075">
        <v>741230.84730000002</v>
      </c>
      <c r="D61" s="2076">
        <v>276.70075918191702</v>
      </c>
      <c r="E61" s="2075">
        <v>653631.48</v>
      </c>
      <c r="F61" s="2075">
        <v>0</v>
      </c>
      <c r="L61" s="2740" t="s">
        <v>16</v>
      </c>
      <c r="M61" s="2742">
        <f t="shared" ref="M61:T61" si="16">SUM(M51:M60)</f>
        <v>1074205397.510092</v>
      </c>
      <c r="N61" s="2742">
        <f t="shared" si="16"/>
        <v>423533694.48460799</v>
      </c>
      <c r="O61" s="2742">
        <f t="shared" si="16"/>
        <v>1497739091.9947</v>
      </c>
      <c r="P61" s="2742">
        <f t="shared" si="16"/>
        <v>1262571872.7023923</v>
      </c>
      <c r="Q61" s="2742">
        <f t="shared" si="16"/>
        <v>537618206.84345746</v>
      </c>
      <c r="R61" s="2742">
        <f t="shared" si="16"/>
        <v>1800190079.5458498</v>
      </c>
      <c r="S61" s="2742">
        <f t="shared" si="16"/>
        <v>1497725934.8774819</v>
      </c>
      <c r="T61" s="2742">
        <f t="shared" si="16"/>
        <v>1800176079.1549187</v>
      </c>
    </row>
    <row r="62" spans="2:20" ht="14.4">
      <c r="B62" s="2075" t="s">
        <v>282</v>
      </c>
      <c r="C62" s="2075">
        <v>1665148.2773199996</v>
      </c>
      <c r="D62" s="2076">
        <v>81.497126044138824</v>
      </c>
      <c r="E62" s="2075">
        <v>4985405</v>
      </c>
      <c r="F62" s="2075">
        <v>4051426</v>
      </c>
    </row>
    <row r="63" spans="2:20" ht="14.4">
      <c r="B63" s="2075" t="s">
        <v>481</v>
      </c>
      <c r="C63" s="2075">
        <v>147112</v>
      </c>
      <c r="D63" s="2076">
        <v>181.93273188038521</v>
      </c>
      <c r="E63" s="2075">
        <v>197300</v>
      </c>
      <c r="F63" s="2075">
        <v>57300</v>
      </c>
    </row>
    <row r="64" spans="2:20" ht="14.4">
      <c r="B64" s="2077" t="s">
        <v>482</v>
      </c>
      <c r="C64" s="2078">
        <v>147112</v>
      </c>
      <c r="D64" s="2076">
        <v>158.81832742017232</v>
      </c>
      <c r="E64" s="2078">
        <v>197300</v>
      </c>
      <c r="F64" s="2078">
        <v>57300</v>
      </c>
    </row>
    <row r="65" spans="1:12" ht="14.4">
      <c r="B65" s="2077" t="s">
        <v>997</v>
      </c>
      <c r="C65" s="2078">
        <v>0</v>
      </c>
      <c r="D65" s="2076">
        <v>158.81832742017232</v>
      </c>
      <c r="E65" s="2078">
        <v>0</v>
      </c>
      <c r="F65" s="2078">
        <v>0</v>
      </c>
    </row>
    <row r="66" spans="1:12" ht="14.4">
      <c r="B66" s="2075" t="s">
        <v>395</v>
      </c>
      <c r="C66" s="2075">
        <v>260362.81760000001</v>
      </c>
      <c r="D66" s="2076">
        <v>119.3288418736922</v>
      </c>
      <c r="E66" s="2075">
        <v>532382</v>
      </c>
      <c r="F66" s="2075">
        <v>410334</v>
      </c>
    </row>
    <row r="67" spans="1:12" ht="14.4">
      <c r="A67" s="730">
        <f>C67*1000</f>
        <v>245052847.30000001</v>
      </c>
      <c r="B67" s="2077" t="s">
        <v>198</v>
      </c>
      <c r="C67" s="2078">
        <v>245052.84730000002</v>
      </c>
      <c r="D67" s="2076">
        <v>190.74397311785424</v>
      </c>
      <c r="E67" s="2078">
        <v>313472</v>
      </c>
      <c r="F67" s="2078">
        <v>193019</v>
      </c>
    </row>
    <row r="68" spans="1:12" ht="14.4">
      <c r="A68" s="730">
        <f>C68*1000</f>
        <v>15309970.299999986</v>
      </c>
      <c r="B68" s="2077" t="s">
        <v>199</v>
      </c>
      <c r="C68" s="2078">
        <v>15309.970299999986</v>
      </c>
      <c r="D68" s="2076">
        <v>17.064696693618366</v>
      </c>
      <c r="E68" s="2078">
        <v>218910</v>
      </c>
      <c r="F68" s="2078">
        <v>217315</v>
      </c>
    </row>
    <row r="69" spans="1:12" ht="14.4">
      <c r="B69" s="2086" t="s">
        <v>483</v>
      </c>
      <c r="C69" s="2087">
        <v>1812260.2773199996</v>
      </c>
      <c r="D69" s="2076">
        <v>85.320601436138062</v>
      </c>
      <c r="E69" s="2088">
        <v>5182705</v>
      </c>
      <c r="F69" s="2088">
        <v>4108726</v>
      </c>
    </row>
    <row r="70" spans="1:12" ht="23.4">
      <c r="A70" s="2199" t="s">
        <v>8</v>
      </c>
      <c r="B70" s="843"/>
      <c r="C70" s="3357" t="s">
        <v>479</v>
      </c>
      <c r="D70" s="3359" t="s">
        <v>358</v>
      </c>
      <c r="E70" s="3357" t="s">
        <v>488</v>
      </c>
      <c r="F70" s="3357" t="s">
        <v>480</v>
      </c>
    </row>
    <row r="71" spans="1:12">
      <c r="A71" s="2200"/>
      <c r="B71" s="843"/>
      <c r="C71" s="3358"/>
      <c r="D71" s="3359"/>
      <c r="E71" s="3358"/>
      <c r="F71" s="3358"/>
    </row>
    <row r="72" spans="1:12" ht="14.4">
      <c r="B72" s="2075" t="s">
        <v>277</v>
      </c>
      <c r="C72" s="2075">
        <v>558770.68796000083</v>
      </c>
      <c r="D72" s="2076" t="e">
        <v>#REF!</v>
      </c>
      <c r="E72" s="2075">
        <v>3015866.7934200005</v>
      </c>
      <c r="F72" s="2075">
        <v>2725514.6397200003</v>
      </c>
      <c r="H72" s="2278"/>
      <c r="K72" s="2278"/>
      <c r="L72" s="2278"/>
    </row>
    <row r="73" spans="1:12" ht="14.4">
      <c r="B73" s="2077" t="s">
        <v>484</v>
      </c>
      <c r="C73" s="2078">
        <v>484438.71635000082</v>
      </c>
      <c r="D73" s="2076" t="e">
        <v>#REF!</v>
      </c>
      <c r="E73" s="2078">
        <v>3015866.7934200005</v>
      </c>
      <c r="F73" s="2079">
        <v>2721988.7902100002</v>
      </c>
      <c r="G73" s="1918">
        <f>C73-E308</f>
        <v>6.4028427004814148E-10</v>
      </c>
      <c r="H73" s="2273"/>
      <c r="K73" s="2274"/>
      <c r="L73" s="2279"/>
    </row>
    <row r="74" spans="1:12" ht="14.4">
      <c r="B74" s="2077" t="s">
        <v>993</v>
      </c>
      <c r="C74" s="2078">
        <v>74331.971609999993</v>
      </c>
      <c r="D74" s="2076" t="e">
        <v>#REF!</v>
      </c>
      <c r="E74" s="2078">
        <v>0</v>
      </c>
      <c r="F74" s="2079">
        <v>3525.8495100000073</v>
      </c>
      <c r="H74" s="2273"/>
      <c r="K74" s="2274"/>
      <c r="L74" s="2279"/>
    </row>
    <row r="75" spans="1:12" ht="14.4">
      <c r="B75" s="2075" t="s">
        <v>487</v>
      </c>
      <c r="C75" s="2075">
        <v>265355.87315999996</v>
      </c>
      <c r="D75" s="2076" t="e">
        <v>#REF!</v>
      </c>
      <c r="E75" s="2075">
        <v>563270.26743000001</v>
      </c>
      <c r="F75" s="2075">
        <v>386239.17262999999</v>
      </c>
      <c r="H75" s="2278"/>
      <c r="K75" s="2278"/>
      <c r="L75" s="2278"/>
    </row>
    <row r="76" spans="1:12" ht="14.4">
      <c r="B76" s="2080" t="s">
        <v>18</v>
      </c>
      <c r="C76" s="2078">
        <v>251789.44397999998</v>
      </c>
      <c r="D76" s="2076" t="e">
        <v>#REF!</v>
      </c>
      <c r="E76" s="2078">
        <v>485934.52084000001</v>
      </c>
      <c r="F76" s="2079">
        <v>318587.41132999997</v>
      </c>
      <c r="H76" s="1533"/>
      <c r="K76" s="2274"/>
      <c r="L76" s="2279"/>
    </row>
    <row r="77" spans="1:12" ht="14.4">
      <c r="B77" s="2080" t="s">
        <v>185</v>
      </c>
      <c r="C77" s="2078">
        <v>13566.429179999992</v>
      </c>
      <c r="D77" s="2076" t="e">
        <v>#REF!</v>
      </c>
      <c r="E77" s="2078">
        <v>77335.74659000001</v>
      </c>
      <c r="F77" s="2079">
        <v>67651.761300000013</v>
      </c>
      <c r="H77" s="1533"/>
      <c r="K77" s="2274"/>
      <c r="L77" s="2279"/>
    </row>
    <row r="78" spans="1:12" ht="14.4">
      <c r="B78" s="2075" t="s">
        <v>278</v>
      </c>
      <c r="C78" s="2075">
        <v>663983.2302300001</v>
      </c>
      <c r="D78" s="2076" t="e">
        <v>#REF!</v>
      </c>
      <c r="E78" s="2075">
        <v>752568.79483000003</v>
      </c>
      <c r="F78" s="2075">
        <v>385646.83423000004</v>
      </c>
      <c r="H78" s="2278"/>
      <c r="K78" s="2278"/>
      <c r="L78" s="2278"/>
    </row>
    <row r="79" spans="1:12" ht="14.4">
      <c r="B79" s="2081" t="s">
        <v>486</v>
      </c>
      <c r="C79" s="2078">
        <v>168523.1826400001</v>
      </c>
      <c r="D79" s="2076" t="e">
        <v>#REF!</v>
      </c>
      <c r="E79" s="2082">
        <v>279050.33724000002</v>
      </c>
      <c r="F79" s="2083">
        <v>168892.44187000001</v>
      </c>
      <c r="H79" s="2275"/>
      <c r="K79" s="2276"/>
      <c r="L79" s="2280"/>
    </row>
    <row r="80" spans="1:12" ht="23.25" customHeight="1">
      <c r="B80" s="2081" t="s">
        <v>485</v>
      </c>
      <c r="C80" s="2082">
        <v>495460.04759000003</v>
      </c>
      <c r="D80" s="2076" t="e">
        <v>#REF!</v>
      </c>
      <c r="E80" s="2082">
        <v>473518.45759000001</v>
      </c>
      <c r="F80" s="2083">
        <v>216754.39236000006</v>
      </c>
      <c r="H80" s="2275"/>
      <c r="K80" s="2276"/>
      <c r="L80" s="2280"/>
    </row>
    <row r="81" spans="1:12" ht="14.4">
      <c r="B81" s="2077" t="s">
        <v>994</v>
      </c>
      <c r="C81" s="2084">
        <v>473551.12734000001</v>
      </c>
      <c r="D81" s="2076" t="e">
        <v>#REF!</v>
      </c>
      <c r="E81" s="2082">
        <v>232166.32011999999</v>
      </c>
      <c r="F81" s="2085">
        <v>1000.48878</v>
      </c>
      <c r="H81" s="2273"/>
      <c r="K81" s="2276"/>
      <c r="L81" s="2277"/>
    </row>
    <row r="82" spans="1:12" ht="14.4">
      <c r="B82" s="2350" t="s">
        <v>185</v>
      </c>
      <c r="C82" s="2351">
        <v>8944.1671299999998</v>
      </c>
      <c r="D82" s="2076" t="e">
        <v>#REF!</v>
      </c>
      <c r="E82" s="2352">
        <v>8237.2216599999992</v>
      </c>
      <c r="F82" s="2353">
        <v>1016.13153</v>
      </c>
      <c r="H82" s="2273"/>
      <c r="K82" s="2276"/>
      <c r="L82" s="2277"/>
    </row>
    <row r="83" spans="1:12" ht="14.4">
      <c r="B83" s="2077" t="s">
        <v>988</v>
      </c>
      <c r="C83" s="2084">
        <v>71822.556330000007</v>
      </c>
      <c r="D83" s="2076" t="e">
        <v>#REF!</v>
      </c>
      <c r="E83" s="2082">
        <v>59840.246120000003</v>
      </c>
      <c r="F83" s="2085">
        <v>0</v>
      </c>
      <c r="H83" s="2273"/>
      <c r="K83" s="2276"/>
      <c r="L83" s="2277"/>
    </row>
    <row r="84" spans="1:12" ht="14.4">
      <c r="B84" s="2077" t="s">
        <v>995</v>
      </c>
      <c r="C84" s="2084">
        <v>0</v>
      </c>
      <c r="D84" s="2076" t="e">
        <v>#REF!</v>
      </c>
      <c r="E84" s="2082"/>
      <c r="F84" s="2085"/>
      <c r="H84" s="2273"/>
      <c r="K84" s="2276"/>
      <c r="L84" s="2277"/>
    </row>
    <row r="85" spans="1:12" ht="14.4">
      <c r="B85" s="2075" t="s">
        <v>996</v>
      </c>
      <c r="C85" s="2075">
        <v>545373.68367000006</v>
      </c>
      <c r="D85" s="2076" t="e">
        <v>#REF!</v>
      </c>
      <c r="E85" s="2075">
        <v>292006.56624000001</v>
      </c>
      <c r="F85" s="2075">
        <v>1000.48878</v>
      </c>
      <c r="H85" s="2278"/>
      <c r="K85" s="2278"/>
      <c r="L85" s="2278"/>
    </row>
    <row r="86" spans="1:12" ht="14.4">
      <c r="B86" s="2075" t="s">
        <v>282</v>
      </c>
      <c r="C86" s="2075">
        <v>1488109.791350001</v>
      </c>
      <c r="D86" s="2076" t="e">
        <v>#REF!</v>
      </c>
      <c r="E86" s="2075">
        <v>4331705.85568</v>
      </c>
      <c r="F86" s="2075">
        <v>3497400.6465800004</v>
      </c>
      <c r="H86" s="2278"/>
      <c r="K86" s="2278"/>
      <c r="L86" s="2278"/>
    </row>
    <row r="87" spans="1:12" ht="14.4">
      <c r="B87" s="2075" t="s">
        <v>481</v>
      </c>
      <c r="C87" s="2075">
        <v>776812.72834999627</v>
      </c>
      <c r="D87" s="2076" t="e">
        <v>#REF!</v>
      </c>
      <c r="E87" s="2075">
        <v>959405.76645000011</v>
      </c>
      <c r="F87" s="2075">
        <v>219048.36504000399</v>
      </c>
      <c r="H87" s="2278"/>
      <c r="K87" s="2278"/>
      <c r="L87" s="2278"/>
    </row>
    <row r="88" spans="1:12" ht="14.4">
      <c r="B88" s="2077" t="s">
        <v>482</v>
      </c>
      <c r="C88" s="2078">
        <v>769196.47291999625</v>
      </c>
      <c r="D88" s="2076" t="e">
        <v>#REF!</v>
      </c>
      <c r="E88" s="2078">
        <v>959397.83311000012</v>
      </c>
      <c r="F88" s="2078">
        <v>219036.806940004</v>
      </c>
      <c r="H88" s="2273"/>
      <c r="K88" s="2274"/>
      <c r="L88" s="2274"/>
    </row>
    <row r="89" spans="1:12" ht="14.4">
      <c r="B89" s="2077" t="s">
        <v>997</v>
      </c>
      <c r="C89" s="2078">
        <v>7616.2554299999993</v>
      </c>
      <c r="D89" s="2076" t="e">
        <v>#REF!</v>
      </c>
      <c r="E89" s="2078">
        <v>7.9333400000000003</v>
      </c>
      <c r="F89" s="2078">
        <v>11.558100000001104</v>
      </c>
      <c r="H89" s="2273"/>
      <c r="K89" s="2274"/>
      <c r="L89" s="2274"/>
    </row>
    <row r="90" spans="1:12" ht="14.4">
      <c r="B90" s="2075" t="s">
        <v>395</v>
      </c>
      <c r="C90" s="2075">
        <v>16583.006649999996</v>
      </c>
      <c r="D90" s="2076" t="e">
        <v>#REF!</v>
      </c>
      <c r="E90" s="2075">
        <v>152105.44298000002</v>
      </c>
      <c r="F90" s="2075">
        <v>148480.52187000003</v>
      </c>
      <c r="H90" s="2278"/>
      <c r="K90" s="2278"/>
      <c r="L90" s="2278"/>
    </row>
    <row r="91" spans="1:12" ht="14.4">
      <c r="A91" s="730">
        <f>C91*1000</f>
        <v>0</v>
      </c>
      <c r="B91" s="2077" t="s">
        <v>198</v>
      </c>
      <c r="C91" s="2078">
        <v>0</v>
      </c>
      <c r="D91" s="2076" t="e">
        <v>#REF!</v>
      </c>
      <c r="E91" s="2078">
        <v>118818.38462000001</v>
      </c>
      <c r="F91" s="2078">
        <v>118818.38462000001</v>
      </c>
      <c r="H91" s="2273"/>
      <c r="K91" s="2274"/>
      <c r="L91" s="2274"/>
    </row>
    <row r="92" spans="1:12" ht="14.4">
      <c r="A92" s="730">
        <f>C92*1000</f>
        <v>16583006.649999995</v>
      </c>
      <c r="B92" s="2077" t="s">
        <v>199</v>
      </c>
      <c r="C92" s="2078">
        <v>16583.006649999996</v>
      </c>
      <c r="D92" s="2076" t="e">
        <v>#REF!</v>
      </c>
      <c r="E92" s="2078">
        <v>33287.058360000003</v>
      </c>
      <c r="F92" s="2078">
        <v>29662.137250000007</v>
      </c>
      <c r="H92" s="2273"/>
      <c r="K92" s="2274"/>
      <c r="L92" s="2274"/>
    </row>
    <row r="93" spans="1:12" ht="14.4">
      <c r="B93" s="2086" t="s">
        <v>483</v>
      </c>
      <c r="C93" s="2087">
        <v>2264922.5196999973</v>
      </c>
      <c r="D93" s="2076" t="e">
        <v>#REF!</v>
      </c>
      <c r="E93" s="2088">
        <v>5291111.62213</v>
      </c>
      <c r="F93" s="2088">
        <v>3716449.0116200042</v>
      </c>
      <c r="H93" s="2281"/>
      <c r="K93" s="2282"/>
      <c r="L93" s="2282"/>
    </row>
    <row r="94" spans="1:12" ht="23.4">
      <c r="A94" s="2199" t="s">
        <v>125</v>
      </c>
      <c r="B94" s="843"/>
      <c r="C94" s="3357" t="s">
        <v>479</v>
      </c>
      <c r="D94" s="3359" t="s">
        <v>358</v>
      </c>
      <c r="E94" s="3357" t="s">
        <v>488</v>
      </c>
      <c r="F94" s="3357" t="s">
        <v>480</v>
      </c>
    </row>
    <row r="95" spans="1:12">
      <c r="A95" s="2200"/>
      <c r="B95" s="843"/>
      <c r="C95" s="3358"/>
      <c r="D95" s="3359"/>
      <c r="E95" s="3358"/>
      <c r="F95" s="3358"/>
    </row>
    <row r="96" spans="1:12" ht="14.4">
      <c r="B96" s="2075" t="s">
        <v>277</v>
      </c>
      <c r="C96" s="2075">
        <v>1689069.6134900004</v>
      </c>
      <c r="D96" s="2076">
        <v>72.209510877280707</v>
      </c>
      <c r="E96" s="2075">
        <v>5707461.2566200001</v>
      </c>
      <c r="F96" s="2075">
        <v>5053561.1779299993</v>
      </c>
    </row>
    <row r="97" spans="2:7" ht="14.4">
      <c r="B97" s="2077" t="s">
        <v>484</v>
      </c>
      <c r="C97" s="2078">
        <v>1669152.9274100005</v>
      </c>
      <c r="D97" s="2076">
        <v>71.358051500682507</v>
      </c>
      <c r="E97" s="2078">
        <v>5707461.2566200001</v>
      </c>
      <c r="F97" s="2079">
        <v>5053561.1779299993</v>
      </c>
      <c r="G97" s="1495">
        <f>(C97)-E329</f>
        <v>0</v>
      </c>
    </row>
    <row r="98" spans="2:7" ht="14.4">
      <c r="B98" s="2077" t="s">
        <v>993</v>
      </c>
      <c r="C98" s="2078">
        <v>19916.686079999999</v>
      </c>
      <c r="D98" s="2076" t="e">
        <v>#DIV/0!</v>
      </c>
      <c r="E98" s="2078">
        <v>0</v>
      </c>
      <c r="F98" s="2079">
        <v>0</v>
      </c>
    </row>
    <row r="99" spans="2:7" ht="23.25" customHeight="1">
      <c r="B99" s="2075" t="s">
        <v>487</v>
      </c>
      <c r="C99" s="2075">
        <v>378178.00578999997</v>
      </c>
      <c r="D99" s="2076">
        <v>145.14227831365341</v>
      </c>
      <c r="E99" s="2075">
        <v>635758.47426999989</v>
      </c>
      <c r="F99" s="2075">
        <v>519409.65061999997</v>
      </c>
    </row>
    <row r="100" spans="2:7" ht="14.4">
      <c r="B100" s="2080" t="s">
        <v>18</v>
      </c>
      <c r="C100" s="2078">
        <v>369433.92489999998</v>
      </c>
      <c r="D100" s="2076">
        <v>170.91465755603065</v>
      </c>
      <c r="E100" s="2078">
        <v>527408.70188999991</v>
      </c>
      <c r="F100" s="2079">
        <v>413534.92623999994</v>
      </c>
    </row>
    <row r="101" spans="2:7" ht="14.4">
      <c r="B101" s="2080" t="s">
        <v>185</v>
      </c>
      <c r="C101" s="2078">
        <v>8744.0808899999975</v>
      </c>
      <c r="D101" s="2076">
        <v>19.691372582466329</v>
      </c>
      <c r="E101" s="2078">
        <v>108349.77238000001</v>
      </c>
      <c r="F101" s="2079">
        <v>105874.72438000001</v>
      </c>
    </row>
    <row r="102" spans="2:7" ht="14.4">
      <c r="B102" s="2075" t="s">
        <v>278</v>
      </c>
      <c r="C102" s="2075">
        <v>1603917.3486600001</v>
      </c>
      <c r="D102" s="2076">
        <v>252.24379018497294</v>
      </c>
      <c r="E102" s="2075">
        <v>1551498.3849000002</v>
      </c>
      <c r="F102" s="2075">
        <v>948047.29637999996</v>
      </c>
    </row>
    <row r="103" spans="2:7" ht="14.4">
      <c r="B103" s="2081" t="s">
        <v>486</v>
      </c>
      <c r="C103" s="2078">
        <v>287966.77158</v>
      </c>
      <c r="D103" s="2076">
        <v>235.8522112145574</v>
      </c>
      <c r="E103" s="2082">
        <v>297914.91843000002</v>
      </c>
      <c r="F103" s="2083">
        <v>252124.51056999998</v>
      </c>
    </row>
    <row r="104" spans="2:7" ht="14.4">
      <c r="B104" s="2081" t="s">
        <v>485</v>
      </c>
      <c r="C104" s="2082">
        <v>1315950.5770800002</v>
      </c>
      <c r="D104" s="2076">
        <v>256.13925948759646</v>
      </c>
      <c r="E104" s="2082">
        <v>1253583.4664700001</v>
      </c>
      <c r="F104" s="2083">
        <v>695922.78581000003</v>
      </c>
    </row>
    <row r="105" spans="2:7" ht="14.4">
      <c r="B105" s="2077" t="s">
        <v>994</v>
      </c>
      <c r="C105" s="2084">
        <v>1273846.1479400001</v>
      </c>
      <c r="D105" s="2076">
        <v>622.87967117775486</v>
      </c>
      <c r="E105" s="2082">
        <v>499002.41488</v>
      </c>
      <c r="F105" s="2085"/>
    </row>
    <row r="106" spans="2:7" ht="14.4">
      <c r="B106" s="2077" t="s">
        <v>988</v>
      </c>
      <c r="C106" s="2084">
        <v>0</v>
      </c>
      <c r="D106" s="2076" t="e">
        <v>#DIV/0!</v>
      </c>
      <c r="E106" s="2082"/>
      <c r="F106" s="2085"/>
    </row>
    <row r="107" spans="2:7" ht="14.4">
      <c r="B107" s="2077" t="s">
        <v>995</v>
      </c>
      <c r="C107" s="2084">
        <v>0</v>
      </c>
      <c r="D107" s="2076" t="e">
        <v>#DIV/0!</v>
      </c>
      <c r="E107" s="2082"/>
      <c r="F107" s="2085"/>
    </row>
    <row r="108" spans="2:7" ht="14.4">
      <c r="B108" s="2075" t="s">
        <v>996</v>
      </c>
      <c r="C108" s="2075">
        <v>1273846.1479400001</v>
      </c>
      <c r="D108" s="2076">
        <v>622.87967117775486</v>
      </c>
      <c r="E108" s="2075">
        <v>499002.41488</v>
      </c>
      <c r="F108" s="2075">
        <v>0</v>
      </c>
    </row>
    <row r="109" spans="2:7" ht="14.4">
      <c r="B109" s="2075" t="s">
        <v>282</v>
      </c>
      <c r="C109" s="2075">
        <v>3671164.9679400004</v>
      </c>
      <c r="D109" s="2076">
        <v>113.46374107845187</v>
      </c>
      <c r="E109" s="2075">
        <v>7894718.1157900002</v>
      </c>
      <c r="F109" s="2075">
        <v>6521018.1249299999</v>
      </c>
    </row>
    <row r="110" spans="2:7" ht="14.4">
      <c r="B110" s="2075" t="s">
        <v>481</v>
      </c>
      <c r="C110" s="2075">
        <v>14060.402859999969</v>
      </c>
      <c r="D110" s="2076" t="e">
        <v>#DIV/0!</v>
      </c>
      <c r="E110" s="2075">
        <v>0</v>
      </c>
      <c r="F110" s="2075">
        <v>0</v>
      </c>
    </row>
    <row r="111" spans="2:7" ht="14.4">
      <c r="B111" s="2077" t="s">
        <v>482</v>
      </c>
      <c r="C111" s="2078">
        <v>14060.402859999969</v>
      </c>
      <c r="D111" s="2076" t="e">
        <v>#DIV/0!</v>
      </c>
      <c r="E111" s="2078">
        <v>0</v>
      </c>
      <c r="F111" s="2078">
        <v>0</v>
      </c>
    </row>
    <row r="112" spans="2:7" ht="14.4">
      <c r="B112" s="2077" t="s">
        <v>997</v>
      </c>
      <c r="C112" s="2078">
        <v>0</v>
      </c>
      <c r="D112" s="2076" t="e">
        <v>#DIV/0!</v>
      </c>
      <c r="E112" s="2078">
        <v>0</v>
      </c>
      <c r="F112" s="2078">
        <v>0</v>
      </c>
    </row>
    <row r="113" spans="1:12" ht="14.4">
      <c r="B113" s="2075" t="s">
        <v>395</v>
      </c>
      <c r="C113" s="2075">
        <v>23565.210099999997</v>
      </c>
      <c r="D113" s="2076">
        <v>36.566580030463385</v>
      </c>
      <c r="E113" s="2075">
        <v>157244.98324999999</v>
      </c>
      <c r="F113" s="2075">
        <v>133679.77315000002</v>
      </c>
    </row>
    <row r="114" spans="1:12" ht="14.4">
      <c r="A114" s="730">
        <f>C114*1000</f>
        <v>0</v>
      </c>
      <c r="B114" s="2077" t="s">
        <v>198</v>
      </c>
      <c r="C114" s="2078">
        <v>0</v>
      </c>
      <c r="D114" s="2076">
        <v>0</v>
      </c>
      <c r="E114" s="2078">
        <v>75154.345270000005</v>
      </c>
      <c r="F114" s="2078">
        <v>75154.345270000005</v>
      </c>
    </row>
    <row r="115" spans="1:12" ht="14.4">
      <c r="A115" s="730">
        <f>C115*1000</f>
        <v>23565210.099999998</v>
      </c>
      <c r="B115" s="2077" t="s">
        <v>199</v>
      </c>
      <c r="C115" s="2078">
        <v>23565.210099999997</v>
      </c>
      <c r="D115" s="2076">
        <v>70.043447168736435</v>
      </c>
      <c r="E115" s="2078">
        <v>82090.63798</v>
      </c>
      <c r="F115" s="2078">
        <v>58525.427880000003</v>
      </c>
    </row>
    <row r="116" spans="1:12" ht="14.4">
      <c r="B116" s="2086" t="s">
        <v>483</v>
      </c>
      <c r="C116" s="2087">
        <v>3685225.3708000001</v>
      </c>
      <c r="D116" s="2076">
        <v>130.99030437509163</v>
      </c>
      <c r="E116" s="2088">
        <v>7894718.1157900002</v>
      </c>
      <c r="F116" s="2088">
        <v>6521018.1249299999</v>
      </c>
    </row>
    <row r="117" spans="1:12" ht="23.25" customHeight="1">
      <c r="A117" s="2201" t="s">
        <v>3</v>
      </c>
      <c r="B117" s="1852"/>
      <c r="C117" s="3367" t="s">
        <v>479</v>
      </c>
      <c r="D117" s="3369" t="s">
        <v>358</v>
      </c>
      <c r="E117" s="3367" t="s">
        <v>488</v>
      </c>
      <c r="F117" s="3367" t="s">
        <v>480</v>
      </c>
    </row>
    <row r="118" spans="1:12">
      <c r="A118" s="2202"/>
      <c r="B118" s="1852"/>
      <c r="C118" s="3368"/>
      <c r="D118" s="3369"/>
      <c r="E118" s="3368"/>
      <c r="F118" s="3368"/>
    </row>
    <row r="119" spans="1:12" ht="15" customHeight="1">
      <c r="B119" s="2075" t="s">
        <v>277</v>
      </c>
      <c r="C119" s="2075">
        <v>2863993.7023899998</v>
      </c>
      <c r="D119" s="2076">
        <v>173.3010905304177</v>
      </c>
      <c r="E119" s="2075">
        <v>4032371.9905299991</v>
      </c>
      <c r="F119" s="2075">
        <v>3032390.3760199994</v>
      </c>
      <c r="H119" s="2299"/>
      <c r="K119" s="2299"/>
      <c r="L119" s="2299"/>
    </row>
    <row r="120" spans="1:12" ht="15" customHeight="1">
      <c r="A120" s="730" t="s">
        <v>1025</v>
      </c>
      <c r="B120" s="2077" t="s">
        <v>484</v>
      </c>
      <c r="C120" s="2078">
        <v>2615553.2980599999</v>
      </c>
      <c r="D120" s="2076">
        <v>158.26788952642192</v>
      </c>
      <c r="E120" s="2078">
        <v>4032371.9905299991</v>
      </c>
      <c r="F120" s="2079">
        <v>3032390.3760199994</v>
      </c>
      <c r="G120" s="1918">
        <f>C120-E344</f>
        <v>0</v>
      </c>
      <c r="H120" s="2294"/>
      <c r="K120" s="2300"/>
      <c r="L120" s="2300"/>
    </row>
    <row r="121" spans="1:12" ht="15" customHeight="1">
      <c r="B121" s="2077" t="s">
        <v>993</v>
      </c>
      <c r="C121" s="2078">
        <v>248440.40432999999</v>
      </c>
      <c r="D121" s="2076" t="e">
        <v>#DIV/0!</v>
      </c>
      <c r="E121" s="2078">
        <v>0</v>
      </c>
      <c r="F121" s="2079">
        <v>0</v>
      </c>
      <c r="G121" s="2197"/>
      <c r="H121" s="2294"/>
      <c r="K121" s="2300"/>
      <c r="L121" s="2300"/>
    </row>
    <row r="122" spans="1:12" ht="15" customHeight="1">
      <c r="B122" s="2075" t="s">
        <v>487</v>
      </c>
      <c r="C122" s="2075">
        <v>584734</v>
      </c>
      <c r="D122" s="2076">
        <v>337.63013852819876</v>
      </c>
      <c r="E122" s="2075">
        <v>422578.08092000004</v>
      </c>
      <c r="F122" s="2075">
        <v>162868.38357999997</v>
      </c>
      <c r="H122" s="2299"/>
      <c r="K122" s="2299"/>
      <c r="L122" s="2299"/>
    </row>
    <row r="123" spans="1:12" ht="15" customHeight="1">
      <c r="B123" s="2080" t="s">
        <v>18</v>
      </c>
      <c r="C123" s="2078">
        <v>567691</v>
      </c>
      <c r="D123" s="2076">
        <v>388.8728486556808</v>
      </c>
      <c r="E123" s="2078">
        <v>356200.24509000004</v>
      </c>
      <c r="F123" s="2079">
        <v>103146.24508999998</v>
      </c>
      <c r="H123" s="2295"/>
      <c r="K123" s="2300"/>
      <c r="L123" s="2300"/>
    </row>
    <row r="124" spans="1:12" ht="15" customHeight="1">
      <c r="B124" s="2080" t="s">
        <v>185</v>
      </c>
      <c r="C124" s="2078">
        <v>17043</v>
      </c>
      <c r="D124" s="2076">
        <v>62.648803595379292</v>
      </c>
      <c r="E124" s="2078">
        <v>66377.835829999996</v>
      </c>
      <c r="F124" s="2079">
        <v>59722.138489999998</v>
      </c>
      <c r="H124" s="2295"/>
      <c r="K124" s="2300"/>
      <c r="L124" s="2300"/>
    </row>
    <row r="125" spans="1:12" ht="15" customHeight="1">
      <c r="B125" s="2075" t="s">
        <v>278</v>
      </c>
      <c r="C125" s="2075">
        <v>1047223.06151</v>
      </c>
      <c r="D125" s="2076">
        <v>202.88770674137405</v>
      </c>
      <c r="E125" s="2075">
        <v>1259427.8436699999</v>
      </c>
      <c r="F125" s="2075">
        <v>871216.78215999994</v>
      </c>
      <c r="G125" s="84"/>
      <c r="H125" s="2295"/>
      <c r="K125" s="2300"/>
      <c r="L125" s="2300"/>
    </row>
    <row r="126" spans="1:12" ht="15" customHeight="1">
      <c r="B126" s="2081" t="s">
        <v>486</v>
      </c>
      <c r="C126" s="2078">
        <v>466993.06151000003</v>
      </c>
      <c r="D126" s="2076">
        <v>288.7142135559219</v>
      </c>
      <c r="E126" s="2082">
        <v>394668.15853999997</v>
      </c>
      <c r="F126" s="2083">
        <v>222888.09702999995</v>
      </c>
      <c r="H126" s="2295"/>
      <c r="K126" s="2300"/>
      <c r="L126" s="2300"/>
    </row>
    <row r="127" spans="1:12" ht="15" customHeight="1">
      <c r="B127" s="2081" t="s">
        <v>485</v>
      </c>
      <c r="C127" s="2082">
        <v>580230</v>
      </c>
      <c r="D127" s="2076">
        <v>163.71729907681433</v>
      </c>
      <c r="E127" s="2082">
        <v>864759.68513</v>
      </c>
      <c r="F127" s="2083">
        <v>648328.68513</v>
      </c>
      <c r="H127" s="2299"/>
      <c r="K127" s="2299"/>
      <c r="L127" s="2299"/>
    </row>
    <row r="128" spans="1:12" ht="15" customHeight="1">
      <c r="B128" s="2077" t="s">
        <v>994</v>
      </c>
      <c r="C128" s="2084">
        <v>417311.98514</v>
      </c>
      <c r="D128" s="2076">
        <v>632.90071522238952</v>
      </c>
      <c r="E128" s="2082">
        <v>160884.83063000001</v>
      </c>
      <c r="F128" s="2085"/>
      <c r="H128" s="2296"/>
      <c r="K128" s="2297"/>
      <c r="L128" s="2297"/>
    </row>
    <row r="129" spans="1:12" ht="15" customHeight="1">
      <c r="B129" s="2350" t="s">
        <v>1192</v>
      </c>
      <c r="C129" s="2351">
        <v>5024.8015300000006</v>
      </c>
      <c r="D129" s="2076"/>
      <c r="E129" s="2352">
        <v>2702.5950700000003</v>
      </c>
      <c r="F129" s="2353"/>
      <c r="H129" s="2296"/>
      <c r="K129" s="2297"/>
      <c r="L129" s="2297"/>
    </row>
    <row r="130" spans="1:12" ht="15" customHeight="1">
      <c r="B130" s="2350" t="s">
        <v>185</v>
      </c>
      <c r="C130" s="2351"/>
      <c r="D130" s="2076" t="e">
        <v>#DIV/0!</v>
      </c>
      <c r="E130" s="2352"/>
      <c r="F130" s="2353"/>
      <c r="H130" s="2296"/>
      <c r="K130" s="2297"/>
      <c r="L130" s="2297"/>
    </row>
    <row r="131" spans="1:12" ht="15" customHeight="1">
      <c r="B131" s="2077" t="s">
        <v>988</v>
      </c>
      <c r="C131" s="2084"/>
      <c r="D131" s="2076"/>
      <c r="E131" s="2082"/>
      <c r="F131" s="2085"/>
      <c r="H131" s="2296"/>
      <c r="K131" s="2297"/>
      <c r="L131" s="2297"/>
    </row>
    <row r="132" spans="1:12" ht="15" customHeight="1">
      <c r="B132" s="2077" t="s">
        <v>995</v>
      </c>
      <c r="C132" s="2084"/>
      <c r="D132" s="2076"/>
      <c r="E132" s="2082"/>
      <c r="F132" s="2085"/>
      <c r="H132" s="2294"/>
      <c r="K132" s="2297"/>
      <c r="L132" s="2297"/>
    </row>
    <row r="133" spans="1:12" ht="15" customHeight="1">
      <c r="B133" s="2075" t="s">
        <v>996</v>
      </c>
      <c r="C133" s="2075">
        <v>417311.98514</v>
      </c>
      <c r="D133" s="2076">
        <v>632.90071522238952</v>
      </c>
      <c r="E133" s="2075">
        <v>160884.83063000001</v>
      </c>
      <c r="F133" s="2075">
        <v>0</v>
      </c>
      <c r="H133" s="2294"/>
      <c r="K133" s="2297"/>
      <c r="L133" s="2297"/>
    </row>
    <row r="134" spans="1:12" ht="15" customHeight="1">
      <c r="B134" s="2075" t="s">
        <v>282</v>
      </c>
      <c r="C134" s="2075">
        <v>4495950.7638999997</v>
      </c>
      <c r="D134" s="2076">
        <v>191.97400009001038</v>
      </c>
      <c r="E134" s="2075">
        <v>5714377.9151199982</v>
      </c>
      <c r="F134" s="2075">
        <v>4066475.5417599995</v>
      </c>
      <c r="H134" s="2294"/>
      <c r="K134" s="2297"/>
      <c r="L134" s="2298"/>
    </row>
    <row r="135" spans="1:12" ht="15" customHeight="1">
      <c r="B135" s="2075" t="s">
        <v>481</v>
      </c>
      <c r="C135" s="2075">
        <v>2159826.8183199987</v>
      </c>
      <c r="D135" s="2076">
        <v>318.96220676076229</v>
      </c>
      <c r="E135" s="2075">
        <v>1652226.2904499986</v>
      </c>
      <c r="F135" s="2075">
        <v>1621692.0554699998</v>
      </c>
      <c r="H135" s="2299"/>
      <c r="K135" s="2299"/>
      <c r="L135" s="2299"/>
    </row>
    <row r="136" spans="1:12" ht="15" customHeight="1">
      <c r="B136" s="2077" t="s">
        <v>482</v>
      </c>
      <c r="C136" s="2078">
        <v>2149992.4635699987</v>
      </c>
      <c r="D136" s="2076">
        <v>321.22411542967359</v>
      </c>
      <c r="E136" s="2082">
        <v>1633121.9728299985</v>
      </c>
      <c r="F136" s="2082">
        <v>1606036.9832199998</v>
      </c>
      <c r="H136" s="2299"/>
      <c r="K136" s="2299"/>
      <c r="L136" s="2299"/>
    </row>
    <row r="137" spans="1:12" ht="15" customHeight="1">
      <c r="B137" s="2077" t="s">
        <v>997</v>
      </c>
      <c r="C137" s="2078">
        <v>9834.3547500000004</v>
      </c>
      <c r="D137" s="2076">
        <v>125.60420145485419</v>
      </c>
      <c r="E137" s="2078">
        <v>19104.317619999994</v>
      </c>
      <c r="F137" s="2078">
        <v>15655.072249999992</v>
      </c>
      <c r="K137" s="2299"/>
      <c r="L137" s="2299"/>
    </row>
    <row r="138" spans="1:12" ht="15" customHeight="1">
      <c r="B138" s="2075" t="s">
        <v>395</v>
      </c>
      <c r="C138" s="2075">
        <v>18473.950270000001</v>
      </c>
      <c r="D138" s="2076">
        <v>304.28837761303367</v>
      </c>
      <c r="E138" s="2075">
        <v>14813.723419999998</v>
      </c>
      <c r="F138" s="2075">
        <v>0</v>
      </c>
      <c r="H138" s="2294"/>
      <c r="K138" s="2300"/>
      <c r="L138" s="2300"/>
    </row>
    <row r="139" spans="1:12" ht="15" customHeight="1">
      <c r="A139" s="730">
        <f>C139*1000</f>
        <v>0</v>
      </c>
      <c r="B139" s="2077" t="s">
        <v>198</v>
      </c>
      <c r="C139" s="2078">
        <v>0</v>
      </c>
      <c r="D139" s="2076" t="e">
        <v>#DIV/0!</v>
      </c>
      <c r="E139" s="2078">
        <v>0</v>
      </c>
      <c r="F139" s="2078">
        <v>0</v>
      </c>
      <c r="H139" s="2294"/>
      <c r="K139" s="2300"/>
      <c r="L139" s="2300"/>
    </row>
    <row r="140" spans="1:12" ht="15" customHeight="1">
      <c r="A140" s="730">
        <f>C140*1000</f>
        <v>18473950.27</v>
      </c>
      <c r="B140" s="2077" t="s">
        <v>199</v>
      </c>
      <c r="C140" s="2078">
        <v>18473.950270000001</v>
      </c>
      <c r="D140" s="2076">
        <v>304.28837761303367</v>
      </c>
      <c r="E140" s="2078">
        <v>14813.723419999998</v>
      </c>
      <c r="F140" s="2078">
        <v>0</v>
      </c>
      <c r="H140" s="2450"/>
      <c r="K140" s="2300"/>
      <c r="L140" s="2300"/>
    </row>
    <row r="141" spans="1:12" ht="15" customHeight="1">
      <c r="B141" s="2086" t="s">
        <v>483</v>
      </c>
      <c r="C141" s="2087">
        <v>6655777.5822199984</v>
      </c>
      <c r="D141" s="2076">
        <v>220.45567872829957</v>
      </c>
      <c r="E141" s="2088">
        <v>7366604.2055699965</v>
      </c>
      <c r="F141" s="2088">
        <v>5688167.5972299995</v>
      </c>
      <c r="H141" s="2294"/>
      <c r="K141" s="2300"/>
      <c r="L141" s="2300"/>
    </row>
    <row r="142" spans="1:12" ht="23.4">
      <c r="A142" s="2199" t="s">
        <v>397</v>
      </c>
      <c r="B142" s="843"/>
      <c r="C142" s="3357" t="s">
        <v>479</v>
      </c>
      <c r="D142" s="3359" t="s">
        <v>358</v>
      </c>
      <c r="E142" s="3357" t="s">
        <v>488</v>
      </c>
      <c r="F142" s="3357" t="s">
        <v>480</v>
      </c>
      <c r="H142" s="2299"/>
      <c r="K142" s="2299"/>
      <c r="L142" s="2299"/>
    </row>
    <row r="143" spans="1:12" ht="21">
      <c r="A143" s="2200"/>
      <c r="B143" s="843"/>
      <c r="C143" s="3358"/>
      <c r="D143" s="3359"/>
      <c r="E143" s="3358"/>
      <c r="F143" s="3358"/>
      <c r="H143" s="2294"/>
      <c r="K143" s="2300"/>
      <c r="L143" s="2300"/>
    </row>
    <row r="144" spans="1:12" ht="21">
      <c r="B144" s="2075" t="s">
        <v>277</v>
      </c>
      <c r="C144" s="2075">
        <v>2368015.7871499988</v>
      </c>
      <c r="D144" s="2076">
        <v>207.4330388525008</v>
      </c>
      <c r="E144" s="2075">
        <v>2785457.2022899999</v>
      </c>
      <c r="F144" s="2075">
        <v>2227225.8056700001</v>
      </c>
      <c r="H144" s="2294"/>
      <c r="K144" s="2300"/>
      <c r="L144" s="2300"/>
    </row>
    <row r="145" spans="2:12" ht="21">
      <c r="B145" s="2077" t="s">
        <v>484</v>
      </c>
      <c r="C145" s="2078">
        <v>2368015.7871499988</v>
      </c>
      <c r="D145" s="2076">
        <v>207.4330388525008</v>
      </c>
      <c r="E145" s="2078">
        <v>2785457.2022899999</v>
      </c>
      <c r="F145" s="2079">
        <v>2227225.8056700001</v>
      </c>
      <c r="G145" s="1918">
        <f>C145+C146-E354</f>
        <v>0</v>
      </c>
      <c r="H145" s="2301"/>
      <c r="K145" s="2302"/>
      <c r="L145" s="2302"/>
    </row>
    <row r="146" spans="2:12" ht="14.4">
      <c r="B146" s="2077" t="s">
        <v>993</v>
      </c>
      <c r="C146" s="2078">
        <v>0</v>
      </c>
      <c r="D146" s="2076" t="e">
        <v>#DIV/0!</v>
      </c>
      <c r="E146" s="2078">
        <v>0</v>
      </c>
      <c r="F146" s="2079">
        <v>0</v>
      </c>
    </row>
    <row r="147" spans="2:12" ht="14.4">
      <c r="B147" s="2075" t="s">
        <v>487</v>
      </c>
      <c r="C147" s="2075">
        <v>265728.84999653301</v>
      </c>
      <c r="D147" s="2076">
        <v>74.230526636643077</v>
      </c>
      <c r="E147" s="2075">
        <v>873465.97602000006</v>
      </c>
      <c r="F147" s="2075">
        <v>884709.97600999998</v>
      </c>
    </row>
    <row r="148" spans="2:12" ht="14.4">
      <c r="B148" s="2080" t="s">
        <v>18</v>
      </c>
      <c r="C148" s="2078">
        <v>264309.00009000301</v>
      </c>
      <c r="D148" s="2076">
        <v>73.957814942735652</v>
      </c>
      <c r="E148" s="2078">
        <v>872002.45264000003</v>
      </c>
      <c r="F148" s="2079">
        <v>883345.45705999993</v>
      </c>
    </row>
    <row r="149" spans="2:12" ht="14.4">
      <c r="B149" s="2080" t="s">
        <v>185</v>
      </c>
      <c r="C149" s="2078">
        <v>1419.8499065299989</v>
      </c>
      <c r="D149" s="2076">
        <v>236.71871725979517</v>
      </c>
      <c r="E149" s="2078">
        <v>1463.5233799999999</v>
      </c>
      <c r="F149" s="2079">
        <v>1364.5189500000001</v>
      </c>
    </row>
    <row r="150" spans="2:12" ht="14.4">
      <c r="B150" s="2075" t="s">
        <v>278</v>
      </c>
      <c r="C150" s="2075">
        <v>1002994.5015399997</v>
      </c>
      <c r="D150" s="2076">
        <v>143.99201390354273</v>
      </c>
      <c r="E150" s="2075">
        <v>1699612.7197700001</v>
      </c>
      <c r="F150" s="2075">
        <v>1459035.3932500002</v>
      </c>
    </row>
    <row r="151" spans="2:12" ht="14.4">
      <c r="B151" s="2081" t="s">
        <v>486</v>
      </c>
      <c r="C151" s="2078">
        <v>418789.04574000009</v>
      </c>
      <c r="D151" s="2076">
        <v>196.30035032670872</v>
      </c>
      <c r="E151" s="2082">
        <v>520551.93477999995</v>
      </c>
      <c r="F151" s="2083">
        <v>532478.06520000007</v>
      </c>
    </row>
    <row r="152" spans="2:12" ht="14.4">
      <c r="B152" s="2081" t="s">
        <v>485</v>
      </c>
      <c r="C152" s="2082">
        <v>584205.45579999965</v>
      </c>
      <c r="D152" s="2076">
        <v>120.89803429125911</v>
      </c>
      <c r="E152" s="2082">
        <v>1179060.7849900001</v>
      </c>
      <c r="F152" s="2083">
        <v>926557.32805000013</v>
      </c>
    </row>
    <row r="153" spans="2:12" ht="14.4">
      <c r="B153" s="2077" t="s">
        <v>994</v>
      </c>
      <c r="C153" s="2084">
        <v>418793.85</v>
      </c>
      <c r="D153" s="2076" t="e">
        <v>#DIV/0!</v>
      </c>
      <c r="E153" s="2082"/>
      <c r="F153" s="2085"/>
    </row>
    <row r="154" spans="2:12" ht="14.4">
      <c r="B154" s="2077" t="s">
        <v>988</v>
      </c>
      <c r="C154" s="2084">
        <v>4686.7681199999997</v>
      </c>
      <c r="D154" s="2076" t="e">
        <v>#DIV/0!</v>
      </c>
      <c r="E154" s="2082"/>
      <c r="F154" s="2085"/>
    </row>
    <row r="155" spans="2:12" ht="23.25" customHeight="1">
      <c r="B155" s="2077" t="s">
        <v>995</v>
      </c>
      <c r="C155" s="2084">
        <v>0</v>
      </c>
      <c r="D155" s="2076" t="e">
        <v>#DIV/0!</v>
      </c>
      <c r="E155" s="2082"/>
      <c r="F155" s="2085"/>
    </row>
    <row r="156" spans="2:12" ht="14.4">
      <c r="B156" s="2075" t="s">
        <v>996</v>
      </c>
      <c r="C156" s="2075">
        <v>423480.61812</v>
      </c>
      <c r="D156" s="2076" t="e">
        <v>#DIV/0!</v>
      </c>
      <c r="E156" s="2075">
        <v>0</v>
      </c>
      <c r="F156" s="2075">
        <v>0</v>
      </c>
    </row>
    <row r="157" spans="2:12" ht="14.4">
      <c r="B157" s="2075" t="s">
        <v>282</v>
      </c>
      <c r="C157" s="2075">
        <v>3636739.1386865312</v>
      </c>
      <c r="D157" s="2076">
        <v>165.59828406812809</v>
      </c>
      <c r="E157" s="2075">
        <v>5358535.8980799997</v>
      </c>
      <c r="F157" s="2075">
        <v>4570971.1749300007</v>
      </c>
    </row>
    <row r="158" spans="2:12" ht="14.4">
      <c r="B158" s="2075" t="s">
        <v>481</v>
      </c>
      <c r="C158" s="2075">
        <v>190041.89722000001</v>
      </c>
      <c r="D158" s="2076" t="e">
        <v>#DIV/0!</v>
      </c>
      <c r="E158" s="2075">
        <v>0</v>
      </c>
      <c r="F158" s="2075">
        <v>0</v>
      </c>
    </row>
    <row r="159" spans="2:12" ht="14.4">
      <c r="B159" s="2077" t="s">
        <v>482</v>
      </c>
      <c r="C159" s="2078">
        <v>177983.92722000001</v>
      </c>
      <c r="D159" s="2076" t="e">
        <v>#DIV/0!</v>
      </c>
      <c r="E159" s="2078">
        <v>0</v>
      </c>
      <c r="F159" s="2078">
        <v>0</v>
      </c>
    </row>
    <row r="160" spans="2:12" ht="14.4">
      <c r="B160" s="2077" t="s">
        <v>997</v>
      </c>
      <c r="C160" s="2078">
        <v>12057.97</v>
      </c>
      <c r="D160" s="2076" t="e">
        <v>#DIV/0!</v>
      </c>
      <c r="E160" s="2078">
        <v>0</v>
      </c>
      <c r="F160" s="2078">
        <v>0</v>
      </c>
    </row>
    <row r="161" spans="1:7" ht="14.4">
      <c r="B161" s="2075" t="s">
        <v>395</v>
      </c>
      <c r="C161" s="2075">
        <v>186272.15485999966</v>
      </c>
      <c r="D161" s="2076">
        <v>151.87244467617163</v>
      </c>
      <c r="E161" s="2075">
        <v>299266.96632000001</v>
      </c>
      <c r="F161" s="2075">
        <v>287699.94748999999</v>
      </c>
    </row>
    <row r="162" spans="1:7" ht="14.4">
      <c r="A162" s="730">
        <f>C162*1000</f>
        <v>141116830.83999965</v>
      </c>
      <c r="B162" s="2077" t="s">
        <v>198</v>
      </c>
      <c r="C162" s="2078">
        <v>141116.83083999966</v>
      </c>
      <c r="D162" s="2076">
        <v>125.58791589599861</v>
      </c>
      <c r="E162" s="2078">
        <v>274170.54005000001</v>
      </c>
      <c r="F162" s="2078">
        <v>271183.05197999999</v>
      </c>
    </row>
    <row r="163" spans="1:7" ht="14.4">
      <c r="A163" s="730">
        <f>C163*1000</f>
        <v>45155324.020000003</v>
      </c>
      <c r="B163" s="2077" t="s">
        <v>199</v>
      </c>
      <c r="C163" s="2078">
        <v>45155.32402</v>
      </c>
      <c r="D163" s="2076">
        <v>439.0226298495208</v>
      </c>
      <c r="E163" s="2078">
        <v>25096.42627</v>
      </c>
      <c r="F163" s="2078">
        <v>16516.895510000002</v>
      </c>
      <c r="G163" s="84"/>
    </row>
    <row r="164" spans="1:7" ht="14.4">
      <c r="B164" s="2086" t="s">
        <v>483</v>
      </c>
      <c r="C164" s="2087">
        <v>3826781.0359065314</v>
      </c>
      <c r="D164" s="2076">
        <v>174.25180880019059</v>
      </c>
      <c r="E164" s="2088">
        <v>5358535.8980799997</v>
      </c>
      <c r="F164" s="2088">
        <v>4570971.1749300007</v>
      </c>
    </row>
    <row r="165" spans="1:7" ht="23.4">
      <c r="A165" s="2199" t="s">
        <v>399</v>
      </c>
      <c r="B165" s="843"/>
      <c r="C165" s="3357" t="s">
        <v>479</v>
      </c>
      <c r="D165" s="3359" t="s">
        <v>358</v>
      </c>
      <c r="E165" s="3357" t="s">
        <v>488</v>
      </c>
      <c r="F165" s="3357" t="s">
        <v>480</v>
      </c>
    </row>
    <row r="166" spans="1:7">
      <c r="A166" s="2200"/>
      <c r="B166" s="843"/>
      <c r="C166" s="3358"/>
      <c r="D166" s="3359"/>
      <c r="E166" s="3358"/>
      <c r="F166" s="3358"/>
    </row>
    <row r="167" spans="1:7" ht="14.4">
      <c r="B167" s="2075" t="s">
        <v>277</v>
      </c>
      <c r="C167" s="2075">
        <v>1855602.9734520002</v>
      </c>
      <c r="D167" s="2076">
        <v>107.31438507308724</v>
      </c>
      <c r="E167" s="2075">
        <v>4219072.0770000005</v>
      </c>
      <c r="F167" s="2075">
        <v>3679344.8008300001</v>
      </c>
    </row>
    <row r="168" spans="1:7" ht="14.4">
      <c r="B168" s="2077" t="s">
        <v>484</v>
      </c>
      <c r="C168" s="2078">
        <v>1694795.0696120001</v>
      </c>
      <c r="D168" s="2076">
        <v>98.014442379323199</v>
      </c>
      <c r="E168" s="2078">
        <v>4219072.0770000005</v>
      </c>
      <c r="F168" s="2079">
        <v>3678457.0167800002</v>
      </c>
      <c r="G168" s="1918">
        <f>C168-E367</f>
        <v>0</v>
      </c>
    </row>
    <row r="169" spans="1:7" ht="14.4">
      <c r="B169" s="2077" t="s">
        <v>993</v>
      </c>
      <c r="C169" s="2078">
        <v>160807.90383999998</v>
      </c>
      <c r="D169" s="2076" t="e">
        <v>#DIV/0!</v>
      </c>
      <c r="E169" s="2078">
        <v>0</v>
      </c>
      <c r="F169" s="2079">
        <v>887.78404999993859</v>
      </c>
    </row>
    <row r="170" spans="1:7" ht="14.4">
      <c r="B170" s="2075" t="s">
        <v>487</v>
      </c>
      <c r="C170" s="2075">
        <v>470689.99999999994</v>
      </c>
      <c r="D170" s="2076">
        <v>226.13800654344632</v>
      </c>
      <c r="E170" s="2075">
        <v>507868.45500000002</v>
      </c>
      <c r="F170" s="2075">
        <v>416329.15024000301</v>
      </c>
    </row>
    <row r="171" spans="1:7" ht="14.4">
      <c r="B171" s="2080" t="s">
        <v>18</v>
      </c>
      <c r="C171" s="2078">
        <v>454199.99999999994</v>
      </c>
      <c r="D171" s="2076">
        <v>262.46220653302169</v>
      </c>
      <c r="E171" s="2078">
        <v>422250.50784999999</v>
      </c>
      <c r="F171" s="2079">
        <v>341647.43417000299</v>
      </c>
    </row>
    <row r="172" spans="1:7" ht="14.4">
      <c r="B172" s="2080" t="s">
        <v>185</v>
      </c>
      <c r="C172" s="2078">
        <v>16490.000000000015</v>
      </c>
      <c r="D172" s="2076">
        <v>46.994352632057975</v>
      </c>
      <c r="E172" s="2078">
        <v>85617.947150000007</v>
      </c>
      <c r="F172" s="2079">
        <v>74681.716069999995</v>
      </c>
    </row>
    <row r="173" spans="1:7" ht="23.25" customHeight="1">
      <c r="B173" s="2075" t="s">
        <v>278</v>
      </c>
      <c r="C173" s="2075">
        <v>1330700.6805099994</v>
      </c>
      <c r="D173" s="2076">
        <v>138.81360742228571</v>
      </c>
      <c r="E173" s="2075">
        <v>2339042.7788299997</v>
      </c>
      <c r="F173" s="2075">
        <v>1826177.8611000013</v>
      </c>
    </row>
    <row r="174" spans="1:7" ht="14.4">
      <c r="B174" s="2081" t="s">
        <v>486</v>
      </c>
      <c r="C174" s="2078">
        <v>246545.79957000003</v>
      </c>
      <c r="D174" s="2076">
        <v>269.48449811954936</v>
      </c>
      <c r="E174" s="2082">
        <v>223230.55876999997</v>
      </c>
      <c r="F174" s="2083">
        <v>233879.17936000103</v>
      </c>
    </row>
    <row r="175" spans="1:7" ht="14.4">
      <c r="B175" s="2081" t="s">
        <v>485</v>
      </c>
      <c r="C175" s="2082">
        <v>1084154.8809399994</v>
      </c>
      <c r="D175" s="2076">
        <v>125.02706451986474</v>
      </c>
      <c r="E175" s="2082">
        <v>2115812.2200599997</v>
      </c>
      <c r="F175" s="2083">
        <v>1592298.6817400001</v>
      </c>
      <c r="G175" s="730"/>
    </row>
    <row r="176" spans="1:7" ht="14.4">
      <c r="B176" s="2077" t="s">
        <v>994</v>
      </c>
      <c r="C176" s="2156">
        <v>567547.18371000083</v>
      </c>
      <c r="D176" s="2076">
        <v>4756.6632616595734</v>
      </c>
      <c r="E176" s="2082">
        <v>29113.162990000001</v>
      </c>
      <c r="F176" s="2085">
        <v>0</v>
      </c>
      <c r="G176" s="730"/>
    </row>
    <row r="177" spans="1:12" ht="14.4">
      <c r="B177" s="2077" t="s">
        <v>988</v>
      </c>
      <c r="C177" s="2084">
        <v>33051.402600000016</v>
      </c>
      <c r="D177" s="2076">
        <v>6148.1812048466154</v>
      </c>
      <c r="E177" s="2082">
        <v>1311.6956</v>
      </c>
      <c r="F177" s="2085">
        <v>0</v>
      </c>
      <c r="G177" s="730"/>
    </row>
    <row r="178" spans="1:12" ht="14.4">
      <c r="B178" s="2077" t="s">
        <v>995</v>
      </c>
      <c r="C178" s="2084">
        <v>81298.312800000014</v>
      </c>
      <c r="D178" s="2076">
        <v>8888.6989631970573</v>
      </c>
      <c r="E178" s="2082">
        <v>2231.6863699999999</v>
      </c>
      <c r="F178" s="2085">
        <v>0</v>
      </c>
      <c r="G178" s="730"/>
    </row>
    <row r="179" spans="1:12" ht="14.4">
      <c r="B179" s="2075" t="s">
        <v>996</v>
      </c>
      <c r="C179" s="2075">
        <v>681896.89911000081</v>
      </c>
      <c r="D179" s="2076">
        <v>5094.9310034676791</v>
      </c>
      <c r="E179" s="2075">
        <v>32656.544959999999</v>
      </c>
      <c r="F179" s="2075">
        <v>0</v>
      </c>
      <c r="G179" s="730"/>
    </row>
    <row r="180" spans="1:12" ht="14.4">
      <c r="B180" s="2075" t="s">
        <v>282</v>
      </c>
      <c r="C180" s="2075">
        <v>3656993.6539619993</v>
      </c>
      <c r="D180" s="2076">
        <v>126.28199251462904</v>
      </c>
      <c r="E180" s="2075">
        <v>7065983.3108300008</v>
      </c>
      <c r="F180" s="2075">
        <v>5921851.8121700045</v>
      </c>
      <c r="G180" s="730"/>
    </row>
    <row r="181" spans="1:12" ht="14.4">
      <c r="B181" s="2075" t="s">
        <v>481</v>
      </c>
      <c r="C181" s="2075">
        <v>47659.614929999982</v>
      </c>
      <c r="D181" s="2076">
        <v>144.7382237760331</v>
      </c>
      <c r="E181" s="2075">
        <v>80344.678410000008</v>
      </c>
      <c r="F181" s="2075">
        <v>89889.354700000011</v>
      </c>
      <c r="G181" s="730"/>
    </row>
    <row r="182" spans="1:12" ht="14.4">
      <c r="B182" s="2077" t="s">
        <v>482</v>
      </c>
      <c r="C182" s="2078">
        <v>47659.614929999982</v>
      </c>
      <c r="D182" s="2076">
        <v>0</v>
      </c>
      <c r="E182" s="2078">
        <v>67681.406660000008</v>
      </c>
      <c r="F182" s="2078">
        <v>67681.406660000008</v>
      </c>
      <c r="G182" s="730"/>
    </row>
    <row r="183" spans="1:12" ht="14.4">
      <c r="B183" s="2077" t="s">
        <v>997</v>
      </c>
      <c r="C183" s="2078">
        <v>0</v>
      </c>
      <c r="D183" s="2076">
        <v>918.32081570230821</v>
      </c>
      <c r="E183" s="2078">
        <v>12663.27175</v>
      </c>
      <c r="F183" s="2078">
        <v>22207.948040000003</v>
      </c>
      <c r="G183" s="730"/>
    </row>
    <row r="184" spans="1:12" ht="14.4">
      <c r="B184" s="2075" t="s">
        <v>395</v>
      </c>
      <c r="C184" s="2075">
        <v>134611</v>
      </c>
      <c r="D184" s="2076">
        <v>43.03148208068599</v>
      </c>
      <c r="E184" s="2075">
        <v>763280.33365000004</v>
      </c>
      <c r="F184" s="2075">
        <v>685565.14361999999</v>
      </c>
      <c r="G184" s="730"/>
      <c r="L184" s="1855"/>
    </row>
    <row r="185" spans="1:12" ht="14.4">
      <c r="A185" s="730">
        <f>C185*1000</f>
        <v>113031000</v>
      </c>
      <c r="B185" s="2077" t="s">
        <v>198</v>
      </c>
      <c r="C185" s="2078">
        <v>113031</v>
      </c>
      <c r="D185" s="2076">
        <v>47.128931911945166</v>
      </c>
      <c r="E185" s="2078">
        <v>585193.91128</v>
      </c>
      <c r="F185" s="2078">
        <v>507821.48258999991</v>
      </c>
      <c r="G185" s="730"/>
      <c r="L185" s="1855"/>
    </row>
    <row r="186" spans="1:12" ht="14.4">
      <c r="A186" s="730">
        <f>C186*1000</f>
        <v>21580000</v>
      </c>
      <c r="B186" s="2077" t="s">
        <v>199</v>
      </c>
      <c r="C186" s="2078">
        <v>21580</v>
      </c>
      <c r="D186" s="2076">
        <v>29.567217589784185</v>
      </c>
      <c r="E186" s="2078">
        <v>178086.42237000001</v>
      </c>
      <c r="F186" s="2078">
        <v>177743.66103000002</v>
      </c>
      <c r="G186" s="730"/>
      <c r="L186" s="1854"/>
    </row>
    <row r="187" spans="1:12" ht="14.4">
      <c r="B187" s="2086" t="s">
        <v>483</v>
      </c>
      <c r="C187" s="2087">
        <v>3839264.2688919995</v>
      </c>
      <c r="D187" s="2076">
        <v>118.43576108549561</v>
      </c>
      <c r="E187" s="2088">
        <v>7909608.3228900013</v>
      </c>
      <c r="F187" s="2088">
        <v>6697306.3104900047</v>
      </c>
      <c r="G187" s="731"/>
      <c r="L187" s="1855"/>
    </row>
    <row r="188" spans="1:12" ht="23.4">
      <c r="A188" s="2199" t="s">
        <v>883</v>
      </c>
      <c r="B188" s="843"/>
      <c r="C188" s="3357" t="s">
        <v>479</v>
      </c>
      <c r="D188" s="3359" t="s">
        <v>358</v>
      </c>
      <c r="E188" s="3357" t="s">
        <v>488</v>
      </c>
      <c r="F188" s="3357" t="s">
        <v>480</v>
      </c>
      <c r="L188" s="1277"/>
    </row>
    <row r="189" spans="1:12">
      <c r="A189" s="2200"/>
      <c r="B189" s="843"/>
      <c r="C189" s="3358"/>
      <c r="D189" s="3359"/>
      <c r="E189" s="3358"/>
      <c r="F189" s="3358"/>
      <c r="L189" s="1277"/>
    </row>
    <row r="190" spans="1:12" ht="14.4">
      <c r="B190" s="2075" t="s">
        <v>277</v>
      </c>
      <c r="C190" s="2075">
        <v>1399047.5832529999</v>
      </c>
      <c r="D190" s="2076">
        <v>109.84220873608923</v>
      </c>
      <c r="E190" s="2075">
        <v>3107799.9454100002</v>
      </c>
      <c r="F190" s="2075">
        <v>2338344.2480299999</v>
      </c>
      <c r="L190" s="1856"/>
    </row>
    <row r="191" spans="1:12" ht="23.25" customHeight="1">
      <c r="B191" s="2077" t="s">
        <v>484</v>
      </c>
      <c r="C191" s="2078">
        <v>1398163.2585499999</v>
      </c>
      <c r="D191" s="2076">
        <v>109.77277851814658</v>
      </c>
      <c r="E191" s="2078">
        <v>3107799.9454100002</v>
      </c>
      <c r="F191" s="2079">
        <v>2338344.2480299999</v>
      </c>
      <c r="G191" s="1918">
        <f>C191-E377</f>
        <v>0</v>
      </c>
      <c r="L191" s="1277"/>
    </row>
    <row r="192" spans="1:12" ht="14.4">
      <c r="B192" s="2077" t="s">
        <v>993</v>
      </c>
      <c r="C192" s="2078">
        <v>884.32470299999954</v>
      </c>
      <c r="D192" s="2076" t="e">
        <v>#DIV/0!</v>
      </c>
      <c r="E192" s="2078">
        <v>0</v>
      </c>
      <c r="F192" s="2079">
        <v>0</v>
      </c>
      <c r="L192" s="842"/>
    </row>
    <row r="193" spans="1:8" ht="14.4">
      <c r="B193" s="2075" t="s">
        <v>487</v>
      </c>
      <c r="C193" s="2075">
        <v>238030.09583000006</v>
      </c>
      <c r="D193" s="2076">
        <v>123.75053428231539</v>
      </c>
      <c r="E193" s="2075">
        <v>469326.00105000002</v>
      </c>
      <c r="F193" s="2075">
        <v>432088.67861000006</v>
      </c>
    </row>
    <row r="194" spans="1:8" ht="14.4">
      <c r="B194" s="2080" t="s">
        <v>18</v>
      </c>
      <c r="C194" s="2078">
        <v>237303.50101000007</v>
      </c>
      <c r="D194" s="2076">
        <v>123.96850627431691</v>
      </c>
      <c r="E194" s="2078">
        <v>467070.67776000005</v>
      </c>
      <c r="F194" s="2079">
        <v>430028.94996000006</v>
      </c>
    </row>
    <row r="195" spans="1:8" ht="14.4">
      <c r="B195" s="2080" t="s">
        <v>185</v>
      </c>
      <c r="C195" s="2078">
        <v>726.5948199999998</v>
      </c>
      <c r="D195" s="2076">
        <v>78.609189585409709</v>
      </c>
      <c r="E195" s="2078">
        <v>2255.3232899999998</v>
      </c>
      <c r="F195" s="2079">
        <v>2059.72865</v>
      </c>
    </row>
    <row r="196" spans="1:8" ht="14.4">
      <c r="B196" s="2075" t="s">
        <v>278</v>
      </c>
      <c r="C196" s="2075">
        <v>853444.75696000014</v>
      </c>
      <c r="D196" s="2076">
        <v>177.11584306242477</v>
      </c>
      <c r="E196" s="2075">
        <v>1175730.6240800002</v>
      </c>
      <c r="F196" s="2075">
        <v>889751.71233999997</v>
      </c>
    </row>
    <row r="197" spans="1:8" ht="14.4">
      <c r="B197" s="2081" t="s">
        <v>486</v>
      </c>
      <c r="C197" s="2078">
        <v>730329.95642000006</v>
      </c>
      <c r="D197" s="2076">
        <v>361.88651107112923</v>
      </c>
      <c r="E197" s="2082">
        <v>492420.97706000012</v>
      </c>
      <c r="F197" s="2083">
        <v>267677.56793000002</v>
      </c>
    </row>
    <row r="198" spans="1:8" ht="14.4">
      <c r="B198" s="2081" t="s">
        <v>485</v>
      </c>
      <c r="C198" s="2082">
        <v>123114.80054000008</v>
      </c>
      <c r="D198" s="2076">
        <v>43.962516061010284</v>
      </c>
      <c r="E198" s="2082">
        <v>683309.64702000003</v>
      </c>
      <c r="F198" s="2083">
        <v>622074.14440999995</v>
      </c>
    </row>
    <row r="199" spans="1:8" ht="14.4">
      <c r="B199" s="2077" t="s">
        <v>994</v>
      </c>
      <c r="C199" s="2084">
        <v>8498.1504000000004</v>
      </c>
      <c r="D199" s="2076">
        <v>0</v>
      </c>
      <c r="E199" s="2082">
        <v>4478.0485799999997</v>
      </c>
      <c r="F199" s="2085">
        <v>0</v>
      </c>
    </row>
    <row r="200" spans="1:8" ht="14.4">
      <c r="B200" s="2077" t="s">
        <v>988</v>
      </c>
      <c r="C200" s="2084">
        <v>561533.44030000002</v>
      </c>
      <c r="D200" s="2076">
        <v>0</v>
      </c>
      <c r="E200" s="2082">
        <v>212408.30268000002</v>
      </c>
      <c r="F200" s="2085">
        <v>0</v>
      </c>
    </row>
    <row r="201" spans="1:8" ht="14.4">
      <c r="B201" s="2077" t="s">
        <v>995</v>
      </c>
      <c r="C201" s="2084">
        <v>0</v>
      </c>
      <c r="D201" s="2076"/>
      <c r="E201" s="2082">
        <v>0</v>
      </c>
      <c r="F201" s="2085">
        <v>0</v>
      </c>
    </row>
    <row r="202" spans="1:8" ht="14.4">
      <c r="B202" s="2075" t="s">
        <v>996</v>
      </c>
      <c r="C202" s="2075">
        <v>570031.59070000006</v>
      </c>
      <c r="D202" s="2076">
        <v>641.29304275151833</v>
      </c>
      <c r="E202" s="2075">
        <v>216886.35126000002</v>
      </c>
      <c r="F202" s="2075">
        <v>0</v>
      </c>
    </row>
    <row r="203" spans="1:8" ht="14.4">
      <c r="B203" s="2075" t="s">
        <v>282</v>
      </c>
      <c r="C203" s="2075">
        <v>2497106.4962729998</v>
      </c>
      <c r="D203" s="2076">
        <v>128.19532339083113</v>
      </c>
      <c r="E203" s="2075">
        <v>4752856.5705400007</v>
      </c>
      <c r="F203" s="2075">
        <v>3727931.2961600004</v>
      </c>
    </row>
    <row r="204" spans="1:8" ht="14.4">
      <c r="B204" s="2075" t="s">
        <v>481</v>
      </c>
      <c r="C204" s="2075">
        <v>89329.088716810918</v>
      </c>
      <c r="D204" s="2076">
        <v>27.79895346825581</v>
      </c>
      <c r="E204" s="2075">
        <v>784069</v>
      </c>
      <c r="F204" s="2075">
        <v>780317.55342000001</v>
      </c>
    </row>
    <row r="205" spans="1:8" ht="14.4">
      <c r="B205" s="2077" t="s">
        <v>482</v>
      </c>
      <c r="C205" s="2078">
        <v>83466.646409999928</v>
      </c>
      <c r="D205" s="2076">
        <v>27.464946048856248</v>
      </c>
      <c r="E205" s="2078">
        <v>741522</v>
      </c>
      <c r="F205" s="2078">
        <v>737791.12280000001</v>
      </c>
    </row>
    <row r="206" spans="1:8" ht="14.4">
      <c r="B206" s="2077" t="s">
        <v>997</v>
      </c>
      <c r="C206" s="2078">
        <v>5862.4423068109827</v>
      </c>
      <c r="D206" s="2076">
        <v>33.620135917030098</v>
      </c>
      <c r="E206" s="2078">
        <v>42547</v>
      </c>
      <c r="F206" s="2078">
        <v>42526.430619999999</v>
      </c>
    </row>
    <row r="207" spans="1:8" ht="14.4">
      <c r="B207" s="2075" t="s">
        <v>395</v>
      </c>
      <c r="C207" s="2075">
        <v>6584.0602300000137</v>
      </c>
      <c r="D207" s="2076">
        <v>22.467679417758994</v>
      </c>
      <c r="E207" s="2075">
        <v>71503.187590000001</v>
      </c>
      <c r="F207" s="2075">
        <v>67746.657179999995</v>
      </c>
    </row>
    <row r="208" spans="1:8" ht="14.4">
      <c r="A208" s="730">
        <f>C208*1000</f>
        <v>1644171.0899999999</v>
      </c>
      <c r="B208" s="2077" t="s">
        <v>198</v>
      </c>
      <c r="C208" s="2078">
        <v>1644.1710899999998</v>
      </c>
      <c r="D208" s="2076">
        <v>30.976605818975973</v>
      </c>
      <c r="E208" s="2078">
        <v>12950.99109</v>
      </c>
      <c r="F208" s="2078">
        <v>11306.82</v>
      </c>
      <c r="H208" s="77">
        <v>1.6560836699999999</v>
      </c>
    </row>
    <row r="209" spans="1:7" ht="14.4">
      <c r="A209" s="730">
        <f>C209*1000</f>
        <v>4939889.1400000136</v>
      </c>
      <c r="B209" s="2077" t="s">
        <v>199</v>
      </c>
      <c r="C209" s="2078">
        <v>4939.8891400000139</v>
      </c>
      <c r="D209" s="2076">
        <v>20.585614583391475</v>
      </c>
      <c r="E209" s="2078">
        <v>58552.196499999998</v>
      </c>
      <c r="F209" s="2078">
        <v>56439.837179999995</v>
      </c>
    </row>
    <row r="210" spans="1:7" ht="14.4">
      <c r="B210" s="2086" t="s">
        <v>483</v>
      </c>
      <c r="C210" s="2087">
        <v>2586435.5849898108</v>
      </c>
      <c r="D210" s="2076">
        <v>113.97846597312405</v>
      </c>
      <c r="E210" s="2088">
        <v>5536925.5705400007</v>
      </c>
      <c r="F210" s="2088">
        <v>4508248.8495800002</v>
      </c>
    </row>
    <row r="211" spans="1:7" ht="23.4">
      <c r="A211" s="2199" t="s">
        <v>884</v>
      </c>
      <c r="B211" s="843"/>
      <c r="C211" s="3357" t="s">
        <v>479</v>
      </c>
      <c r="D211" s="3359" t="s">
        <v>358</v>
      </c>
      <c r="E211" s="3357" t="s">
        <v>488</v>
      </c>
      <c r="F211" s="3357" t="s">
        <v>480</v>
      </c>
    </row>
    <row r="212" spans="1:7">
      <c r="A212" s="2200"/>
      <c r="B212" s="843"/>
      <c r="C212" s="3358"/>
      <c r="D212" s="3359"/>
      <c r="E212" s="3358"/>
      <c r="F212" s="3358"/>
    </row>
    <row r="213" spans="1:7" ht="14.4">
      <c r="B213" s="2075" t="s">
        <v>277</v>
      </c>
      <c r="C213" s="2075">
        <v>983328.48568000132</v>
      </c>
      <c r="D213" s="2076">
        <v>62.601837543159164</v>
      </c>
      <c r="E213" s="2075">
        <v>3832669.4538400015</v>
      </c>
      <c r="F213" s="2075">
        <v>3147473.2489500013</v>
      </c>
    </row>
    <row r="214" spans="1:7" ht="14.4">
      <c r="B214" s="2077" t="s">
        <v>484</v>
      </c>
      <c r="C214" s="2078">
        <v>956244.76400000136</v>
      </c>
      <c r="D214" s="2076">
        <v>60.877601167048269</v>
      </c>
      <c r="E214" s="2078">
        <v>3832669.4538400015</v>
      </c>
      <c r="F214" s="2079">
        <v>3147438.6812000014</v>
      </c>
      <c r="G214" s="1918">
        <f>C214-E391</f>
        <v>1.1641532182693481E-9</v>
      </c>
    </row>
    <row r="215" spans="1:7" ht="14.4">
      <c r="B215" s="2077" t="s">
        <v>993</v>
      </c>
      <c r="C215" s="2078">
        <v>27083.721679999999</v>
      </c>
      <c r="D215" s="2076" t="e">
        <v>#DIV/0!</v>
      </c>
      <c r="E215" s="2078">
        <v>0</v>
      </c>
      <c r="F215" s="2079">
        <v>34.567750000001979</v>
      </c>
    </row>
    <row r="216" spans="1:7" ht="14.4">
      <c r="B216" s="2075" t="s">
        <v>487</v>
      </c>
      <c r="C216" s="2075">
        <v>344127.35134999908</v>
      </c>
      <c r="D216" s="2076">
        <v>152.48640581349119</v>
      </c>
      <c r="E216" s="2075">
        <v>550652.84856999898</v>
      </c>
      <c r="F216" s="2075">
        <v>460681.52344000002</v>
      </c>
    </row>
    <row r="217" spans="1:7" ht="14.4">
      <c r="B217" s="2080" t="s">
        <v>18</v>
      </c>
      <c r="C217" s="2078">
        <v>340854.7569199992</v>
      </c>
      <c r="D217" s="2076">
        <v>181.96611844955504</v>
      </c>
      <c r="E217" s="2078">
        <v>457055.20014999906</v>
      </c>
      <c r="F217" s="2079">
        <v>367197.66829</v>
      </c>
    </row>
    <row r="218" spans="1:7" ht="14.4">
      <c r="B218" s="2080" t="s">
        <v>185</v>
      </c>
      <c r="C218" s="2078">
        <v>3272.5944299998664</v>
      </c>
      <c r="D218" s="2076">
        <v>8.5313365709446778</v>
      </c>
      <c r="E218" s="2078">
        <v>93597.648419999896</v>
      </c>
      <c r="F218" s="2079">
        <v>93483.855150000003</v>
      </c>
    </row>
    <row r="219" spans="1:7" ht="14.4">
      <c r="B219" s="2075" t="s">
        <v>278</v>
      </c>
      <c r="C219" s="2075">
        <v>863430.7190099922</v>
      </c>
      <c r="D219" s="2076">
        <v>191.09863267788694</v>
      </c>
      <c r="E219" s="2075">
        <v>1102452.1341999988</v>
      </c>
      <c r="F219" s="2075">
        <v>844061.18623999995</v>
      </c>
    </row>
    <row r="220" spans="1:7" ht="14.4">
      <c r="B220" s="2081" t="s">
        <v>486</v>
      </c>
      <c r="C220" s="2078">
        <v>813204.76715999097</v>
      </c>
      <c r="D220" s="2076">
        <v>381.82006983108784</v>
      </c>
      <c r="E220" s="2082">
        <v>519674.00056999899</v>
      </c>
      <c r="F220" s="2083">
        <v>270050.32490999997</v>
      </c>
    </row>
    <row r="221" spans="1:7" ht="14.4">
      <c r="B221" s="2081" t="s">
        <v>485</v>
      </c>
      <c r="C221" s="2082">
        <v>50225.951850001227</v>
      </c>
      <c r="D221" s="2076">
        <v>21.028812757722584</v>
      </c>
      <c r="E221" s="2082">
        <v>582778.13362999994</v>
      </c>
      <c r="F221" s="2083">
        <v>574010.86132999999</v>
      </c>
    </row>
    <row r="222" spans="1:7" ht="14.4">
      <c r="B222" s="2077" t="s">
        <v>994</v>
      </c>
      <c r="C222" s="2084">
        <v>18237.997800000114</v>
      </c>
      <c r="D222" s="2076"/>
      <c r="E222" s="2082">
        <v>5554.8304699999999</v>
      </c>
      <c r="F222" s="2085">
        <v>2642.0681099999997</v>
      </c>
    </row>
    <row r="223" spans="1:7" ht="14.4">
      <c r="B223" s="2350" t="s">
        <v>185</v>
      </c>
      <c r="C223" s="2351">
        <v>646.37350999998864</v>
      </c>
      <c r="D223" s="2076"/>
      <c r="E223" s="2352">
        <v>358.92521999999997</v>
      </c>
      <c r="F223" s="2353">
        <v>115.34985</v>
      </c>
    </row>
    <row r="224" spans="1:7" ht="14.4">
      <c r="B224" s="2350" t="s">
        <v>18</v>
      </c>
      <c r="C224" s="2351">
        <v>4194.692969999981</v>
      </c>
      <c r="D224" s="2076"/>
      <c r="E224" s="2352">
        <v>1844.1448600000001</v>
      </c>
      <c r="F224" s="2353">
        <v>465.91656999999998</v>
      </c>
    </row>
    <row r="225" spans="1:12" ht="14.4">
      <c r="B225" s="2077" t="s">
        <v>988</v>
      </c>
      <c r="C225" s="2084">
        <v>545534.8236599979</v>
      </c>
      <c r="D225" s="2076"/>
      <c r="E225" s="2082">
        <v>185845.33084000001</v>
      </c>
      <c r="F225" s="2085">
        <v>684.53062999999997</v>
      </c>
    </row>
    <row r="226" spans="1:12" ht="14.4">
      <c r="B226" s="2077" t="s">
        <v>995</v>
      </c>
      <c r="C226" s="2084">
        <v>0</v>
      </c>
      <c r="D226" s="2076"/>
      <c r="E226" s="2082">
        <v>0</v>
      </c>
      <c r="F226" s="2085">
        <v>0</v>
      </c>
    </row>
    <row r="227" spans="1:12" ht="14.4">
      <c r="B227" s="2075" t="s">
        <v>996</v>
      </c>
      <c r="C227" s="2075">
        <v>568613.88793999795</v>
      </c>
      <c r="D227" s="2076" t="e">
        <v>#DIV/0!</v>
      </c>
      <c r="E227" s="2075">
        <v>193603.23139</v>
      </c>
      <c r="F227" s="2075">
        <v>3907.8651599999994</v>
      </c>
    </row>
    <row r="228" spans="1:12" ht="14.4">
      <c r="B228" s="2075" t="s">
        <v>282</v>
      </c>
      <c r="C228" s="2075">
        <v>2190886.5560399927</v>
      </c>
      <c r="D228" s="2076">
        <v>97.44773975871054</v>
      </c>
      <c r="E228" s="2075">
        <v>5485774.4366100002</v>
      </c>
      <c r="F228" s="2075">
        <v>4452215.9586300012</v>
      </c>
    </row>
    <row r="229" spans="1:12" ht="14.4">
      <c r="B229" s="2075" t="s">
        <v>481</v>
      </c>
      <c r="C229" s="2075">
        <v>7489.6060800005216</v>
      </c>
      <c r="D229" s="2076">
        <v>3.997883343488283</v>
      </c>
      <c r="E229" s="2075">
        <v>457107.85596000048</v>
      </c>
      <c r="F229" s="2075">
        <v>465762.67176</v>
      </c>
    </row>
    <row r="230" spans="1:12" ht="14.4">
      <c r="B230" s="2077" t="s">
        <v>482</v>
      </c>
      <c r="C230" s="2078">
        <v>7330.0276100004558</v>
      </c>
      <c r="D230" s="2076">
        <v>4.7313308104864404</v>
      </c>
      <c r="E230" s="2078">
        <v>378017.68857000046</v>
      </c>
      <c r="F230" s="2078">
        <v>386120.88660000003</v>
      </c>
      <c r="L230" s="77">
        <f>18704.77+1821.71</f>
        <v>20526.48</v>
      </c>
    </row>
    <row r="231" spans="1:12" ht="14.4">
      <c r="B231" s="2077" t="s">
        <v>997</v>
      </c>
      <c r="C231" s="2078">
        <v>159.57847000006586</v>
      </c>
      <c r="D231" s="2076">
        <v>0.49231336795652303</v>
      </c>
      <c r="E231" s="2078">
        <v>79090.167390000002</v>
      </c>
      <c r="F231" s="2078">
        <v>79641.785159999956</v>
      </c>
      <c r="L231" s="77">
        <v>347.7</v>
      </c>
    </row>
    <row r="232" spans="1:12" ht="14.4">
      <c r="B232" s="2075" t="s">
        <v>395</v>
      </c>
      <c r="C232" s="2075">
        <v>27683.548869999941</v>
      </c>
      <c r="D232" s="2076">
        <v>4.3862929103688479</v>
      </c>
      <c r="E232" s="2075">
        <v>1539976.02584</v>
      </c>
      <c r="F232" s="2075">
        <v>1534533.40925</v>
      </c>
      <c r="L232" s="77">
        <f>L231+L230</f>
        <v>20874.18</v>
      </c>
    </row>
    <row r="233" spans="1:12" ht="14.4">
      <c r="A233" s="730">
        <f>C233*1000</f>
        <v>9259098.1499997433</v>
      </c>
      <c r="B233" s="2077" t="s">
        <v>198</v>
      </c>
      <c r="C233" s="2078">
        <v>9259.0981499997433</v>
      </c>
      <c r="D233" s="2076">
        <v>2.1883818613648831</v>
      </c>
      <c r="E233" s="2078">
        <v>1032370.07603</v>
      </c>
      <c r="F233" s="2078">
        <v>1027180.2937200001</v>
      </c>
      <c r="H233" s="77">
        <v>5.087670220000029</v>
      </c>
      <c r="I233" s="77">
        <v>23.122872300000161</v>
      </c>
      <c r="L233" s="77">
        <f>100+75</f>
        <v>175</v>
      </c>
    </row>
    <row r="234" spans="1:12" ht="14.4">
      <c r="A234" s="730">
        <f>C234*1000</f>
        <v>18424450.720000196</v>
      </c>
      <c r="B234" s="2077" t="s">
        <v>199</v>
      </c>
      <c r="C234" s="2078">
        <v>18424.450720000197</v>
      </c>
      <c r="D234" s="2076">
        <v>8.8564091444609048</v>
      </c>
      <c r="E234" s="2078">
        <v>507605.94981000002</v>
      </c>
      <c r="F234" s="2078">
        <v>507353.11552999995</v>
      </c>
      <c r="L234" s="77">
        <f>L232+L233</f>
        <v>21049.18</v>
      </c>
    </row>
    <row r="235" spans="1:12" ht="14.4">
      <c r="B235" s="2086" t="s">
        <v>483</v>
      </c>
      <c r="C235" s="2087">
        <v>2226059.7109899931</v>
      </c>
      <c r="D235" s="2076">
        <v>72.587044464710871</v>
      </c>
      <c r="E235" s="2088">
        <v>7482858.3184100008</v>
      </c>
      <c r="F235" s="2088">
        <v>6452512.039640002</v>
      </c>
    </row>
    <row r="236" spans="1:12" ht="23.4">
      <c r="A236" s="2199" t="s">
        <v>886</v>
      </c>
      <c r="B236" s="843"/>
      <c r="C236" s="3357" t="s">
        <v>479</v>
      </c>
      <c r="D236" s="3359" t="s">
        <v>358</v>
      </c>
      <c r="E236" s="3357" t="s">
        <v>488</v>
      </c>
      <c r="F236" s="3357" t="s">
        <v>480</v>
      </c>
    </row>
    <row r="237" spans="1:12">
      <c r="A237" s="2200"/>
      <c r="B237" s="843"/>
      <c r="C237" s="3358"/>
      <c r="D237" s="3359"/>
      <c r="E237" s="3358"/>
      <c r="F237" s="3358"/>
    </row>
    <row r="238" spans="1:12" ht="14.4">
      <c r="B238" s="2075" t="s">
        <v>277</v>
      </c>
      <c r="C238" s="2075">
        <v>260283.19272999998</v>
      </c>
      <c r="D238" s="2076">
        <v>60.747220214980764</v>
      </c>
      <c r="E238" s="2075">
        <v>1045465.1060800002</v>
      </c>
      <c r="F238" s="2075">
        <v>885738.6200600001</v>
      </c>
    </row>
    <row r="239" spans="1:12" ht="14.4">
      <c r="B239" s="2077" t="s">
        <v>484</v>
      </c>
      <c r="C239" s="2078">
        <v>257823.61968999999</v>
      </c>
      <c r="D239" s="2076">
        <v>60.173183053654334</v>
      </c>
      <c r="E239" s="2078">
        <v>1045465.1060800002</v>
      </c>
      <c r="F239" s="2079">
        <v>885738.6200600001</v>
      </c>
      <c r="G239" s="1918">
        <f>C239-E398</f>
        <v>0</v>
      </c>
    </row>
    <row r="240" spans="1:12" ht="14.4">
      <c r="B240" s="2077" t="s">
        <v>993</v>
      </c>
      <c r="C240" s="2078">
        <v>2459.5730400000002</v>
      </c>
      <c r="D240" s="2076" t="e">
        <v>#DIV/0!</v>
      </c>
      <c r="E240" s="2078">
        <v>0</v>
      </c>
      <c r="F240" s="2079">
        <v>0</v>
      </c>
    </row>
    <row r="241" spans="1:6" ht="14.4">
      <c r="B241" s="2075" t="s">
        <v>487</v>
      </c>
      <c r="C241" s="2075">
        <v>111733.99692000001</v>
      </c>
      <c r="D241" s="2076">
        <v>118.45055287384233</v>
      </c>
      <c r="E241" s="2075">
        <v>230164.35623999999</v>
      </c>
      <c r="F241" s="2075">
        <v>185608.63235999999</v>
      </c>
    </row>
    <row r="242" spans="1:6" ht="14.4">
      <c r="B242" s="2080" t="s">
        <v>18</v>
      </c>
      <c r="C242" s="2078">
        <v>109117.71627</v>
      </c>
      <c r="D242" s="2076">
        <v>131.39102707600364</v>
      </c>
      <c r="E242" s="2078">
        <v>202637.29847000001</v>
      </c>
      <c r="F242" s="2079">
        <v>160697.85524</v>
      </c>
    </row>
    <row r="243" spans="1:6" ht="14.4">
      <c r="B243" s="2080" t="s">
        <v>185</v>
      </c>
      <c r="C243" s="2078">
        <v>2616.2806500000002</v>
      </c>
      <c r="D243" s="2076">
        <v>23.1907268816692</v>
      </c>
      <c r="E243" s="2078">
        <v>27527.057769999999</v>
      </c>
      <c r="F243" s="2079">
        <v>24910.777119999999</v>
      </c>
    </row>
    <row r="244" spans="1:6" ht="14.4">
      <c r="B244" s="2075" t="s">
        <v>278</v>
      </c>
      <c r="C244" s="2075">
        <v>314441.03415999998</v>
      </c>
      <c r="D244" s="2076">
        <v>323.36192346302471</v>
      </c>
      <c r="E244" s="2075">
        <v>237268.54267000011</v>
      </c>
      <c r="F244" s="2075">
        <v>130412.3654200001</v>
      </c>
    </row>
    <row r="245" spans="1:6" ht="14.4">
      <c r="B245" s="2081" t="s">
        <v>486</v>
      </c>
      <c r="C245" s="2078">
        <v>305916.03242</v>
      </c>
      <c r="D245" s="2076">
        <v>469.05615598466227</v>
      </c>
      <c r="E245" s="2082">
        <v>159135.55543000012</v>
      </c>
      <c r="F245" s="2083">
        <v>57467.7204200001</v>
      </c>
    </row>
    <row r="246" spans="1:6" ht="14.4">
      <c r="B246" s="2081" t="s">
        <v>485</v>
      </c>
      <c r="C246" s="2082">
        <v>8525.0017399999997</v>
      </c>
      <c r="D246" s="2076">
        <v>26.62256363206215</v>
      </c>
      <c r="E246" s="2082">
        <v>78132.987240000002</v>
      </c>
      <c r="F246" s="2083">
        <v>72944.645000000004</v>
      </c>
    </row>
    <row r="247" spans="1:6" ht="14.4">
      <c r="B247" s="2077" t="s">
        <v>994</v>
      </c>
      <c r="C247" s="2084">
        <v>0</v>
      </c>
      <c r="D247" s="2076" t="e">
        <v>#DIV/0!</v>
      </c>
      <c r="E247" s="2082">
        <v>0</v>
      </c>
      <c r="F247" s="2085">
        <v>0</v>
      </c>
    </row>
    <row r="248" spans="1:6" ht="14.4">
      <c r="B248" s="2077" t="s">
        <v>988</v>
      </c>
      <c r="C248" s="2084">
        <v>251799.17954000001</v>
      </c>
      <c r="D248" s="2076">
        <v>1077.6672316734305</v>
      </c>
      <c r="E248" s="2082">
        <v>57011.105100000001</v>
      </c>
      <c r="F248" s="2085">
        <v>4043.1282500000002</v>
      </c>
    </row>
    <row r="249" spans="1:6" ht="14.4">
      <c r="B249" s="2077" t="s">
        <v>995</v>
      </c>
      <c r="C249" s="2084">
        <v>0</v>
      </c>
      <c r="D249" s="2076" t="e">
        <v>#DIV/0!</v>
      </c>
      <c r="E249" s="2082">
        <v>0</v>
      </c>
      <c r="F249" s="2085">
        <v>0</v>
      </c>
    </row>
    <row r="250" spans="1:6" ht="14.4">
      <c r="B250" s="2075" t="s">
        <v>996</v>
      </c>
      <c r="C250" s="2075">
        <v>251799.17954000001</v>
      </c>
      <c r="D250" s="2076">
        <v>1077.6672316734305</v>
      </c>
      <c r="E250" s="2075">
        <v>57011.105100000001</v>
      </c>
      <c r="F250" s="2075">
        <v>4043.1282500000002</v>
      </c>
    </row>
    <row r="251" spans="1:6" ht="14.4">
      <c r="B251" s="2075" t="s">
        <v>282</v>
      </c>
      <c r="C251" s="2075">
        <v>686458.22380999988</v>
      </c>
      <c r="D251" s="2076">
        <v>110.71189601492472</v>
      </c>
      <c r="E251" s="2075">
        <v>1512898.0049900003</v>
      </c>
      <c r="F251" s="2075">
        <v>1201759.6178400002</v>
      </c>
    </row>
    <row r="252" spans="1:6" ht="14.4">
      <c r="B252" s="2075" t="s">
        <v>481</v>
      </c>
      <c r="C252" s="2075">
        <v>35642.267599999999</v>
      </c>
      <c r="D252" s="2076">
        <v>20.849525725760369</v>
      </c>
      <c r="E252" s="2075">
        <v>417118.03946</v>
      </c>
      <c r="F252" s="2075">
        <v>448621.20452999999</v>
      </c>
    </row>
    <row r="253" spans="1:6" ht="14.4">
      <c r="B253" s="2077" t="s">
        <v>482</v>
      </c>
      <c r="C253" s="2078">
        <v>34874.698299999996</v>
      </c>
      <c r="D253" s="2076">
        <v>21.100045325607876</v>
      </c>
      <c r="E253" s="2078">
        <v>403289.48369000002</v>
      </c>
      <c r="F253" s="2078">
        <v>434792.64876000001</v>
      </c>
    </row>
    <row r="254" spans="1:6" ht="14.4">
      <c r="B254" s="2077" t="s">
        <v>997</v>
      </c>
      <c r="C254" s="2078">
        <v>767.5693</v>
      </c>
      <c r="D254" s="2076">
        <v>13.543490174607003</v>
      </c>
      <c r="E254" s="2078">
        <v>13828.555770000001</v>
      </c>
      <c r="F254" s="2078">
        <v>13828.555770000001</v>
      </c>
    </row>
    <row r="255" spans="1:6" ht="14.4">
      <c r="B255" s="2075" t="s">
        <v>395</v>
      </c>
      <c r="C255" s="2075">
        <v>0</v>
      </c>
      <c r="D255" s="2076">
        <v>0</v>
      </c>
      <c r="E255" s="2075">
        <v>8253.9866899999997</v>
      </c>
      <c r="F255" s="2075">
        <v>8253.9866899999997</v>
      </c>
    </row>
    <row r="256" spans="1:6" ht="14.4">
      <c r="A256" s="730">
        <f>C256*1000</f>
        <v>0</v>
      </c>
      <c r="B256" s="2077" t="s">
        <v>198</v>
      </c>
      <c r="C256" s="2078">
        <v>0</v>
      </c>
      <c r="D256" s="2076" t="e">
        <v>#DIV/0!</v>
      </c>
      <c r="E256" s="2078">
        <v>0</v>
      </c>
      <c r="F256" s="2078">
        <v>0</v>
      </c>
    </row>
    <row r="257" spans="1:9" ht="14.4">
      <c r="A257" s="730">
        <f>C257*1000</f>
        <v>0</v>
      </c>
      <c r="B257" s="2077" t="s">
        <v>199</v>
      </c>
      <c r="C257" s="2078">
        <v>0</v>
      </c>
      <c r="D257" s="2076">
        <v>0</v>
      </c>
      <c r="E257" s="2078">
        <v>8253.9866899999997</v>
      </c>
      <c r="F257" s="2078">
        <v>8253.9866899999997</v>
      </c>
    </row>
    <row r="258" spans="1:9" ht="14.4">
      <c r="B258" s="2086" t="s">
        <v>483</v>
      </c>
      <c r="C258" s="2087">
        <v>722100.4914099999</v>
      </c>
      <c r="D258" s="2076">
        <v>90.90194713499838</v>
      </c>
      <c r="E258" s="2088">
        <v>1938270.0311400003</v>
      </c>
      <c r="F258" s="2088">
        <v>1658634.8090600001</v>
      </c>
    </row>
    <row r="265" spans="1:9" ht="31.2">
      <c r="A265" s="2198" t="s">
        <v>496</v>
      </c>
    </row>
    <row r="267" spans="1:9" ht="23.4">
      <c r="A267" s="2199" t="s">
        <v>6</v>
      </c>
      <c r="B267" s="844"/>
      <c r="C267" s="844"/>
      <c r="D267" s="1044"/>
      <c r="E267" s="844"/>
      <c r="F267" s="844"/>
    </row>
    <row r="268" spans="1:9">
      <c r="A268" s="2203" t="s">
        <v>490</v>
      </c>
      <c r="B268" s="848" t="s">
        <v>102</v>
      </c>
      <c r="C268" s="848" t="s">
        <v>70</v>
      </c>
      <c r="D268" s="1042" t="s">
        <v>103</v>
      </c>
      <c r="E268" s="848" t="s">
        <v>518</v>
      </c>
      <c r="F268" s="848" t="s">
        <v>339</v>
      </c>
    </row>
    <row r="269" spans="1:9">
      <c r="A269" s="2204" t="s">
        <v>491</v>
      </c>
      <c r="B269" s="849">
        <v>352587.11710000003</v>
      </c>
      <c r="C269" s="849">
        <v>1488.8579399999996</v>
      </c>
      <c r="D269" s="1045">
        <v>310363.09242</v>
      </c>
      <c r="E269" s="846">
        <v>73359.079290000023</v>
      </c>
      <c r="F269" s="847">
        <v>37.101956071470482</v>
      </c>
      <c r="I269" s="1920"/>
    </row>
    <row r="270" spans="1:9">
      <c r="A270" s="2204" t="s">
        <v>109</v>
      </c>
      <c r="B270" s="849">
        <v>481241.82480999996</v>
      </c>
      <c r="C270" s="849">
        <v>5034.1772600000022</v>
      </c>
      <c r="D270" s="1045">
        <v>425880.06416999997</v>
      </c>
      <c r="E270" s="846">
        <v>110384.79456999995</v>
      </c>
      <c r="F270" s="847">
        <v>50.212311330432989</v>
      </c>
      <c r="I270" s="1920"/>
    </row>
    <row r="271" spans="1:9">
      <c r="A271" s="2204" t="s">
        <v>492</v>
      </c>
      <c r="B271" s="849">
        <v>470483.44070000015</v>
      </c>
      <c r="C271" s="849">
        <v>5695.961450000008</v>
      </c>
      <c r="D271" s="1045">
        <v>401584.77151000011</v>
      </c>
      <c r="E271" s="846">
        <v>145155.96096000003</v>
      </c>
      <c r="F271" s="847">
        <v>51.494214499289356</v>
      </c>
      <c r="I271" s="1920"/>
    </row>
    <row r="272" spans="1:9">
      <c r="A272" s="2204" t="s">
        <v>111</v>
      </c>
      <c r="B272" s="849">
        <v>508186.95935000002</v>
      </c>
      <c r="C272" s="849">
        <v>13978.995800000015</v>
      </c>
      <c r="D272" s="1045">
        <v>408194.27826000005</v>
      </c>
      <c r="E272" s="846">
        <v>130461.93672999996</v>
      </c>
      <c r="F272" s="847">
        <v>41.098927999507879</v>
      </c>
      <c r="I272" s="1920"/>
    </row>
    <row r="273" spans="1:13">
      <c r="A273" s="2204" t="s">
        <v>112</v>
      </c>
      <c r="B273" s="849">
        <v>397152.41480999999</v>
      </c>
      <c r="C273" s="849">
        <v>4194.0386600000138</v>
      </c>
      <c r="D273" s="1045">
        <v>326950.19761999999</v>
      </c>
      <c r="E273" s="846">
        <v>159610.32589999994</v>
      </c>
      <c r="F273" s="847">
        <v>74.001133664540774</v>
      </c>
      <c r="I273" s="1920"/>
    </row>
    <row r="274" spans="1:13">
      <c r="A274" s="2204" t="s">
        <v>493</v>
      </c>
      <c r="B274" s="849">
        <v>894849.06962999981</v>
      </c>
      <c r="C274" s="849">
        <v>13370.923900000018</v>
      </c>
      <c r="D274" s="1045">
        <v>732255.58312999981</v>
      </c>
      <c r="E274" s="846">
        <v>427473.70238999999</v>
      </c>
      <c r="F274" s="847">
        <v>89.735452919407152</v>
      </c>
      <c r="G274" s="1918"/>
      <c r="I274" s="1920"/>
    </row>
    <row r="275" spans="1:13">
      <c r="A275" s="2204" t="s">
        <v>65</v>
      </c>
      <c r="B275" s="849">
        <v>712868.46761000005</v>
      </c>
      <c r="C275" s="849">
        <v>15775.189800000016</v>
      </c>
      <c r="D275" s="1045">
        <v>605446.32880999998</v>
      </c>
      <c r="E275" s="846">
        <v>259318.35357000001</v>
      </c>
      <c r="F275" s="847">
        <v>83.544243744422985</v>
      </c>
      <c r="G275" s="1920"/>
      <c r="H275" s="1920"/>
      <c r="I275" s="1920"/>
    </row>
    <row r="276" spans="1:13">
      <c r="A276" s="2204" t="s">
        <v>494</v>
      </c>
      <c r="B276" s="849">
        <v>361078.49949999992</v>
      </c>
      <c r="C276" s="849">
        <v>14702.398139999994</v>
      </c>
      <c r="D276" s="1045">
        <v>311698.38236999995</v>
      </c>
      <c r="E276" s="846">
        <v>75831.093789999999</v>
      </c>
      <c r="F276" s="847">
        <v>41.452567946750534</v>
      </c>
      <c r="G276" s="1490"/>
      <c r="I276" s="1920"/>
    </row>
    <row r="277" spans="1:13">
      <c r="A277" s="2204" t="s">
        <v>411</v>
      </c>
      <c r="B277" s="849">
        <v>719337.4177300001</v>
      </c>
      <c r="C277" s="849">
        <v>14732.754080000112</v>
      </c>
      <c r="D277" s="1045">
        <v>608164.63705000002</v>
      </c>
      <c r="E277" s="846">
        <v>225562.98997</v>
      </c>
      <c r="F277" s="847">
        <v>59.477008795301529</v>
      </c>
      <c r="G277" s="1490"/>
      <c r="I277" s="1920"/>
    </row>
    <row r="278" spans="1:13">
      <c r="A278" s="2204" t="s">
        <v>412</v>
      </c>
      <c r="B278" s="849">
        <v>323702.70955000003</v>
      </c>
      <c r="C278" s="849">
        <v>5505.1043800000052</v>
      </c>
      <c r="D278" s="1045">
        <v>280293.29469000001</v>
      </c>
      <c r="E278" s="846">
        <v>75789.226889999976</v>
      </c>
      <c r="F278" s="847">
        <v>54.642605610816368</v>
      </c>
      <c r="G278" s="1490"/>
      <c r="I278" s="1920"/>
    </row>
    <row r="279" spans="1:13">
      <c r="A279" s="2204" t="s">
        <v>417</v>
      </c>
      <c r="B279" s="849">
        <v>179495.22308</v>
      </c>
      <c r="C279" s="849">
        <v>3332.4712200000076</v>
      </c>
      <c r="D279" s="1045">
        <v>155695.91431999998</v>
      </c>
      <c r="E279" s="846">
        <v>25170.645920000003</v>
      </c>
      <c r="F279" s="847">
        <v>24.255845955016309</v>
      </c>
      <c r="G279" s="1490"/>
      <c r="I279" s="1920"/>
    </row>
    <row r="280" spans="1:13" ht="15.6">
      <c r="A280" s="2751" t="s">
        <v>1210</v>
      </c>
      <c r="B280" s="2748"/>
      <c r="C280" s="2748"/>
      <c r="D280" s="2749"/>
      <c r="E280" s="2750"/>
      <c r="F280" s="2726"/>
      <c r="G280" s="1490"/>
      <c r="I280" s="1920"/>
    </row>
    <row r="281" spans="1:13" ht="15.6">
      <c r="A281" s="2751" t="s">
        <v>1211</v>
      </c>
      <c r="B281" s="2748"/>
      <c r="C281" s="2748"/>
      <c r="D281" s="2749"/>
      <c r="E281" s="2750"/>
      <c r="F281" s="2726"/>
      <c r="G281" s="1490"/>
      <c r="I281" s="1920"/>
    </row>
    <row r="282" spans="1:13">
      <c r="A282" s="2205" t="s">
        <v>311</v>
      </c>
      <c r="B282" s="850">
        <v>5400983.1438699998</v>
      </c>
      <c r="C282" s="850">
        <v>97810.872630000187</v>
      </c>
      <c r="D282" s="850">
        <v>4566526.5443500001</v>
      </c>
      <c r="E282" s="850">
        <v>1708118.10998</v>
      </c>
      <c r="F282" s="851">
        <v>69.759203361227335</v>
      </c>
      <c r="G282" s="1907">
        <f>(E282/1000)-'enc-ag'!H18</f>
        <v>0</v>
      </c>
      <c r="I282" s="1920"/>
    </row>
    <row r="283" spans="1:13">
      <c r="G283" s="1490"/>
    </row>
    <row r="284" spans="1:13" ht="23.4">
      <c r="A284" s="2199" t="s">
        <v>7</v>
      </c>
      <c r="B284" s="844"/>
      <c r="C284" s="844"/>
      <c r="D284" s="1044"/>
      <c r="E284" s="844"/>
      <c r="F284" s="844"/>
      <c r="G284" s="1490"/>
    </row>
    <row r="285" spans="1:13">
      <c r="A285" s="2203" t="s">
        <v>490</v>
      </c>
      <c r="B285" s="848" t="s">
        <v>102</v>
      </c>
      <c r="C285" s="848" t="s">
        <v>70</v>
      </c>
      <c r="D285" s="1042" t="s">
        <v>103</v>
      </c>
      <c r="E285" s="848" t="s">
        <v>518</v>
      </c>
      <c r="F285" s="848" t="s">
        <v>339</v>
      </c>
      <c r="G285" s="1490"/>
    </row>
    <row r="286" spans="1:13">
      <c r="A286" s="2204" t="s">
        <v>114</v>
      </c>
      <c r="B286" s="1122">
        <v>476236</v>
      </c>
      <c r="C286" s="1122">
        <v>4223</v>
      </c>
      <c r="D286" s="1123">
        <v>373432</v>
      </c>
      <c r="E286" s="1124">
        <v>131932.36476999999</v>
      </c>
      <c r="F286" s="847">
        <v>35.149102015901114</v>
      </c>
      <c r="H286" s="731"/>
      <c r="I286" s="731"/>
      <c r="J286" s="1495"/>
      <c r="K286" s="1495"/>
      <c r="L286" s="1495"/>
      <c r="M286" s="1490"/>
    </row>
    <row r="287" spans="1:13">
      <c r="A287" s="2204" t="s">
        <v>497</v>
      </c>
      <c r="B287" s="1122">
        <v>386963</v>
      </c>
      <c r="C287" s="1122">
        <v>1102</v>
      </c>
      <c r="D287" s="1123">
        <v>321899</v>
      </c>
      <c r="E287" s="1124">
        <v>86644.112610000011</v>
      </c>
      <c r="F287" s="847">
        <v>43.442084432569679</v>
      </c>
      <c r="H287" s="731"/>
      <c r="I287" s="731"/>
      <c r="J287" s="1495"/>
      <c r="K287" s="1495"/>
      <c r="L287" s="1495"/>
      <c r="M287" s="1490"/>
    </row>
    <row r="288" spans="1:13">
      <c r="A288" s="2204" t="s">
        <v>498</v>
      </c>
      <c r="B288" s="1122">
        <v>475346</v>
      </c>
      <c r="C288" s="1122">
        <v>2575</v>
      </c>
      <c r="D288" s="1123">
        <v>353211</v>
      </c>
      <c r="E288" s="1124">
        <v>167125.21741999971</v>
      </c>
      <c r="F288" s="847">
        <v>45.287376849419573</v>
      </c>
      <c r="H288" s="731"/>
      <c r="I288" s="731"/>
      <c r="J288" s="1495"/>
      <c r="K288" s="1495"/>
      <c r="L288" s="1495"/>
      <c r="M288" s="1490"/>
    </row>
    <row r="289" spans="1:13">
      <c r="A289" s="2204" t="s">
        <v>499</v>
      </c>
      <c r="B289" s="1122">
        <v>390481</v>
      </c>
      <c r="C289" s="1122">
        <v>723</v>
      </c>
      <c r="D289" s="1123">
        <v>299626</v>
      </c>
      <c r="E289" s="1124">
        <v>115090.25942000007</v>
      </c>
      <c r="F289" s="847">
        <v>40.578080656270465</v>
      </c>
      <c r="H289" s="731"/>
      <c r="I289" s="731"/>
      <c r="J289" s="1495"/>
      <c r="K289" s="1495"/>
      <c r="L289" s="1495"/>
      <c r="M289" s="1490"/>
    </row>
    <row r="290" spans="1:13">
      <c r="A290" s="2204" t="s">
        <v>500</v>
      </c>
      <c r="B290" s="1122">
        <v>411300</v>
      </c>
      <c r="C290" s="1122">
        <v>2454</v>
      </c>
      <c r="D290" s="1123">
        <v>340635</v>
      </c>
      <c r="E290" s="1124">
        <v>166394.83206999995</v>
      </c>
      <c r="F290" s="847">
        <v>87.392563231340176</v>
      </c>
      <c r="H290" s="731"/>
      <c r="I290" s="731"/>
      <c r="J290" s="1495"/>
      <c r="K290" s="1495"/>
      <c r="L290" s="1495"/>
      <c r="M290" s="1490"/>
    </row>
    <row r="291" spans="1:13">
      <c r="A291" s="2204" t="s">
        <v>501</v>
      </c>
      <c r="B291" s="1122">
        <v>278307</v>
      </c>
      <c r="C291" s="1122">
        <v>978</v>
      </c>
      <c r="D291" s="1123">
        <v>234160</v>
      </c>
      <c r="E291" s="1124">
        <v>64674.910659999936</v>
      </c>
      <c r="F291" s="847">
        <v>39.847918585520375</v>
      </c>
      <c r="H291" s="731"/>
      <c r="I291" s="731"/>
      <c r="J291" s="1495"/>
      <c r="K291" s="1495"/>
      <c r="L291" s="1495"/>
      <c r="M291" s="1490"/>
    </row>
    <row r="292" spans="1:13">
      <c r="A292" s="2204" t="s">
        <v>502</v>
      </c>
      <c r="B292" s="1122">
        <v>197280</v>
      </c>
      <c r="C292" s="1122">
        <v>1142</v>
      </c>
      <c r="D292" s="1123">
        <v>148315</v>
      </c>
      <c r="E292" s="1124">
        <v>57695.403799999942</v>
      </c>
      <c r="F292" s="847">
        <v>42.414390944015473</v>
      </c>
      <c r="H292" s="731"/>
      <c r="I292" s="731"/>
      <c r="J292" s="1495"/>
      <c r="K292" s="1495"/>
      <c r="L292" s="1495"/>
      <c r="M292" s="1490"/>
    </row>
    <row r="293" spans="1:13">
      <c r="A293" s="2204" t="s">
        <v>503</v>
      </c>
      <c r="B293" s="1122">
        <v>117537</v>
      </c>
      <c r="C293" s="1122">
        <v>10</v>
      </c>
      <c r="D293" s="1123">
        <v>96641</v>
      </c>
      <c r="E293" s="1124">
        <v>23598.061210000014</v>
      </c>
      <c r="F293" s="847">
        <v>32.350918605520732</v>
      </c>
      <c r="H293" s="731"/>
      <c r="I293" s="731"/>
      <c r="J293" s="1495"/>
      <c r="K293" s="1495"/>
      <c r="L293" s="1495"/>
      <c r="M293" s="1490"/>
    </row>
    <row r="294" spans="1:13">
      <c r="A294" s="2206" t="s">
        <v>587</v>
      </c>
      <c r="B294" s="1122">
        <v>382583</v>
      </c>
      <c r="C294" s="1122">
        <v>1172</v>
      </c>
      <c r="D294" s="1123">
        <v>304219</v>
      </c>
      <c r="E294" s="1124">
        <v>135707.90188999998</v>
      </c>
      <c r="F294" s="847">
        <v>65.347980646402846</v>
      </c>
      <c r="H294" s="731"/>
      <c r="I294" s="731"/>
      <c r="J294" s="1495"/>
      <c r="K294" s="1495"/>
      <c r="L294" s="1495"/>
      <c r="M294" s="1490"/>
    </row>
    <row r="295" spans="1:13">
      <c r="A295" s="2722" t="s">
        <v>1200</v>
      </c>
      <c r="B295" s="2723">
        <v>233605</v>
      </c>
      <c r="C295" s="2723">
        <v>913</v>
      </c>
      <c r="D295" s="2724">
        <v>186654</v>
      </c>
      <c r="E295" s="2725">
        <v>58558.901910000073</v>
      </c>
      <c r="F295" s="2726"/>
      <c r="H295" s="731"/>
      <c r="I295" s="731"/>
      <c r="J295" s="1495"/>
      <c r="K295" s="1495"/>
      <c r="L295" s="1495"/>
      <c r="M295" s="1490"/>
    </row>
    <row r="296" spans="1:13">
      <c r="A296" s="2205" t="s">
        <v>311</v>
      </c>
      <c r="B296" s="1125">
        <v>3349638</v>
      </c>
      <c r="C296" s="1125">
        <v>15292</v>
      </c>
      <c r="D296" s="1125">
        <v>2658792</v>
      </c>
      <c r="E296" s="1125">
        <v>1007421.9657599996</v>
      </c>
      <c r="F296" s="847">
        <v>50.111639980674568</v>
      </c>
      <c r="G296" s="2055">
        <f>(E296/1000)-'enc-ag'!H29</f>
        <v>0</v>
      </c>
      <c r="H296" s="731"/>
      <c r="J296" s="1495"/>
      <c r="K296" s="1495"/>
      <c r="L296" s="1495"/>
      <c r="M296" s="1907"/>
    </row>
    <row r="297" spans="1:13">
      <c r="G297" s="1490"/>
    </row>
    <row r="298" spans="1:13" ht="23.4">
      <c r="A298" s="2199" t="s">
        <v>8</v>
      </c>
      <c r="B298" s="844"/>
      <c r="C298" s="844"/>
      <c r="D298" s="1044"/>
      <c r="E298" s="844"/>
      <c r="F298" s="844"/>
      <c r="G298" s="1490"/>
    </row>
    <row r="299" spans="1:13">
      <c r="A299" s="2203" t="s">
        <v>490</v>
      </c>
      <c r="B299" s="848" t="s">
        <v>102</v>
      </c>
      <c r="C299" s="848" t="s">
        <v>70</v>
      </c>
      <c r="D299" s="1042" t="s">
        <v>103</v>
      </c>
      <c r="E299" s="848" t="s">
        <v>518</v>
      </c>
      <c r="F299" s="848" t="s">
        <v>339</v>
      </c>
      <c r="G299" s="1490"/>
    </row>
    <row r="300" spans="1:13">
      <c r="A300" s="2204" t="s">
        <v>504</v>
      </c>
      <c r="B300" s="849">
        <v>668310.04125999997</v>
      </c>
      <c r="C300" s="849">
        <v>1550.2768500000002</v>
      </c>
      <c r="D300" s="846">
        <v>611851.20224000001</v>
      </c>
      <c r="E300" s="846">
        <v>107955.01704999991</v>
      </c>
      <c r="F300" s="847">
        <v>60.239743777594697</v>
      </c>
      <c r="G300" s="1490"/>
      <c r="I300" s="731"/>
      <c r="J300" s="731"/>
      <c r="L300" s="731"/>
    </row>
    <row r="301" spans="1:13">
      <c r="A301" s="2204" t="s">
        <v>505</v>
      </c>
      <c r="B301" s="849">
        <v>361057.13464999996</v>
      </c>
      <c r="C301" s="849">
        <v>373.37289000000004</v>
      </c>
      <c r="D301" s="846">
        <v>334857.65432999999</v>
      </c>
      <c r="E301" s="846">
        <v>45476.111129999976</v>
      </c>
      <c r="F301" s="847">
        <v>64.525716139907118</v>
      </c>
      <c r="G301" s="1490"/>
      <c r="I301" s="731"/>
      <c r="J301" s="731"/>
      <c r="L301" s="731"/>
    </row>
    <row r="302" spans="1:13">
      <c r="A302" s="2204" t="s">
        <v>506</v>
      </c>
      <c r="B302" s="849">
        <v>484715.98997999995</v>
      </c>
      <c r="C302" s="849">
        <v>2016.51342</v>
      </c>
      <c r="D302" s="846">
        <v>452905.04486999998</v>
      </c>
      <c r="E302" s="846">
        <v>42116.590860000113</v>
      </c>
      <c r="F302" s="847">
        <v>76.295315429156901</v>
      </c>
      <c r="G302" s="1490"/>
      <c r="I302" s="731"/>
      <c r="J302" s="731"/>
      <c r="L302" s="731"/>
    </row>
    <row r="303" spans="1:13">
      <c r="A303" s="2204" t="s">
        <v>507</v>
      </c>
      <c r="B303" s="849">
        <v>360217.74900000001</v>
      </c>
      <c r="C303" s="849">
        <v>2021.9555700000001</v>
      </c>
      <c r="D303" s="846">
        <v>315880.07182999997</v>
      </c>
      <c r="E303" s="846">
        <v>66132.096000000136</v>
      </c>
      <c r="F303" s="847">
        <v>60.402769788924985</v>
      </c>
      <c r="G303" s="1490"/>
      <c r="I303" s="731"/>
      <c r="J303" s="731"/>
      <c r="L303" s="731"/>
    </row>
    <row r="304" spans="1:13">
      <c r="A304" s="2204" t="s">
        <v>508</v>
      </c>
      <c r="B304" s="849">
        <v>174174.37421000001</v>
      </c>
      <c r="C304" s="849">
        <v>126.45801</v>
      </c>
      <c r="D304" s="846">
        <v>165354.18149000002</v>
      </c>
      <c r="E304" s="846">
        <v>20552.342110000027</v>
      </c>
      <c r="F304" s="847">
        <v>60.924691287516467</v>
      </c>
      <c r="G304" s="1490"/>
      <c r="I304" s="731"/>
      <c r="J304" s="731"/>
      <c r="L304" s="731"/>
    </row>
    <row r="305" spans="1:15">
      <c r="A305" s="2204" t="s">
        <v>509</v>
      </c>
      <c r="B305" s="849">
        <v>311570.66694000002</v>
      </c>
      <c r="C305" s="849">
        <v>748.83893</v>
      </c>
      <c r="D305" s="846">
        <v>280027.34655999998</v>
      </c>
      <c r="E305" s="846">
        <v>46071.100309999951</v>
      </c>
      <c r="F305" s="847">
        <v>53.117784626039644</v>
      </c>
      <c r="G305" s="1490"/>
      <c r="I305" s="731"/>
      <c r="J305" s="731"/>
      <c r="L305" s="731"/>
    </row>
    <row r="306" spans="1:15">
      <c r="A306" s="2204" t="s">
        <v>510</v>
      </c>
      <c r="B306" s="849">
        <v>124793.45737999999</v>
      </c>
      <c r="C306" s="849">
        <v>369.33668999999998</v>
      </c>
      <c r="D306" s="846">
        <v>95924.343919999999</v>
      </c>
      <c r="E306" s="846">
        <v>35905.487960000042</v>
      </c>
      <c r="F306" s="847">
        <v>52.02293088012857</v>
      </c>
      <c r="G306" s="1490"/>
      <c r="I306" s="731"/>
      <c r="J306" s="731"/>
      <c r="L306" s="731"/>
    </row>
    <row r="307" spans="1:15">
      <c r="A307" s="2206" t="s">
        <v>560</v>
      </c>
      <c r="B307" s="849">
        <v>541358.50968000002</v>
      </c>
      <c r="C307" s="849">
        <v>3124.3773200000001</v>
      </c>
      <c r="D307" s="846">
        <v>465188.94497000001</v>
      </c>
      <c r="E307" s="846">
        <v>120229.97093000001</v>
      </c>
      <c r="F307" s="847">
        <v>57.281285690834359</v>
      </c>
      <c r="G307" s="1490"/>
      <c r="I307" s="731"/>
      <c r="J307" s="731"/>
      <c r="L307" s="731"/>
    </row>
    <row r="308" spans="1:15">
      <c r="A308" s="2205" t="s">
        <v>311</v>
      </c>
      <c r="B308" s="850">
        <v>3026197.9231000002</v>
      </c>
      <c r="C308" s="850">
        <v>10331.12968</v>
      </c>
      <c r="D308" s="850">
        <v>2721988.7902100002</v>
      </c>
      <c r="E308" s="850">
        <v>484438.71635000018</v>
      </c>
      <c r="F308" s="851">
        <v>61.381796370663089</v>
      </c>
      <c r="G308" s="1907">
        <f>(E308/1000)-'enc-ag'!H38</f>
        <v>0</v>
      </c>
      <c r="I308" s="731"/>
      <c r="J308" s="731"/>
      <c r="L308" s="731"/>
    </row>
    <row r="309" spans="1:15">
      <c r="G309" s="1490"/>
    </row>
    <row r="310" spans="1:15" ht="23.4">
      <c r="A310" s="2199" t="s">
        <v>125</v>
      </c>
      <c r="B310" s="844"/>
      <c r="C310" s="844"/>
      <c r="D310" s="1044"/>
      <c r="E310" s="844"/>
      <c r="F310" s="844"/>
      <c r="G310" s="1490"/>
    </row>
    <row r="311" spans="1:15" ht="14.4">
      <c r="A311" s="2203" t="s">
        <v>490</v>
      </c>
      <c r="B311" s="848" t="s">
        <v>102</v>
      </c>
      <c r="C311" s="848" t="s">
        <v>70</v>
      </c>
      <c r="D311" s="1042" t="s">
        <v>103</v>
      </c>
      <c r="E311" s="848" t="s">
        <v>518</v>
      </c>
      <c r="F311" s="848" t="s">
        <v>339</v>
      </c>
      <c r="G311" s="1490"/>
      <c r="H311" s="2185" t="s">
        <v>327</v>
      </c>
      <c r="I311" s="2187" t="s">
        <v>102</v>
      </c>
      <c r="J311" s="2187" t="s">
        <v>70</v>
      </c>
      <c r="K311" s="2187" t="s">
        <v>103</v>
      </c>
      <c r="L311" s="2187" t="s">
        <v>1038</v>
      </c>
      <c r="M311" s="2185"/>
    </row>
    <row r="312" spans="1:15" ht="15.6">
      <c r="A312" s="2204" t="s">
        <v>327</v>
      </c>
      <c r="B312" s="849">
        <f t="shared" ref="B312:E324" si="17">I312</f>
        <v>514067.73254</v>
      </c>
      <c r="C312" s="849">
        <f t="shared" si="17"/>
        <v>5016.3683700000001</v>
      </c>
      <c r="D312" s="849">
        <f t="shared" si="17"/>
        <v>465518.7401</v>
      </c>
      <c r="E312" s="849">
        <f t="shared" si="17"/>
        <v>128198.78764000001</v>
      </c>
      <c r="F312" s="847">
        <v>54.110169991052032</v>
      </c>
      <c r="H312" s="2188" t="s">
        <v>327</v>
      </c>
      <c r="I312" s="2189">
        <v>514067.73254</v>
      </c>
      <c r="J312" s="2190">
        <v>5016.3683700000001</v>
      </c>
      <c r="K312" s="2190">
        <v>465518.7401</v>
      </c>
      <c r="L312" s="2191">
        <v>128198.78764000001</v>
      </c>
      <c r="M312" s="2186"/>
      <c r="N312" s="731"/>
      <c r="O312" s="731"/>
    </row>
    <row r="313" spans="1:15" ht="15.6">
      <c r="A313" s="2204" t="s">
        <v>424</v>
      </c>
      <c r="B313" s="849">
        <f t="shared" si="17"/>
        <v>504217.62121999997</v>
      </c>
      <c r="C313" s="849">
        <f t="shared" si="17"/>
        <v>2385.4417899999999</v>
      </c>
      <c r="D313" s="849">
        <f t="shared" si="17"/>
        <v>428593.03012000001</v>
      </c>
      <c r="E313" s="849">
        <f t="shared" si="17"/>
        <v>166208.72899</v>
      </c>
      <c r="F313" s="847">
        <v>58.213970915152927</v>
      </c>
      <c r="H313" s="2188" t="s">
        <v>424</v>
      </c>
      <c r="I313" s="2189">
        <v>504217.62121999997</v>
      </c>
      <c r="J313" s="2190">
        <v>2385.4417899999999</v>
      </c>
      <c r="K313" s="2190">
        <v>428593.03012000001</v>
      </c>
      <c r="L313" s="2191">
        <v>166208.72899</v>
      </c>
      <c r="M313" s="2186"/>
      <c r="N313" s="731"/>
      <c r="O313" s="731"/>
    </row>
    <row r="314" spans="1:15" ht="15.6">
      <c r="A314" s="2204" t="s">
        <v>447</v>
      </c>
      <c r="B314" s="849">
        <f t="shared" si="17"/>
        <v>203828.96070000003</v>
      </c>
      <c r="C314" s="849">
        <f t="shared" si="17"/>
        <v>252.10889</v>
      </c>
      <c r="D314" s="849">
        <f t="shared" si="17"/>
        <v>175723.95266000001</v>
      </c>
      <c r="E314" s="849">
        <f t="shared" si="17"/>
        <v>47368.24619000002</v>
      </c>
      <c r="F314" s="847">
        <v>41.204510524388134</v>
      </c>
      <c r="H314" s="2188" t="s">
        <v>1050</v>
      </c>
      <c r="I314" s="2189">
        <v>203828.96070000003</v>
      </c>
      <c r="J314" s="2190">
        <v>252.10889</v>
      </c>
      <c r="K314" s="2190">
        <v>175723.95266000001</v>
      </c>
      <c r="L314" s="2191">
        <v>47368.24619000002</v>
      </c>
      <c r="M314" s="2186"/>
      <c r="N314" s="731"/>
      <c r="O314" s="731"/>
    </row>
    <row r="315" spans="1:15" ht="15.6">
      <c r="A315" s="2204" t="s">
        <v>741</v>
      </c>
      <c r="B315" s="849">
        <f t="shared" si="17"/>
        <v>436051.88668</v>
      </c>
      <c r="C315" s="849">
        <f t="shared" si="17"/>
        <v>2179.5758500000002</v>
      </c>
      <c r="D315" s="849">
        <f t="shared" si="17"/>
        <v>384748.71983999998</v>
      </c>
      <c r="E315" s="849">
        <f t="shared" si="17"/>
        <v>142166.69324000002</v>
      </c>
      <c r="F315" s="847">
        <v>69.196083610180523</v>
      </c>
      <c r="H315" s="2188" t="s">
        <v>741</v>
      </c>
      <c r="I315" s="2189">
        <v>436051.88668</v>
      </c>
      <c r="J315" s="2190">
        <v>2179.5758500000002</v>
      </c>
      <c r="K315" s="2190">
        <v>384748.71983999998</v>
      </c>
      <c r="L315" s="2191">
        <v>142166.69324000002</v>
      </c>
      <c r="M315" s="2186"/>
      <c r="N315" s="731"/>
      <c r="O315" s="731"/>
    </row>
    <row r="316" spans="1:15" ht="15.6">
      <c r="A316" s="2204" t="s">
        <v>321</v>
      </c>
      <c r="B316" s="849">
        <f t="shared" si="17"/>
        <v>514022.9268999999</v>
      </c>
      <c r="C316" s="849">
        <f t="shared" si="17"/>
        <v>683.62100999999996</v>
      </c>
      <c r="D316" s="849">
        <f t="shared" si="17"/>
        <v>458957.13404000003</v>
      </c>
      <c r="E316" s="849">
        <f t="shared" si="17"/>
        <v>94945.756239999944</v>
      </c>
      <c r="F316" s="847">
        <v>28.727858590360984</v>
      </c>
      <c r="H316" s="2188" t="s">
        <v>321</v>
      </c>
      <c r="I316" s="2189">
        <v>514022.9268999999</v>
      </c>
      <c r="J316" s="2190">
        <v>683.62100999999996</v>
      </c>
      <c r="K316" s="2190">
        <v>458957.13404000003</v>
      </c>
      <c r="L316" s="2191">
        <v>94945.756239999944</v>
      </c>
      <c r="M316" s="2186"/>
      <c r="N316" s="731"/>
      <c r="O316" s="731"/>
    </row>
    <row r="317" spans="1:15" ht="15.6">
      <c r="A317" s="2204" t="s">
        <v>325</v>
      </c>
      <c r="B317" s="849">
        <f t="shared" si="17"/>
        <v>359209.73709999997</v>
      </c>
      <c r="C317" s="849">
        <f t="shared" si="17"/>
        <v>1768.8297600000001</v>
      </c>
      <c r="D317" s="849">
        <f t="shared" si="17"/>
        <v>320078.93325999996</v>
      </c>
      <c r="E317" s="849">
        <f t="shared" si="17"/>
        <v>68637.34388</v>
      </c>
      <c r="F317" s="847">
        <v>34.312295199142469</v>
      </c>
      <c r="H317" s="2188" t="s">
        <v>325</v>
      </c>
      <c r="I317" s="2189">
        <v>359209.73709999997</v>
      </c>
      <c r="J317" s="2190">
        <v>1768.8297600000001</v>
      </c>
      <c r="K317" s="2190">
        <v>320078.93325999996</v>
      </c>
      <c r="L317" s="2191">
        <v>68637.34388</v>
      </c>
      <c r="M317" s="2186"/>
      <c r="N317" s="731"/>
      <c r="O317" s="731"/>
    </row>
    <row r="318" spans="1:15" ht="15.6">
      <c r="A318" s="2204" t="s">
        <v>326</v>
      </c>
      <c r="B318" s="849">
        <f t="shared" si="17"/>
        <v>267545.39655999996</v>
      </c>
      <c r="C318" s="849">
        <f t="shared" si="17"/>
        <v>1161.7783400000001</v>
      </c>
      <c r="D318" s="849">
        <f t="shared" si="17"/>
        <v>249244.61908999999</v>
      </c>
      <c r="E318" s="849">
        <f t="shared" si="17"/>
        <v>34145.113870000052</v>
      </c>
      <c r="F318" s="847">
        <v>24.935659608172362</v>
      </c>
      <c r="H318" s="2188" t="s">
        <v>326</v>
      </c>
      <c r="I318" s="2189">
        <v>267545.39655999996</v>
      </c>
      <c r="J318" s="2190">
        <v>1161.7783400000001</v>
      </c>
      <c r="K318" s="2190">
        <v>249244.61908999999</v>
      </c>
      <c r="L318" s="2191">
        <v>34145.113870000052</v>
      </c>
      <c r="M318" s="2186"/>
      <c r="N318" s="731"/>
      <c r="O318" s="731"/>
    </row>
    <row r="319" spans="1:15" ht="15.6">
      <c r="A319" s="2204" t="s">
        <v>322</v>
      </c>
      <c r="B319" s="849">
        <f t="shared" si="17"/>
        <v>593948.93412999995</v>
      </c>
      <c r="C319" s="849">
        <f t="shared" si="17"/>
        <v>2470.9525299999996</v>
      </c>
      <c r="D319" s="849">
        <f t="shared" si="17"/>
        <v>499038.86907000002</v>
      </c>
      <c r="E319" s="849">
        <f t="shared" si="17"/>
        <v>217586.37172999996</v>
      </c>
      <c r="F319" s="847">
        <v>65.670402113579371</v>
      </c>
      <c r="H319" s="2188" t="s">
        <v>322</v>
      </c>
      <c r="I319" s="2189">
        <v>593948.93412999995</v>
      </c>
      <c r="J319" s="2190">
        <v>2470.9525299999996</v>
      </c>
      <c r="K319" s="2190">
        <v>499038.86907000002</v>
      </c>
      <c r="L319" s="2191">
        <v>217586.37172999996</v>
      </c>
      <c r="M319" s="2186"/>
      <c r="N319" s="731"/>
      <c r="O319" s="731"/>
    </row>
    <row r="320" spans="1:15" ht="15.6">
      <c r="A320" s="2204" t="s">
        <v>425</v>
      </c>
      <c r="B320" s="849">
        <f t="shared" si="17"/>
        <v>198809.16206999999</v>
      </c>
      <c r="C320" s="849">
        <f t="shared" si="17"/>
        <v>1038.3507500000001</v>
      </c>
      <c r="D320" s="849">
        <f t="shared" si="17"/>
        <v>186216.12863999998</v>
      </c>
      <c r="E320" s="849">
        <f t="shared" si="17"/>
        <v>36716.044219999996</v>
      </c>
      <c r="F320" s="847">
        <v>43.136786392689856</v>
      </c>
      <c r="H320" s="2188" t="s">
        <v>425</v>
      </c>
      <c r="I320" s="2189">
        <v>198809.16206999999</v>
      </c>
      <c r="J320" s="2190">
        <v>1038.3507500000001</v>
      </c>
      <c r="K320" s="2190">
        <v>186216.12863999998</v>
      </c>
      <c r="L320" s="2191">
        <v>36716.044219999996</v>
      </c>
      <c r="M320" s="2186"/>
      <c r="N320" s="731"/>
      <c r="O320" s="731"/>
    </row>
    <row r="321" spans="1:15" ht="15.6">
      <c r="A321" s="2204" t="s">
        <v>328</v>
      </c>
      <c r="B321" s="849">
        <f t="shared" si="17"/>
        <v>243647.44825000002</v>
      </c>
      <c r="C321" s="849">
        <f t="shared" si="17"/>
        <v>693.33881000000008</v>
      </c>
      <c r="D321" s="849">
        <f t="shared" si="17"/>
        <v>227610.55124</v>
      </c>
      <c r="E321" s="849">
        <f t="shared" si="17"/>
        <v>43635.250229999991</v>
      </c>
      <c r="F321" s="847">
        <v>42.206773074329348</v>
      </c>
      <c r="H321" s="2188" t="s">
        <v>328</v>
      </c>
      <c r="I321" s="2189">
        <v>243647.44825000002</v>
      </c>
      <c r="J321" s="2190">
        <v>693.33881000000008</v>
      </c>
      <c r="K321" s="2190">
        <v>227610.55124</v>
      </c>
      <c r="L321" s="2191">
        <v>43635.250229999991</v>
      </c>
      <c r="M321" s="2186"/>
      <c r="N321" s="731"/>
      <c r="O321" s="731"/>
    </row>
    <row r="322" spans="1:15" ht="15.6">
      <c r="A322" s="2204" t="s">
        <v>323</v>
      </c>
      <c r="B322" s="849">
        <f t="shared" si="17"/>
        <v>371153.77560000011</v>
      </c>
      <c r="C322" s="849">
        <f t="shared" si="17"/>
        <v>907.91763000000003</v>
      </c>
      <c r="D322" s="849">
        <f t="shared" si="17"/>
        <v>324097.23718</v>
      </c>
      <c r="E322" s="849">
        <f t="shared" si="17"/>
        <v>84208.471870000038</v>
      </c>
      <c r="F322" s="847">
        <v>37.341116055350902</v>
      </c>
      <c r="H322" s="2188" t="s">
        <v>323</v>
      </c>
      <c r="I322" s="2189">
        <v>371153.77560000011</v>
      </c>
      <c r="J322" s="2190">
        <v>907.91763000000003</v>
      </c>
      <c r="K322" s="2190">
        <v>324097.23718</v>
      </c>
      <c r="L322" s="2191">
        <v>84208.471870000038</v>
      </c>
      <c r="M322" s="2186"/>
      <c r="N322" s="731"/>
      <c r="O322" s="731"/>
    </row>
    <row r="323" spans="1:15" ht="15.6">
      <c r="A323" s="2204" t="s">
        <v>742</v>
      </c>
      <c r="B323" s="849">
        <f t="shared" si="17"/>
        <v>310495.85382000002</v>
      </c>
      <c r="C323" s="849">
        <f t="shared" si="17"/>
        <v>1205.49371</v>
      </c>
      <c r="D323" s="849">
        <f t="shared" si="17"/>
        <v>278896.30819999997</v>
      </c>
      <c r="E323" s="849">
        <f t="shared" si="17"/>
        <v>62053.21062000002</v>
      </c>
      <c r="F323" s="847">
        <v>38.576077154322483</v>
      </c>
      <c r="H323" s="2188" t="s">
        <v>742</v>
      </c>
      <c r="I323" s="2189">
        <v>310495.85382000002</v>
      </c>
      <c r="J323" s="2190">
        <v>1205.49371</v>
      </c>
      <c r="K323" s="2190">
        <v>278896.30819999997</v>
      </c>
      <c r="L323" s="2191">
        <v>62053.21062000002</v>
      </c>
      <c r="M323" s="2186"/>
      <c r="N323" s="731"/>
      <c r="O323" s="731"/>
    </row>
    <row r="324" spans="1:15" ht="15.6">
      <c r="A324" s="2204" t="s">
        <v>324</v>
      </c>
      <c r="B324" s="849">
        <f t="shared" si="17"/>
        <v>316418.06050000008</v>
      </c>
      <c r="C324" s="849">
        <f t="shared" si="17"/>
        <v>3446.4125899999999</v>
      </c>
      <c r="D324" s="849">
        <f t="shared" si="17"/>
        <v>269982.90463</v>
      </c>
      <c r="E324" s="849">
        <f t="shared" si="17"/>
        <v>116976.77367000005</v>
      </c>
      <c r="F324" s="847">
        <v>73.146978443579741</v>
      </c>
      <c r="H324" s="2188" t="s">
        <v>324</v>
      </c>
      <c r="I324" s="2189">
        <v>316418.06050000008</v>
      </c>
      <c r="J324" s="2190">
        <v>3446.4125899999999</v>
      </c>
      <c r="K324" s="2190">
        <v>269982.90463</v>
      </c>
      <c r="L324" s="2191">
        <v>116976.77367000005</v>
      </c>
      <c r="M324" s="2186"/>
      <c r="N324" s="731"/>
      <c r="O324" s="731"/>
    </row>
    <row r="325" spans="1:15" ht="15.6">
      <c r="A325" s="2204" t="s">
        <v>743</v>
      </c>
      <c r="B325" s="849">
        <f>I326</f>
        <v>204957.10008</v>
      </c>
      <c r="C325" s="849">
        <f>J326</f>
        <v>313.90962000000002</v>
      </c>
      <c r="D325" s="849">
        <f>K326</f>
        <v>164807.91746</v>
      </c>
      <c r="E325" s="849">
        <f>L326</f>
        <v>103278.83766999999</v>
      </c>
      <c r="F325" s="847">
        <v>53.597776481024404</v>
      </c>
      <c r="H325" s="2188" t="s">
        <v>329</v>
      </c>
      <c r="I325" s="2189">
        <v>375388.33848999994</v>
      </c>
      <c r="J325" s="2190">
        <v>1657.7444499999999</v>
      </c>
      <c r="K325" s="2190">
        <v>321363.58278</v>
      </c>
      <c r="L325" s="2191">
        <v>100209.00182000002</v>
      </c>
      <c r="M325" s="2186"/>
      <c r="N325" s="731"/>
      <c r="O325" s="731"/>
    </row>
    <row r="326" spans="1:15" ht="15.6">
      <c r="A326" s="2204" t="s">
        <v>329</v>
      </c>
      <c r="B326" s="849">
        <f>I325</f>
        <v>375388.33848999994</v>
      </c>
      <c r="C326" s="849">
        <f>J325</f>
        <v>1657.7444499999999</v>
      </c>
      <c r="D326" s="849">
        <f>K325</f>
        <v>321363.58278</v>
      </c>
      <c r="E326" s="849">
        <f>L325</f>
        <v>100209.00182000002</v>
      </c>
      <c r="F326" s="847">
        <v>100.79662486065797</v>
      </c>
      <c r="H326" s="2188" t="s">
        <v>743</v>
      </c>
      <c r="I326" s="2189">
        <v>204957.10008</v>
      </c>
      <c r="J326" s="2190">
        <v>313.90962000000002</v>
      </c>
      <c r="K326" s="2190">
        <v>164807.91746</v>
      </c>
      <c r="L326" s="2191">
        <v>103278.83766999999</v>
      </c>
      <c r="M326" s="2186"/>
      <c r="N326" s="731"/>
      <c r="O326" s="731"/>
    </row>
    <row r="327" spans="1:15" ht="15.6">
      <c r="A327" s="2206" t="s">
        <v>737</v>
      </c>
      <c r="B327" s="849">
        <f>I327</f>
        <v>157938.32693000001</v>
      </c>
      <c r="C327" s="849">
        <f t="shared" ref="C327:E328" si="18">J327</f>
        <v>1350.0944</v>
      </c>
      <c r="D327" s="849">
        <f t="shared" si="18"/>
        <v>143808.83850000001</v>
      </c>
      <c r="E327" s="849">
        <f t="shared" si="18"/>
        <v>40191.801350000009</v>
      </c>
      <c r="F327" s="847">
        <v>59.503424816747234</v>
      </c>
      <c r="H327" s="2188" t="s">
        <v>737</v>
      </c>
      <c r="I327" s="2189">
        <v>157938.32693000001</v>
      </c>
      <c r="J327" s="2190">
        <v>1350.0944</v>
      </c>
      <c r="K327" s="2190">
        <v>143808.83850000001</v>
      </c>
      <c r="L327" s="2191">
        <v>40191.801350000009</v>
      </c>
      <c r="M327" s="2186"/>
      <c r="N327" s="731"/>
      <c r="O327" s="731"/>
    </row>
    <row r="328" spans="1:15" ht="15.6">
      <c r="A328" s="2206" t="s">
        <v>744</v>
      </c>
      <c r="B328" s="849">
        <f>I328</f>
        <v>162929.20703999998</v>
      </c>
      <c r="C328" s="849">
        <f t="shared" si="18"/>
        <v>637.27349000000004</v>
      </c>
      <c r="D328" s="849">
        <f t="shared" si="18"/>
        <v>154521.75289999999</v>
      </c>
      <c r="E328" s="849">
        <f t="shared" si="18"/>
        <v>182626.49418000001</v>
      </c>
      <c r="F328" s="847">
        <v>237.67923893583773</v>
      </c>
      <c r="H328" s="2188" t="s">
        <v>744</v>
      </c>
      <c r="I328" s="2189">
        <v>162929.20703999998</v>
      </c>
      <c r="J328" s="2190">
        <v>637.27349000000004</v>
      </c>
      <c r="K328" s="2190">
        <v>154521.75289999999</v>
      </c>
      <c r="L328" s="2191">
        <v>182626.49418000001</v>
      </c>
      <c r="M328" s="2186"/>
      <c r="N328" s="731"/>
      <c r="O328" s="731"/>
    </row>
    <row r="329" spans="1:15" ht="15.6">
      <c r="A329" s="2205" t="s">
        <v>311</v>
      </c>
      <c r="B329" s="850">
        <f>SUM(B312:B328)</f>
        <v>5734630.4686099999</v>
      </c>
      <c r="C329" s="850">
        <f>SUM(C312:C328)</f>
        <v>27169.211990000003</v>
      </c>
      <c r="D329" s="850">
        <f>SUM(D312:D328)</f>
        <v>5053209.2197099989</v>
      </c>
      <c r="E329" s="850">
        <f>SUM(E312:E328)</f>
        <v>1669152.9274100005</v>
      </c>
      <c r="F329" s="851">
        <v>57.14314739107008</v>
      </c>
      <c r="G329" s="2163">
        <f>(E329/1000)-'enc-ag'!H56</f>
        <v>159.33658561000016</v>
      </c>
      <c r="I329" s="2189">
        <v>5734630.4686099999</v>
      </c>
      <c r="J329" s="2190">
        <v>27169.211990000003</v>
      </c>
      <c r="K329" s="2190">
        <v>5053209.2197099989</v>
      </c>
      <c r="L329" s="2191">
        <v>1669152.9274100005</v>
      </c>
      <c r="O329" s="731"/>
    </row>
    <row r="330" spans="1:15">
      <c r="G330" s="1490"/>
    </row>
    <row r="331" spans="1:15" ht="23.4">
      <c r="A331" s="2199" t="s">
        <v>3</v>
      </c>
      <c r="B331" s="844"/>
      <c r="C331" s="844"/>
      <c r="D331" s="1044"/>
      <c r="E331" s="844"/>
      <c r="F331" s="844"/>
      <c r="G331" s="1490"/>
    </row>
    <row r="332" spans="1:15">
      <c r="A332" s="2203" t="s">
        <v>490</v>
      </c>
      <c r="B332" s="848" t="s">
        <v>512</v>
      </c>
      <c r="C332" s="848" t="s">
        <v>513</v>
      </c>
      <c r="D332" s="1042" t="s">
        <v>514</v>
      </c>
      <c r="E332" s="848" t="s">
        <v>518</v>
      </c>
      <c r="F332" s="848" t="s">
        <v>515</v>
      </c>
      <c r="G332" s="1490"/>
    </row>
    <row r="333" spans="1:15">
      <c r="A333" s="2204" t="s">
        <v>126</v>
      </c>
      <c r="B333" s="1122">
        <v>576852.67775000003</v>
      </c>
      <c r="C333" s="1122">
        <v>6603.1423500000001</v>
      </c>
      <c r="D333" s="1123">
        <v>454364.97818999999</v>
      </c>
      <c r="E333" s="1124">
        <v>268571.32780000003</v>
      </c>
      <c r="F333" s="847">
        <v>98.768936894047542</v>
      </c>
      <c r="G333" s="1490"/>
    </row>
    <row r="334" spans="1:15">
      <c r="A334" s="2204" t="s">
        <v>745</v>
      </c>
      <c r="B334" s="1122">
        <v>613796.75281999994</v>
      </c>
      <c r="C334" s="1122">
        <v>4521.1056200000003</v>
      </c>
      <c r="D334" s="1123">
        <v>460283.70234999969</v>
      </c>
      <c r="E334" s="1124">
        <v>625928.4479400001</v>
      </c>
      <c r="F334" s="847">
        <v>217.37623947988843</v>
      </c>
      <c r="G334" s="1490"/>
    </row>
    <row r="335" spans="1:15">
      <c r="A335" s="2204" t="s">
        <v>746</v>
      </c>
      <c r="B335" s="1122">
        <v>443852.17561000003</v>
      </c>
      <c r="C335" s="1122">
        <v>1414.0264999999999</v>
      </c>
      <c r="D335" s="1123">
        <v>379371.79136999999</v>
      </c>
      <c r="E335" s="1124">
        <v>132756.03059000001</v>
      </c>
      <c r="F335" s="847">
        <v>64.387250555400556</v>
      </c>
      <c r="G335" s="1490"/>
    </row>
    <row r="336" spans="1:15">
      <c r="A336" s="2204" t="s">
        <v>747</v>
      </c>
      <c r="B336" s="1122">
        <v>411920.20480000007</v>
      </c>
      <c r="C336" s="1122">
        <v>2632.0733</v>
      </c>
      <c r="D336" s="1123">
        <v>309011.25541999994</v>
      </c>
      <c r="E336" s="1124">
        <v>231556.31711999999</v>
      </c>
      <c r="F336" s="847">
        <v>111.79816749429169</v>
      </c>
      <c r="G336" s="1490"/>
    </row>
    <row r="337" spans="1:10">
      <c r="A337" s="2204" t="s">
        <v>748</v>
      </c>
      <c r="B337" s="1122">
        <v>614650.79307999997</v>
      </c>
      <c r="C337" s="1122">
        <v>12972.9804</v>
      </c>
      <c r="D337" s="1123">
        <v>464980.24936999992</v>
      </c>
      <c r="E337" s="1124">
        <v>475621.97217999998</v>
      </c>
      <c r="F337" s="847">
        <v>167.26479658347733</v>
      </c>
      <c r="G337" s="1490"/>
    </row>
    <row r="338" spans="1:10">
      <c r="A338" s="2206" t="s">
        <v>749</v>
      </c>
      <c r="B338" s="1122">
        <v>235234.87535000002</v>
      </c>
      <c r="C338" s="1122">
        <v>1059.6131599999999</v>
      </c>
      <c r="D338" s="1123">
        <v>169770.55746000004</v>
      </c>
      <c r="E338" s="1124">
        <v>102947.54938</v>
      </c>
      <c r="F338" s="847">
        <v>92.569958142496276</v>
      </c>
      <c r="G338" s="1490"/>
    </row>
    <row r="339" spans="1:10">
      <c r="A339" s="2206" t="s">
        <v>750</v>
      </c>
      <c r="B339" s="1122">
        <v>223154.90551000001</v>
      </c>
      <c r="C339" s="1122">
        <v>1125.8342300000002</v>
      </c>
      <c r="D339" s="1123">
        <v>137646.61186999999</v>
      </c>
      <c r="E339" s="1124">
        <v>152950.34530000002</v>
      </c>
      <c r="F339" s="847">
        <v>147.61060247965293</v>
      </c>
      <c r="G339" s="1490"/>
    </row>
    <row r="340" spans="1:10">
      <c r="A340" s="2206" t="s">
        <v>751</v>
      </c>
      <c r="B340" s="1122">
        <v>248796.42543</v>
      </c>
      <c r="C340" s="1122">
        <v>0</v>
      </c>
      <c r="D340" s="1123">
        <v>174127.21766999998</v>
      </c>
      <c r="E340" s="1124">
        <v>105022.84340000001</v>
      </c>
      <c r="F340" s="847">
        <v>83.680238563110137</v>
      </c>
      <c r="G340" s="1490"/>
    </row>
    <row r="341" spans="1:10">
      <c r="A341" s="2206" t="s">
        <v>752</v>
      </c>
      <c r="B341" s="1122">
        <v>478880.33874000009</v>
      </c>
      <c r="C341" s="1122">
        <v>6705.4229699999996</v>
      </c>
      <c r="D341" s="1123">
        <v>352610.91242000007</v>
      </c>
      <c r="E341" s="1124">
        <v>340298.00037000002</v>
      </c>
      <c r="F341" s="847">
        <v>147.71304371468142</v>
      </c>
      <c r="G341" s="1490"/>
    </row>
    <row r="342" spans="1:10">
      <c r="A342" s="2207" t="s">
        <v>753</v>
      </c>
      <c r="B342" s="1122">
        <v>170261.58617000002</v>
      </c>
      <c r="C342" s="1122">
        <v>10.403120000000001</v>
      </c>
      <c r="D342" s="1123">
        <v>93478.642850000033</v>
      </c>
      <c r="E342" s="1124">
        <v>148737.49972999998</v>
      </c>
      <c r="F342" s="847">
        <v>179.63770978520745</v>
      </c>
      <c r="G342" s="1490"/>
    </row>
    <row r="343" spans="1:10">
      <c r="A343" s="2207" t="s">
        <v>754</v>
      </c>
      <c r="B343" s="1122">
        <v>52285.328799999996</v>
      </c>
      <c r="C343" s="1122">
        <v>269.47188</v>
      </c>
      <c r="D343" s="1123">
        <v>36744.457049999997</v>
      </c>
      <c r="E343" s="1124">
        <v>31162.964250000001</v>
      </c>
      <c r="F343" s="847">
        <v>109.28426058779439</v>
      </c>
      <c r="G343" s="1490"/>
    </row>
    <row r="344" spans="1:10">
      <c r="A344" s="2205" t="s">
        <v>511</v>
      </c>
      <c r="B344" s="850">
        <v>4069686.0640599993</v>
      </c>
      <c r="C344" s="850">
        <v>37314.073530000001</v>
      </c>
      <c r="D344" s="850">
        <v>3032390.3760199994</v>
      </c>
      <c r="E344" s="850">
        <v>2615553.2980599999</v>
      </c>
      <c r="F344" s="851">
        <v>135.19228886033051</v>
      </c>
      <c r="G344" s="1907">
        <f>(E344/1000)-'enc-ag'!H68</f>
        <v>0</v>
      </c>
    </row>
    <row r="345" spans="1:10">
      <c r="G345" s="1490"/>
    </row>
    <row r="346" spans="1:10" ht="23.4">
      <c r="A346" s="2199" t="s">
        <v>397</v>
      </c>
      <c r="B346" s="844"/>
      <c r="C346" s="844"/>
      <c r="D346" s="1044"/>
      <c r="E346" s="844"/>
      <c r="F346" s="844"/>
      <c r="G346" s="1490"/>
    </row>
    <row r="347" spans="1:10">
      <c r="A347" s="2203" t="s">
        <v>490</v>
      </c>
      <c r="B347" s="848" t="s">
        <v>102</v>
      </c>
      <c r="C347" s="848" t="s">
        <v>70</v>
      </c>
      <c r="D347" s="1042" t="s">
        <v>103</v>
      </c>
      <c r="E347" s="848" t="s">
        <v>518</v>
      </c>
      <c r="F347" s="848" t="s">
        <v>339</v>
      </c>
      <c r="G347" s="1490"/>
    </row>
    <row r="348" spans="1:10">
      <c r="A348" s="2204" t="s">
        <v>397</v>
      </c>
      <c r="B348" s="849">
        <v>388620.91054000001</v>
      </c>
      <c r="C348" s="849">
        <v>2516.4715899999997</v>
      </c>
      <c r="D348" s="1045">
        <v>305227.86137</v>
      </c>
      <c r="E348" s="846">
        <v>311991.49690999981</v>
      </c>
      <c r="F348" s="847">
        <v>174.08290051173742</v>
      </c>
      <c r="G348" s="1490"/>
      <c r="I348" s="1920"/>
      <c r="J348" s="1920"/>
    </row>
    <row r="349" spans="1:10">
      <c r="A349" s="2208" t="s">
        <v>400</v>
      </c>
      <c r="B349" s="1927">
        <v>575549.99413000001</v>
      </c>
      <c r="C349" s="1927">
        <v>2974.65688</v>
      </c>
      <c r="D349" s="1928">
        <v>453967.79311000003</v>
      </c>
      <c r="E349" s="1929">
        <v>549553.47588999989</v>
      </c>
      <c r="F349" s="1930">
        <v>213.70293646772183</v>
      </c>
      <c r="G349" s="1490"/>
      <c r="I349" s="1920"/>
      <c r="J349" s="1920"/>
    </row>
    <row r="350" spans="1:10">
      <c r="A350" s="2208" t="s">
        <v>401</v>
      </c>
      <c r="B350" s="1927">
        <v>281945.34937000001</v>
      </c>
      <c r="C350" s="1927">
        <v>1822.61086</v>
      </c>
      <c r="D350" s="1928">
        <v>229366.86784999998</v>
      </c>
      <c r="E350" s="1929">
        <v>148009.26770000003</v>
      </c>
      <c r="F350" s="1930">
        <v>108.22974836377841</v>
      </c>
      <c r="G350" s="1490"/>
      <c r="I350" s="1920"/>
      <c r="J350" s="1920"/>
    </row>
    <row r="351" spans="1:10">
      <c r="A351" s="2208" t="s">
        <v>402</v>
      </c>
      <c r="B351" s="1927">
        <v>925135.52252</v>
      </c>
      <c r="C351" s="1927">
        <v>5818.9013499999992</v>
      </c>
      <c r="D351" s="1928">
        <v>750255.17924999993</v>
      </c>
      <c r="E351" s="1929">
        <v>786115.66409999982</v>
      </c>
      <c r="F351" s="1930">
        <v>189.92214621013224</v>
      </c>
      <c r="G351" s="1490"/>
      <c r="I351" s="1920"/>
      <c r="J351" s="1920"/>
    </row>
    <row r="352" spans="1:10">
      <c r="A352" s="2208" t="s">
        <v>403</v>
      </c>
      <c r="B352" s="1927">
        <v>193066.07009000002</v>
      </c>
      <c r="C352" s="1927">
        <v>714.98798999999997</v>
      </c>
      <c r="D352" s="1928">
        <v>162505.76575999998</v>
      </c>
      <c r="E352" s="1929">
        <v>97803.687960000098</v>
      </c>
      <c r="F352" s="1930">
        <v>105.63038395334121</v>
      </c>
      <c r="G352" s="1490"/>
      <c r="I352" s="1920"/>
      <c r="J352" s="1920"/>
    </row>
    <row r="353" spans="1:14">
      <c r="A353" s="2204" t="s">
        <v>404</v>
      </c>
      <c r="B353" s="849">
        <v>438743.35668999999</v>
      </c>
      <c r="C353" s="849">
        <v>3756.3723799999998</v>
      </c>
      <c r="D353" s="1045">
        <v>325902.33833000006</v>
      </c>
      <c r="E353" s="846">
        <v>474542.19458999974</v>
      </c>
      <c r="F353" s="847">
        <v>238.8956619048507</v>
      </c>
      <c r="G353" s="1490"/>
      <c r="I353" s="1920"/>
      <c r="J353" s="1920"/>
    </row>
    <row r="354" spans="1:14">
      <c r="A354" s="2205" t="s">
        <v>311</v>
      </c>
      <c r="B354" s="850">
        <v>2803061.20334</v>
      </c>
      <c r="C354" s="850">
        <v>17604.001049999999</v>
      </c>
      <c r="D354" s="850">
        <v>2227225.8056700001</v>
      </c>
      <c r="E354" s="850">
        <v>2368015.7871499993</v>
      </c>
      <c r="F354" s="851">
        <v>186.2408713092014</v>
      </c>
      <c r="G354" s="1907">
        <f>(E354/1000)-'enc-ag'!H75</f>
        <v>0</v>
      </c>
    </row>
    <row r="355" spans="1:14">
      <c r="B355" s="1495"/>
      <c r="C355" s="1495"/>
      <c r="D355" s="1500"/>
      <c r="E355" s="1787"/>
      <c r="G355" s="1490"/>
    </row>
    <row r="356" spans="1:14" ht="23.4">
      <c r="A356" s="2199" t="s">
        <v>399</v>
      </c>
      <c r="B356" s="844"/>
      <c r="C356" s="844"/>
      <c r="D356" s="1044"/>
      <c r="E356" s="844"/>
      <c r="F356" s="844"/>
      <c r="G356" s="1490"/>
    </row>
    <row r="357" spans="1:14" ht="15.6">
      <c r="A357" s="2203" t="s">
        <v>490</v>
      </c>
      <c r="B357" s="848" t="s">
        <v>102</v>
      </c>
      <c r="C357" s="848" t="s">
        <v>70</v>
      </c>
      <c r="D357" s="1042" t="s">
        <v>103</v>
      </c>
      <c r="E357" s="848" t="s">
        <v>518</v>
      </c>
      <c r="F357" s="848" t="s">
        <v>339</v>
      </c>
      <c r="G357" s="1490"/>
      <c r="L357" s="1857"/>
      <c r="M357" s="1857"/>
    </row>
    <row r="358" spans="1:14" ht="15.6">
      <c r="A358" s="2204" t="s">
        <v>399</v>
      </c>
      <c r="B358" s="1045">
        <v>537168.60999000003</v>
      </c>
      <c r="C358" s="1045">
        <v>6400.6260599999996</v>
      </c>
      <c r="D358" s="1045">
        <v>467997.73288999998</v>
      </c>
      <c r="E358" s="846">
        <v>123192.30078200006</v>
      </c>
      <c r="F358" s="847">
        <v>46.124371172720537</v>
      </c>
      <c r="G358" s="1490"/>
      <c r="J358" s="731"/>
      <c r="K358" s="731"/>
      <c r="L358" s="1858"/>
      <c r="M358" s="1859"/>
    </row>
    <row r="359" spans="1:14" ht="15.6">
      <c r="A359" s="2204" t="s">
        <v>405</v>
      </c>
      <c r="B359" s="1045">
        <v>485839.51801999996</v>
      </c>
      <c r="C359" s="1045">
        <v>5064.2964199999997</v>
      </c>
      <c r="D359" s="1045">
        <v>402402.4326</v>
      </c>
      <c r="E359" s="846">
        <v>153449.26701999985</v>
      </c>
      <c r="F359" s="847">
        <v>56.389905492917642</v>
      </c>
      <c r="G359" s="1490"/>
      <c r="J359" s="731"/>
      <c r="K359" s="731"/>
      <c r="L359" s="1858"/>
      <c r="M359" s="1859"/>
    </row>
    <row r="360" spans="1:14" ht="15.6">
      <c r="A360" s="2204" t="s">
        <v>406</v>
      </c>
      <c r="B360" s="1045">
        <v>428177.98264999996</v>
      </c>
      <c r="C360" s="1045">
        <v>4141.3791799999999</v>
      </c>
      <c r="D360" s="1045">
        <v>388735.32616000006</v>
      </c>
      <c r="E360" s="846">
        <v>280186.12278999947</v>
      </c>
      <c r="F360" s="847">
        <v>157.95976385233666</v>
      </c>
      <c r="G360" s="1490"/>
      <c r="J360" s="731"/>
      <c r="K360" s="731"/>
      <c r="L360" s="1858"/>
      <c r="M360" s="1859"/>
    </row>
    <row r="361" spans="1:14" ht="15.6">
      <c r="A361" s="2204" t="s">
        <v>407</v>
      </c>
      <c r="B361" s="1045">
        <v>302617.52697000001</v>
      </c>
      <c r="C361" s="1045">
        <v>1144.0426699999998</v>
      </c>
      <c r="D361" s="1045">
        <v>248108.36212999999</v>
      </c>
      <c r="E361" s="846">
        <v>91468.012320000009</v>
      </c>
      <c r="F361" s="847">
        <v>56.388203543656203</v>
      </c>
      <c r="G361" s="1490"/>
      <c r="J361" s="731"/>
      <c r="K361" s="731"/>
      <c r="L361" s="1858"/>
      <c r="M361" s="1859"/>
      <c r="N361" s="731"/>
    </row>
    <row r="362" spans="1:14" ht="15.6">
      <c r="A362" s="2204" t="s">
        <v>617</v>
      </c>
      <c r="B362" s="1045">
        <v>657154.28764999995</v>
      </c>
      <c r="C362" s="1045">
        <v>6635.01847</v>
      </c>
      <c r="D362" s="1045">
        <v>574607.43265999993</v>
      </c>
      <c r="E362" s="846">
        <v>93924.566610000096</v>
      </c>
      <c r="F362" s="847">
        <v>24.039842997616162</v>
      </c>
      <c r="G362" s="1490"/>
      <c r="J362" s="731"/>
      <c r="K362" s="731"/>
      <c r="L362" s="1858"/>
      <c r="M362" s="1859"/>
    </row>
    <row r="363" spans="1:14" ht="15.6">
      <c r="A363" s="2204" t="s">
        <v>408</v>
      </c>
      <c r="B363" s="1045">
        <v>267131.60436</v>
      </c>
      <c r="C363" s="1045">
        <v>5124.8106100000005</v>
      </c>
      <c r="D363" s="1045">
        <v>227375.201</v>
      </c>
      <c r="E363" s="846">
        <v>180700.02831999981</v>
      </c>
      <c r="F363" s="847">
        <v>148.77875946514797</v>
      </c>
      <c r="G363" s="1490"/>
      <c r="J363" s="731"/>
      <c r="K363" s="731"/>
      <c r="L363" s="1858"/>
      <c r="M363" s="1859"/>
    </row>
    <row r="364" spans="1:14" ht="15.6">
      <c r="A364" s="2204" t="s">
        <v>653</v>
      </c>
      <c r="B364" s="1045">
        <v>247896.93258000002</v>
      </c>
      <c r="C364" s="1045">
        <v>8303.743629999999</v>
      </c>
      <c r="D364" s="1045">
        <v>203621.66405000002</v>
      </c>
      <c r="E364" s="846">
        <v>103602.4560200001</v>
      </c>
      <c r="F364" s="847">
        <v>90.185018108754733</v>
      </c>
      <c r="G364" s="1490"/>
      <c r="J364" s="731"/>
      <c r="K364" s="731"/>
      <c r="L364" s="1858"/>
      <c r="M364" s="1859"/>
    </row>
    <row r="365" spans="1:14" ht="15.6">
      <c r="A365" s="2206" t="s">
        <v>409</v>
      </c>
      <c r="B365" s="1045">
        <v>796340.26127999998</v>
      </c>
      <c r="C365" s="1045">
        <v>6755.2286199999999</v>
      </c>
      <c r="D365" s="1045">
        <v>702168.04197000002</v>
      </c>
      <c r="E365" s="846">
        <v>590201.03973000019</v>
      </c>
      <c r="F365" s="847">
        <v>166.93149364136391</v>
      </c>
      <c r="G365" s="1490"/>
      <c r="J365" s="731"/>
      <c r="K365" s="731"/>
      <c r="L365" s="1858"/>
      <c r="M365" s="1859"/>
    </row>
    <row r="366" spans="1:14" ht="15.6">
      <c r="A366" s="2206" t="s">
        <v>410</v>
      </c>
      <c r="B366" s="1045">
        <v>496745.35350000003</v>
      </c>
      <c r="C366" s="1045">
        <v>3217.04621</v>
      </c>
      <c r="D366" s="1045">
        <v>463440.82331999997</v>
      </c>
      <c r="E366" s="846">
        <v>78071.276020000107</v>
      </c>
      <c r="F366" s="847">
        <v>47.071227096973772</v>
      </c>
      <c r="G366" s="1490"/>
      <c r="J366" s="731"/>
      <c r="K366" s="731"/>
      <c r="L366" s="1858"/>
      <c r="M366" s="1859"/>
    </row>
    <row r="367" spans="1:14" ht="15.6">
      <c r="A367" s="2205" t="s">
        <v>311</v>
      </c>
      <c r="B367" s="850">
        <v>4219072.0770000005</v>
      </c>
      <c r="C367" s="850">
        <v>46786.191870000002</v>
      </c>
      <c r="D367" s="850">
        <v>3678457.0167800002</v>
      </c>
      <c r="E367" s="850">
        <v>1694795.0696120001</v>
      </c>
      <c r="F367" s="851">
        <v>87.451830403449094</v>
      </c>
      <c r="G367" s="2163"/>
      <c r="J367" s="731"/>
      <c r="K367" s="731"/>
      <c r="L367" s="1858"/>
      <c r="M367" s="1859"/>
    </row>
    <row r="368" spans="1:14" ht="15.6">
      <c r="G368" s="1490"/>
      <c r="L368" s="1858"/>
      <c r="M368" s="1859"/>
    </row>
    <row r="369" spans="1:16" ht="23.4">
      <c r="A369" s="2199" t="s">
        <v>883</v>
      </c>
      <c r="B369" s="844"/>
      <c r="C369" s="844"/>
      <c r="D369" s="1044"/>
      <c r="E369" s="844"/>
      <c r="F369" s="844"/>
      <c r="G369" s="1490"/>
      <c r="L369" s="1858"/>
      <c r="M369" s="1860"/>
    </row>
    <row r="370" spans="1:16">
      <c r="A370" s="2203" t="s">
        <v>490</v>
      </c>
      <c r="B370" s="848" t="s">
        <v>102</v>
      </c>
      <c r="C370" s="848" t="s">
        <v>70</v>
      </c>
      <c r="D370" s="1042" t="s">
        <v>103</v>
      </c>
      <c r="E370" s="848" t="s">
        <v>518</v>
      </c>
      <c r="F370" s="848" t="s">
        <v>339</v>
      </c>
      <c r="G370" s="1490"/>
    </row>
    <row r="371" spans="1:16">
      <c r="A371" s="2204" t="s">
        <v>970</v>
      </c>
      <c r="B371" s="849">
        <v>784676.33516999998</v>
      </c>
      <c r="C371" s="849">
        <v>2718.0443700000001</v>
      </c>
      <c r="D371" s="1045">
        <v>604205.49631000008</v>
      </c>
      <c r="E371" s="846">
        <v>314464.42189000023</v>
      </c>
      <c r="F371" s="847">
        <v>84.855197914010148</v>
      </c>
      <c r="G371" s="1490"/>
    </row>
    <row r="372" spans="1:16">
      <c r="A372" s="2204" t="s">
        <v>971</v>
      </c>
      <c r="B372" s="849">
        <v>891747.61267000006</v>
      </c>
      <c r="C372" s="849">
        <v>2044.7619399999999</v>
      </c>
      <c r="D372" s="1045">
        <v>717727.79301999998</v>
      </c>
      <c r="E372" s="846">
        <v>410833.25750999968</v>
      </c>
      <c r="F372" s="847">
        <v>103.2399697028103</v>
      </c>
      <c r="G372" s="1490"/>
    </row>
    <row r="373" spans="1:16">
      <c r="A373" s="2204" t="s">
        <v>972</v>
      </c>
      <c r="B373" s="849">
        <v>777778.67752000003</v>
      </c>
      <c r="C373" s="849">
        <v>3999.9728</v>
      </c>
      <c r="D373" s="1045">
        <v>489367.9</v>
      </c>
      <c r="E373" s="846">
        <v>476814.1596199997</v>
      </c>
      <c r="F373" s="847">
        <v>122.22173902433832</v>
      </c>
      <c r="G373" s="1490"/>
    </row>
    <row r="374" spans="1:16">
      <c r="A374" s="2204" t="s">
        <v>973</v>
      </c>
      <c r="B374" s="849">
        <v>195842.98765999998</v>
      </c>
      <c r="C374" s="849">
        <v>342.18759</v>
      </c>
      <c r="D374" s="1045">
        <v>149567.46952000001</v>
      </c>
      <c r="E374" s="846">
        <v>64707.292509999912</v>
      </c>
      <c r="F374" s="847">
        <v>63.897476270095687</v>
      </c>
      <c r="G374" s="1490"/>
    </row>
    <row r="375" spans="1:16">
      <c r="A375" s="2204" t="s">
        <v>974</v>
      </c>
      <c r="B375" s="849">
        <v>241874.69646000001</v>
      </c>
      <c r="C375" s="849">
        <v>133.15873000000002</v>
      </c>
      <c r="D375" s="1045">
        <v>202312.51304000002</v>
      </c>
      <c r="E375" s="846">
        <v>59551.024839999911</v>
      </c>
      <c r="F375" s="847">
        <v>62.507678968160306</v>
      </c>
      <c r="G375" s="1490"/>
    </row>
    <row r="376" spans="1:16">
      <c r="A376" s="2204" t="s">
        <v>975</v>
      </c>
      <c r="B376" s="849">
        <v>225153.74219999998</v>
      </c>
      <c r="C376" s="849">
        <v>35.980839999999993</v>
      </c>
      <c r="D376" s="1045">
        <v>175163.07614000002</v>
      </c>
      <c r="E376" s="846">
        <v>71793.1021799999</v>
      </c>
      <c r="F376" s="847">
        <v>65.834566444226311</v>
      </c>
      <c r="G376" s="1490"/>
    </row>
    <row r="377" spans="1:16">
      <c r="A377" s="2205" t="s">
        <v>311</v>
      </c>
      <c r="B377" s="850">
        <v>3117074.0516800005</v>
      </c>
      <c r="C377" s="850">
        <v>9274.1062699999984</v>
      </c>
      <c r="D377" s="850">
        <v>2338344.2480299999</v>
      </c>
      <c r="E377" s="850">
        <v>1398163.2585499992</v>
      </c>
      <c r="F377" s="851">
        <v>93.496406748592662</v>
      </c>
      <c r="G377" s="1907">
        <f>(E377/1000)-'enc-ag'!H92</f>
        <v>0</v>
      </c>
    </row>
    <row r="378" spans="1:16">
      <c r="B378" s="1495"/>
      <c r="C378" s="1495"/>
      <c r="D378" s="1500"/>
      <c r="G378" s="1490"/>
    </row>
    <row r="379" spans="1:16" ht="23.4">
      <c r="A379" s="2199" t="s">
        <v>884</v>
      </c>
      <c r="B379" s="844"/>
      <c r="C379" s="844"/>
      <c r="D379" s="1044"/>
      <c r="E379" s="844"/>
      <c r="F379" s="844"/>
      <c r="G379" s="1490"/>
    </row>
    <row r="380" spans="1:16">
      <c r="A380" s="2203" t="s">
        <v>490</v>
      </c>
      <c r="B380" s="848" t="s">
        <v>102</v>
      </c>
      <c r="C380" s="848" t="s">
        <v>70</v>
      </c>
      <c r="D380" s="1042" t="s">
        <v>103</v>
      </c>
      <c r="E380" s="848" t="s">
        <v>518</v>
      </c>
      <c r="F380" s="848" t="s">
        <v>427</v>
      </c>
      <c r="H380" s="2182"/>
      <c r="I380" s="2182" t="s">
        <v>102</v>
      </c>
      <c r="J380" s="2182" t="s">
        <v>70</v>
      </c>
      <c r="K380" s="2182" t="s">
        <v>103</v>
      </c>
      <c r="L380" s="2182" t="s">
        <v>1038</v>
      </c>
    </row>
    <row r="381" spans="1:16">
      <c r="A381" s="2204" t="s">
        <v>962</v>
      </c>
      <c r="B381" s="2523">
        <f>+I390</f>
        <v>293401.60969000001</v>
      </c>
      <c r="C381" s="2523">
        <f>+J390</f>
        <v>2589.96416</v>
      </c>
      <c r="D381" s="2523">
        <f>+K390</f>
        <v>258167.49066000004</v>
      </c>
      <c r="E381" s="2523">
        <f>+L390</f>
        <v>47002.153410000006</v>
      </c>
      <c r="F381" s="2524">
        <v>28</v>
      </c>
      <c r="H381" s="2192" t="s">
        <v>1007</v>
      </c>
      <c r="I381" s="2193">
        <v>744364.24530000018</v>
      </c>
      <c r="J381" s="2194">
        <v>1076.9857400000001</v>
      </c>
      <c r="K381" s="2194">
        <v>582921.02093000012</v>
      </c>
      <c r="L381" s="2195">
        <v>223913.42429000002</v>
      </c>
      <c r="N381" s="1920">
        <v>96.452505213216</v>
      </c>
      <c r="O381" s="1920">
        <v>63.528817999999994</v>
      </c>
      <c r="P381" s="77">
        <v>16.320744990000001</v>
      </c>
    </row>
    <row r="382" spans="1:16">
      <c r="A382" s="2204" t="s">
        <v>957</v>
      </c>
      <c r="B382" s="2523">
        <f>+I385</f>
        <v>316273.46487000014</v>
      </c>
      <c r="C382" s="2523">
        <f>+J385</f>
        <v>902.22674999999981</v>
      </c>
      <c r="D382" s="2523">
        <f>+K385</f>
        <v>281409.05775000015</v>
      </c>
      <c r="E382" s="2523">
        <f>+L385</f>
        <v>35438.489090000003</v>
      </c>
      <c r="F382" s="2524">
        <v>17.807337102373335</v>
      </c>
      <c r="H382" s="2192" t="s">
        <v>1008</v>
      </c>
      <c r="I382" s="2193">
        <v>594631.01711000013</v>
      </c>
      <c r="J382" s="2194">
        <v>2678.3841299999999</v>
      </c>
      <c r="K382" s="2194">
        <v>486164.86486000009</v>
      </c>
      <c r="L382" s="2195">
        <v>150342.55465999999</v>
      </c>
      <c r="N382" s="77">
        <v>95.432733731101848</v>
      </c>
      <c r="O382" s="1920">
        <v>51.881841000000001</v>
      </c>
      <c r="P382" s="77">
        <v>26.634460949999998</v>
      </c>
    </row>
    <row r="383" spans="1:16">
      <c r="A383" s="2208" t="s">
        <v>961</v>
      </c>
      <c r="B383" s="2525">
        <f>+I389</f>
        <v>374475.75101000001</v>
      </c>
      <c r="C383" s="2525">
        <f>+J389</f>
        <v>3573.1988199999996</v>
      </c>
      <c r="D383" s="2525">
        <f>+K389</f>
        <v>287855.64850000001</v>
      </c>
      <c r="E383" s="2525">
        <f>+L389</f>
        <v>98608.243470000001</v>
      </c>
      <c r="F383" s="2526">
        <v>37</v>
      </c>
      <c r="H383" s="2192" t="s">
        <v>1009</v>
      </c>
      <c r="I383" s="2193">
        <v>428952.32552000019</v>
      </c>
      <c r="J383" s="2194">
        <v>2100.8474700000002</v>
      </c>
      <c r="K383" s="2194">
        <v>346886.46862000017</v>
      </c>
      <c r="L383" s="2195">
        <v>156454.58732000002</v>
      </c>
      <c r="N383" s="77">
        <v>66.214432695972292</v>
      </c>
      <c r="O383" s="1920">
        <v>39.786327</v>
      </c>
      <c r="P383" s="77">
        <v>17.141022290000002</v>
      </c>
    </row>
    <row r="384" spans="1:16">
      <c r="A384" s="2208" t="s">
        <v>953</v>
      </c>
      <c r="B384" s="2525">
        <f>+I381</f>
        <v>744364.24530000018</v>
      </c>
      <c r="C384" s="2525">
        <f>+J381</f>
        <v>1076.9857400000001</v>
      </c>
      <c r="D384" s="2525">
        <f>+K381</f>
        <v>582921.02093000012</v>
      </c>
      <c r="E384" s="2525">
        <f>+L381</f>
        <v>223913.42429000002</v>
      </c>
      <c r="F384" s="2526">
        <v>43.897805958530213</v>
      </c>
      <c r="H384" s="2192" t="s">
        <v>1010</v>
      </c>
      <c r="I384" s="2193">
        <v>288606.98899999994</v>
      </c>
      <c r="J384" s="2194">
        <v>2.67902</v>
      </c>
      <c r="K384" s="2194">
        <v>241169.38562999998</v>
      </c>
      <c r="L384" s="2195">
        <v>55468.545949999992</v>
      </c>
      <c r="N384" s="77">
        <v>60.755990569526695</v>
      </c>
      <c r="O384" s="1920">
        <v>25.772283999999999</v>
      </c>
      <c r="P384" s="77">
        <v>27.215265880000004</v>
      </c>
    </row>
    <row r="385" spans="1:113">
      <c r="A385" s="2208" t="s">
        <v>955</v>
      </c>
      <c r="B385" s="2525">
        <f t="shared" ref="B385:E386" si="19">+I383</f>
        <v>428952.32552000019</v>
      </c>
      <c r="C385" s="2525">
        <f t="shared" si="19"/>
        <v>2100.8474700000002</v>
      </c>
      <c r="D385" s="2525">
        <f t="shared" si="19"/>
        <v>346886.46862000017</v>
      </c>
      <c r="E385" s="2525">
        <f t="shared" si="19"/>
        <v>156454.58732000002</v>
      </c>
      <c r="F385" s="2526">
        <v>64.386523981914408</v>
      </c>
      <c r="H385" s="2192" t="s">
        <v>1011</v>
      </c>
      <c r="I385" s="2193">
        <v>316273.46487000014</v>
      </c>
      <c r="J385" s="2194">
        <v>902.22674999999981</v>
      </c>
      <c r="K385" s="2194">
        <v>281409.05775000015</v>
      </c>
      <c r="L385" s="2195">
        <v>35438.489090000003</v>
      </c>
      <c r="N385" s="77">
        <v>45.397794178167771</v>
      </c>
      <c r="O385" s="1920">
        <v>31.197737000000004</v>
      </c>
      <c r="P385" s="77">
        <v>5.5733070199999988</v>
      </c>
    </row>
    <row r="386" spans="1:113">
      <c r="A386" s="2208" t="s">
        <v>956</v>
      </c>
      <c r="B386" s="2525">
        <f t="shared" si="19"/>
        <v>288606.98899999994</v>
      </c>
      <c r="C386" s="2525">
        <f t="shared" si="19"/>
        <v>2.67902</v>
      </c>
      <c r="D386" s="2525">
        <f t="shared" si="19"/>
        <v>241169.38562999998</v>
      </c>
      <c r="E386" s="2525">
        <f t="shared" si="19"/>
        <v>55468.545949999992</v>
      </c>
      <c r="F386" s="2526">
        <v>22.559942906480405</v>
      </c>
      <c r="H386" s="2192" t="s">
        <v>1012</v>
      </c>
      <c r="I386" s="2193">
        <v>230134.84197000018</v>
      </c>
      <c r="J386" s="2194">
        <v>2481.09818</v>
      </c>
      <c r="K386" s="2194">
        <v>181856.09028000018</v>
      </c>
      <c r="L386" s="2195">
        <v>65978.347349999996</v>
      </c>
      <c r="N386" s="77">
        <v>41.732424461907364</v>
      </c>
      <c r="O386" s="1920">
        <v>26.570107</v>
      </c>
      <c r="P386" s="77">
        <v>11.967408120000002</v>
      </c>
    </row>
    <row r="387" spans="1:113">
      <c r="A387" s="2204" t="s">
        <v>960</v>
      </c>
      <c r="B387" s="2523">
        <f>+I388</f>
        <v>361759.46623000025</v>
      </c>
      <c r="C387" s="2523">
        <f>+J388</f>
        <v>1899.0805500000004</v>
      </c>
      <c r="D387" s="2523">
        <f>+K388</f>
        <v>292037.55538000021</v>
      </c>
      <c r="E387" s="2523">
        <f>+L388</f>
        <v>90639.330090000003</v>
      </c>
      <c r="F387" s="2524">
        <v>41.05017491576325</v>
      </c>
      <c r="H387" s="2192" t="s">
        <v>1013</v>
      </c>
      <c r="I387" s="2193">
        <v>218096.34393</v>
      </c>
      <c r="J387" s="2194">
        <v>722.13596999999993</v>
      </c>
      <c r="K387" s="2194">
        <v>188971.09859000001</v>
      </c>
      <c r="L387" s="2195">
        <v>32399.088369999998</v>
      </c>
      <c r="N387" s="77">
        <v>32.263798988092674</v>
      </c>
      <c r="O387" s="1920">
        <v>23.912923000000003</v>
      </c>
      <c r="P387" s="77">
        <v>4.1256735399999993</v>
      </c>
    </row>
    <row r="388" spans="1:113">
      <c r="A388" s="2204" t="s">
        <v>954</v>
      </c>
      <c r="B388" s="2523">
        <f>+I382</f>
        <v>594631.01711000013</v>
      </c>
      <c r="C388" s="2523">
        <f>+J382</f>
        <v>2678.3841299999999</v>
      </c>
      <c r="D388" s="2523">
        <f>+K382</f>
        <v>486164.86486000009</v>
      </c>
      <c r="E388" s="2523">
        <f>+L382</f>
        <v>150342.55465999999</v>
      </c>
      <c r="F388" s="2524">
        <v>36.122277760542516</v>
      </c>
      <c r="H388" s="2192" t="s">
        <v>1014</v>
      </c>
      <c r="I388" s="2193">
        <v>361759.46623000025</v>
      </c>
      <c r="J388" s="2194">
        <v>1899.0805500000004</v>
      </c>
      <c r="K388" s="2194">
        <v>292037.55538000021</v>
      </c>
      <c r="L388" s="2195">
        <v>90639.330090000003</v>
      </c>
      <c r="N388" s="77">
        <v>61.041070452483247</v>
      </c>
      <c r="O388" s="1920">
        <v>39.075177000000004</v>
      </c>
      <c r="P388" s="77">
        <v>14.93613203</v>
      </c>
    </row>
    <row r="389" spans="1:113">
      <c r="A389" s="2204" t="s">
        <v>958</v>
      </c>
      <c r="B389" s="2523">
        <f t="shared" ref="B389:E390" si="20">+I386</f>
        <v>230134.84197000018</v>
      </c>
      <c r="C389" s="2523">
        <f t="shared" si="20"/>
        <v>2481.09818</v>
      </c>
      <c r="D389" s="2523">
        <f t="shared" si="20"/>
        <v>181856.09028000018</v>
      </c>
      <c r="E389" s="2523">
        <f t="shared" si="20"/>
        <v>65978.347349999996</v>
      </c>
      <c r="F389" s="2524">
        <v>47.127042442108092</v>
      </c>
      <c r="H389" s="2192" t="s">
        <v>1015</v>
      </c>
      <c r="I389" s="2193">
        <v>374475.75101000001</v>
      </c>
      <c r="J389" s="2194">
        <v>3573.1988199999996</v>
      </c>
      <c r="K389" s="2194">
        <v>287855.64850000001</v>
      </c>
      <c r="L389" s="2195">
        <v>98608.243470000001</v>
      </c>
      <c r="N389" s="77">
        <v>46.136632560404671</v>
      </c>
      <c r="O389" s="1920">
        <v>30.018271000000002</v>
      </c>
      <c r="P389" s="77">
        <v>7.9056079599999984</v>
      </c>
    </row>
    <row r="390" spans="1:113">
      <c r="A390" s="2204" t="s">
        <v>959</v>
      </c>
      <c r="B390" s="2523">
        <f t="shared" si="20"/>
        <v>218096.34393</v>
      </c>
      <c r="C390" s="2523">
        <f t="shared" si="20"/>
        <v>722.13596999999993</v>
      </c>
      <c r="D390" s="2523">
        <f t="shared" si="20"/>
        <v>188971.09859000001</v>
      </c>
      <c r="E390" s="2523">
        <f t="shared" si="20"/>
        <v>32399.088369999998</v>
      </c>
      <c r="F390" s="2524">
        <v>26.45594904524576</v>
      </c>
      <c r="H390" s="2192" t="s">
        <v>1016</v>
      </c>
      <c r="I390" s="2193">
        <v>293401.60969000001</v>
      </c>
      <c r="J390" s="2194">
        <v>2589.96416</v>
      </c>
      <c r="K390" s="2194">
        <v>258167.49066000004</v>
      </c>
      <c r="L390" s="2195">
        <v>47002.153410000006</v>
      </c>
      <c r="N390" s="77">
        <v>40.761913149127487</v>
      </c>
      <c r="O390" s="1920">
        <v>28.776786999999999</v>
      </c>
      <c r="P390" s="77">
        <v>6.3900861000000004</v>
      </c>
    </row>
    <row r="391" spans="1:113">
      <c r="A391" s="2205" t="s">
        <v>311</v>
      </c>
      <c r="B391" s="850">
        <f>SUM(B381:B390)</f>
        <v>3850696.0546300015</v>
      </c>
      <c r="C391" s="850">
        <f>SUM(C381:C390)</f>
        <v>18026.60079</v>
      </c>
      <c r="D391" s="850">
        <f>SUM(D381:D390)</f>
        <v>3147438.6812000009</v>
      </c>
      <c r="E391" s="2333">
        <f>SUM(E381:E390)</f>
        <v>956244.7640000002</v>
      </c>
      <c r="F391" s="851">
        <v>62.433601914150202</v>
      </c>
      <c r="G391" s="2334">
        <f>(E391/1000)-'enc-ag'!H103</f>
        <v>0</v>
      </c>
      <c r="H391" s="2183">
        <f>(E391/1000)-'enc-ag'!H103</f>
        <v>0</v>
      </c>
      <c r="I391" s="2184">
        <v>3850696.0546300015</v>
      </c>
      <c r="J391" s="2184">
        <v>18026.60079</v>
      </c>
      <c r="K391" s="2184">
        <v>3147438.6812000014</v>
      </c>
      <c r="L391" s="2184">
        <v>956244.76400000008</v>
      </c>
      <c r="O391" s="1920"/>
    </row>
    <row r="392" spans="1:113">
      <c r="G392" s="1490"/>
    </row>
    <row r="393" spans="1:113" ht="23.4">
      <c r="A393" s="2199" t="s">
        <v>886</v>
      </c>
      <c r="B393" s="844"/>
      <c r="C393" s="844"/>
      <c r="D393" s="1044"/>
      <c r="E393" s="844"/>
      <c r="F393" s="844"/>
      <c r="G393" s="1490"/>
    </row>
    <row r="394" spans="1:113">
      <c r="A394" s="2203" t="s">
        <v>490</v>
      </c>
      <c r="B394" s="848" t="s">
        <v>102</v>
      </c>
      <c r="C394" s="848" t="s">
        <v>70</v>
      </c>
      <c r="D394" s="1042" t="s">
        <v>103</v>
      </c>
      <c r="E394" s="848" t="s">
        <v>518</v>
      </c>
      <c r="F394" s="848" t="s">
        <v>339</v>
      </c>
      <c r="G394" s="1490"/>
    </row>
    <row r="395" spans="1:113">
      <c r="A395" s="2204" t="s">
        <v>984</v>
      </c>
      <c r="B395" s="849">
        <v>551740.37239999999</v>
      </c>
      <c r="C395" s="849">
        <v>2549.45991</v>
      </c>
      <c r="D395" s="1045">
        <v>457548.04525999998</v>
      </c>
      <c r="E395" s="846">
        <v>169830.1102</v>
      </c>
      <c r="F395" s="847">
        <v>66.941044502788159</v>
      </c>
      <c r="G395" s="1490"/>
      <c r="I395" s="1918"/>
    </row>
    <row r="396" spans="1:113">
      <c r="A396" s="2204" t="s">
        <v>985</v>
      </c>
      <c r="B396" s="849">
        <v>217258.31775000002</v>
      </c>
      <c r="C396" s="849">
        <v>358.99966999999998</v>
      </c>
      <c r="D396" s="1045">
        <v>185568.66318</v>
      </c>
      <c r="E396" s="846">
        <v>46069.455529999999</v>
      </c>
      <c r="F396" s="847">
        <v>46.392497234005909</v>
      </c>
      <c r="G396" s="1490"/>
      <c r="I396" s="1918"/>
    </row>
    <row r="397" spans="1:113">
      <c r="A397" s="2209" t="s">
        <v>986</v>
      </c>
      <c r="B397" s="1927">
        <v>279933.32666000002</v>
      </c>
      <c r="C397" s="1927">
        <v>555.70986000000005</v>
      </c>
      <c r="D397" s="1928">
        <v>242624.65291</v>
      </c>
      <c r="E397" s="1929">
        <v>41924.053959999997</v>
      </c>
      <c r="F397" s="1930">
        <v>24.836433968341268</v>
      </c>
      <c r="G397" s="1490"/>
      <c r="I397" s="1918"/>
    </row>
    <row r="398" spans="1:113">
      <c r="A398" s="2205" t="s">
        <v>311</v>
      </c>
      <c r="B398" s="850">
        <v>1048932.0168099999</v>
      </c>
      <c r="C398" s="850">
        <v>3464.1694400000001</v>
      </c>
      <c r="D398" s="850">
        <v>885741.3613499999</v>
      </c>
      <c r="E398" s="850">
        <v>257823.61968999999</v>
      </c>
      <c r="F398" s="851">
        <v>50.854895063166374</v>
      </c>
      <c r="G398" s="1907">
        <f>(E398/1000)-'enc-ag'!H107</f>
        <v>0</v>
      </c>
    </row>
    <row r="399" spans="1:113">
      <c r="G399" s="1490"/>
    </row>
    <row r="400" spans="1:113" ht="15.6">
      <c r="G400" s="1490"/>
      <c r="DG400" s="1791"/>
      <c r="DH400" s="1791"/>
      <c r="DI400" s="1791"/>
    </row>
    <row r="401" spans="1:133">
      <c r="A401" s="730" t="s">
        <v>865</v>
      </c>
    </row>
    <row r="402" spans="1:133" ht="14.4" thickBot="1"/>
    <row r="403" spans="1:133" ht="18">
      <c r="B403" s="3364" t="s">
        <v>71</v>
      </c>
      <c r="C403" s="3365"/>
      <c r="D403" s="3365"/>
      <c r="E403" s="3365"/>
      <c r="F403" s="3365"/>
      <c r="G403" s="3365"/>
      <c r="H403" s="3365"/>
      <c r="I403" s="3365"/>
      <c r="J403" s="3365"/>
      <c r="K403" s="3366"/>
      <c r="L403" s="3380" t="s">
        <v>72</v>
      </c>
      <c r="M403" s="3381"/>
      <c r="N403" s="3381"/>
      <c r="O403" s="3381"/>
      <c r="P403" s="3381"/>
      <c r="Q403" s="3381"/>
      <c r="R403" s="3381"/>
      <c r="S403" s="3381"/>
      <c r="T403" s="3381"/>
      <c r="U403" s="3382"/>
      <c r="V403" s="3383" t="s">
        <v>73</v>
      </c>
      <c r="W403" s="3384"/>
      <c r="X403" s="3384"/>
      <c r="Y403" s="3384"/>
      <c r="Z403" s="3384"/>
      <c r="AA403" s="3384"/>
      <c r="AB403" s="3384"/>
      <c r="AC403" s="3384"/>
      <c r="AD403" s="3384"/>
      <c r="AE403" s="3385"/>
      <c r="AF403" s="3386" t="s">
        <v>74</v>
      </c>
      <c r="AG403" s="3387"/>
      <c r="AH403" s="3387"/>
      <c r="AI403" s="3387"/>
      <c r="AJ403" s="3387"/>
      <c r="AK403" s="3387"/>
      <c r="AL403" s="3387"/>
      <c r="AM403" s="3387"/>
      <c r="AN403" s="3387"/>
      <c r="AO403" s="3388"/>
      <c r="AP403" s="3389" t="s">
        <v>75</v>
      </c>
      <c r="AQ403" s="3390"/>
      <c r="AR403" s="3390"/>
      <c r="AS403" s="3390"/>
      <c r="AT403" s="3390"/>
      <c r="AU403" s="3390"/>
      <c r="AV403" s="3390"/>
      <c r="AW403" s="3390"/>
      <c r="AX403" s="3390"/>
      <c r="AY403" s="3391"/>
      <c r="AZ403" s="3393" t="s">
        <v>76</v>
      </c>
      <c r="BA403" s="3394"/>
      <c r="BB403" s="3394"/>
      <c r="BC403" s="3394"/>
      <c r="BD403" s="3394"/>
      <c r="BE403" s="3394"/>
      <c r="BF403" s="3394"/>
      <c r="BG403" s="3394"/>
      <c r="BH403" s="3394"/>
      <c r="BI403" s="3395"/>
      <c r="BJ403" s="3364" t="s">
        <v>77</v>
      </c>
      <c r="BK403" s="3365"/>
      <c r="BL403" s="3365"/>
      <c r="BM403" s="3365"/>
      <c r="BN403" s="3365"/>
      <c r="BO403" s="3365"/>
      <c r="BP403" s="3365"/>
      <c r="BQ403" s="3365"/>
      <c r="BR403" s="3365"/>
      <c r="BS403" s="3366"/>
      <c r="BT403" s="3380" t="s">
        <v>78</v>
      </c>
      <c r="BU403" s="3381"/>
      <c r="BV403" s="3381"/>
      <c r="BW403" s="3381"/>
      <c r="BX403" s="3381"/>
      <c r="BY403" s="3381"/>
      <c r="BZ403" s="3381"/>
      <c r="CA403" s="3381"/>
      <c r="CB403" s="3381"/>
      <c r="CC403" s="3382"/>
      <c r="CD403" s="3383" t="s">
        <v>79</v>
      </c>
      <c r="CE403" s="3384"/>
      <c r="CF403" s="3384"/>
      <c r="CG403" s="3384"/>
      <c r="CH403" s="3384"/>
      <c r="CI403" s="3384"/>
      <c r="CJ403" s="3384"/>
      <c r="CK403" s="3384"/>
      <c r="CL403" s="3384"/>
      <c r="CM403" s="3385"/>
      <c r="CN403" s="3386" t="s">
        <v>80</v>
      </c>
      <c r="CO403" s="3387"/>
      <c r="CP403" s="3387"/>
      <c r="CQ403" s="3387"/>
      <c r="CR403" s="3387"/>
      <c r="CS403" s="3387"/>
      <c r="CT403" s="3387"/>
      <c r="CU403" s="3387"/>
      <c r="CV403" s="3387"/>
      <c r="CW403" s="3387"/>
      <c r="CX403" s="3397" t="s">
        <v>81</v>
      </c>
      <c r="CY403" s="3398"/>
      <c r="CZ403" s="3398"/>
      <c r="DA403" s="3398"/>
      <c r="DB403" s="3398"/>
      <c r="DC403" s="3398"/>
      <c r="DD403" s="3398"/>
      <c r="DE403" s="3398"/>
      <c r="DF403" s="3398"/>
      <c r="DG403" s="3399"/>
      <c r="DH403" s="3394" t="s">
        <v>82</v>
      </c>
      <c r="DI403" s="3394"/>
      <c r="DJ403" s="3394"/>
      <c r="DK403" s="3394"/>
      <c r="DL403" s="3394"/>
      <c r="DM403" s="3394"/>
      <c r="DN403" s="3394"/>
      <c r="DO403" s="3394"/>
      <c r="DP403" s="3394"/>
      <c r="DQ403" s="3395"/>
      <c r="DS403" s="3350" t="s">
        <v>143</v>
      </c>
      <c r="DT403" s="3350"/>
      <c r="DU403" s="3350"/>
      <c r="DV403" s="3350"/>
      <c r="DW403" s="3350"/>
      <c r="DX403" s="3350"/>
      <c r="DY403" s="3350"/>
      <c r="DZ403" s="3350"/>
      <c r="EA403" s="3350"/>
      <c r="EB403" s="3351"/>
    </row>
    <row r="404" spans="1:133">
      <c r="B404" s="3370" t="s">
        <v>537</v>
      </c>
      <c r="C404" s="3352"/>
      <c r="D404" s="3352"/>
      <c r="E404" s="3352"/>
      <c r="F404" s="3353"/>
      <c r="G404" s="3354" t="s">
        <v>309</v>
      </c>
      <c r="H404" s="3355"/>
      <c r="I404" s="3355"/>
      <c r="J404" s="3355"/>
      <c r="K404" s="3356"/>
      <c r="L404" s="3370" t="s">
        <v>537</v>
      </c>
      <c r="M404" s="3352"/>
      <c r="N404" s="3352"/>
      <c r="O404" s="3352"/>
      <c r="P404" s="3353"/>
      <c r="Q404" s="3354" t="s">
        <v>309</v>
      </c>
      <c r="R404" s="3355"/>
      <c r="S404" s="3355"/>
      <c r="T404" s="3355"/>
      <c r="U404" s="3356"/>
      <c r="V404" s="3370" t="s">
        <v>537</v>
      </c>
      <c r="W404" s="3352"/>
      <c r="X404" s="3352"/>
      <c r="Y404" s="3352"/>
      <c r="Z404" s="3353"/>
      <c r="AA404" s="3354" t="s">
        <v>309</v>
      </c>
      <c r="AB404" s="3355"/>
      <c r="AC404" s="3355"/>
      <c r="AD404" s="3355"/>
      <c r="AE404" s="3356"/>
      <c r="AF404" s="3370" t="s">
        <v>537</v>
      </c>
      <c r="AG404" s="3352"/>
      <c r="AH404" s="3352"/>
      <c r="AI404" s="3352"/>
      <c r="AJ404" s="3353"/>
      <c r="AK404" s="3354" t="s">
        <v>309</v>
      </c>
      <c r="AL404" s="3355"/>
      <c r="AM404" s="3355"/>
      <c r="AN404" s="3355"/>
      <c r="AO404" s="3356"/>
      <c r="AP404" s="3370" t="s">
        <v>537</v>
      </c>
      <c r="AQ404" s="3352"/>
      <c r="AR404" s="3352"/>
      <c r="AS404" s="3352"/>
      <c r="AT404" s="3353"/>
      <c r="AU404" s="3354" t="s">
        <v>309</v>
      </c>
      <c r="AV404" s="3355"/>
      <c r="AW404" s="3355"/>
      <c r="AX404" s="3355"/>
      <c r="AY404" s="3356"/>
      <c r="AZ404" s="3370" t="s">
        <v>537</v>
      </c>
      <c r="BA404" s="3352"/>
      <c r="BB404" s="3352"/>
      <c r="BC404" s="3352"/>
      <c r="BD404" s="3353"/>
      <c r="BE404" s="3354" t="s">
        <v>309</v>
      </c>
      <c r="BF404" s="3355"/>
      <c r="BG404" s="3355"/>
      <c r="BH404" s="3355"/>
      <c r="BI404" s="3356"/>
      <c r="BJ404" s="3370" t="s">
        <v>537</v>
      </c>
      <c r="BK404" s="3352"/>
      <c r="BL404" s="3352"/>
      <c r="BM404" s="3352"/>
      <c r="BN404" s="3353"/>
      <c r="BO404" s="3354" t="s">
        <v>309</v>
      </c>
      <c r="BP404" s="3355"/>
      <c r="BQ404" s="3355"/>
      <c r="BR404" s="3355"/>
      <c r="BS404" s="3356"/>
      <c r="BT404" s="3370" t="s">
        <v>537</v>
      </c>
      <c r="BU404" s="3352"/>
      <c r="BV404" s="3352"/>
      <c r="BW404" s="3352"/>
      <c r="BX404" s="3353"/>
      <c r="BY404" s="3354" t="s">
        <v>309</v>
      </c>
      <c r="BZ404" s="3355"/>
      <c r="CA404" s="3355"/>
      <c r="CB404" s="3355"/>
      <c r="CC404" s="3356"/>
      <c r="CD404" s="3370" t="s">
        <v>537</v>
      </c>
      <c r="CE404" s="3352"/>
      <c r="CF404" s="3352"/>
      <c r="CG404" s="3352"/>
      <c r="CH404" s="3353"/>
      <c r="CI404" s="3354" t="s">
        <v>309</v>
      </c>
      <c r="CJ404" s="3355"/>
      <c r="CK404" s="3355"/>
      <c r="CL404" s="3355"/>
      <c r="CM404" s="3356"/>
      <c r="CN404" s="3370" t="s">
        <v>537</v>
      </c>
      <c r="CO404" s="3352"/>
      <c r="CP404" s="3352"/>
      <c r="CQ404" s="3352"/>
      <c r="CR404" s="3353"/>
      <c r="CS404" s="3354" t="s">
        <v>309</v>
      </c>
      <c r="CT404" s="3355"/>
      <c r="CU404" s="3355"/>
      <c r="CV404" s="3355"/>
      <c r="CW404" s="3355"/>
      <c r="CX404" s="3396" t="s">
        <v>537</v>
      </c>
      <c r="CY404" s="3352"/>
      <c r="CZ404" s="3352"/>
      <c r="DA404" s="3352"/>
      <c r="DB404" s="3353"/>
      <c r="DC404" s="3354" t="s">
        <v>309</v>
      </c>
      <c r="DD404" s="3355"/>
      <c r="DE404" s="3355"/>
      <c r="DF404" s="3355"/>
      <c r="DG404" s="3392"/>
      <c r="DH404" s="3352" t="s">
        <v>537</v>
      </c>
      <c r="DI404" s="3352"/>
      <c r="DJ404" s="3352"/>
      <c r="DK404" s="3352"/>
      <c r="DL404" s="3353"/>
      <c r="DM404" s="3354" t="s">
        <v>309</v>
      </c>
      <c r="DN404" s="3355"/>
      <c r="DO404" s="3355"/>
      <c r="DP404" s="3355"/>
      <c r="DQ404" s="3356"/>
      <c r="DS404" s="3352" t="s">
        <v>537</v>
      </c>
      <c r="DT404" s="3352"/>
      <c r="DU404" s="3352"/>
      <c r="DV404" s="3352"/>
      <c r="DW404" s="3353"/>
      <c r="DX404" s="3354" t="s">
        <v>309</v>
      </c>
      <c r="DY404" s="3355"/>
      <c r="DZ404" s="3355"/>
      <c r="EA404" s="3355"/>
      <c r="EB404" s="3356"/>
    </row>
    <row r="405" spans="1:133">
      <c r="B405" s="1082" t="s">
        <v>17</v>
      </c>
      <c r="C405" s="960" t="s">
        <v>18</v>
      </c>
      <c r="D405" s="1043" t="s">
        <v>52</v>
      </c>
      <c r="E405" s="960" t="s">
        <v>19</v>
      </c>
      <c r="F405" s="960" t="s">
        <v>315</v>
      </c>
      <c r="G405" s="960" t="s">
        <v>17</v>
      </c>
      <c r="H405" s="960" t="s">
        <v>18</v>
      </c>
      <c r="I405" s="960" t="s">
        <v>56</v>
      </c>
      <c r="J405" s="960" t="s">
        <v>21</v>
      </c>
      <c r="K405" s="1083" t="s">
        <v>57</v>
      </c>
      <c r="L405" s="1082" t="s">
        <v>17</v>
      </c>
      <c r="M405" s="960" t="s">
        <v>18</v>
      </c>
      <c r="N405" s="960" t="s">
        <v>52</v>
      </c>
      <c r="O405" s="960" t="s">
        <v>19</v>
      </c>
      <c r="P405" s="960" t="s">
        <v>315</v>
      </c>
      <c r="Q405" s="960" t="s">
        <v>17</v>
      </c>
      <c r="R405" s="960" t="s">
        <v>18</v>
      </c>
      <c r="S405" s="960" t="s">
        <v>56</v>
      </c>
      <c r="T405" s="960" t="s">
        <v>21</v>
      </c>
      <c r="U405" s="1083" t="s">
        <v>57</v>
      </c>
      <c r="V405" s="1082" t="s">
        <v>17</v>
      </c>
      <c r="W405" s="960" t="s">
        <v>18</v>
      </c>
      <c r="X405" s="960" t="s">
        <v>52</v>
      </c>
      <c r="Y405" s="960" t="s">
        <v>19</v>
      </c>
      <c r="Z405" s="960" t="s">
        <v>315</v>
      </c>
      <c r="AA405" s="960" t="s">
        <v>17</v>
      </c>
      <c r="AB405" s="960" t="s">
        <v>18</v>
      </c>
      <c r="AC405" s="960" t="s">
        <v>56</v>
      </c>
      <c r="AD405" s="960" t="s">
        <v>21</v>
      </c>
      <c r="AE405" s="1083" t="s">
        <v>57</v>
      </c>
      <c r="AF405" s="1082" t="s">
        <v>17</v>
      </c>
      <c r="AG405" s="960" t="s">
        <v>18</v>
      </c>
      <c r="AH405" s="960" t="s">
        <v>52</v>
      </c>
      <c r="AI405" s="960" t="s">
        <v>19</v>
      </c>
      <c r="AJ405" s="960" t="s">
        <v>315</v>
      </c>
      <c r="AK405" s="960" t="s">
        <v>17</v>
      </c>
      <c r="AL405" s="960" t="s">
        <v>18</v>
      </c>
      <c r="AM405" s="960" t="s">
        <v>56</v>
      </c>
      <c r="AN405" s="960" t="s">
        <v>21</v>
      </c>
      <c r="AO405" s="1083" t="s">
        <v>57</v>
      </c>
      <c r="AP405" s="1082" t="s">
        <v>17</v>
      </c>
      <c r="AQ405" s="960" t="s">
        <v>18</v>
      </c>
      <c r="AR405" s="960" t="s">
        <v>52</v>
      </c>
      <c r="AS405" s="960" t="s">
        <v>19</v>
      </c>
      <c r="AT405" s="960" t="s">
        <v>315</v>
      </c>
      <c r="AU405" s="960" t="s">
        <v>17</v>
      </c>
      <c r="AV405" s="960" t="s">
        <v>18</v>
      </c>
      <c r="AW405" s="960" t="s">
        <v>56</v>
      </c>
      <c r="AX405" s="960" t="s">
        <v>21</v>
      </c>
      <c r="AY405" s="1083" t="s">
        <v>57</v>
      </c>
      <c r="AZ405" s="1082" t="s">
        <v>17</v>
      </c>
      <c r="BA405" s="960" t="s">
        <v>18</v>
      </c>
      <c r="BB405" s="960" t="s">
        <v>52</v>
      </c>
      <c r="BC405" s="960" t="s">
        <v>19</v>
      </c>
      <c r="BD405" s="960" t="s">
        <v>315</v>
      </c>
      <c r="BE405" s="960" t="s">
        <v>17</v>
      </c>
      <c r="BF405" s="960" t="s">
        <v>18</v>
      </c>
      <c r="BG405" s="960" t="s">
        <v>56</v>
      </c>
      <c r="BH405" s="960" t="s">
        <v>21</v>
      </c>
      <c r="BI405" s="1083" t="s">
        <v>57</v>
      </c>
      <c r="BJ405" s="1082" t="s">
        <v>17</v>
      </c>
      <c r="BK405" s="960" t="s">
        <v>18</v>
      </c>
      <c r="BL405" s="960" t="s">
        <v>52</v>
      </c>
      <c r="BM405" s="960" t="s">
        <v>19</v>
      </c>
      <c r="BN405" s="960" t="s">
        <v>315</v>
      </c>
      <c r="BO405" s="960" t="s">
        <v>17</v>
      </c>
      <c r="BP405" s="960" t="s">
        <v>18</v>
      </c>
      <c r="BQ405" s="960" t="s">
        <v>56</v>
      </c>
      <c r="BR405" s="960" t="s">
        <v>21</v>
      </c>
      <c r="BS405" s="1083" t="s">
        <v>57</v>
      </c>
      <c r="BT405" s="1082" t="s">
        <v>17</v>
      </c>
      <c r="BU405" s="960" t="s">
        <v>18</v>
      </c>
      <c r="BV405" s="960" t="s">
        <v>52</v>
      </c>
      <c r="BW405" s="960" t="s">
        <v>19</v>
      </c>
      <c r="BX405" s="960" t="s">
        <v>315</v>
      </c>
      <c r="BY405" s="960" t="s">
        <v>17</v>
      </c>
      <c r="BZ405" s="960" t="s">
        <v>18</v>
      </c>
      <c r="CA405" s="960" t="s">
        <v>56</v>
      </c>
      <c r="CB405" s="960" t="s">
        <v>21</v>
      </c>
      <c r="CC405" s="1083" t="s">
        <v>57</v>
      </c>
      <c r="CD405" s="1082" t="s">
        <v>17</v>
      </c>
      <c r="CE405" s="960" t="s">
        <v>18</v>
      </c>
      <c r="CF405" s="960" t="s">
        <v>52</v>
      </c>
      <c r="CG405" s="960" t="s">
        <v>19</v>
      </c>
      <c r="CH405" s="960" t="s">
        <v>315</v>
      </c>
      <c r="CI405" s="960" t="s">
        <v>17</v>
      </c>
      <c r="CJ405" s="960" t="s">
        <v>18</v>
      </c>
      <c r="CK405" s="960" t="s">
        <v>56</v>
      </c>
      <c r="CL405" s="960" t="s">
        <v>21</v>
      </c>
      <c r="CM405" s="1083" t="s">
        <v>57</v>
      </c>
      <c r="CN405" s="1082" t="s">
        <v>17</v>
      </c>
      <c r="CO405" s="960" t="s">
        <v>18</v>
      </c>
      <c r="CP405" s="960" t="s">
        <v>52</v>
      </c>
      <c r="CQ405" s="960" t="s">
        <v>19</v>
      </c>
      <c r="CR405" s="960" t="s">
        <v>315</v>
      </c>
      <c r="CS405" s="960" t="s">
        <v>17</v>
      </c>
      <c r="CT405" s="960" t="s">
        <v>18</v>
      </c>
      <c r="CU405" s="960" t="s">
        <v>56</v>
      </c>
      <c r="CV405" s="960" t="s">
        <v>21</v>
      </c>
      <c r="CW405" s="1713" t="s">
        <v>57</v>
      </c>
      <c r="CX405" s="1717" t="s">
        <v>17</v>
      </c>
      <c r="CY405" s="1718" t="s">
        <v>18</v>
      </c>
      <c r="CZ405" s="1718" t="s">
        <v>52</v>
      </c>
      <c r="DA405" s="1718" t="s">
        <v>19</v>
      </c>
      <c r="DB405" s="1718" t="s">
        <v>315</v>
      </c>
      <c r="DC405" s="1718" t="s">
        <v>17</v>
      </c>
      <c r="DD405" s="1718" t="s">
        <v>18</v>
      </c>
      <c r="DE405" s="1718" t="s">
        <v>56</v>
      </c>
      <c r="DF405" s="1718" t="s">
        <v>21</v>
      </c>
      <c r="DG405" s="1719" t="s">
        <v>57</v>
      </c>
      <c r="DH405" s="1715" t="s">
        <v>17</v>
      </c>
      <c r="DI405" s="960" t="s">
        <v>18</v>
      </c>
      <c r="DJ405" s="960" t="s">
        <v>52</v>
      </c>
      <c r="DK405" s="960" t="s">
        <v>19</v>
      </c>
      <c r="DL405" s="960" t="s">
        <v>315</v>
      </c>
      <c r="DM405" s="960" t="s">
        <v>17</v>
      </c>
      <c r="DN405" s="960" t="s">
        <v>18</v>
      </c>
      <c r="DO405" s="960" t="s">
        <v>56</v>
      </c>
      <c r="DP405" s="960" t="s">
        <v>21</v>
      </c>
      <c r="DQ405" s="1083" t="s">
        <v>57</v>
      </c>
      <c r="DS405" s="1715" t="s">
        <v>17</v>
      </c>
      <c r="DT405" s="960" t="s">
        <v>18</v>
      </c>
      <c r="DU405" s="960" t="s">
        <v>52</v>
      </c>
      <c r="DV405" s="960" t="s">
        <v>19</v>
      </c>
      <c r="DW405" s="960" t="s">
        <v>315</v>
      </c>
      <c r="DX405" s="960" t="s">
        <v>17</v>
      </c>
      <c r="DY405" s="960" t="s">
        <v>18</v>
      </c>
      <c r="DZ405" s="960" t="s">
        <v>56</v>
      </c>
      <c r="EA405" s="960" t="s">
        <v>21</v>
      </c>
      <c r="EB405" s="1083" t="s">
        <v>57</v>
      </c>
    </row>
    <row r="406" spans="1:133">
      <c r="A406" s="2210" t="s">
        <v>6</v>
      </c>
      <c r="B406" s="1084">
        <v>372198</v>
      </c>
      <c r="C406" s="957">
        <v>9777</v>
      </c>
      <c r="D406" s="1046">
        <v>381975</v>
      </c>
      <c r="E406" s="957">
        <v>2947</v>
      </c>
      <c r="F406" s="958">
        <v>384922</v>
      </c>
      <c r="G406" s="957">
        <v>239486</v>
      </c>
      <c r="H406" s="957">
        <v>2173</v>
      </c>
      <c r="I406" s="959">
        <v>241659</v>
      </c>
      <c r="J406" s="957">
        <v>382</v>
      </c>
      <c r="K406" s="1085">
        <v>242055</v>
      </c>
      <c r="L406" s="1084">
        <v>375166</v>
      </c>
      <c r="M406" s="957">
        <v>9932</v>
      </c>
      <c r="N406" s="1046">
        <v>385098</v>
      </c>
      <c r="O406" s="957">
        <v>2960</v>
      </c>
      <c r="P406" s="958">
        <v>388058</v>
      </c>
      <c r="Q406" s="957">
        <v>241498</v>
      </c>
      <c r="R406" s="957">
        <v>2182</v>
      </c>
      <c r="S406" s="959">
        <v>243680</v>
      </c>
      <c r="T406" s="957">
        <v>382</v>
      </c>
      <c r="U406" s="1085">
        <v>244062</v>
      </c>
      <c r="V406" s="2468">
        <v>376224</v>
      </c>
      <c r="W406" s="2469">
        <v>9978</v>
      </c>
      <c r="X406" s="2470">
        <v>386202</v>
      </c>
      <c r="Y406" s="2469">
        <v>2972</v>
      </c>
      <c r="Z406" s="2471">
        <v>389174</v>
      </c>
      <c r="AA406" s="2469">
        <v>243060</v>
      </c>
      <c r="AB406" s="2469">
        <v>2189</v>
      </c>
      <c r="AC406" s="2471">
        <v>245249</v>
      </c>
      <c r="AD406" s="2469">
        <v>383</v>
      </c>
      <c r="AE406" s="2472">
        <v>245632</v>
      </c>
      <c r="AF406" s="1084">
        <v>377679</v>
      </c>
      <c r="AG406" s="957">
        <v>10019</v>
      </c>
      <c r="AH406" s="1046">
        <v>387698</v>
      </c>
      <c r="AI406" s="957">
        <v>2988</v>
      </c>
      <c r="AJ406" s="958">
        <v>390686</v>
      </c>
      <c r="AK406" s="957">
        <v>244313</v>
      </c>
      <c r="AL406" s="957">
        <v>2192</v>
      </c>
      <c r="AM406" s="959">
        <v>246505</v>
      </c>
      <c r="AN406" s="957">
        <v>384</v>
      </c>
      <c r="AO406" s="1085">
        <v>246889</v>
      </c>
      <c r="AP406" s="1084">
        <v>378760</v>
      </c>
      <c r="AQ406" s="957">
        <v>10169</v>
      </c>
      <c r="AR406" s="1046">
        <v>388929</v>
      </c>
      <c r="AS406" s="957">
        <v>2993</v>
      </c>
      <c r="AT406" s="958">
        <v>391922</v>
      </c>
      <c r="AU406" s="957">
        <v>245710</v>
      </c>
      <c r="AV406" s="957">
        <v>2193</v>
      </c>
      <c r="AW406" s="959">
        <v>247903</v>
      </c>
      <c r="AX406" s="957">
        <v>384</v>
      </c>
      <c r="AY406" s="1085">
        <v>248287</v>
      </c>
      <c r="AZ406" s="1084">
        <v>379839</v>
      </c>
      <c r="BA406" s="957">
        <v>10245</v>
      </c>
      <c r="BB406" s="1046">
        <v>390084</v>
      </c>
      <c r="BC406" s="957">
        <v>2997</v>
      </c>
      <c r="BD406" s="958">
        <v>393081</v>
      </c>
      <c r="BE406" s="957">
        <v>246873</v>
      </c>
      <c r="BF406" s="957">
        <v>2196</v>
      </c>
      <c r="BG406" s="959">
        <v>249069</v>
      </c>
      <c r="BH406" s="957">
        <v>384</v>
      </c>
      <c r="BI406" s="1085">
        <v>249453</v>
      </c>
      <c r="BJ406" s="1084">
        <v>380986</v>
      </c>
      <c r="BK406" s="957">
        <v>10251</v>
      </c>
      <c r="BL406" s="1046">
        <v>391237</v>
      </c>
      <c r="BM406" s="957">
        <v>3001</v>
      </c>
      <c r="BN406" s="958">
        <v>394238</v>
      </c>
      <c r="BO406" s="957">
        <v>247886</v>
      </c>
      <c r="BP406" s="957">
        <v>2196</v>
      </c>
      <c r="BQ406" s="959">
        <v>250082</v>
      </c>
      <c r="BR406" s="957">
        <v>386</v>
      </c>
      <c r="BS406" s="1085">
        <v>250468</v>
      </c>
      <c r="BT406" s="1084">
        <v>382407</v>
      </c>
      <c r="BU406" s="957">
        <v>10271</v>
      </c>
      <c r="BV406" s="1046">
        <v>392678</v>
      </c>
      <c r="BW406" s="957">
        <v>3006</v>
      </c>
      <c r="BX406" s="958">
        <v>395684</v>
      </c>
      <c r="BY406" s="957">
        <v>248992</v>
      </c>
      <c r="BZ406" s="957">
        <v>2198</v>
      </c>
      <c r="CA406" s="959">
        <v>251190</v>
      </c>
      <c r="CB406" s="957">
        <v>386</v>
      </c>
      <c r="CC406" s="1085">
        <v>251576</v>
      </c>
      <c r="CD406" s="1084"/>
      <c r="CE406" s="957"/>
      <c r="CF406" s="1046"/>
      <c r="CG406" s="957"/>
      <c r="CH406" s="958"/>
      <c r="CI406" s="957"/>
      <c r="CJ406" s="957"/>
      <c r="CK406" s="959"/>
      <c r="CL406" s="957"/>
      <c r="CM406" s="1085"/>
      <c r="CN406" s="1084"/>
      <c r="CO406" s="957"/>
      <c r="CP406" s="1046"/>
      <c r="CQ406" s="957"/>
      <c r="CR406" s="958"/>
      <c r="CS406" s="957"/>
      <c r="CT406" s="957"/>
      <c r="CU406" s="959"/>
      <c r="CV406" s="957"/>
      <c r="CW406" s="1714"/>
      <c r="CX406" s="1720"/>
      <c r="CY406" s="957"/>
      <c r="CZ406" s="1046"/>
      <c r="DA406" s="957"/>
      <c r="DB406" s="958"/>
      <c r="DC406" s="957"/>
      <c r="DD406" s="957"/>
      <c r="DE406" s="959"/>
      <c r="DF406" s="957"/>
      <c r="DG406" s="1721"/>
      <c r="DH406" s="2328"/>
      <c r="DI406" s="2329"/>
      <c r="DJ406" s="1125"/>
      <c r="DK406" s="2329"/>
      <c r="DL406" s="2330"/>
      <c r="DM406" s="2329"/>
      <c r="DN406" s="2329"/>
      <c r="DO406" s="2331"/>
      <c r="DP406" s="2329"/>
      <c r="DQ406" s="2332"/>
      <c r="DR406" s="77" t="s">
        <v>6</v>
      </c>
      <c r="DS406" s="1792"/>
      <c r="DT406" s="957"/>
      <c r="DU406" s="1046"/>
      <c r="DV406" s="957"/>
      <c r="DW406" s="958"/>
      <c r="DX406" s="957"/>
      <c r="DY406" s="957"/>
      <c r="DZ406" s="959"/>
      <c r="EA406" s="957"/>
      <c r="EB406" s="1085"/>
      <c r="EC406" s="77" t="s">
        <v>1039</v>
      </c>
    </row>
    <row r="407" spans="1:133">
      <c r="A407" s="2210" t="s">
        <v>7</v>
      </c>
      <c r="B407" s="1084">
        <v>229614</v>
      </c>
      <c r="C407" s="957">
        <v>7695</v>
      </c>
      <c r="D407" s="1046">
        <v>237309</v>
      </c>
      <c r="E407" s="957">
        <v>1383</v>
      </c>
      <c r="F407" s="958">
        <v>238692</v>
      </c>
      <c r="G407" s="957">
        <v>165538</v>
      </c>
      <c r="H407" s="957">
        <v>2543</v>
      </c>
      <c r="I407" s="959">
        <v>168081</v>
      </c>
      <c r="J407" s="957">
        <v>236</v>
      </c>
      <c r="K407" s="1085">
        <v>168317</v>
      </c>
      <c r="L407" s="1084">
        <v>230948</v>
      </c>
      <c r="M407" s="957">
        <v>7721</v>
      </c>
      <c r="N407" s="1046">
        <v>238669</v>
      </c>
      <c r="O407" s="957">
        <v>1386</v>
      </c>
      <c r="P407" s="958">
        <v>240055</v>
      </c>
      <c r="Q407" s="957">
        <v>166429</v>
      </c>
      <c r="R407" s="957">
        <v>2555</v>
      </c>
      <c r="S407" s="959">
        <v>168984</v>
      </c>
      <c r="T407" s="957">
        <v>236</v>
      </c>
      <c r="U407" s="1085">
        <v>169220</v>
      </c>
      <c r="V407" s="2468">
        <v>231931</v>
      </c>
      <c r="W407" s="2469">
        <v>7731</v>
      </c>
      <c r="X407" s="2470">
        <v>239662</v>
      </c>
      <c r="Y407" s="2469">
        <v>1398</v>
      </c>
      <c r="Z407" s="2471">
        <v>241060</v>
      </c>
      <c r="AA407" s="2469">
        <v>167266</v>
      </c>
      <c r="AB407" s="2469">
        <v>2563</v>
      </c>
      <c r="AC407" s="2471">
        <v>169829</v>
      </c>
      <c r="AD407" s="2469">
        <v>239</v>
      </c>
      <c r="AE407" s="2472">
        <v>170068</v>
      </c>
      <c r="AF407" s="1084">
        <v>232719</v>
      </c>
      <c r="AG407" s="957">
        <v>7756</v>
      </c>
      <c r="AH407" s="1046">
        <v>240475</v>
      </c>
      <c r="AI407" s="957">
        <v>1407</v>
      </c>
      <c r="AJ407" s="958">
        <v>241882</v>
      </c>
      <c r="AK407" s="957">
        <v>167833</v>
      </c>
      <c r="AL407" s="957">
        <v>2572</v>
      </c>
      <c r="AM407" s="959">
        <v>170405</v>
      </c>
      <c r="AN407" s="957">
        <v>239</v>
      </c>
      <c r="AO407" s="1085">
        <v>170644</v>
      </c>
      <c r="AP407" s="1084">
        <v>233533</v>
      </c>
      <c r="AQ407" s="957">
        <v>7771</v>
      </c>
      <c r="AR407" s="1046">
        <v>241304</v>
      </c>
      <c r="AS407" s="957">
        <v>1414</v>
      </c>
      <c r="AT407" s="958">
        <v>242718</v>
      </c>
      <c r="AU407" s="957">
        <v>168278</v>
      </c>
      <c r="AV407" s="957">
        <v>2585</v>
      </c>
      <c r="AW407" s="959">
        <v>170863</v>
      </c>
      <c r="AX407" s="957">
        <v>241</v>
      </c>
      <c r="AY407" s="1085">
        <v>171104</v>
      </c>
      <c r="AZ407" s="1084">
        <v>234611</v>
      </c>
      <c r="BA407" s="957">
        <v>7787</v>
      </c>
      <c r="BB407" s="1046">
        <v>242398</v>
      </c>
      <c r="BC407" s="957">
        <v>1426</v>
      </c>
      <c r="BD407" s="958">
        <v>243824</v>
      </c>
      <c r="BE407" s="957">
        <v>168684</v>
      </c>
      <c r="BF407" s="957">
        <v>2598</v>
      </c>
      <c r="BG407" s="959">
        <v>171282</v>
      </c>
      <c r="BH407" s="957">
        <v>241</v>
      </c>
      <c r="BI407" s="1085">
        <v>171523</v>
      </c>
      <c r="BJ407" s="1084">
        <v>235360</v>
      </c>
      <c r="BK407" s="957">
        <v>7851</v>
      </c>
      <c r="BL407" s="1046">
        <v>243211</v>
      </c>
      <c r="BM407" s="957">
        <v>1432</v>
      </c>
      <c r="BN407" s="958">
        <v>244643</v>
      </c>
      <c r="BO407" s="957">
        <v>168952</v>
      </c>
      <c r="BP407" s="957">
        <v>2602</v>
      </c>
      <c r="BQ407" s="959">
        <v>171554</v>
      </c>
      <c r="BR407" s="957">
        <v>241</v>
      </c>
      <c r="BS407" s="1085">
        <v>171795</v>
      </c>
      <c r="BT407" s="1084">
        <v>236483</v>
      </c>
      <c r="BU407" s="957">
        <v>7886</v>
      </c>
      <c r="BV407" s="1046">
        <v>244369</v>
      </c>
      <c r="BW407" s="957">
        <v>1440</v>
      </c>
      <c r="BX407" s="958">
        <v>245809</v>
      </c>
      <c r="BY407" s="957">
        <v>169365</v>
      </c>
      <c r="BZ407" s="957">
        <v>2606</v>
      </c>
      <c r="CA407" s="959">
        <v>171971</v>
      </c>
      <c r="CB407" s="957">
        <v>241</v>
      </c>
      <c r="CC407" s="1085">
        <v>172212</v>
      </c>
      <c r="CD407" s="1084"/>
      <c r="CE407" s="957"/>
      <c r="CF407" s="1046"/>
      <c r="CG407" s="957"/>
      <c r="CH407" s="958"/>
      <c r="CI407" s="957"/>
      <c r="CJ407" s="957"/>
      <c r="CK407" s="959"/>
      <c r="CL407" s="957"/>
      <c r="CM407" s="1085"/>
      <c r="CN407" s="1084"/>
      <c r="CO407" s="957"/>
      <c r="CP407" s="1046"/>
      <c r="CQ407" s="957"/>
      <c r="CR407" s="958"/>
      <c r="CS407" s="957"/>
      <c r="CT407" s="957"/>
      <c r="CU407" s="959"/>
      <c r="CV407" s="957"/>
      <c r="CW407" s="1714"/>
      <c r="CX407" s="1720"/>
      <c r="CY407" s="957"/>
      <c r="CZ407" s="1046"/>
      <c r="DA407" s="957"/>
      <c r="DB407" s="958"/>
      <c r="DC407" s="957"/>
      <c r="DD407" s="957"/>
      <c r="DE407" s="959"/>
      <c r="DF407" s="957"/>
      <c r="DG407" s="1721"/>
      <c r="DH407" s="1716"/>
      <c r="DI407" s="957"/>
      <c r="DJ407" s="1046"/>
      <c r="DK407" s="957"/>
      <c r="DL407" s="958"/>
      <c r="DM407" s="957"/>
      <c r="DN407" s="957"/>
      <c r="DO407" s="959"/>
      <c r="DP407" s="957"/>
      <c r="DQ407" s="1085"/>
      <c r="DR407" s="77" t="s">
        <v>7</v>
      </c>
      <c r="DS407" s="1716"/>
      <c r="DT407" s="957"/>
      <c r="DU407" s="1046"/>
      <c r="DV407" s="957"/>
      <c r="DW407" s="958"/>
      <c r="DX407" s="957"/>
      <c r="DY407" s="957"/>
      <c r="DZ407" s="959"/>
      <c r="EA407" s="957"/>
      <c r="EB407" s="1085"/>
    </row>
    <row r="408" spans="1:133">
      <c r="A408" s="2210" t="s">
        <v>8</v>
      </c>
      <c r="B408" s="1084">
        <v>231304</v>
      </c>
      <c r="C408" s="957">
        <v>11223</v>
      </c>
      <c r="D408" s="1046">
        <v>242527</v>
      </c>
      <c r="E408" s="957">
        <v>1163</v>
      </c>
      <c r="F408" s="958">
        <v>243690</v>
      </c>
      <c r="G408" s="957">
        <v>154329</v>
      </c>
      <c r="H408" s="957">
        <v>2016</v>
      </c>
      <c r="I408" s="959">
        <v>156345</v>
      </c>
      <c r="J408" s="957">
        <v>175</v>
      </c>
      <c r="K408" s="1085">
        <v>156520</v>
      </c>
      <c r="L408" s="1084">
        <v>232704</v>
      </c>
      <c r="M408" s="957">
        <v>11263</v>
      </c>
      <c r="N408" s="1046">
        <v>243967</v>
      </c>
      <c r="O408" s="957">
        <v>1169</v>
      </c>
      <c r="P408" s="958">
        <v>245136</v>
      </c>
      <c r="Q408" s="957">
        <v>155852</v>
      </c>
      <c r="R408" s="957">
        <v>2045</v>
      </c>
      <c r="S408" s="959">
        <v>157897</v>
      </c>
      <c r="T408" s="957">
        <v>178</v>
      </c>
      <c r="U408" s="1085">
        <v>158075</v>
      </c>
      <c r="V408" s="1084">
        <v>233717</v>
      </c>
      <c r="W408" s="1127">
        <v>11313</v>
      </c>
      <c r="X408" s="1046">
        <v>245030</v>
      </c>
      <c r="Y408" s="1127">
        <v>1169</v>
      </c>
      <c r="Z408" s="959">
        <v>246199</v>
      </c>
      <c r="AA408" s="1127">
        <v>157306</v>
      </c>
      <c r="AB408" s="1127">
        <v>2060</v>
      </c>
      <c r="AC408" s="959">
        <v>159366</v>
      </c>
      <c r="AD408" s="1127">
        <v>179</v>
      </c>
      <c r="AE408" s="1085">
        <v>159545</v>
      </c>
      <c r="AF408" s="1084">
        <v>233936</v>
      </c>
      <c r="AG408" s="957">
        <v>11373</v>
      </c>
      <c r="AH408" s="1046">
        <v>245309</v>
      </c>
      <c r="AI408" s="957">
        <v>1169</v>
      </c>
      <c r="AJ408" s="958">
        <v>246478</v>
      </c>
      <c r="AK408" s="957">
        <v>157987</v>
      </c>
      <c r="AL408" s="957">
        <v>2063</v>
      </c>
      <c r="AM408" s="959">
        <v>160050</v>
      </c>
      <c r="AN408" s="957">
        <v>179</v>
      </c>
      <c r="AO408" s="1085">
        <v>160229</v>
      </c>
      <c r="AP408" s="1084">
        <v>234559</v>
      </c>
      <c r="AQ408" s="957">
        <v>11359</v>
      </c>
      <c r="AR408" s="1046">
        <v>245918</v>
      </c>
      <c r="AS408" s="957">
        <v>1179</v>
      </c>
      <c r="AT408" s="958">
        <v>247097</v>
      </c>
      <c r="AU408" s="957">
        <v>158655</v>
      </c>
      <c r="AV408" s="957">
        <v>2070</v>
      </c>
      <c r="AW408" s="959">
        <v>160725</v>
      </c>
      <c r="AX408" s="957">
        <v>179</v>
      </c>
      <c r="AY408" s="1085">
        <v>160904</v>
      </c>
      <c r="AZ408" s="1084">
        <v>235459</v>
      </c>
      <c r="BA408" s="957">
        <v>11413</v>
      </c>
      <c r="BB408" s="1046">
        <v>246872</v>
      </c>
      <c r="BC408" s="957">
        <v>1188</v>
      </c>
      <c r="BD408" s="958">
        <v>248060</v>
      </c>
      <c r="BE408" s="957">
        <v>159251</v>
      </c>
      <c r="BF408" s="957">
        <v>2077</v>
      </c>
      <c r="BG408" s="959">
        <v>161328</v>
      </c>
      <c r="BH408" s="957">
        <v>179</v>
      </c>
      <c r="BI408" s="1085">
        <v>161507</v>
      </c>
      <c r="BJ408" s="1084">
        <v>236247</v>
      </c>
      <c r="BK408" s="957">
        <v>11451</v>
      </c>
      <c r="BL408" s="1046">
        <v>247698</v>
      </c>
      <c r="BM408" s="957">
        <v>1196</v>
      </c>
      <c r="BN408" s="958">
        <v>248894</v>
      </c>
      <c r="BO408" s="957">
        <v>159720</v>
      </c>
      <c r="BP408" s="957">
        <v>2079</v>
      </c>
      <c r="BQ408" s="959">
        <v>161799</v>
      </c>
      <c r="BR408" s="957">
        <v>179</v>
      </c>
      <c r="BS408" s="1085">
        <v>161978</v>
      </c>
      <c r="BT408" s="1084">
        <v>237385</v>
      </c>
      <c r="BU408" s="957">
        <v>11521</v>
      </c>
      <c r="BV408" s="1046">
        <v>248906</v>
      </c>
      <c r="BW408" s="957">
        <v>1199</v>
      </c>
      <c r="BX408" s="958">
        <v>250105</v>
      </c>
      <c r="BY408" s="957">
        <v>160664</v>
      </c>
      <c r="BZ408" s="957">
        <v>2087</v>
      </c>
      <c r="CA408" s="959">
        <v>162751</v>
      </c>
      <c r="CB408" s="957">
        <v>179</v>
      </c>
      <c r="CC408" s="1085">
        <v>162930</v>
      </c>
      <c r="CD408" s="1084"/>
      <c r="CE408" s="957"/>
      <c r="CF408" s="1046"/>
      <c r="CG408" s="957"/>
      <c r="CH408" s="958"/>
      <c r="CI408" s="957"/>
      <c r="CJ408" s="957"/>
      <c r="CK408" s="959"/>
      <c r="CL408" s="957"/>
      <c r="CM408" s="1085"/>
      <c r="CN408" s="1084"/>
      <c r="CO408" s="957"/>
      <c r="CP408" s="1046"/>
      <c r="CQ408" s="957"/>
      <c r="CR408" s="958"/>
      <c r="CS408" s="957"/>
      <c r="CT408" s="957"/>
      <c r="CU408" s="959"/>
      <c r="CV408" s="957"/>
      <c r="CW408" s="1714"/>
      <c r="CX408" s="1720"/>
      <c r="CY408" s="957"/>
      <c r="CZ408" s="1046"/>
      <c r="DA408" s="957"/>
      <c r="DB408" s="958"/>
      <c r="DC408" s="957"/>
      <c r="DD408" s="957"/>
      <c r="DE408" s="959"/>
      <c r="DF408" s="957"/>
      <c r="DG408" s="1721"/>
      <c r="DH408" s="1716"/>
      <c r="DI408" s="957"/>
      <c r="DJ408" s="1046"/>
      <c r="DK408" s="957"/>
      <c r="DL408" s="958"/>
      <c r="DM408" s="957"/>
      <c r="DN408" s="957"/>
      <c r="DO408" s="959"/>
      <c r="DP408" s="957"/>
      <c r="DQ408" s="1085"/>
      <c r="DR408" s="77" t="s">
        <v>8</v>
      </c>
      <c r="DS408" s="1716"/>
      <c r="DT408" s="957"/>
      <c r="DU408" s="1046"/>
      <c r="DV408" s="957"/>
      <c r="DW408" s="958"/>
      <c r="DX408" s="957"/>
      <c r="DY408" s="957"/>
      <c r="DZ408" s="959"/>
      <c r="EA408" s="957"/>
      <c r="EB408" s="1085"/>
    </row>
    <row r="409" spans="1:133">
      <c r="A409" s="2210" t="s">
        <v>125</v>
      </c>
      <c r="B409" s="1084">
        <v>460208</v>
      </c>
      <c r="C409" s="957">
        <v>11977</v>
      </c>
      <c r="D409" s="1046">
        <v>472185</v>
      </c>
      <c r="E409" s="957">
        <v>1570</v>
      </c>
      <c r="F409" s="958">
        <v>473755</v>
      </c>
      <c r="G409" s="957">
        <v>311081</v>
      </c>
      <c r="H409" s="957">
        <v>3069</v>
      </c>
      <c r="I409" s="959">
        <v>314150</v>
      </c>
      <c r="J409" s="957">
        <v>273</v>
      </c>
      <c r="K409" s="1085">
        <v>314423</v>
      </c>
      <c r="L409" s="1084">
        <v>461221</v>
      </c>
      <c r="M409" s="957">
        <v>11984</v>
      </c>
      <c r="N409" s="1046">
        <v>473205</v>
      </c>
      <c r="O409" s="957">
        <v>1572</v>
      </c>
      <c r="P409" s="958">
        <v>474777</v>
      </c>
      <c r="Q409" s="957">
        <v>312945</v>
      </c>
      <c r="R409" s="957">
        <v>3074</v>
      </c>
      <c r="S409" s="959">
        <v>316019</v>
      </c>
      <c r="T409" s="957">
        <v>273</v>
      </c>
      <c r="U409" s="1085">
        <v>316292</v>
      </c>
      <c r="V409" s="1084">
        <v>462342</v>
      </c>
      <c r="W409" s="1127">
        <v>12025</v>
      </c>
      <c r="X409" s="1046">
        <v>474367</v>
      </c>
      <c r="Y409" s="1127">
        <v>1574</v>
      </c>
      <c r="Z409" s="959">
        <v>475941</v>
      </c>
      <c r="AA409" s="1127">
        <v>313872</v>
      </c>
      <c r="AB409" s="1127">
        <v>3083</v>
      </c>
      <c r="AC409" s="959">
        <v>316955</v>
      </c>
      <c r="AD409" s="1127">
        <v>274</v>
      </c>
      <c r="AE409" s="1085">
        <v>317229</v>
      </c>
      <c r="AF409" s="1084">
        <v>464588</v>
      </c>
      <c r="AG409" s="957">
        <v>12097</v>
      </c>
      <c r="AH409" s="1046">
        <v>476685</v>
      </c>
      <c r="AI409" s="957">
        <v>1577</v>
      </c>
      <c r="AJ409" s="958">
        <v>478262</v>
      </c>
      <c r="AK409" s="957">
        <v>314922</v>
      </c>
      <c r="AL409" s="957">
        <v>3100</v>
      </c>
      <c r="AM409" s="959">
        <v>318022</v>
      </c>
      <c r="AN409" s="957">
        <v>275</v>
      </c>
      <c r="AO409" s="1085">
        <v>318297</v>
      </c>
      <c r="AP409" s="1084">
        <v>466424</v>
      </c>
      <c r="AQ409" s="957">
        <v>12147</v>
      </c>
      <c r="AR409" s="1046">
        <v>478571</v>
      </c>
      <c r="AS409" s="957">
        <v>1577</v>
      </c>
      <c r="AT409" s="958">
        <v>480148</v>
      </c>
      <c r="AU409" s="957">
        <v>316064</v>
      </c>
      <c r="AV409" s="957">
        <v>3109</v>
      </c>
      <c r="AW409" s="959">
        <v>319173</v>
      </c>
      <c r="AX409" s="957">
        <v>276</v>
      </c>
      <c r="AY409" s="1085">
        <v>319449</v>
      </c>
      <c r="AZ409" s="1084">
        <v>467806</v>
      </c>
      <c r="BA409" s="957">
        <v>12175</v>
      </c>
      <c r="BB409" s="1046">
        <v>479981</v>
      </c>
      <c r="BC409" s="957">
        <v>1578</v>
      </c>
      <c r="BD409" s="958">
        <v>481559</v>
      </c>
      <c r="BE409" s="957">
        <v>317240</v>
      </c>
      <c r="BF409" s="957">
        <v>3113</v>
      </c>
      <c r="BG409" s="959">
        <v>320353</v>
      </c>
      <c r="BH409" s="957">
        <v>277</v>
      </c>
      <c r="BI409" s="1085">
        <v>320630</v>
      </c>
      <c r="BJ409" s="1084">
        <v>469386</v>
      </c>
      <c r="BK409" s="957">
        <v>12187</v>
      </c>
      <c r="BL409" s="1046">
        <v>481573</v>
      </c>
      <c r="BM409" s="957">
        <v>1581</v>
      </c>
      <c r="BN409" s="958">
        <v>483154</v>
      </c>
      <c r="BO409" s="957">
        <v>318363</v>
      </c>
      <c r="BP409" s="957">
        <v>3115</v>
      </c>
      <c r="BQ409" s="959">
        <v>321478</v>
      </c>
      <c r="BR409" s="957">
        <v>280</v>
      </c>
      <c r="BS409" s="1085">
        <v>321758</v>
      </c>
      <c r="BT409" s="1084">
        <v>470865</v>
      </c>
      <c r="BU409" s="957">
        <v>12221</v>
      </c>
      <c r="BV409" s="1046">
        <v>483086</v>
      </c>
      <c r="BW409" s="957">
        <v>1582</v>
      </c>
      <c r="BX409" s="958">
        <v>484668</v>
      </c>
      <c r="BY409" s="957">
        <v>319303</v>
      </c>
      <c r="BZ409" s="957">
        <v>3116</v>
      </c>
      <c r="CA409" s="959">
        <v>322419</v>
      </c>
      <c r="CB409" s="957">
        <v>280</v>
      </c>
      <c r="CC409" s="1085">
        <v>322699</v>
      </c>
      <c r="CD409" s="1084"/>
      <c r="CE409" s="957"/>
      <c r="CF409" s="1046"/>
      <c r="CG409" s="957"/>
      <c r="CH409" s="958"/>
      <c r="CI409" s="957"/>
      <c r="CJ409" s="957"/>
      <c r="CK409" s="959"/>
      <c r="CL409" s="957"/>
      <c r="CM409" s="1085"/>
      <c r="CN409" s="1084"/>
      <c r="CO409" s="957"/>
      <c r="CP409" s="1046"/>
      <c r="CQ409" s="957"/>
      <c r="CR409" s="958"/>
      <c r="CS409" s="957"/>
      <c r="CT409" s="957"/>
      <c r="CU409" s="959"/>
      <c r="CV409" s="957"/>
      <c r="CW409" s="1714"/>
      <c r="CX409" s="1720"/>
      <c r="CY409" s="957"/>
      <c r="CZ409" s="1046"/>
      <c r="DA409" s="957"/>
      <c r="DB409" s="958"/>
      <c r="DC409" s="957"/>
      <c r="DD409" s="957"/>
      <c r="DE409" s="959"/>
      <c r="DF409" s="957"/>
      <c r="DG409" s="1721"/>
      <c r="DH409" s="1716"/>
      <c r="DI409" s="957"/>
      <c r="DJ409" s="1046"/>
      <c r="DK409" s="957"/>
      <c r="DL409" s="958"/>
      <c r="DM409" s="957"/>
      <c r="DN409" s="957"/>
      <c r="DO409" s="959"/>
      <c r="DP409" s="957"/>
      <c r="DQ409" s="1085"/>
      <c r="DR409" s="77" t="s">
        <v>125</v>
      </c>
      <c r="DS409" s="1716"/>
      <c r="DT409" s="957"/>
      <c r="DU409" s="1046"/>
      <c r="DV409" s="957"/>
      <c r="DW409" s="958"/>
      <c r="DX409" s="957"/>
      <c r="DY409" s="957"/>
      <c r="DZ409" s="959"/>
      <c r="EA409" s="957"/>
      <c r="EB409" s="1085"/>
    </row>
    <row r="410" spans="1:133">
      <c r="A410" s="2210" t="s">
        <v>3</v>
      </c>
      <c r="B410" s="1084">
        <v>233169</v>
      </c>
      <c r="C410" s="957">
        <v>6694</v>
      </c>
      <c r="D410" s="1046">
        <v>239863</v>
      </c>
      <c r="E410" s="957">
        <v>1913</v>
      </c>
      <c r="F410" s="958">
        <v>241776</v>
      </c>
      <c r="G410" s="957">
        <v>193500</v>
      </c>
      <c r="H410" s="957">
        <v>2913</v>
      </c>
      <c r="I410" s="959">
        <v>196413</v>
      </c>
      <c r="J410" s="957">
        <v>180</v>
      </c>
      <c r="K410" s="1085">
        <v>196593</v>
      </c>
      <c r="L410" s="1084">
        <v>233670</v>
      </c>
      <c r="M410" s="957">
        <v>6720</v>
      </c>
      <c r="N410" s="1046">
        <v>240390</v>
      </c>
      <c r="O410" s="957">
        <v>1941</v>
      </c>
      <c r="P410" s="958">
        <v>242331</v>
      </c>
      <c r="Q410" s="957">
        <v>194153</v>
      </c>
      <c r="R410" s="957">
        <v>2921</v>
      </c>
      <c r="S410" s="959">
        <v>197074</v>
      </c>
      <c r="T410" s="957">
        <v>180</v>
      </c>
      <c r="U410" s="1085">
        <v>197254</v>
      </c>
      <c r="V410" s="2468">
        <v>234276</v>
      </c>
      <c r="W410" s="2469">
        <v>6752</v>
      </c>
      <c r="X410" s="2470">
        <v>241028</v>
      </c>
      <c r="Y410" s="2469">
        <v>1976</v>
      </c>
      <c r="Z410" s="2471">
        <v>243004</v>
      </c>
      <c r="AA410" s="2469">
        <v>194498</v>
      </c>
      <c r="AB410" s="2469">
        <v>2943</v>
      </c>
      <c r="AC410" s="2471">
        <v>197441</v>
      </c>
      <c r="AD410" s="2469">
        <v>180</v>
      </c>
      <c r="AE410" s="2472">
        <v>197621</v>
      </c>
      <c r="AF410" s="1084">
        <v>234898</v>
      </c>
      <c r="AG410" s="957">
        <v>6762</v>
      </c>
      <c r="AH410" s="1046">
        <v>241660</v>
      </c>
      <c r="AI410" s="957">
        <v>1995</v>
      </c>
      <c r="AJ410" s="958">
        <v>243655</v>
      </c>
      <c r="AK410" s="957">
        <v>194775</v>
      </c>
      <c r="AL410" s="957">
        <v>2945</v>
      </c>
      <c r="AM410" s="959">
        <v>197720</v>
      </c>
      <c r="AN410" s="957">
        <v>180</v>
      </c>
      <c r="AO410" s="1085">
        <v>197900</v>
      </c>
      <c r="AP410" s="1084">
        <v>235501</v>
      </c>
      <c r="AQ410" s="957">
        <v>6793</v>
      </c>
      <c r="AR410" s="1046">
        <v>242294</v>
      </c>
      <c r="AS410" s="957">
        <v>2012</v>
      </c>
      <c r="AT410" s="958">
        <v>244306</v>
      </c>
      <c r="AU410" s="957">
        <v>195110</v>
      </c>
      <c r="AV410" s="957">
        <v>2954</v>
      </c>
      <c r="AW410" s="959">
        <v>198064</v>
      </c>
      <c r="AX410" s="957">
        <v>182</v>
      </c>
      <c r="AY410" s="1085">
        <v>198246</v>
      </c>
      <c r="AZ410" s="1084">
        <v>236259</v>
      </c>
      <c r="BA410" s="957">
        <v>6801</v>
      </c>
      <c r="BB410" s="1046">
        <v>243060</v>
      </c>
      <c r="BC410" s="957">
        <v>2030</v>
      </c>
      <c r="BD410" s="958">
        <v>245090</v>
      </c>
      <c r="BE410" s="957">
        <v>195478</v>
      </c>
      <c r="BF410" s="957">
        <v>2956</v>
      </c>
      <c r="BG410" s="959">
        <v>198434</v>
      </c>
      <c r="BH410" s="957">
        <v>182</v>
      </c>
      <c r="BI410" s="1085">
        <v>198616</v>
      </c>
      <c r="BJ410" s="1084">
        <v>236997</v>
      </c>
      <c r="BK410" s="957">
        <v>6945</v>
      </c>
      <c r="BL410" s="1046">
        <v>243942</v>
      </c>
      <c r="BM410" s="957">
        <v>2050</v>
      </c>
      <c r="BN410" s="958">
        <v>245992</v>
      </c>
      <c r="BO410" s="957">
        <v>195863</v>
      </c>
      <c r="BP410" s="957">
        <v>2962</v>
      </c>
      <c r="BQ410" s="959">
        <v>198825</v>
      </c>
      <c r="BR410" s="957">
        <v>182</v>
      </c>
      <c r="BS410" s="1085">
        <v>199007</v>
      </c>
      <c r="BT410" s="1084">
        <v>237759</v>
      </c>
      <c r="BU410" s="957">
        <v>6961</v>
      </c>
      <c r="BV410" s="1046">
        <v>244720</v>
      </c>
      <c r="BW410" s="957">
        <v>2068</v>
      </c>
      <c r="BX410" s="958">
        <v>246789</v>
      </c>
      <c r="BY410" s="957">
        <v>196325</v>
      </c>
      <c r="BZ410" s="957">
        <v>2962</v>
      </c>
      <c r="CA410" s="959">
        <v>199287</v>
      </c>
      <c r="CB410" s="957">
        <v>182</v>
      </c>
      <c r="CC410" s="1085">
        <v>199469</v>
      </c>
      <c r="CD410" s="1084"/>
      <c r="CE410" s="957"/>
      <c r="CF410" s="1046"/>
      <c r="CG410" s="957"/>
      <c r="CH410" s="958"/>
      <c r="CI410" s="957"/>
      <c r="CJ410" s="957"/>
      <c r="CK410" s="959"/>
      <c r="CL410" s="957"/>
      <c r="CM410" s="1085"/>
      <c r="CN410" s="1084"/>
      <c r="CO410" s="957"/>
      <c r="CP410" s="1046"/>
      <c r="CQ410" s="957"/>
      <c r="CR410" s="958"/>
      <c r="CS410" s="957"/>
      <c r="CT410" s="957"/>
      <c r="CU410" s="959"/>
      <c r="CV410" s="957"/>
      <c r="CW410" s="1714"/>
      <c r="CX410" s="1720"/>
      <c r="CY410" s="957"/>
      <c r="CZ410" s="1046"/>
      <c r="DA410" s="957"/>
      <c r="DB410" s="958"/>
      <c r="DC410" s="957"/>
      <c r="DD410" s="957"/>
      <c r="DE410" s="959"/>
      <c r="DF410" s="957"/>
      <c r="DG410" s="1721"/>
      <c r="DH410" s="1716"/>
      <c r="DI410" s="957"/>
      <c r="DJ410" s="1046"/>
      <c r="DK410" s="957"/>
      <c r="DL410" s="958"/>
      <c r="DM410" s="957"/>
      <c r="DN410" s="957"/>
      <c r="DO410" s="959"/>
      <c r="DP410" s="957"/>
      <c r="DQ410" s="1085"/>
      <c r="DR410" s="77" t="s">
        <v>3</v>
      </c>
      <c r="DS410" s="1716"/>
      <c r="DT410" s="957"/>
      <c r="DU410" s="1046"/>
      <c r="DV410" s="957"/>
      <c r="DW410" s="958"/>
      <c r="DX410" s="957"/>
      <c r="DY410" s="957"/>
      <c r="DZ410" s="959"/>
      <c r="EA410" s="957"/>
      <c r="EB410" s="1085"/>
    </row>
    <row r="411" spans="1:133">
      <c r="A411" s="2210" t="s">
        <v>397</v>
      </c>
      <c r="B411" s="1084">
        <v>227460</v>
      </c>
      <c r="C411" s="957">
        <v>6807</v>
      </c>
      <c r="D411" s="1046">
        <v>234267</v>
      </c>
      <c r="E411" s="957">
        <v>1320</v>
      </c>
      <c r="F411" s="958">
        <v>235587</v>
      </c>
      <c r="G411" s="957">
        <v>124476</v>
      </c>
      <c r="H411" s="957">
        <v>1081</v>
      </c>
      <c r="I411" s="959">
        <v>125557</v>
      </c>
      <c r="J411" s="957">
        <v>126</v>
      </c>
      <c r="K411" s="1085">
        <v>125683</v>
      </c>
      <c r="L411" s="1084">
        <v>228011</v>
      </c>
      <c r="M411" s="957">
        <v>6821</v>
      </c>
      <c r="N411" s="1046">
        <v>234832</v>
      </c>
      <c r="O411" s="957">
        <v>1323</v>
      </c>
      <c r="P411" s="958">
        <v>236155</v>
      </c>
      <c r="Q411" s="957">
        <v>125065</v>
      </c>
      <c r="R411" s="957">
        <v>1086</v>
      </c>
      <c r="S411" s="959">
        <v>126151</v>
      </c>
      <c r="T411" s="957">
        <v>126</v>
      </c>
      <c r="U411" s="1085">
        <v>126277</v>
      </c>
      <c r="V411" s="1084">
        <v>228722</v>
      </c>
      <c r="W411" s="1127">
        <v>6847</v>
      </c>
      <c r="X411" s="1046">
        <v>235569</v>
      </c>
      <c r="Y411" s="1127">
        <v>1329</v>
      </c>
      <c r="Z411" s="959">
        <v>236898</v>
      </c>
      <c r="AA411" s="1127">
        <v>126353</v>
      </c>
      <c r="AB411" s="1127">
        <v>1088</v>
      </c>
      <c r="AC411" s="959">
        <v>127441</v>
      </c>
      <c r="AD411" s="1127">
        <v>127</v>
      </c>
      <c r="AE411" s="1085">
        <v>127568</v>
      </c>
      <c r="AF411" s="1084">
        <v>229511</v>
      </c>
      <c r="AG411" s="957">
        <v>6868</v>
      </c>
      <c r="AH411" s="1046">
        <v>236379</v>
      </c>
      <c r="AI411" s="957">
        <v>1331</v>
      </c>
      <c r="AJ411" s="958">
        <v>237710</v>
      </c>
      <c r="AK411" s="957">
        <v>127109</v>
      </c>
      <c r="AL411" s="957">
        <v>1089</v>
      </c>
      <c r="AM411" s="959">
        <v>128198</v>
      </c>
      <c r="AN411" s="957">
        <v>127</v>
      </c>
      <c r="AO411" s="1085">
        <v>128325</v>
      </c>
      <c r="AP411" s="1084">
        <v>230177</v>
      </c>
      <c r="AQ411" s="957">
        <v>6799</v>
      </c>
      <c r="AR411" s="1046">
        <v>236976</v>
      </c>
      <c r="AS411" s="957">
        <v>1341</v>
      </c>
      <c r="AT411" s="958">
        <v>238317</v>
      </c>
      <c r="AU411" s="957">
        <v>127788</v>
      </c>
      <c r="AV411" s="957">
        <v>1095</v>
      </c>
      <c r="AW411" s="959">
        <v>128883</v>
      </c>
      <c r="AX411" s="957">
        <v>129</v>
      </c>
      <c r="AY411" s="1085">
        <v>129012</v>
      </c>
      <c r="AZ411" s="1084">
        <v>230065</v>
      </c>
      <c r="BA411" s="957">
        <v>6837</v>
      </c>
      <c r="BB411" s="1046">
        <v>236902</v>
      </c>
      <c r="BC411" s="957">
        <v>1351</v>
      </c>
      <c r="BD411" s="958">
        <v>238253</v>
      </c>
      <c r="BE411" s="957">
        <v>128222</v>
      </c>
      <c r="BF411" s="957">
        <v>1097</v>
      </c>
      <c r="BG411" s="959">
        <v>129319</v>
      </c>
      <c r="BH411" s="957">
        <v>129</v>
      </c>
      <c r="BI411" s="1085">
        <v>129448</v>
      </c>
      <c r="BJ411" s="1084">
        <v>230681</v>
      </c>
      <c r="BK411" s="957">
        <v>6900</v>
      </c>
      <c r="BL411" s="1046">
        <v>237581</v>
      </c>
      <c r="BM411" s="957">
        <v>1362</v>
      </c>
      <c r="BN411" s="958">
        <v>238943</v>
      </c>
      <c r="BO411" s="957">
        <v>128844</v>
      </c>
      <c r="BP411" s="957">
        <v>1099</v>
      </c>
      <c r="BQ411" s="959">
        <v>129943</v>
      </c>
      <c r="BR411" s="957">
        <v>130</v>
      </c>
      <c r="BS411" s="1085">
        <v>130073</v>
      </c>
      <c r="BT411" s="1084">
        <v>231369</v>
      </c>
      <c r="BU411" s="957">
        <v>6926</v>
      </c>
      <c r="BV411" s="1046">
        <v>238295</v>
      </c>
      <c r="BW411" s="957">
        <v>1362</v>
      </c>
      <c r="BX411" s="958">
        <v>239657</v>
      </c>
      <c r="BY411" s="957">
        <v>129373</v>
      </c>
      <c r="BZ411" s="957">
        <v>1100</v>
      </c>
      <c r="CA411" s="959">
        <v>130473</v>
      </c>
      <c r="CB411" s="957">
        <v>130</v>
      </c>
      <c r="CC411" s="1085">
        <v>130603</v>
      </c>
      <c r="CD411" s="1084"/>
      <c r="CE411" s="957"/>
      <c r="CF411" s="1046"/>
      <c r="CG411" s="957"/>
      <c r="CH411" s="958"/>
      <c r="CI411" s="957"/>
      <c r="CJ411" s="957"/>
      <c r="CK411" s="959"/>
      <c r="CL411" s="957"/>
      <c r="CM411" s="1085"/>
      <c r="CN411" s="1084"/>
      <c r="CO411" s="957"/>
      <c r="CP411" s="1046"/>
      <c r="CQ411" s="957"/>
      <c r="CR411" s="958"/>
      <c r="CS411" s="957"/>
      <c r="CT411" s="957"/>
      <c r="CU411" s="959"/>
      <c r="CV411" s="957"/>
      <c r="CW411" s="1714"/>
      <c r="CX411" s="1720"/>
      <c r="CY411" s="957"/>
      <c r="CZ411" s="1046"/>
      <c r="DA411" s="957"/>
      <c r="DB411" s="958"/>
      <c r="DC411" s="957"/>
      <c r="DD411" s="957"/>
      <c r="DE411" s="959"/>
      <c r="DF411" s="957"/>
      <c r="DG411" s="1721"/>
      <c r="DH411" s="1716"/>
      <c r="DI411" s="957"/>
      <c r="DJ411" s="1046"/>
      <c r="DK411" s="957"/>
      <c r="DL411" s="958"/>
      <c r="DM411" s="957"/>
      <c r="DN411" s="957"/>
      <c r="DO411" s="959"/>
      <c r="DP411" s="957"/>
      <c r="DQ411" s="1085"/>
      <c r="DR411" s="77" t="s">
        <v>397</v>
      </c>
      <c r="DS411" s="1716"/>
      <c r="DT411" s="957"/>
      <c r="DU411" s="1046"/>
      <c r="DV411" s="957"/>
      <c r="DW411" s="958"/>
      <c r="DX411" s="957"/>
      <c r="DY411" s="957"/>
      <c r="DZ411" s="959"/>
      <c r="EA411" s="957"/>
      <c r="EB411" s="1085"/>
    </row>
    <row r="412" spans="1:133" ht="15" customHeight="1">
      <c r="A412" s="2210" t="s">
        <v>399</v>
      </c>
      <c r="B412" s="1084">
        <v>318768</v>
      </c>
      <c r="C412" s="957">
        <v>7994</v>
      </c>
      <c r="D412" s="1046">
        <v>326762</v>
      </c>
      <c r="E412" s="957">
        <v>1587</v>
      </c>
      <c r="F412" s="958">
        <v>328349</v>
      </c>
      <c r="G412" s="957">
        <v>178470</v>
      </c>
      <c r="H412" s="957">
        <v>1523</v>
      </c>
      <c r="I412" s="959">
        <v>179993</v>
      </c>
      <c r="J412" s="957">
        <v>260</v>
      </c>
      <c r="K412" s="1085">
        <v>180253</v>
      </c>
      <c r="L412" s="1084">
        <v>320066</v>
      </c>
      <c r="M412" s="957">
        <v>8032</v>
      </c>
      <c r="N412" s="1046">
        <v>328098</v>
      </c>
      <c r="O412" s="957">
        <v>1590</v>
      </c>
      <c r="P412" s="958">
        <v>329688</v>
      </c>
      <c r="Q412" s="957">
        <v>179986</v>
      </c>
      <c r="R412" s="957">
        <v>1532</v>
      </c>
      <c r="S412" s="959">
        <v>181518</v>
      </c>
      <c r="T412" s="957">
        <v>260</v>
      </c>
      <c r="U412" s="1085">
        <v>181778</v>
      </c>
      <c r="V412" s="1084">
        <v>322467</v>
      </c>
      <c r="W412" s="1127">
        <v>8060</v>
      </c>
      <c r="X412" s="1046">
        <v>330527</v>
      </c>
      <c r="Y412" s="1127">
        <v>1595</v>
      </c>
      <c r="Z412" s="959">
        <v>332122</v>
      </c>
      <c r="AA412" s="1127">
        <v>181317</v>
      </c>
      <c r="AB412" s="1127">
        <v>1538</v>
      </c>
      <c r="AC412" s="959">
        <v>182855</v>
      </c>
      <c r="AD412" s="1127">
        <v>261</v>
      </c>
      <c r="AE412" s="1085">
        <v>183116</v>
      </c>
      <c r="AF412" s="1084">
        <v>323840</v>
      </c>
      <c r="AG412" s="957">
        <v>8091</v>
      </c>
      <c r="AH412" s="1046">
        <v>331931</v>
      </c>
      <c r="AI412" s="957">
        <v>1599</v>
      </c>
      <c r="AJ412" s="958">
        <v>333530</v>
      </c>
      <c r="AK412" s="957">
        <v>182522</v>
      </c>
      <c r="AL412" s="957">
        <v>1543</v>
      </c>
      <c r="AM412" s="959">
        <v>184065</v>
      </c>
      <c r="AN412" s="957">
        <v>262</v>
      </c>
      <c r="AO412" s="1085">
        <v>184327</v>
      </c>
      <c r="AP412" s="1084">
        <v>325562</v>
      </c>
      <c r="AQ412" s="957">
        <v>8086</v>
      </c>
      <c r="AR412" s="1046">
        <v>333648</v>
      </c>
      <c r="AS412" s="957">
        <v>1602</v>
      </c>
      <c r="AT412" s="958">
        <v>335250</v>
      </c>
      <c r="AU412" s="957">
        <v>183610</v>
      </c>
      <c r="AV412" s="957">
        <v>1551</v>
      </c>
      <c r="AW412" s="959">
        <v>185161</v>
      </c>
      <c r="AX412" s="957">
        <v>264</v>
      </c>
      <c r="AY412" s="1085">
        <v>185425</v>
      </c>
      <c r="AZ412" s="1084">
        <v>326953</v>
      </c>
      <c r="BA412" s="957">
        <v>8126</v>
      </c>
      <c r="BB412" s="1046">
        <v>335079</v>
      </c>
      <c r="BC412" s="957">
        <v>1607</v>
      </c>
      <c r="BD412" s="958">
        <v>336686</v>
      </c>
      <c r="BE412" s="957">
        <v>184962</v>
      </c>
      <c r="BF412" s="957">
        <v>1552</v>
      </c>
      <c r="BG412" s="959">
        <v>186514</v>
      </c>
      <c r="BH412" s="957">
        <v>265</v>
      </c>
      <c r="BI412" s="1085">
        <v>186779</v>
      </c>
      <c r="BJ412" s="1084">
        <v>327962</v>
      </c>
      <c r="BK412" s="957">
        <v>8197</v>
      </c>
      <c r="BL412" s="1046">
        <v>336159</v>
      </c>
      <c r="BM412" s="957">
        <v>1609</v>
      </c>
      <c r="BN412" s="958">
        <v>337768</v>
      </c>
      <c r="BO412" s="957">
        <v>186218</v>
      </c>
      <c r="BP412" s="957">
        <v>1553</v>
      </c>
      <c r="BQ412" s="959">
        <v>187771</v>
      </c>
      <c r="BR412" s="957">
        <v>267</v>
      </c>
      <c r="BS412" s="1085">
        <v>188038</v>
      </c>
      <c r="BT412" s="1084">
        <v>329286</v>
      </c>
      <c r="BU412" s="957">
        <v>8213</v>
      </c>
      <c r="BV412" s="1046">
        <v>337499</v>
      </c>
      <c r="BW412" s="957">
        <v>1621</v>
      </c>
      <c r="BX412" s="958">
        <v>339120</v>
      </c>
      <c r="BY412" s="957">
        <v>187132</v>
      </c>
      <c r="BZ412" s="957">
        <v>1554</v>
      </c>
      <c r="CA412" s="959">
        <v>188686</v>
      </c>
      <c r="CB412" s="957">
        <v>269</v>
      </c>
      <c r="CC412" s="1085">
        <v>188955</v>
      </c>
      <c r="CD412" s="1084"/>
      <c r="CE412" s="957"/>
      <c r="CF412" s="1046"/>
      <c r="CG412" s="957"/>
      <c r="CH412" s="958"/>
      <c r="CI412" s="957"/>
      <c r="CJ412" s="957"/>
      <c r="CK412" s="959"/>
      <c r="CL412" s="957"/>
      <c r="CM412" s="1085"/>
      <c r="CN412" s="1084"/>
      <c r="CO412" s="957"/>
      <c r="CP412" s="1046"/>
      <c r="CQ412" s="957"/>
      <c r="CR412" s="958"/>
      <c r="CS412" s="957"/>
      <c r="CT412" s="957"/>
      <c r="CU412" s="959"/>
      <c r="CV412" s="957"/>
      <c r="CW412" s="1714"/>
      <c r="CX412" s="1720"/>
      <c r="CY412" s="957"/>
      <c r="CZ412" s="1046"/>
      <c r="DA412" s="957"/>
      <c r="DB412" s="958"/>
      <c r="DC412" s="957"/>
      <c r="DD412" s="957"/>
      <c r="DE412" s="959"/>
      <c r="DF412" s="957"/>
      <c r="DG412" s="1721"/>
      <c r="DH412" s="1716"/>
      <c r="DI412" s="957"/>
      <c r="DJ412" s="1046"/>
      <c r="DK412" s="957"/>
      <c r="DL412" s="958"/>
      <c r="DM412" s="957"/>
      <c r="DN412" s="957"/>
      <c r="DO412" s="959"/>
      <c r="DP412" s="957"/>
      <c r="DQ412" s="1085"/>
      <c r="DR412" s="77" t="s">
        <v>399</v>
      </c>
      <c r="DS412" s="1716"/>
      <c r="DT412" s="957"/>
      <c r="DU412" s="1046"/>
      <c r="DV412" s="957"/>
      <c r="DW412" s="958"/>
      <c r="DX412" s="957"/>
      <c r="DY412" s="957"/>
      <c r="DZ412" s="959"/>
      <c r="EA412" s="957"/>
      <c r="EB412" s="1085"/>
    </row>
    <row r="413" spans="1:133">
      <c r="A413" s="2210" t="s">
        <v>883</v>
      </c>
      <c r="B413" s="1084">
        <v>227167</v>
      </c>
      <c r="C413" s="957">
        <v>7182</v>
      </c>
      <c r="D413" s="1046">
        <v>234349</v>
      </c>
      <c r="E413" s="957">
        <v>1489</v>
      </c>
      <c r="F413" s="958">
        <v>235838</v>
      </c>
      <c r="G413" s="957">
        <v>124119</v>
      </c>
      <c r="H413" s="957">
        <v>1403</v>
      </c>
      <c r="I413" s="959">
        <v>125522</v>
      </c>
      <c r="J413" s="957">
        <v>144</v>
      </c>
      <c r="K413" s="1085">
        <v>125666</v>
      </c>
      <c r="L413" s="1084">
        <v>227926</v>
      </c>
      <c r="M413" s="957">
        <v>7194</v>
      </c>
      <c r="N413" s="1046">
        <v>235120</v>
      </c>
      <c r="O413" s="957">
        <v>1498</v>
      </c>
      <c r="P413" s="958">
        <v>236618</v>
      </c>
      <c r="Q413" s="957">
        <v>124770</v>
      </c>
      <c r="R413" s="957">
        <v>1407</v>
      </c>
      <c r="S413" s="959">
        <v>126177</v>
      </c>
      <c r="T413" s="957">
        <v>144</v>
      </c>
      <c r="U413" s="1085">
        <v>126321</v>
      </c>
      <c r="V413" s="2468">
        <v>228640</v>
      </c>
      <c r="W413" s="2469">
        <v>7212</v>
      </c>
      <c r="X413" s="2470">
        <v>235852</v>
      </c>
      <c r="Y413" s="2469">
        <v>1503</v>
      </c>
      <c r="Z413" s="2471">
        <v>237355</v>
      </c>
      <c r="AA413" s="2469">
        <v>125688</v>
      </c>
      <c r="AB413" s="2469">
        <v>1411</v>
      </c>
      <c r="AC413" s="2471">
        <v>127099</v>
      </c>
      <c r="AD413" s="2469">
        <v>145</v>
      </c>
      <c r="AE413" s="2472">
        <v>127244</v>
      </c>
      <c r="AF413" s="1084">
        <v>229093</v>
      </c>
      <c r="AG413" s="957">
        <v>7228</v>
      </c>
      <c r="AH413" s="1046">
        <v>236321</v>
      </c>
      <c r="AI413" s="957">
        <v>1510</v>
      </c>
      <c r="AJ413" s="958">
        <v>237831</v>
      </c>
      <c r="AK413" s="957">
        <v>126015</v>
      </c>
      <c r="AL413" s="957">
        <v>1416</v>
      </c>
      <c r="AM413" s="959">
        <v>127431</v>
      </c>
      <c r="AN413" s="957">
        <v>146</v>
      </c>
      <c r="AO413" s="1085">
        <v>127577</v>
      </c>
      <c r="AP413" s="1084">
        <v>230011</v>
      </c>
      <c r="AQ413" s="957">
        <v>7246</v>
      </c>
      <c r="AR413" s="1046">
        <v>237257</v>
      </c>
      <c r="AS413" s="957">
        <v>1520</v>
      </c>
      <c r="AT413" s="958">
        <v>238777</v>
      </c>
      <c r="AU413" s="957">
        <v>126630</v>
      </c>
      <c r="AV413" s="957">
        <v>1418</v>
      </c>
      <c r="AW413" s="959">
        <v>128048</v>
      </c>
      <c r="AX413" s="957">
        <v>147</v>
      </c>
      <c r="AY413" s="1085">
        <v>128195</v>
      </c>
      <c r="AZ413" s="1084">
        <v>230568</v>
      </c>
      <c r="BA413" s="957">
        <v>7260</v>
      </c>
      <c r="BB413" s="1046">
        <v>237828</v>
      </c>
      <c r="BC413" s="957">
        <v>1526</v>
      </c>
      <c r="BD413" s="958">
        <v>239354</v>
      </c>
      <c r="BE413" s="957">
        <v>127279</v>
      </c>
      <c r="BF413" s="957">
        <v>1417</v>
      </c>
      <c r="BG413" s="959">
        <v>128696</v>
      </c>
      <c r="BH413" s="957">
        <v>148</v>
      </c>
      <c r="BI413" s="1085">
        <v>128844</v>
      </c>
      <c r="BJ413" s="1084">
        <v>231402</v>
      </c>
      <c r="BK413" s="957">
        <v>7303</v>
      </c>
      <c r="BL413" s="1046">
        <v>238705</v>
      </c>
      <c r="BM413" s="957">
        <v>1534</v>
      </c>
      <c r="BN413" s="958">
        <v>240239</v>
      </c>
      <c r="BO413" s="957">
        <v>127729</v>
      </c>
      <c r="BP413" s="957">
        <v>1422</v>
      </c>
      <c r="BQ413" s="959">
        <v>129151</v>
      </c>
      <c r="BR413" s="957">
        <v>148</v>
      </c>
      <c r="BS413" s="1085">
        <v>129299</v>
      </c>
      <c r="BT413" s="1084">
        <v>231890</v>
      </c>
      <c r="BU413" s="957">
        <v>7330</v>
      </c>
      <c r="BV413" s="1046">
        <v>239220</v>
      </c>
      <c r="BW413" s="957">
        <v>1547</v>
      </c>
      <c r="BX413" s="958">
        <v>240767</v>
      </c>
      <c r="BY413" s="957">
        <v>128085</v>
      </c>
      <c r="BZ413" s="957">
        <v>1422</v>
      </c>
      <c r="CA413" s="959">
        <v>129507</v>
      </c>
      <c r="CB413" s="957">
        <v>148</v>
      </c>
      <c r="CC413" s="1085">
        <v>129655</v>
      </c>
      <c r="CD413" s="1084"/>
      <c r="CE413" s="957"/>
      <c r="CF413" s="1046"/>
      <c r="CG413" s="957"/>
      <c r="CH413" s="958"/>
      <c r="CI413" s="957"/>
      <c r="CJ413" s="957"/>
      <c r="CK413" s="959"/>
      <c r="CL413" s="957"/>
      <c r="CM413" s="1085"/>
      <c r="CN413" s="1084"/>
      <c r="CO413" s="957"/>
      <c r="CP413" s="1046"/>
      <c r="CQ413" s="957"/>
      <c r="CR413" s="958"/>
      <c r="CS413" s="957"/>
      <c r="CT413" s="957"/>
      <c r="CU413" s="959"/>
      <c r="CV413" s="957"/>
      <c r="CW413" s="1714"/>
      <c r="CX413" s="1720"/>
      <c r="CY413" s="957"/>
      <c r="CZ413" s="1046"/>
      <c r="DA413" s="957"/>
      <c r="DB413" s="958"/>
      <c r="DC413" s="957"/>
      <c r="DD413" s="957"/>
      <c r="DE413" s="959"/>
      <c r="DF413" s="957"/>
      <c r="DG413" s="1721"/>
      <c r="DH413" s="1716"/>
      <c r="DI413" s="957"/>
      <c r="DJ413" s="1046"/>
      <c r="DK413" s="957"/>
      <c r="DL413" s="958"/>
      <c r="DM413" s="957"/>
      <c r="DN413" s="957"/>
      <c r="DO413" s="959"/>
      <c r="DP413" s="957"/>
      <c r="DQ413" s="1085"/>
      <c r="DR413" s="77" t="s">
        <v>883</v>
      </c>
      <c r="DS413" s="1716"/>
      <c r="DT413" s="957"/>
      <c r="DU413" s="1046"/>
      <c r="DV413" s="957"/>
      <c r="DW413" s="958"/>
      <c r="DX413" s="957"/>
      <c r="DY413" s="957"/>
      <c r="DZ413" s="959"/>
      <c r="EA413" s="957"/>
      <c r="EB413" s="1085"/>
    </row>
    <row r="414" spans="1:133">
      <c r="A414" s="2210" t="s">
        <v>884</v>
      </c>
      <c r="B414" s="1084">
        <v>301223</v>
      </c>
      <c r="C414" s="957">
        <v>8386</v>
      </c>
      <c r="D414" s="1046">
        <v>309609</v>
      </c>
      <c r="E414" s="957">
        <v>1700</v>
      </c>
      <c r="F414" s="958">
        <v>311309</v>
      </c>
      <c r="G414" s="957">
        <v>157253</v>
      </c>
      <c r="H414" s="957">
        <v>1500</v>
      </c>
      <c r="I414" s="959">
        <v>158753</v>
      </c>
      <c r="J414" s="957">
        <v>166</v>
      </c>
      <c r="K414" s="1085">
        <v>158919</v>
      </c>
      <c r="L414" s="1084">
        <v>301651</v>
      </c>
      <c r="M414" s="957">
        <v>8422</v>
      </c>
      <c r="N414" s="1046">
        <v>310073</v>
      </c>
      <c r="O414" s="957">
        <v>1703</v>
      </c>
      <c r="P414" s="958">
        <v>311776</v>
      </c>
      <c r="Q414" s="957">
        <v>158791</v>
      </c>
      <c r="R414" s="957">
        <v>1518</v>
      </c>
      <c r="S414" s="959">
        <v>160309</v>
      </c>
      <c r="T414" s="957">
        <v>166</v>
      </c>
      <c r="U414" s="1085">
        <v>160475</v>
      </c>
      <c r="V414" s="2517">
        <v>303470</v>
      </c>
      <c r="W414" s="2518">
        <v>8491</v>
      </c>
      <c r="X414" s="2519">
        <v>311961</v>
      </c>
      <c r="Y414" s="2518">
        <v>1708</v>
      </c>
      <c r="Z414" s="2520">
        <v>313669</v>
      </c>
      <c r="AA414" s="2518">
        <v>160234</v>
      </c>
      <c r="AB414" s="2518">
        <v>1528</v>
      </c>
      <c r="AC414" s="2520">
        <v>161762</v>
      </c>
      <c r="AD414" s="2518">
        <v>167</v>
      </c>
      <c r="AE414" s="2515">
        <v>161929</v>
      </c>
      <c r="AF414" s="1084">
        <v>304087</v>
      </c>
      <c r="AG414" s="957">
        <v>8512</v>
      </c>
      <c r="AH414" s="1046">
        <v>312599</v>
      </c>
      <c r="AI414" s="957">
        <v>1717</v>
      </c>
      <c r="AJ414" s="958">
        <v>314316</v>
      </c>
      <c r="AK414" s="957">
        <v>160999</v>
      </c>
      <c r="AL414" s="957">
        <v>1555</v>
      </c>
      <c r="AM414" s="959">
        <v>162554</v>
      </c>
      <c r="AN414" s="957">
        <v>168</v>
      </c>
      <c r="AO414" s="1085">
        <v>162722</v>
      </c>
      <c r="AP414" s="1084">
        <v>304773</v>
      </c>
      <c r="AQ414" s="957">
        <v>8541</v>
      </c>
      <c r="AR414" s="1046">
        <v>313314</v>
      </c>
      <c r="AS414" s="957">
        <v>1727</v>
      </c>
      <c r="AT414" s="958">
        <v>315041</v>
      </c>
      <c r="AU414" s="957">
        <v>161861</v>
      </c>
      <c r="AV414" s="957">
        <v>1564</v>
      </c>
      <c r="AW414" s="959">
        <v>163425</v>
      </c>
      <c r="AX414" s="957">
        <v>168</v>
      </c>
      <c r="AY414" s="1085">
        <v>163593</v>
      </c>
      <c r="AZ414" s="1084">
        <v>305596</v>
      </c>
      <c r="BA414" s="957">
        <v>8566</v>
      </c>
      <c r="BB414" s="1046">
        <v>314162</v>
      </c>
      <c r="BC414" s="957">
        <v>1729</v>
      </c>
      <c r="BD414" s="958">
        <v>315891</v>
      </c>
      <c r="BE414" s="957">
        <v>162324</v>
      </c>
      <c r="BF414" s="957">
        <v>1565</v>
      </c>
      <c r="BG414" s="959">
        <v>163889</v>
      </c>
      <c r="BH414" s="957">
        <v>168</v>
      </c>
      <c r="BI414" s="1085">
        <v>164057</v>
      </c>
      <c r="BJ414" s="1084">
        <v>306574</v>
      </c>
      <c r="BK414" s="957">
        <v>8592</v>
      </c>
      <c r="BL414" s="1046">
        <v>315166</v>
      </c>
      <c r="BM414" s="957">
        <v>1734</v>
      </c>
      <c r="BN414" s="958">
        <v>316900</v>
      </c>
      <c r="BO414" s="957">
        <v>162902</v>
      </c>
      <c r="BP414" s="957">
        <v>1570</v>
      </c>
      <c r="BQ414" s="959">
        <v>164472</v>
      </c>
      <c r="BR414" s="957">
        <v>169</v>
      </c>
      <c r="BS414" s="1085">
        <v>164641</v>
      </c>
      <c r="BT414" s="1084">
        <v>307946</v>
      </c>
      <c r="BU414" s="957">
        <v>8622</v>
      </c>
      <c r="BV414" s="1046">
        <v>316568</v>
      </c>
      <c r="BW414" s="957">
        <v>1739</v>
      </c>
      <c r="BX414" s="958">
        <v>318307</v>
      </c>
      <c r="BY414" s="957">
        <v>164113</v>
      </c>
      <c r="BZ414" s="957">
        <v>1574</v>
      </c>
      <c r="CA414" s="959">
        <v>165687</v>
      </c>
      <c r="CB414" s="957">
        <v>171</v>
      </c>
      <c r="CC414" s="1085">
        <v>165858</v>
      </c>
      <c r="CD414" s="1084"/>
      <c r="CE414" s="957"/>
      <c r="CF414" s="1046"/>
      <c r="CG414" s="957"/>
      <c r="CH414" s="958"/>
      <c r="CI414" s="957"/>
      <c r="CJ414" s="957"/>
      <c r="CK414" s="959"/>
      <c r="CL414" s="957"/>
      <c r="CM414" s="1085"/>
      <c r="CN414" s="1084"/>
      <c r="CO414" s="957"/>
      <c r="CP414" s="1046"/>
      <c r="CQ414" s="957"/>
      <c r="CR414" s="958"/>
      <c r="CS414" s="957"/>
      <c r="CT414" s="957"/>
      <c r="CU414" s="959"/>
      <c r="CV414" s="957"/>
      <c r="CW414" s="1714"/>
      <c r="CX414" s="1720"/>
      <c r="CY414" s="957"/>
      <c r="CZ414" s="1046"/>
      <c r="DA414" s="957"/>
      <c r="DB414" s="958"/>
      <c r="DC414" s="957"/>
      <c r="DD414" s="957"/>
      <c r="DE414" s="959"/>
      <c r="DF414" s="957"/>
      <c r="DG414" s="1721"/>
      <c r="DH414" s="1716"/>
      <c r="DI414" s="957"/>
      <c r="DJ414" s="1046"/>
      <c r="DK414" s="957"/>
      <c r="DL414" s="958"/>
      <c r="DM414" s="957"/>
      <c r="DN414" s="957"/>
      <c r="DO414" s="959"/>
      <c r="DP414" s="957"/>
      <c r="DQ414" s="1085"/>
      <c r="DR414" s="77" t="s">
        <v>884</v>
      </c>
      <c r="DS414" s="1716"/>
      <c r="DT414" s="957"/>
      <c r="DU414" s="1046"/>
      <c r="DV414" s="957"/>
      <c r="DW414" s="958"/>
      <c r="DX414" s="957"/>
      <c r="DY414" s="957"/>
      <c r="DZ414" s="959"/>
      <c r="EA414" s="957"/>
      <c r="EB414" s="1085"/>
    </row>
    <row r="415" spans="1:133">
      <c r="A415" s="2210" t="s">
        <v>885</v>
      </c>
      <c r="B415" s="1084">
        <v>86477</v>
      </c>
      <c r="C415" s="957">
        <v>3322</v>
      </c>
      <c r="D415" s="1046">
        <v>89799</v>
      </c>
      <c r="E415" s="957">
        <v>267</v>
      </c>
      <c r="F415" s="958">
        <v>90066</v>
      </c>
      <c r="G415" s="957">
        <v>65330</v>
      </c>
      <c r="H415" s="957">
        <v>1300</v>
      </c>
      <c r="I415" s="959">
        <v>66630</v>
      </c>
      <c r="J415" s="957">
        <v>34</v>
      </c>
      <c r="K415" s="1085">
        <v>66664</v>
      </c>
      <c r="L415" s="1084">
        <v>86798</v>
      </c>
      <c r="M415" s="957">
        <v>3348</v>
      </c>
      <c r="N415" s="1046">
        <v>90146</v>
      </c>
      <c r="O415" s="957">
        <v>267</v>
      </c>
      <c r="P415" s="958">
        <v>90413</v>
      </c>
      <c r="Q415" s="957">
        <v>65877</v>
      </c>
      <c r="R415" s="957">
        <v>1304</v>
      </c>
      <c r="S415" s="959">
        <v>67181</v>
      </c>
      <c r="T415" s="957">
        <v>34</v>
      </c>
      <c r="U415" s="1085">
        <v>67215</v>
      </c>
      <c r="V415" s="2468">
        <v>87745</v>
      </c>
      <c r="W415" s="2469">
        <v>3407</v>
      </c>
      <c r="X415" s="2470">
        <v>91152</v>
      </c>
      <c r="Y415" s="2469">
        <v>267</v>
      </c>
      <c r="Z415" s="2471">
        <v>91419</v>
      </c>
      <c r="AA415" s="2469">
        <v>66694</v>
      </c>
      <c r="AB415" s="2469">
        <v>1307</v>
      </c>
      <c r="AC415" s="2471">
        <v>68001</v>
      </c>
      <c r="AD415" s="2469">
        <v>34</v>
      </c>
      <c r="AE415" s="2472">
        <v>68035</v>
      </c>
      <c r="AF415" s="1084">
        <v>88558</v>
      </c>
      <c r="AG415" s="957">
        <v>3438</v>
      </c>
      <c r="AH415" s="1046">
        <v>91996</v>
      </c>
      <c r="AI415" s="957">
        <v>267</v>
      </c>
      <c r="AJ415" s="958">
        <v>92263</v>
      </c>
      <c r="AK415" s="957">
        <v>67573</v>
      </c>
      <c r="AL415" s="957">
        <v>1310</v>
      </c>
      <c r="AM415" s="959">
        <v>68883</v>
      </c>
      <c r="AN415" s="957">
        <v>34</v>
      </c>
      <c r="AO415" s="1085">
        <v>68917</v>
      </c>
      <c r="AP415" s="1084">
        <v>89469</v>
      </c>
      <c r="AQ415" s="957">
        <v>3448</v>
      </c>
      <c r="AR415" s="1046">
        <v>92917</v>
      </c>
      <c r="AS415" s="957">
        <v>266</v>
      </c>
      <c r="AT415" s="958">
        <v>93183</v>
      </c>
      <c r="AU415" s="957">
        <v>68437</v>
      </c>
      <c r="AV415" s="957">
        <v>1309</v>
      </c>
      <c r="AW415" s="959">
        <v>69746</v>
      </c>
      <c r="AX415" s="957">
        <v>35</v>
      </c>
      <c r="AY415" s="1085">
        <v>69781</v>
      </c>
      <c r="AZ415" s="1084">
        <v>89736</v>
      </c>
      <c r="BA415" s="957">
        <v>3467</v>
      </c>
      <c r="BB415" s="1046">
        <v>93203</v>
      </c>
      <c r="BC415" s="957">
        <v>268</v>
      </c>
      <c r="BD415" s="958">
        <v>93471</v>
      </c>
      <c r="BE415" s="957">
        <v>68679</v>
      </c>
      <c r="BF415" s="957">
        <v>1315</v>
      </c>
      <c r="BG415" s="959">
        <v>69994</v>
      </c>
      <c r="BH415" s="957">
        <v>35</v>
      </c>
      <c r="BI415" s="1085">
        <v>70029</v>
      </c>
      <c r="BJ415" s="1084">
        <v>90034</v>
      </c>
      <c r="BK415" s="957">
        <v>3482</v>
      </c>
      <c r="BL415" s="1046">
        <v>93516</v>
      </c>
      <c r="BM415" s="957">
        <v>267</v>
      </c>
      <c r="BN415" s="958">
        <v>93783</v>
      </c>
      <c r="BO415" s="957">
        <v>68892</v>
      </c>
      <c r="BP415" s="957">
        <v>1315</v>
      </c>
      <c r="BQ415" s="959">
        <v>70207</v>
      </c>
      <c r="BR415" s="957">
        <v>35</v>
      </c>
      <c r="BS415" s="1085">
        <v>70242</v>
      </c>
      <c r="BT415" s="1084">
        <v>90262</v>
      </c>
      <c r="BU415" s="957">
        <v>3495</v>
      </c>
      <c r="BV415" s="1046">
        <v>93757</v>
      </c>
      <c r="BW415" s="957">
        <v>267</v>
      </c>
      <c r="BX415" s="958">
        <v>94024</v>
      </c>
      <c r="BY415" s="957">
        <v>69066</v>
      </c>
      <c r="BZ415" s="957">
        <v>1317</v>
      </c>
      <c r="CA415" s="959">
        <v>70383</v>
      </c>
      <c r="CB415" s="957">
        <v>35</v>
      </c>
      <c r="CC415" s="1085">
        <v>70418</v>
      </c>
      <c r="CD415" s="1084"/>
      <c r="CE415" s="957"/>
      <c r="CF415" s="1046"/>
      <c r="CG415" s="957"/>
      <c r="CH415" s="958"/>
      <c r="CI415" s="957"/>
      <c r="CJ415" s="957"/>
      <c r="CK415" s="959"/>
      <c r="CL415" s="957"/>
      <c r="CM415" s="1085"/>
      <c r="CN415" s="1084"/>
      <c r="CO415" s="957"/>
      <c r="CP415" s="1046"/>
      <c r="CQ415" s="957"/>
      <c r="CR415" s="958"/>
      <c r="CS415" s="957"/>
      <c r="CT415" s="957"/>
      <c r="CU415" s="959"/>
      <c r="CV415" s="957"/>
      <c r="CW415" s="1714"/>
      <c r="CX415" s="1720"/>
      <c r="CY415" s="957"/>
      <c r="CZ415" s="1046"/>
      <c r="DA415" s="957"/>
      <c r="DB415" s="958"/>
      <c r="DC415" s="957"/>
      <c r="DD415" s="957"/>
      <c r="DE415" s="959"/>
      <c r="DF415" s="957"/>
      <c r="DG415" s="1721"/>
      <c r="DH415" s="1716"/>
      <c r="DI415" s="957"/>
      <c r="DJ415" s="1046"/>
      <c r="DK415" s="957"/>
      <c r="DL415" s="958"/>
      <c r="DM415" s="957"/>
      <c r="DN415" s="957"/>
      <c r="DO415" s="959"/>
      <c r="DP415" s="957"/>
      <c r="DQ415" s="1085"/>
      <c r="DR415" s="77" t="s">
        <v>885</v>
      </c>
      <c r="DS415" s="1716"/>
      <c r="DT415" s="957"/>
      <c r="DU415" s="1046"/>
      <c r="DV415" s="957"/>
      <c r="DW415" s="958"/>
      <c r="DX415" s="957"/>
      <c r="DY415" s="957"/>
      <c r="DZ415" s="959"/>
      <c r="EA415" s="957"/>
      <c r="EB415" s="1085"/>
    </row>
    <row r="417" spans="1:132" ht="14.4" thickBot="1">
      <c r="A417" s="730" t="s">
        <v>866</v>
      </c>
    </row>
    <row r="418" spans="1:132" ht="18">
      <c r="B418" s="3364" t="s">
        <v>71</v>
      </c>
      <c r="C418" s="3365"/>
      <c r="D418" s="3365"/>
      <c r="E418" s="3365"/>
      <c r="F418" s="3365"/>
      <c r="G418" s="3365"/>
      <c r="H418" s="3365"/>
      <c r="I418" s="3365"/>
      <c r="J418" s="3365"/>
      <c r="K418" s="3366"/>
      <c r="L418" s="3380" t="s">
        <v>72</v>
      </c>
      <c r="M418" s="3381"/>
      <c r="N418" s="3381"/>
      <c r="O418" s="3381"/>
      <c r="P418" s="3381"/>
      <c r="Q418" s="3381"/>
      <c r="R418" s="3381"/>
      <c r="S418" s="3381"/>
      <c r="T418" s="3381"/>
      <c r="U418" s="3382"/>
      <c r="V418" s="3383" t="s">
        <v>73</v>
      </c>
      <c r="W418" s="3384"/>
      <c r="X418" s="3384"/>
      <c r="Y418" s="3384"/>
      <c r="Z418" s="3384"/>
      <c r="AA418" s="3384"/>
      <c r="AB418" s="3384"/>
      <c r="AC418" s="3384"/>
      <c r="AD418" s="3384"/>
      <c r="AE418" s="3385"/>
      <c r="AF418" s="3386" t="s">
        <v>74</v>
      </c>
      <c r="AG418" s="3387"/>
      <c r="AH418" s="3387"/>
      <c r="AI418" s="3387"/>
      <c r="AJ418" s="3387"/>
      <c r="AK418" s="3387"/>
      <c r="AL418" s="3387"/>
      <c r="AM418" s="3387"/>
      <c r="AN418" s="3387"/>
      <c r="AO418" s="3388"/>
      <c r="AP418" s="3389" t="s">
        <v>75</v>
      </c>
      <c r="AQ418" s="3390"/>
      <c r="AR418" s="3390"/>
      <c r="AS418" s="3390"/>
      <c r="AT418" s="3390"/>
      <c r="AU418" s="3390"/>
      <c r="AV418" s="3390"/>
      <c r="AW418" s="3390"/>
      <c r="AX418" s="3390"/>
      <c r="AY418" s="3391"/>
      <c r="AZ418" s="3393" t="s">
        <v>76</v>
      </c>
      <c r="BA418" s="3394"/>
      <c r="BB418" s="3394"/>
      <c r="BC418" s="3394"/>
      <c r="BD418" s="3394"/>
      <c r="BE418" s="3394"/>
      <c r="BF418" s="3394"/>
      <c r="BG418" s="3394"/>
      <c r="BH418" s="3394"/>
      <c r="BI418" s="3395"/>
      <c r="BJ418" s="3364" t="s">
        <v>77</v>
      </c>
      <c r="BK418" s="3365"/>
      <c r="BL418" s="3365"/>
      <c r="BM418" s="3365"/>
      <c r="BN418" s="3365"/>
      <c r="BO418" s="3365"/>
      <c r="BP418" s="3365"/>
      <c r="BQ418" s="3365"/>
      <c r="BR418" s="3365"/>
      <c r="BS418" s="3366"/>
      <c r="BT418" s="3380" t="s">
        <v>78</v>
      </c>
      <c r="BU418" s="3381"/>
      <c r="BV418" s="3381"/>
      <c r="BW418" s="3381"/>
      <c r="BX418" s="3381"/>
      <c r="BY418" s="3381"/>
      <c r="BZ418" s="3381"/>
      <c r="CA418" s="3381"/>
      <c r="CB418" s="3381"/>
      <c r="CC418" s="3382"/>
      <c r="CD418" s="3383" t="s">
        <v>79</v>
      </c>
      <c r="CE418" s="3384"/>
      <c r="CF418" s="3384"/>
      <c r="CG418" s="3384"/>
      <c r="CH418" s="3384"/>
      <c r="CI418" s="3384"/>
      <c r="CJ418" s="3384"/>
      <c r="CK418" s="3384"/>
      <c r="CL418" s="3384"/>
      <c r="CM418" s="3385"/>
      <c r="CN418" s="3386" t="s">
        <v>80</v>
      </c>
      <c r="CO418" s="3387"/>
      <c r="CP418" s="3387"/>
      <c r="CQ418" s="3387"/>
      <c r="CR418" s="3387"/>
      <c r="CS418" s="3387"/>
      <c r="CT418" s="3387"/>
      <c r="CU418" s="3387"/>
      <c r="CV418" s="3387"/>
      <c r="CW418" s="3387"/>
      <c r="CX418" s="3397" t="s">
        <v>81</v>
      </c>
      <c r="CY418" s="3398"/>
      <c r="CZ418" s="3398"/>
      <c r="DA418" s="3398"/>
      <c r="DB418" s="3398"/>
      <c r="DC418" s="3398"/>
      <c r="DD418" s="3398"/>
      <c r="DE418" s="3398"/>
      <c r="DF418" s="3398"/>
      <c r="DG418" s="3399"/>
      <c r="DH418" s="3394" t="s">
        <v>82</v>
      </c>
      <c r="DI418" s="3394"/>
      <c r="DJ418" s="3394"/>
      <c r="DK418" s="3394"/>
      <c r="DL418" s="3394"/>
      <c r="DM418" s="3394"/>
      <c r="DN418" s="3394"/>
      <c r="DO418" s="3394"/>
      <c r="DP418" s="3394"/>
      <c r="DQ418" s="3395"/>
      <c r="DS418" s="3350" t="s">
        <v>143</v>
      </c>
      <c r="DT418" s="3350"/>
      <c r="DU418" s="3350"/>
      <c r="DV418" s="3350"/>
      <c r="DW418" s="3350"/>
      <c r="DX418" s="3350"/>
      <c r="DY418" s="3350"/>
      <c r="DZ418" s="3350"/>
      <c r="EA418" s="3350"/>
      <c r="EB418" s="3351"/>
    </row>
    <row r="419" spans="1:132">
      <c r="B419" s="3370" t="s">
        <v>537</v>
      </c>
      <c r="C419" s="3352"/>
      <c r="D419" s="3352"/>
      <c r="E419" s="3352"/>
      <c r="F419" s="3353"/>
      <c r="G419" s="3354" t="s">
        <v>309</v>
      </c>
      <c r="H419" s="3355"/>
      <c r="I419" s="3355"/>
      <c r="J419" s="3355"/>
      <c r="K419" s="3356"/>
      <c r="L419" s="3370" t="s">
        <v>537</v>
      </c>
      <c r="M419" s="3352"/>
      <c r="N419" s="3352"/>
      <c r="O419" s="3352"/>
      <c r="P419" s="3353"/>
      <c r="Q419" s="3354" t="s">
        <v>309</v>
      </c>
      <c r="R419" s="3355"/>
      <c r="S419" s="3355"/>
      <c r="T419" s="3355"/>
      <c r="U419" s="3356"/>
      <c r="V419" s="3370" t="s">
        <v>537</v>
      </c>
      <c r="W419" s="3352"/>
      <c r="X419" s="3352"/>
      <c r="Y419" s="3352"/>
      <c r="Z419" s="3353"/>
      <c r="AA419" s="3354" t="s">
        <v>309</v>
      </c>
      <c r="AB419" s="3355"/>
      <c r="AC419" s="3355"/>
      <c r="AD419" s="3355"/>
      <c r="AE419" s="3356"/>
      <c r="AF419" s="3370" t="s">
        <v>537</v>
      </c>
      <c r="AG419" s="3352"/>
      <c r="AH419" s="3352"/>
      <c r="AI419" s="3352"/>
      <c r="AJ419" s="3353"/>
      <c r="AK419" s="3354" t="s">
        <v>309</v>
      </c>
      <c r="AL419" s="3355"/>
      <c r="AM419" s="3355"/>
      <c r="AN419" s="3355"/>
      <c r="AO419" s="3356"/>
      <c r="AP419" s="3370" t="s">
        <v>537</v>
      </c>
      <c r="AQ419" s="3352"/>
      <c r="AR419" s="3352"/>
      <c r="AS419" s="3352"/>
      <c r="AT419" s="3353"/>
      <c r="AU419" s="3354" t="s">
        <v>309</v>
      </c>
      <c r="AV419" s="3355"/>
      <c r="AW419" s="3355"/>
      <c r="AX419" s="3355"/>
      <c r="AY419" s="3356"/>
      <c r="AZ419" s="3370" t="s">
        <v>537</v>
      </c>
      <c r="BA419" s="3352"/>
      <c r="BB419" s="3352"/>
      <c r="BC419" s="3352"/>
      <c r="BD419" s="3353"/>
      <c r="BE419" s="3354" t="s">
        <v>309</v>
      </c>
      <c r="BF419" s="3355"/>
      <c r="BG419" s="3355"/>
      <c r="BH419" s="3355"/>
      <c r="BI419" s="3356"/>
      <c r="BJ419" s="3370" t="s">
        <v>537</v>
      </c>
      <c r="BK419" s="3352"/>
      <c r="BL419" s="3352"/>
      <c r="BM419" s="3352"/>
      <c r="BN419" s="3353"/>
      <c r="BO419" s="3354" t="s">
        <v>309</v>
      </c>
      <c r="BP419" s="3355"/>
      <c r="BQ419" s="3355"/>
      <c r="BR419" s="3355"/>
      <c r="BS419" s="3356"/>
      <c r="BT419" s="3370" t="s">
        <v>537</v>
      </c>
      <c r="BU419" s="3352"/>
      <c r="BV419" s="3352"/>
      <c r="BW419" s="3352"/>
      <c r="BX419" s="3353"/>
      <c r="BY419" s="3354" t="s">
        <v>309</v>
      </c>
      <c r="BZ419" s="3355"/>
      <c r="CA419" s="3355"/>
      <c r="CB419" s="3355"/>
      <c r="CC419" s="3356"/>
      <c r="CD419" s="3370" t="s">
        <v>537</v>
      </c>
      <c r="CE419" s="3352"/>
      <c r="CF419" s="3352"/>
      <c r="CG419" s="3352"/>
      <c r="CH419" s="3353"/>
      <c r="CI419" s="3354" t="s">
        <v>309</v>
      </c>
      <c r="CJ419" s="3355"/>
      <c r="CK419" s="3355"/>
      <c r="CL419" s="3355"/>
      <c r="CM419" s="3356"/>
      <c r="CN419" s="3370" t="s">
        <v>537</v>
      </c>
      <c r="CO419" s="3352"/>
      <c r="CP419" s="3352"/>
      <c r="CQ419" s="3352"/>
      <c r="CR419" s="3353"/>
      <c r="CS419" s="3354" t="s">
        <v>309</v>
      </c>
      <c r="CT419" s="3355"/>
      <c r="CU419" s="3355"/>
      <c r="CV419" s="3355"/>
      <c r="CW419" s="3355"/>
      <c r="CX419" s="3396" t="s">
        <v>537</v>
      </c>
      <c r="CY419" s="3352"/>
      <c r="CZ419" s="3352"/>
      <c r="DA419" s="3352"/>
      <c r="DB419" s="3353"/>
      <c r="DC419" s="3354" t="s">
        <v>309</v>
      </c>
      <c r="DD419" s="3355"/>
      <c r="DE419" s="3355"/>
      <c r="DF419" s="3355"/>
      <c r="DG419" s="3392"/>
      <c r="DH419" s="3352" t="s">
        <v>537</v>
      </c>
      <c r="DI419" s="3352"/>
      <c r="DJ419" s="3352"/>
      <c r="DK419" s="3352"/>
      <c r="DL419" s="3353"/>
      <c r="DM419" s="3354" t="s">
        <v>309</v>
      </c>
      <c r="DN419" s="3355"/>
      <c r="DO419" s="3355"/>
      <c r="DP419" s="3355"/>
      <c r="DQ419" s="3356"/>
      <c r="DS419" s="3352" t="s">
        <v>537</v>
      </c>
      <c r="DT419" s="3352"/>
      <c r="DU419" s="3352"/>
      <c r="DV419" s="3352"/>
      <c r="DW419" s="3353"/>
      <c r="DX419" s="3354" t="s">
        <v>309</v>
      </c>
      <c r="DY419" s="3355"/>
      <c r="DZ419" s="3355"/>
      <c r="EA419" s="3355"/>
      <c r="EB419" s="3356"/>
    </row>
    <row r="420" spans="1:132">
      <c r="B420" s="1082" t="s">
        <v>17</v>
      </c>
      <c r="C420" s="960" t="s">
        <v>18</v>
      </c>
      <c r="D420" s="1043" t="s">
        <v>52</v>
      </c>
      <c r="E420" s="960" t="s">
        <v>19</v>
      </c>
      <c r="F420" s="960" t="s">
        <v>315</v>
      </c>
      <c r="G420" s="960" t="s">
        <v>17</v>
      </c>
      <c r="H420" s="960" t="s">
        <v>18</v>
      </c>
      <c r="I420" s="960" t="s">
        <v>56</v>
      </c>
      <c r="J420" s="960" t="s">
        <v>21</v>
      </c>
      <c r="K420" s="1083" t="s">
        <v>57</v>
      </c>
      <c r="L420" s="1082" t="s">
        <v>17</v>
      </c>
      <c r="M420" s="960" t="s">
        <v>18</v>
      </c>
      <c r="N420" s="960" t="s">
        <v>52</v>
      </c>
      <c r="O420" s="960" t="s">
        <v>19</v>
      </c>
      <c r="P420" s="960" t="s">
        <v>315</v>
      </c>
      <c r="Q420" s="960" t="s">
        <v>17</v>
      </c>
      <c r="R420" s="960" t="s">
        <v>18</v>
      </c>
      <c r="S420" s="960" t="s">
        <v>56</v>
      </c>
      <c r="T420" s="960" t="s">
        <v>21</v>
      </c>
      <c r="U420" s="1083" t="s">
        <v>57</v>
      </c>
      <c r="V420" s="1082" t="s">
        <v>17</v>
      </c>
      <c r="W420" s="960" t="s">
        <v>18</v>
      </c>
      <c r="X420" s="960" t="s">
        <v>52</v>
      </c>
      <c r="Y420" s="960" t="s">
        <v>19</v>
      </c>
      <c r="Z420" s="960" t="s">
        <v>315</v>
      </c>
      <c r="AA420" s="960" t="s">
        <v>17</v>
      </c>
      <c r="AB420" s="960" t="s">
        <v>18</v>
      </c>
      <c r="AC420" s="960" t="s">
        <v>56</v>
      </c>
      <c r="AD420" s="960" t="s">
        <v>21</v>
      </c>
      <c r="AE420" s="1083" t="s">
        <v>57</v>
      </c>
      <c r="AF420" s="1082" t="s">
        <v>17</v>
      </c>
      <c r="AG420" s="960" t="s">
        <v>18</v>
      </c>
      <c r="AH420" s="960" t="s">
        <v>52</v>
      </c>
      <c r="AI420" s="960" t="s">
        <v>19</v>
      </c>
      <c r="AJ420" s="960" t="s">
        <v>315</v>
      </c>
      <c r="AK420" s="960" t="s">
        <v>17</v>
      </c>
      <c r="AL420" s="960" t="s">
        <v>18</v>
      </c>
      <c r="AM420" s="960" t="s">
        <v>56</v>
      </c>
      <c r="AN420" s="960" t="s">
        <v>21</v>
      </c>
      <c r="AO420" s="1083" t="s">
        <v>57</v>
      </c>
      <c r="AP420" s="1082" t="s">
        <v>17</v>
      </c>
      <c r="AQ420" s="960" t="s">
        <v>18</v>
      </c>
      <c r="AR420" s="960" t="s">
        <v>52</v>
      </c>
      <c r="AS420" s="960" t="s">
        <v>19</v>
      </c>
      <c r="AT420" s="960" t="s">
        <v>315</v>
      </c>
      <c r="AU420" s="960" t="s">
        <v>17</v>
      </c>
      <c r="AV420" s="960" t="s">
        <v>18</v>
      </c>
      <c r="AW420" s="960" t="s">
        <v>56</v>
      </c>
      <c r="AX420" s="960" t="s">
        <v>21</v>
      </c>
      <c r="AY420" s="1083" t="s">
        <v>57</v>
      </c>
      <c r="AZ420" s="1082" t="s">
        <v>17</v>
      </c>
      <c r="BA420" s="960" t="s">
        <v>18</v>
      </c>
      <c r="BB420" s="960" t="s">
        <v>52</v>
      </c>
      <c r="BC420" s="960" t="s">
        <v>19</v>
      </c>
      <c r="BD420" s="960" t="s">
        <v>315</v>
      </c>
      <c r="BE420" s="960" t="s">
        <v>17</v>
      </c>
      <c r="BF420" s="960" t="s">
        <v>18</v>
      </c>
      <c r="BG420" s="960" t="s">
        <v>56</v>
      </c>
      <c r="BH420" s="960" t="s">
        <v>21</v>
      </c>
      <c r="BI420" s="1083" t="s">
        <v>57</v>
      </c>
      <c r="BJ420" s="1082" t="s">
        <v>17</v>
      </c>
      <c r="BK420" s="960" t="s">
        <v>18</v>
      </c>
      <c r="BL420" s="960" t="s">
        <v>52</v>
      </c>
      <c r="BM420" s="960" t="s">
        <v>19</v>
      </c>
      <c r="BN420" s="960" t="s">
        <v>315</v>
      </c>
      <c r="BO420" s="960" t="s">
        <v>17</v>
      </c>
      <c r="BP420" s="960" t="s">
        <v>18</v>
      </c>
      <c r="BQ420" s="960" t="s">
        <v>56</v>
      </c>
      <c r="BR420" s="960" t="s">
        <v>21</v>
      </c>
      <c r="BS420" s="1083" t="s">
        <v>57</v>
      </c>
      <c r="BT420" s="1082" t="s">
        <v>17</v>
      </c>
      <c r="BU420" s="960" t="s">
        <v>18</v>
      </c>
      <c r="BV420" s="960" t="s">
        <v>52</v>
      </c>
      <c r="BW420" s="960" t="s">
        <v>19</v>
      </c>
      <c r="BX420" s="960" t="s">
        <v>315</v>
      </c>
      <c r="BY420" s="960" t="s">
        <v>17</v>
      </c>
      <c r="BZ420" s="960" t="s">
        <v>18</v>
      </c>
      <c r="CA420" s="960" t="s">
        <v>56</v>
      </c>
      <c r="CB420" s="960" t="s">
        <v>21</v>
      </c>
      <c r="CC420" s="1083" t="s">
        <v>57</v>
      </c>
      <c r="CD420" s="1082" t="s">
        <v>17</v>
      </c>
      <c r="CE420" s="960" t="s">
        <v>18</v>
      </c>
      <c r="CF420" s="960" t="s">
        <v>52</v>
      </c>
      <c r="CG420" s="960" t="s">
        <v>19</v>
      </c>
      <c r="CH420" s="960" t="s">
        <v>315</v>
      </c>
      <c r="CI420" s="960" t="s">
        <v>17</v>
      </c>
      <c r="CJ420" s="960" t="s">
        <v>18</v>
      </c>
      <c r="CK420" s="960" t="s">
        <v>56</v>
      </c>
      <c r="CL420" s="960" t="s">
        <v>21</v>
      </c>
      <c r="CM420" s="1083" t="s">
        <v>57</v>
      </c>
      <c r="CN420" s="1082" t="s">
        <v>17</v>
      </c>
      <c r="CO420" s="960" t="s">
        <v>18</v>
      </c>
      <c r="CP420" s="960" t="s">
        <v>52</v>
      </c>
      <c r="CQ420" s="960" t="s">
        <v>19</v>
      </c>
      <c r="CR420" s="960" t="s">
        <v>315</v>
      </c>
      <c r="CS420" s="960" t="s">
        <v>17</v>
      </c>
      <c r="CT420" s="960" t="s">
        <v>18</v>
      </c>
      <c r="CU420" s="960" t="s">
        <v>56</v>
      </c>
      <c r="CV420" s="960" t="s">
        <v>21</v>
      </c>
      <c r="CW420" s="1713" t="s">
        <v>57</v>
      </c>
      <c r="CX420" s="1717" t="s">
        <v>17</v>
      </c>
      <c r="CY420" s="1718" t="s">
        <v>18</v>
      </c>
      <c r="CZ420" s="1718" t="s">
        <v>52</v>
      </c>
      <c r="DA420" s="1718" t="s">
        <v>19</v>
      </c>
      <c r="DB420" s="1718" t="s">
        <v>315</v>
      </c>
      <c r="DC420" s="1718" t="s">
        <v>17</v>
      </c>
      <c r="DD420" s="1718" t="s">
        <v>18</v>
      </c>
      <c r="DE420" s="1718" t="s">
        <v>56</v>
      </c>
      <c r="DF420" s="1718" t="s">
        <v>21</v>
      </c>
      <c r="DG420" s="1719" t="s">
        <v>57</v>
      </c>
      <c r="DH420" s="1715" t="s">
        <v>17</v>
      </c>
      <c r="DI420" s="960" t="s">
        <v>18</v>
      </c>
      <c r="DJ420" s="960" t="s">
        <v>52</v>
      </c>
      <c r="DK420" s="960" t="s">
        <v>19</v>
      </c>
      <c r="DL420" s="960" t="s">
        <v>315</v>
      </c>
      <c r="DM420" s="960" t="s">
        <v>17</v>
      </c>
      <c r="DN420" s="960" t="s">
        <v>18</v>
      </c>
      <c r="DO420" s="960" t="s">
        <v>56</v>
      </c>
      <c r="DP420" s="960" t="s">
        <v>21</v>
      </c>
      <c r="DQ420" s="1083" t="s">
        <v>57</v>
      </c>
      <c r="DS420" s="1715" t="s">
        <v>17</v>
      </c>
      <c r="DT420" s="960" t="s">
        <v>18</v>
      </c>
      <c r="DU420" s="960" t="s">
        <v>52</v>
      </c>
      <c r="DV420" s="960" t="s">
        <v>19</v>
      </c>
      <c r="DW420" s="960" t="s">
        <v>315</v>
      </c>
      <c r="DX420" s="960" t="s">
        <v>17</v>
      </c>
      <c r="DY420" s="960" t="s">
        <v>18</v>
      </c>
      <c r="DZ420" s="960" t="s">
        <v>56</v>
      </c>
      <c r="EA420" s="960" t="s">
        <v>21</v>
      </c>
      <c r="EB420" s="1083" t="s">
        <v>57</v>
      </c>
    </row>
    <row r="421" spans="1:132">
      <c r="A421" s="2210" t="s">
        <v>6</v>
      </c>
      <c r="B421" s="1084">
        <v>324</v>
      </c>
      <c r="C421" s="957">
        <v>3</v>
      </c>
      <c r="D421" s="1046">
        <v>327</v>
      </c>
      <c r="E421" s="957">
        <v>1</v>
      </c>
      <c r="F421" s="958">
        <v>328</v>
      </c>
      <c r="G421" s="957">
        <v>92</v>
      </c>
      <c r="H421" s="957">
        <v>2</v>
      </c>
      <c r="I421" s="959">
        <v>94</v>
      </c>
      <c r="J421" s="957">
        <v>8</v>
      </c>
      <c r="K421" s="1085">
        <v>102</v>
      </c>
      <c r="L421" s="1084">
        <v>334</v>
      </c>
      <c r="M421" s="957">
        <v>2</v>
      </c>
      <c r="N421" s="1046">
        <v>336</v>
      </c>
      <c r="O421" s="957">
        <v>0</v>
      </c>
      <c r="P421" s="958">
        <v>336</v>
      </c>
      <c r="Q421" s="957">
        <v>96</v>
      </c>
      <c r="R421" s="957">
        <v>2</v>
      </c>
      <c r="S421" s="959">
        <v>98</v>
      </c>
      <c r="T421" s="957">
        <v>0</v>
      </c>
      <c r="U421" s="1085">
        <v>98</v>
      </c>
      <c r="V421" s="1084">
        <v>1134</v>
      </c>
      <c r="W421" s="1127">
        <v>0</v>
      </c>
      <c r="X421" s="1046">
        <v>1134</v>
      </c>
      <c r="Y421" s="1127">
        <v>0</v>
      </c>
      <c r="Z421" s="959">
        <v>1134</v>
      </c>
      <c r="AA421" s="1127">
        <v>240</v>
      </c>
      <c r="AB421" s="1127">
        <v>0</v>
      </c>
      <c r="AC421" s="959">
        <v>240</v>
      </c>
      <c r="AD421" s="1127">
        <v>0</v>
      </c>
      <c r="AE421" s="1085">
        <v>240</v>
      </c>
      <c r="AF421" s="1084">
        <v>860</v>
      </c>
      <c r="AG421" s="957">
        <v>2</v>
      </c>
      <c r="AH421" s="1046">
        <v>862</v>
      </c>
      <c r="AI421" s="957">
        <v>0</v>
      </c>
      <c r="AJ421" s="958">
        <v>862</v>
      </c>
      <c r="AK421" s="957">
        <v>226</v>
      </c>
      <c r="AL421" s="957">
        <v>0</v>
      </c>
      <c r="AM421" s="959">
        <v>226</v>
      </c>
      <c r="AN421" s="957">
        <v>0</v>
      </c>
      <c r="AO421" s="1085">
        <v>226</v>
      </c>
      <c r="AP421" s="1084">
        <v>947</v>
      </c>
      <c r="AQ421" s="957">
        <v>3</v>
      </c>
      <c r="AR421" s="1046">
        <v>950</v>
      </c>
      <c r="AS421" s="957">
        <v>0</v>
      </c>
      <c r="AT421" s="958">
        <v>950</v>
      </c>
      <c r="AU421" s="957">
        <v>252</v>
      </c>
      <c r="AV421" s="957">
        <v>0</v>
      </c>
      <c r="AW421" s="959">
        <v>252</v>
      </c>
      <c r="AX421" s="957">
        <v>0</v>
      </c>
      <c r="AY421" s="1085">
        <v>252</v>
      </c>
      <c r="AZ421" s="1084">
        <v>556</v>
      </c>
      <c r="BA421" s="957">
        <v>0</v>
      </c>
      <c r="BB421" s="1046">
        <v>556</v>
      </c>
      <c r="BC421" s="957">
        <v>0</v>
      </c>
      <c r="BD421" s="958">
        <v>556</v>
      </c>
      <c r="BE421" s="957">
        <v>150</v>
      </c>
      <c r="BF421" s="957">
        <v>0</v>
      </c>
      <c r="BG421" s="959">
        <v>150</v>
      </c>
      <c r="BH421" s="957">
        <v>0</v>
      </c>
      <c r="BI421" s="1085">
        <v>150</v>
      </c>
      <c r="BJ421" s="1084">
        <v>193</v>
      </c>
      <c r="BK421" s="957">
        <v>1</v>
      </c>
      <c r="BL421" s="1046">
        <v>194</v>
      </c>
      <c r="BM421" s="957">
        <v>2</v>
      </c>
      <c r="BN421" s="958">
        <v>196</v>
      </c>
      <c r="BO421" s="957">
        <v>111</v>
      </c>
      <c r="BP421" s="957">
        <v>0</v>
      </c>
      <c r="BQ421" s="959">
        <v>111</v>
      </c>
      <c r="BR421" s="957">
        <v>0</v>
      </c>
      <c r="BS421" s="1085">
        <v>111</v>
      </c>
      <c r="BT421" s="1084">
        <v>615</v>
      </c>
      <c r="BU421" s="957">
        <v>0</v>
      </c>
      <c r="BV421" s="1046">
        <v>615</v>
      </c>
      <c r="BW421" s="957">
        <v>0</v>
      </c>
      <c r="BX421" s="958">
        <v>615</v>
      </c>
      <c r="BY421" s="957">
        <v>187</v>
      </c>
      <c r="BZ421" s="957">
        <v>0</v>
      </c>
      <c r="CA421" s="959">
        <v>187</v>
      </c>
      <c r="CB421" s="957">
        <v>0</v>
      </c>
      <c r="CC421" s="1085">
        <v>187</v>
      </c>
      <c r="CD421" s="1084"/>
      <c r="CE421" s="957"/>
      <c r="CF421" s="1046"/>
      <c r="CG421" s="957"/>
      <c r="CH421" s="958"/>
      <c r="CI421" s="957"/>
      <c r="CJ421" s="957"/>
      <c r="CK421" s="959"/>
      <c r="CL421" s="957"/>
      <c r="CM421" s="1085"/>
      <c r="CN421" s="1084"/>
      <c r="CO421" s="957"/>
      <c r="CP421" s="1046"/>
      <c r="CQ421" s="957"/>
      <c r="CR421" s="958"/>
      <c r="CS421" s="957"/>
      <c r="CT421" s="957"/>
      <c r="CU421" s="959"/>
      <c r="CV421" s="957"/>
      <c r="CW421" s="1714"/>
      <c r="CX421" s="1720"/>
      <c r="CY421" s="957"/>
      <c r="CZ421" s="1046"/>
      <c r="DA421" s="957"/>
      <c r="DB421" s="958"/>
      <c r="DC421" s="957"/>
      <c r="DD421" s="957"/>
      <c r="DE421" s="959"/>
      <c r="DF421" s="957"/>
      <c r="DG421" s="1721"/>
      <c r="DH421" s="2328"/>
      <c r="DI421" s="957"/>
      <c r="DJ421" s="1046"/>
      <c r="DK421" s="957"/>
      <c r="DL421" s="958"/>
      <c r="DM421" s="957"/>
      <c r="DN421" s="957"/>
      <c r="DO421" s="959"/>
      <c r="DP421" s="957"/>
      <c r="DQ421" s="1085"/>
      <c r="DR421" s="77" t="s">
        <v>6</v>
      </c>
      <c r="DS421" s="1792">
        <f>B421+L421+V421+AF421+AP421+AZ421+BJ421+BT421+CD421+CN421+CX421+DH421</f>
        <v>4963</v>
      </c>
      <c r="DT421" s="957">
        <f t="shared" ref="DT421:DT430" si="21">C421+M421+W421+AG421+AQ421+BA421+BK421+BU421+CE421+CO421+CY421+DI421</f>
        <v>11</v>
      </c>
      <c r="DU421" s="1046">
        <f t="shared" ref="DU421:DU430" si="22">D421+N421+X421+AH421+AR421+BB421+BL421+BV421+CF421+CP421+CZ421+DJ421</f>
        <v>4974</v>
      </c>
      <c r="DV421" s="957">
        <f t="shared" ref="DV421:DV430" si="23">E421+O421+Y421+AI421+AS421+BC421+BM421+BW421+CG421+CQ421+DA421+DK421</f>
        <v>3</v>
      </c>
      <c r="DW421" s="958">
        <f t="shared" ref="DW421:DW429" si="24">F421+P421+Z421+AJ421+AT421+BD421+BN421+BX421+CH421+CR421+DB421+DL421</f>
        <v>4977</v>
      </c>
      <c r="DX421" s="957">
        <f t="shared" ref="DX421:DX430" si="25">G421+Q421+AA421+AK421+AU421+BE421+BO421+BY421+CI421+CS421+DC421+DM421</f>
        <v>1354</v>
      </c>
      <c r="DY421" s="957">
        <f t="shared" ref="DY421:DY430" si="26">H421+R421+AB421+AL421+AV421+BF421+BP421+BZ421+CJ421+CT421+DD421+DN421</f>
        <v>4</v>
      </c>
      <c r="DZ421" s="959">
        <f t="shared" ref="DZ421:DZ430" si="27">I421+S421+AC421+AM421+AW421+BG421+BQ421+CA421+CK421+CU421+DE421+DO421</f>
        <v>1358</v>
      </c>
      <c r="EA421" s="957">
        <f t="shared" ref="EA421:EA430" si="28">J421+T421+AD421+AN421+AX421+BH421+BR421+CB421+CL421+CV421+DF421+DP421</f>
        <v>8</v>
      </c>
      <c r="EB421" s="1085">
        <f t="shared" ref="EB421:EB430" si="29">K421+U421+AE421+AO421+AY421+BI421+BS421+CC421+CM421+CW421+DG421+DQ421</f>
        <v>1366</v>
      </c>
    </row>
    <row r="422" spans="1:132">
      <c r="A422" s="2210" t="s">
        <v>7</v>
      </c>
      <c r="B422" s="1084">
        <v>151</v>
      </c>
      <c r="C422" s="957">
        <v>126</v>
      </c>
      <c r="D422" s="1046">
        <v>277</v>
      </c>
      <c r="E422" s="957">
        <v>0</v>
      </c>
      <c r="F422" s="958">
        <v>277</v>
      </c>
      <c r="G422" s="957">
        <v>91</v>
      </c>
      <c r="H422" s="957">
        <v>1</v>
      </c>
      <c r="I422" s="959">
        <v>92</v>
      </c>
      <c r="J422" s="957">
        <v>0</v>
      </c>
      <c r="K422" s="1085">
        <v>92</v>
      </c>
      <c r="L422" s="1084">
        <v>172</v>
      </c>
      <c r="M422" s="957">
        <v>13</v>
      </c>
      <c r="N422" s="1046">
        <v>185</v>
      </c>
      <c r="O422" s="957">
        <v>0</v>
      </c>
      <c r="P422" s="958">
        <v>185</v>
      </c>
      <c r="Q422" s="957">
        <v>216</v>
      </c>
      <c r="R422" s="957">
        <v>1</v>
      </c>
      <c r="S422" s="959">
        <v>217</v>
      </c>
      <c r="T422" s="957">
        <v>0</v>
      </c>
      <c r="U422" s="1085">
        <v>217</v>
      </c>
      <c r="V422" s="2516">
        <v>156</v>
      </c>
      <c r="W422" s="2516">
        <v>9</v>
      </c>
      <c r="X422" s="2516">
        <v>165</v>
      </c>
      <c r="Y422" s="2516">
        <v>0</v>
      </c>
      <c r="Z422" s="2516">
        <v>165</v>
      </c>
      <c r="AA422" s="2491">
        <v>92</v>
      </c>
      <c r="AB422" s="2491">
        <v>0</v>
      </c>
      <c r="AC422" s="2491">
        <v>92</v>
      </c>
      <c r="AD422" s="2491">
        <v>0</v>
      </c>
      <c r="AE422" s="2491">
        <v>92</v>
      </c>
      <c r="AF422" s="1084">
        <v>136</v>
      </c>
      <c r="AG422" s="957">
        <v>6</v>
      </c>
      <c r="AH422" s="1046">
        <v>142</v>
      </c>
      <c r="AI422" s="957">
        <v>0</v>
      </c>
      <c r="AJ422" s="958">
        <v>142</v>
      </c>
      <c r="AK422" s="957">
        <v>61</v>
      </c>
      <c r="AL422" s="957">
        <v>1</v>
      </c>
      <c r="AM422" s="959">
        <v>62</v>
      </c>
      <c r="AN422" s="957">
        <v>0</v>
      </c>
      <c r="AO422" s="1085">
        <v>62</v>
      </c>
      <c r="AP422" s="1084">
        <v>173</v>
      </c>
      <c r="AQ422" s="957">
        <v>2</v>
      </c>
      <c r="AR422" s="1046">
        <v>175</v>
      </c>
      <c r="AS422" s="957">
        <v>0</v>
      </c>
      <c r="AT422" s="958">
        <v>175</v>
      </c>
      <c r="AU422" s="957">
        <v>57</v>
      </c>
      <c r="AV422" s="957">
        <v>3</v>
      </c>
      <c r="AW422" s="959">
        <v>60</v>
      </c>
      <c r="AX422" s="957">
        <v>0</v>
      </c>
      <c r="AY422" s="1085">
        <v>60</v>
      </c>
      <c r="AZ422" s="1084">
        <v>119</v>
      </c>
      <c r="BA422" s="957">
        <v>0</v>
      </c>
      <c r="BB422" s="1046">
        <v>119</v>
      </c>
      <c r="BC422" s="957">
        <v>0</v>
      </c>
      <c r="BD422" s="958">
        <v>119</v>
      </c>
      <c r="BE422" s="957">
        <v>75</v>
      </c>
      <c r="BF422" s="957">
        <v>1</v>
      </c>
      <c r="BG422" s="959">
        <v>76</v>
      </c>
      <c r="BH422" s="957">
        <v>0</v>
      </c>
      <c r="BI422" s="1085">
        <v>76</v>
      </c>
      <c r="BJ422" s="1084">
        <v>113</v>
      </c>
      <c r="BK422" s="957">
        <v>1</v>
      </c>
      <c r="BL422" s="1046">
        <v>114</v>
      </c>
      <c r="BM422" s="957">
        <v>0</v>
      </c>
      <c r="BN422" s="958">
        <v>114</v>
      </c>
      <c r="BO422" s="957">
        <v>91</v>
      </c>
      <c r="BP422" s="957">
        <v>1</v>
      </c>
      <c r="BQ422" s="959">
        <v>92</v>
      </c>
      <c r="BR422" s="957">
        <v>0</v>
      </c>
      <c r="BS422" s="1085">
        <v>92</v>
      </c>
      <c r="BT422" s="1084">
        <v>85</v>
      </c>
      <c r="BU422" s="957">
        <v>3</v>
      </c>
      <c r="BV422" s="1046">
        <v>88</v>
      </c>
      <c r="BW422" s="957"/>
      <c r="BX422" s="958">
        <v>88</v>
      </c>
      <c r="BY422" s="957">
        <v>35</v>
      </c>
      <c r="BZ422" s="957">
        <v>1</v>
      </c>
      <c r="CA422" s="959">
        <v>36</v>
      </c>
      <c r="CB422" s="957">
        <v>0</v>
      </c>
      <c r="CC422" s="1085">
        <v>36</v>
      </c>
      <c r="CD422" s="1084"/>
      <c r="CE422" s="957"/>
      <c r="CF422" s="1046"/>
      <c r="CG422" s="957"/>
      <c r="CH422" s="958"/>
      <c r="CI422" s="957"/>
      <c r="CJ422" s="957"/>
      <c r="CK422" s="959"/>
      <c r="CL422" s="957"/>
      <c r="CM422" s="1085"/>
      <c r="CN422" s="1084"/>
      <c r="CO422" s="957"/>
      <c r="CP422" s="1046"/>
      <c r="CQ422" s="957"/>
      <c r="CR422" s="958"/>
      <c r="CS422" s="957"/>
      <c r="CT422" s="957"/>
      <c r="CU422" s="959"/>
      <c r="CV422" s="957"/>
      <c r="CW422" s="1714"/>
      <c r="CX422" s="1720"/>
      <c r="CY422" s="957"/>
      <c r="CZ422" s="1046"/>
      <c r="DA422" s="957"/>
      <c r="DB422" s="958"/>
      <c r="DC422" s="957"/>
      <c r="DD422" s="957"/>
      <c r="DE422" s="959"/>
      <c r="DF422" s="957"/>
      <c r="DG422" s="1721"/>
      <c r="DH422" s="1716"/>
      <c r="DI422" s="957"/>
      <c r="DJ422" s="1046"/>
      <c r="DK422" s="957"/>
      <c r="DL422" s="958"/>
      <c r="DM422" s="957"/>
      <c r="DN422" s="957"/>
      <c r="DO422" s="959"/>
      <c r="DP422" s="957"/>
      <c r="DQ422" s="1085"/>
      <c r="DR422" s="77" t="s">
        <v>7</v>
      </c>
      <c r="DS422" s="1716">
        <f t="shared" ref="DS422:EB422" si="30">B422+L422+V423+AF422+AP422+AZ422+BJ422+BT422+CD422+CN422+CX422+DH422</f>
        <v>1099</v>
      </c>
      <c r="DT422" s="957">
        <f t="shared" si="30"/>
        <v>156</v>
      </c>
      <c r="DU422" s="1046">
        <f t="shared" si="30"/>
        <v>1255</v>
      </c>
      <c r="DV422" s="957">
        <f t="shared" si="30"/>
        <v>0</v>
      </c>
      <c r="DW422" s="958">
        <f t="shared" si="30"/>
        <v>1255</v>
      </c>
      <c r="DX422" s="957">
        <f t="shared" si="30"/>
        <v>668</v>
      </c>
      <c r="DY422" s="957">
        <f t="shared" si="30"/>
        <v>9</v>
      </c>
      <c r="DZ422" s="959">
        <f t="shared" si="30"/>
        <v>677</v>
      </c>
      <c r="EA422" s="957">
        <f t="shared" si="30"/>
        <v>0</v>
      </c>
      <c r="EB422" s="1085">
        <f t="shared" si="30"/>
        <v>677</v>
      </c>
    </row>
    <row r="423" spans="1:132">
      <c r="A423" s="2210" t="s">
        <v>8</v>
      </c>
      <c r="B423" s="1084">
        <v>101</v>
      </c>
      <c r="C423" s="957">
        <v>10</v>
      </c>
      <c r="D423" s="1046">
        <v>111</v>
      </c>
      <c r="E423" s="957">
        <v>1</v>
      </c>
      <c r="F423" s="958">
        <v>112</v>
      </c>
      <c r="G423" s="957">
        <v>43</v>
      </c>
      <c r="H423" s="957">
        <v>0</v>
      </c>
      <c r="I423" s="959">
        <v>43</v>
      </c>
      <c r="J423" s="957">
        <v>0</v>
      </c>
      <c r="K423" s="1085">
        <v>43</v>
      </c>
      <c r="L423" s="1084">
        <v>62</v>
      </c>
      <c r="M423" s="957">
        <v>4</v>
      </c>
      <c r="N423" s="1046">
        <v>66</v>
      </c>
      <c r="O423" s="957">
        <v>0</v>
      </c>
      <c r="P423" s="958">
        <v>66</v>
      </c>
      <c r="Q423" s="957">
        <v>34</v>
      </c>
      <c r="R423" s="957">
        <v>1</v>
      </c>
      <c r="S423" s="959">
        <v>35</v>
      </c>
      <c r="T423" s="957">
        <v>0</v>
      </c>
      <c r="U423" s="1085">
        <v>35</v>
      </c>
      <c r="V423" s="1084">
        <v>150</v>
      </c>
      <c r="W423" s="1127">
        <v>5</v>
      </c>
      <c r="X423" s="1046">
        <v>155</v>
      </c>
      <c r="Y423" s="1127">
        <v>0</v>
      </c>
      <c r="Z423" s="959">
        <v>155</v>
      </c>
      <c r="AA423" s="1127">
        <v>42</v>
      </c>
      <c r="AB423" s="1127">
        <v>0</v>
      </c>
      <c r="AC423" s="959">
        <v>42</v>
      </c>
      <c r="AD423" s="1127">
        <v>0</v>
      </c>
      <c r="AE423" s="1085">
        <v>42</v>
      </c>
      <c r="AF423" s="1084">
        <v>543</v>
      </c>
      <c r="AG423" s="957">
        <v>13</v>
      </c>
      <c r="AH423" s="1046">
        <v>556</v>
      </c>
      <c r="AI423" s="957">
        <v>2</v>
      </c>
      <c r="AJ423" s="958">
        <v>558</v>
      </c>
      <c r="AK423" s="957">
        <v>237</v>
      </c>
      <c r="AL423" s="957">
        <v>1</v>
      </c>
      <c r="AM423" s="959">
        <v>238</v>
      </c>
      <c r="AN423" s="957">
        <v>0</v>
      </c>
      <c r="AO423" s="1085">
        <v>238</v>
      </c>
      <c r="AP423" s="1084">
        <v>357</v>
      </c>
      <c r="AQ423" s="957">
        <v>50</v>
      </c>
      <c r="AR423" s="1046">
        <v>407</v>
      </c>
      <c r="AS423" s="957">
        <v>0</v>
      </c>
      <c r="AT423" s="958">
        <v>407</v>
      </c>
      <c r="AU423" s="957">
        <v>172</v>
      </c>
      <c r="AV423" s="957">
        <v>0</v>
      </c>
      <c r="AW423" s="959">
        <v>172</v>
      </c>
      <c r="AX423" s="957">
        <v>0</v>
      </c>
      <c r="AY423" s="1085">
        <v>172</v>
      </c>
      <c r="AZ423" s="1084">
        <v>158</v>
      </c>
      <c r="BA423" s="957">
        <v>17</v>
      </c>
      <c r="BB423" s="1046">
        <v>175</v>
      </c>
      <c r="BC423" s="957">
        <v>0</v>
      </c>
      <c r="BD423" s="958">
        <v>175</v>
      </c>
      <c r="BE423" s="957">
        <v>54</v>
      </c>
      <c r="BF423" s="957">
        <v>1</v>
      </c>
      <c r="BG423" s="959">
        <v>55</v>
      </c>
      <c r="BH423" s="957">
        <v>0</v>
      </c>
      <c r="BI423" s="1085">
        <v>55</v>
      </c>
      <c r="BJ423" s="1084">
        <v>76</v>
      </c>
      <c r="BK423" s="957">
        <v>0</v>
      </c>
      <c r="BL423" s="1046">
        <v>76</v>
      </c>
      <c r="BM423" s="957">
        <v>1</v>
      </c>
      <c r="BN423" s="958">
        <v>77</v>
      </c>
      <c r="BO423" s="957">
        <v>44</v>
      </c>
      <c r="BP423" s="957">
        <v>3</v>
      </c>
      <c r="BQ423" s="959">
        <v>47</v>
      </c>
      <c r="BR423" s="957">
        <v>0</v>
      </c>
      <c r="BS423" s="1085">
        <v>47</v>
      </c>
      <c r="BT423" s="1084">
        <v>88</v>
      </c>
      <c r="BU423" s="957">
        <v>15</v>
      </c>
      <c r="BV423" s="1046">
        <v>103</v>
      </c>
      <c r="BW423" s="957"/>
      <c r="BX423" s="958">
        <v>103</v>
      </c>
      <c r="BY423" s="957">
        <v>29</v>
      </c>
      <c r="BZ423" s="957">
        <v>0</v>
      </c>
      <c r="CA423" s="959">
        <v>29</v>
      </c>
      <c r="CB423" s="957">
        <v>0</v>
      </c>
      <c r="CC423" s="1085">
        <v>29</v>
      </c>
      <c r="CD423" s="1084"/>
      <c r="CE423" s="957"/>
      <c r="CF423" s="1046"/>
      <c r="CG423" s="957"/>
      <c r="CH423" s="958"/>
      <c r="CI423" s="957"/>
      <c r="CJ423" s="957"/>
      <c r="CK423" s="959"/>
      <c r="CL423" s="957"/>
      <c r="CM423" s="1085"/>
      <c r="CN423" s="1084"/>
      <c r="CO423" s="957"/>
      <c r="CP423" s="1046"/>
      <c r="CQ423" s="957"/>
      <c r="CR423" s="958"/>
      <c r="CS423" s="957"/>
      <c r="CT423" s="957"/>
      <c r="CU423" s="959"/>
      <c r="CV423" s="957"/>
      <c r="CW423" s="1714"/>
      <c r="CX423" s="1720"/>
      <c r="CY423" s="957"/>
      <c r="CZ423" s="1046"/>
      <c r="DA423" s="957"/>
      <c r="DB423" s="958"/>
      <c r="DC423" s="957"/>
      <c r="DD423" s="957"/>
      <c r="DE423" s="959"/>
      <c r="DF423" s="957"/>
      <c r="DG423" s="1721"/>
      <c r="DH423" s="1716"/>
      <c r="DI423" s="957"/>
      <c r="DJ423" s="1046"/>
      <c r="DK423" s="957"/>
      <c r="DL423" s="958"/>
      <c r="DM423" s="957"/>
      <c r="DN423" s="957"/>
      <c r="DO423" s="959"/>
      <c r="DP423" s="957"/>
      <c r="DQ423" s="1085"/>
      <c r="DR423" s="77" t="s">
        <v>8</v>
      </c>
      <c r="DS423" s="1716" t="e">
        <f>B423+L423+#REF!+AF423+AP423+AZ423+BJ423+BT423+CD423+CN423+CX423+DH423</f>
        <v>#REF!</v>
      </c>
      <c r="DT423" s="957" t="e">
        <f>C423+M423+#REF!+AG423+AQ423+BA423+BK423+BU423+CE423+CO423+CY423+DI423</f>
        <v>#REF!</v>
      </c>
      <c r="DU423" s="1046" t="e">
        <f>D423+N423+#REF!+AH423+AR423+BB423+BL423+BV423+CF423+CP423+CZ423+DJ423</f>
        <v>#REF!</v>
      </c>
      <c r="DV423" s="957" t="e">
        <f>E423+O423+#REF!+AI423+AS423+BC423+BM423+BW423+CG423+CQ423+DA423+DK423</f>
        <v>#REF!</v>
      </c>
      <c r="DW423" s="958" t="e">
        <f>F423+P423+#REF!+AJ423+AT423+BD423+BN423+BX423+CH423+CR423+DB423+DL423</f>
        <v>#REF!</v>
      </c>
      <c r="DX423" s="957" t="e">
        <f>G423+Q423+#REF!+AK423+AU423+BE423+BO423+BY423+CI423+CS423+DC423+DM423</f>
        <v>#REF!</v>
      </c>
      <c r="DY423" s="957" t="e">
        <f>H423+R423+#REF!+AL423+AV423+BF423+BP423+BZ423+CJ423+CT423+DD423+DN423</f>
        <v>#REF!</v>
      </c>
      <c r="DZ423" s="959" t="e">
        <f>I423+S423+#REF!+AM423+AW423+BG423+BQ423+CA423+CK423+CU423+DE423+DO423</f>
        <v>#REF!</v>
      </c>
      <c r="EA423" s="957" t="e">
        <f>J423+T423+#REF!+AN423+AX423+BH423+BR423+CB423+CL423+CV423+DF423+DP423</f>
        <v>#REF!</v>
      </c>
      <c r="EB423" s="1085" t="e">
        <f>K423+U423+#REF!+AO423+AY423+BI423+BS423+CC423+CM423+CW423+DG423+DQ423</f>
        <v>#REF!</v>
      </c>
    </row>
    <row r="424" spans="1:132">
      <c r="A424" s="2210" t="s">
        <v>125</v>
      </c>
      <c r="B424" s="1084">
        <v>493</v>
      </c>
      <c r="C424" s="957">
        <v>1</v>
      </c>
      <c r="D424" s="1046">
        <v>494</v>
      </c>
      <c r="E424" s="957">
        <v>0</v>
      </c>
      <c r="F424" s="958">
        <v>494</v>
      </c>
      <c r="G424" s="957">
        <v>279</v>
      </c>
      <c r="H424" s="957">
        <v>3</v>
      </c>
      <c r="I424" s="959">
        <v>282</v>
      </c>
      <c r="J424" s="957">
        <v>0</v>
      </c>
      <c r="K424" s="1085">
        <v>282</v>
      </c>
      <c r="L424" s="1084">
        <v>239</v>
      </c>
      <c r="M424" s="957">
        <v>6</v>
      </c>
      <c r="N424" s="1046">
        <v>245</v>
      </c>
      <c r="O424" s="957">
        <v>0</v>
      </c>
      <c r="P424" s="958">
        <v>245</v>
      </c>
      <c r="Q424" s="957">
        <v>146</v>
      </c>
      <c r="R424" s="957">
        <v>7</v>
      </c>
      <c r="S424" s="959">
        <v>153</v>
      </c>
      <c r="T424" s="957">
        <v>0</v>
      </c>
      <c r="U424" s="1085">
        <v>153</v>
      </c>
      <c r="V424" s="1084">
        <v>316</v>
      </c>
      <c r="W424" s="1127">
        <v>1</v>
      </c>
      <c r="X424" s="1046">
        <v>317</v>
      </c>
      <c r="Y424" s="1127">
        <v>1</v>
      </c>
      <c r="Z424" s="959">
        <v>318</v>
      </c>
      <c r="AA424" s="1127">
        <v>393</v>
      </c>
      <c r="AB424" s="1127">
        <v>5</v>
      </c>
      <c r="AC424" s="959">
        <v>398</v>
      </c>
      <c r="AD424" s="1127">
        <v>0</v>
      </c>
      <c r="AE424" s="1085">
        <v>398</v>
      </c>
      <c r="AF424" s="1084">
        <v>343</v>
      </c>
      <c r="AG424" s="957">
        <v>13</v>
      </c>
      <c r="AH424" s="1046">
        <v>356</v>
      </c>
      <c r="AI424" s="957">
        <v>1</v>
      </c>
      <c r="AJ424" s="958">
        <v>357</v>
      </c>
      <c r="AK424" s="957">
        <v>283</v>
      </c>
      <c r="AL424" s="957">
        <v>5</v>
      </c>
      <c r="AM424" s="959">
        <v>288</v>
      </c>
      <c r="AN424" s="957">
        <v>0</v>
      </c>
      <c r="AO424" s="1085">
        <v>288</v>
      </c>
      <c r="AP424" s="1084">
        <v>624</v>
      </c>
      <c r="AQ424" s="957">
        <v>8</v>
      </c>
      <c r="AR424" s="1046">
        <v>632</v>
      </c>
      <c r="AS424" s="957">
        <v>2</v>
      </c>
      <c r="AT424" s="958">
        <v>634</v>
      </c>
      <c r="AU424" s="957">
        <v>230</v>
      </c>
      <c r="AV424" s="957">
        <v>1</v>
      </c>
      <c r="AW424" s="959">
        <v>231</v>
      </c>
      <c r="AX424" s="957">
        <v>0</v>
      </c>
      <c r="AY424" s="1085">
        <v>231</v>
      </c>
      <c r="AZ424" s="1084">
        <v>307</v>
      </c>
      <c r="BA424" s="957">
        <v>1</v>
      </c>
      <c r="BB424" s="1046">
        <v>308</v>
      </c>
      <c r="BC424" s="957">
        <v>0</v>
      </c>
      <c r="BD424" s="958">
        <v>308</v>
      </c>
      <c r="BE424" s="957">
        <v>251</v>
      </c>
      <c r="BF424" s="957">
        <v>1</v>
      </c>
      <c r="BG424" s="959">
        <v>252</v>
      </c>
      <c r="BH424" s="957">
        <v>0</v>
      </c>
      <c r="BI424" s="1085">
        <v>252</v>
      </c>
      <c r="BJ424" s="1084">
        <v>264</v>
      </c>
      <c r="BK424" s="957">
        <v>10</v>
      </c>
      <c r="BL424" s="1046">
        <v>274</v>
      </c>
      <c r="BM424" s="957">
        <v>1</v>
      </c>
      <c r="BN424" s="958">
        <v>275</v>
      </c>
      <c r="BO424" s="957">
        <v>182</v>
      </c>
      <c r="BP424" s="957">
        <v>2</v>
      </c>
      <c r="BQ424" s="959">
        <v>184</v>
      </c>
      <c r="BR424" s="957">
        <v>0</v>
      </c>
      <c r="BS424" s="1085">
        <v>184</v>
      </c>
      <c r="BT424" s="1084">
        <v>280</v>
      </c>
      <c r="BU424" s="957">
        <v>1</v>
      </c>
      <c r="BV424" s="1046">
        <v>281</v>
      </c>
      <c r="BW424" s="957">
        <v>2</v>
      </c>
      <c r="BX424" s="958">
        <v>283</v>
      </c>
      <c r="BY424" s="957">
        <v>98</v>
      </c>
      <c r="BZ424" s="957">
        <v>3</v>
      </c>
      <c r="CA424" s="959">
        <v>101</v>
      </c>
      <c r="CB424" s="957">
        <v>0</v>
      </c>
      <c r="CC424" s="1085">
        <v>101</v>
      </c>
      <c r="CD424" s="1084"/>
      <c r="CE424" s="957"/>
      <c r="CF424" s="1046"/>
      <c r="CG424" s="957"/>
      <c r="CH424" s="958"/>
      <c r="CI424" s="957"/>
      <c r="CJ424" s="957"/>
      <c r="CK424" s="959"/>
      <c r="CL424" s="957"/>
      <c r="CM424" s="1085"/>
      <c r="CN424" s="1084"/>
      <c r="CO424" s="957"/>
      <c r="CP424" s="1046"/>
      <c r="CQ424" s="957"/>
      <c r="CR424" s="958"/>
      <c r="CS424" s="957"/>
      <c r="CT424" s="957"/>
      <c r="CU424" s="959"/>
      <c r="CV424" s="957"/>
      <c r="CW424" s="1714"/>
      <c r="CX424" s="1720"/>
      <c r="CY424" s="957"/>
      <c r="CZ424" s="1046"/>
      <c r="DA424" s="957"/>
      <c r="DB424" s="958"/>
      <c r="DC424" s="957"/>
      <c r="DD424" s="957"/>
      <c r="DE424" s="959"/>
      <c r="DF424" s="957"/>
      <c r="DG424" s="1721"/>
      <c r="DH424" s="1716"/>
      <c r="DI424" s="957"/>
      <c r="DJ424" s="1046"/>
      <c r="DK424" s="957"/>
      <c r="DL424" s="958"/>
      <c r="DM424" s="957"/>
      <c r="DN424" s="957"/>
      <c r="DO424" s="959"/>
      <c r="DP424" s="957"/>
      <c r="DQ424" s="1085"/>
      <c r="DR424" s="77" t="s">
        <v>125</v>
      </c>
      <c r="DS424" s="1716">
        <f t="shared" ref="DS424:DS430" si="31">B424+L424+V424+AF424+AP424+AZ424+BJ424+BT424+CD424+CN424+CX424+DH424</f>
        <v>2866</v>
      </c>
      <c r="DT424" s="957">
        <f t="shared" si="21"/>
        <v>41</v>
      </c>
      <c r="DU424" s="1046">
        <f t="shared" si="22"/>
        <v>2907</v>
      </c>
      <c r="DV424" s="957">
        <f t="shared" si="23"/>
        <v>7</v>
      </c>
      <c r="DW424" s="958">
        <f t="shared" si="24"/>
        <v>2914</v>
      </c>
      <c r="DX424" s="957">
        <f t="shared" si="25"/>
        <v>1862</v>
      </c>
      <c r="DY424" s="957">
        <f t="shared" si="26"/>
        <v>27</v>
      </c>
      <c r="DZ424" s="959">
        <f t="shared" si="27"/>
        <v>1889</v>
      </c>
      <c r="EA424" s="957">
        <f t="shared" si="28"/>
        <v>0</v>
      </c>
      <c r="EB424" s="1085">
        <f t="shared" si="29"/>
        <v>1889</v>
      </c>
    </row>
    <row r="425" spans="1:132">
      <c r="A425" s="2210" t="s">
        <v>3</v>
      </c>
      <c r="B425" s="1084">
        <v>99</v>
      </c>
      <c r="C425" s="957">
        <v>14</v>
      </c>
      <c r="D425" s="1046">
        <v>113</v>
      </c>
      <c r="E425" s="957">
        <v>0</v>
      </c>
      <c r="F425" s="958">
        <v>113</v>
      </c>
      <c r="G425" s="957">
        <v>27</v>
      </c>
      <c r="H425" s="957">
        <v>0</v>
      </c>
      <c r="I425" s="959">
        <v>27</v>
      </c>
      <c r="J425" s="957">
        <v>0</v>
      </c>
      <c r="K425" s="1085">
        <v>27</v>
      </c>
      <c r="L425" s="1084">
        <v>28</v>
      </c>
      <c r="M425" s="957">
        <v>5</v>
      </c>
      <c r="N425" s="1046">
        <v>33</v>
      </c>
      <c r="O425" s="957">
        <v>1</v>
      </c>
      <c r="P425" s="958">
        <v>34</v>
      </c>
      <c r="Q425" s="957">
        <v>6</v>
      </c>
      <c r="R425" s="957">
        <v>0</v>
      </c>
      <c r="S425" s="959">
        <v>6</v>
      </c>
      <c r="T425" s="957">
        <v>0</v>
      </c>
      <c r="U425" s="1085">
        <v>6</v>
      </c>
      <c r="V425" s="2468">
        <v>60</v>
      </c>
      <c r="W425" s="2469">
        <v>9</v>
      </c>
      <c r="X425" s="2470">
        <v>69</v>
      </c>
      <c r="Y425" s="2469">
        <v>1</v>
      </c>
      <c r="Z425" s="2471">
        <v>70</v>
      </c>
      <c r="AA425" s="2469">
        <v>29</v>
      </c>
      <c r="AB425" s="2469">
        <v>1</v>
      </c>
      <c r="AC425" s="2471">
        <v>30</v>
      </c>
      <c r="AD425" s="2469">
        <v>0</v>
      </c>
      <c r="AE425" s="2472">
        <v>30</v>
      </c>
      <c r="AF425" s="1084">
        <v>25</v>
      </c>
      <c r="AG425" s="957">
        <v>2</v>
      </c>
      <c r="AH425" s="1046">
        <v>27</v>
      </c>
      <c r="AI425" s="957">
        <v>0</v>
      </c>
      <c r="AJ425" s="958">
        <v>27</v>
      </c>
      <c r="AK425" s="957">
        <v>10</v>
      </c>
      <c r="AL425" s="957">
        <v>1</v>
      </c>
      <c r="AM425" s="959">
        <v>11</v>
      </c>
      <c r="AN425" s="957">
        <v>0</v>
      </c>
      <c r="AO425" s="1085">
        <v>11</v>
      </c>
      <c r="AP425" s="1084">
        <v>66</v>
      </c>
      <c r="AQ425" s="957">
        <v>1</v>
      </c>
      <c r="AR425" s="1046">
        <v>67</v>
      </c>
      <c r="AS425" s="957">
        <v>14</v>
      </c>
      <c r="AT425" s="958">
        <v>81</v>
      </c>
      <c r="AU425" s="957">
        <v>45</v>
      </c>
      <c r="AV425" s="957">
        <v>0</v>
      </c>
      <c r="AW425" s="959">
        <v>45</v>
      </c>
      <c r="AX425" s="957">
        <v>0</v>
      </c>
      <c r="AY425" s="1085">
        <v>45</v>
      </c>
      <c r="AZ425" s="1084">
        <v>27</v>
      </c>
      <c r="BA425" s="957">
        <v>12</v>
      </c>
      <c r="BB425" s="1046">
        <v>39</v>
      </c>
      <c r="BC425" s="957">
        <v>0</v>
      </c>
      <c r="BD425" s="958">
        <v>39</v>
      </c>
      <c r="BE425" s="957">
        <v>15</v>
      </c>
      <c r="BF425" s="957">
        <v>0</v>
      </c>
      <c r="BG425" s="959">
        <v>15</v>
      </c>
      <c r="BH425" s="957"/>
      <c r="BI425" s="1085">
        <v>15</v>
      </c>
      <c r="BJ425" s="1084">
        <v>19</v>
      </c>
      <c r="BK425" s="957">
        <v>7</v>
      </c>
      <c r="BL425" s="1046">
        <v>26</v>
      </c>
      <c r="BM425" s="957">
        <v>0</v>
      </c>
      <c r="BN425" s="958">
        <v>26</v>
      </c>
      <c r="BO425" s="957">
        <v>10</v>
      </c>
      <c r="BP425" s="957">
        <v>0</v>
      </c>
      <c r="BQ425" s="959">
        <v>10</v>
      </c>
      <c r="BR425" s="957">
        <v>0</v>
      </c>
      <c r="BS425" s="1085">
        <v>10</v>
      </c>
      <c r="BT425" s="1084">
        <v>26</v>
      </c>
      <c r="BU425" s="957">
        <v>0</v>
      </c>
      <c r="BV425" s="1046">
        <v>26</v>
      </c>
      <c r="BW425" s="957">
        <v>2</v>
      </c>
      <c r="BX425" s="958">
        <v>27</v>
      </c>
      <c r="BY425" s="957">
        <v>12</v>
      </c>
      <c r="BZ425" s="957">
        <v>0</v>
      </c>
      <c r="CA425" s="959">
        <v>12</v>
      </c>
      <c r="CB425" s="957">
        <v>0</v>
      </c>
      <c r="CC425" s="1085">
        <v>12</v>
      </c>
      <c r="CD425" s="1084"/>
      <c r="CE425" s="957"/>
      <c r="CF425" s="1046"/>
      <c r="CG425" s="957"/>
      <c r="CH425" s="958"/>
      <c r="CI425" s="957"/>
      <c r="CJ425" s="957"/>
      <c r="CK425" s="959"/>
      <c r="CL425" s="957"/>
      <c r="CM425" s="1085"/>
      <c r="CN425" s="1084"/>
      <c r="CO425" s="957"/>
      <c r="CP425" s="1046"/>
      <c r="CQ425" s="957"/>
      <c r="CR425" s="958"/>
      <c r="CS425" s="957"/>
      <c r="CT425" s="957"/>
      <c r="CU425" s="959"/>
      <c r="CV425" s="957"/>
      <c r="CW425" s="1714"/>
      <c r="CX425" s="1720"/>
      <c r="CY425" s="957"/>
      <c r="CZ425" s="1046"/>
      <c r="DA425" s="957"/>
      <c r="DB425" s="958"/>
      <c r="DC425" s="957"/>
      <c r="DD425" s="957"/>
      <c r="DE425" s="959"/>
      <c r="DF425" s="957"/>
      <c r="DG425" s="1721"/>
      <c r="DH425" s="1716"/>
      <c r="DI425" s="957"/>
      <c r="DJ425" s="1046"/>
      <c r="DK425" s="957"/>
      <c r="DL425" s="958"/>
      <c r="DM425" s="957"/>
      <c r="DN425" s="957"/>
      <c r="DO425" s="959"/>
      <c r="DP425" s="957"/>
      <c r="DQ425" s="1085"/>
      <c r="DR425" s="77" t="s">
        <v>3</v>
      </c>
      <c r="DS425" s="1716">
        <f t="shared" si="31"/>
        <v>350</v>
      </c>
      <c r="DT425" s="957">
        <f t="shared" si="21"/>
        <v>50</v>
      </c>
      <c r="DU425" s="1046">
        <f t="shared" si="22"/>
        <v>400</v>
      </c>
      <c r="DV425" s="957">
        <f t="shared" si="23"/>
        <v>18</v>
      </c>
      <c r="DW425" s="958">
        <f>F425+P425+Z425+AJ425+AT425+BD425+BN425+BX425+CH425+CR425+DB425+DL425</f>
        <v>417</v>
      </c>
      <c r="DX425" s="957">
        <f t="shared" si="25"/>
        <v>154</v>
      </c>
      <c r="DY425" s="957">
        <f t="shared" si="26"/>
        <v>2</v>
      </c>
      <c r="DZ425" s="959">
        <f t="shared" si="27"/>
        <v>156</v>
      </c>
      <c r="EA425" s="957">
        <f t="shared" si="28"/>
        <v>0</v>
      </c>
      <c r="EB425" s="1085">
        <f t="shared" si="29"/>
        <v>156</v>
      </c>
    </row>
    <row r="426" spans="1:132">
      <c r="A426" s="2210" t="s">
        <v>397</v>
      </c>
      <c r="B426" s="1084">
        <v>103</v>
      </c>
      <c r="C426" s="957">
        <v>0</v>
      </c>
      <c r="D426" s="1046">
        <v>103</v>
      </c>
      <c r="E426" s="957"/>
      <c r="F426" s="958">
        <v>103</v>
      </c>
      <c r="G426" s="957">
        <v>19</v>
      </c>
      <c r="H426" s="957">
        <v>0</v>
      </c>
      <c r="I426" s="959">
        <v>19</v>
      </c>
      <c r="J426" s="957">
        <v>0</v>
      </c>
      <c r="K426" s="1085">
        <v>19</v>
      </c>
      <c r="L426" s="1084">
        <v>126</v>
      </c>
      <c r="M426" s="957">
        <v>4</v>
      </c>
      <c r="N426" s="1046">
        <v>130</v>
      </c>
      <c r="O426" s="957">
        <v>1</v>
      </c>
      <c r="P426" s="958">
        <v>131</v>
      </c>
      <c r="Q426" s="957">
        <v>12</v>
      </c>
      <c r="R426" s="957">
        <v>0</v>
      </c>
      <c r="S426" s="959">
        <v>12</v>
      </c>
      <c r="T426" s="957">
        <v>0</v>
      </c>
      <c r="U426" s="1085">
        <v>12</v>
      </c>
      <c r="V426" s="1084">
        <v>75</v>
      </c>
      <c r="W426" s="1127">
        <v>5</v>
      </c>
      <c r="X426" s="1046">
        <v>80</v>
      </c>
      <c r="Y426" s="1127">
        <v>0</v>
      </c>
      <c r="Z426" s="959">
        <v>80</v>
      </c>
      <c r="AA426" s="1127">
        <v>10</v>
      </c>
      <c r="AB426" s="1127">
        <v>1</v>
      </c>
      <c r="AC426" s="959">
        <v>11</v>
      </c>
      <c r="AD426" s="1127">
        <v>0</v>
      </c>
      <c r="AE426" s="1085">
        <v>11</v>
      </c>
      <c r="AF426" s="1084">
        <v>131</v>
      </c>
      <c r="AG426" s="957">
        <v>0</v>
      </c>
      <c r="AH426" s="1046">
        <v>131</v>
      </c>
      <c r="AI426" s="957">
        <v>0</v>
      </c>
      <c r="AJ426" s="958">
        <v>131</v>
      </c>
      <c r="AK426" s="957">
        <v>12</v>
      </c>
      <c r="AL426" s="957">
        <v>0</v>
      </c>
      <c r="AM426" s="959">
        <v>12</v>
      </c>
      <c r="AN426" s="957">
        <v>0</v>
      </c>
      <c r="AO426" s="1085">
        <v>12</v>
      </c>
      <c r="AP426" s="1084">
        <v>251</v>
      </c>
      <c r="AQ426" s="957">
        <v>90</v>
      </c>
      <c r="AR426" s="1046">
        <v>341</v>
      </c>
      <c r="AS426" s="957">
        <v>1</v>
      </c>
      <c r="AT426" s="958">
        <v>342</v>
      </c>
      <c r="AU426" s="957">
        <v>43</v>
      </c>
      <c r="AV426" s="957">
        <v>1</v>
      </c>
      <c r="AW426" s="959">
        <v>44</v>
      </c>
      <c r="AX426" s="957">
        <v>0</v>
      </c>
      <c r="AY426" s="1085">
        <v>44</v>
      </c>
      <c r="AZ426" s="1084">
        <v>752</v>
      </c>
      <c r="BA426" s="957">
        <v>0</v>
      </c>
      <c r="BB426" s="1046">
        <v>752</v>
      </c>
      <c r="BC426" s="957">
        <v>0</v>
      </c>
      <c r="BD426" s="958">
        <v>752</v>
      </c>
      <c r="BE426" s="957">
        <v>32</v>
      </c>
      <c r="BF426" s="957">
        <v>0</v>
      </c>
      <c r="BG426" s="959">
        <v>32</v>
      </c>
      <c r="BH426" s="957">
        <v>0</v>
      </c>
      <c r="BI426" s="1085">
        <v>32</v>
      </c>
      <c r="BJ426" s="1084">
        <v>183</v>
      </c>
      <c r="BK426" s="957">
        <v>0</v>
      </c>
      <c r="BL426" s="1046">
        <v>183</v>
      </c>
      <c r="BM426" s="957">
        <v>0</v>
      </c>
      <c r="BN426" s="958">
        <v>183</v>
      </c>
      <c r="BO426" s="957">
        <v>33</v>
      </c>
      <c r="BP426" s="957">
        <v>0</v>
      </c>
      <c r="BQ426" s="959">
        <v>33</v>
      </c>
      <c r="BR426" s="957">
        <v>0</v>
      </c>
      <c r="BS426" s="1085">
        <v>33</v>
      </c>
      <c r="BT426" s="1084">
        <v>113</v>
      </c>
      <c r="BU426" s="957">
        <v>0</v>
      </c>
      <c r="BV426" s="1046">
        <v>113</v>
      </c>
      <c r="BW426" s="957">
        <v>0</v>
      </c>
      <c r="BX426" s="958">
        <v>113</v>
      </c>
      <c r="BY426" s="957">
        <v>47</v>
      </c>
      <c r="BZ426" s="957">
        <v>0</v>
      </c>
      <c r="CA426" s="959">
        <v>47</v>
      </c>
      <c r="CB426" s="957">
        <v>0</v>
      </c>
      <c r="CC426" s="1085">
        <v>47</v>
      </c>
      <c r="CD426" s="1084"/>
      <c r="CE426" s="957"/>
      <c r="CF426" s="1046"/>
      <c r="CG426" s="957"/>
      <c r="CH426" s="958"/>
      <c r="CI426" s="957"/>
      <c r="CJ426" s="957"/>
      <c r="CK426" s="959"/>
      <c r="CL426" s="957"/>
      <c r="CM426" s="1085"/>
      <c r="CN426" s="1084"/>
      <c r="CO426" s="957"/>
      <c r="CP426" s="1046"/>
      <c r="CQ426" s="957"/>
      <c r="CR426" s="958"/>
      <c r="CS426" s="957"/>
      <c r="CT426" s="957"/>
      <c r="CU426" s="959"/>
      <c r="CV426" s="957"/>
      <c r="CW426" s="1714"/>
      <c r="CX426" s="1720"/>
      <c r="CY426" s="957"/>
      <c r="CZ426" s="1046"/>
      <c r="DA426" s="957"/>
      <c r="DB426" s="958"/>
      <c r="DC426" s="957"/>
      <c r="DD426" s="957"/>
      <c r="DE426" s="959"/>
      <c r="DF426" s="957"/>
      <c r="DG426" s="1721"/>
      <c r="DH426" s="1716"/>
      <c r="DI426" s="957"/>
      <c r="DJ426" s="1046"/>
      <c r="DK426" s="957"/>
      <c r="DL426" s="958"/>
      <c r="DM426" s="957"/>
      <c r="DN426" s="957"/>
      <c r="DO426" s="959"/>
      <c r="DP426" s="957"/>
      <c r="DQ426" s="1085"/>
      <c r="DR426" s="77" t="s">
        <v>397</v>
      </c>
      <c r="DS426" s="1716">
        <f>B426+L426+V426+AF426+AP426+AZ426+BJ426+BT426+CD426+CN426+CX426+DH426</f>
        <v>1734</v>
      </c>
      <c r="DT426" s="957">
        <f t="shared" si="21"/>
        <v>99</v>
      </c>
      <c r="DU426" s="1046">
        <f t="shared" si="22"/>
        <v>1833</v>
      </c>
      <c r="DV426" s="957">
        <f t="shared" si="23"/>
        <v>2</v>
      </c>
      <c r="DW426" s="958">
        <f t="shared" si="24"/>
        <v>1835</v>
      </c>
      <c r="DX426" s="957">
        <f t="shared" si="25"/>
        <v>208</v>
      </c>
      <c r="DY426" s="957">
        <f t="shared" si="26"/>
        <v>2</v>
      </c>
      <c r="DZ426" s="959">
        <f t="shared" si="27"/>
        <v>210</v>
      </c>
      <c r="EA426" s="957">
        <f t="shared" si="28"/>
        <v>0</v>
      </c>
      <c r="EB426" s="1085">
        <f t="shared" si="29"/>
        <v>210</v>
      </c>
    </row>
    <row r="427" spans="1:132">
      <c r="A427" s="2210" t="s">
        <v>399</v>
      </c>
      <c r="B427" s="1084">
        <v>287</v>
      </c>
      <c r="C427" s="957">
        <v>0</v>
      </c>
      <c r="D427" s="1046">
        <v>287</v>
      </c>
      <c r="E427" s="957">
        <v>0</v>
      </c>
      <c r="F427" s="958">
        <v>287</v>
      </c>
      <c r="G427" s="957">
        <v>27</v>
      </c>
      <c r="H427" s="957">
        <v>0</v>
      </c>
      <c r="I427" s="959">
        <v>27</v>
      </c>
      <c r="J427" s="957">
        <v>0</v>
      </c>
      <c r="K427" s="1085">
        <v>27</v>
      </c>
      <c r="L427" s="1084">
        <v>62</v>
      </c>
      <c r="M427" s="957">
        <v>1</v>
      </c>
      <c r="N427" s="1046">
        <v>63</v>
      </c>
      <c r="O427" s="957">
        <v>0</v>
      </c>
      <c r="P427" s="958">
        <v>63</v>
      </c>
      <c r="Q427" s="957">
        <v>22</v>
      </c>
      <c r="R427" s="957">
        <v>0</v>
      </c>
      <c r="S427" s="959">
        <v>22</v>
      </c>
      <c r="T427" s="957">
        <v>0</v>
      </c>
      <c r="U427" s="1085">
        <v>22</v>
      </c>
      <c r="V427" s="1084">
        <v>200</v>
      </c>
      <c r="W427" s="1127">
        <v>0</v>
      </c>
      <c r="X427" s="1046">
        <v>200</v>
      </c>
      <c r="Y427" s="1127">
        <v>0</v>
      </c>
      <c r="Z427" s="959">
        <v>200</v>
      </c>
      <c r="AA427" s="1127">
        <v>51</v>
      </c>
      <c r="AB427" s="1127">
        <v>0</v>
      </c>
      <c r="AC427" s="959">
        <v>51</v>
      </c>
      <c r="AD427" s="1127">
        <v>0</v>
      </c>
      <c r="AE427" s="1085">
        <v>51</v>
      </c>
      <c r="AF427" s="1084">
        <v>219</v>
      </c>
      <c r="AG427" s="957">
        <v>2</v>
      </c>
      <c r="AH427" s="1046">
        <v>221</v>
      </c>
      <c r="AI427" s="957">
        <v>0</v>
      </c>
      <c r="AJ427" s="958">
        <v>221</v>
      </c>
      <c r="AK427" s="957">
        <v>40</v>
      </c>
      <c r="AL427" s="957">
        <v>0</v>
      </c>
      <c r="AM427" s="959">
        <v>40</v>
      </c>
      <c r="AN427" s="957">
        <v>0</v>
      </c>
      <c r="AO427" s="1085">
        <v>40</v>
      </c>
      <c r="AP427" s="1084">
        <v>369</v>
      </c>
      <c r="AQ427" s="957">
        <v>19</v>
      </c>
      <c r="AR427" s="1046">
        <v>388</v>
      </c>
      <c r="AS427" s="957">
        <v>0</v>
      </c>
      <c r="AT427" s="958">
        <v>388</v>
      </c>
      <c r="AU427" s="957">
        <v>79</v>
      </c>
      <c r="AV427" s="957">
        <v>1</v>
      </c>
      <c r="AW427" s="959">
        <v>80</v>
      </c>
      <c r="AX427" s="957">
        <v>0</v>
      </c>
      <c r="AY427" s="1085">
        <v>80</v>
      </c>
      <c r="AZ427" s="1084">
        <v>262</v>
      </c>
      <c r="BA427" s="957">
        <v>0</v>
      </c>
      <c r="BB427" s="1046">
        <v>262</v>
      </c>
      <c r="BC427" s="957"/>
      <c r="BD427" s="958">
        <v>262</v>
      </c>
      <c r="BE427" s="957">
        <v>69</v>
      </c>
      <c r="BF427" s="957">
        <v>0</v>
      </c>
      <c r="BG427" s="959">
        <v>69</v>
      </c>
      <c r="BH427" s="957">
        <v>0</v>
      </c>
      <c r="BI427" s="1085">
        <v>69</v>
      </c>
      <c r="BJ427" s="1084">
        <v>65</v>
      </c>
      <c r="BK427" s="957">
        <v>0</v>
      </c>
      <c r="BL427" s="1046">
        <v>65</v>
      </c>
      <c r="BM427" s="957">
        <v>0</v>
      </c>
      <c r="BN427" s="958">
        <v>65</v>
      </c>
      <c r="BO427" s="957">
        <v>34</v>
      </c>
      <c r="BP427" s="957">
        <v>0</v>
      </c>
      <c r="BQ427" s="959">
        <v>34</v>
      </c>
      <c r="BR427" s="957">
        <v>0</v>
      </c>
      <c r="BS427" s="1085">
        <v>34</v>
      </c>
      <c r="BT427" s="1084">
        <v>111</v>
      </c>
      <c r="BU427" s="957">
        <v>8</v>
      </c>
      <c r="BV427" s="1046">
        <v>119</v>
      </c>
      <c r="BW427" s="957">
        <v>0</v>
      </c>
      <c r="BX427" s="958">
        <v>119</v>
      </c>
      <c r="BY427" s="957">
        <v>28</v>
      </c>
      <c r="BZ427" s="957">
        <v>0</v>
      </c>
      <c r="CA427" s="959">
        <v>28</v>
      </c>
      <c r="CB427" s="957">
        <v>0</v>
      </c>
      <c r="CC427" s="1085">
        <v>28</v>
      </c>
      <c r="CD427" s="1084"/>
      <c r="CE427" s="957"/>
      <c r="CF427" s="1046"/>
      <c r="CG427" s="957"/>
      <c r="CH427" s="958"/>
      <c r="CI427" s="957"/>
      <c r="CJ427" s="957"/>
      <c r="CK427" s="959"/>
      <c r="CL427" s="957"/>
      <c r="CM427" s="1085"/>
      <c r="CN427" s="1084"/>
      <c r="CO427" s="957"/>
      <c r="CP427" s="1046"/>
      <c r="CQ427" s="957"/>
      <c r="CR427" s="958"/>
      <c r="CS427" s="957"/>
      <c r="CT427" s="957"/>
      <c r="CU427" s="959"/>
      <c r="CV427" s="957"/>
      <c r="CW427" s="1714"/>
      <c r="CX427" s="1720"/>
      <c r="CY427" s="957"/>
      <c r="CZ427" s="1046"/>
      <c r="DA427" s="957"/>
      <c r="DB427" s="958"/>
      <c r="DC427" s="957"/>
      <c r="DD427" s="957"/>
      <c r="DE427" s="959"/>
      <c r="DF427" s="957"/>
      <c r="DG427" s="1721"/>
      <c r="DH427" s="1716"/>
      <c r="DI427" s="957"/>
      <c r="DJ427" s="1046"/>
      <c r="DK427" s="957"/>
      <c r="DL427" s="958"/>
      <c r="DM427" s="957"/>
      <c r="DN427" s="957"/>
      <c r="DO427" s="959"/>
      <c r="DP427" s="957"/>
      <c r="DQ427" s="1085"/>
      <c r="DR427" s="77" t="s">
        <v>399</v>
      </c>
      <c r="DS427" s="1716">
        <f t="shared" si="31"/>
        <v>1575</v>
      </c>
      <c r="DT427" s="957">
        <f t="shared" si="21"/>
        <v>30</v>
      </c>
      <c r="DU427" s="1046">
        <f t="shared" si="22"/>
        <v>1605</v>
      </c>
      <c r="DV427" s="957">
        <f t="shared" si="23"/>
        <v>0</v>
      </c>
      <c r="DW427" s="958">
        <f t="shared" si="24"/>
        <v>1605</v>
      </c>
      <c r="DX427" s="957">
        <f t="shared" si="25"/>
        <v>350</v>
      </c>
      <c r="DY427" s="957">
        <f t="shared" si="26"/>
        <v>1</v>
      </c>
      <c r="DZ427" s="959">
        <f t="shared" si="27"/>
        <v>351</v>
      </c>
      <c r="EA427" s="957">
        <f t="shared" si="28"/>
        <v>0</v>
      </c>
      <c r="EB427" s="1085">
        <f t="shared" si="29"/>
        <v>351</v>
      </c>
    </row>
    <row r="428" spans="1:132">
      <c r="A428" s="2210" t="s">
        <v>883</v>
      </c>
      <c r="B428" s="1084">
        <v>110</v>
      </c>
      <c r="C428" s="957">
        <v>0</v>
      </c>
      <c r="D428" s="1046">
        <v>110</v>
      </c>
      <c r="E428" s="957">
        <v>0</v>
      </c>
      <c r="F428" s="958">
        <v>110</v>
      </c>
      <c r="G428" s="957">
        <v>20</v>
      </c>
      <c r="H428" s="957">
        <v>0</v>
      </c>
      <c r="I428" s="959">
        <v>20</v>
      </c>
      <c r="J428" s="957">
        <v>0</v>
      </c>
      <c r="K428" s="1085">
        <v>20</v>
      </c>
      <c r="L428" s="1084">
        <v>116</v>
      </c>
      <c r="M428" s="957">
        <v>0</v>
      </c>
      <c r="N428" s="1046">
        <v>116</v>
      </c>
      <c r="O428" s="957">
        <v>0</v>
      </c>
      <c r="P428" s="958">
        <v>116</v>
      </c>
      <c r="Q428" s="957">
        <v>46</v>
      </c>
      <c r="R428" s="957">
        <v>0</v>
      </c>
      <c r="S428" s="959">
        <v>46</v>
      </c>
      <c r="T428" s="957">
        <v>0</v>
      </c>
      <c r="U428" s="1085">
        <v>46</v>
      </c>
      <c r="V428" s="2468">
        <v>103</v>
      </c>
      <c r="W428" s="2469">
        <v>0</v>
      </c>
      <c r="X428" s="2470">
        <v>103</v>
      </c>
      <c r="Y428" s="2469">
        <v>0</v>
      </c>
      <c r="Z428" s="2471">
        <v>103</v>
      </c>
      <c r="AA428" s="2469">
        <v>20</v>
      </c>
      <c r="AB428" s="2469">
        <v>0</v>
      </c>
      <c r="AC428" s="2471">
        <v>20</v>
      </c>
      <c r="AD428" s="2469">
        <v>0</v>
      </c>
      <c r="AE428" s="2472">
        <v>20</v>
      </c>
      <c r="AF428" s="1084">
        <v>144</v>
      </c>
      <c r="AG428" s="957">
        <v>0</v>
      </c>
      <c r="AH428" s="1046">
        <v>144</v>
      </c>
      <c r="AI428" s="957">
        <v>0</v>
      </c>
      <c r="AJ428" s="958">
        <v>144</v>
      </c>
      <c r="AK428" s="957">
        <v>10</v>
      </c>
      <c r="AL428" s="957">
        <v>0</v>
      </c>
      <c r="AM428" s="959">
        <v>10</v>
      </c>
      <c r="AN428" s="957">
        <v>0</v>
      </c>
      <c r="AO428" s="1085">
        <v>10</v>
      </c>
      <c r="AP428" s="1084">
        <v>147</v>
      </c>
      <c r="AQ428" s="957">
        <v>2</v>
      </c>
      <c r="AR428" s="1046">
        <v>149</v>
      </c>
      <c r="AS428" s="957">
        <v>0</v>
      </c>
      <c r="AT428" s="958">
        <v>149</v>
      </c>
      <c r="AU428" s="957">
        <v>16</v>
      </c>
      <c r="AV428" s="957">
        <v>1</v>
      </c>
      <c r="AW428" s="959">
        <v>17</v>
      </c>
      <c r="AX428" s="957">
        <v>0</v>
      </c>
      <c r="AY428" s="1085">
        <v>17</v>
      </c>
      <c r="AZ428" s="1084">
        <v>120</v>
      </c>
      <c r="BA428" s="957">
        <v>5</v>
      </c>
      <c r="BB428" s="1046">
        <v>125</v>
      </c>
      <c r="BC428" s="957">
        <v>3</v>
      </c>
      <c r="BD428" s="958">
        <v>128</v>
      </c>
      <c r="BE428" s="957">
        <v>10</v>
      </c>
      <c r="BF428" s="957">
        <v>1</v>
      </c>
      <c r="BG428" s="959">
        <v>11</v>
      </c>
      <c r="BH428" s="957">
        <v>0</v>
      </c>
      <c r="BI428" s="1085">
        <v>11</v>
      </c>
      <c r="BJ428" s="1084">
        <v>74</v>
      </c>
      <c r="BK428" s="957">
        <v>0</v>
      </c>
      <c r="BL428" s="1046">
        <v>74</v>
      </c>
      <c r="BM428" s="957">
        <v>0</v>
      </c>
      <c r="BN428" s="958">
        <v>74</v>
      </c>
      <c r="BO428" s="957">
        <v>9</v>
      </c>
      <c r="BP428" s="957">
        <v>0</v>
      </c>
      <c r="BQ428" s="959">
        <v>9</v>
      </c>
      <c r="BR428" s="957">
        <v>0</v>
      </c>
      <c r="BS428" s="1085">
        <v>9</v>
      </c>
      <c r="BT428" s="1084">
        <v>70</v>
      </c>
      <c r="BU428" s="957">
        <v>0</v>
      </c>
      <c r="BV428" s="1046">
        <v>70</v>
      </c>
      <c r="BW428" s="957">
        <v>0</v>
      </c>
      <c r="BX428" s="958">
        <v>70</v>
      </c>
      <c r="BY428" s="957">
        <v>5</v>
      </c>
      <c r="BZ428" s="957">
        <v>0</v>
      </c>
      <c r="CA428" s="959">
        <v>5</v>
      </c>
      <c r="CB428" s="957">
        <v>0</v>
      </c>
      <c r="CC428" s="1085">
        <v>5</v>
      </c>
      <c r="CD428" s="1084"/>
      <c r="CE428" s="957"/>
      <c r="CF428" s="1046"/>
      <c r="CG428" s="957"/>
      <c r="CH428" s="958"/>
      <c r="CI428" s="957"/>
      <c r="CJ428" s="957"/>
      <c r="CK428" s="959"/>
      <c r="CL428" s="957"/>
      <c r="CM428" s="1085"/>
      <c r="CN428" s="1084"/>
      <c r="CO428" s="957"/>
      <c r="CP428" s="1046"/>
      <c r="CQ428" s="957"/>
      <c r="CR428" s="958"/>
      <c r="CS428" s="957"/>
      <c r="CT428" s="957"/>
      <c r="CU428" s="959"/>
      <c r="CV428" s="957"/>
      <c r="CW428" s="1714"/>
      <c r="CX428" s="1720"/>
      <c r="CY428" s="957"/>
      <c r="CZ428" s="1046"/>
      <c r="DA428" s="957"/>
      <c r="DB428" s="958"/>
      <c r="DC428" s="957"/>
      <c r="DD428" s="957"/>
      <c r="DE428" s="959"/>
      <c r="DF428" s="957"/>
      <c r="DG428" s="1721"/>
      <c r="DH428" s="1716"/>
      <c r="DI428" s="957"/>
      <c r="DJ428" s="1046"/>
      <c r="DK428" s="957"/>
      <c r="DL428" s="958"/>
      <c r="DM428" s="957"/>
      <c r="DN428" s="957"/>
      <c r="DO428" s="959"/>
      <c r="DP428" s="957"/>
      <c r="DQ428" s="1085"/>
      <c r="DR428" s="77" t="s">
        <v>883</v>
      </c>
      <c r="DS428" s="1716">
        <f t="shared" si="31"/>
        <v>884</v>
      </c>
      <c r="DT428" s="957">
        <f t="shared" si="21"/>
        <v>7</v>
      </c>
      <c r="DU428" s="1046">
        <f t="shared" si="22"/>
        <v>891</v>
      </c>
      <c r="DV428" s="957">
        <f t="shared" si="23"/>
        <v>3</v>
      </c>
      <c r="DW428" s="958">
        <f t="shared" si="24"/>
        <v>894</v>
      </c>
      <c r="DX428" s="957">
        <f t="shared" si="25"/>
        <v>136</v>
      </c>
      <c r="DY428" s="957">
        <f t="shared" si="26"/>
        <v>2</v>
      </c>
      <c r="DZ428" s="959">
        <f t="shared" si="27"/>
        <v>138</v>
      </c>
      <c r="EA428" s="957">
        <f t="shared" si="28"/>
        <v>0</v>
      </c>
      <c r="EB428" s="1085">
        <f t="shared" si="29"/>
        <v>138</v>
      </c>
    </row>
    <row r="429" spans="1:132">
      <c r="A429" s="2210" t="s">
        <v>884</v>
      </c>
      <c r="B429" s="2517">
        <v>163</v>
      </c>
      <c r="C429" s="2514">
        <v>53</v>
      </c>
      <c r="D429" s="2519">
        <v>216</v>
      </c>
      <c r="E429" s="2514">
        <v>1</v>
      </c>
      <c r="F429" s="2521">
        <v>217</v>
      </c>
      <c r="G429" s="2514">
        <v>50</v>
      </c>
      <c r="H429" s="2514">
        <v>0</v>
      </c>
      <c r="I429" s="2520">
        <v>50</v>
      </c>
      <c r="J429" s="2514">
        <v>0</v>
      </c>
      <c r="K429" s="2515">
        <v>50</v>
      </c>
      <c r="L429" s="1084">
        <v>300</v>
      </c>
      <c r="M429" s="957">
        <v>12</v>
      </c>
      <c r="N429" s="1046">
        <v>312</v>
      </c>
      <c r="O429" s="957">
        <v>4</v>
      </c>
      <c r="P429" s="958">
        <v>316</v>
      </c>
      <c r="Q429" s="957">
        <v>99</v>
      </c>
      <c r="R429" s="957">
        <v>1</v>
      </c>
      <c r="S429" s="959">
        <v>100</v>
      </c>
      <c r="T429" s="957">
        <v>0</v>
      </c>
      <c r="U429" s="1085">
        <v>100</v>
      </c>
      <c r="V429" s="2517">
        <v>233</v>
      </c>
      <c r="W429" s="2518">
        <v>6</v>
      </c>
      <c r="X429" s="2519">
        <v>239</v>
      </c>
      <c r="Y429" s="2518">
        <v>1</v>
      </c>
      <c r="Z429" s="2520">
        <v>240</v>
      </c>
      <c r="AA429" s="2518">
        <v>66</v>
      </c>
      <c r="AB429" s="2518">
        <v>3</v>
      </c>
      <c r="AC429" s="2520">
        <v>69</v>
      </c>
      <c r="AD429" s="2518">
        <v>0</v>
      </c>
      <c r="AE429" s="2515">
        <v>69</v>
      </c>
      <c r="AF429" s="1084">
        <v>183</v>
      </c>
      <c r="AG429" s="957">
        <v>6</v>
      </c>
      <c r="AH429" s="1046">
        <v>189</v>
      </c>
      <c r="AI429" s="957">
        <v>3</v>
      </c>
      <c r="AJ429" s="958">
        <v>192</v>
      </c>
      <c r="AK429" s="957">
        <v>57</v>
      </c>
      <c r="AL429" s="957">
        <v>0</v>
      </c>
      <c r="AM429" s="959">
        <v>57</v>
      </c>
      <c r="AN429" s="957">
        <v>0</v>
      </c>
      <c r="AO429" s="1085">
        <v>57</v>
      </c>
      <c r="AP429" s="1084">
        <v>362</v>
      </c>
      <c r="AQ429" s="957">
        <v>3</v>
      </c>
      <c r="AR429" s="1046">
        <v>365</v>
      </c>
      <c r="AS429" s="957">
        <v>0</v>
      </c>
      <c r="AT429" s="958">
        <v>365</v>
      </c>
      <c r="AU429" s="957">
        <v>65</v>
      </c>
      <c r="AV429" s="957">
        <v>0</v>
      </c>
      <c r="AW429" s="959">
        <v>65</v>
      </c>
      <c r="AX429" s="957">
        <v>0</v>
      </c>
      <c r="AY429" s="1085">
        <v>65</v>
      </c>
      <c r="AZ429" s="1084">
        <v>277</v>
      </c>
      <c r="BA429" s="957">
        <v>4</v>
      </c>
      <c r="BB429" s="1046">
        <v>281</v>
      </c>
      <c r="BC429" s="957">
        <v>2</v>
      </c>
      <c r="BD429" s="958">
        <v>283</v>
      </c>
      <c r="BE429" s="957">
        <v>86</v>
      </c>
      <c r="BF429" s="957">
        <v>0</v>
      </c>
      <c r="BG429" s="959">
        <v>86</v>
      </c>
      <c r="BH429" s="957">
        <v>0</v>
      </c>
      <c r="BI429" s="1085">
        <v>86</v>
      </c>
      <c r="BJ429" s="1084">
        <v>319</v>
      </c>
      <c r="BK429" s="957">
        <v>0</v>
      </c>
      <c r="BL429" s="1046">
        <v>319</v>
      </c>
      <c r="BM429" s="957">
        <v>0</v>
      </c>
      <c r="BN429" s="958">
        <v>319</v>
      </c>
      <c r="BO429" s="957">
        <v>93</v>
      </c>
      <c r="BP429" s="957">
        <v>0</v>
      </c>
      <c r="BQ429" s="959">
        <v>93</v>
      </c>
      <c r="BR429" s="957">
        <v>0</v>
      </c>
      <c r="BS429" s="1085">
        <v>93</v>
      </c>
      <c r="BT429" s="1084">
        <v>156</v>
      </c>
      <c r="BU429" s="957">
        <v>10</v>
      </c>
      <c r="BV429" s="1046">
        <v>166</v>
      </c>
      <c r="BW429" s="957">
        <v>4</v>
      </c>
      <c r="BX429" s="958">
        <v>170</v>
      </c>
      <c r="BY429" s="957">
        <v>72</v>
      </c>
      <c r="BZ429" s="957">
        <v>0</v>
      </c>
      <c r="CA429" s="959">
        <v>72</v>
      </c>
      <c r="CB429" s="957">
        <v>0</v>
      </c>
      <c r="CC429" s="1085">
        <v>72</v>
      </c>
      <c r="CD429" s="1084"/>
      <c r="CE429" s="957"/>
      <c r="CF429" s="1046"/>
      <c r="CG429" s="957"/>
      <c r="CH429" s="958"/>
      <c r="CI429" s="957"/>
      <c r="CJ429" s="957"/>
      <c r="CK429" s="959"/>
      <c r="CL429" s="957"/>
      <c r="CM429" s="1085"/>
      <c r="CN429" s="1084"/>
      <c r="CO429" s="957"/>
      <c r="CP429" s="1046"/>
      <c r="CQ429" s="957"/>
      <c r="CR429" s="958"/>
      <c r="CS429" s="957"/>
      <c r="CT429" s="957"/>
      <c r="CU429" s="959"/>
      <c r="CV429" s="957"/>
      <c r="CW429" s="1714"/>
      <c r="CX429" s="1720"/>
      <c r="CY429" s="957"/>
      <c r="CZ429" s="1046"/>
      <c r="DA429" s="957"/>
      <c r="DB429" s="958"/>
      <c r="DC429" s="957"/>
      <c r="DD429" s="957"/>
      <c r="DE429" s="959"/>
      <c r="DF429" s="957"/>
      <c r="DG429" s="1721"/>
      <c r="DH429" s="1716"/>
      <c r="DI429" s="957"/>
      <c r="DJ429" s="1046"/>
      <c r="DK429" s="957"/>
      <c r="DL429" s="958"/>
      <c r="DM429" s="957"/>
      <c r="DN429" s="957"/>
      <c r="DO429" s="959"/>
      <c r="DP429" s="957"/>
      <c r="DQ429" s="1085"/>
      <c r="DR429" s="77" t="s">
        <v>884</v>
      </c>
      <c r="DS429" s="1716">
        <f t="shared" si="31"/>
        <v>1993</v>
      </c>
      <c r="DT429" s="957">
        <f t="shared" si="21"/>
        <v>94</v>
      </c>
      <c r="DU429" s="1046">
        <f t="shared" si="22"/>
        <v>2087</v>
      </c>
      <c r="DV429" s="957">
        <f t="shared" si="23"/>
        <v>15</v>
      </c>
      <c r="DW429" s="958">
        <f t="shared" si="24"/>
        <v>2102</v>
      </c>
      <c r="DX429" s="957">
        <f t="shared" si="25"/>
        <v>588</v>
      </c>
      <c r="DY429" s="957">
        <f t="shared" si="26"/>
        <v>4</v>
      </c>
      <c r="DZ429" s="959">
        <f t="shared" si="27"/>
        <v>592</v>
      </c>
      <c r="EA429" s="957">
        <f t="shared" si="28"/>
        <v>0</v>
      </c>
      <c r="EB429" s="1085">
        <f t="shared" si="29"/>
        <v>592</v>
      </c>
    </row>
    <row r="430" spans="1:132">
      <c r="A430" s="2210" t="s">
        <v>885</v>
      </c>
      <c r="B430" s="1084">
        <v>146</v>
      </c>
      <c r="C430" s="957">
        <v>3</v>
      </c>
      <c r="D430" s="1046">
        <v>149</v>
      </c>
      <c r="E430" s="957">
        <v>0</v>
      </c>
      <c r="F430" s="958">
        <v>149</v>
      </c>
      <c r="G430" s="957">
        <v>85</v>
      </c>
      <c r="H430" s="957">
        <v>0</v>
      </c>
      <c r="I430" s="959">
        <v>85</v>
      </c>
      <c r="J430" s="957">
        <v>0</v>
      </c>
      <c r="K430" s="1085">
        <v>85</v>
      </c>
      <c r="L430" s="1084">
        <v>375</v>
      </c>
      <c r="M430" s="957">
        <v>3</v>
      </c>
      <c r="N430" s="1046">
        <v>378</v>
      </c>
      <c r="O430" s="957">
        <v>0</v>
      </c>
      <c r="P430" s="958">
        <v>378</v>
      </c>
      <c r="Q430" s="957">
        <v>211</v>
      </c>
      <c r="R430" s="957">
        <v>0</v>
      </c>
      <c r="S430" s="959">
        <v>211</v>
      </c>
      <c r="T430" s="957">
        <v>0</v>
      </c>
      <c r="U430" s="1085">
        <v>211</v>
      </c>
      <c r="V430" s="2468">
        <v>257</v>
      </c>
      <c r="W430" s="2469">
        <v>1</v>
      </c>
      <c r="X430" s="2470">
        <v>258</v>
      </c>
      <c r="Y430" s="2469">
        <v>0</v>
      </c>
      <c r="Z430" s="2471">
        <v>258</v>
      </c>
      <c r="AA430" s="2469">
        <v>53</v>
      </c>
      <c r="AB430" s="2469">
        <v>0</v>
      </c>
      <c r="AC430" s="2471">
        <v>53</v>
      </c>
      <c r="AD430" s="2469">
        <v>0</v>
      </c>
      <c r="AE430" s="2472">
        <v>53</v>
      </c>
      <c r="AF430" s="1084">
        <v>79</v>
      </c>
      <c r="AG430" s="957">
        <v>3</v>
      </c>
      <c r="AH430" s="1046">
        <v>82</v>
      </c>
      <c r="AI430" s="957">
        <v>0</v>
      </c>
      <c r="AJ430" s="958">
        <v>82</v>
      </c>
      <c r="AK430" s="957">
        <v>32</v>
      </c>
      <c r="AL430" s="957">
        <v>1</v>
      </c>
      <c r="AM430" s="959">
        <v>33</v>
      </c>
      <c r="AN430" s="957">
        <v>0</v>
      </c>
      <c r="AO430" s="1085">
        <v>33</v>
      </c>
      <c r="AP430" s="1084">
        <v>90</v>
      </c>
      <c r="AQ430" s="957">
        <v>2</v>
      </c>
      <c r="AR430" s="1046">
        <v>92</v>
      </c>
      <c r="AS430" s="957">
        <v>1</v>
      </c>
      <c r="AT430" s="958">
        <v>93</v>
      </c>
      <c r="AU430" s="957">
        <v>63</v>
      </c>
      <c r="AV430" s="957">
        <v>0</v>
      </c>
      <c r="AW430" s="959">
        <v>63</v>
      </c>
      <c r="AX430" s="957">
        <v>0</v>
      </c>
      <c r="AY430" s="1085">
        <v>63</v>
      </c>
      <c r="AZ430" s="1084">
        <v>135</v>
      </c>
      <c r="BA430" s="957">
        <v>5</v>
      </c>
      <c r="BB430" s="1046">
        <v>140</v>
      </c>
      <c r="BC430" s="957">
        <v>0</v>
      </c>
      <c r="BD430" s="958">
        <v>140</v>
      </c>
      <c r="BE430" s="957">
        <v>57</v>
      </c>
      <c r="BF430" s="957">
        <v>0</v>
      </c>
      <c r="BG430" s="959">
        <v>57</v>
      </c>
      <c r="BH430" s="957">
        <v>0</v>
      </c>
      <c r="BI430" s="1085">
        <v>57</v>
      </c>
      <c r="BJ430" s="1084">
        <v>27</v>
      </c>
      <c r="BK430" s="957">
        <v>4</v>
      </c>
      <c r="BL430" s="1046">
        <v>31</v>
      </c>
      <c r="BM430" s="957">
        <v>1</v>
      </c>
      <c r="BN430" s="958">
        <v>32</v>
      </c>
      <c r="BO430" s="957">
        <v>12</v>
      </c>
      <c r="BP430" s="957">
        <v>0</v>
      </c>
      <c r="BQ430" s="959">
        <v>12</v>
      </c>
      <c r="BR430" s="957">
        <v>0</v>
      </c>
      <c r="BS430" s="1085">
        <v>12</v>
      </c>
      <c r="BT430" s="1084">
        <v>33</v>
      </c>
      <c r="BU430" s="957">
        <v>0</v>
      </c>
      <c r="BV430" s="1046">
        <v>33</v>
      </c>
      <c r="BW430" s="957">
        <v>1</v>
      </c>
      <c r="BX430" s="958">
        <v>34</v>
      </c>
      <c r="BY430" s="957">
        <v>7</v>
      </c>
      <c r="BZ430" s="957">
        <v>0</v>
      </c>
      <c r="CA430" s="959">
        <v>7</v>
      </c>
      <c r="CB430" s="957">
        <v>0</v>
      </c>
      <c r="CC430" s="1085">
        <v>7</v>
      </c>
      <c r="CD430" s="1084"/>
      <c r="CE430" s="957"/>
      <c r="CF430" s="1046"/>
      <c r="CG430" s="957"/>
      <c r="CH430" s="958"/>
      <c r="CI430" s="957"/>
      <c r="CJ430" s="957"/>
      <c r="CK430" s="959"/>
      <c r="CL430" s="957"/>
      <c r="CM430" s="1085"/>
      <c r="CN430" s="1084"/>
      <c r="CO430" s="957"/>
      <c r="CP430" s="1046"/>
      <c r="CQ430" s="957"/>
      <c r="CR430" s="958"/>
      <c r="CS430" s="957"/>
      <c r="CT430" s="957"/>
      <c r="CU430" s="959"/>
      <c r="CV430" s="957"/>
      <c r="CW430" s="1714"/>
      <c r="CX430" s="1720"/>
      <c r="CY430" s="957"/>
      <c r="CZ430" s="1046"/>
      <c r="DA430" s="957"/>
      <c r="DB430" s="958"/>
      <c r="DC430" s="957"/>
      <c r="DD430" s="957"/>
      <c r="DE430" s="959"/>
      <c r="DF430" s="957"/>
      <c r="DG430" s="1721"/>
      <c r="DH430" s="1716"/>
      <c r="DI430" s="957"/>
      <c r="DJ430" s="1046"/>
      <c r="DK430" s="957"/>
      <c r="DL430" s="958"/>
      <c r="DM430" s="957"/>
      <c r="DN430" s="957"/>
      <c r="DO430" s="959"/>
      <c r="DP430" s="957"/>
      <c r="DQ430" s="1085"/>
      <c r="DR430" s="77" t="s">
        <v>885</v>
      </c>
      <c r="DS430" s="1716">
        <f t="shared" si="31"/>
        <v>1142</v>
      </c>
      <c r="DT430" s="957">
        <f t="shared" si="21"/>
        <v>21</v>
      </c>
      <c r="DU430" s="1046">
        <f t="shared" si="22"/>
        <v>1163</v>
      </c>
      <c r="DV430" s="957">
        <f t="shared" si="23"/>
        <v>3</v>
      </c>
      <c r="DW430" s="958">
        <f>F430+P430+Z430+AJ430+AT430+BD430+BN430+BX430+CH430+CR430+DB430+DL430</f>
        <v>1166</v>
      </c>
      <c r="DX430" s="957">
        <f t="shared" si="25"/>
        <v>520</v>
      </c>
      <c r="DY430" s="957">
        <f t="shared" si="26"/>
        <v>1</v>
      </c>
      <c r="DZ430" s="959">
        <f t="shared" si="27"/>
        <v>521</v>
      </c>
      <c r="EA430" s="957">
        <f t="shared" si="28"/>
        <v>0</v>
      </c>
      <c r="EB430" s="1085">
        <f t="shared" si="29"/>
        <v>521</v>
      </c>
    </row>
    <row r="431" spans="1:132" ht="14.4" thickBot="1">
      <c r="DS431" s="1880" t="e">
        <f t="shared" ref="DS431:EB431" si="32">SUM(DS421:DS430)</f>
        <v>#REF!</v>
      </c>
      <c r="DT431" s="1880" t="e">
        <f t="shared" si="32"/>
        <v>#REF!</v>
      </c>
      <c r="DU431" s="1880" t="e">
        <f t="shared" si="32"/>
        <v>#REF!</v>
      </c>
      <c r="DV431" s="1880" t="e">
        <f>SUM(DV421:DV430)</f>
        <v>#REF!</v>
      </c>
      <c r="DW431" s="1880" t="e">
        <f t="shared" si="32"/>
        <v>#REF!</v>
      </c>
      <c r="DX431" s="1880" t="e">
        <f t="shared" si="32"/>
        <v>#REF!</v>
      </c>
      <c r="DY431" s="1880" t="e">
        <f t="shared" si="32"/>
        <v>#REF!</v>
      </c>
      <c r="DZ431" s="1880" t="e">
        <f t="shared" si="32"/>
        <v>#REF!</v>
      </c>
      <c r="EA431" s="1880" t="e">
        <f t="shared" si="32"/>
        <v>#REF!</v>
      </c>
      <c r="EB431" s="1880" t="e">
        <f t="shared" si="32"/>
        <v>#REF!</v>
      </c>
    </row>
    <row r="432" spans="1:132" ht="14.4" thickBot="1">
      <c r="A432" s="730" t="s">
        <v>801</v>
      </c>
    </row>
    <row r="433" spans="1:132" ht="18">
      <c r="B433" s="3364" t="s">
        <v>71</v>
      </c>
      <c r="C433" s="3365"/>
      <c r="D433" s="3365"/>
      <c r="E433" s="3365"/>
      <c r="F433" s="3365"/>
      <c r="G433" s="3365"/>
      <c r="H433" s="3365"/>
      <c r="I433" s="3365"/>
      <c r="J433" s="3365"/>
      <c r="K433" s="3366"/>
      <c r="L433" s="3380" t="s">
        <v>72</v>
      </c>
      <c r="M433" s="3381"/>
      <c r="N433" s="3381"/>
      <c r="O433" s="3381"/>
      <c r="P433" s="3381"/>
      <c r="Q433" s="3381"/>
      <c r="R433" s="3381"/>
      <c r="S433" s="3381"/>
      <c r="T433" s="3381"/>
      <c r="U433" s="3382"/>
      <c r="V433" s="3383" t="s">
        <v>73</v>
      </c>
      <c r="W433" s="3384"/>
      <c r="X433" s="3384"/>
      <c r="Y433" s="3384"/>
      <c r="Z433" s="3384"/>
      <c r="AA433" s="3384"/>
      <c r="AB433" s="3384"/>
      <c r="AC433" s="3384"/>
      <c r="AD433" s="3384"/>
      <c r="AE433" s="3385"/>
      <c r="AF433" s="3386" t="s">
        <v>74</v>
      </c>
      <c r="AG433" s="3387"/>
      <c r="AH433" s="3387"/>
      <c r="AI433" s="3387"/>
      <c r="AJ433" s="3387"/>
      <c r="AK433" s="3387"/>
      <c r="AL433" s="3387"/>
      <c r="AM433" s="3387"/>
      <c r="AN433" s="3387"/>
      <c r="AO433" s="3388"/>
      <c r="AP433" s="3389" t="s">
        <v>75</v>
      </c>
      <c r="AQ433" s="3390"/>
      <c r="AR433" s="3390"/>
      <c r="AS433" s="3390"/>
      <c r="AT433" s="3390"/>
      <c r="AU433" s="3390"/>
      <c r="AV433" s="3390"/>
      <c r="AW433" s="3390"/>
      <c r="AX433" s="3390"/>
      <c r="AY433" s="3391"/>
      <c r="AZ433" s="3393" t="s">
        <v>76</v>
      </c>
      <c r="BA433" s="3394"/>
      <c r="BB433" s="3394"/>
      <c r="BC433" s="3394"/>
      <c r="BD433" s="3394"/>
      <c r="BE433" s="3394"/>
      <c r="BF433" s="3394"/>
      <c r="BG433" s="3394"/>
      <c r="BH433" s="3394"/>
      <c r="BI433" s="3395"/>
      <c r="BJ433" s="3364" t="s">
        <v>77</v>
      </c>
      <c r="BK433" s="3365"/>
      <c r="BL433" s="3365"/>
      <c r="BM433" s="3365"/>
      <c r="BN433" s="3365"/>
      <c r="BO433" s="3365"/>
      <c r="BP433" s="3365"/>
      <c r="BQ433" s="3365"/>
      <c r="BR433" s="3365"/>
      <c r="BS433" s="3366"/>
      <c r="BT433" s="3380" t="s">
        <v>78</v>
      </c>
      <c r="BU433" s="3381"/>
      <c r="BV433" s="3381"/>
      <c r="BW433" s="3381"/>
      <c r="BX433" s="3381"/>
      <c r="BY433" s="3381"/>
      <c r="BZ433" s="3381"/>
      <c r="CA433" s="3381"/>
      <c r="CB433" s="3381"/>
      <c r="CC433" s="3382"/>
      <c r="CD433" s="3383" t="s">
        <v>79</v>
      </c>
      <c r="CE433" s="3384"/>
      <c r="CF433" s="3384"/>
      <c r="CG433" s="3384"/>
      <c r="CH433" s="3384"/>
      <c r="CI433" s="3384"/>
      <c r="CJ433" s="3384"/>
      <c r="CK433" s="3384"/>
      <c r="CL433" s="3384"/>
      <c r="CM433" s="3385"/>
      <c r="CN433" s="3386" t="s">
        <v>80</v>
      </c>
      <c r="CO433" s="3387"/>
      <c r="CP433" s="3387"/>
      <c r="CQ433" s="3387"/>
      <c r="CR433" s="3387"/>
      <c r="CS433" s="3387"/>
      <c r="CT433" s="3387"/>
      <c r="CU433" s="3387"/>
      <c r="CV433" s="3387"/>
      <c r="CW433" s="3387"/>
      <c r="CX433" s="3397" t="s">
        <v>81</v>
      </c>
      <c r="CY433" s="3398"/>
      <c r="CZ433" s="3398"/>
      <c r="DA433" s="3398"/>
      <c r="DB433" s="3398"/>
      <c r="DC433" s="3398"/>
      <c r="DD433" s="3398"/>
      <c r="DE433" s="3398"/>
      <c r="DF433" s="3398"/>
      <c r="DG433" s="3399"/>
      <c r="DH433" s="3394" t="s">
        <v>82</v>
      </c>
      <c r="DI433" s="3394"/>
      <c r="DJ433" s="3394"/>
      <c r="DK433" s="3394"/>
      <c r="DL433" s="3394"/>
      <c r="DM433" s="3394"/>
      <c r="DN433" s="3394"/>
      <c r="DO433" s="3394"/>
      <c r="DP433" s="3394"/>
      <c r="DQ433" s="3395"/>
      <c r="DS433" s="3350" t="s">
        <v>143</v>
      </c>
      <c r="DT433" s="3350"/>
      <c r="DU433" s="3350"/>
      <c r="DV433" s="3350"/>
      <c r="DW433" s="3350"/>
      <c r="DX433" s="3350"/>
      <c r="DY433" s="3350"/>
      <c r="DZ433" s="3350"/>
      <c r="EA433" s="3350"/>
      <c r="EB433" s="3351"/>
    </row>
    <row r="434" spans="1:132">
      <c r="B434" s="3370" t="s">
        <v>537</v>
      </c>
      <c r="C434" s="3352"/>
      <c r="D434" s="3352"/>
      <c r="E434" s="3352"/>
      <c r="F434" s="3353"/>
      <c r="G434" s="3354" t="s">
        <v>309</v>
      </c>
      <c r="H434" s="3355"/>
      <c r="I434" s="3355"/>
      <c r="J434" s="3355"/>
      <c r="K434" s="3356"/>
      <c r="L434" s="3370" t="s">
        <v>537</v>
      </c>
      <c r="M434" s="3352"/>
      <c r="N434" s="3352"/>
      <c r="O434" s="3352"/>
      <c r="P434" s="3353"/>
      <c r="Q434" s="3354" t="s">
        <v>309</v>
      </c>
      <c r="R434" s="3355"/>
      <c r="S434" s="3355"/>
      <c r="T434" s="3355"/>
      <c r="U434" s="3356"/>
      <c r="V434" s="3370" t="s">
        <v>537</v>
      </c>
      <c r="W434" s="3352"/>
      <c r="X434" s="3352"/>
      <c r="Y434" s="3352"/>
      <c r="Z434" s="3353"/>
      <c r="AA434" s="3354" t="s">
        <v>309</v>
      </c>
      <c r="AB434" s="3355"/>
      <c r="AC434" s="3355"/>
      <c r="AD434" s="3355"/>
      <c r="AE434" s="3356"/>
      <c r="AF434" s="3370" t="s">
        <v>537</v>
      </c>
      <c r="AG434" s="3352"/>
      <c r="AH434" s="3352"/>
      <c r="AI434" s="3352"/>
      <c r="AJ434" s="3353"/>
      <c r="AK434" s="3354" t="s">
        <v>309</v>
      </c>
      <c r="AL434" s="3355"/>
      <c r="AM434" s="3355"/>
      <c r="AN434" s="3355"/>
      <c r="AO434" s="3356"/>
      <c r="AP434" s="3370" t="s">
        <v>537</v>
      </c>
      <c r="AQ434" s="3352"/>
      <c r="AR434" s="3352"/>
      <c r="AS434" s="3352"/>
      <c r="AT434" s="3353"/>
      <c r="AU434" s="3354" t="s">
        <v>309</v>
      </c>
      <c r="AV434" s="3355"/>
      <c r="AW434" s="3355"/>
      <c r="AX434" s="3355"/>
      <c r="AY434" s="3356"/>
      <c r="AZ434" s="3370" t="s">
        <v>537</v>
      </c>
      <c r="BA434" s="3352"/>
      <c r="BB434" s="3352"/>
      <c r="BC434" s="3352"/>
      <c r="BD434" s="3353"/>
      <c r="BE434" s="3354" t="s">
        <v>309</v>
      </c>
      <c r="BF434" s="3355"/>
      <c r="BG434" s="3355"/>
      <c r="BH434" s="3355"/>
      <c r="BI434" s="3356"/>
      <c r="BJ434" s="3370" t="s">
        <v>537</v>
      </c>
      <c r="BK434" s="3352"/>
      <c r="BL434" s="3352"/>
      <c r="BM434" s="3352"/>
      <c r="BN434" s="3353"/>
      <c r="BO434" s="3354" t="s">
        <v>309</v>
      </c>
      <c r="BP434" s="3355"/>
      <c r="BQ434" s="3355"/>
      <c r="BR434" s="3355"/>
      <c r="BS434" s="3356"/>
      <c r="BT434" s="3370" t="s">
        <v>537</v>
      </c>
      <c r="BU434" s="3352"/>
      <c r="BV434" s="3352"/>
      <c r="BW434" s="3352"/>
      <c r="BX434" s="3353"/>
      <c r="BY434" s="3354" t="s">
        <v>309</v>
      </c>
      <c r="BZ434" s="3355"/>
      <c r="CA434" s="3355"/>
      <c r="CB434" s="3355"/>
      <c r="CC434" s="3356"/>
      <c r="CD434" s="3370" t="s">
        <v>537</v>
      </c>
      <c r="CE434" s="3352"/>
      <c r="CF434" s="3352"/>
      <c r="CG434" s="3352"/>
      <c r="CH434" s="3353"/>
      <c r="CI434" s="3354" t="s">
        <v>309</v>
      </c>
      <c r="CJ434" s="3355"/>
      <c r="CK434" s="3355"/>
      <c r="CL434" s="3355"/>
      <c r="CM434" s="3356"/>
      <c r="CN434" s="3370" t="s">
        <v>537</v>
      </c>
      <c r="CO434" s="3352"/>
      <c r="CP434" s="3352"/>
      <c r="CQ434" s="3352"/>
      <c r="CR434" s="3353"/>
      <c r="CS434" s="3354" t="s">
        <v>309</v>
      </c>
      <c r="CT434" s="3355"/>
      <c r="CU434" s="3355"/>
      <c r="CV434" s="3355"/>
      <c r="CW434" s="3355"/>
      <c r="CX434" s="3396" t="s">
        <v>537</v>
      </c>
      <c r="CY434" s="3352"/>
      <c r="CZ434" s="3352"/>
      <c r="DA434" s="3352"/>
      <c r="DB434" s="3353"/>
      <c r="DC434" s="3354" t="s">
        <v>309</v>
      </c>
      <c r="DD434" s="3355"/>
      <c r="DE434" s="3355"/>
      <c r="DF434" s="3355"/>
      <c r="DG434" s="3392"/>
      <c r="DH434" s="3352" t="s">
        <v>537</v>
      </c>
      <c r="DI434" s="3352"/>
      <c r="DJ434" s="3352"/>
      <c r="DK434" s="3352"/>
      <c r="DL434" s="3353"/>
      <c r="DM434" s="3354" t="s">
        <v>309</v>
      </c>
      <c r="DN434" s="3355"/>
      <c r="DO434" s="3355"/>
      <c r="DP434" s="3355"/>
      <c r="DQ434" s="3356"/>
      <c r="DS434" s="3352" t="s">
        <v>537</v>
      </c>
      <c r="DT434" s="3352"/>
      <c r="DU434" s="3352"/>
      <c r="DV434" s="3352"/>
      <c r="DW434" s="3353"/>
      <c r="DX434" s="3354" t="s">
        <v>309</v>
      </c>
      <c r="DY434" s="3355"/>
      <c r="DZ434" s="3355"/>
      <c r="EA434" s="3355"/>
      <c r="EB434" s="3356"/>
    </row>
    <row r="435" spans="1:132">
      <c r="B435" s="1082" t="s">
        <v>17</v>
      </c>
      <c r="C435" s="960" t="s">
        <v>18</v>
      </c>
      <c r="D435" s="1043" t="s">
        <v>52</v>
      </c>
      <c r="E435" s="960" t="s">
        <v>19</v>
      </c>
      <c r="F435" s="960" t="s">
        <v>315</v>
      </c>
      <c r="G435" s="960" t="s">
        <v>17</v>
      </c>
      <c r="H435" s="960" t="s">
        <v>18</v>
      </c>
      <c r="I435" s="960" t="s">
        <v>56</v>
      </c>
      <c r="J435" s="960" t="s">
        <v>21</v>
      </c>
      <c r="K435" s="1083" t="s">
        <v>57</v>
      </c>
      <c r="L435" s="1082" t="s">
        <v>17</v>
      </c>
      <c r="M435" s="960" t="s">
        <v>18</v>
      </c>
      <c r="N435" s="960" t="s">
        <v>52</v>
      </c>
      <c r="O435" s="960" t="s">
        <v>19</v>
      </c>
      <c r="P435" s="960" t="s">
        <v>315</v>
      </c>
      <c r="Q435" s="960" t="s">
        <v>17</v>
      </c>
      <c r="R435" s="960" t="s">
        <v>18</v>
      </c>
      <c r="S435" s="960" t="s">
        <v>56</v>
      </c>
      <c r="T435" s="960" t="s">
        <v>21</v>
      </c>
      <c r="U435" s="1083" t="s">
        <v>57</v>
      </c>
      <c r="V435" s="1082" t="s">
        <v>17</v>
      </c>
      <c r="W435" s="960" t="s">
        <v>18</v>
      </c>
      <c r="X435" s="960" t="s">
        <v>52</v>
      </c>
      <c r="Y435" s="960" t="s">
        <v>19</v>
      </c>
      <c r="Z435" s="960" t="s">
        <v>315</v>
      </c>
      <c r="AA435" s="960" t="s">
        <v>17</v>
      </c>
      <c r="AB435" s="960" t="s">
        <v>18</v>
      </c>
      <c r="AC435" s="960" t="s">
        <v>56</v>
      </c>
      <c r="AD435" s="960" t="s">
        <v>21</v>
      </c>
      <c r="AE435" s="1083" t="s">
        <v>57</v>
      </c>
      <c r="AF435" s="1082" t="s">
        <v>17</v>
      </c>
      <c r="AG435" s="960" t="s">
        <v>18</v>
      </c>
      <c r="AH435" s="960" t="s">
        <v>52</v>
      </c>
      <c r="AI435" s="960" t="s">
        <v>19</v>
      </c>
      <c r="AJ435" s="960" t="s">
        <v>315</v>
      </c>
      <c r="AK435" s="960" t="s">
        <v>17</v>
      </c>
      <c r="AL435" s="960" t="s">
        <v>18</v>
      </c>
      <c r="AM435" s="960" t="s">
        <v>56</v>
      </c>
      <c r="AN435" s="960" t="s">
        <v>21</v>
      </c>
      <c r="AO435" s="1083" t="s">
        <v>57</v>
      </c>
      <c r="AP435" s="1082" t="s">
        <v>17</v>
      </c>
      <c r="AQ435" s="960" t="s">
        <v>18</v>
      </c>
      <c r="AR435" s="960" t="s">
        <v>52</v>
      </c>
      <c r="AS435" s="960" t="s">
        <v>19</v>
      </c>
      <c r="AT435" s="960" t="s">
        <v>315</v>
      </c>
      <c r="AU435" s="960" t="s">
        <v>17</v>
      </c>
      <c r="AV435" s="960" t="s">
        <v>18</v>
      </c>
      <c r="AW435" s="960" t="s">
        <v>56</v>
      </c>
      <c r="AX435" s="960" t="s">
        <v>21</v>
      </c>
      <c r="AY435" s="1083" t="s">
        <v>57</v>
      </c>
      <c r="AZ435" s="1082" t="s">
        <v>17</v>
      </c>
      <c r="BA435" s="960" t="s">
        <v>18</v>
      </c>
      <c r="BB435" s="960" t="s">
        <v>52</v>
      </c>
      <c r="BC435" s="960" t="s">
        <v>19</v>
      </c>
      <c r="BD435" s="960" t="s">
        <v>315</v>
      </c>
      <c r="BE435" s="960" t="s">
        <v>17</v>
      </c>
      <c r="BF435" s="960" t="s">
        <v>18</v>
      </c>
      <c r="BG435" s="960" t="s">
        <v>56</v>
      </c>
      <c r="BH435" s="960" t="s">
        <v>21</v>
      </c>
      <c r="BI435" s="1083" t="s">
        <v>57</v>
      </c>
      <c r="BJ435" s="1082" t="s">
        <v>17</v>
      </c>
      <c r="BK435" s="960" t="s">
        <v>18</v>
      </c>
      <c r="BL435" s="960" t="s">
        <v>52</v>
      </c>
      <c r="BM435" s="960" t="s">
        <v>19</v>
      </c>
      <c r="BN435" s="960" t="s">
        <v>315</v>
      </c>
      <c r="BO435" s="960" t="s">
        <v>17</v>
      </c>
      <c r="BP435" s="960" t="s">
        <v>18</v>
      </c>
      <c r="BQ435" s="960" t="s">
        <v>56</v>
      </c>
      <c r="BR435" s="960" t="s">
        <v>21</v>
      </c>
      <c r="BS435" s="1083" t="s">
        <v>57</v>
      </c>
      <c r="BT435" s="1082" t="s">
        <v>17</v>
      </c>
      <c r="BU435" s="960" t="s">
        <v>18</v>
      </c>
      <c r="BV435" s="960" t="s">
        <v>52</v>
      </c>
      <c r="BW435" s="960" t="s">
        <v>19</v>
      </c>
      <c r="BX435" s="960" t="s">
        <v>315</v>
      </c>
      <c r="BY435" s="960" t="s">
        <v>17</v>
      </c>
      <c r="BZ435" s="960" t="s">
        <v>18</v>
      </c>
      <c r="CA435" s="960" t="s">
        <v>56</v>
      </c>
      <c r="CB435" s="960" t="s">
        <v>21</v>
      </c>
      <c r="CC435" s="1083" t="s">
        <v>57</v>
      </c>
      <c r="CD435" s="1082" t="s">
        <v>17</v>
      </c>
      <c r="CE435" s="960" t="s">
        <v>18</v>
      </c>
      <c r="CF435" s="960" t="s">
        <v>52</v>
      </c>
      <c r="CG435" s="960" t="s">
        <v>19</v>
      </c>
      <c r="CH435" s="960" t="s">
        <v>315</v>
      </c>
      <c r="CI435" s="960" t="s">
        <v>17</v>
      </c>
      <c r="CJ435" s="960" t="s">
        <v>18</v>
      </c>
      <c r="CK435" s="960" t="s">
        <v>56</v>
      </c>
      <c r="CL435" s="960" t="s">
        <v>21</v>
      </c>
      <c r="CM435" s="1083" t="s">
        <v>57</v>
      </c>
      <c r="CN435" s="1082" t="s">
        <v>17</v>
      </c>
      <c r="CO435" s="960" t="s">
        <v>18</v>
      </c>
      <c r="CP435" s="960" t="s">
        <v>52</v>
      </c>
      <c r="CQ435" s="960" t="s">
        <v>19</v>
      </c>
      <c r="CR435" s="960" t="s">
        <v>315</v>
      </c>
      <c r="CS435" s="960" t="s">
        <v>17</v>
      </c>
      <c r="CT435" s="960" t="s">
        <v>18</v>
      </c>
      <c r="CU435" s="960" t="s">
        <v>56</v>
      </c>
      <c r="CV435" s="960" t="s">
        <v>21</v>
      </c>
      <c r="CW435" s="1713" t="s">
        <v>57</v>
      </c>
      <c r="CX435" s="1717" t="s">
        <v>17</v>
      </c>
      <c r="CY435" s="1718" t="s">
        <v>18</v>
      </c>
      <c r="CZ435" s="1718" t="s">
        <v>52</v>
      </c>
      <c r="DA435" s="1718" t="s">
        <v>19</v>
      </c>
      <c r="DB435" s="1718" t="s">
        <v>315</v>
      </c>
      <c r="DC435" s="1718" t="s">
        <v>17</v>
      </c>
      <c r="DD435" s="1718" t="s">
        <v>18</v>
      </c>
      <c r="DE435" s="1718" t="s">
        <v>56</v>
      </c>
      <c r="DF435" s="1718" t="s">
        <v>21</v>
      </c>
      <c r="DG435" s="1719" t="s">
        <v>57</v>
      </c>
      <c r="DH435" s="1715" t="s">
        <v>17</v>
      </c>
      <c r="DI435" s="960" t="s">
        <v>18</v>
      </c>
      <c r="DJ435" s="960" t="s">
        <v>52</v>
      </c>
      <c r="DK435" s="960" t="s">
        <v>19</v>
      </c>
      <c r="DL435" s="960" t="s">
        <v>315</v>
      </c>
      <c r="DM435" s="960" t="s">
        <v>17</v>
      </c>
      <c r="DN435" s="960" t="s">
        <v>18</v>
      </c>
      <c r="DO435" s="960" t="s">
        <v>56</v>
      </c>
      <c r="DP435" s="960" t="s">
        <v>21</v>
      </c>
      <c r="DQ435" s="1083" t="s">
        <v>57</v>
      </c>
      <c r="DS435" s="1715" t="s">
        <v>17</v>
      </c>
      <c r="DT435" s="960" t="s">
        <v>18</v>
      </c>
      <c r="DU435" s="960" t="s">
        <v>52</v>
      </c>
      <c r="DV435" s="960" t="s">
        <v>19</v>
      </c>
      <c r="DW435" s="960" t="s">
        <v>315</v>
      </c>
      <c r="DX435" s="960" t="s">
        <v>17</v>
      </c>
      <c r="DY435" s="960" t="s">
        <v>18</v>
      </c>
      <c r="DZ435" s="960" t="s">
        <v>56</v>
      </c>
      <c r="EA435" s="960" t="s">
        <v>21</v>
      </c>
      <c r="EB435" s="1083" t="s">
        <v>57</v>
      </c>
    </row>
    <row r="436" spans="1:132">
      <c r="A436" s="2210" t="s">
        <v>6</v>
      </c>
      <c r="B436" s="1084">
        <v>0</v>
      </c>
      <c r="C436" s="957">
        <v>0</v>
      </c>
      <c r="D436" s="1046">
        <v>0</v>
      </c>
      <c r="E436" s="957">
        <v>0</v>
      </c>
      <c r="F436" s="958">
        <v>0</v>
      </c>
      <c r="G436" s="957">
        <v>0</v>
      </c>
      <c r="H436" s="957">
        <v>0</v>
      </c>
      <c r="I436" s="959">
        <v>0</v>
      </c>
      <c r="J436" s="957">
        <v>0</v>
      </c>
      <c r="K436" s="1085">
        <v>0</v>
      </c>
      <c r="L436" s="1084">
        <v>0</v>
      </c>
      <c r="M436" s="957">
        <v>0</v>
      </c>
      <c r="N436" s="1046">
        <v>0</v>
      </c>
      <c r="O436" s="957">
        <v>0</v>
      </c>
      <c r="P436" s="958">
        <v>0</v>
      </c>
      <c r="Q436" s="957">
        <v>0</v>
      </c>
      <c r="R436" s="957">
        <v>0</v>
      </c>
      <c r="S436" s="959">
        <v>0</v>
      </c>
      <c r="T436" s="957">
        <v>0</v>
      </c>
      <c r="U436" s="1085">
        <v>0</v>
      </c>
      <c r="V436" s="1084">
        <v>0</v>
      </c>
      <c r="W436" s="1127">
        <v>0</v>
      </c>
      <c r="X436" s="1046">
        <v>0</v>
      </c>
      <c r="Y436" s="1127">
        <v>0</v>
      </c>
      <c r="Z436" s="959">
        <v>0</v>
      </c>
      <c r="AA436" s="1127">
        <v>0</v>
      </c>
      <c r="AB436" s="1127">
        <v>0</v>
      </c>
      <c r="AC436" s="959">
        <v>0</v>
      </c>
      <c r="AD436" s="1127"/>
      <c r="AE436" s="1085"/>
      <c r="AF436" s="1084">
        <v>0</v>
      </c>
      <c r="AG436" s="957">
        <v>0</v>
      </c>
      <c r="AH436" s="1046">
        <v>0</v>
      </c>
      <c r="AI436" s="957">
        <v>0</v>
      </c>
      <c r="AJ436" s="958">
        <v>0</v>
      </c>
      <c r="AK436" s="957">
        <v>0</v>
      </c>
      <c r="AL436" s="957">
        <v>0</v>
      </c>
      <c r="AM436" s="959">
        <v>0</v>
      </c>
      <c r="AN436" s="957">
        <v>0</v>
      </c>
      <c r="AO436" s="1085">
        <v>0</v>
      </c>
      <c r="AP436" s="1084">
        <v>0</v>
      </c>
      <c r="AQ436" s="957">
        <v>0</v>
      </c>
      <c r="AR436" s="1046">
        <v>0</v>
      </c>
      <c r="AS436" s="957">
        <v>0</v>
      </c>
      <c r="AT436" s="958">
        <v>0</v>
      </c>
      <c r="AU436" s="957">
        <v>0</v>
      </c>
      <c r="AV436" s="957">
        <v>0</v>
      </c>
      <c r="AW436" s="959">
        <v>0</v>
      </c>
      <c r="AX436" s="957">
        <v>0</v>
      </c>
      <c r="AY436" s="1085">
        <v>0</v>
      </c>
      <c r="AZ436" s="1084">
        <v>0</v>
      </c>
      <c r="BA436" s="957">
        <v>0</v>
      </c>
      <c r="BB436" s="1046">
        <v>0</v>
      </c>
      <c r="BC436" s="957">
        <v>0</v>
      </c>
      <c r="BD436" s="958">
        <v>0</v>
      </c>
      <c r="BE436" s="957">
        <v>0</v>
      </c>
      <c r="BF436" s="957">
        <v>0</v>
      </c>
      <c r="BG436" s="959">
        <v>0</v>
      </c>
      <c r="BH436" s="957">
        <v>0</v>
      </c>
      <c r="BI436" s="1085">
        <v>0</v>
      </c>
      <c r="BJ436" s="1084">
        <v>0</v>
      </c>
      <c r="BK436" s="957">
        <v>0</v>
      </c>
      <c r="BL436" s="1046">
        <v>0</v>
      </c>
      <c r="BM436" s="957">
        <v>0</v>
      </c>
      <c r="BN436" s="958">
        <v>0</v>
      </c>
      <c r="BO436" s="957">
        <v>0</v>
      </c>
      <c r="BP436" s="957">
        <v>0</v>
      </c>
      <c r="BQ436" s="959">
        <v>0</v>
      </c>
      <c r="BR436" s="959">
        <v>0</v>
      </c>
      <c r="BS436" s="959">
        <v>0</v>
      </c>
      <c r="BT436" s="1084">
        <v>0</v>
      </c>
      <c r="BU436" s="957">
        <v>0</v>
      </c>
      <c r="BV436" s="1046">
        <v>0</v>
      </c>
      <c r="BW436" s="957">
        <v>0</v>
      </c>
      <c r="BX436" s="958">
        <v>0</v>
      </c>
      <c r="BY436" s="957">
        <v>0</v>
      </c>
      <c r="BZ436" s="957">
        <v>0</v>
      </c>
      <c r="CA436" s="959">
        <v>0</v>
      </c>
      <c r="CB436" s="957">
        <v>0</v>
      </c>
      <c r="CC436" s="1085">
        <v>0</v>
      </c>
      <c r="CD436" s="1084"/>
      <c r="CE436" s="957"/>
      <c r="CF436" s="1046"/>
      <c r="CG436" s="957"/>
      <c r="CH436" s="958"/>
      <c r="CI436" s="957"/>
      <c r="CJ436" s="957"/>
      <c r="CK436" s="959"/>
      <c r="CL436" s="957"/>
      <c r="CM436" s="1085"/>
      <c r="CN436" s="1084"/>
      <c r="CO436" s="957"/>
      <c r="CP436" s="1046"/>
      <c r="CQ436" s="957"/>
      <c r="CR436" s="958"/>
      <c r="CS436" s="957"/>
      <c r="CT436" s="957"/>
      <c r="CU436" s="959"/>
      <c r="CV436" s="957"/>
      <c r="CW436" s="1714"/>
      <c r="CX436" s="1720"/>
      <c r="CY436" s="957"/>
      <c r="CZ436" s="1046"/>
      <c r="DA436" s="957"/>
      <c r="DB436" s="958"/>
      <c r="DC436" s="957"/>
      <c r="DD436" s="957"/>
      <c r="DE436" s="959"/>
      <c r="DF436" s="957"/>
      <c r="DG436" s="1721"/>
      <c r="DH436" s="1792"/>
      <c r="DI436" s="957"/>
      <c r="DJ436" s="1046"/>
      <c r="DK436" s="957"/>
      <c r="DL436" s="958"/>
      <c r="DM436" s="957"/>
      <c r="DN436" s="957"/>
      <c r="DO436" s="959"/>
      <c r="DP436" s="957"/>
      <c r="DQ436" s="1085"/>
      <c r="DR436" s="77" t="s">
        <v>6</v>
      </c>
      <c r="DS436" s="1792">
        <f t="shared" ref="DS436:DS445" si="33">B436+L436+V436+AF436+AP436+AZ436+BJ436+BT436+CD436+CN436+CX436+DH436</f>
        <v>0</v>
      </c>
      <c r="DT436" s="957">
        <f t="shared" ref="DT436:DT445" si="34">C436+M436+W436+AG436+AQ436+BA436+BK436+BU436+CE436+CO436+CY436+DI436</f>
        <v>0</v>
      </c>
      <c r="DU436" s="1046">
        <f t="shared" ref="DU436:DU445" si="35">D436+N436+X436+AH436+AR436+BB436+BL436+BV436+CF436+CP436+CZ436+DJ436</f>
        <v>0</v>
      </c>
      <c r="DV436" s="957">
        <f t="shared" ref="DV436:DV445" si="36">E436+O436+Y436+AI436+AS436+BC436+BM436+BW436+CG436+CQ436+DA436+DK436</f>
        <v>0</v>
      </c>
      <c r="DW436" s="958">
        <f t="shared" ref="DW436:DW445" si="37">F436+P436+Z436+AJ436+AT436+BD436+BN436+BX436+CH436+CR436+DB436+DL436</f>
        <v>0</v>
      </c>
      <c r="DX436" s="957">
        <f t="shared" ref="DX436:DX445" si="38">G436+Q436+AA436+AK436+AU436+BE436+BO436+BY436+CI436+CS436+DC436+DM436</f>
        <v>0</v>
      </c>
      <c r="DY436" s="957">
        <f t="shared" ref="DY436:DY445" si="39">H436+R436+AB436+AL436+AV436+BF436+BP436+BZ436+CJ436+CT436+DD436+DN436</f>
        <v>0</v>
      </c>
      <c r="DZ436" s="959">
        <f t="shared" ref="DZ436:DZ445" si="40">I436+S436+AC436+AM436+AW436+BG436+BQ436+CA436+CK436+CU436+DE436+DO436</f>
        <v>0</v>
      </c>
      <c r="EA436" s="957">
        <f t="shared" ref="EA436:EA445" si="41">J436+T436+AD436+AN436+AX436+BH436+BR436+CB436+CL436+CV436+DF436+DP436</f>
        <v>0</v>
      </c>
      <c r="EB436" s="1085">
        <f t="shared" ref="EB436:EB445" si="42">K436+U436+AE436+AO436+AY436+BI436+BS436+CC436+CM436+CW436+DG436+DQ436</f>
        <v>0</v>
      </c>
    </row>
    <row r="437" spans="1:132" ht="15.6">
      <c r="A437" s="2210" t="s">
        <v>7</v>
      </c>
      <c r="B437" s="1084">
        <v>97</v>
      </c>
      <c r="C437" s="957"/>
      <c r="D437" s="1046">
        <v>97</v>
      </c>
      <c r="E437" s="957"/>
      <c r="F437" s="958">
        <v>97</v>
      </c>
      <c r="G437" s="957">
        <v>35</v>
      </c>
      <c r="H437" s="957"/>
      <c r="I437" s="959">
        <v>35</v>
      </c>
      <c r="J437" s="957"/>
      <c r="K437" s="1085">
        <v>35</v>
      </c>
      <c r="L437" s="1084">
        <v>52</v>
      </c>
      <c r="M437" s="957"/>
      <c r="N437" s="1046">
        <v>52</v>
      </c>
      <c r="O437" s="957"/>
      <c r="P437" s="958">
        <v>52</v>
      </c>
      <c r="Q437" s="957">
        <v>16</v>
      </c>
      <c r="R437" s="957"/>
      <c r="S437" s="959">
        <v>16</v>
      </c>
      <c r="T437" s="957"/>
      <c r="U437" s="1085">
        <v>16</v>
      </c>
      <c r="V437" s="2468">
        <v>52</v>
      </c>
      <c r="W437" s="2469">
        <v>1</v>
      </c>
      <c r="X437" s="2470">
        <v>53</v>
      </c>
      <c r="Y437" s="2469">
        <v>0</v>
      </c>
      <c r="Z437" s="2471">
        <v>53</v>
      </c>
      <c r="AA437" s="2469">
        <v>17</v>
      </c>
      <c r="AB437" s="2469">
        <v>0</v>
      </c>
      <c r="AC437" s="2471">
        <v>17</v>
      </c>
      <c r="AD437" s="2469">
        <v>0</v>
      </c>
      <c r="AE437" s="2472">
        <v>17</v>
      </c>
      <c r="AF437" s="1084">
        <v>40</v>
      </c>
      <c r="AG437" s="957">
        <v>0</v>
      </c>
      <c r="AH437" s="1046">
        <v>40</v>
      </c>
      <c r="AI437" s="957"/>
      <c r="AJ437" s="958">
        <v>40</v>
      </c>
      <c r="AK437" s="957">
        <v>11</v>
      </c>
      <c r="AL437" s="957"/>
      <c r="AM437" s="959">
        <v>11</v>
      </c>
      <c r="AN437" s="957"/>
      <c r="AO437" s="1085">
        <v>11</v>
      </c>
      <c r="AP437" s="1084">
        <v>54</v>
      </c>
      <c r="AQ437" s="957">
        <v>1</v>
      </c>
      <c r="AR437" s="1046">
        <v>55</v>
      </c>
      <c r="AS437" s="957">
        <v>0</v>
      </c>
      <c r="AT437" s="958">
        <v>55</v>
      </c>
      <c r="AU437" s="957">
        <v>13</v>
      </c>
      <c r="AV437" s="957">
        <v>0</v>
      </c>
      <c r="AW437" s="959">
        <v>13</v>
      </c>
      <c r="AX437" s="957"/>
      <c r="AY437" s="1085">
        <v>13</v>
      </c>
      <c r="AZ437" s="1084">
        <v>52</v>
      </c>
      <c r="BA437" s="957">
        <v>1</v>
      </c>
      <c r="BB437" s="1046">
        <v>53</v>
      </c>
      <c r="BC437" s="957">
        <v>0</v>
      </c>
      <c r="BD437" s="958">
        <v>53</v>
      </c>
      <c r="BE437" s="957">
        <v>19</v>
      </c>
      <c r="BF437" s="957">
        <v>0</v>
      </c>
      <c r="BG437" s="959">
        <v>19</v>
      </c>
      <c r="BH437" s="957">
        <v>0</v>
      </c>
      <c r="BI437" s="1085">
        <v>19</v>
      </c>
      <c r="BJ437" s="2234">
        <v>50</v>
      </c>
      <c r="BK437" s="2234"/>
      <c r="BL437" s="2234">
        <v>50</v>
      </c>
      <c r="BM437" s="2234"/>
      <c r="BN437" s="958">
        <v>50</v>
      </c>
      <c r="BO437" s="2234">
        <v>15</v>
      </c>
      <c r="BP437" s="2234"/>
      <c r="BQ437" s="2234">
        <v>15</v>
      </c>
      <c r="BR437" s="2234"/>
      <c r="BS437" s="959">
        <v>15</v>
      </c>
      <c r="BT437" s="1084">
        <v>24</v>
      </c>
      <c r="BU437" s="957"/>
      <c r="BV437" s="1046">
        <v>24</v>
      </c>
      <c r="BW437" s="957"/>
      <c r="BX437" s="958">
        <v>24</v>
      </c>
      <c r="BY437" s="957">
        <v>10</v>
      </c>
      <c r="BZ437" s="957"/>
      <c r="CA437" s="959">
        <v>10</v>
      </c>
      <c r="CB437" s="957"/>
      <c r="CC437" s="1085">
        <v>10</v>
      </c>
      <c r="CD437" s="1084"/>
      <c r="CE437" s="957"/>
      <c r="CF437" s="1046"/>
      <c r="CG437" s="957"/>
      <c r="CH437" s="958"/>
      <c r="CI437" s="957"/>
      <c r="CJ437" s="957"/>
      <c r="CK437" s="959"/>
      <c r="CL437" s="957"/>
      <c r="CM437" s="1085"/>
      <c r="CN437" s="1084"/>
      <c r="CO437" s="957"/>
      <c r="CP437" s="1046"/>
      <c r="CQ437" s="957"/>
      <c r="CR437" s="958"/>
      <c r="CS437" s="957"/>
      <c r="CT437" s="957"/>
      <c r="CU437" s="959"/>
      <c r="CV437" s="957"/>
      <c r="CW437" s="1714"/>
      <c r="CX437" s="1720"/>
      <c r="CY437" s="957"/>
      <c r="CZ437" s="1046"/>
      <c r="DA437" s="957"/>
      <c r="DB437" s="958"/>
      <c r="DC437" s="957"/>
      <c r="DD437" s="957"/>
      <c r="DE437" s="959"/>
      <c r="DF437" s="957"/>
      <c r="DG437" s="1721"/>
      <c r="DH437" s="1716"/>
      <c r="DI437" s="957"/>
      <c r="DJ437" s="1046"/>
      <c r="DK437" s="957"/>
      <c r="DL437" s="958"/>
      <c r="DM437" s="957"/>
      <c r="DN437" s="957"/>
      <c r="DO437" s="959"/>
      <c r="DP437" s="957"/>
      <c r="DQ437" s="1085"/>
      <c r="DR437" s="77" t="s">
        <v>7</v>
      </c>
      <c r="DS437" s="1716">
        <f t="shared" si="33"/>
        <v>421</v>
      </c>
      <c r="DT437" s="957">
        <f t="shared" si="34"/>
        <v>3</v>
      </c>
      <c r="DU437" s="1046">
        <f t="shared" si="35"/>
        <v>424</v>
      </c>
      <c r="DV437" s="957">
        <f t="shared" si="36"/>
        <v>0</v>
      </c>
      <c r="DW437" s="958">
        <f t="shared" si="37"/>
        <v>424</v>
      </c>
      <c r="DX437" s="957">
        <f t="shared" si="38"/>
        <v>136</v>
      </c>
      <c r="DY437" s="957">
        <f t="shared" si="39"/>
        <v>0</v>
      </c>
      <c r="DZ437" s="959">
        <f t="shared" si="40"/>
        <v>136</v>
      </c>
      <c r="EA437" s="957">
        <f t="shared" si="41"/>
        <v>0</v>
      </c>
      <c r="EB437" s="1085">
        <f t="shared" si="42"/>
        <v>136</v>
      </c>
    </row>
    <row r="438" spans="1:132">
      <c r="A438" s="2210" t="s">
        <v>8</v>
      </c>
      <c r="B438" s="1084">
        <v>0</v>
      </c>
      <c r="C438" s="957">
        <v>0</v>
      </c>
      <c r="D438" s="1046">
        <v>0</v>
      </c>
      <c r="E438" s="957">
        <v>0</v>
      </c>
      <c r="F438" s="958">
        <v>0</v>
      </c>
      <c r="G438" s="957">
        <v>0</v>
      </c>
      <c r="H438" s="957">
        <v>0</v>
      </c>
      <c r="I438" s="959">
        <v>0</v>
      </c>
      <c r="J438" s="957">
        <v>0</v>
      </c>
      <c r="K438" s="1085">
        <v>0</v>
      </c>
      <c r="L438" s="1084">
        <v>0</v>
      </c>
      <c r="M438" s="957">
        <v>0</v>
      </c>
      <c r="N438" s="1046">
        <v>0</v>
      </c>
      <c r="O438" s="957">
        <v>0</v>
      </c>
      <c r="P438" s="958">
        <v>0</v>
      </c>
      <c r="Q438" s="957">
        <v>0</v>
      </c>
      <c r="R438" s="957">
        <v>0</v>
      </c>
      <c r="S438" s="959">
        <v>0</v>
      </c>
      <c r="T438" s="957">
        <v>0</v>
      </c>
      <c r="U438" s="1085">
        <v>0</v>
      </c>
      <c r="V438" s="1084">
        <v>0</v>
      </c>
      <c r="W438" s="1127">
        <v>0</v>
      </c>
      <c r="X438" s="1046">
        <v>0</v>
      </c>
      <c r="Y438" s="1127"/>
      <c r="Z438" s="959">
        <v>0</v>
      </c>
      <c r="AA438" s="1127">
        <v>0</v>
      </c>
      <c r="AB438" s="1127">
        <v>0</v>
      </c>
      <c r="AC438" s="959">
        <v>0</v>
      </c>
      <c r="AD438" s="1127">
        <v>0</v>
      </c>
      <c r="AE438" s="1085">
        <v>0</v>
      </c>
      <c r="AF438" s="1084">
        <v>0</v>
      </c>
      <c r="AG438" s="957">
        <v>0</v>
      </c>
      <c r="AH438" s="1046">
        <v>0</v>
      </c>
      <c r="AI438" s="957">
        <v>0</v>
      </c>
      <c r="AJ438" s="958">
        <v>0</v>
      </c>
      <c r="AK438" s="957">
        <v>0</v>
      </c>
      <c r="AL438" s="957">
        <v>0</v>
      </c>
      <c r="AM438" s="959">
        <v>0</v>
      </c>
      <c r="AN438" s="957">
        <v>0</v>
      </c>
      <c r="AO438" s="1085">
        <v>0</v>
      </c>
      <c r="AP438" s="1084">
        <v>0</v>
      </c>
      <c r="AQ438" s="957">
        <v>0</v>
      </c>
      <c r="AR438" s="1046">
        <v>0</v>
      </c>
      <c r="AS438" s="957">
        <v>0</v>
      </c>
      <c r="AT438" s="958">
        <v>0</v>
      </c>
      <c r="AU438" s="957">
        <v>0</v>
      </c>
      <c r="AV438" s="957">
        <v>0</v>
      </c>
      <c r="AW438" s="959">
        <v>0</v>
      </c>
      <c r="AX438" s="957">
        <v>0</v>
      </c>
      <c r="AY438" s="1085">
        <v>0</v>
      </c>
      <c r="AZ438" s="1084">
        <v>0</v>
      </c>
      <c r="BA438" s="957">
        <v>0</v>
      </c>
      <c r="BB438" s="1046">
        <v>0</v>
      </c>
      <c r="BC438" s="957">
        <v>0</v>
      </c>
      <c r="BD438" s="958">
        <v>0</v>
      </c>
      <c r="BE438" s="957">
        <v>0</v>
      </c>
      <c r="BF438" s="957">
        <v>0</v>
      </c>
      <c r="BG438" s="959">
        <v>0</v>
      </c>
      <c r="BH438" s="957">
        <v>0</v>
      </c>
      <c r="BI438" s="1085">
        <v>0</v>
      </c>
      <c r="BJ438" s="1084">
        <v>0</v>
      </c>
      <c r="BK438" s="957">
        <v>0</v>
      </c>
      <c r="BL438" s="1046">
        <v>0</v>
      </c>
      <c r="BM438" s="957">
        <v>0</v>
      </c>
      <c r="BN438" s="958">
        <v>0</v>
      </c>
      <c r="BO438" s="957">
        <v>0</v>
      </c>
      <c r="BP438" s="957">
        <v>0</v>
      </c>
      <c r="BQ438" s="959">
        <v>0</v>
      </c>
      <c r="BR438" s="959">
        <v>0</v>
      </c>
      <c r="BS438" s="959">
        <v>0</v>
      </c>
      <c r="BT438" s="1084">
        <v>0</v>
      </c>
      <c r="BU438" s="957">
        <v>0</v>
      </c>
      <c r="BV438" s="1046">
        <v>0</v>
      </c>
      <c r="BW438" s="957">
        <v>0</v>
      </c>
      <c r="BX438" s="958">
        <v>0</v>
      </c>
      <c r="BY438" s="957">
        <v>0</v>
      </c>
      <c r="BZ438" s="957">
        <v>0</v>
      </c>
      <c r="CA438" s="959">
        <v>0</v>
      </c>
      <c r="CB438" s="957">
        <v>0</v>
      </c>
      <c r="CC438" s="1085">
        <v>0</v>
      </c>
      <c r="CD438" s="1084"/>
      <c r="CE438" s="957"/>
      <c r="CF438" s="1046"/>
      <c r="CG438" s="957"/>
      <c r="CH438" s="958"/>
      <c r="CI438" s="957"/>
      <c r="CJ438" s="957"/>
      <c r="CK438" s="959"/>
      <c r="CL438" s="957"/>
      <c r="CM438" s="1085"/>
      <c r="CN438" s="1084"/>
      <c r="CO438" s="957"/>
      <c r="CP438" s="1046"/>
      <c r="CQ438" s="957"/>
      <c r="CR438" s="958"/>
      <c r="CS438" s="957"/>
      <c r="CT438" s="957"/>
      <c r="CU438" s="959"/>
      <c r="CV438" s="957"/>
      <c r="CW438" s="1714"/>
      <c r="CX438" s="1720"/>
      <c r="CY438" s="957"/>
      <c r="CZ438" s="1046"/>
      <c r="DA438" s="957"/>
      <c r="DB438" s="958"/>
      <c r="DC438" s="957"/>
      <c r="DD438" s="957"/>
      <c r="DE438" s="959"/>
      <c r="DF438" s="957"/>
      <c r="DG438" s="1721"/>
      <c r="DH438" s="1716"/>
      <c r="DI438" s="957"/>
      <c r="DJ438" s="1046"/>
      <c r="DK438" s="957"/>
      <c r="DL438" s="958"/>
      <c r="DM438" s="957"/>
      <c r="DN438" s="957"/>
      <c r="DO438" s="959"/>
      <c r="DP438" s="957"/>
      <c r="DQ438" s="1085"/>
      <c r="DR438" s="77" t="s">
        <v>8</v>
      </c>
      <c r="DS438" s="1716">
        <f t="shared" si="33"/>
        <v>0</v>
      </c>
      <c r="DT438" s="957">
        <f t="shared" si="34"/>
        <v>0</v>
      </c>
      <c r="DU438" s="1046">
        <f t="shared" si="35"/>
        <v>0</v>
      </c>
      <c r="DV438" s="957">
        <f t="shared" si="36"/>
        <v>0</v>
      </c>
      <c r="DW438" s="958">
        <f t="shared" si="37"/>
        <v>0</v>
      </c>
      <c r="DX438" s="957">
        <f t="shared" si="38"/>
        <v>0</v>
      </c>
      <c r="DY438" s="957">
        <f t="shared" si="39"/>
        <v>0</v>
      </c>
      <c r="DZ438" s="959">
        <f t="shared" si="40"/>
        <v>0</v>
      </c>
      <c r="EA438" s="957">
        <f t="shared" si="41"/>
        <v>0</v>
      </c>
      <c r="EB438" s="1085">
        <f t="shared" si="42"/>
        <v>0</v>
      </c>
    </row>
    <row r="439" spans="1:132">
      <c r="A439" s="2210" t="s">
        <v>125</v>
      </c>
      <c r="B439" s="1084">
        <v>0</v>
      </c>
      <c r="C439" s="957">
        <v>0</v>
      </c>
      <c r="D439" s="1046">
        <v>0</v>
      </c>
      <c r="E439" s="957">
        <v>0</v>
      </c>
      <c r="F439" s="958">
        <v>0</v>
      </c>
      <c r="G439" s="957">
        <v>0</v>
      </c>
      <c r="H439" s="957">
        <v>0</v>
      </c>
      <c r="I439" s="959">
        <v>0</v>
      </c>
      <c r="J439" s="957">
        <v>0</v>
      </c>
      <c r="K439" s="1085">
        <v>0</v>
      </c>
      <c r="L439" s="1084">
        <v>0</v>
      </c>
      <c r="M439" s="957">
        <v>0</v>
      </c>
      <c r="N439" s="1046">
        <v>0</v>
      </c>
      <c r="O439" s="957">
        <v>0</v>
      </c>
      <c r="P439" s="958">
        <v>0</v>
      </c>
      <c r="Q439" s="957">
        <v>0</v>
      </c>
      <c r="R439" s="957">
        <v>0</v>
      </c>
      <c r="S439" s="959">
        <v>0</v>
      </c>
      <c r="T439" s="957">
        <v>0</v>
      </c>
      <c r="U439" s="1085">
        <v>0</v>
      </c>
      <c r="V439" s="1084"/>
      <c r="W439" s="1127"/>
      <c r="X439" s="1046">
        <v>0</v>
      </c>
      <c r="Y439" s="1127">
        <v>0</v>
      </c>
      <c r="Z439" s="959"/>
      <c r="AA439" s="1127"/>
      <c r="AB439" s="1127">
        <v>0</v>
      </c>
      <c r="AC439" s="959">
        <v>0</v>
      </c>
      <c r="AD439" s="1127">
        <v>0</v>
      </c>
      <c r="AE439" s="1085">
        <v>0</v>
      </c>
      <c r="AF439" s="1084">
        <v>0</v>
      </c>
      <c r="AG439" s="957">
        <v>0</v>
      </c>
      <c r="AH439" s="1046">
        <v>0</v>
      </c>
      <c r="AI439" s="957">
        <v>0</v>
      </c>
      <c r="AJ439" s="958">
        <v>0</v>
      </c>
      <c r="AK439" s="957">
        <v>0</v>
      </c>
      <c r="AL439" s="957">
        <v>0</v>
      </c>
      <c r="AM439" s="959">
        <v>0</v>
      </c>
      <c r="AN439" s="957">
        <v>0</v>
      </c>
      <c r="AO439" s="1085">
        <v>0</v>
      </c>
      <c r="AP439" s="1084">
        <v>0</v>
      </c>
      <c r="AQ439" s="957">
        <v>0</v>
      </c>
      <c r="AR439" s="1046">
        <v>0</v>
      </c>
      <c r="AS439" s="957">
        <v>0</v>
      </c>
      <c r="AT439" s="958">
        <v>0</v>
      </c>
      <c r="AU439" s="957">
        <v>0</v>
      </c>
      <c r="AV439" s="957">
        <v>0</v>
      </c>
      <c r="AW439" s="959">
        <v>0</v>
      </c>
      <c r="AX439" s="957">
        <v>0</v>
      </c>
      <c r="AY439" s="1085">
        <v>0</v>
      </c>
      <c r="AZ439" s="1084">
        <v>0</v>
      </c>
      <c r="BA439" s="957">
        <v>0</v>
      </c>
      <c r="BB439" s="1046">
        <v>0</v>
      </c>
      <c r="BC439" s="957">
        <v>0</v>
      </c>
      <c r="BD439" s="958">
        <v>0</v>
      </c>
      <c r="BE439" s="957">
        <v>0</v>
      </c>
      <c r="BF439" s="957">
        <v>0</v>
      </c>
      <c r="BG439" s="959">
        <v>0</v>
      </c>
      <c r="BH439" s="957">
        <v>0</v>
      </c>
      <c r="BI439" s="1085">
        <v>0</v>
      </c>
      <c r="BJ439" s="1084">
        <v>0</v>
      </c>
      <c r="BK439" s="957">
        <v>0</v>
      </c>
      <c r="BL439" s="1046">
        <v>0</v>
      </c>
      <c r="BM439" s="957">
        <v>0</v>
      </c>
      <c r="BN439" s="958">
        <v>0</v>
      </c>
      <c r="BO439" s="957">
        <v>0</v>
      </c>
      <c r="BP439" s="957">
        <v>0</v>
      </c>
      <c r="BQ439" s="959">
        <v>0</v>
      </c>
      <c r="BR439" s="959">
        <v>0</v>
      </c>
      <c r="BS439" s="959">
        <v>0</v>
      </c>
      <c r="BT439" s="1084">
        <v>0</v>
      </c>
      <c r="BU439" s="957">
        <v>0</v>
      </c>
      <c r="BV439" s="1046">
        <v>0</v>
      </c>
      <c r="BW439" s="957">
        <v>0</v>
      </c>
      <c r="BX439" s="958">
        <v>0</v>
      </c>
      <c r="BY439" s="957">
        <v>0</v>
      </c>
      <c r="BZ439" s="957">
        <v>0</v>
      </c>
      <c r="CA439" s="959">
        <v>0</v>
      </c>
      <c r="CB439" s="957">
        <v>0</v>
      </c>
      <c r="CC439" s="1085">
        <v>0</v>
      </c>
      <c r="CD439" s="1084"/>
      <c r="CE439" s="957"/>
      <c r="CF439" s="1046"/>
      <c r="CG439" s="957"/>
      <c r="CH439" s="958"/>
      <c r="CI439" s="957"/>
      <c r="CJ439" s="957"/>
      <c r="CK439" s="959"/>
      <c r="CL439" s="957"/>
      <c r="CM439" s="1085"/>
      <c r="CN439" s="1084"/>
      <c r="CO439" s="957"/>
      <c r="CP439" s="1046"/>
      <c r="CQ439" s="957"/>
      <c r="CR439" s="958"/>
      <c r="CS439" s="957"/>
      <c r="CT439" s="957"/>
      <c r="CU439" s="959"/>
      <c r="CV439" s="957"/>
      <c r="CW439" s="1714"/>
      <c r="CX439" s="1720"/>
      <c r="CY439" s="957"/>
      <c r="CZ439" s="1046"/>
      <c r="DA439" s="957"/>
      <c r="DB439" s="958"/>
      <c r="DC439" s="957"/>
      <c r="DD439" s="957"/>
      <c r="DE439" s="959"/>
      <c r="DF439" s="957"/>
      <c r="DG439" s="1721"/>
      <c r="DH439" s="1716"/>
      <c r="DI439" s="957"/>
      <c r="DJ439" s="1046"/>
      <c r="DK439" s="957"/>
      <c r="DL439" s="958"/>
      <c r="DM439" s="957"/>
      <c r="DN439" s="957"/>
      <c r="DO439" s="959"/>
      <c r="DP439" s="957"/>
      <c r="DQ439" s="1085"/>
      <c r="DR439" s="77" t="s">
        <v>125</v>
      </c>
      <c r="DS439" s="1716">
        <f t="shared" si="33"/>
        <v>0</v>
      </c>
      <c r="DT439" s="957">
        <f t="shared" si="34"/>
        <v>0</v>
      </c>
      <c r="DU439" s="1046">
        <f t="shared" si="35"/>
        <v>0</v>
      </c>
      <c r="DV439" s="957">
        <f t="shared" si="36"/>
        <v>0</v>
      </c>
      <c r="DW439" s="958">
        <f t="shared" si="37"/>
        <v>0</v>
      </c>
      <c r="DX439" s="957">
        <f t="shared" si="38"/>
        <v>0</v>
      </c>
      <c r="DY439" s="957">
        <f t="shared" si="39"/>
        <v>0</v>
      </c>
      <c r="DZ439" s="959">
        <f t="shared" si="40"/>
        <v>0</v>
      </c>
      <c r="EA439" s="957">
        <f t="shared" si="41"/>
        <v>0</v>
      </c>
      <c r="EB439" s="1085">
        <f>K439+U439+AE439+AO439+AY439+BI439+BS439+CC439+CM439+CW439+DG439+DQ439</f>
        <v>0</v>
      </c>
    </row>
    <row r="440" spans="1:132" ht="15.6">
      <c r="A440" s="2210" t="s">
        <v>3</v>
      </c>
      <c r="B440" s="1084">
        <v>27</v>
      </c>
      <c r="C440" s="957"/>
      <c r="D440" s="1046">
        <v>27</v>
      </c>
      <c r="E440" s="957"/>
      <c r="F440" s="958">
        <v>27</v>
      </c>
      <c r="G440" s="957">
        <v>15</v>
      </c>
      <c r="H440" s="957"/>
      <c r="I440" s="959">
        <v>15</v>
      </c>
      <c r="J440" s="957"/>
      <c r="K440" s="1085">
        <v>15</v>
      </c>
      <c r="L440" s="1084">
        <v>23</v>
      </c>
      <c r="M440" s="957"/>
      <c r="N440" s="1046">
        <v>23</v>
      </c>
      <c r="O440" s="957"/>
      <c r="P440" s="958">
        <v>23</v>
      </c>
      <c r="Q440" s="957">
        <v>4</v>
      </c>
      <c r="R440" s="957"/>
      <c r="S440" s="959">
        <v>4</v>
      </c>
      <c r="T440" s="957"/>
      <c r="U440" s="1085">
        <v>4</v>
      </c>
      <c r="V440" s="2468">
        <v>24</v>
      </c>
      <c r="W440" s="2469"/>
      <c r="X440" s="2470">
        <v>24</v>
      </c>
      <c r="Y440" s="2469">
        <v>0</v>
      </c>
      <c r="Z440" s="2471">
        <v>24</v>
      </c>
      <c r="AA440" s="2469">
        <v>19</v>
      </c>
      <c r="AB440" s="2469"/>
      <c r="AC440" s="2471">
        <v>19</v>
      </c>
      <c r="AD440" s="2469">
        <v>0</v>
      </c>
      <c r="AE440" s="2472">
        <v>19</v>
      </c>
      <c r="AF440" s="1084">
        <v>16</v>
      </c>
      <c r="AG440" s="957"/>
      <c r="AH440" s="1046">
        <v>16</v>
      </c>
      <c r="AI440" s="957"/>
      <c r="AJ440" s="958">
        <v>16</v>
      </c>
      <c r="AK440" s="957">
        <v>4</v>
      </c>
      <c r="AL440" s="957"/>
      <c r="AM440" s="959">
        <v>4</v>
      </c>
      <c r="AN440" s="957"/>
      <c r="AO440" s="1085">
        <v>4</v>
      </c>
      <c r="AP440" s="1084">
        <v>14</v>
      </c>
      <c r="AQ440" s="957"/>
      <c r="AR440" s="1046">
        <v>14</v>
      </c>
      <c r="AS440" s="957"/>
      <c r="AT440" s="958">
        <v>14</v>
      </c>
      <c r="AU440" s="957">
        <v>9</v>
      </c>
      <c r="AV440" s="957"/>
      <c r="AW440" s="959">
        <v>9</v>
      </c>
      <c r="AX440" s="957"/>
      <c r="AY440" s="1085">
        <v>9</v>
      </c>
      <c r="AZ440" s="1084">
        <v>12</v>
      </c>
      <c r="BA440" s="957"/>
      <c r="BB440" s="1046">
        <v>12</v>
      </c>
      <c r="BC440" s="957"/>
      <c r="BD440" s="958">
        <v>12</v>
      </c>
      <c r="BE440" s="957">
        <v>5</v>
      </c>
      <c r="BF440" s="957"/>
      <c r="BG440" s="959">
        <v>5</v>
      </c>
      <c r="BH440" s="957"/>
      <c r="BI440" s="1085">
        <v>5</v>
      </c>
      <c r="BJ440" s="2239">
        <v>29</v>
      </c>
      <c r="BK440" s="2240"/>
      <c r="BL440" s="2237">
        <v>29</v>
      </c>
      <c r="BM440" s="2236"/>
      <c r="BN440" s="2235">
        <v>29</v>
      </c>
      <c r="BO440" s="2241">
        <v>7</v>
      </c>
      <c r="BP440" s="2241"/>
      <c r="BQ440" s="2238">
        <v>7</v>
      </c>
      <c r="BR440" s="2241"/>
      <c r="BS440" s="2238">
        <v>7</v>
      </c>
      <c r="BT440" s="1084">
        <v>16</v>
      </c>
      <c r="BU440" s="957"/>
      <c r="BV440" s="1046">
        <v>16</v>
      </c>
      <c r="BW440" s="957"/>
      <c r="BX440" s="958">
        <v>16</v>
      </c>
      <c r="BY440" s="957">
        <v>8</v>
      </c>
      <c r="BZ440" s="957"/>
      <c r="CA440" s="959">
        <v>8</v>
      </c>
      <c r="CB440" s="957"/>
      <c r="CC440" s="1085">
        <v>8</v>
      </c>
      <c r="CD440" s="1084"/>
      <c r="CE440" s="957"/>
      <c r="CF440" s="1046"/>
      <c r="CG440" s="957"/>
      <c r="CH440" s="958"/>
      <c r="CI440" s="957"/>
      <c r="CJ440" s="957"/>
      <c r="CK440" s="959"/>
      <c r="CL440" s="957"/>
      <c r="CM440" s="1085"/>
      <c r="CN440" s="1084"/>
      <c r="CO440" s="957"/>
      <c r="CP440" s="1046"/>
      <c r="CQ440" s="957"/>
      <c r="CR440" s="958"/>
      <c r="CS440" s="957"/>
      <c r="CT440" s="957"/>
      <c r="CU440" s="959"/>
      <c r="CV440" s="957"/>
      <c r="CW440" s="1714"/>
      <c r="CX440" s="1720"/>
      <c r="CY440" s="957"/>
      <c r="CZ440" s="1046"/>
      <c r="DA440" s="957"/>
      <c r="DB440" s="958"/>
      <c r="DC440" s="957"/>
      <c r="DD440" s="957"/>
      <c r="DE440" s="959"/>
      <c r="DF440" s="957"/>
      <c r="DG440" s="1721"/>
      <c r="DH440" s="1716"/>
      <c r="DI440" s="957"/>
      <c r="DJ440" s="1046"/>
      <c r="DK440" s="957"/>
      <c r="DL440" s="958"/>
      <c r="DM440" s="957"/>
      <c r="DN440" s="957"/>
      <c r="DO440" s="959"/>
      <c r="DP440" s="957"/>
      <c r="DQ440" s="1085"/>
      <c r="DR440" s="77" t="s">
        <v>3</v>
      </c>
      <c r="DS440" s="1716">
        <f t="shared" si="33"/>
        <v>161</v>
      </c>
      <c r="DT440" s="957">
        <f t="shared" si="34"/>
        <v>0</v>
      </c>
      <c r="DU440" s="1046">
        <f t="shared" si="35"/>
        <v>161</v>
      </c>
      <c r="DV440" s="957">
        <f t="shared" si="36"/>
        <v>0</v>
      </c>
      <c r="DW440" s="958">
        <f t="shared" si="37"/>
        <v>161</v>
      </c>
      <c r="DX440" s="957">
        <f t="shared" si="38"/>
        <v>71</v>
      </c>
      <c r="DY440" s="957">
        <f t="shared" si="39"/>
        <v>0</v>
      </c>
      <c r="DZ440" s="959">
        <f t="shared" si="40"/>
        <v>71</v>
      </c>
      <c r="EA440" s="957">
        <f t="shared" si="41"/>
        <v>0</v>
      </c>
      <c r="EB440" s="1085">
        <f t="shared" si="42"/>
        <v>71</v>
      </c>
    </row>
    <row r="441" spans="1:132">
      <c r="A441" s="2210" t="s">
        <v>397</v>
      </c>
      <c r="B441" s="1084">
        <v>0</v>
      </c>
      <c r="C441" s="957">
        <v>0</v>
      </c>
      <c r="D441" s="1046">
        <v>0</v>
      </c>
      <c r="E441" s="957">
        <v>0</v>
      </c>
      <c r="F441" s="958">
        <v>0</v>
      </c>
      <c r="G441" s="957">
        <v>0</v>
      </c>
      <c r="H441" s="957">
        <v>0</v>
      </c>
      <c r="I441" s="959">
        <v>0</v>
      </c>
      <c r="J441" s="957">
        <v>0</v>
      </c>
      <c r="K441" s="1085">
        <v>0</v>
      </c>
      <c r="L441" s="1084">
        <v>0</v>
      </c>
      <c r="M441" s="957">
        <v>0</v>
      </c>
      <c r="N441" s="1046">
        <v>0</v>
      </c>
      <c r="O441" s="957">
        <v>0</v>
      </c>
      <c r="P441" s="958">
        <v>0</v>
      </c>
      <c r="Q441" s="957">
        <v>0</v>
      </c>
      <c r="R441" s="957">
        <v>0</v>
      </c>
      <c r="S441" s="959">
        <v>0</v>
      </c>
      <c r="T441" s="957">
        <v>0</v>
      </c>
      <c r="U441" s="1085">
        <v>0</v>
      </c>
      <c r="V441" s="1084">
        <v>0</v>
      </c>
      <c r="W441" s="1127">
        <v>0</v>
      </c>
      <c r="X441" s="1046">
        <v>0</v>
      </c>
      <c r="Y441" s="1127"/>
      <c r="Z441" s="959">
        <v>0</v>
      </c>
      <c r="AA441" s="1127">
        <v>0</v>
      </c>
      <c r="AB441" s="1127">
        <v>0</v>
      </c>
      <c r="AC441" s="959">
        <v>0</v>
      </c>
      <c r="AD441" s="1127">
        <v>0</v>
      </c>
      <c r="AE441" s="1085">
        <v>0</v>
      </c>
      <c r="AF441" s="1084">
        <v>0</v>
      </c>
      <c r="AG441" s="957">
        <v>0</v>
      </c>
      <c r="AH441" s="1046">
        <v>0</v>
      </c>
      <c r="AI441" s="957">
        <v>0</v>
      </c>
      <c r="AJ441" s="958">
        <v>0</v>
      </c>
      <c r="AK441" s="957">
        <v>0</v>
      </c>
      <c r="AL441" s="957">
        <v>0</v>
      </c>
      <c r="AM441" s="959">
        <v>0</v>
      </c>
      <c r="AN441" s="957">
        <v>0</v>
      </c>
      <c r="AO441" s="1085">
        <v>0</v>
      </c>
      <c r="AP441" s="1084">
        <v>0</v>
      </c>
      <c r="AQ441" s="957">
        <v>0</v>
      </c>
      <c r="AR441" s="1046">
        <v>0</v>
      </c>
      <c r="AS441" s="957">
        <v>0</v>
      </c>
      <c r="AT441" s="958">
        <v>0</v>
      </c>
      <c r="AU441" s="957">
        <v>0</v>
      </c>
      <c r="AV441" s="957">
        <v>0</v>
      </c>
      <c r="AW441" s="959">
        <v>0</v>
      </c>
      <c r="AX441" s="957">
        <v>0</v>
      </c>
      <c r="AY441" s="1085">
        <v>0</v>
      </c>
      <c r="AZ441" s="1084">
        <v>0</v>
      </c>
      <c r="BA441" s="957">
        <v>0</v>
      </c>
      <c r="BB441" s="1046">
        <v>0</v>
      </c>
      <c r="BC441" s="957">
        <v>0</v>
      </c>
      <c r="BD441" s="958">
        <v>0</v>
      </c>
      <c r="BE441" s="957">
        <v>0</v>
      </c>
      <c r="BF441" s="957">
        <v>0</v>
      </c>
      <c r="BG441" s="959">
        <v>0</v>
      </c>
      <c r="BH441" s="957">
        <v>0</v>
      </c>
      <c r="BI441" s="1085">
        <v>0</v>
      </c>
      <c r="BJ441" s="1084">
        <v>0</v>
      </c>
      <c r="BK441" s="957">
        <v>0</v>
      </c>
      <c r="BL441" s="1046">
        <v>0</v>
      </c>
      <c r="BM441" s="957">
        <v>0</v>
      </c>
      <c r="BN441" s="958">
        <v>0</v>
      </c>
      <c r="BO441" s="957">
        <v>0</v>
      </c>
      <c r="BP441" s="957">
        <v>0</v>
      </c>
      <c r="BQ441" s="959">
        <v>0</v>
      </c>
      <c r="BR441" s="959">
        <v>0</v>
      </c>
      <c r="BS441" s="959">
        <v>0</v>
      </c>
      <c r="BT441" s="1084">
        <v>0</v>
      </c>
      <c r="BU441" s="957">
        <v>0</v>
      </c>
      <c r="BV441" s="1046">
        <v>0</v>
      </c>
      <c r="BW441" s="957">
        <v>0</v>
      </c>
      <c r="BX441" s="958">
        <v>0</v>
      </c>
      <c r="BY441" s="957">
        <v>0</v>
      </c>
      <c r="BZ441" s="957">
        <v>0</v>
      </c>
      <c r="CA441" s="959">
        <v>0</v>
      </c>
      <c r="CB441" s="957">
        <v>0</v>
      </c>
      <c r="CC441" s="1085">
        <v>0</v>
      </c>
      <c r="CD441" s="1084"/>
      <c r="CE441" s="957"/>
      <c r="CF441" s="1046"/>
      <c r="CG441" s="957"/>
      <c r="CH441" s="958"/>
      <c r="CI441" s="957"/>
      <c r="CJ441" s="957"/>
      <c r="CK441" s="959"/>
      <c r="CL441" s="957"/>
      <c r="CM441" s="1085"/>
      <c r="CN441" s="1084"/>
      <c r="CO441" s="957"/>
      <c r="CP441" s="1046"/>
      <c r="CQ441" s="957"/>
      <c r="CR441" s="958"/>
      <c r="CS441" s="957"/>
      <c r="CT441" s="957"/>
      <c r="CU441" s="959"/>
      <c r="CV441" s="957"/>
      <c r="CW441" s="1714"/>
      <c r="CX441" s="1720"/>
      <c r="CY441" s="957"/>
      <c r="CZ441" s="1046"/>
      <c r="DA441" s="957"/>
      <c r="DB441" s="958"/>
      <c r="DC441" s="957"/>
      <c r="DD441" s="957"/>
      <c r="DE441" s="959"/>
      <c r="DF441" s="957"/>
      <c r="DG441" s="1721"/>
      <c r="DH441" s="1716"/>
      <c r="DI441" s="957"/>
      <c r="DJ441" s="1046"/>
      <c r="DK441" s="957"/>
      <c r="DL441" s="958"/>
      <c r="DM441" s="957"/>
      <c r="DN441" s="957"/>
      <c r="DO441" s="959"/>
      <c r="DP441" s="957"/>
      <c r="DQ441" s="1085"/>
      <c r="DR441" s="77" t="s">
        <v>397</v>
      </c>
      <c r="DS441" s="1716">
        <f t="shared" si="33"/>
        <v>0</v>
      </c>
      <c r="DT441" s="957">
        <f t="shared" si="34"/>
        <v>0</v>
      </c>
      <c r="DU441" s="1046">
        <f t="shared" si="35"/>
        <v>0</v>
      </c>
      <c r="DV441" s="957">
        <f t="shared" si="36"/>
        <v>0</v>
      </c>
      <c r="DW441" s="958">
        <f t="shared" si="37"/>
        <v>0</v>
      </c>
      <c r="DX441" s="957">
        <f t="shared" si="38"/>
        <v>0</v>
      </c>
      <c r="DY441" s="957">
        <f t="shared" si="39"/>
        <v>0</v>
      </c>
      <c r="DZ441" s="959">
        <f t="shared" si="40"/>
        <v>0</v>
      </c>
      <c r="EA441" s="957">
        <f t="shared" si="41"/>
        <v>0</v>
      </c>
      <c r="EB441" s="1085">
        <f t="shared" si="42"/>
        <v>0</v>
      </c>
    </row>
    <row r="442" spans="1:132">
      <c r="A442" s="2210" t="s">
        <v>399</v>
      </c>
      <c r="B442" s="1084">
        <v>0</v>
      </c>
      <c r="C442" s="957">
        <v>0</v>
      </c>
      <c r="D442" s="1046">
        <v>0</v>
      </c>
      <c r="E442" s="957">
        <v>0</v>
      </c>
      <c r="F442" s="958">
        <v>0</v>
      </c>
      <c r="G442" s="957">
        <v>0</v>
      </c>
      <c r="H442" s="957">
        <v>0</v>
      </c>
      <c r="I442" s="959">
        <v>0</v>
      </c>
      <c r="J442" s="957">
        <v>0</v>
      </c>
      <c r="K442" s="1085">
        <v>0</v>
      </c>
      <c r="L442" s="1084">
        <v>0</v>
      </c>
      <c r="M442" s="957">
        <v>0</v>
      </c>
      <c r="N442" s="1046">
        <v>0</v>
      </c>
      <c r="O442" s="957">
        <v>0</v>
      </c>
      <c r="P442" s="958">
        <v>0</v>
      </c>
      <c r="Q442" s="957">
        <v>0</v>
      </c>
      <c r="R442" s="957">
        <v>0</v>
      </c>
      <c r="S442" s="959">
        <v>0</v>
      </c>
      <c r="T442" s="957">
        <v>0</v>
      </c>
      <c r="U442" s="1085">
        <v>0</v>
      </c>
      <c r="V442" s="1084">
        <v>0</v>
      </c>
      <c r="W442" s="1127">
        <v>0</v>
      </c>
      <c r="X442" s="1046">
        <v>0</v>
      </c>
      <c r="Y442" s="1127">
        <v>0</v>
      </c>
      <c r="Z442" s="959"/>
      <c r="AA442" s="1127">
        <v>0</v>
      </c>
      <c r="AB442" s="1127">
        <v>0</v>
      </c>
      <c r="AC442" s="959">
        <v>0</v>
      </c>
      <c r="AD442" s="1127">
        <v>0</v>
      </c>
      <c r="AE442" s="1085"/>
      <c r="AF442" s="1084">
        <v>0</v>
      </c>
      <c r="AG442" s="957">
        <v>0</v>
      </c>
      <c r="AH442" s="1046">
        <v>0</v>
      </c>
      <c r="AI442" s="957">
        <v>0</v>
      </c>
      <c r="AJ442" s="958">
        <v>0</v>
      </c>
      <c r="AK442" s="957">
        <v>0</v>
      </c>
      <c r="AL442" s="957">
        <v>0</v>
      </c>
      <c r="AM442" s="959">
        <v>0</v>
      </c>
      <c r="AN442" s="957">
        <v>0</v>
      </c>
      <c r="AO442" s="1085">
        <v>0</v>
      </c>
      <c r="AP442" s="1084">
        <v>0</v>
      </c>
      <c r="AQ442" s="957">
        <v>0</v>
      </c>
      <c r="AR442" s="1046">
        <v>0</v>
      </c>
      <c r="AS442" s="957">
        <v>0</v>
      </c>
      <c r="AT442" s="958">
        <v>0</v>
      </c>
      <c r="AU442" s="957">
        <v>0</v>
      </c>
      <c r="AV442" s="957">
        <v>0</v>
      </c>
      <c r="AW442" s="959">
        <v>0</v>
      </c>
      <c r="AX442" s="957">
        <v>0</v>
      </c>
      <c r="AY442" s="1085">
        <v>0</v>
      </c>
      <c r="AZ442" s="1084">
        <v>0</v>
      </c>
      <c r="BA442" s="957">
        <v>0</v>
      </c>
      <c r="BB442" s="1046">
        <v>0</v>
      </c>
      <c r="BC442" s="957">
        <v>0</v>
      </c>
      <c r="BD442" s="958">
        <v>0</v>
      </c>
      <c r="BE442" s="957">
        <v>0</v>
      </c>
      <c r="BF442" s="957">
        <v>0</v>
      </c>
      <c r="BG442" s="959">
        <v>0</v>
      </c>
      <c r="BH442" s="957">
        <v>0</v>
      </c>
      <c r="BI442" s="1085">
        <v>0</v>
      </c>
      <c r="BJ442" s="1084">
        <v>0</v>
      </c>
      <c r="BK442" s="957">
        <v>0</v>
      </c>
      <c r="BL442" s="1046">
        <v>0</v>
      </c>
      <c r="BM442" s="957">
        <v>0</v>
      </c>
      <c r="BN442" s="958">
        <v>0</v>
      </c>
      <c r="BO442" s="957">
        <v>0</v>
      </c>
      <c r="BP442" s="957">
        <v>0</v>
      </c>
      <c r="BQ442" s="959">
        <v>0</v>
      </c>
      <c r="BR442" s="959">
        <v>0</v>
      </c>
      <c r="BS442" s="959">
        <v>0</v>
      </c>
      <c r="BT442" s="1084">
        <v>0</v>
      </c>
      <c r="BU442" s="957">
        <v>0</v>
      </c>
      <c r="BV442" s="1046">
        <v>0</v>
      </c>
      <c r="BW442" s="957">
        <v>0</v>
      </c>
      <c r="BX442" s="958">
        <v>0</v>
      </c>
      <c r="BY442" s="957">
        <v>0</v>
      </c>
      <c r="BZ442" s="957">
        <v>0</v>
      </c>
      <c r="CA442" s="959">
        <v>0</v>
      </c>
      <c r="CB442" s="957">
        <v>0</v>
      </c>
      <c r="CC442" s="1085">
        <v>0</v>
      </c>
      <c r="CD442" s="1084"/>
      <c r="CE442" s="957"/>
      <c r="CF442" s="1046"/>
      <c r="CG442" s="957"/>
      <c r="CH442" s="958"/>
      <c r="CI442" s="957"/>
      <c r="CJ442" s="957"/>
      <c r="CK442" s="959"/>
      <c r="CL442" s="957"/>
      <c r="CM442" s="1085"/>
      <c r="CN442" s="1084"/>
      <c r="CO442" s="957"/>
      <c r="CP442" s="1046"/>
      <c r="CQ442" s="957"/>
      <c r="CR442" s="958"/>
      <c r="CS442" s="957"/>
      <c r="CT442" s="957"/>
      <c r="CU442" s="959"/>
      <c r="CV442" s="957"/>
      <c r="CW442" s="1714"/>
      <c r="CX442" s="1720"/>
      <c r="CY442" s="957"/>
      <c r="CZ442" s="1046"/>
      <c r="DA442" s="957"/>
      <c r="DB442" s="958"/>
      <c r="DC442" s="957"/>
      <c r="DD442" s="957"/>
      <c r="DE442" s="959"/>
      <c r="DF442" s="957"/>
      <c r="DG442" s="1721"/>
      <c r="DH442" s="1716"/>
      <c r="DI442" s="957"/>
      <c r="DJ442" s="1046"/>
      <c r="DK442" s="957"/>
      <c r="DL442" s="958"/>
      <c r="DM442" s="957"/>
      <c r="DN442" s="957"/>
      <c r="DO442" s="959"/>
      <c r="DP442" s="957"/>
      <c r="DQ442" s="1085"/>
      <c r="DR442" s="77" t="s">
        <v>399</v>
      </c>
      <c r="DS442" s="1716">
        <f t="shared" si="33"/>
        <v>0</v>
      </c>
      <c r="DT442" s="957">
        <f t="shared" si="34"/>
        <v>0</v>
      </c>
      <c r="DU442" s="1046">
        <f t="shared" si="35"/>
        <v>0</v>
      </c>
      <c r="DV442" s="957">
        <f t="shared" si="36"/>
        <v>0</v>
      </c>
      <c r="DW442" s="958">
        <f t="shared" si="37"/>
        <v>0</v>
      </c>
      <c r="DX442" s="957">
        <f t="shared" si="38"/>
        <v>0</v>
      </c>
      <c r="DY442" s="957">
        <f t="shared" si="39"/>
        <v>0</v>
      </c>
      <c r="DZ442" s="959">
        <f t="shared" si="40"/>
        <v>0</v>
      </c>
      <c r="EA442" s="957">
        <f t="shared" si="41"/>
        <v>0</v>
      </c>
      <c r="EB442" s="1085">
        <f t="shared" si="42"/>
        <v>0</v>
      </c>
    </row>
    <row r="443" spans="1:132">
      <c r="A443" s="2210" t="s">
        <v>883</v>
      </c>
      <c r="B443" s="1084">
        <v>25</v>
      </c>
      <c r="C443" s="957"/>
      <c r="D443" s="1046">
        <v>25</v>
      </c>
      <c r="E443" s="957"/>
      <c r="F443" s="958">
        <v>25</v>
      </c>
      <c r="G443" s="957">
        <v>1</v>
      </c>
      <c r="H443" s="957">
        <v>0</v>
      </c>
      <c r="I443" s="959">
        <v>1</v>
      </c>
      <c r="J443" s="957"/>
      <c r="K443" s="1085">
        <v>1</v>
      </c>
      <c r="L443" s="1084">
        <v>21</v>
      </c>
      <c r="M443" s="957"/>
      <c r="N443" s="1046">
        <v>21</v>
      </c>
      <c r="O443" s="957"/>
      <c r="P443" s="958">
        <v>21</v>
      </c>
      <c r="Q443" s="957">
        <v>2</v>
      </c>
      <c r="R443" s="957"/>
      <c r="S443" s="959">
        <v>2</v>
      </c>
      <c r="T443" s="957"/>
      <c r="U443" s="1085">
        <v>2</v>
      </c>
      <c r="V443" s="2468">
        <v>20</v>
      </c>
      <c r="W443" s="2469"/>
      <c r="X443" s="2470">
        <v>20</v>
      </c>
      <c r="Y443" s="2469"/>
      <c r="Z443" s="2471">
        <v>20</v>
      </c>
      <c r="AA443" s="2469">
        <v>1</v>
      </c>
      <c r="AB443" s="2469"/>
      <c r="AC443" s="2471">
        <v>1</v>
      </c>
      <c r="AD443" s="2469"/>
      <c r="AE443" s="2472">
        <v>1</v>
      </c>
      <c r="AF443" s="1084">
        <v>23</v>
      </c>
      <c r="AG443" s="957"/>
      <c r="AH443" s="1046">
        <v>23</v>
      </c>
      <c r="AI443" s="957"/>
      <c r="AJ443" s="958">
        <v>23</v>
      </c>
      <c r="AK443" s="957">
        <v>2</v>
      </c>
      <c r="AL443" s="957"/>
      <c r="AM443" s="959">
        <v>2</v>
      </c>
      <c r="AN443" s="957"/>
      <c r="AO443" s="1085">
        <v>2</v>
      </c>
      <c r="AP443" s="1084">
        <v>17</v>
      </c>
      <c r="AQ443" s="957"/>
      <c r="AR443" s="1046">
        <v>17</v>
      </c>
      <c r="AS443" s="957"/>
      <c r="AT443" s="958">
        <v>17</v>
      </c>
      <c r="AU443" s="957">
        <v>1</v>
      </c>
      <c r="AV443" s="957"/>
      <c r="AW443" s="959">
        <v>1</v>
      </c>
      <c r="AX443" s="957"/>
      <c r="AY443" s="1085">
        <v>1</v>
      </c>
      <c r="AZ443" s="1084">
        <v>27</v>
      </c>
      <c r="BA443" s="957"/>
      <c r="BB443" s="1046">
        <v>27</v>
      </c>
      <c r="BC443" s="957"/>
      <c r="BD443" s="958">
        <v>27</v>
      </c>
      <c r="BE443" s="957">
        <v>0</v>
      </c>
      <c r="BF443" s="957">
        <v>0</v>
      </c>
      <c r="BG443" s="959">
        <v>0</v>
      </c>
      <c r="BH443" s="957">
        <v>0</v>
      </c>
      <c r="BI443" s="1085">
        <v>0</v>
      </c>
      <c r="BJ443" s="1084">
        <v>13</v>
      </c>
      <c r="BK443" s="957"/>
      <c r="BL443" s="1046">
        <v>13</v>
      </c>
      <c r="BM443" s="957"/>
      <c r="BN443" s="958">
        <v>13</v>
      </c>
      <c r="BO443" s="957">
        <v>0</v>
      </c>
      <c r="BP443" s="957">
        <v>0</v>
      </c>
      <c r="BQ443" s="959">
        <v>0</v>
      </c>
      <c r="BR443" s="957">
        <v>0</v>
      </c>
      <c r="BS443" s="1085">
        <v>0</v>
      </c>
      <c r="BT443" s="1084">
        <v>12</v>
      </c>
      <c r="BU443" s="957"/>
      <c r="BV443" s="1046">
        <v>12</v>
      </c>
      <c r="BW443" s="957"/>
      <c r="BX443" s="958">
        <v>12</v>
      </c>
      <c r="BY443" s="957">
        <v>0</v>
      </c>
      <c r="BZ443" s="957">
        <v>0</v>
      </c>
      <c r="CA443" s="959">
        <v>0</v>
      </c>
      <c r="CB443" s="957">
        <v>0</v>
      </c>
      <c r="CC443" s="1085">
        <v>0</v>
      </c>
      <c r="CD443" s="1084"/>
      <c r="CE443" s="957"/>
      <c r="CF443" s="1046"/>
      <c r="CG443" s="957"/>
      <c r="CH443" s="958"/>
      <c r="CI443" s="957"/>
      <c r="CJ443" s="957"/>
      <c r="CK443" s="959"/>
      <c r="CL443" s="957"/>
      <c r="CM443" s="1085"/>
      <c r="CN443" s="1084"/>
      <c r="CO443" s="957"/>
      <c r="CP443" s="1046"/>
      <c r="CQ443" s="957"/>
      <c r="CR443" s="958"/>
      <c r="CS443" s="957"/>
      <c r="CT443" s="957"/>
      <c r="CU443" s="959"/>
      <c r="CV443" s="957"/>
      <c r="CW443" s="1714"/>
      <c r="CX443" s="1720"/>
      <c r="CY443" s="957"/>
      <c r="CZ443" s="1046"/>
      <c r="DA443" s="957"/>
      <c r="DB443" s="958"/>
      <c r="DC443" s="957"/>
      <c r="DD443" s="957"/>
      <c r="DE443" s="959"/>
      <c r="DF443" s="957"/>
      <c r="DG443" s="1721"/>
      <c r="DH443" s="1716"/>
      <c r="DI443" s="957"/>
      <c r="DJ443" s="1046"/>
      <c r="DK443" s="957"/>
      <c r="DL443" s="958"/>
      <c r="DM443" s="957"/>
      <c r="DN443" s="957"/>
      <c r="DO443" s="959"/>
      <c r="DP443" s="957"/>
      <c r="DQ443" s="1085"/>
      <c r="DR443" s="77" t="s">
        <v>883</v>
      </c>
      <c r="DS443" s="1716">
        <f t="shared" si="33"/>
        <v>158</v>
      </c>
      <c r="DT443" s="957">
        <f t="shared" si="34"/>
        <v>0</v>
      </c>
      <c r="DU443" s="1046">
        <f t="shared" si="35"/>
        <v>158</v>
      </c>
      <c r="DV443" s="957">
        <f t="shared" si="36"/>
        <v>0</v>
      </c>
      <c r="DW443" s="958">
        <f t="shared" si="37"/>
        <v>158</v>
      </c>
      <c r="DX443" s="957">
        <f t="shared" si="38"/>
        <v>7</v>
      </c>
      <c r="DY443" s="957">
        <f t="shared" si="39"/>
        <v>0</v>
      </c>
      <c r="DZ443" s="959">
        <f t="shared" si="40"/>
        <v>7</v>
      </c>
      <c r="EA443" s="957">
        <f t="shared" si="41"/>
        <v>0</v>
      </c>
      <c r="EB443" s="1085">
        <f>K443+U443+AE443+AO443+AY443+BI443+BS443+CC443+CM443+CW443+DG443+DQ443</f>
        <v>7</v>
      </c>
    </row>
    <row r="444" spans="1:132">
      <c r="A444" s="2210" t="s">
        <v>884</v>
      </c>
      <c r="B444" s="1084">
        <v>98</v>
      </c>
      <c r="C444" s="957">
        <v>1</v>
      </c>
      <c r="D444" s="1046">
        <v>99</v>
      </c>
      <c r="E444" s="957"/>
      <c r="F444" s="958">
        <v>99</v>
      </c>
      <c r="G444" s="957">
        <v>1</v>
      </c>
      <c r="H444" s="957"/>
      <c r="I444" s="959">
        <v>1</v>
      </c>
      <c r="J444" s="957"/>
      <c r="K444" s="1085">
        <v>1</v>
      </c>
      <c r="L444" s="1084">
        <v>103</v>
      </c>
      <c r="M444" s="957"/>
      <c r="N444" s="1046">
        <v>103</v>
      </c>
      <c r="O444" s="957"/>
      <c r="P444" s="958">
        <v>103</v>
      </c>
      <c r="Q444" s="957">
        <v>0</v>
      </c>
      <c r="R444" s="957"/>
      <c r="S444" s="959"/>
      <c r="T444" s="957"/>
      <c r="U444" s="1085"/>
      <c r="V444" s="1084">
        <v>62</v>
      </c>
      <c r="W444" s="1127">
        <v>0</v>
      </c>
      <c r="X444" s="1046">
        <v>62</v>
      </c>
      <c r="Y444" s="1127">
        <v>0</v>
      </c>
      <c r="Z444" s="959"/>
      <c r="AA444" s="1127">
        <v>3</v>
      </c>
      <c r="AB444" s="1127"/>
      <c r="AC444" s="959">
        <v>3</v>
      </c>
      <c r="AD444" s="1127">
        <v>0</v>
      </c>
      <c r="AE444" s="1085"/>
      <c r="AF444" s="1084">
        <v>87</v>
      </c>
      <c r="AG444" s="957"/>
      <c r="AH444" s="1046">
        <v>87</v>
      </c>
      <c r="AI444" s="957"/>
      <c r="AJ444" s="958">
        <v>87</v>
      </c>
      <c r="AK444" s="957">
        <v>0</v>
      </c>
      <c r="AL444" s="957">
        <v>0</v>
      </c>
      <c r="AM444" s="959">
        <v>0</v>
      </c>
      <c r="AN444" s="957">
        <v>0</v>
      </c>
      <c r="AO444" s="1085">
        <v>0</v>
      </c>
      <c r="AP444" s="1084">
        <v>88</v>
      </c>
      <c r="AQ444" s="957"/>
      <c r="AR444" s="1046">
        <v>88</v>
      </c>
      <c r="AS444" s="957"/>
      <c r="AT444" s="958">
        <v>88</v>
      </c>
      <c r="AU444" s="957">
        <v>0</v>
      </c>
      <c r="AV444" s="957">
        <v>0</v>
      </c>
      <c r="AW444" s="959">
        <v>0</v>
      </c>
      <c r="AX444" s="957">
        <v>0</v>
      </c>
      <c r="AY444" s="1085">
        <v>0</v>
      </c>
      <c r="AZ444" s="1084">
        <v>91</v>
      </c>
      <c r="BA444" s="957"/>
      <c r="BB444" s="1046">
        <v>91</v>
      </c>
      <c r="BC444" s="957"/>
      <c r="BD444" s="958">
        <v>91</v>
      </c>
      <c r="BE444" s="957">
        <v>6</v>
      </c>
      <c r="BF444" s="957"/>
      <c r="BG444" s="959">
        <v>6</v>
      </c>
      <c r="BH444" s="957"/>
      <c r="BI444" s="1085">
        <v>6</v>
      </c>
      <c r="BJ444" s="1084">
        <v>116</v>
      </c>
      <c r="BK444" s="957"/>
      <c r="BL444" s="1046">
        <v>116</v>
      </c>
      <c r="BM444" s="957"/>
      <c r="BN444" s="958">
        <v>116</v>
      </c>
      <c r="BO444" s="957">
        <v>53</v>
      </c>
      <c r="BP444" s="957">
        <v>2</v>
      </c>
      <c r="BQ444" s="959">
        <v>55</v>
      </c>
      <c r="BR444" s="957"/>
      <c r="BS444" s="1085">
        <v>55</v>
      </c>
      <c r="BT444" s="1084">
        <v>79</v>
      </c>
      <c r="BU444" s="957">
        <v>1</v>
      </c>
      <c r="BV444" s="1046">
        <v>80</v>
      </c>
      <c r="BW444" s="957"/>
      <c r="BX444" s="958">
        <v>80</v>
      </c>
      <c r="BY444" s="957">
        <v>1</v>
      </c>
      <c r="BZ444" s="957"/>
      <c r="CA444" s="959">
        <v>1</v>
      </c>
      <c r="CB444" s="957"/>
      <c r="CC444" s="1085">
        <v>1</v>
      </c>
      <c r="CD444" s="1084"/>
      <c r="CE444" s="957"/>
      <c r="CF444" s="1046"/>
      <c r="CG444" s="957"/>
      <c r="CH444" s="958"/>
      <c r="CI444" s="957"/>
      <c r="CJ444" s="957"/>
      <c r="CK444" s="959"/>
      <c r="CL444" s="957"/>
      <c r="CM444" s="1085"/>
      <c r="CN444" s="1084"/>
      <c r="CO444" s="957"/>
      <c r="CP444" s="1046"/>
      <c r="CQ444" s="957"/>
      <c r="CR444" s="958"/>
      <c r="CS444" s="957"/>
      <c r="CT444" s="957"/>
      <c r="CU444" s="959"/>
      <c r="CV444" s="957"/>
      <c r="CW444" s="1714"/>
      <c r="CX444" s="1720"/>
      <c r="CY444" s="957"/>
      <c r="CZ444" s="1046"/>
      <c r="DA444" s="957"/>
      <c r="DB444" s="958"/>
      <c r="DC444" s="957"/>
      <c r="DD444" s="957"/>
      <c r="DE444" s="959"/>
      <c r="DF444" s="957"/>
      <c r="DG444" s="1721"/>
      <c r="DH444" s="1716"/>
      <c r="DI444" s="957"/>
      <c r="DJ444" s="1046"/>
      <c r="DK444" s="957"/>
      <c r="DL444" s="958"/>
      <c r="DM444" s="957"/>
      <c r="DN444" s="957"/>
      <c r="DO444" s="959"/>
      <c r="DP444" s="957"/>
      <c r="DQ444" s="1085"/>
      <c r="DR444" s="77" t="s">
        <v>884</v>
      </c>
      <c r="DS444" s="1716">
        <f t="shared" si="33"/>
        <v>724</v>
      </c>
      <c r="DT444" s="957">
        <f t="shared" si="34"/>
        <v>2</v>
      </c>
      <c r="DU444" s="1046">
        <f t="shared" si="35"/>
        <v>726</v>
      </c>
      <c r="DV444" s="957">
        <f t="shared" si="36"/>
        <v>0</v>
      </c>
      <c r="DW444" s="958">
        <f t="shared" si="37"/>
        <v>664</v>
      </c>
      <c r="DX444" s="957">
        <f t="shared" si="38"/>
        <v>64</v>
      </c>
      <c r="DY444" s="957">
        <f t="shared" si="39"/>
        <v>2</v>
      </c>
      <c r="DZ444" s="959">
        <f t="shared" si="40"/>
        <v>66</v>
      </c>
      <c r="EA444" s="957">
        <f t="shared" si="41"/>
        <v>0</v>
      </c>
      <c r="EB444" s="1085">
        <f t="shared" si="42"/>
        <v>63</v>
      </c>
    </row>
    <row r="445" spans="1:132" ht="15.6">
      <c r="A445" s="2210" t="s">
        <v>885</v>
      </c>
      <c r="B445" s="1084">
        <v>15</v>
      </c>
      <c r="C445" s="957"/>
      <c r="D445" s="1046">
        <v>15</v>
      </c>
      <c r="E445" s="957"/>
      <c r="F445" s="958">
        <v>15</v>
      </c>
      <c r="G445" s="957">
        <v>11</v>
      </c>
      <c r="H445" s="957"/>
      <c r="I445" s="959">
        <v>11</v>
      </c>
      <c r="J445" s="957"/>
      <c r="K445" s="1085">
        <v>11</v>
      </c>
      <c r="L445" s="1084">
        <v>30</v>
      </c>
      <c r="M445" s="957"/>
      <c r="N445" s="1046">
        <v>30</v>
      </c>
      <c r="O445" s="957"/>
      <c r="P445" s="958">
        <v>30</v>
      </c>
      <c r="Q445" s="957">
        <v>24</v>
      </c>
      <c r="R445" s="957"/>
      <c r="S445" s="959">
        <v>24</v>
      </c>
      <c r="T445" s="957"/>
      <c r="U445" s="1085">
        <v>24</v>
      </c>
      <c r="V445" s="2468">
        <v>27</v>
      </c>
      <c r="W445" s="2469">
        <v>0</v>
      </c>
      <c r="X445" s="2470">
        <v>27</v>
      </c>
      <c r="Y445" s="2469">
        <v>0</v>
      </c>
      <c r="Z445" s="2471">
        <v>27</v>
      </c>
      <c r="AA445" s="2469">
        <v>19</v>
      </c>
      <c r="AB445" s="2469"/>
      <c r="AC445" s="2471">
        <v>19</v>
      </c>
      <c r="AD445" s="2469">
        <v>0</v>
      </c>
      <c r="AE445" s="2472">
        <v>19</v>
      </c>
      <c r="AF445" s="1084">
        <v>29</v>
      </c>
      <c r="AG445" s="957"/>
      <c r="AH445" s="1046">
        <v>29</v>
      </c>
      <c r="AI445" s="957"/>
      <c r="AJ445" s="958">
        <v>29</v>
      </c>
      <c r="AK445" s="957">
        <v>18</v>
      </c>
      <c r="AL445" s="957"/>
      <c r="AM445" s="959">
        <v>18</v>
      </c>
      <c r="AN445" s="957"/>
      <c r="AO445" s="1085">
        <v>18</v>
      </c>
      <c r="AP445" s="1084">
        <v>45</v>
      </c>
      <c r="AQ445" s="957"/>
      <c r="AR445" s="1046">
        <v>45</v>
      </c>
      <c r="AS445" s="957"/>
      <c r="AT445" s="958">
        <v>45</v>
      </c>
      <c r="AU445" s="957">
        <v>32</v>
      </c>
      <c r="AV445" s="957"/>
      <c r="AW445" s="959">
        <v>32</v>
      </c>
      <c r="AX445" s="957"/>
      <c r="AY445" s="1085">
        <v>32</v>
      </c>
      <c r="AZ445" s="1084">
        <v>35</v>
      </c>
      <c r="BA445" s="957"/>
      <c r="BB445" s="1046">
        <v>35</v>
      </c>
      <c r="BC445" s="957"/>
      <c r="BD445" s="958">
        <v>35</v>
      </c>
      <c r="BE445" s="957">
        <v>31</v>
      </c>
      <c r="BF445" s="957"/>
      <c r="BG445" s="959">
        <v>31</v>
      </c>
      <c r="BH445" s="957"/>
      <c r="BI445" s="1085">
        <v>31</v>
      </c>
      <c r="BJ445" s="1084">
        <v>24</v>
      </c>
      <c r="BK445" s="957"/>
      <c r="BL445" s="1046">
        <v>24</v>
      </c>
      <c r="BM445" s="957"/>
      <c r="BN445" s="958">
        <v>24</v>
      </c>
      <c r="BO445" s="2232">
        <v>16</v>
      </c>
      <c r="BP445" s="2232"/>
      <c r="BQ445" s="2232">
        <v>16</v>
      </c>
      <c r="BR445" s="2232"/>
      <c r="BS445" s="1085">
        <v>16</v>
      </c>
      <c r="BT445" s="1084">
        <v>22</v>
      </c>
      <c r="BU445" s="957"/>
      <c r="BV445" s="1046">
        <v>22</v>
      </c>
      <c r="BW445" s="957"/>
      <c r="BX445" s="958">
        <v>22</v>
      </c>
      <c r="BY445" s="957">
        <v>15</v>
      </c>
      <c r="BZ445" s="957"/>
      <c r="CA445" s="959">
        <v>15</v>
      </c>
      <c r="CB445" s="957"/>
      <c r="CC445" s="1085">
        <v>15</v>
      </c>
      <c r="CD445" s="1084"/>
      <c r="CE445" s="957"/>
      <c r="CF445" s="1046"/>
      <c r="CG445" s="957"/>
      <c r="CH445" s="958"/>
      <c r="CI445" s="957"/>
      <c r="CJ445" s="957"/>
      <c r="CK445" s="959"/>
      <c r="CL445" s="957"/>
      <c r="CM445" s="1085"/>
      <c r="CN445" s="1084"/>
      <c r="CO445" s="957"/>
      <c r="CP445" s="1046"/>
      <c r="CQ445" s="957"/>
      <c r="CR445" s="958"/>
      <c r="CS445" s="957"/>
      <c r="CT445" s="957"/>
      <c r="CU445" s="959"/>
      <c r="CV445" s="957"/>
      <c r="CW445" s="1714"/>
      <c r="CX445" s="1720"/>
      <c r="CY445" s="957"/>
      <c r="CZ445" s="1046"/>
      <c r="DA445" s="957"/>
      <c r="DB445" s="958"/>
      <c r="DC445" s="957"/>
      <c r="DD445" s="957"/>
      <c r="DE445" s="959"/>
      <c r="DF445" s="957"/>
      <c r="DG445" s="1721"/>
      <c r="DH445" s="1716"/>
      <c r="DI445" s="957"/>
      <c r="DJ445" s="1046"/>
      <c r="DK445" s="957"/>
      <c r="DL445" s="958"/>
      <c r="DM445" s="957"/>
      <c r="DN445" s="957"/>
      <c r="DO445" s="959"/>
      <c r="DP445" s="957"/>
      <c r="DQ445" s="1085"/>
      <c r="DR445" s="77" t="s">
        <v>885</v>
      </c>
      <c r="DS445" s="1716">
        <f t="shared" si="33"/>
        <v>227</v>
      </c>
      <c r="DT445" s="957">
        <f t="shared" si="34"/>
        <v>0</v>
      </c>
      <c r="DU445" s="1046">
        <f t="shared" si="35"/>
        <v>227</v>
      </c>
      <c r="DV445" s="957">
        <f t="shared" si="36"/>
        <v>0</v>
      </c>
      <c r="DW445" s="958">
        <f t="shared" si="37"/>
        <v>227</v>
      </c>
      <c r="DX445" s="957">
        <f t="shared" si="38"/>
        <v>166</v>
      </c>
      <c r="DY445" s="957">
        <f t="shared" si="39"/>
        <v>0</v>
      </c>
      <c r="DZ445" s="959">
        <f t="shared" si="40"/>
        <v>166</v>
      </c>
      <c r="EA445" s="957">
        <f t="shared" si="41"/>
        <v>0</v>
      </c>
      <c r="EB445" s="1085">
        <f t="shared" si="42"/>
        <v>166</v>
      </c>
    </row>
    <row r="446" spans="1:132" ht="14.4" thickBot="1">
      <c r="DS446" s="1880">
        <f t="shared" ref="DS446:EB446" si="43">SUM(DS436:DS445)</f>
        <v>1691</v>
      </c>
      <c r="DT446" s="1880">
        <f t="shared" si="43"/>
        <v>5</v>
      </c>
      <c r="DU446" s="1880">
        <f t="shared" si="43"/>
        <v>1696</v>
      </c>
      <c r="DV446" s="1880">
        <f t="shared" si="43"/>
        <v>0</v>
      </c>
      <c r="DW446" s="1880">
        <f t="shared" si="43"/>
        <v>1634</v>
      </c>
      <c r="DX446" s="1880">
        <f t="shared" si="43"/>
        <v>444</v>
      </c>
      <c r="DY446" s="1880">
        <f t="shared" si="43"/>
        <v>2</v>
      </c>
      <c r="DZ446" s="1880">
        <f t="shared" si="43"/>
        <v>446</v>
      </c>
      <c r="EA446" s="1880">
        <f t="shared" si="43"/>
        <v>0</v>
      </c>
      <c r="EB446" s="1880">
        <f t="shared" si="43"/>
        <v>443</v>
      </c>
    </row>
    <row r="449" spans="1:109" ht="21">
      <c r="A449" s="2933" t="s">
        <v>873</v>
      </c>
      <c r="B449" s="3400">
        <v>45292</v>
      </c>
      <c r="C449" s="3401"/>
      <c r="D449" s="3401"/>
      <c r="E449" s="3401"/>
      <c r="F449" s="3401"/>
      <c r="G449" s="3401"/>
      <c r="H449" s="3401"/>
      <c r="I449" s="3402"/>
      <c r="J449" s="3400">
        <v>45323</v>
      </c>
      <c r="K449" s="3401"/>
      <c r="L449" s="3401"/>
      <c r="M449" s="3401"/>
      <c r="N449" s="3401"/>
      <c r="O449" s="3401"/>
      <c r="P449" s="3401"/>
      <c r="Q449" s="3402"/>
      <c r="R449" s="3400">
        <v>45352</v>
      </c>
      <c r="S449" s="3401"/>
      <c r="T449" s="3401"/>
      <c r="U449" s="3401"/>
      <c r="V449" s="3401"/>
      <c r="W449" s="3401"/>
      <c r="X449" s="3401"/>
      <c r="Y449" s="3402"/>
      <c r="Z449" s="3400">
        <v>45383</v>
      </c>
      <c r="AA449" s="3401"/>
      <c r="AB449" s="3401"/>
      <c r="AC449" s="3401"/>
      <c r="AD449" s="3401"/>
      <c r="AE449" s="3401"/>
      <c r="AF449" s="3401"/>
      <c r="AG449" s="3402"/>
      <c r="AH449" s="3400">
        <v>45413</v>
      </c>
      <c r="AI449" s="3401"/>
      <c r="AJ449" s="3401"/>
      <c r="AK449" s="3401"/>
      <c r="AL449" s="3401"/>
      <c r="AM449" s="3401"/>
      <c r="AN449" s="3401"/>
      <c r="AO449" s="3402"/>
      <c r="AP449" s="3400">
        <v>45444</v>
      </c>
      <c r="AQ449" s="3401"/>
      <c r="AR449" s="3401"/>
      <c r="AS449" s="3401"/>
      <c r="AT449" s="3401"/>
      <c r="AU449" s="3401"/>
      <c r="AV449" s="3401"/>
      <c r="AW449" s="3402"/>
      <c r="AX449" s="3400">
        <v>45474</v>
      </c>
      <c r="AY449" s="3401"/>
      <c r="AZ449" s="3401"/>
      <c r="BA449" s="3401"/>
      <c r="BB449" s="3401"/>
      <c r="BC449" s="3401"/>
      <c r="BD449" s="3401"/>
      <c r="BE449" s="3402"/>
      <c r="BF449" s="3400">
        <v>45505</v>
      </c>
      <c r="BG449" s="3401"/>
      <c r="BH449" s="3401"/>
      <c r="BI449" s="3401"/>
      <c r="BJ449" s="3401"/>
      <c r="BK449" s="3401"/>
      <c r="BL449" s="3401"/>
      <c r="BM449" s="3402"/>
      <c r="BN449" s="3400">
        <v>45536</v>
      </c>
      <c r="BO449" s="3401"/>
      <c r="BP449" s="3401"/>
      <c r="BQ449" s="3401"/>
      <c r="BR449" s="3401"/>
      <c r="BS449" s="3401"/>
      <c r="BT449" s="3401"/>
      <c r="BU449" s="3402"/>
      <c r="BV449" s="3400">
        <v>45566</v>
      </c>
      <c r="BW449" s="3401"/>
      <c r="BX449" s="3401"/>
      <c r="BY449" s="3401"/>
      <c r="BZ449" s="3401"/>
      <c r="CA449" s="3401"/>
      <c r="CB449" s="3401"/>
      <c r="CC449" s="3402"/>
      <c r="CD449" s="3400">
        <v>45597</v>
      </c>
      <c r="CE449" s="3401"/>
      <c r="CF449" s="3401"/>
      <c r="CG449" s="3401"/>
      <c r="CH449" s="3401"/>
      <c r="CI449" s="3401"/>
      <c r="CJ449" s="3401"/>
      <c r="CK449" s="3402"/>
      <c r="CL449" s="3400">
        <v>45627</v>
      </c>
      <c r="CM449" s="3401"/>
      <c r="CN449" s="3401"/>
      <c r="CO449" s="3401"/>
      <c r="CP449" s="3401"/>
      <c r="CQ449" s="3401"/>
      <c r="CR449" s="3401"/>
      <c r="CS449" s="3402"/>
      <c r="CT449" s="3408" t="s">
        <v>143</v>
      </c>
      <c r="CU449" s="3409"/>
      <c r="CV449" s="3409"/>
      <c r="CW449" s="3409"/>
      <c r="CX449" s="3409"/>
      <c r="CY449" s="3409"/>
      <c r="CZ449" s="3409"/>
      <c r="DA449" s="3410"/>
      <c r="DB449" s="3400" t="s">
        <v>596</v>
      </c>
      <c r="DC449" s="3401"/>
      <c r="DD449" s="3401"/>
      <c r="DE449" s="3401"/>
    </row>
    <row r="450" spans="1:109" ht="21">
      <c r="A450" s="2934"/>
      <c r="B450" s="2936">
        <v>2023</v>
      </c>
      <c r="C450" s="2936"/>
      <c r="D450" s="2936"/>
      <c r="E450" s="2936"/>
      <c r="F450" s="2936">
        <v>2024</v>
      </c>
      <c r="G450" s="2936"/>
      <c r="H450" s="2936"/>
      <c r="I450" s="2936"/>
      <c r="J450" s="2936">
        <v>2023</v>
      </c>
      <c r="K450" s="2936"/>
      <c r="L450" s="2936"/>
      <c r="M450" s="2936"/>
      <c r="N450" s="2936">
        <v>2024</v>
      </c>
      <c r="O450" s="2936"/>
      <c r="P450" s="2936"/>
      <c r="Q450" s="2936"/>
      <c r="R450" s="2936">
        <v>2023</v>
      </c>
      <c r="S450" s="2936"/>
      <c r="T450" s="2936"/>
      <c r="U450" s="2936"/>
      <c r="V450" s="2936">
        <v>2024</v>
      </c>
      <c r="W450" s="2936"/>
      <c r="X450" s="2936"/>
      <c r="Y450" s="2936"/>
      <c r="Z450" s="2936">
        <v>2023</v>
      </c>
      <c r="AA450" s="2936"/>
      <c r="AB450" s="2936"/>
      <c r="AC450" s="2936"/>
      <c r="AD450" s="2936">
        <v>2024</v>
      </c>
      <c r="AE450" s="2936"/>
      <c r="AF450" s="2936"/>
      <c r="AG450" s="2936"/>
      <c r="AH450" s="2936">
        <v>2023</v>
      </c>
      <c r="AI450" s="2936"/>
      <c r="AJ450" s="2936"/>
      <c r="AK450" s="2936"/>
      <c r="AL450" s="2936">
        <v>2024</v>
      </c>
      <c r="AM450" s="2936"/>
      <c r="AN450" s="2936"/>
      <c r="AO450" s="2936"/>
      <c r="AP450" s="2936">
        <v>2023</v>
      </c>
      <c r="AQ450" s="2936"/>
      <c r="AR450" s="2936"/>
      <c r="AS450" s="2936"/>
      <c r="AT450" s="2936">
        <v>2024</v>
      </c>
      <c r="AU450" s="2936"/>
      <c r="AV450" s="2936"/>
      <c r="AW450" s="2936"/>
      <c r="AX450" s="2936">
        <v>2023</v>
      </c>
      <c r="AY450" s="2936"/>
      <c r="AZ450" s="2936"/>
      <c r="BA450" s="2936"/>
      <c r="BB450" s="2936">
        <v>2024</v>
      </c>
      <c r="BC450" s="2936"/>
      <c r="BD450" s="2936"/>
      <c r="BE450" s="2936"/>
      <c r="BF450" s="2936">
        <v>2023</v>
      </c>
      <c r="BG450" s="2936"/>
      <c r="BH450" s="2936"/>
      <c r="BI450" s="2936"/>
      <c r="BJ450" s="2936">
        <v>2024</v>
      </c>
      <c r="BK450" s="2936"/>
      <c r="BL450" s="2936"/>
      <c r="BM450" s="2936"/>
      <c r="BN450" s="2936">
        <v>2023</v>
      </c>
      <c r="BO450" s="2936"/>
      <c r="BP450" s="2936"/>
      <c r="BQ450" s="2936"/>
      <c r="BR450" s="2936">
        <v>2024</v>
      </c>
      <c r="BS450" s="2936"/>
      <c r="BT450" s="2936"/>
      <c r="BU450" s="2936"/>
      <c r="BV450" s="2936">
        <v>2023</v>
      </c>
      <c r="BW450" s="2936"/>
      <c r="BX450" s="2936"/>
      <c r="BY450" s="2936"/>
      <c r="BZ450" s="2936">
        <v>2024</v>
      </c>
      <c r="CA450" s="2936"/>
      <c r="CB450" s="2936"/>
      <c r="CC450" s="2936"/>
      <c r="CD450" s="2936">
        <v>2023</v>
      </c>
      <c r="CE450" s="2936"/>
      <c r="CF450" s="2936"/>
      <c r="CG450" s="2936"/>
      <c r="CH450" s="2936">
        <v>2024</v>
      </c>
      <c r="CI450" s="2936"/>
      <c r="CJ450" s="2936"/>
      <c r="CK450" s="2936"/>
      <c r="CL450" s="2936">
        <v>2023</v>
      </c>
      <c r="CM450" s="2936"/>
      <c r="CN450" s="2936"/>
      <c r="CO450" s="2936"/>
      <c r="CP450" s="2936">
        <v>2024</v>
      </c>
      <c r="CQ450" s="2936"/>
      <c r="CR450" s="2936"/>
      <c r="CS450" s="2936"/>
      <c r="CT450" s="3403">
        <v>2023</v>
      </c>
      <c r="CU450" s="3403"/>
      <c r="CV450" s="3403"/>
      <c r="CW450" s="3403"/>
      <c r="CX450" s="3403">
        <v>2024</v>
      </c>
      <c r="CY450" s="3403"/>
      <c r="CZ450" s="3403"/>
      <c r="DA450" s="3403"/>
      <c r="DB450" s="3406">
        <v>2023</v>
      </c>
      <c r="DC450" s="3407"/>
      <c r="DD450" s="3406">
        <v>2024</v>
      </c>
      <c r="DE450" s="3407"/>
    </row>
    <row r="451" spans="1:109" ht="21">
      <c r="A451" s="2934"/>
      <c r="B451" s="2936" t="s">
        <v>52</v>
      </c>
      <c r="C451" s="2936"/>
      <c r="D451" s="2936" t="s">
        <v>56</v>
      </c>
      <c r="E451" s="2936"/>
      <c r="F451" s="2936" t="s">
        <v>52</v>
      </c>
      <c r="G451" s="2936"/>
      <c r="H451" s="2936" t="s">
        <v>56</v>
      </c>
      <c r="I451" s="2936"/>
      <c r="J451" s="2936" t="s">
        <v>52</v>
      </c>
      <c r="K451" s="2936"/>
      <c r="L451" s="2936" t="s">
        <v>56</v>
      </c>
      <c r="M451" s="2936"/>
      <c r="N451" s="2936" t="s">
        <v>52</v>
      </c>
      <c r="O451" s="2936"/>
      <c r="P451" s="2936" t="s">
        <v>56</v>
      </c>
      <c r="Q451" s="2936"/>
      <c r="R451" s="2936" t="s">
        <v>52</v>
      </c>
      <c r="S451" s="2936"/>
      <c r="T451" s="2936" t="s">
        <v>56</v>
      </c>
      <c r="U451" s="2936"/>
      <c r="V451" s="2936" t="s">
        <v>52</v>
      </c>
      <c r="W451" s="2936"/>
      <c r="X451" s="2936" t="s">
        <v>56</v>
      </c>
      <c r="Y451" s="2936"/>
      <c r="Z451" s="2936" t="s">
        <v>52</v>
      </c>
      <c r="AA451" s="2936"/>
      <c r="AB451" s="2936" t="s">
        <v>56</v>
      </c>
      <c r="AC451" s="2936"/>
      <c r="AD451" s="2936" t="s">
        <v>52</v>
      </c>
      <c r="AE451" s="2936"/>
      <c r="AF451" s="2936" t="s">
        <v>56</v>
      </c>
      <c r="AG451" s="2936"/>
      <c r="AH451" s="2936" t="s">
        <v>52</v>
      </c>
      <c r="AI451" s="2936"/>
      <c r="AJ451" s="2936" t="s">
        <v>56</v>
      </c>
      <c r="AK451" s="2936"/>
      <c r="AL451" s="2936" t="s">
        <v>52</v>
      </c>
      <c r="AM451" s="2936"/>
      <c r="AN451" s="2936" t="s">
        <v>56</v>
      </c>
      <c r="AO451" s="2936"/>
      <c r="AP451" s="2936" t="s">
        <v>52</v>
      </c>
      <c r="AQ451" s="2936"/>
      <c r="AR451" s="2936" t="s">
        <v>56</v>
      </c>
      <c r="AS451" s="2936"/>
      <c r="AT451" s="2936" t="s">
        <v>52</v>
      </c>
      <c r="AU451" s="2936"/>
      <c r="AV451" s="2936" t="s">
        <v>56</v>
      </c>
      <c r="AW451" s="2936"/>
      <c r="AX451" s="2936" t="s">
        <v>52</v>
      </c>
      <c r="AY451" s="2936"/>
      <c r="AZ451" s="2936" t="s">
        <v>56</v>
      </c>
      <c r="BA451" s="2936"/>
      <c r="BB451" s="2936" t="s">
        <v>52</v>
      </c>
      <c r="BC451" s="2936"/>
      <c r="BD451" s="2936" t="s">
        <v>56</v>
      </c>
      <c r="BE451" s="2936"/>
      <c r="BF451" s="2936" t="s">
        <v>52</v>
      </c>
      <c r="BG451" s="2936"/>
      <c r="BH451" s="2936" t="s">
        <v>56</v>
      </c>
      <c r="BI451" s="2936"/>
      <c r="BJ451" s="2936" t="s">
        <v>52</v>
      </c>
      <c r="BK451" s="2936"/>
      <c r="BL451" s="2936" t="s">
        <v>56</v>
      </c>
      <c r="BM451" s="2936"/>
      <c r="BN451" s="2936" t="s">
        <v>52</v>
      </c>
      <c r="BO451" s="2936"/>
      <c r="BP451" s="2936" t="s">
        <v>56</v>
      </c>
      <c r="BQ451" s="2936"/>
      <c r="BR451" s="2936" t="s">
        <v>52</v>
      </c>
      <c r="BS451" s="2936"/>
      <c r="BT451" s="2936" t="s">
        <v>56</v>
      </c>
      <c r="BU451" s="2936"/>
      <c r="BV451" s="2936" t="s">
        <v>52</v>
      </c>
      <c r="BW451" s="2936"/>
      <c r="BX451" s="2936" t="s">
        <v>56</v>
      </c>
      <c r="BY451" s="2936"/>
      <c r="BZ451" s="2936" t="s">
        <v>52</v>
      </c>
      <c r="CA451" s="2936"/>
      <c r="CB451" s="2936" t="s">
        <v>56</v>
      </c>
      <c r="CC451" s="2936"/>
      <c r="CD451" s="2936" t="s">
        <v>52</v>
      </c>
      <c r="CE451" s="2936"/>
      <c r="CF451" s="2936" t="s">
        <v>56</v>
      </c>
      <c r="CG451" s="2936"/>
      <c r="CH451" s="2936" t="s">
        <v>52</v>
      </c>
      <c r="CI451" s="2936"/>
      <c r="CJ451" s="2936" t="s">
        <v>56</v>
      </c>
      <c r="CK451" s="2936"/>
      <c r="CL451" s="2936" t="s">
        <v>52</v>
      </c>
      <c r="CM451" s="2936"/>
      <c r="CN451" s="2936" t="s">
        <v>56</v>
      </c>
      <c r="CO451" s="2936"/>
      <c r="CP451" s="2936" t="s">
        <v>52</v>
      </c>
      <c r="CQ451" s="2936"/>
      <c r="CR451" s="2936" t="s">
        <v>56</v>
      </c>
      <c r="CS451" s="2936"/>
      <c r="CT451" s="2361" t="s">
        <v>52</v>
      </c>
      <c r="CU451" s="2361"/>
      <c r="CV451" s="2361" t="s">
        <v>56</v>
      </c>
      <c r="CW451" s="2361"/>
      <c r="CX451" s="2361" t="s">
        <v>52</v>
      </c>
      <c r="CY451" s="2361"/>
      <c r="CZ451" s="2361" t="s">
        <v>56</v>
      </c>
      <c r="DA451" s="2361"/>
      <c r="DB451" s="3404" t="s">
        <v>52</v>
      </c>
      <c r="DC451" s="3404" t="s">
        <v>56</v>
      </c>
      <c r="DD451" s="3404" t="s">
        <v>52</v>
      </c>
      <c r="DE451" s="3404" t="s">
        <v>56</v>
      </c>
    </row>
    <row r="452" spans="1:109" ht="21">
      <c r="A452" s="2935"/>
      <c r="B452" s="2225" t="s">
        <v>1072</v>
      </c>
      <c r="C452" s="2225" t="s">
        <v>1073</v>
      </c>
      <c r="D452" s="2225" t="s">
        <v>1074</v>
      </c>
      <c r="E452" s="2225" t="s">
        <v>1073</v>
      </c>
      <c r="F452" s="2225" t="s">
        <v>1072</v>
      </c>
      <c r="G452" s="2225" t="s">
        <v>1073</v>
      </c>
      <c r="H452" s="2225" t="s">
        <v>1074</v>
      </c>
      <c r="I452" s="2225" t="s">
        <v>1073</v>
      </c>
      <c r="J452" s="2225" t="s">
        <v>1072</v>
      </c>
      <c r="K452" s="2225" t="s">
        <v>1073</v>
      </c>
      <c r="L452" s="2225" t="s">
        <v>1074</v>
      </c>
      <c r="M452" s="2225" t="s">
        <v>1073</v>
      </c>
      <c r="N452" s="2225" t="s">
        <v>1072</v>
      </c>
      <c r="O452" s="2225" t="s">
        <v>1073</v>
      </c>
      <c r="P452" s="2225" t="s">
        <v>1074</v>
      </c>
      <c r="Q452" s="2225" t="s">
        <v>1073</v>
      </c>
      <c r="R452" s="2225" t="s">
        <v>1072</v>
      </c>
      <c r="S452" s="2225" t="s">
        <v>1073</v>
      </c>
      <c r="T452" s="2225" t="s">
        <v>1074</v>
      </c>
      <c r="U452" s="2225" t="s">
        <v>1073</v>
      </c>
      <c r="V452" s="2225" t="s">
        <v>1072</v>
      </c>
      <c r="W452" s="2225" t="s">
        <v>1073</v>
      </c>
      <c r="X452" s="2225" t="s">
        <v>1074</v>
      </c>
      <c r="Y452" s="2225" t="s">
        <v>1073</v>
      </c>
      <c r="Z452" s="2225" t="s">
        <v>1072</v>
      </c>
      <c r="AA452" s="2225" t="s">
        <v>1073</v>
      </c>
      <c r="AB452" s="2225" t="s">
        <v>1074</v>
      </c>
      <c r="AC452" s="2225" t="s">
        <v>1073</v>
      </c>
      <c r="AD452" s="2225" t="s">
        <v>1072</v>
      </c>
      <c r="AE452" s="2225" t="s">
        <v>1073</v>
      </c>
      <c r="AF452" s="2225" t="s">
        <v>1074</v>
      </c>
      <c r="AG452" s="2225" t="s">
        <v>1073</v>
      </c>
      <c r="AH452" s="2225" t="s">
        <v>1072</v>
      </c>
      <c r="AI452" s="2225" t="s">
        <v>1073</v>
      </c>
      <c r="AJ452" s="2225" t="s">
        <v>1074</v>
      </c>
      <c r="AK452" s="2225" t="s">
        <v>1073</v>
      </c>
      <c r="AL452" s="2225" t="s">
        <v>1072</v>
      </c>
      <c r="AM452" s="2225" t="s">
        <v>1073</v>
      </c>
      <c r="AN452" s="2225" t="s">
        <v>1074</v>
      </c>
      <c r="AO452" s="2225" t="s">
        <v>1073</v>
      </c>
      <c r="AP452" s="2225" t="s">
        <v>1072</v>
      </c>
      <c r="AQ452" s="2225" t="s">
        <v>1073</v>
      </c>
      <c r="AR452" s="2225" t="s">
        <v>1074</v>
      </c>
      <c r="AS452" s="2225" t="s">
        <v>1073</v>
      </c>
      <c r="AT452" s="2225" t="s">
        <v>1072</v>
      </c>
      <c r="AU452" s="2225" t="s">
        <v>1073</v>
      </c>
      <c r="AV452" s="2225" t="s">
        <v>1074</v>
      </c>
      <c r="AW452" s="2225" t="s">
        <v>1073</v>
      </c>
      <c r="AX452" s="2225" t="s">
        <v>1072</v>
      </c>
      <c r="AY452" s="2225" t="s">
        <v>1073</v>
      </c>
      <c r="AZ452" s="2225" t="s">
        <v>1074</v>
      </c>
      <c r="BA452" s="2225" t="s">
        <v>1073</v>
      </c>
      <c r="BB452" s="2225" t="s">
        <v>1072</v>
      </c>
      <c r="BC452" s="2225" t="s">
        <v>1073</v>
      </c>
      <c r="BD452" s="2225" t="s">
        <v>1074</v>
      </c>
      <c r="BE452" s="2225" t="s">
        <v>1073</v>
      </c>
      <c r="BF452" s="2225" t="s">
        <v>1072</v>
      </c>
      <c r="BG452" s="2225" t="s">
        <v>1073</v>
      </c>
      <c r="BH452" s="2225" t="s">
        <v>1074</v>
      </c>
      <c r="BI452" s="2225" t="s">
        <v>1073</v>
      </c>
      <c r="BJ452" s="2225" t="s">
        <v>1072</v>
      </c>
      <c r="BK452" s="2225" t="s">
        <v>1073</v>
      </c>
      <c r="BL452" s="2225" t="s">
        <v>1074</v>
      </c>
      <c r="BM452" s="2225" t="s">
        <v>1073</v>
      </c>
      <c r="BN452" s="2225" t="s">
        <v>1072</v>
      </c>
      <c r="BO452" s="2225" t="s">
        <v>1073</v>
      </c>
      <c r="BP452" s="2225" t="s">
        <v>1074</v>
      </c>
      <c r="BQ452" s="2225" t="s">
        <v>1073</v>
      </c>
      <c r="BR452" s="2225" t="s">
        <v>1072</v>
      </c>
      <c r="BS452" s="2225" t="s">
        <v>1073</v>
      </c>
      <c r="BT452" s="2225" t="s">
        <v>1074</v>
      </c>
      <c r="BU452" s="2225" t="s">
        <v>1073</v>
      </c>
      <c r="BV452" s="2225" t="s">
        <v>1072</v>
      </c>
      <c r="BW452" s="2225" t="s">
        <v>1073</v>
      </c>
      <c r="BX452" s="2225" t="s">
        <v>1074</v>
      </c>
      <c r="BY452" s="2225" t="s">
        <v>1073</v>
      </c>
      <c r="BZ452" s="2225" t="s">
        <v>1072</v>
      </c>
      <c r="CA452" s="2225" t="s">
        <v>1073</v>
      </c>
      <c r="CB452" s="2225" t="s">
        <v>1074</v>
      </c>
      <c r="CC452" s="2225" t="s">
        <v>1073</v>
      </c>
      <c r="CD452" s="2225" t="s">
        <v>1072</v>
      </c>
      <c r="CE452" s="2225" t="s">
        <v>1073</v>
      </c>
      <c r="CF452" s="2225" t="s">
        <v>1074</v>
      </c>
      <c r="CG452" s="2225" t="s">
        <v>1073</v>
      </c>
      <c r="CH452" s="2225" t="s">
        <v>1072</v>
      </c>
      <c r="CI452" s="2225" t="s">
        <v>1073</v>
      </c>
      <c r="CJ452" s="2225" t="s">
        <v>1074</v>
      </c>
      <c r="CK452" s="2225" t="s">
        <v>1073</v>
      </c>
      <c r="CL452" s="2225" t="s">
        <v>1072</v>
      </c>
      <c r="CM452" s="2225" t="s">
        <v>1073</v>
      </c>
      <c r="CN452" s="2225" t="s">
        <v>1074</v>
      </c>
      <c r="CO452" s="2225" t="s">
        <v>1073</v>
      </c>
      <c r="CP452" s="2225" t="s">
        <v>1072</v>
      </c>
      <c r="CQ452" s="2225" t="s">
        <v>1073</v>
      </c>
      <c r="CR452" s="2225" t="s">
        <v>1074</v>
      </c>
      <c r="CS452" s="2225" t="s">
        <v>1073</v>
      </c>
      <c r="CT452" s="2362" t="s">
        <v>1072</v>
      </c>
      <c r="CU452" s="2362" t="s">
        <v>1073</v>
      </c>
      <c r="CV452" s="2362" t="s">
        <v>1074</v>
      </c>
      <c r="CW452" s="2362" t="s">
        <v>1073</v>
      </c>
      <c r="CX452" s="2362" t="s">
        <v>1072</v>
      </c>
      <c r="CY452" s="2362" t="s">
        <v>1073</v>
      </c>
      <c r="CZ452" s="2362" t="s">
        <v>1074</v>
      </c>
      <c r="DA452" s="2362" t="s">
        <v>1073</v>
      </c>
      <c r="DB452" s="3405"/>
      <c r="DC452" s="3405"/>
      <c r="DD452" s="3405"/>
      <c r="DE452" s="3405"/>
    </row>
    <row r="453" spans="1:109" ht="18">
      <c r="A453" s="2226" t="s">
        <v>6</v>
      </c>
      <c r="B453" s="2228">
        <v>0</v>
      </c>
      <c r="C453" s="2228">
        <v>627</v>
      </c>
      <c r="D453" s="2228">
        <v>0</v>
      </c>
      <c r="E453" s="2228">
        <v>2122</v>
      </c>
      <c r="F453" s="2228">
        <v>0</v>
      </c>
      <c r="G453" s="2228">
        <v>2215</v>
      </c>
      <c r="H453" s="2228">
        <v>0</v>
      </c>
      <c r="I453" s="2228">
        <v>2608</v>
      </c>
      <c r="J453" s="2228">
        <v>0</v>
      </c>
      <c r="K453" s="2228">
        <v>2662</v>
      </c>
      <c r="L453" s="2228">
        <v>0</v>
      </c>
      <c r="M453" s="2228">
        <v>2238</v>
      </c>
      <c r="N453" s="2228">
        <v>0</v>
      </c>
      <c r="O453" s="2228">
        <v>3459</v>
      </c>
      <c r="P453" s="2228">
        <v>0</v>
      </c>
      <c r="Q453" s="2228">
        <v>2119</v>
      </c>
      <c r="R453" s="2228">
        <v>0</v>
      </c>
      <c r="S453" s="2228">
        <v>2069</v>
      </c>
      <c r="T453" s="2228">
        <v>0</v>
      </c>
      <c r="U453" s="2228">
        <v>1203</v>
      </c>
      <c r="V453" s="2228">
        <v>0</v>
      </c>
      <c r="W453" s="2228">
        <v>2238</v>
      </c>
      <c r="X453" s="2228">
        <v>0</v>
      </c>
      <c r="Y453" s="2228">
        <v>1809</v>
      </c>
      <c r="Z453" s="2228"/>
      <c r="AA453" s="2228"/>
      <c r="AB453" s="2228"/>
      <c r="AC453" s="2228"/>
      <c r="AD453" s="2228"/>
      <c r="AE453" s="2228"/>
      <c r="AF453" s="2228"/>
      <c r="AG453" s="2228"/>
      <c r="AH453" s="2228"/>
      <c r="AI453" s="2228"/>
      <c r="AJ453" s="2228"/>
      <c r="AK453" s="2228"/>
      <c r="AL453" s="2228"/>
      <c r="AM453" s="2228"/>
      <c r="AN453" s="2228"/>
      <c r="AO453" s="2228"/>
      <c r="AP453" s="2228"/>
      <c r="AQ453" s="2228"/>
      <c r="AR453" s="2228"/>
      <c r="AS453" s="2228"/>
      <c r="AT453" s="2228"/>
      <c r="AU453" s="2228"/>
      <c r="AV453" s="2228"/>
      <c r="AW453" s="2228"/>
      <c r="AX453" s="2228"/>
      <c r="AY453" s="2228"/>
      <c r="AZ453" s="2228"/>
      <c r="BA453" s="2228"/>
      <c r="BB453" s="2228"/>
      <c r="BC453" s="2228"/>
      <c r="BD453" s="2228"/>
      <c r="BE453" s="2228"/>
      <c r="BF453" s="2228"/>
      <c r="BG453" s="2228"/>
      <c r="BH453" s="2228"/>
      <c r="BI453" s="2228"/>
      <c r="BJ453" s="2228"/>
      <c r="BK453" s="2228"/>
      <c r="BL453" s="2228"/>
      <c r="BM453" s="2228"/>
      <c r="BN453" s="2228"/>
      <c r="BO453" s="2228"/>
      <c r="BP453" s="2228"/>
      <c r="BQ453" s="2228"/>
      <c r="BR453" s="2228"/>
      <c r="BS453" s="2228"/>
      <c r="BT453" s="2228"/>
      <c r="BU453" s="2228"/>
      <c r="BV453" s="2228"/>
      <c r="BW453" s="2228"/>
      <c r="BX453" s="2228"/>
      <c r="BY453" s="2228"/>
      <c r="BZ453" s="2228"/>
      <c r="CA453" s="2228"/>
      <c r="CB453" s="2228"/>
      <c r="CC453" s="2228"/>
      <c r="CD453" s="2228"/>
      <c r="CE453" s="2228"/>
      <c r="CF453" s="2228"/>
      <c r="CG453" s="2228"/>
      <c r="CH453" s="2228"/>
      <c r="CI453" s="2228"/>
      <c r="CJ453" s="2228"/>
      <c r="CK453" s="2228"/>
      <c r="CL453" s="2228"/>
      <c r="CM453" s="2228"/>
      <c r="CN453" s="2228"/>
      <c r="CO453" s="2228"/>
      <c r="CP453" s="2228"/>
      <c r="CQ453" s="2228"/>
      <c r="CR453" s="2228"/>
      <c r="CS453" s="2228"/>
      <c r="CT453" s="2363">
        <f t="shared" ref="CT453:DA453" si="44">B453+J453+R453+Z453+AH453+AP453+AX453+BF453+BN453+BV453+CD453+CL453</f>
        <v>0</v>
      </c>
      <c r="CU453" s="2363">
        <f t="shared" si="44"/>
        <v>5358</v>
      </c>
      <c r="CV453" s="2363">
        <f t="shared" si="44"/>
        <v>0</v>
      </c>
      <c r="CW453" s="2363">
        <f t="shared" si="44"/>
        <v>5563</v>
      </c>
      <c r="CX453" s="2363">
        <f t="shared" si="44"/>
        <v>0</v>
      </c>
      <c r="CY453" s="2363">
        <f t="shared" si="44"/>
        <v>7912</v>
      </c>
      <c r="CZ453" s="2363">
        <f t="shared" si="44"/>
        <v>0</v>
      </c>
      <c r="DA453" s="2363">
        <f t="shared" si="44"/>
        <v>6536</v>
      </c>
      <c r="DB453" s="580">
        <f>(CT453+CU453)-Clientele!K113</f>
        <v>-9828</v>
      </c>
      <c r="DC453" s="580">
        <f>(CV453+CW453)-Clientele!K129</f>
        <v>-5586</v>
      </c>
      <c r="DD453" s="580">
        <f>(CX453+CY453)-Clientele!O113</f>
        <v>-9653</v>
      </c>
      <c r="DE453" s="2228">
        <f>(CZ453+DA453)-Clientele!O129</f>
        <v>-6867</v>
      </c>
    </row>
    <row r="454" spans="1:109" ht="18">
      <c r="A454" s="2226" t="s">
        <v>7</v>
      </c>
      <c r="B454" s="2263"/>
      <c r="C454" s="2263"/>
      <c r="D454" s="2263"/>
      <c r="E454" s="2263"/>
      <c r="F454" s="2263"/>
      <c r="G454" s="2263"/>
      <c r="H454" s="2263"/>
      <c r="I454" s="2263"/>
      <c r="J454" s="2263"/>
      <c r="K454" s="2263"/>
      <c r="L454" s="2263"/>
      <c r="M454" s="2263"/>
      <c r="N454" s="2263"/>
      <c r="O454" s="2263"/>
      <c r="P454" s="2263"/>
      <c r="Q454" s="2263"/>
      <c r="R454" s="2263"/>
      <c r="S454" s="2263"/>
      <c r="T454" s="2263"/>
      <c r="U454" s="2263"/>
      <c r="V454" s="2263"/>
      <c r="W454" s="2263"/>
      <c r="X454" s="2263"/>
      <c r="Y454" s="2263"/>
      <c r="Z454" s="2263"/>
      <c r="AA454" s="2263"/>
      <c r="AB454" s="2263"/>
      <c r="AC454" s="2263"/>
      <c r="AD454" s="2263"/>
      <c r="AE454" s="2263"/>
      <c r="AF454" s="2263"/>
      <c r="AG454" s="2263"/>
      <c r="AH454" s="2263"/>
      <c r="AI454" s="2263"/>
      <c r="AJ454" s="2263"/>
      <c r="AK454" s="2263"/>
      <c r="AL454" s="2263"/>
      <c r="AM454" s="2263"/>
      <c r="AN454" s="2263"/>
      <c r="AO454" s="2263"/>
      <c r="AP454" s="2263"/>
      <c r="AQ454" s="2263"/>
      <c r="AR454" s="2263"/>
      <c r="AS454" s="2263"/>
      <c r="AT454" s="2263"/>
      <c r="AU454" s="2263"/>
      <c r="AV454" s="2263"/>
      <c r="AW454" s="2263"/>
      <c r="AX454" s="2263"/>
      <c r="AY454" s="2263"/>
      <c r="AZ454" s="2263"/>
      <c r="BA454" s="2263"/>
      <c r="BB454" s="2263"/>
      <c r="BC454" s="2263"/>
      <c r="BD454" s="2263"/>
      <c r="BE454" s="2263"/>
      <c r="BF454" s="2263"/>
      <c r="BG454" s="2263"/>
      <c r="BH454" s="2263"/>
      <c r="BI454" s="2263"/>
      <c r="BJ454" s="2263"/>
      <c r="BK454" s="2263"/>
      <c r="BL454" s="2263"/>
      <c r="BM454" s="2263"/>
      <c r="BN454" s="2263"/>
      <c r="BO454" s="2263"/>
      <c r="BP454" s="2263"/>
      <c r="BQ454" s="2263"/>
      <c r="BR454" s="2263"/>
      <c r="BS454" s="2263"/>
      <c r="BT454" s="2263"/>
      <c r="BU454" s="2263"/>
      <c r="BV454" s="2263"/>
      <c r="BW454" s="2263"/>
      <c r="BX454" s="2263"/>
      <c r="BY454" s="2263"/>
      <c r="BZ454" s="2263"/>
      <c r="CA454" s="2263"/>
      <c r="CB454" s="2263"/>
      <c r="CC454" s="2263"/>
      <c r="CD454" s="2263"/>
      <c r="CE454" s="2263"/>
      <c r="CF454" s="2263"/>
      <c r="CG454" s="2263"/>
      <c r="CH454" s="2263"/>
      <c r="CI454" s="2263"/>
      <c r="CJ454" s="2263"/>
      <c r="CK454" s="2263"/>
      <c r="CL454" s="2263"/>
      <c r="CM454" s="2263"/>
      <c r="CN454" s="2263"/>
      <c r="CO454" s="2263"/>
      <c r="CP454" s="2263"/>
      <c r="CQ454" s="2263"/>
      <c r="CR454" s="2263"/>
      <c r="CS454" s="2263"/>
      <c r="CT454" s="2363">
        <f t="shared" ref="CT454:CT462" si="45">B454+J454+R454+Z454+AH454+AP454+AX454+BF454+BN454+BV454+CD454+CL454</f>
        <v>0</v>
      </c>
      <c r="CU454" s="2363">
        <f t="shared" ref="CU454:CU462" si="46">C454+K454+S454+AA454+AI454+AQ454+AY454+BG454+BO454+BW454+CE454+CM454</f>
        <v>0</v>
      </c>
      <c r="CV454" s="2363">
        <f t="shared" ref="CV454:CV462" si="47">D454+L454+T454+AB454+AJ454+AR454+AZ454+BH454+BP454+BX454+CF454+CN454</f>
        <v>0</v>
      </c>
      <c r="CW454" s="2363">
        <f t="shared" ref="CW454:CW462" si="48">E454+M454+U454+AC454+AK454+AS454+BA454+BI454+BQ454+BY454+CG454+CO454</f>
        <v>0</v>
      </c>
      <c r="CX454" s="2363">
        <f t="shared" ref="CX454:CX462" si="49">F454+N454+V454+AD454+AL454+AT454+BB454+BJ454+BR454+BZ454+CH454+CP454</f>
        <v>0</v>
      </c>
      <c r="CY454" s="2363">
        <f t="shared" ref="CY454:CY462" si="50">G454+O454+W454+AE454+AM454+AU454+BC454+BK454+BS454+CA454+CI454+CQ454</f>
        <v>0</v>
      </c>
      <c r="CZ454" s="2363">
        <f t="shared" ref="CZ454:CZ462" si="51">H454+P454+X454+AF454+AN454+AV454+BD454+BL454+BT454+CB454+CJ454+CR454</f>
        <v>0</v>
      </c>
      <c r="DA454" s="2363">
        <f t="shared" ref="DA454:DA462" si="52">I454+Q454+Y454+AG454+AO454+AW454+BE454+BM454+BU454+CC454+CK454+CS454</f>
        <v>0</v>
      </c>
      <c r="DB454" s="580">
        <f>(CT454+CU454)-Clientele!K114</f>
        <v>-9152</v>
      </c>
      <c r="DC454" s="580">
        <f>(CV454+CW454)-Clientele!K130</f>
        <v>-6696</v>
      </c>
      <c r="DD454" s="580">
        <f>(CX454+CY454)-Clientele!O114</f>
        <v>-8703</v>
      </c>
      <c r="DE454" s="2228">
        <f>(CZ454+DA454)-Clientele!O130</f>
        <v>-5634</v>
      </c>
    </row>
    <row r="455" spans="1:109" ht="18">
      <c r="A455" s="2226" t="s">
        <v>8</v>
      </c>
      <c r="B455" s="2228"/>
      <c r="C455" s="2228"/>
      <c r="D455" s="2228"/>
      <c r="E455" s="2228"/>
      <c r="F455" s="2228"/>
      <c r="G455" s="2228"/>
      <c r="H455" s="2228"/>
      <c r="I455" s="2228"/>
      <c r="J455" s="2228"/>
      <c r="K455" s="2228"/>
      <c r="L455" s="2228"/>
      <c r="M455" s="2228"/>
      <c r="N455" s="2228"/>
      <c r="O455" s="2228"/>
      <c r="P455" s="2228"/>
      <c r="Q455" s="2228"/>
      <c r="R455" s="2228">
        <v>0</v>
      </c>
      <c r="S455" s="2228">
        <v>1035</v>
      </c>
      <c r="T455" s="2228">
        <v>0</v>
      </c>
      <c r="U455" s="2228">
        <v>1182</v>
      </c>
      <c r="V455" s="2228">
        <v>0</v>
      </c>
      <c r="W455" s="2228">
        <v>1218</v>
      </c>
      <c r="X455" s="2228">
        <v>0</v>
      </c>
      <c r="Y455" s="2228">
        <v>1511</v>
      </c>
      <c r="Z455" s="2228"/>
      <c r="AA455" s="2228"/>
      <c r="AB455" s="2228"/>
      <c r="AC455" s="2228"/>
      <c r="AD455" s="2228"/>
      <c r="AE455" s="2228"/>
      <c r="AF455" s="2228"/>
      <c r="AG455" s="2228"/>
      <c r="AH455" s="2228"/>
      <c r="AI455" s="2228"/>
      <c r="AJ455" s="2228"/>
      <c r="AK455" s="2228"/>
      <c r="AL455" s="2228"/>
      <c r="AM455" s="2228"/>
      <c r="AN455" s="2228"/>
      <c r="AO455" s="2228"/>
      <c r="AP455" s="2228"/>
      <c r="AQ455" s="2228"/>
      <c r="AR455" s="2228"/>
      <c r="AS455" s="2228"/>
      <c r="AT455" s="2228"/>
      <c r="AU455" s="2228"/>
      <c r="AV455" s="2228"/>
      <c r="AW455" s="2228"/>
      <c r="AX455" s="2228"/>
      <c r="AY455" s="2228"/>
      <c r="AZ455" s="2228"/>
      <c r="BA455" s="2228"/>
      <c r="BB455" s="2228"/>
      <c r="BC455" s="2228"/>
      <c r="BD455" s="2228"/>
      <c r="BE455" s="2228"/>
      <c r="BF455" s="2228"/>
      <c r="BG455" s="2228"/>
      <c r="BH455" s="2228"/>
      <c r="BI455" s="2228"/>
      <c r="BJ455" s="2228"/>
      <c r="BK455" s="2228"/>
      <c r="BL455" s="2228"/>
      <c r="BM455" s="2228"/>
      <c r="BN455" s="2228"/>
      <c r="BO455" s="2228"/>
      <c r="BP455" s="2228"/>
      <c r="BQ455" s="2228"/>
      <c r="BR455" s="2228"/>
      <c r="BS455" s="2228"/>
      <c r="BT455" s="2228"/>
      <c r="BU455" s="2228"/>
      <c r="BV455" s="2228"/>
      <c r="BW455" s="2228"/>
      <c r="BX455" s="2228"/>
      <c r="BY455" s="2228"/>
      <c r="BZ455" s="2228"/>
      <c r="CA455" s="2228"/>
      <c r="CB455" s="2228"/>
      <c r="CC455" s="2228"/>
      <c r="CD455" s="2228"/>
      <c r="CE455" s="2228"/>
      <c r="CF455" s="2228"/>
      <c r="CG455" s="2228"/>
      <c r="CH455" s="2228"/>
      <c r="CI455" s="2228"/>
      <c r="CJ455" s="2228"/>
      <c r="CK455" s="2228"/>
      <c r="CL455" s="2228"/>
      <c r="CM455" s="2228"/>
      <c r="CN455" s="2228"/>
      <c r="CO455" s="2228"/>
      <c r="CP455" s="2228"/>
      <c r="CQ455" s="2228"/>
      <c r="CR455" s="2228"/>
      <c r="CS455" s="2228"/>
      <c r="CT455" s="2363">
        <f t="shared" si="45"/>
        <v>0</v>
      </c>
      <c r="CU455" s="2363">
        <f t="shared" si="46"/>
        <v>1035</v>
      </c>
      <c r="CV455" s="2363">
        <f t="shared" si="47"/>
        <v>0</v>
      </c>
      <c r="CW455" s="2363">
        <f t="shared" si="48"/>
        <v>1182</v>
      </c>
      <c r="CX455" s="2363">
        <f t="shared" si="49"/>
        <v>0</v>
      </c>
      <c r="CY455" s="2363">
        <f t="shared" si="50"/>
        <v>1218</v>
      </c>
      <c r="CZ455" s="2363">
        <f t="shared" si="51"/>
        <v>0</v>
      </c>
      <c r="DA455" s="2363">
        <f t="shared" si="52"/>
        <v>1511</v>
      </c>
      <c r="DB455" s="580">
        <f>(CT455+CU455)-Clientele!K115</f>
        <v>-7207</v>
      </c>
      <c r="DC455" s="580">
        <f>(CV455+CW455)-Clientele!K131</f>
        <v>-10148</v>
      </c>
      <c r="DD455" s="580">
        <f>(CX455+CY455)-Clientele!O115</f>
        <v>-7442</v>
      </c>
      <c r="DE455" s="2228">
        <f>(CZ455+DA455)-Clientele!O131</f>
        <v>-6844</v>
      </c>
    </row>
    <row r="456" spans="1:109" ht="18">
      <c r="A456" s="2226" t="s">
        <v>4</v>
      </c>
      <c r="B456" s="2263"/>
      <c r="C456" s="2263"/>
      <c r="D456" s="2263"/>
      <c r="E456" s="2263"/>
      <c r="F456" s="2263"/>
      <c r="G456" s="2263"/>
      <c r="H456" s="2263"/>
      <c r="I456" s="2263"/>
      <c r="J456" s="2263">
        <v>45</v>
      </c>
      <c r="K456" s="2263">
        <v>1226</v>
      </c>
      <c r="L456" s="2263">
        <v>735</v>
      </c>
      <c r="M456" s="2263">
        <v>737</v>
      </c>
      <c r="N456" s="2263">
        <v>0</v>
      </c>
      <c r="O456" s="2263">
        <v>1020</v>
      </c>
      <c r="P456" s="2263">
        <v>170</v>
      </c>
      <c r="Q456" s="2263">
        <v>1699</v>
      </c>
      <c r="R456" s="2263">
        <v>0</v>
      </c>
      <c r="S456" s="2263">
        <v>1523</v>
      </c>
      <c r="T456" s="2263">
        <v>487</v>
      </c>
      <c r="U456" s="2263">
        <v>920</v>
      </c>
      <c r="V456" s="2263">
        <v>0</v>
      </c>
      <c r="W456" s="2263">
        <v>1162</v>
      </c>
      <c r="X456" s="2263">
        <v>366</v>
      </c>
      <c r="Y456" s="2263">
        <v>570</v>
      </c>
      <c r="Z456" s="2263"/>
      <c r="AA456" s="2263"/>
      <c r="AB456" s="2263"/>
      <c r="AC456" s="2263"/>
      <c r="AD456" s="2263"/>
      <c r="AE456" s="2263"/>
      <c r="AF456" s="2263"/>
      <c r="AG456" s="2263"/>
      <c r="AH456" s="2263"/>
      <c r="AI456" s="2263"/>
      <c r="AJ456" s="2263"/>
      <c r="AK456" s="2263"/>
      <c r="AL456" s="2263"/>
      <c r="AM456" s="2263"/>
      <c r="AN456" s="2263"/>
      <c r="AO456" s="2263"/>
      <c r="AP456" s="2263"/>
      <c r="AQ456" s="2263"/>
      <c r="AR456" s="2263"/>
      <c r="AS456" s="2263"/>
      <c r="AT456" s="2263"/>
      <c r="AU456" s="2263"/>
      <c r="AV456" s="2263"/>
      <c r="AW456" s="2263"/>
      <c r="AX456" s="2263"/>
      <c r="AY456" s="2263"/>
      <c r="AZ456" s="2263"/>
      <c r="BA456" s="2263"/>
      <c r="BB456" s="2263"/>
      <c r="BC456" s="2263"/>
      <c r="BD456" s="2263"/>
      <c r="BE456" s="2263"/>
      <c r="BF456" s="2263"/>
      <c r="BG456" s="2263"/>
      <c r="BH456" s="2263"/>
      <c r="BI456" s="2263"/>
      <c r="BJ456" s="2263"/>
      <c r="BK456" s="2263"/>
      <c r="BL456" s="2263"/>
      <c r="BM456" s="2263"/>
      <c r="BN456" s="2263"/>
      <c r="BO456" s="2263"/>
      <c r="BP456" s="2263"/>
      <c r="BQ456" s="2263"/>
      <c r="BR456" s="2263"/>
      <c r="BS456" s="2263"/>
      <c r="BT456" s="2263"/>
      <c r="BU456" s="2263"/>
      <c r="BV456" s="2263"/>
      <c r="BW456" s="2263"/>
      <c r="BX456" s="2263"/>
      <c r="BY456" s="2263"/>
      <c r="BZ456" s="2263"/>
      <c r="CA456" s="2263"/>
      <c r="CB456" s="2263"/>
      <c r="CC456" s="2263"/>
      <c r="CD456" s="2263"/>
      <c r="CE456" s="2263"/>
      <c r="CF456" s="2263"/>
      <c r="CG456" s="2263"/>
      <c r="CH456" s="2263"/>
      <c r="CI456" s="2263"/>
      <c r="CJ456" s="2263"/>
      <c r="CK456" s="2263"/>
      <c r="CL456" s="2263"/>
      <c r="CM456" s="2263"/>
      <c r="CN456" s="2263"/>
      <c r="CO456" s="2263"/>
      <c r="CP456" s="2263"/>
      <c r="CQ456" s="2263"/>
      <c r="CR456" s="2263"/>
      <c r="CS456" s="2263"/>
      <c r="CT456" s="2363">
        <f t="shared" si="45"/>
        <v>45</v>
      </c>
      <c r="CU456" s="2363">
        <f t="shared" si="46"/>
        <v>2749</v>
      </c>
      <c r="CV456" s="2363">
        <f t="shared" si="47"/>
        <v>1222</v>
      </c>
      <c r="CW456" s="2363">
        <f t="shared" si="48"/>
        <v>1657</v>
      </c>
      <c r="CX456" s="2363">
        <f t="shared" si="49"/>
        <v>0</v>
      </c>
      <c r="CY456" s="2363">
        <f t="shared" si="50"/>
        <v>2182</v>
      </c>
      <c r="CZ456" s="2363">
        <f t="shared" si="51"/>
        <v>536</v>
      </c>
      <c r="DA456" s="2363">
        <f t="shared" si="52"/>
        <v>2269</v>
      </c>
      <c r="DB456" s="580">
        <f>(CT456+CU456)-Clientele!K116</f>
        <v>-10890</v>
      </c>
      <c r="DC456" s="580">
        <f>(CV456+CW456)-Clientele!K132</f>
        <v>-6778</v>
      </c>
      <c r="DD456" s="580">
        <f>(CX456+CY456)-Clientele!O116</f>
        <v>-13386</v>
      </c>
      <c r="DE456" s="2228">
        <f>(CZ456+DA456)-Clientele!O132</f>
        <v>-9496</v>
      </c>
    </row>
    <row r="457" spans="1:109" ht="18">
      <c r="A457" s="2226" t="s">
        <v>3</v>
      </c>
      <c r="B457" s="2263"/>
      <c r="C457" s="2263"/>
      <c r="D457" s="2263"/>
      <c r="E457" s="2263"/>
      <c r="F457" s="2263"/>
      <c r="G457" s="2263"/>
      <c r="H457" s="2263"/>
      <c r="I457" s="2263"/>
      <c r="J457" s="2263"/>
      <c r="K457" s="2263"/>
      <c r="L457" s="2263"/>
      <c r="M457" s="2263"/>
      <c r="N457" s="2263"/>
      <c r="O457" s="2263"/>
      <c r="P457" s="2263"/>
      <c r="Q457" s="2263"/>
      <c r="R457" s="2263">
        <v>0</v>
      </c>
      <c r="S457" s="2263">
        <v>806</v>
      </c>
      <c r="T457" s="2263">
        <v>0</v>
      </c>
      <c r="U457" s="2263">
        <v>707</v>
      </c>
      <c r="V457" s="2263">
        <v>0</v>
      </c>
      <c r="W457" s="2263">
        <v>743</v>
      </c>
      <c r="X457" s="2263">
        <v>0</v>
      </c>
      <c r="Y457" s="2263">
        <v>397</v>
      </c>
      <c r="Z457" s="2263"/>
      <c r="AA457" s="2263"/>
      <c r="AB457" s="2263"/>
      <c r="AC457" s="2263"/>
      <c r="AD457" s="2263"/>
      <c r="AE457" s="2263"/>
      <c r="AF457" s="2263"/>
      <c r="AG457" s="2263"/>
      <c r="AH457" s="2263"/>
      <c r="AI457" s="2263"/>
      <c r="AJ457" s="2263"/>
      <c r="AK457" s="2263"/>
      <c r="AL457" s="2263"/>
      <c r="AM457" s="2263"/>
      <c r="AN457" s="2263"/>
      <c r="AO457" s="2263"/>
      <c r="AP457" s="2263"/>
      <c r="AQ457" s="2263"/>
      <c r="AR457" s="2263"/>
      <c r="AS457" s="2263"/>
      <c r="AT457" s="2263"/>
      <c r="AU457" s="2263"/>
      <c r="AV457" s="2263"/>
      <c r="AW457" s="2263"/>
      <c r="AX457" s="2263"/>
      <c r="AY457" s="2263"/>
      <c r="AZ457" s="2263"/>
      <c r="BA457" s="2263"/>
      <c r="BB457" s="2263"/>
      <c r="BC457" s="2263"/>
      <c r="BD457" s="2263"/>
      <c r="BE457" s="2263"/>
      <c r="BF457" s="2263"/>
      <c r="BG457" s="2263"/>
      <c r="BH457" s="2263"/>
      <c r="BI457" s="2263"/>
      <c r="BJ457" s="2263"/>
      <c r="BK457" s="2263"/>
      <c r="BL457" s="2263"/>
      <c r="BM457" s="2263"/>
      <c r="BN457" s="2263"/>
      <c r="BO457" s="2263"/>
      <c r="BP457" s="2263"/>
      <c r="BQ457" s="2263"/>
      <c r="BR457" s="2263"/>
      <c r="BS457" s="2263"/>
      <c r="BT457" s="2263"/>
      <c r="BU457" s="2263"/>
      <c r="BV457" s="2263"/>
      <c r="BW457" s="2263"/>
      <c r="BX457" s="2263"/>
      <c r="BY457" s="2263"/>
      <c r="BZ457" s="2263"/>
      <c r="CA457" s="2263"/>
      <c r="CB457" s="2263"/>
      <c r="CC457" s="2263"/>
      <c r="CD457" s="2263"/>
      <c r="CE457" s="2263"/>
      <c r="CF457" s="2263"/>
      <c r="CG457" s="2263"/>
      <c r="CH457" s="2263"/>
      <c r="CI457" s="2263"/>
      <c r="CJ457" s="2263"/>
      <c r="CK457" s="2263"/>
      <c r="CL457" s="2263"/>
      <c r="CM457" s="2263"/>
      <c r="CN457" s="2263"/>
      <c r="CO457" s="2263"/>
      <c r="CP457" s="2263"/>
      <c r="CQ457" s="2263"/>
      <c r="CR457" s="2263"/>
      <c r="CS457" s="2263"/>
      <c r="CT457" s="2363">
        <f t="shared" si="45"/>
        <v>0</v>
      </c>
      <c r="CU457" s="2363">
        <f t="shared" si="46"/>
        <v>806</v>
      </c>
      <c r="CV457" s="2363">
        <f t="shared" si="47"/>
        <v>0</v>
      </c>
      <c r="CW457" s="2363">
        <f t="shared" si="48"/>
        <v>707</v>
      </c>
      <c r="CX457" s="2363">
        <f t="shared" si="49"/>
        <v>0</v>
      </c>
      <c r="CY457" s="2363">
        <f t="shared" si="50"/>
        <v>743</v>
      </c>
      <c r="CZ457" s="2363">
        <f t="shared" si="51"/>
        <v>0</v>
      </c>
      <c r="DA457" s="2363">
        <f t="shared" si="52"/>
        <v>397</v>
      </c>
      <c r="DB457" s="580">
        <f>(CT457+CU457)-Clientele!K117</f>
        <v>-4613</v>
      </c>
      <c r="DC457" s="580">
        <f>(CV457+CW457)-Clientele!K133</f>
        <v>-3442</v>
      </c>
      <c r="DD457" s="580">
        <f>(CX457+CY457)-Clientele!O117</f>
        <v>-4755</v>
      </c>
      <c r="DE457" s="2228">
        <f>(CZ457+DA457)-Clientele!O133</f>
        <v>-3168</v>
      </c>
    </row>
    <row r="458" spans="1:109" ht="18">
      <c r="A458" s="2226" t="s">
        <v>397</v>
      </c>
      <c r="B458" s="2228"/>
      <c r="C458" s="2228">
        <v>1159</v>
      </c>
      <c r="D458" s="2228">
        <v>0</v>
      </c>
      <c r="E458" s="2228">
        <v>1371</v>
      </c>
      <c r="F458" s="2228"/>
      <c r="G458" s="2228">
        <v>695</v>
      </c>
      <c r="H458" s="2228">
        <v>0</v>
      </c>
      <c r="I458" s="2228">
        <v>606</v>
      </c>
      <c r="J458" s="2228"/>
      <c r="K458" s="2228"/>
      <c r="L458" s="2228"/>
      <c r="M458" s="2228"/>
      <c r="N458" s="2228"/>
      <c r="O458" s="2228"/>
      <c r="P458" s="2228"/>
      <c r="Q458" s="2228"/>
      <c r="R458" s="2228"/>
      <c r="S458" s="2228"/>
      <c r="T458" s="2228"/>
      <c r="U458" s="2228"/>
      <c r="V458" s="2228"/>
      <c r="W458" s="2228"/>
      <c r="X458" s="2228"/>
      <c r="Y458" s="2228"/>
      <c r="Z458" s="2228"/>
      <c r="AA458" s="2228"/>
      <c r="AB458" s="2228"/>
      <c r="AC458" s="2228"/>
      <c r="AD458" s="2228"/>
      <c r="AE458" s="2228"/>
      <c r="AF458" s="2228"/>
      <c r="AG458" s="2228"/>
      <c r="AH458" s="2228"/>
      <c r="AI458" s="2228"/>
      <c r="AJ458" s="2228"/>
      <c r="AK458" s="2228"/>
      <c r="AL458" s="2228"/>
      <c r="AM458" s="2228"/>
      <c r="AN458" s="2228"/>
      <c r="AO458" s="2228"/>
      <c r="AP458" s="2228"/>
      <c r="AQ458" s="2228"/>
      <c r="AR458" s="2228"/>
      <c r="AS458" s="2228"/>
      <c r="AT458" s="2228"/>
      <c r="AU458" s="2228"/>
      <c r="AV458" s="2228"/>
      <c r="AW458" s="2228"/>
      <c r="AX458" s="2228"/>
      <c r="AY458" s="2228"/>
      <c r="AZ458" s="2228"/>
      <c r="BA458" s="2228"/>
      <c r="BB458" s="2228"/>
      <c r="BC458" s="2228"/>
      <c r="BD458" s="2228"/>
      <c r="BE458" s="2228"/>
      <c r="BF458" s="2228"/>
      <c r="BG458" s="2228"/>
      <c r="BH458" s="2228"/>
      <c r="BI458" s="2228"/>
      <c r="BJ458" s="2228"/>
      <c r="BK458" s="2228"/>
      <c r="BL458" s="2228"/>
      <c r="BM458" s="2228"/>
      <c r="BN458" s="2228"/>
      <c r="BO458" s="2228"/>
      <c r="BP458" s="2228"/>
      <c r="BQ458" s="2228"/>
      <c r="BR458" s="2228"/>
      <c r="BS458" s="2228"/>
      <c r="BT458" s="2228"/>
      <c r="BU458" s="2228"/>
      <c r="BV458" s="2228"/>
      <c r="BW458" s="2228"/>
      <c r="BX458" s="2228"/>
      <c r="BY458" s="2228"/>
      <c r="BZ458" s="2228"/>
      <c r="CA458" s="2228"/>
      <c r="CB458" s="2228"/>
      <c r="CC458" s="2228"/>
      <c r="CD458" s="2228"/>
      <c r="CE458" s="2228"/>
      <c r="CF458" s="2228"/>
      <c r="CG458" s="2228"/>
      <c r="CH458" s="2228"/>
      <c r="CI458" s="2228"/>
      <c r="CJ458" s="2228"/>
      <c r="CK458" s="2228"/>
      <c r="CL458" s="2228"/>
      <c r="CM458" s="2228"/>
      <c r="CN458" s="2228"/>
      <c r="CO458" s="2228"/>
      <c r="CP458" s="2228"/>
      <c r="CQ458" s="2228"/>
      <c r="CR458" s="2228"/>
      <c r="CS458" s="2228"/>
      <c r="CT458" s="2363">
        <f t="shared" si="45"/>
        <v>0</v>
      </c>
      <c r="CU458" s="2363">
        <f t="shared" si="46"/>
        <v>1159</v>
      </c>
      <c r="CV458" s="2363">
        <f t="shared" si="47"/>
        <v>0</v>
      </c>
      <c r="CW458" s="2363">
        <f t="shared" si="48"/>
        <v>1371</v>
      </c>
      <c r="CX458" s="2363">
        <f t="shared" si="49"/>
        <v>0</v>
      </c>
      <c r="CY458" s="2363">
        <f t="shared" si="50"/>
        <v>695</v>
      </c>
      <c r="CZ458" s="2363">
        <f t="shared" si="51"/>
        <v>0</v>
      </c>
      <c r="DA458" s="2363">
        <f t="shared" si="52"/>
        <v>606</v>
      </c>
      <c r="DB458" s="580">
        <f>(CT458+CU458)-Clientele!K118</f>
        <v>-7719</v>
      </c>
      <c r="DC458" s="580">
        <f>(CV458+CW458)-Clientele!K134</f>
        <v>-6277</v>
      </c>
      <c r="DD458" s="580">
        <f>(CX458+CY458)-Clientele!O118</f>
        <v>-5709</v>
      </c>
      <c r="DE458" s="2228">
        <f>(CZ458+DA458)-Clientele!O134</f>
        <v>-5401</v>
      </c>
    </row>
    <row r="459" spans="1:109" ht="18">
      <c r="A459" s="2226" t="s">
        <v>399</v>
      </c>
      <c r="B459" s="2228">
        <v>19</v>
      </c>
      <c r="C459" s="2228">
        <v>1193</v>
      </c>
      <c r="D459" s="2228">
        <v>57</v>
      </c>
      <c r="E459" s="2228">
        <v>1082</v>
      </c>
      <c r="F459" s="2228">
        <v>0</v>
      </c>
      <c r="G459" s="2228">
        <v>592</v>
      </c>
      <c r="H459" s="2228">
        <v>0</v>
      </c>
      <c r="I459" s="2228">
        <v>1635</v>
      </c>
      <c r="J459" s="2228">
        <v>6</v>
      </c>
      <c r="K459" s="2228">
        <v>1641</v>
      </c>
      <c r="L459" s="2228">
        <v>71</v>
      </c>
      <c r="M459" s="2228">
        <v>2266</v>
      </c>
      <c r="N459" s="2228">
        <v>0</v>
      </c>
      <c r="O459" s="2228">
        <v>1336</v>
      </c>
      <c r="P459" s="2228">
        <v>0</v>
      </c>
      <c r="Q459" s="2228">
        <v>1525</v>
      </c>
      <c r="R459" s="2228"/>
      <c r="S459" s="2228"/>
      <c r="T459" s="2228"/>
      <c r="U459" s="2228"/>
      <c r="V459" s="2228"/>
      <c r="W459" s="2228"/>
      <c r="X459" s="2228"/>
      <c r="Y459" s="2228"/>
      <c r="Z459" s="2228"/>
      <c r="AA459" s="2228"/>
      <c r="AB459" s="2228"/>
      <c r="AC459" s="2228"/>
      <c r="AD459" s="2228"/>
      <c r="AE459" s="2228"/>
      <c r="AF459" s="2228"/>
      <c r="AG459" s="2228"/>
      <c r="AH459" s="2228"/>
      <c r="AI459" s="2228"/>
      <c r="AJ459" s="2228"/>
      <c r="AK459" s="2228"/>
      <c r="AL459" s="2228"/>
      <c r="AM459" s="2228"/>
      <c r="AN459" s="2228"/>
      <c r="AO459" s="2228"/>
      <c r="AP459" s="2228"/>
      <c r="AQ459" s="2228"/>
      <c r="AR459" s="2228"/>
      <c r="AS459" s="2228"/>
      <c r="AT459" s="2228"/>
      <c r="AU459" s="2228"/>
      <c r="AV459" s="2228"/>
      <c r="AW459" s="2228"/>
      <c r="AX459" s="2228"/>
      <c r="AY459" s="2228"/>
      <c r="AZ459" s="2228"/>
      <c r="BA459" s="2228"/>
      <c r="BB459" s="2228"/>
      <c r="BC459" s="2228"/>
      <c r="BD459" s="2228"/>
      <c r="BE459" s="2228"/>
      <c r="BF459" s="2228"/>
      <c r="BG459" s="2228"/>
      <c r="BH459" s="2228"/>
      <c r="BI459" s="2228"/>
      <c r="BJ459" s="2228"/>
      <c r="BK459" s="2228"/>
      <c r="BL459" s="2228"/>
      <c r="BM459" s="2228"/>
      <c r="BN459" s="2228"/>
      <c r="BO459" s="2228"/>
      <c r="BP459" s="2228"/>
      <c r="BQ459" s="2228"/>
      <c r="BR459" s="2228"/>
      <c r="BS459" s="2228"/>
      <c r="BT459" s="2228"/>
      <c r="BU459" s="2228"/>
      <c r="BV459" s="2228"/>
      <c r="BW459" s="2228"/>
      <c r="BX459" s="2228"/>
      <c r="BY459" s="2228"/>
      <c r="BZ459" s="2228"/>
      <c r="CA459" s="2228"/>
      <c r="CB459" s="2228"/>
      <c r="CC459" s="2228"/>
      <c r="CD459" s="2228"/>
      <c r="CE459" s="2228"/>
      <c r="CF459" s="2228"/>
      <c r="CG459" s="2228"/>
      <c r="CH459" s="2228"/>
      <c r="CI459" s="2228"/>
      <c r="CJ459" s="2228"/>
      <c r="CK459" s="2228"/>
      <c r="CL459" s="2228"/>
      <c r="CM459" s="2228"/>
      <c r="CN459" s="2228"/>
      <c r="CO459" s="2228"/>
      <c r="CP459" s="2228"/>
      <c r="CQ459" s="2228"/>
      <c r="CR459" s="2228"/>
      <c r="CS459" s="2228"/>
      <c r="CT459" s="2363">
        <f t="shared" si="45"/>
        <v>25</v>
      </c>
      <c r="CU459" s="2363">
        <f t="shared" si="46"/>
        <v>2834</v>
      </c>
      <c r="CV459" s="2363">
        <f t="shared" si="47"/>
        <v>128</v>
      </c>
      <c r="CW459" s="2363">
        <f t="shared" si="48"/>
        <v>3348</v>
      </c>
      <c r="CX459" s="2363">
        <f t="shared" si="49"/>
        <v>0</v>
      </c>
      <c r="CY459" s="2363">
        <f t="shared" si="50"/>
        <v>1928</v>
      </c>
      <c r="CZ459" s="2363">
        <f t="shared" si="51"/>
        <v>0</v>
      </c>
      <c r="DA459" s="2363">
        <f t="shared" si="52"/>
        <v>3160</v>
      </c>
      <c r="DB459" s="580">
        <f>(CT459+CU459)-Clientele!K119</f>
        <v>-8408</v>
      </c>
      <c r="DC459" s="580">
        <f>(CV459+CW459)-Clientele!K135</f>
        <v>-6514</v>
      </c>
      <c r="DD459" s="580">
        <f>(CX459+CY459)-Clientele!O119</f>
        <v>-11006</v>
      </c>
      <c r="DE459" s="2228">
        <f>(CZ459+DA459)-Clientele!O135</f>
        <v>-7519</v>
      </c>
    </row>
    <row r="460" spans="1:109" ht="18">
      <c r="A460" s="2226" t="s">
        <v>883</v>
      </c>
      <c r="B460" s="2263">
        <v>23</v>
      </c>
      <c r="C460" s="2263">
        <v>755</v>
      </c>
      <c r="D460" s="2263">
        <v>689</v>
      </c>
      <c r="E460" s="2263">
        <v>696</v>
      </c>
      <c r="F460" s="2263">
        <v>37</v>
      </c>
      <c r="G460" s="2263">
        <v>342</v>
      </c>
      <c r="H460" s="2263">
        <v>183</v>
      </c>
      <c r="I460" s="2263">
        <v>399</v>
      </c>
      <c r="J460" s="2263"/>
      <c r="K460" s="2263"/>
      <c r="L460" s="2263"/>
      <c r="M460" s="2263"/>
      <c r="N460" s="2263"/>
      <c r="O460" s="2263"/>
      <c r="P460" s="2263"/>
      <c r="Q460" s="2263"/>
      <c r="R460" s="2263">
        <v>20</v>
      </c>
      <c r="S460" s="2263">
        <v>718</v>
      </c>
      <c r="T460" s="2263">
        <v>59</v>
      </c>
      <c r="U460" s="2263">
        <v>1163</v>
      </c>
      <c r="V460" s="2263">
        <v>105</v>
      </c>
      <c r="W460" s="2263">
        <v>730</v>
      </c>
      <c r="X460" s="2263">
        <v>430</v>
      </c>
      <c r="Y460" s="2263">
        <v>511</v>
      </c>
      <c r="Z460" s="2263"/>
      <c r="AA460" s="2263"/>
      <c r="AB460" s="2263"/>
      <c r="AC460" s="2263"/>
      <c r="AD460" s="2263"/>
      <c r="AE460" s="2263"/>
      <c r="AF460" s="2263"/>
      <c r="AG460" s="2263"/>
      <c r="AH460" s="2263"/>
      <c r="AI460" s="2263"/>
      <c r="AJ460" s="2263"/>
      <c r="AK460" s="2263"/>
      <c r="AL460" s="2263"/>
      <c r="AM460" s="2263"/>
      <c r="AN460" s="2263"/>
      <c r="AO460" s="2263"/>
      <c r="AP460" s="2263"/>
      <c r="AQ460" s="2263"/>
      <c r="AR460" s="2263"/>
      <c r="AS460" s="2263"/>
      <c r="AT460" s="2263"/>
      <c r="AU460" s="2263"/>
      <c r="AV460" s="2263"/>
      <c r="AW460" s="2263"/>
      <c r="AX460" s="2263"/>
      <c r="AY460" s="2263"/>
      <c r="AZ460" s="2263"/>
      <c r="BA460" s="2263"/>
      <c r="BB460" s="2263"/>
      <c r="BC460" s="2263"/>
      <c r="BD460" s="2263"/>
      <c r="BE460" s="2263"/>
      <c r="BF460" s="2263"/>
      <c r="BG460" s="2263"/>
      <c r="BH460" s="2263"/>
      <c r="BI460" s="2263"/>
      <c r="BJ460" s="2263"/>
      <c r="BK460" s="2263"/>
      <c r="BL460" s="2263"/>
      <c r="BM460" s="2263"/>
      <c r="BN460" s="2263"/>
      <c r="BO460" s="2263"/>
      <c r="BP460" s="2263"/>
      <c r="BQ460" s="2263"/>
      <c r="BR460" s="2263"/>
      <c r="BS460" s="2263"/>
      <c r="BT460" s="2263"/>
      <c r="BU460" s="2263"/>
      <c r="BV460" s="2263"/>
      <c r="BW460" s="2263"/>
      <c r="BX460" s="2263"/>
      <c r="BY460" s="2263"/>
      <c r="BZ460" s="2263"/>
      <c r="CA460" s="2263"/>
      <c r="CB460" s="2263"/>
      <c r="CC460" s="2263"/>
      <c r="CD460" s="2263"/>
      <c r="CE460" s="2263"/>
      <c r="CF460" s="2263"/>
      <c r="CG460" s="2263"/>
      <c r="CH460" s="2263"/>
      <c r="CI460" s="2263"/>
      <c r="CJ460" s="2263"/>
      <c r="CK460" s="2263"/>
      <c r="CL460" s="2263"/>
      <c r="CM460" s="2263"/>
      <c r="CN460" s="2263"/>
      <c r="CO460" s="2263"/>
      <c r="CP460" s="2263"/>
      <c r="CQ460" s="2263"/>
      <c r="CR460" s="2263"/>
      <c r="CS460" s="2263"/>
      <c r="CT460" s="2363">
        <f t="shared" si="45"/>
        <v>43</v>
      </c>
      <c r="CU460" s="2363">
        <f t="shared" si="46"/>
        <v>1473</v>
      </c>
      <c r="CV460" s="2363">
        <f t="shared" si="47"/>
        <v>748</v>
      </c>
      <c r="CW460" s="2363">
        <f t="shared" si="48"/>
        <v>1859</v>
      </c>
      <c r="CX460" s="2363">
        <f t="shared" si="49"/>
        <v>142</v>
      </c>
      <c r="CY460" s="2363">
        <f t="shared" si="50"/>
        <v>1072</v>
      </c>
      <c r="CZ460" s="2363">
        <f t="shared" si="51"/>
        <v>613</v>
      </c>
      <c r="DA460" s="2363">
        <f t="shared" si="52"/>
        <v>910</v>
      </c>
      <c r="DB460" s="580">
        <f>(CT460+CU460)-Clientele!K120</f>
        <v>-5655</v>
      </c>
      <c r="DC460" s="580">
        <f>(CV460+CW460)-Clientele!K136</f>
        <v>-3693</v>
      </c>
      <c r="DD460" s="580">
        <f>(CX460+CY460)-Clientele!O120</f>
        <v>-4690</v>
      </c>
      <c r="DE460" s="2228">
        <f>(CZ460+DA460)-Clientele!O136</f>
        <v>-3161</v>
      </c>
    </row>
    <row r="461" spans="1:109" ht="18">
      <c r="A461" s="2226" t="s">
        <v>884</v>
      </c>
      <c r="B461" s="2263"/>
      <c r="C461" s="2263"/>
      <c r="D461" s="2263"/>
      <c r="E461" s="2263"/>
      <c r="F461" s="2263"/>
      <c r="G461" s="2263"/>
      <c r="H461" s="2263"/>
      <c r="I461" s="2263"/>
      <c r="J461" s="2263"/>
      <c r="K461" s="2263"/>
      <c r="L461" s="2263"/>
      <c r="M461" s="2263"/>
      <c r="N461" s="2263"/>
      <c r="O461" s="2263"/>
      <c r="P461" s="2263"/>
      <c r="Q461" s="2263"/>
      <c r="R461" s="2263">
        <v>68</v>
      </c>
      <c r="S461" s="2263">
        <v>2011</v>
      </c>
      <c r="T461" s="2263">
        <v>1060</v>
      </c>
      <c r="U461" s="2263">
        <v>859</v>
      </c>
      <c r="V461" s="2263">
        <v>112</v>
      </c>
      <c r="W461" s="2263">
        <v>2015</v>
      </c>
      <c r="X461" s="2263">
        <v>789</v>
      </c>
      <c r="Y461" s="2263">
        <v>733</v>
      </c>
      <c r="Z461" s="2263"/>
      <c r="AA461" s="2263"/>
      <c r="AB461" s="2263"/>
      <c r="AC461" s="2263"/>
      <c r="AD461" s="2263"/>
      <c r="AE461" s="2263"/>
      <c r="AF461" s="2263"/>
      <c r="AG461" s="2263"/>
      <c r="AH461" s="2263"/>
      <c r="AI461" s="2263"/>
      <c r="AJ461" s="2263"/>
      <c r="AK461" s="2263"/>
      <c r="AL461" s="2263"/>
      <c r="AM461" s="2263"/>
      <c r="AN461" s="2263"/>
      <c r="AO461" s="2263"/>
      <c r="AP461" s="2263"/>
      <c r="AQ461" s="2263"/>
      <c r="AR461" s="2263"/>
      <c r="AS461" s="2263"/>
      <c r="AT461" s="2263"/>
      <c r="AU461" s="2263"/>
      <c r="AV461" s="2263"/>
      <c r="AW461" s="2263"/>
      <c r="AX461" s="2263"/>
      <c r="AY461" s="2263"/>
      <c r="AZ461" s="2263"/>
      <c r="BA461" s="2263"/>
      <c r="BB461" s="2263"/>
      <c r="BC461" s="2263"/>
      <c r="BD461" s="2263"/>
      <c r="BE461" s="2263"/>
      <c r="BF461" s="2263"/>
      <c r="BG461" s="2263"/>
      <c r="BH461" s="2263"/>
      <c r="BI461" s="2263"/>
      <c r="BJ461" s="2263"/>
      <c r="BK461" s="2263"/>
      <c r="BL461" s="2263"/>
      <c r="BM461" s="2263"/>
      <c r="BN461" s="2263"/>
      <c r="BO461" s="2263"/>
      <c r="BP461" s="2263"/>
      <c r="BQ461" s="2263"/>
      <c r="BR461" s="2263"/>
      <c r="BS461" s="2263"/>
      <c r="BT461" s="2263"/>
      <c r="BU461" s="2263"/>
      <c r="BV461" s="2263"/>
      <c r="BW461" s="2263"/>
      <c r="BX461" s="2263"/>
      <c r="BY461" s="2263"/>
      <c r="BZ461" s="2263"/>
      <c r="CA461" s="2263"/>
      <c r="CB461" s="2263"/>
      <c r="CC461" s="2263"/>
      <c r="CD461" s="2263"/>
      <c r="CE461" s="2263"/>
      <c r="CF461" s="2263"/>
      <c r="CG461" s="2263"/>
      <c r="CH461" s="2263"/>
      <c r="CI461" s="2263"/>
      <c r="CJ461" s="2263"/>
      <c r="CK461" s="2263"/>
      <c r="CL461" s="2263"/>
      <c r="CM461" s="2263"/>
      <c r="CN461" s="2263"/>
      <c r="CO461" s="2263"/>
      <c r="CP461" s="2263"/>
      <c r="CQ461" s="2263"/>
      <c r="CR461" s="2263"/>
      <c r="CS461" s="2263"/>
      <c r="CT461" s="2363">
        <f t="shared" si="45"/>
        <v>68</v>
      </c>
      <c r="CU461" s="2363">
        <f t="shared" si="46"/>
        <v>2011</v>
      </c>
      <c r="CV461" s="2363">
        <f t="shared" si="47"/>
        <v>1060</v>
      </c>
      <c r="CW461" s="2363">
        <f t="shared" si="48"/>
        <v>859</v>
      </c>
      <c r="CX461" s="2363">
        <f t="shared" si="49"/>
        <v>112</v>
      </c>
      <c r="CY461" s="2363">
        <f t="shared" si="50"/>
        <v>2015</v>
      </c>
      <c r="CZ461" s="2363">
        <f t="shared" si="51"/>
        <v>789</v>
      </c>
      <c r="DA461" s="2363">
        <f t="shared" si="52"/>
        <v>733</v>
      </c>
      <c r="DB461" s="580">
        <f>(CT461+CU461)-Clientele!K121</f>
        <v>-9144</v>
      </c>
      <c r="DC461" s="580">
        <f>(CV461+CW461)-Clientele!K137</f>
        <v>-9845</v>
      </c>
      <c r="DD461" s="580">
        <f>(CX461+CY461)-Clientele!O121</f>
        <v>-6750</v>
      </c>
      <c r="DE461" s="2228">
        <f>(CZ461+DA461)-Clientele!O137</f>
        <v>-7410</v>
      </c>
    </row>
    <row r="462" spans="1:109" ht="18">
      <c r="A462" s="2226" t="s">
        <v>885</v>
      </c>
      <c r="B462" s="2228"/>
      <c r="C462" s="2228"/>
      <c r="D462" s="2228"/>
      <c r="E462" s="2228"/>
      <c r="F462" s="2228">
        <v>80</v>
      </c>
      <c r="G462" s="2228">
        <v>316</v>
      </c>
      <c r="H462" s="2228">
        <v>180</v>
      </c>
      <c r="I462" s="2228">
        <v>313</v>
      </c>
      <c r="J462" s="2228"/>
      <c r="K462" s="2228"/>
      <c r="L462" s="2228"/>
      <c r="M462" s="2228"/>
      <c r="N462" s="2228">
        <v>277</v>
      </c>
      <c r="O462" s="2228">
        <v>448</v>
      </c>
      <c r="P462" s="2228">
        <v>365</v>
      </c>
      <c r="Q462" s="2228">
        <v>397</v>
      </c>
      <c r="R462" s="2228"/>
      <c r="S462" s="2228"/>
      <c r="T462" s="2228"/>
      <c r="U462" s="2228"/>
      <c r="V462" s="2228"/>
      <c r="W462" s="2228"/>
      <c r="X462" s="2228"/>
      <c r="Y462" s="2228"/>
      <c r="Z462" s="2228"/>
      <c r="AA462" s="2228"/>
      <c r="AB462" s="2228"/>
      <c r="AC462" s="2228"/>
      <c r="AD462" s="2228"/>
      <c r="AE462" s="2228"/>
      <c r="AF462" s="2228"/>
      <c r="AG462" s="2228"/>
      <c r="AH462" s="2228"/>
      <c r="AI462" s="2228"/>
      <c r="AJ462" s="2228"/>
      <c r="AK462" s="2228"/>
      <c r="AL462" s="2228"/>
      <c r="AM462" s="2228"/>
      <c r="AN462" s="2228"/>
      <c r="AO462" s="2228"/>
      <c r="AP462" s="2228"/>
      <c r="AQ462" s="2228"/>
      <c r="AR462" s="2228"/>
      <c r="AS462" s="2228"/>
      <c r="AT462" s="2228"/>
      <c r="AU462" s="2228"/>
      <c r="AV462" s="2228"/>
      <c r="AW462" s="2228"/>
      <c r="AX462" s="2228"/>
      <c r="AY462" s="2228"/>
      <c r="AZ462" s="2228"/>
      <c r="BA462" s="2228"/>
      <c r="BB462" s="2228"/>
      <c r="BC462" s="2228"/>
      <c r="BD462" s="2228"/>
      <c r="BE462" s="2228"/>
      <c r="BF462" s="2228"/>
      <c r="BG462" s="2228"/>
      <c r="BH462" s="2228"/>
      <c r="BI462" s="2228"/>
      <c r="BJ462" s="2228"/>
      <c r="BK462" s="2228"/>
      <c r="BL462" s="2228"/>
      <c r="BM462" s="2228"/>
      <c r="BN462" s="2228"/>
      <c r="BO462" s="2228"/>
      <c r="BP462" s="2228"/>
      <c r="BQ462" s="2228"/>
      <c r="BR462" s="2228"/>
      <c r="BS462" s="2228"/>
      <c r="BT462" s="2228"/>
      <c r="BU462" s="2228"/>
      <c r="BV462" s="2228"/>
      <c r="BW462" s="2228"/>
      <c r="BX462" s="2228"/>
      <c r="BY462" s="2228"/>
      <c r="BZ462" s="2228"/>
      <c r="CA462" s="2228"/>
      <c r="CB462" s="2228"/>
      <c r="CC462" s="2228"/>
      <c r="CD462" s="2228"/>
      <c r="CE462" s="2228"/>
      <c r="CF462" s="2228"/>
      <c r="CG462" s="2228"/>
      <c r="CH462" s="2228"/>
      <c r="CI462" s="2228"/>
      <c r="CJ462" s="2228"/>
      <c r="CK462" s="2228"/>
      <c r="CL462" s="2228"/>
      <c r="CM462" s="2228"/>
      <c r="CN462" s="2228"/>
      <c r="CO462" s="2228"/>
      <c r="CP462" s="2228"/>
      <c r="CQ462" s="2228"/>
      <c r="CR462" s="2228"/>
      <c r="CS462" s="2228"/>
      <c r="CT462" s="2363">
        <f t="shared" si="45"/>
        <v>0</v>
      </c>
      <c r="CU462" s="2363">
        <f t="shared" si="46"/>
        <v>0</v>
      </c>
      <c r="CV462" s="2363">
        <f t="shared" si="47"/>
        <v>0</v>
      </c>
      <c r="CW462" s="2363">
        <f t="shared" si="48"/>
        <v>0</v>
      </c>
      <c r="CX462" s="2363">
        <f t="shared" si="49"/>
        <v>357</v>
      </c>
      <c r="CY462" s="2363">
        <f t="shared" si="50"/>
        <v>764</v>
      </c>
      <c r="CZ462" s="2363">
        <f t="shared" si="51"/>
        <v>545</v>
      </c>
      <c r="DA462" s="2363">
        <f t="shared" si="52"/>
        <v>710</v>
      </c>
      <c r="DB462" s="580">
        <f>(CT462+CU462)-Clientele!K122</f>
        <v>-4626</v>
      </c>
      <c r="DC462" s="580">
        <f>(CV462+CW462)-Clientele!K138</f>
        <v>-5828</v>
      </c>
      <c r="DD462" s="580">
        <f>(CX462+CY462)-Clientele!O122</f>
        <v>-4020</v>
      </c>
      <c r="DE462" s="2228">
        <f>(CZ462+DA462)-Clientele!O138</f>
        <v>-3261</v>
      </c>
    </row>
    <row r="463" spans="1:109" ht="18">
      <c r="A463" s="2227" t="s">
        <v>20</v>
      </c>
      <c r="B463" s="2229">
        <f>SUM(B453:B462)</f>
        <v>42</v>
      </c>
      <c r="C463" s="2229">
        <f t="shared" ref="C463:I463" si="53">SUM(C453:C462)</f>
        <v>3734</v>
      </c>
      <c r="D463" s="2229">
        <f t="shared" si="53"/>
        <v>746</v>
      </c>
      <c r="E463" s="2229">
        <f t="shared" si="53"/>
        <v>5271</v>
      </c>
      <c r="F463" s="2229">
        <f t="shared" si="53"/>
        <v>117</v>
      </c>
      <c r="G463" s="2229">
        <f t="shared" si="53"/>
        <v>4160</v>
      </c>
      <c r="H463" s="2229">
        <f t="shared" si="53"/>
        <v>363</v>
      </c>
      <c r="I463" s="2229">
        <f t="shared" si="53"/>
        <v>5561</v>
      </c>
      <c r="J463" s="2229">
        <f>SUM(J453:J462)</f>
        <v>51</v>
      </c>
      <c r="K463" s="2229">
        <f t="shared" ref="K463:Z463" si="54">SUM(K453:K462)</f>
        <v>5529</v>
      </c>
      <c r="L463" s="2229">
        <f t="shared" si="54"/>
        <v>806</v>
      </c>
      <c r="M463" s="2229">
        <f t="shared" si="54"/>
        <v>5241</v>
      </c>
      <c r="N463" s="2229">
        <f t="shared" si="54"/>
        <v>277</v>
      </c>
      <c r="O463" s="2229">
        <f t="shared" si="54"/>
        <v>6263</v>
      </c>
      <c r="P463" s="2229">
        <f t="shared" si="54"/>
        <v>535</v>
      </c>
      <c r="Q463" s="2229">
        <f t="shared" si="54"/>
        <v>5740</v>
      </c>
      <c r="R463" s="2229">
        <f t="shared" si="54"/>
        <v>88</v>
      </c>
      <c r="S463" s="2229">
        <f t="shared" si="54"/>
        <v>8162</v>
      </c>
      <c r="T463" s="2229">
        <f t="shared" si="54"/>
        <v>1606</v>
      </c>
      <c r="U463" s="2229">
        <f t="shared" si="54"/>
        <v>6034</v>
      </c>
      <c r="V463" s="2229">
        <f t="shared" si="54"/>
        <v>217</v>
      </c>
      <c r="W463" s="2229">
        <f t="shared" si="54"/>
        <v>8106</v>
      </c>
      <c r="X463" s="2229">
        <f t="shared" si="54"/>
        <v>1585</v>
      </c>
      <c r="Y463" s="2229">
        <f t="shared" si="54"/>
        <v>5531</v>
      </c>
      <c r="Z463" s="2229">
        <f t="shared" si="54"/>
        <v>0</v>
      </c>
      <c r="AA463" s="2229">
        <f t="shared" ref="AA463:BM463" si="55">SUM(AA453:AA462)</f>
        <v>0</v>
      </c>
      <c r="AB463" s="2229">
        <f t="shared" si="55"/>
        <v>0</v>
      </c>
      <c r="AC463" s="2229">
        <f t="shared" si="55"/>
        <v>0</v>
      </c>
      <c r="AD463" s="2229">
        <f t="shared" si="55"/>
        <v>0</v>
      </c>
      <c r="AE463" s="2229">
        <f t="shared" si="55"/>
        <v>0</v>
      </c>
      <c r="AF463" s="2229">
        <f t="shared" si="55"/>
        <v>0</v>
      </c>
      <c r="AG463" s="2229">
        <f t="shared" si="55"/>
        <v>0</v>
      </c>
      <c r="AH463" s="2229">
        <f t="shared" si="55"/>
        <v>0</v>
      </c>
      <c r="AI463" s="2229">
        <f t="shared" si="55"/>
        <v>0</v>
      </c>
      <c r="AJ463" s="2229">
        <f t="shared" si="55"/>
        <v>0</v>
      </c>
      <c r="AK463" s="2229">
        <f t="shared" si="55"/>
        <v>0</v>
      </c>
      <c r="AL463" s="2229">
        <f t="shared" si="55"/>
        <v>0</v>
      </c>
      <c r="AM463" s="2229">
        <f t="shared" si="55"/>
        <v>0</v>
      </c>
      <c r="AN463" s="2229">
        <f t="shared" si="55"/>
        <v>0</v>
      </c>
      <c r="AO463" s="2229">
        <f t="shared" si="55"/>
        <v>0</v>
      </c>
      <c r="AP463" s="2229">
        <f t="shared" si="55"/>
        <v>0</v>
      </c>
      <c r="AQ463" s="2229">
        <f t="shared" si="55"/>
        <v>0</v>
      </c>
      <c r="AR463" s="2229">
        <f t="shared" si="55"/>
        <v>0</v>
      </c>
      <c r="AS463" s="2229">
        <f t="shared" si="55"/>
        <v>0</v>
      </c>
      <c r="AT463" s="2229">
        <f t="shared" si="55"/>
        <v>0</v>
      </c>
      <c r="AU463" s="2229">
        <f t="shared" si="55"/>
        <v>0</v>
      </c>
      <c r="AV463" s="2229">
        <f t="shared" si="55"/>
        <v>0</v>
      </c>
      <c r="AW463" s="2229">
        <f t="shared" si="55"/>
        <v>0</v>
      </c>
      <c r="AX463" s="2229">
        <f t="shared" si="55"/>
        <v>0</v>
      </c>
      <c r="AY463" s="2229">
        <f t="shared" si="55"/>
        <v>0</v>
      </c>
      <c r="AZ463" s="2229">
        <f t="shared" si="55"/>
        <v>0</v>
      </c>
      <c r="BA463" s="2229">
        <f t="shared" si="55"/>
        <v>0</v>
      </c>
      <c r="BB463" s="2229">
        <f t="shared" si="55"/>
        <v>0</v>
      </c>
      <c r="BC463" s="2229">
        <f t="shared" si="55"/>
        <v>0</v>
      </c>
      <c r="BD463" s="2229">
        <f t="shared" si="55"/>
        <v>0</v>
      </c>
      <c r="BE463" s="2229">
        <f t="shared" si="55"/>
        <v>0</v>
      </c>
      <c r="BF463" s="2229">
        <f t="shared" si="55"/>
        <v>0</v>
      </c>
      <c r="BG463" s="2229">
        <f t="shared" si="55"/>
        <v>0</v>
      </c>
      <c r="BH463" s="2229">
        <f t="shared" si="55"/>
        <v>0</v>
      </c>
      <c r="BI463" s="2229">
        <f t="shared" si="55"/>
        <v>0</v>
      </c>
      <c r="BJ463" s="2229">
        <f t="shared" si="55"/>
        <v>0</v>
      </c>
      <c r="BK463" s="2229">
        <f t="shared" si="55"/>
        <v>0</v>
      </c>
      <c r="BL463" s="2229">
        <f t="shared" si="55"/>
        <v>0</v>
      </c>
      <c r="BM463" s="2229">
        <f t="shared" si="55"/>
        <v>0</v>
      </c>
      <c r="BN463" s="2229">
        <f>SUM(BN453:BN462)</f>
        <v>0</v>
      </c>
      <c r="BO463" s="2229">
        <f t="shared" ref="BO463:BU463" si="56">SUM(BO453:BO462)</f>
        <v>0</v>
      </c>
      <c r="BP463" s="2229">
        <f t="shared" si="56"/>
        <v>0</v>
      </c>
      <c r="BQ463" s="2229">
        <f t="shared" si="56"/>
        <v>0</v>
      </c>
      <c r="BR463" s="2229">
        <f t="shared" si="56"/>
        <v>0</v>
      </c>
      <c r="BS463" s="2229">
        <f t="shared" si="56"/>
        <v>0</v>
      </c>
      <c r="BT463" s="2229">
        <f t="shared" si="56"/>
        <v>0</v>
      </c>
      <c r="BU463" s="2229">
        <f t="shared" si="56"/>
        <v>0</v>
      </c>
      <c r="BV463" s="2229">
        <f>SUM(BV453:BV462)</f>
        <v>0</v>
      </c>
      <c r="BW463" s="2229">
        <f t="shared" ref="BW463:DE463" si="57">SUM(BW453:BW462)</f>
        <v>0</v>
      </c>
      <c r="BX463" s="2229">
        <f t="shared" si="57"/>
        <v>0</v>
      </c>
      <c r="BY463" s="2229">
        <f t="shared" si="57"/>
        <v>0</v>
      </c>
      <c r="BZ463" s="2229">
        <f t="shared" si="57"/>
        <v>0</v>
      </c>
      <c r="CA463" s="2229">
        <f t="shared" si="57"/>
        <v>0</v>
      </c>
      <c r="CB463" s="2229">
        <f t="shared" si="57"/>
        <v>0</v>
      </c>
      <c r="CC463" s="2229">
        <f t="shared" si="57"/>
        <v>0</v>
      </c>
      <c r="CD463" s="2229">
        <f t="shared" si="57"/>
        <v>0</v>
      </c>
      <c r="CE463" s="2229">
        <f t="shared" si="57"/>
        <v>0</v>
      </c>
      <c r="CF463" s="2229">
        <f t="shared" si="57"/>
        <v>0</v>
      </c>
      <c r="CG463" s="2229">
        <f t="shared" si="57"/>
        <v>0</v>
      </c>
      <c r="CH463" s="2229">
        <f t="shared" si="57"/>
        <v>0</v>
      </c>
      <c r="CI463" s="2229">
        <f t="shared" si="57"/>
        <v>0</v>
      </c>
      <c r="CJ463" s="2229">
        <f t="shared" si="57"/>
        <v>0</v>
      </c>
      <c r="CK463" s="2229">
        <f t="shared" si="57"/>
        <v>0</v>
      </c>
      <c r="CL463" s="2229">
        <f t="shared" si="57"/>
        <v>0</v>
      </c>
      <c r="CM463" s="2229">
        <f t="shared" si="57"/>
        <v>0</v>
      </c>
      <c r="CN463" s="2229">
        <f t="shared" si="57"/>
        <v>0</v>
      </c>
      <c r="CO463" s="2229">
        <f t="shared" si="57"/>
        <v>0</v>
      </c>
      <c r="CP463" s="2229">
        <f t="shared" si="57"/>
        <v>0</v>
      </c>
      <c r="CQ463" s="2229">
        <f t="shared" si="57"/>
        <v>0</v>
      </c>
      <c r="CR463" s="2229">
        <f t="shared" si="57"/>
        <v>0</v>
      </c>
      <c r="CS463" s="2229">
        <f t="shared" si="57"/>
        <v>0</v>
      </c>
      <c r="CT463" s="2364">
        <f>SUM(CT453:CT462)</f>
        <v>181</v>
      </c>
      <c r="CU463" s="2364">
        <f>SUM(CU453:CU462)</f>
        <v>17425</v>
      </c>
      <c r="CV463" s="2364">
        <f>SUM(CV453:CV462)</f>
        <v>3158</v>
      </c>
      <c r="CW463" s="2364">
        <f>SUM(CW453:CW462)</f>
        <v>16546</v>
      </c>
      <c r="CX463" s="2364">
        <f t="shared" si="57"/>
        <v>611</v>
      </c>
      <c r="CY463" s="2364">
        <f t="shared" si="57"/>
        <v>18529</v>
      </c>
      <c r="CZ463" s="2364">
        <f t="shared" si="57"/>
        <v>2483</v>
      </c>
      <c r="DA463" s="2364">
        <f t="shared" si="57"/>
        <v>16832</v>
      </c>
      <c r="DB463" s="2229">
        <f t="shared" si="57"/>
        <v>-77242</v>
      </c>
      <c r="DC463" s="2229">
        <f t="shared" si="57"/>
        <v>-64807</v>
      </c>
      <c r="DD463" s="2229">
        <f t="shared" si="57"/>
        <v>-76114</v>
      </c>
      <c r="DE463" s="2229">
        <f t="shared" si="57"/>
        <v>-58761</v>
      </c>
    </row>
  </sheetData>
  <mergeCells count="356">
    <mergeCell ref="DE451:DE452"/>
    <mergeCell ref="DB449:DE449"/>
    <mergeCell ref="DB450:DC450"/>
    <mergeCell ref="DD450:DE450"/>
    <mergeCell ref="CL451:CM451"/>
    <mergeCell ref="CN451:CO451"/>
    <mergeCell ref="CP451:CQ451"/>
    <mergeCell ref="CR451:CS451"/>
    <mergeCell ref="CL449:CS449"/>
    <mergeCell ref="CT449:DA449"/>
    <mergeCell ref="CX450:DA450"/>
    <mergeCell ref="BZ450:CC450"/>
    <mergeCell ref="CD450:CG450"/>
    <mergeCell ref="CH450:CK450"/>
    <mergeCell ref="CL450:CO450"/>
    <mergeCell ref="CP450:CS450"/>
    <mergeCell ref="CT450:CW450"/>
    <mergeCell ref="DB451:DB452"/>
    <mergeCell ref="DC451:DC452"/>
    <mergeCell ref="DD451:DD452"/>
    <mergeCell ref="BB451:BC451"/>
    <mergeCell ref="BD451:BE451"/>
    <mergeCell ref="BF451:BG451"/>
    <mergeCell ref="BH451:BI451"/>
    <mergeCell ref="BJ451:BK451"/>
    <mergeCell ref="BL451:BM451"/>
    <mergeCell ref="BN449:BU449"/>
    <mergeCell ref="BV449:CC449"/>
    <mergeCell ref="CD449:CK449"/>
    <mergeCell ref="BN451:BO451"/>
    <mergeCell ref="BP451:BQ451"/>
    <mergeCell ref="BR451:BS451"/>
    <mergeCell ref="BT451:BU451"/>
    <mergeCell ref="BV451:BW451"/>
    <mergeCell ref="BX451:BY451"/>
    <mergeCell ref="BZ451:CA451"/>
    <mergeCell ref="CB451:CC451"/>
    <mergeCell ref="CD451:CE451"/>
    <mergeCell ref="CF451:CG451"/>
    <mergeCell ref="CH451:CI451"/>
    <mergeCell ref="CJ451:CK451"/>
    <mergeCell ref="BN450:BQ450"/>
    <mergeCell ref="BR450:BU450"/>
    <mergeCell ref="BV450:BY450"/>
    <mergeCell ref="AJ451:AK451"/>
    <mergeCell ref="AL451:AM451"/>
    <mergeCell ref="AN451:AO451"/>
    <mergeCell ref="AP451:AQ451"/>
    <mergeCell ref="AR451:AS451"/>
    <mergeCell ref="AT451:AU451"/>
    <mergeCell ref="AV451:AW451"/>
    <mergeCell ref="AX451:AY451"/>
    <mergeCell ref="AZ451:BA451"/>
    <mergeCell ref="R451:S451"/>
    <mergeCell ref="T451:U451"/>
    <mergeCell ref="V451:W451"/>
    <mergeCell ref="X451:Y451"/>
    <mergeCell ref="Z451:AA451"/>
    <mergeCell ref="AB451:AC451"/>
    <mergeCell ref="AD451:AE451"/>
    <mergeCell ref="AF451:AG451"/>
    <mergeCell ref="AH451:AI451"/>
    <mergeCell ref="R449:Y449"/>
    <mergeCell ref="Z449:AG449"/>
    <mergeCell ref="AH449:AO449"/>
    <mergeCell ref="AP449:AW449"/>
    <mergeCell ref="AX449:BE449"/>
    <mergeCell ref="BF449:BM449"/>
    <mergeCell ref="R450:U450"/>
    <mergeCell ref="V450:Y450"/>
    <mergeCell ref="Z450:AC450"/>
    <mergeCell ref="AD450:AG450"/>
    <mergeCell ref="AH450:AK450"/>
    <mergeCell ref="AL450:AO450"/>
    <mergeCell ref="AP450:AS450"/>
    <mergeCell ref="AT450:AW450"/>
    <mergeCell ref="AX450:BA450"/>
    <mergeCell ref="BB450:BE450"/>
    <mergeCell ref="BF450:BI450"/>
    <mergeCell ref="BJ450:BM450"/>
    <mergeCell ref="A449:A452"/>
    <mergeCell ref="B449:I449"/>
    <mergeCell ref="B450:E450"/>
    <mergeCell ref="F450:I450"/>
    <mergeCell ref="B451:C451"/>
    <mergeCell ref="D451:E451"/>
    <mergeCell ref="F451:G451"/>
    <mergeCell ref="H451:I451"/>
    <mergeCell ref="J449:Q449"/>
    <mergeCell ref="J450:M450"/>
    <mergeCell ref="N450:Q450"/>
    <mergeCell ref="J451:K451"/>
    <mergeCell ref="L451:M451"/>
    <mergeCell ref="N451:O451"/>
    <mergeCell ref="P451:Q451"/>
    <mergeCell ref="FB1:FM1"/>
    <mergeCell ref="FB2:FG2"/>
    <mergeCell ref="FH2:FM2"/>
    <mergeCell ref="FB3:FD3"/>
    <mergeCell ref="FE3:FG3"/>
    <mergeCell ref="FH3:FJ3"/>
    <mergeCell ref="FK3:FM3"/>
    <mergeCell ref="ED3:EF3"/>
    <mergeCell ref="EG3:EI3"/>
    <mergeCell ref="EJ3:EL3"/>
    <mergeCell ref="EM3:EO3"/>
    <mergeCell ref="EP3:ER3"/>
    <mergeCell ref="ES3:EU3"/>
    <mergeCell ref="EV3:EX3"/>
    <mergeCell ref="EY3:FA3"/>
    <mergeCell ref="EP1:FA1"/>
    <mergeCell ref="EV2:FA2"/>
    <mergeCell ref="EP2:EU2"/>
    <mergeCell ref="DX3:DZ3"/>
    <mergeCell ref="EA3:EC3"/>
    <mergeCell ref="CT3:CV3"/>
    <mergeCell ref="CW3:CY3"/>
    <mergeCell ref="CZ3:DB3"/>
    <mergeCell ref="DC3:DE3"/>
    <mergeCell ref="DF3:DH3"/>
    <mergeCell ref="DI3:DK3"/>
    <mergeCell ref="DL3:DN3"/>
    <mergeCell ref="DO3:DQ3"/>
    <mergeCell ref="DR3:DT3"/>
    <mergeCell ref="DU3:DW3"/>
    <mergeCell ref="CN434:CR434"/>
    <mergeCell ref="CS434:CW434"/>
    <mergeCell ref="CX434:DB434"/>
    <mergeCell ref="DC434:DG434"/>
    <mergeCell ref="DH434:DL434"/>
    <mergeCell ref="DM434:DQ434"/>
    <mergeCell ref="AU434:AY434"/>
    <mergeCell ref="AZ434:BD434"/>
    <mergeCell ref="BE434:BI434"/>
    <mergeCell ref="BJ434:BN434"/>
    <mergeCell ref="BO434:BS434"/>
    <mergeCell ref="BT434:BX434"/>
    <mergeCell ref="BY434:CC434"/>
    <mergeCell ref="CD434:CH434"/>
    <mergeCell ref="CI434:CM434"/>
    <mergeCell ref="DC419:DG419"/>
    <mergeCell ref="DH419:DL419"/>
    <mergeCell ref="DM419:DQ419"/>
    <mergeCell ref="CN433:CW433"/>
    <mergeCell ref="CX433:DG433"/>
    <mergeCell ref="DH433:DQ433"/>
    <mergeCell ref="CN418:CW418"/>
    <mergeCell ref="CX418:DG418"/>
    <mergeCell ref="B434:F434"/>
    <mergeCell ref="G434:K434"/>
    <mergeCell ref="L434:P434"/>
    <mergeCell ref="Q434:U434"/>
    <mergeCell ref="V434:Z434"/>
    <mergeCell ref="AA434:AE434"/>
    <mergeCell ref="AF434:AJ434"/>
    <mergeCell ref="AK434:AO434"/>
    <mergeCell ref="AP434:AT434"/>
    <mergeCell ref="B433:K433"/>
    <mergeCell ref="L433:U433"/>
    <mergeCell ref="V433:AE433"/>
    <mergeCell ref="AF433:AO433"/>
    <mergeCell ref="AP433:AY433"/>
    <mergeCell ref="AZ433:BI433"/>
    <mergeCell ref="BJ433:BS433"/>
    <mergeCell ref="BT433:CC433"/>
    <mergeCell ref="CD433:CM433"/>
    <mergeCell ref="DH418:DQ418"/>
    <mergeCell ref="B419:F419"/>
    <mergeCell ref="G419:K419"/>
    <mergeCell ref="L419:P419"/>
    <mergeCell ref="Q419:U419"/>
    <mergeCell ref="V419:Z419"/>
    <mergeCell ref="AA419:AE419"/>
    <mergeCell ref="AF419:AJ419"/>
    <mergeCell ref="AK419:AO419"/>
    <mergeCell ref="AP419:AT419"/>
    <mergeCell ref="AU419:AY419"/>
    <mergeCell ref="AZ419:BD419"/>
    <mergeCell ref="BE419:BI419"/>
    <mergeCell ref="BJ419:BN419"/>
    <mergeCell ref="BO419:BS419"/>
    <mergeCell ref="BT419:BX419"/>
    <mergeCell ref="BY419:CC419"/>
    <mergeCell ref="CD419:CH419"/>
    <mergeCell ref="CI419:CM419"/>
    <mergeCell ref="CN419:CR419"/>
    <mergeCell ref="CS419:CW419"/>
    <mergeCell ref="CX419:DB419"/>
    <mergeCell ref="B418:K418"/>
    <mergeCell ref="L418:U418"/>
    <mergeCell ref="V418:AE418"/>
    <mergeCell ref="AF418:AO418"/>
    <mergeCell ref="AP418:AY418"/>
    <mergeCell ref="AZ418:BI418"/>
    <mergeCell ref="BJ418:BS418"/>
    <mergeCell ref="BT418:CC418"/>
    <mergeCell ref="CD418:CM418"/>
    <mergeCell ref="DC404:DG404"/>
    <mergeCell ref="DH404:DL404"/>
    <mergeCell ref="DM404:DQ404"/>
    <mergeCell ref="AZ403:BI403"/>
    <mergeCell ref="AZ404:BD404"/>
    <mergeCell ref="BE404:BI404"/>
    <mergeCell ref="AF404:AJ404"/>
    <mergeCell ref="AK404:AO404"/>
    <mergeCell ref="AP404:AT404"/>
    <mergeCell ref="AU404:AY404"/>
    <mergeCell ref="BJ404:BN404"/>
    <mergeCell ref="BO404:BS404"/>
    <mergeCell ref="BT404:BX404"/>
    <mergeCell ref="BY404:CC404"/>
    <mergeCell ref="CD404:CH404"/>
    <mergeCell ref="CI404:CM404"/>
    <mergeCell ref="CN404:CR404"/>
    <mergeCell ref="CS404:CW404"/>
    <mergeCell ref="CX404:DB404"/>
    <mergeCell ref="CX403:DG403"/>
    <mergeCell ref="DH403:DQ403"/>
    <mergeCell ref="BJ3:BL3"/>
    <mergeCell ref="BM3:BO3"/>
    <mergeCell ref="BP3:BR3"/>
    <mergeCell ref="BJ403:BS403"/>
    <mergeCell ref="BT403:CC403"/>
    <mergeCell ref="CD403:CM403"/>
    <mergeCell ref="CN403:CW403"/>
    <mergeCell ref="V403:AE403"/>
    <mergeCell ref="AF403:AO403"/>
    <mergeCell ref="AP403:AY403"/>
    <mergeCell ref="Z3:AB3"/>
    <mergeCell ref="AC3:AE3"/>
    <mergeCell ref="AF3:AH3"/>
    <mergeCell ref="AI3:AK3"/>
    <mergeCell ref="AX3:AZ3"/>
    <mergeCell ref="CB3:CD3"/>
    <mergeCell ref="CE3:CG3"/>
    <mergeCell ref="CH3:CJ3"/>
    <mergeCell ref="CK3:CM3"/>
    <mergeCell ref="CN3:CP3"/>
    <mergeCell ref="CQ3:CS3"/>
    <mergeCell ref="BS3:BU3"/>
    <mergeCell ref="BV3:BX3"/>
    <mergeCell ref="BY3:CA3"/>
    <mergeCell ref="BD3:BF3"/>
    <mergeCell ref="BG3:BI3"/>
    <mergeCell ref="BA3:BC3"/>
    <mergeCell ref="L404:P404"/>
    <mergeCell ref="Q404:U404"/>
    <mergeCell ref="V404:Z404"/>
    <mergeCell ref="AA404:AE404"/>
    <mergeCell ref="K3:M3"/>
    <mergeCell ref="N3:P3"/>
    <mergeCell ref="Q3:S3"/>
    <mergeCell ref="T3:V3"/>
    <mergeCell ref="W3:Y3"/>
    <mergeCell ref="L403:U403"/>
    <mergeCell ref="AL3:AN3"/>
    <mergeCell ref="AO3:AQ3"/>
    <mergeCell ref="D165:D166"/>
    <mergeCell ref="E165:E166"/>
    <mergeCell ref="F165:F166"/>
    <mergeCell ref="AR3:AT3"/>
    <mergeCell ref="AU3:AW3"/>
    <mergeCell ref="C236:C237"/>
    <mergeCell ref="D236:D237"/>
    <mergeCell ref="E236:E237"/>
    <mergeCell ref="F236:F237"/>
    <mergeCell ref="L23:P23"/>
    <mergeCell ref="M49:O49"/>
    <mergeCell ref="P49:R49"/>
    <mergeCell ref="L49:L50"/>
    <mergeCell ref="S49:S50"/>
    <mergeCell ref="T49:T50"/>
    <mergeCell ref="DS418:EB418"/>
    <mergeCell ref="DS419:DW419"/>
    <mergeCell ref="DX419:EB419"/>
    <mergeCell ref="B3:D3"/>
    <mergeCell ref="E3:G3"/>
    <mergeCell ref="H3:J3"/>
    <mergeCell ref="C23:C24"/>
    <mergeCell ref="D23:D24"/>
    <mergeCell ref="E23:E24"/>
    <mergeCell ref="F23:F24"/>
    <mergeCell ref="DS404:DW404"/>
    <mergeCell ref="DX404:EB404"/>
    <mergeCell ref="G404:K404"/>
    <mergeCell ref="B403:K403"/>
    <mergeCell ref="C117:C118"/>
    <mergeCell ref="D117:D118"/>
    <mergeCell ref="E117:E118"/>
    <mergeCell ref="F117:F118"/>
    <mergeCell ref="C142:C143"/>
    <mergeCell ref="D142:D143"/>
    <mergeCell ref="B404:F404"/>
    <mergeCell ref="E142:E143"/>
    <mergeCell ref="F142:F143"/>
    <mergeCell ref="C165:C166"/>
    <mergeCell ref="DS433:EB433"/>
    <mergeCell ref="DS434:DW434"/>
    <mergeCell ref="DX434:EB434"/>
    <mergeCell ref="C47:C48"/>
    <mergeCell ref="D47:D48"/>
    <mergeCell ref="E47:E48"/>
    <mergeCell ref="F47:F48"/>
    <mergeCell ref="C70:C71"/>
    <mergeCell ref="D70:D71"/>
    <mergeCell ref="E70:E71"/>
    <mergeCell ref="F70:F71"/>
    <mergeCell ref="C94:C95"/>
    <mergeCell ref="D94:D95"/>
    <mergeCell ref="E94:E95"/>
    <mergeCell ref="F94:F95"/>
    <mergeCell ref="C211:C212"/>
    <mergeCell ref="D211:D212"/>
    <mergeCell ref="E211:E212"/>
    <mergeCell ref="F211:F212"/>
    <mergeCell ref="DS403:EB403"/>
    <mergeCell ref="C188:C189"/>
    <mergeCell ref="D188:D189"/>
    <mergeCell ref="E188:E189"/>
    <mergeCell ref="F188:F189"/>
    <mergeCell ref="B1:M1"/>
    <mergeCell ref="H2:M2"/>
    <mergeCell ref="N1:Y1"/>
    <mergeCell ref="T2:Y2"/>
    <mergeCell ref="Z1:AK1"/>
    <mergeCell ref="AF2:AK2"/>
    <mergeCell ref="Z2:AE2"/>
    <mergeCell ref="AL1:AW1"/>
    <mergeCell ref="AR2:AW2"/>
    <mergeCell ref="AL2:AQ2"/>
    <mergeCell ref="B2:G2"/>
    <mergeCell ref="N2:S2"/>
    <mergeCell ref="AX1:BI1"/>
    <mergeCell ref="AX2:BC2"/>
    <mergeCell ref="BD2:BI2"/>
    <mergeCell ref="BJ1:BU1"/>
    <mergeCell ref="BP2:BU2"/>
    <mergeCell ref="BJ2:BO2"/>
    <mergeCell ref="BV1:CG1"/>
    <mergeCell ref="CB2:CG2"/>
    <mergeCell ref="CH1:CS1"/>
    <mergeCell ref="CN2:CS2"/>
    <mergeCell ref="CH2:CM2"/>
    <mergeCell ref="BV2:CA2"/>
    <mergeCell ref="CT1:DE1"/>
    <mergeCell ref="CT2:CY2"/>
    <mergeCell ref="DF1:DQ1"/>
    <mergeCell ref="DF2:DK2"/>
    <mergeCell ref="DL2:DQ2"/>
    <mergeCell ref="DR1:EC1"/>
    <mergeCell ref="DX2:EC2"/>
    <mergeCell ref="DR2:DW2"/>
    <mergeCell ref="ED1:EO1"/>
    <mergeCell ref="EJ2:EO2"/>
    <mergeCell ref="CZ2:DE2"/>
    <mergeCell ref="ED2:EI2"/>
  </mergeCells>
  <conditionalFormatting sqref="S51:T60">
    <cfRule type="cellIs" dxfId="1" priority="1" operator="greaterThan">
      <formula>0</formula>
    </cfRule>
    <cfRule type="cellIs" dxfId="0" priority="2" operator="lessThan">
      <formula>0</formula>
    </cfRule>
  </conditionalFormatting>
  <pageMargins left="0.70866141732283472" right="0.70866141732283472" top="0.74803149606299213" bottom="0.74803149606299213" header="0.31496062992125984" footer="0.31496062992125984"/>
  <pageSetup paperSize="9" scale="70" orientation="portrait" r:id="rId1"/>
  <drawing r:id="rId2"/>
</worksheet>
</file>

<file path=xl/worksheets/sheet3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300-000000000000}">
  <sheetPr>
    <tabColor rgb="FFFF0000"/>
  </sheetPr>
  <dimension ref="A1:AB228"/>
  <sheetViews>
    <sheetView topLeftCell="A123" workbookViewId="0">
      <selection activeCell="D128" sqref="D128"/>
    </sheetView>
  </sheetViews>
  <sheetFormatPr baseColWidth="10" defaultColWidth="11.44140625" defaultRowHeight="13.8"/>
  <cols>
    <col min="1" max="9" width="11.44140625" style="117"/>
    <col min="10" max="16384" width="11.44140625" style="77"/>
  </cols>
  <sheetData>
    <row r="1" spans="1:28">
      <c r="K1" s="77" t="s">
        <v>535</v>
      </c>
      <c r="L1" s="647" t="s">
        <v>442</v>
      </c>
      <c r="M1" s="403" t="s">
        <v>90</v>
      </c>
      <c r="P1" s="117"/>
      <c r="Q1" s="117"/>
      <c r="R1" s="117"/>
      <c r="S1" s="117"/>
      <c r="T1" s="117"/>
      <c r="U1" s="117"/>
      <c r="V1" s="117"/>
      <c r="W1" s="117"/>
      <c r="X1" s="117"/>
      <c r="Z1" s="77" t="s">
        <v>535</v>
      </c>
      <c r="AA1" s="647" t="s">
        <v>442</v>
      </c>
      <c r="AB1" s="403" t="s">
        <v>90</v>
      </c>
    </row>
    <row r="2" spans="1:28">
      <c r="B2" s="116" t="s">
        <v>520</v>
      </c>
      <c r="K2" s="77" t="s">
        <v>68</v>
      </c>
      <c r="L2" s="816">
        <v>2685.4761284200004</v>
      </c>
      <c r="M2" s="447">
        <v>2429.2967955700005</v>
      </c>
      <c r="P2" s="117"/>
      <c r="Q2" s="116" t="s">
        <v>520</v>
      </c>
      <c r="R2" s="117"/>
      <c r="S2" s="117"/>
      <c r="T2" s="117"/>
      <c r="U2" s="117"/>
      <c r="V2" s="117"/>
      <c r="W2" s="117"/>
      <c r="X2" s="117"/>
      <c r="Z2" s="77" t="s">
        <v>68</v>
      </c>
      <c r="AA2" s="816">
        <v>2525.38226321</v>
      </c>
      <c r="AB2" s="447">
        <v>2279.1179139799997</v>
      </c>
    </row>
    <row r="3" spans="1:28">
      <c r="H3" s="430"/>
      <c r="I3" s="430"/>
      <c r="K3" s="77" t="s">
        <v>7</v>
      </c>
      <c r="L3" s="816">
        <v>1088.0377707999999</v>
      </c>
      <c r="M3" s="447">
        <v>1001.4976930123876</v>
      </c>
      <c r="P3" s="117"/>
      <c r="Q3" s="117"/>
      <c r="R3" s="117"/>
      <c r="S3" s="117"/>
      <c r="T3" s="117"/>
      <c r="U3" s="117"/>
      <c r="V3" s="117"/>
      <c r="W3" s="430"/>
      <c r="X3" s="430"/>
      <c r="Z3" s="77" t="s">
        <v>7</v>
      </c>
      <c r="AA3" s="816">
        <v>1028.8019895615387</v>
      </c>
      <c r="AB3" s="447">
        <v>938.74376409000001</v>
      </c>
    </row>
    <row r="4" spans="1:28">
      <c r="B4" s="3411" t="s">
        <v>541</v>
      </c>
      <c r="C4" s="3411"/>
      <c r="D4" s="3411" t="s">
        <v>540</v>
      </c>
      <c r="E4" s="3411"/>
      <c r="F4" s="3412" t="s">
        <v>521</v>
      </c>
      <c r="G4" s="3412"/>
      <c r="H4" s="3412"/>
      <c r="I4" s="3412"/>
      <c r="K4" s="77" t="s">
        <v>8</v>
      </c>
      <c r="L4" s="816">
        <v>949.9491670000001</v>
      </c>
      <c r="M4" s="447">
        <v>885.72264034999989</v>
      </c>
      <c r="P4" s="117"/>
      <c r="Q4" s="3411" t="s">
        <v>541</v>
      </c>
      <c r="R4" s="3411"/>
      <c r="S4" s="3411" t="s">
        <v>540</v>
      </c>
      <c r="T4" s="3411"/>
      <c r="U4" s="3412" t="s">
        <v>521</v>
      </c>
      <c r="V4" s="3412"/>
      <c r="W4" s="3412"/>
      <c r="X4" s="3412"/>
      <c r="Z4" s="77" t="s">
        <v>8</v>
      </c>
      <c r="AA4" s="816">
        <v>901.38445300000001</v>
      </c>
      <c r="AB4" s="447">
        <v>832.65804818999993</v>
      </c>
    </row>
    <row r="5" spans="1:28">
      <c r="A5" s="430"/>
      <c r="B5" s="951" t="s">
        <v>522</v>
      </c>
      <c r="C5" s="951" t="s">
        <v>466</v>
      </c>
      <c r="D5" s="951" t="s">
        <v>522</v>
      </c>
      <c r="E5" s="951" t="s">
        <v>466</v>
      </c>
      <c r="F5" s="952" t="s">
        <v>522</v>
      </c>
      <c r="G5" s="952" t="s">
        <v>466</v>
      </c>
      <c r="H5" s="952" t="s">
        <v>523</v>
      </c>
      <c r="I5" s="952" t="s">
        <v>524</v>
      </c>
      <c r="K5" s="77" t="s">
        <v>4</v>
      </c>
      <c r="L5" s="816">
        <v>1798.0070650000002</v>
      </c>
      <c r="M5" s="447">
        <v>1645.4594909800001</v>
      </c>
      <c r="P5" s="430"/>
      <c r="Q5" s="951" t="s">
        <v>522</v>
      </c>
      <c r="R5" s="951" t="s">
        <v>466</v>
      </c>
      <c r="S5" s="951" t="s">
        <v>522</v>
      </c>
      <c r="T5" s="951" t="s">
        <v>466</v>
      </c>
      <c r="U5" s="952" t="s">
        <v>522</v>
      </c>
      <c r="V5" s="952" t="s">
        <v>466</v>
      </c>
      <c r="W5" s="952" t="s">
        <v>523</v>
      </c>
      <c r="X5" s="952" t="s">
        <v>524</v>
      </c>
      <c r="Z5" s="77" t="s">
        <v>4</v>
      </c>
      <c r="AA5" s="816">
        <v>1716.5455240000001</v>
      </c>
      <c r="AB5" s="447">
        <v>1563.5181429400002</v>
      </c>
    </row>
    <row r="6" spans="1:28">
      <c r="A6" s="941" t="s">
        <v>68</v>
      </c>
      <c r="B6" s="947">
        <v>209.65213422000002</v>
      </c>
      <c r="C6" s="948">
        <v>173.35446780000001</v>
      </c>
      <c r="D6" s="947">
        <v>199.2285416899999</v>
      </c>
      <c r="E6" s="948">
        <v>163.72132842999997</v>
      </c>
      <c r="F6" s="953">
        <f>$L$2-D6+B6</f>
        <v>2695.8997209500003</v>
      </c>
      <c r="G6" s="954">
        <f>$M$2-E6+C6</f>
        <v>2438.9299349400003</v>
      </c>
      <c r="H6" s="953">
        <f>F6-G6</f>
        <v>256.96978601000001</v>
      </c>
      <c r="I6" s="954">
        <f>(H6/F6)*100</f>
        <v>9.53187479538175</v>
      </c>
      <c r="K6" s="77" t="s">
        <v>3</v>
      </c>
      <c r="L6" s="816">
        <v>1425.980922</v>
      </c>
      <c r="M6" s="447">
        <v>1288.7804406299999</v>
      </c>
      <c r="P6" s="941" t="s">
        <v>68</v>
      </c>
      <c r="Q6" s="947"/>
      <c r="R6" s="948"/>
      <c r="S6" s="947"/>
      <c r="T6" s="948"/>
      <c r="U6" s="953">
        <f>$AA$2-S6+Q6</f>
        <v>2525.38226321</v>
      </c>
      <c r="V6" s="954">
        <f>$AB$2-T6+R6</f>
        <v>2279.1179139799997</v>
      </c>
      <c r="W6" s="953">
        <f>U6-V6</f>
        <v>246.26434923000033</v>
      </c>
      <c r="X6" s="954">
        <f>(W6/U6)*100</f>
        <v>9.7515672307357946</v>
      </c>
      <c r="Z6" s="77" t="s">
        <v>3</v>
      </c>
      <c r="AA6" s="816">
        <v>1274.2034646100001</v>
      </c>
      <c r="AB6" s="447">
        <v>1133.7920338599999</v>
      </c>
    </row>
    <row r="7" spans="1:28">
      <c r="A7" s="941" t="s">
        <v>7</v>
      </c>
      <c r="B7" s="949">
        <v>84.706562600000055</v>
      </c>
      <c r="C7" s="950">
        <v>73.140279550000002</v>
      </c>
      <c r="D7" s="949">
        <v>81.988546399999976</v>
      </c>
      <c r="E7" s="950">
        <v>70.231065000000001</v>
      </c>
      <c r="F7" s="955">
        <f>$L$3-D7+B7</f>
        <v>1090.7557869999998</v>
      </c>
      <c r="G7" s="956">
        <f>$M$3-E7+C7</f>
        <v>1004.4069075623877</v>
      </c>
      <c r="H7" s="955">
        <f t="shared" ref="H7:H15" si="0">F7-G7</f>
        <v>86.34887943761214</v>
      </c>
      <c r="I7" s="956">
        <f t="shared" ref="I7:I15" si="1">(H7/F7)*100</f>
        <v>7.9164264326394216</v>
      </c>
      <c r="K7" s="77" t="s">
        <v>397</v>
      </c>
      <c r="L7" s="816">
        <v>1168.3036757799998</v>
      </c>
      <c r="M7" s="447">
        <v>1041.6247668400001</v>
      </c>
      <c r="P7" s="941" t="s">
        <v>7</v>
      </c>
      <c r="Q7" s="949"/>
      <c r="R7" s="950"/>
      <c r="S7" s="949"/>
      <c r="T7" s="950"/>
      <c r="U7" s="955">
        <f>$AA$3-S7+Q7</f>
        <v>1028.8019895615387</v>
      </c>
      <c r="V7" s="956">
        <f>$AB$3-T7+R7</f>
        <v>938.74376409000001</v>
      </c>
      <c r="W7" s="955">
        <f t="shared" ref="W7:W15" si="2">U7-V7</f>
        <v>90.058225471538663</v>
      </c>
      <c r="X7" s="956">
        <f t="shared" ref="X7:X15" si="3">(W7/U7)*100</f>
        <v>8.7536986111312096</v>
      </c>
      <c r="Z7" s="77" t="s">
        <v>397</v>
      </c>
      <c r="AA7" s="816">
        <v>1122.133141</v>
      </c>
      <c r="AB7" s="447">
        <v>965.20939161000001</v>
      </c>
    </row>
    <row r="8" spans="1:28">
      <c r="A8" s="941" t="s">
        <v>8</v>
      </c>
      <c r="B8" s="949">
        <v>75.053181999999936</v>
      </c>
      <c r="C8" s="950">
        <v>66.581314000000006</v>
      </c>
      <c r="D8" s="949">
        <v>73.909838999999835</v>
      </c>
      <c r="E8" s="950">
        <v>61.092277500000002</v>
      </c>
      <c r="F8" s="955">
        <f>$L$4-D8+B8</f>
        <v>951.09251000000017</v>
      </c>
      <c r="G8" s="956">
        <f>$M$4-E8+C8</f>
        <v>891.21167684999989</v>
      </c>
      <c r="H8" s="955">
        <f t="shared" si="0"/>
        <v>59.880833150000285</v>
      </c>
      <c r="I8" s="956">
        <f t="shared" si="1"/>
        <v>6.2960051225721747</v>
      </c>
      <c r="K8" s="77" t="s">
        <v>399</v>
      </c>
      <c r="L8" s="816">
        <v>2020.4067990399999</v>
      </c>
      <c r="M8" s="447">
        <v>1801.9380783199999</v>
      </c>
      <c r="P8" s="941" t="s">
        <v>8</v>
      </c>
      <c r="Q8" s="949"/>
      <c r="R8" s="950"/>
      <c r="S8" s="949"/>
      <c r="T8" s="950"/>
      <c r="U8" s="955">
        <f>$AA$4-S8+Q8</f>
        <v>901.38445300000001</v>
      </c>
      <c r="V8" s="956">
        <f>$AB$4-T8+R8</f>
        <v>832.65804818999993</v>
      </c>
      <c r="W8" s="955">
        <f t="shared" si="2"/>
        <v>68.726404810000076</v>
      </c>
      <c r="X8" s="956">
        <f t="shared" si="3"/>
        <v>7.6245385175286655</v>
      </c>
      <c r="Z8" s="77" t="s">
        <v>399</v>
      </c>
      <c r="AA8" s="816">
        <v>1886.7755155384616</v>
      </c>
      <c r="AB8" s="447">
        <v>1659.9203950400001</v>
      </c>
    </row>
    <row r="9" spans="1:28">
      <c r="A9" s="941" t="s">
        <v>4</v>
      </c>
      <c r="B9" s="949">
        <v>147.401453</v>
      </c>
      <c r="C9" s="950">
        <v>118.802289</v>
      </c>
      <c r="D9" s="949">
        <v>146.785946</v>
      </c>
      <c r="E9" s="950">
        <v>113.43425096</v>
      </c>
      <c r="F9" s="955">
        <f>$L$5-D9+B9</f>
        <v>1798.6225720000002</v>
      </c>
      <c r="G9" s="956">
        <f>$M$5-E9+C9</f>
        <v>1650.8275290199999</v>
      </c>
      <c r="H9" s="955">
        <f t="shared" si="0"/>
        <v>147.79504298000029</v>
      </c>
      <c r="I9" s="956">
        <f t="shared" si="1"/>
        <v>8.2171237746481633</v>
      </c>
      <c r="K9" s="77" t="s">
        <v>883</v>
      </c>
      <c r="L9" s="816">
        <v>1172.9476380000001</v>
      </c>
      <c r="M9" s="447">
        <v>1076.2215956699999</v>
      </c>
      <c r="P9" s="941" t="s">
        <v>4</v>
      </c>
      <c r="Q9" s="949"/>
      <c r="R9" s="950"/>
      <c r="S9" s="949"/>
      <c r="T9" s="950"/>
      <c r="U9" s="955">
        <f>$AA$5-S9+Q9</f>
        <v>1716.5455240000001</v>
      </c>
      <c r="V9" s="956">
        <f>$AB$5-T9+R9</f>
        <v>1563.5181429400002</v>
      </c>
      <c r="W9" s="955">
        <f t="shared" si="2"/>
        <v>153.02738105999993</v>
      </c>
      <c r="X9" s="956">
        <f t="shared" si="3"/>
        <v>8.9148454800899248</v>
      </c>
      <c r="Z9" s="77" t="s">
        <v>883</v>
      </c>
      <c r="AA9" s="816">
        <v>1115.8376050000002</v>
      </c>
      <c r="AB9" s="447">
        <v>1019.3226274000002</v>
      </c>
    </row>
    <row r="10" spans="1:28">
      <c r="A10" s="941" t="s">
        <v>3</v>
      </c>
      <c r="B10" s="949">
        <v>110.963966</v>
      </c>
      <c r="C10" s="950">
        <v>90.659884000000005</v>
      </c>
      <c r="D10" s="949">
        <v>97.870014999999995</v>
      </c>
      <c r="E10" s="950">
        <v>88.306673960000012</v>
      </c>
      <c r="F10" s="955">
        <f>$L$6-D10+B10</f>
        <v>1439.074873</v>
      </c>
      <c r="G10" s="956">
        <f>$M$6-E10+C10</f>
        <v>1291.1336506699997</v>
      </c>
      <c r="H10" s="955">
        <f t="shared" si="0"/>
        <v>147.9412223300003</v>
      </c>
      <c r="I10" s="956">
        <f t="shared" si="1"/>
        <v>10.280300567099145</v>
      </c>
      <c r="K10" s="77" t="s">
        <v>884</v>
      </c>
      <c r="L10" s="816">
        <v>1439.509133</v>
      </c>
      <c r="M10" s="447">
        <v>1320.10871228</v>
      </c>
      <c r="P10" s="941" t="s">
        <v>3</v>
      </c>
      <c r="Q10" s="949"/>
      <c r="R10" s="950"/>
      <c r="S10" s="949"/>
      <c r="T10" s="950"/>
      <c r="U10" s="955">
        <f>$AA$6-S10+Q10</f>
        <v>1274.2034646100001</v>
      </c>
      <c r="V10" s="956">
        <f>$AB$6-T10+R10</f>
        <v>1133.7920338599999</v>
      </c>
      <c r="W10" s="955">
        <f t="shared" si="2"/>
        <v>140.41143075000014</v>
      </c>
      <c r="X10" s="956">
        <f t="shared" si="3"/>
        <v>11.019545516066882</v>
      </c>
      <c r="Z10" s="77" t="s">
        <v>884</v>
      </c>
      <c r="AA10" s="816">
        <v>1377.165158</v>
      </c>
      <c r="AB10" s="447">
        <v>1250.0898318520001</v>
      </c>
    </row>
    <row r="11" spans="1:28" ht="12.75" customHeight="1" thickBot="1">
      <c r="A11" s="941" t="s">
        <v>397</v>
      </c>
      <c r="B11" s="949">
        <v>93.340726500000059</v>
      </c>
      <c r="C11" s="950">
        <v>78.748938349999989</v>
      </c>
      <c r="D11" s="949">
        <v>98.09678499999994</v>
      </c>
      <c r="E11" s="950">
        <v>80.107313680000004</v>
      </c>
      <c r="F11" s="955">
        <f>$L$7-D11+B11</f>
        <v>1163.5476172799999</v>
      </c>
      <c r="G11" s="956">
        <f>$M$7-E11+C11</f>
        <v>1040.2663915099999</v>
      </c>
      <c r="H11" s="955">
        <f t="shared" si="0"/>
        <v>123.28122576999999</v>
      </c>
      <c r="I11" s="956">
        <f t="shared" si="1"/>
        <v>10.595288404112917</v>
      </c>
      <c r="K11" s="77" t="s">
        <v>885</v>
      </c>
      <c r="L11" s="816">
        <v>290.43582400000003</v>
      </c>
      <c r="M11" s="447">
        <v>266.34593983000002</v>
      </c>
      <c r="P11" s="941" t="s">
        <v>397</v>
      </c>
      <c r="Q11" s="949"/>
      <c r="R11" s="950"/>
      <c r="S11" s="949"/>
      <c r="T11" s="950"/>
      <c r="U11" s="955">
        <f>$AA$7-S11+Q11</f>
        <v>1122.133141</v>
      </c>
      <c r="V11" s="956">
        <f>$AB$7-T11+R11</f>
        <v>965.20939161000001</v>
      </c>
      <c r="W11" s="955">
        <f t="shared" si="2"/>
        <v>156.92374939000001</v>
      </c>
      <c r="X11" s="956">
        <f t="shared" si="3"/>
        <v>13.984414474217905</v>
      </c>
      <c r="Z11" s="77" t="s">
        <v>885</v>
      </c>
      <c r="AA11" s="816">
        <v>290.593999</v>
      </c>
      <c r="AB11" s="447">
        <v>265.04829051000002</v>
      </c>
    </row>
    <row r="12" spans="1:28" ht="14.4" thickBot="1">
      <c r="A12" s="941" t="s">
        <v>399</v>
      </c>
      <c r="B12" s="949">
        <v>169.89700279999991</v>
      </c>
      <c r="C12" s="950">
        <v>137.59095919999999</v>
      </c>
      <c r="D12" s="949">
        <v>168.29255900000001</v>
      </c>
      <c r="E12" s="950">
        <v>131.82262195999999</v>
      </c>
      <c r="F12" s="955">
        <f>$L$8-D12+B12</f>
        <v>2022.0112428399998</v>
      </c>
      <c r="G12" s="956">
        <f>$M$8-E12+C12</f>
        <v>1807.7064155599999</v>
      </c>
      <c r="H12" s="955">
        <f t="shared" si="0"/>
        <v>214.30482727999993</v>
      </c>
      <c r="I12" s="956">
        <f t="shared" si="1"/>
        <v>10.59859721546354</v>
      </c>
      <c r="K12" s="77" t="s">
        <v>16</v>
      </c>
      <c r="L12" s="942">
        <f>SUM(L2:L11)</f>
        <v>14039.054123039998</v>
      </c>
      <c r="M12" s="942">
        <f>SUM(M2:M11)</f>
        <v>12756.996153482389</v>
      </c>
      <c r="P12" s="941" t="s">
        <v>399</v>
      </c>
      <c r="Q12" s="949"/>
      <c r="R12" s="950"/>
      <c r="S12" s="949"/>
      <c r="T12" s="950"/>
      <c r="U12" s="955">
        <f>$AA$8-S12+Q12</f>
        <v>1886.7755155384616</v>
      </c>
      <c r="V12" s="956">
        <f>$AB$8-T12+R12</f>
        <v>1659.9203950400001</v>
      </c>
      <c r="W12" s="955">
        <f t="shared" si="2"/>
        <v>226.85512049846147</v>
      </c>
      <c r="X12" s="956">
        <f t="shared" si="3"/>
        <v>12.023429317913315</v>
      </c>
      <c r="Z12" s="77" t="s">
        <v>16</v>
      </c>
      <c r="AA12" s="942">
        <f>SUM(AA2:AA11)</f>
        <v>13238.823112920001</v>
      </c>
      <c r="AB12" s="942">
        <f>SUM(AB2:AB11)</f>
        <v>11907.420439472</v>
      </c>
    </row>
    <row r="13" spans="1:28">
      <c r="A13" s="941" t="s">
        <v>883</v>
      </c>
      <c r="B13" s="949">
        <v>81.359076999999942</v>
      </c>
      <c r="C13" s="950">
        <v>75.932044000000005</v>
      </c>
      <c r="D13" s="949">
        <v>80.943731999999997</v>
      </c>
      <c r="E13" s="950">
        <v>74.296130590000004</v>
      </c>
      <c r="F13" s="955">
        <f>$L$9-D13+B13</f>
        <v>1173.362983</v>
      </c>
      <c r="G13" s="956">
        <f>$M$9-E13+C13</f>
        <v>1077.85750908</v>
      </c>
      <c r="H13" s="955">
        <f t="shared" si="0"/>
        <v>95.505473919999986</v>
      </c>
      <c r="I13" s="956">
        <f t="shared" si="1"/>
        <v>8.1394653916741113</v>
      </c>
      <c r="P13" s="941" t="s">
        <v>883</v>
      </c>
      <c r="Q13" s="949"/>
      <c r="R13" s="950"/>
      <c r="S13" s="949"/>
      <c r="T13" s="950"/>
      <c r="U13" s="955">
        <f>$AA$9-S13+Q13</f>
        <v>1115.8376050000002</v>
      </c>
      <c r="V13" s="956">
        <f>$AB$9-T13+R13</f>
        <v>1019.3226274000002</v>
      </c>
      <c r="W13" s="955">
        <f t="shared" si="2"/>
        <v>96.514977599999952</v>
      </c>
      <c r="X13" s="956">
        <f t="shared" si="3"/>
        <v>8.6495541257547011</v>
      </c>
    </row>
    <row r="14" spans="1:28">
      <c r="A14" s="941" t="s">
        <v>884</v>
      </c>
      <c r="B14" s="949">
        <v>101.77412199999998</v>
      </c>
      <c r="C14" s="950">
        <v>92.422877999999997</v>
      </c>
      <c r="D14" s="949">
        <v>100.111487</v>
      </c>
      <c r="E14" s="950">
        <v>87.195057149999997</v>
      </c>
      <c r="F14" s="955">
        <f>$L$10-D14+B14</f>
        <v>1441.1717680000002</v>
      </c>
      <c r="G14" s="956">
        <f>$M$10-E14+C14</f>
        <v>1325.3365331300001</v>
      </c>
      <c r="H14" s="955">
        <f t="shared" si="0"/>
        <v>115.83523487000002</v>
      </c>
      <c r="I14" s="956">
        <f t="shared" si="1"/>
        <v>8.0375731361121154</v>
      </c>
      <c r="P14" s="941" t="s">
        <v>884</v>
      </c>
      <c r="Q14" s="949"/>
      <c r="R14" s="950"/>
      <c r="S14" s="949"/>
      <c r="T14" s="950"/>
      <c r="U14" s="955">
        <f>$AA$10-S14+Q14</f>
        <v>1377.165158</v>
      </c>
      <c r="V14" s="956">
        <f>$AB$10-T14+R14</f>
        <v>1250.0898318520001</v>
      </c>
      <c r="W14" s="955">
        <f t="shared" si="2"/>
        <v>127.07532614799993</v>
      </c>
      <c r="X14" s="956">
        <f t="shared" si="3"/>
        <v>9.2273120191732243</v>
      </c>
    </row>
    <row r="15" spans="1:28" ht="14.4" thickBot="1">
      <c r="A15" s="941" t="s">
        <v>885</v>
      </c>
      <c r="B15" s="949">
        <v>23.117542</v>
      </c>
      <c r="C15" s="950">
        <v>20.750726140000001</v>
      </c>
      <c r="D15" s="949">
        <v>24.051525999999999</v>
      </c>
      <c r="E15" s="950">
        <v>20.82366991</v>
      </c>
      <c r="F15" s="955">
        <f>$L$11-D15+B15</f>
        <v>289.50184000000002</v>
      </c>
      <c r="G15" s="956">
        <f>$M$11-E15+C15</f>
        <v>266.27299606000003</v>
      </c>
      <c r="H15" s="955">
        <f t="shared" si="0"/>
        <v>23.22884393999999</v>
      </c>
      <c r="I15" s="956">
        <f t="shared" si="1"/>
        <v>8.0237292930504296</v>
      </c>
      <c r="P15" s="941" t="s">
        <v>885</v>
      </c>
      <c r="Q15" s="949"/>
      <c r="R15" s="950"/>
      <c r="S15" s="949"/>
      <c r="T15" s="950"/>
      <c r="U15" s="955">
        <f>$AA$11-S15+Q15</f>
        <v>290.593999</v>
      </c>
      <c r="V15" s="956">
        <f>$AB$11-T15+R15</f>
        <v>265.04829051000002</v>
      </c>
      <c r="W15" s="955">
        <f t="shared" si="2"/>
        <v>25.545708489999981</v>
      </c>
      <c r="X15" s="956">
        <f t="shared" si="3"/>
        <v>8.7908589227267484</v>
      </c>
    </row>
    <row r="16" spans="1:28" ht="14.4" thickBot="1">
      <c r="A16" s="941" t="s">
        <v>16</v>
      </c>
      <c r="B16" s="945">
        <f t="shared" ref="B16:H16" si="4">SUM(B6:B15)</f>
        <v>1097.2657681199998</v>
      </c>
      <c r="C16" s="945">
        <f t="shared" si="4"/>
        <v>927.98378003999994</v>
      </c>
      <c r="D16" s="945">
        <f t="shared" si="4"/>
        <v>1071.2789770899994</v>
      </c>
      <c r="E16" s="945">
        <f t="shared" si="4"/>
        <v>891.03038914000001</v>
      </c>
      <c r="F16" s="945">
        <f t="shared" si="4"/>
        <v>14065.040914069999</v>
      </c>
      <c r="G16" s="946">
        <f t="shared" si="4"/>
        <v>12793.949544382391</v>
      </c>
      <c r="H16" s="946">
        <f t="shared" si="4"/>
        <v>1271.0913696876128</v>
      </c>
      <c r="I16" s="946">
        <f>(H16/F16)*100</f>
        <v>9.0372390485979555</v>
      </c>
      <c r="P16" s="941" t="s">
        <v>16</v>
      </c>
      <c r="Q16" s="945">
        <f t="shared" ref="Q16:W16" si="5">SUM(Q6:Q15)</f>
        <v>0</v>
      </c>
      <c r="R16" s="945">
        <f t="shared" si="5"/>
        <v>0</v>
      </c>
      <c r="S16" s="945">
        <f t="shared" si="5"/>
        <v>0</v>
      </c>
      <c r="T16" s="945">
        <f t="shared" si="5"/>
        <v>0</v>
      </c>
      <c r="U16" s="945">
        <f t="shared" si="5"/>
        <v>13238.823112920001</v>
      </c>
      <c r="V16" s="946">
        <f t="shared" si="5"/>
        <v>11907.420439472</v>
      </c>
      <c r="W16" s="946">
        <f t="shared" si="5"/>
        <v>1331.4026734480003</v>
      </c>
      <c r="X16" s="946">
        <f>(W16/U16)*100</f>
        <v>10.056805367757054</v>
      </c>
    </row>
    <row r="17" spans="1:24">
      <c r="P17" s="117"/>
      <c r="Q17" s="117"/>
      <c r="R17" s="117"/>
      <c r="S17" s="117"/>
      <c r="T17" s="117"/>
      <c r="U17" s="117"/>
      <c r="V17" s="117"/>
      <c r="W17" s="117"/>
      <c r="X17" s="117"/>
    </row>
    <row r="18" spans="1:24">
      <c r="B18" s="116" t="s">
        <v>525</v>
      </c>
      <c r="P18" s="117"/>
      <c r="Q18" s="116" t="s">
        <v>525</v>
      </c>
      <c r="R18" s="117"/>
      <c r="S18" s="117"/>
      <c r="T18" s="117"/>
      <c r="U18" s="117"/>
      <c r="V18" s="117"/>
      <c r="W18" s="117"/>
      <c r="X18" s="117"/>
    </row>
    <row r="19" spans="1:24">
      <c r="H19" s="430"/>
      <c r="I19" s="430"/>
      <c r="P19" s="117"/>
      <c r="Q19" s="117"/>
      <c r="R19" s="117"/>
      <c r="S19" s="117"/>
      <c r="T19" s="117"/>
      <c r="U19" s="117"/>
      <c r="V19" s="117"/>
      <c r="W19" s="430"/>
      <c r="X19" s="430"/>
    </row>
    <row r="20" spans="1:24">
      <c r="B20" s="3411" t="str">
        <f>B4</f>
        <v>année (n) au mois</v>
      </c>
      <c r="C20" s="3411"/>
      <c r="D20" s="3411" t="str">
        <f>D4</f>
        <v>année (n-1) au mois</v>
      </c>
      <c r="E20" s="3411"/>
      <c r="F20" s="3412" t="s">
        <v>521</v>
      </c>
      <c r="G20" s="3412"/>
      <c r="H20" s="3412"/>
      <c r="I20" s="3412"/>
      <c r="P20" s="117"/>
      <c r="Q20" s="3411" t="str">
        <f>Q4</f>
        <v>année (n) au mois</v>
      </c>
      <c r="R20" s="3411"/>
      <c r="S20" s="3411" t="str">
        <f>S4</f>
        <v>année (n-1) au mois</v>
      </c>
      <c r="T20" s="3411"/>
      <c r="U20" s="3412" t="s">
        <v>521</v>
      </c>
      <c r="V20" s="3412"/>
      <c r="W20" s="3412"/>
      <c r="X20" s="3412"/>
    </row>
    <row r="21" spans="1:24">
      <c r="A21" s="430"/>
      <c r="B21" s="951" t="s">
        <v>522</v>
      </c>
      <c r="C21" s="951" t="s">
        <v>466</v>
      </c>
      <c r="D21" s="951" t="s">
        <v>522</v>
      </c>
      <c r="E21" s="951" t="s">
        <v>466</v>
      </c>
      <c r="F21" s="952" t="s">
        <v>522</v>
      </c>
      <c r="G21" s="952" t="s">
        <v>466</v>
      </c>
      <c r="H21" s="952" t="s">
        <v>523</v>
      </c>
      <c r="I21" s="952" t="s">
        <v>524</v>
      </c>
      <c r="P21" s="430"/>
      <c r="Q21" s="951" t="s">
        <v>522</v>
      </c>
      <c r="R21" s="951" t="s">
        <v>466</v>
      </c>
      <c r="S21" s="951" t="s">
        <v>522</v>
      </c>
      <c r="T21" s="951" t="s">
        <v>466</v>
      </c>
      <c r="U21" s="952" t="s">
        <v>522</v>
      </c>
      <c r="V21" s="952" t="s">
        <v>466</v>
      </c>
      <c r="W21" s="952" t="s">
        <v>523</v>
      </c>
      <c r="X21" s="952" t="s">
        <v>524</v>
      </c>
    </row>
    <row r="22" spans="1:24">
      <c r="A22" s="941" t="s">
        <v>68</v>
      </c>
      <c r="B22" s="947">
        <v>397.80050376999975</v>
      </c>
      <c r="C22" s="948">
        <v>348.03188933000001</v>
      </c>
      <c r="D22" s="947">
        <v>383.49169285999989</v>
      </c>
      <c r="E22" s="948">
        <v>331.15722287</v>
      </c>
      <c r="F22" s="953">
        <f>$L$2-D22+B22</f>
        <v>2699.7849393300003</v>
      </c>
      <c r="G22" s="954">
        <f>$M$2-E22+C22</f>
        <v>2446.1714620300004</v>
      </c>
      <c r="H22" s="953">
        <f>F22-G22</f>
        <v>253.61347729999989</v>
      </c>
      <c r="I22" s="954">
        <f>(H22/F22)*100</f>
        <v>9.3938399909341879</v>
      </c>
      <c r="P22" s="941" t="s">
        <v>68</v>
      </c>
      <c r="Q22" s="947">
        <v>383.49169285999989</v>
      </c>
      <c r="R22" s="948">
        <v>331.15722287</v>
      </c>
      <c r="S22" s="947">
        <v>360.53952396000034</v>
      </c>
      <c r="T22" s="948">
        <v>307.39260245999998</v>
      </c>
      <c r="U22" s="953">
        <f>$AA$2-S22+Q22</f>
        <v>2548.3344321099999</v>
      </c>
      <c r="V22" s="954">
        <f>$AB$2-T22+R22</f>
        <v>2302.8825343899998</v>
      </c>
      <c r="W22" s="953">
        <f>U22-V22</f>
        <v>245.45189772000003</v>
      </c>
      <c r="X22" s="954">
        <f>(W22/U22)*100</f>
        <v>9.631855796759293</v>
      </c>
    </row>
    <row r="23" spans="1:24">
      <c r="A23" s="941" t="s">
        <v>7</v>
      </c>
      <c r="B23" s="949">
        <v>163.28964660000003</v>
      </c>
      <c r="C23" s="950">
        <v>144.25784435899999</v>
      </c>
      <c r="D23" s="949">
        <v>155.07512229999986</v>
      </c>
      <c r="E23" s="950">
        <v>136.38645493999999</v>
      </c>
      <c r="F23" s="955">
        <f>$L$3-D23+B23</f>
        <v>1096.2522951000001</v>
      </c>
      <c r="G23" s="956">
        <f>$M$3-E23+C23</f>
        <v>1009.3690824313876</v>
      </c>
      <c r="H23" s="955">
        <f t="shared" ref="H23:H31" si="6">F23-G23</f>
        <v>86.883212668612487</v>
      </c>
      <c r="I23" s="956">
        <f t="shared" ref="I23:I31" si="7">(H23/F23)*100</f>
        <v>7.9254760110387732</v>
      </c>
      <c r="P23" s="941" t="s">
        <v>7</v>
      </c>
      <c r="Q23" s="949">
        <v>155.07512229999986</v>
      </c>
      <c r="R23" s="950">
        <v>136.38645493999999</v>
      </c>
      <c r="S23" s="949">
        <v>147.67880100000008</v>
      </c>
      <c r="T23" s="950">
        <v>133.18815290999999</v>
      </c>
      <c r="U23" s="955">
        <f>$AA$3-S23+Q23</f>
        <v>1036.1983108615386</v>
      </c>
      <c r="V23" s="956">
        <f>$AB$3-T23+R23</f>
        <v>941.94206612000005</v>
      </c>
      <c r="W23" s="955">
        <f t="shared" ref="W23:W31" si="8">U23-V23</f>
        <v>94.25624474153858</v>
      </c>
      <c r="X23" s="956">
        <f t="shared" ref="X23:X31" si="9">(W23/U23)*100</f>
        <v>9.0963519003587248</v>
      </c>
    </row>
    <row r="24" spans="1:24">
      <c r="A24" s="941" t="s">
        <v>8</v>
      </c>
      <c r="B24" s="949">
        <v>144.97544199999984</v>
      </c>
      <c r="C24" s="950">
        <v>130.16494533000002</v>
      </c>
      <c r="D24" s="949">
        <v>141.37870599999991</v>
      </c>
      <c r="E24" s="950">
        <v>122.15924397999999</v>
      </c>
      <c r="F24" s="955">
        <f>$L$4-D24+B24</f>
        <v>953.54590300000007</v>
      </c>
      <c r="G24" s="956">
        <f>$M$4-E24+C24</f>
        <v>893.72834169999999</v>
      </c>
      <c r="H24" s="955">
        <f t="shared" si="6"/>
        <v>59.817561300000079</v>
      </c>
      <c r="I24" s="956">
        <f t="shared" si="7"/>
        <v>6.2731706058203347</v>
      </c>
      <c r="P24" s="941" t="s">
        <v>8</v>
      </c>
      <c r="Q24" s="949">
        <v>141.37870599999991</v>
      </c>
      <c r="R24" s="950">
        <v>122.15924397999999</v>
      </c>
      <c r="S24" s="949">
        <v>136.45034100000007</v>
      </c>
      <c r="T24" s="950">
        <v>122.90942579999999</v>
      </c>
      <c r="U24" s="955">
        <f>$AA$4-S24+Q24</f>
        <v>906.31281799999988</v>
      </c>
      <c r="V24" s="956">
        <f>$AB$4-T24+R24</f>
        <v>831.90786636999997</v>
      </c>
      <c r="W24" s="955">
        <f t="shared" si="8"/>
        <v>74.404951629999914</v>
      </c>
      <c r="X24" s="956">
        <f t="shared" si="9"/>
        <v>8.2096324968891619</v>
      </c>
    </row>
    <row r="25" spans="1:24">
      <c r="A25" s="941" t="s">
        <v>4</v>
      </c>
      <c r="B25" s="949">
        <v>281.52205200000003</v>
      </c>
      <c r="C25" s="950">
        <v>244.04895436000001</v>
      </c>
      <c r="D25" s="949">
        <v>278.70651999999995</v>
      </c>
      <c r="E25" s="950">
        <v>235.88091101999999</v>
      </c>
      <c r="F25" s="955">
        <f>$L$5-D25+B25</f>
        <v>1800.8225970000003</v>
      </c>
      <c r="G25" s="956">
        <f>$M$5-E25+C25</f>
        <v>1653.62753432</v>
      </c>
      <c r="H25" s="955">
        <f t="shared" si="6"/>
        <v>147.19506268000032</v>
      </c>
      <c r="I25" s="956">
        <f t="shared" si="7"/>
        <v>8.1737680838308755</v>
      </c>
      <c r="P25" s="941" t="s">
        <v>4</v>
      </c>
      <c r="Q25" s="949">
        <v>278.70651999999995</v>
      </c>
      <c r="R25" s="950">
        <v>235.88091101999999</v>
      </c>
      <c r="S25" s="949">
        <v>265.97525000000002</v>
      </c>
      <c r="T25" s="950">
        <v>242.80145655000001</v>
      </c>
      <c r="U25" s="955">
        <f>$AA$5-S25+Q25</f>
        <v>1729.2767940000001</v>
      </c>
      <c r="V25" s="956">
        <f>$AB$5-T25+R25</f>
        <v>1556.5975974100002</v>
      </c>
      <c r="W25" s="955">
        <f t="shared" si="8"/>
        <v>172.67919658999995</v>
      </c>
      <c r="X25" s="956">
        <f t="shared" si="9"/>
        <v>9.9856308249285366</v>
      </c>
    </row>
    <row r="26" spans="1:24">
      <c r="A26" s="941" t="s">
        <v>3</v>
      </c>
      <c r="B26" s="949">
        <v>219.865815</v>
      </c>
      <c r="C26" s="950">
        <v>188.56705271999999</v>
      </c>
      <c r="D26" s="949">
        <v>194.54570899999999</v>
      </c>
      <c r="E26" s="950">
        <v>174.50695967000001</v>
      </c>
      <c r="F26" s="955">
        <f>$L$6-D26+B26</f>
        <v>1451.3010279999999</v>
      </c>
      <c r="G26" s="956">
        <f>$M$6-E26+C26</f>
        <v>1302.8405336799999</v>
      </c>
      <c r="H26" s="955">
        <f t="shared" si="6"/>
        <v>148.46049431999995</v>
      </c>
      <c r="I26" s="956">
        <f t="shared" si="7"/>
        <v>10.229476273753454</v>
      </c>
      <c r="P26" s="941" t="s">
        <v>3</v>
      </c>
      <c r="Q26" s="949">
        <v>194.54570899999999</v>
      </c>
      <c r="R26" s="950">
        <v>174.50695967000001</v>
      </c>
      <c r="S26" s="949">
        <v>194.461927</v>
      </c>
      <c r="T26" s="950">
        <v>165.78117452000001</v>
      </c>
      <c r="U26" s="955">
        <f>$AA$6-S26+Q26</f>
        <v>1274.28724661</v>
      </c>
      <c r="V26" s="956">
        <f>$AB$6-T26+R26</f>
        <v>1142.51781901</v>
      </c>
      <c r="W26" s="955">
        <f t="shared" si="8"/>
        <v>131.76942759999997</v>
      </c>
      <c r="X26" s="956">
        <f t="shared" si="9"/>
        <v>10.340637713399987</v>
      </c>
    </row>
    <row r="27" spans="1:24">
      <c r="A27" s="941" t="s">
        <v>397</v>
      </c>
      <c r="B27" s="949">
        <v>178.96169998999983</v>
      </c>
      <c r="C27" s="950">
        <v>152.67013908999999</v>
      </c>
      <c r="D27" s="949">
        <v>188.53086339999996</v>
      </c>
      <c r="E27" s="950">
        <v>154.38858316</v>
      </c>
      <c r="F27" s="955">
        <f>$L$7-D27+B27</f>
        <v>1158.7345123699997</v>
      </c>
      <c r="G27" s="956">
        <f>$M$7-E27+C27</f>
        <v>1039.9063227700001</v>
      </c>
      <c r="H27" s="955">
        <f t="shared" si="6"/>
        <v>118.82818959999963</v>
      </c>
      <c r="I27" s="956">
        <f t="shared" si="7"/>
        <v>10.254997010225942</v>
      </c>
      <c r="P27" s="941" t="s">
        <v>397</v>
      </c>
      <c r="Q27" s="949">
        <v>188.53086339999996</v>
      </c>
      <c r="R27" s="950">
        <v>154.38858316</v>
      </c>
      <c r="S27" s="949">
        <v>181.30503199999998</v>
      </c>
      <c r="T27" s="950">
        <v>145.19723253000001</v>
      </c>
      <c r="U27" s="955">
        <f>$AA$7-S27+Q27</f>
        <v>1129.3589724000001</v>
      </c>
      <c r="V27" s="956">
        <f>$AB$7-T27+R27</f>
        <v>974.40074224</v>
      </c>
      <c r="W27" s="955">
        <f t="shared" si="8"/>
        <v>154.95823016000008</v>
      </c>
      <c r="X27" s="956">
        <f t="shared" si="9"/>
        <v>13.720901320746446</v>
      </c>
    </row>
    <row r="28" spans="1:24">
      <c r="A28" s="941" t="s">
        <v>399</v>
      </c>
      <c r="B28" s="949">
        <v>324.8710731999999</v>
      </c>
      <c r="C28" s="950">
        <v>264.62816220999997</v>
      </c>
      <c r="D28" s="949">
        <v>322.87086800000003</v>
      </c>
      <c r="E28" s="950">
        <v>253.29189344</v>
      </c>
      <c r="F28" s="955">
        <f>$L$8-D28+B28</f>
        <v>2022.4070042399999</v>
      </c>
      <c r="G28" s="956">
        <f>$M$8-E28+C28</f>
        <v>1813.27434709</v>
      </c>
      <c r="H28" s="955">
        <f t="shared" si="6"/>
        <v>209.13265714999989</v>
      </c>
      <c r="I28" s="956">
        <f t="shared" si="7"/>
        <v>10.340779907879611</v>
      </c>
      <c r="P28" s="941" t="s">
        <v>399</v>
      </c>
      <c r="Q28" s="949">
        <v>322.87086800000003</v>
      </c>
      <c r="R28" s="950">
        <v>253.29189344</v>
      </c>
      <c r="S28" s="949">
        <v>303.93908499999998</v>
      </c>
      <c r="T28" s="950">
        <v>241.61560201000003</v>
      </c>
      <c r="U28" s="955">
        <f>$AA$8-S28+Q28</f>
        <v>1905.7072985384616</v>
      </c>
      <c r="V28" s="956">
        <f>$AB$8-T28+R28</f>
        <v>1671.5966864700001</v>
      </c>
      <c r="W28" s="955">
        <f t="shared" si="8"/>
        <v>234.11061206846148</v>
      </c>
      <c r="X28" s="956">
        <f t="shared" si="9"/>
        <v>12.284709842272591</v>
      </c>
    </row>
    <row r="29" spans="1:24">
      <c r="A29" s="941" t="s">
        <v>883</v>
      </c>
      <c r="B29" s="949">
        <v>156.56466899999995</v>
      </c>
      <c r="C29" s="950">
        <v>151.43210218000002</v>
      </c>
      <c r="D29" s="949">
        <v>151.75487199999998</v>
      </c>
      <c r="E29" s="950">
        <v>144.67534139999998</v>
      </c>
      <c r="F29" s="955">
        <f>$L$9-D29+B29</f>
        <v>1177.757435</v>
      </c>
      <c r="G29" s="956">
        <f>$M$9-E29+C29</f>
        <v>1082.9783564499999</v>
      </c>
      <c r="H29" s="955">
        <f t="shared" si="6"/>
        <v>94.779078550000122</v>
      </c>
      <c r="I29" s="956">
        <f t="shared" si="7"/>
        <v>8.0474192506371338</v>
      </c>
      <c r="P29" s="941" t="s">
        <v>883</v>
      </c>
      <c r="Q29" s="949">
        <v>151.75487199999998</v>
      </c>
      <c r="R29" s="950">
        <v>144.67534139999998</v>
      </c>
      <c r="S29" s="949">
        <v>151.91009500000001</v>
      </c>
      <c r="T29" s="950">
        <v>142.42619300000001</v>
      </c>
      <c r="U29" s="955">
        <f>$AA$9-S29+Q29</f>
        <v>1115.6823820000002</v>
      </c>
      <c r="V29" s="956">
        <f>$AB$9-T29+R29</f>
        <v>1021.5717758000002</v>
      </c>
      <c r="W29" s="955">
        <f t="shared" si="8"/>
        <v>94.110606200000007</v>
      </c>
      <c r="X29" s="956">
        <f t="shared" si="9"/>
        <v>8.4352507235343257</v>
      </c>
    </row>
    <row r="30" spans="1:24">
      <c r="A30" s="941" t="s">
        <v>884</v>
      </c>
      <c r="B30" s="949">
        <v>192.70844100000019</v>
      </c>
      <c r="C30" s="950">
        <v>182.96426502</v>
      </c>
      <c r="D30" s="949">
        <v>190.485905</v>
      </c>
      <c r="E30" s="950">
        <v>173.74653188000002</v>
      </c>
      <c r="F30" s="955">
        <f>$L$10-D30+B30</f>
        <v>1441.7316690000002</v>
      </c>
      <c r="G30" s="956">
        <f>$M$10-E30+C30</f>
        <v>1329.32644542</v>
      </c>
      <c r="H30" s="955">
        <f t="shared" si="6"/>
        <v>112.40522358000021</v>
      </c>
      <c r="I30" s="956">
        <f t="shared" si="7"/>
        <v>7.7965425881201336</v>
      </c>
      <c r="P30" s="941" t="s">
        <v>884</v>
      </c>
      <c r="Q30" s="949">
        <v>190.485905</v>
      </c>
      <c r="R30" s="950">
        <v>173.74653188000002</v>
      </c>
      <c r="S30" s="949">
        <v>185.03012799999999</v>
      </c>
      <c r="T30" s="950">
        <v>170.85309128</v>
      </c>
      <c r="U30" s="955">
        <f>$AA$10-S30+Q30</f>
        <v>1382.6209349999999</v>
      </c>
      <c r="V30" s="956">
        <f>$AB$10-T30+R30</f>
        <v>1252.9832724520002</v>
      </c>
      <c r="W30" s="955">
        <f t="shared" si="8"/>
        <v>129.63766254799975</v>
      </c>
      <c r="X30" s="956">
        <f t="shared" si="9"/>
        <v>9.3762259247144826</v>
      </c>
    </row>
    <row r="31" spans="1:24" ht="14.4" thickBot="1">
      <c r="A31" s="941" t="s">
        <v>885</v>
      </c>
      <c r="B31" s="949">
        <v>44.661175999999998</v>
      </c>
      <c r="C31" s="950">
        <v>42.239392600000002</v>
      </c>
      <c r="D31" s="949">
        <v>45.823735999999997</v>
      </c>
      <c r="E31" s="950">
        <v>43.204755849999998</v>
      </c>
      <c r="F31" s="955">
        <f>$L$11-D31+B31</f>
        <v>289.27326400000004</v>
      </c>
      <c r="G31" s="956">
        <f>$M$11-E31+C31</f>
        <v>265.38057658000002</v>
      </c>
      <c r="H31" s="955">
        <f t="shared" si="6"/>
        <v>23.892687420000016</v>
      </c>
      <c r="I31" s="956">
        <f t="shared" si="7"/>
        <v>8.2595560646074819</v>
      </c>
      <c r="P31" s="941" t="s">
        <v>885</v>
      </c>
      <c r="Q31" s="949">
        <v>45.823735999999997</v>
      </c>
      <c r="R31" s="950">
        <v>43.204755849999998</v>
      </c>
      <c r="S31" s="949">
        <v>45.96566</v>
      </c>
      <c r="T31" s="950">
        <v>44.15145279</v>
      </c>
      <c r="U31" s="955">
        <f>$AA$11-S31+Q31</f>
        <v>290.45207499999998</v>
      </c>
      <c r="V31" s="956">
        <f>$AB$11-T31+R31</f>
        <v>264.10159356999998</v>
      </c>
      <c r="W31" s="955">
        <f t="shared" si="8"/>
        <v>26.350481430000002</v>
      </c>
      <c r="X31" s="956">
        <f t="shared" si="9"/>
        <v>9.0722303946356746</v>
      </c>
    </row>
    <row r="32" spans="1:24" ht="14.4" thickBot="1">
      <c r="A32" s="941" t="s">
        <v>16</v>
      </c>
      <c r="B32" s="945">
        <f t="shared" ref="B32:H32" si="10">SUM(B22:B31)</f>
        <v>2105.2205185599996</v>
      </c>
      <c r="C32" s="945">
        <f t="shared" si="10"/>
        <v>1849.0047471989999</v>
      </c>
      <c r="D32" s="945">
        <f t="shared" si="10"/>
        <v>2052.6639945599995</v>
      </c>
      <c r="E32" s="945">
        <f t="shared" si="10"/>
        <v>1769.39789821</v>
      </c>
      <c r="F32" s="945">
        <f t="shared" si="10"/>
        <v>14091.610647039999</v>
      </c>
      <c r="G32" s="946">
        <f t="shared" si="10"/>
        <v>12836.603002471387</v>
      </c>
      <c r="H32" s="946">
        <f t="shared" si="10"/>
        <v>1255.0076445686127</v>
      </c>
      <c r="I32" s="1361">
        <f>(H32/F32)*100</f>
        <v>8.9060624509394337</v>
      </c>
      <c r="P32" s="941" t="s">
        <v>16</v>
      </c>
      <c r="Q32" s="945">
        <f t="shared" ref="Q32:W32" si="11">SUM(Q22:Q31)</f>
        <v>2052.6639945599995</v>
      </c>
      <c r="R32" s="945">
        <f t="shared" si="11"/>
        <v>1769.39789821</v>
      </c>
      <c r="S32" s="945">
        <f t="shared" si="11"/>
        <v>1973.2558429600006</v>
      </c>
      <c r="T32" s="945">
        <f t="shared" si="11"/>
        <v>1716.3163838499997</v>
      </c>
      <c r="U32" s="945">
        <f t="shared" si="11"/>
        <v>13318.231264520002</v>
      </c>
      <c r="V32" s="946">
        <f t="shared" si="11"/>
        <v>11960.501953832001</v>
      </c>
      <c r="W32" s="946">
        <f t="shared" si="11"/>
        <v>1357.7293106879997</v>
      </c>
      <c r="X32" s="1361">
        <f>(W32/U32)*100</f>
        <v>10.194516702116548</v>
      </c>
    </row>
    <row r="33" spans="1:24">
      <c r="C33" s="454"/>
      <c r="P33" s="117"/>
      <c r="Q33" s="117"/>
      <c r="R33" s="454"/>
      <c r="S33" s="117"/>
      <c r="T33" s="117"/>
      <c r="U33" s="117"/>
      <c r="V33" s="117"/>
      <c r="W33" s="117"/>
      <c r="X33" s="117"/>
    </row>
    <row r="34" spans="1:24">
      <c r="B34" s="116" t="s">
        <v>526</v>
      </c>
      <c r="P34" s="117"/>
      <c r="Q34" s="116" t="s">
        <v>526</v>
      </c>
      <c r="R34" s="117"/>
      <c r="S34" s="117"/>
      <c r="T34" s="117"/>
      <c r="U34" s="117"/>
      <c r="V34" s="117"/>
      <c r="W34" s="117"/>
      <c r="X34" s="117"/>
    </row>
    <row r="35" spans="1:24">
      <c r="H35" s="430"/>
      <c r="I35" s="430"/>
      <c r="P35" s="117"/>
      <c r="Q35" s="117"/>
      <c r="R35" s="117"/>
      <c r="S35" s="117"/>
      <c r="T35" s="117"/>
      <c r="U35" s="117"/>
      <c r="V35" s="117"/>
      <c r="W35" s="430"/>
      <c r="X35" s="430"/>
    </row>
    <row r="36" spans="1:24">
      <c r="B36" s="3411" t="str">
        <f>B20</f>
        <v>année (n) au mois</v>
      </c>
      <c r="C36" s="3411"/>
      <c r="D36" s="3411" t="str">
        <f>D20</f>
        <v>année (n-1) au mois</v>
      </c>
      <c r="E36" s="3411"/>
      <c r="F36" s="3412" t="s">
        <v>521</v>
      </c>
      <c r="G36" s="3412"/>
      <c r="H36" s="3412"/>
      <c r="I36" s="3412"/>
      <c r="P36" s="117"/>
      <c r="Q36" s="3411" t="str">
        <f>Q20</f>
        <v>année (n) au mois</v>
      </c>
      <c r="R36" s="3411"/>
      <c r="S36" s="3411" t="str">
        <f>S20</f>
        <v>année (n-1) au mois</v>
      </c>
      <c r="T36" s="3411"/>
      <c r="U36" s="3412" t="s">
        <v>521</v>
      </c>
      <c r="V36" s="3412"/>
      <c r="W36" s="3412"/>
      <c r="X36" s="3412"/>
    </row>
    <row r="37" spans="1:24">
      <c r="A37" s="430"/>
      <c r="B37" s="951" t="s">
        <v>522</v>
      </c>
      <c r="C37" s="951" t="s">
        <v>466</v>
      </c>
      <c r="D37" s="951" t="s">
        <v>522</v>
      </c>
      <c r="E37" s="951" t="s">
        <v>466</v>
      </c>
      <c r="F37" s="952" t="s">
        <v>522</v>
      </c>
      <c r="G37" s="952" t="s">
        <v>466</v>
      </c>
      <c r="H37" s="952" t="s">
        <v>523</v>
      </c>
      <c r="I37" s="952" t="s">
        <v>524</v>
      </c>
      <c r="P37" s="430"/>
      <c r="Q37" s="951" t="s">
        <v>522</v>
      </c>
      <c r="R37" s="951" t="s">
        <v>466</v>
      </c>
      <c r="S37" s="951" t="s">
        <v>522</v>
      </c>
      <c r="T37" s="951" t="s">
        <v>466</v>
      </c>
      <c r="U37" s="952" t="s">
        <v>522</v>
      </c>
      <c r="V37" s="952" t="s">
        <v>466</v>
      </c>
      <c r="W37" s="952" t="s">
        <v>523</v>
      </c>
      <c r="X37" s="952" t="s">
        <v>524</v>
      </c>
    </row>
    <row r="38" spans="1:24">
      <c r="A38" s="941" t="s">
        <v>68</v>
      </c>
      <c r="B38" s="947">
        <v>587.25014879000014</v>
      </c>
      <c r="C38" s="948">
        <v>526.05581379</v>
      </c>
      <c r="D38" s="947">
        <v>564.60767514000042</v>
      </c>
      <c r="E38" s="948">
        <v>501.83737592</v>
      </c>
      <c r="F38" s="953">
        <f>$L$2-D38+B38</f>
        <v>2708.1186020699997</v>
      </c>
      <c r="G38" s="954">
        <f>$M$2-E38+C38</f>
        <v>2453.5152334400009</v>
      </c>
      <c r="H38" s="953">
        <f>F38-G38</f>
        <v>254.60336862999884</v>
      </c>
      <c r="I38" s="954">
        <f>(H38/F38)*100</f>
        <v>9.4014851652135221</v>
      </c>
      <c r="P38" s="941" t="s">
        <v>68</v>
      </c>
      <c r="Q38" s="947"/>
      <c r="R38" s="948"/>
      <c r="S38" s="947"/>
      <c r="T38" s="948"/>
      <c r="U38" s="953">
        <f>$AA$2-S38+Q38</f>
        <v>2525.38226321</v>
      </c>
      <c r="V38" s="954">
        <f>$AB$2-T38+R38</f>
        <v>2279.1179139799997</v>
      </c>
      <c r="W38" s="953">
        <f>U38-V38</f>
        <v>246.26434923000033</v>
      </c>
      <c r="X38" s="954">
        <f>(W38/U38)*100</f>
        <v>9.7515672307357946</v>
      </c>
    </row>
    <row r="39" spans="1:24">
      <c r="A39" s="941" t="s">
        <v>7</v>
      </c>
      <c r="B39" s="949">
        <v>242.67280060000004</v>
      </c>
      <c r="C39" s="950">
        <v>222.39050594024118</v>
      </c>
      <c r="D39" s="949">
        <v>229.92087679999986</v>
      </c>
      <c r="E39" s="950">
        <v>209.60645493999999</v>
      </c>
      <c r="F39" s="955">
        <f>$L$3-D39+B39</f>
        <v>1100.7896946000001</v>
      </c>
      <c r="G39" s="956">
        <f>$M$3-E39+C39</f>
        <v>1014.2817440126287</v>
      </c>
      <c r="H39" s="955">
        <f t="shared" ref="H39:H47" si="12">F39-G39</f>
        <v>86.507950587371397</v>
      </c>
      <c r="I39" s="956">
        <f t="shared" ref="I39:I47" si="13">(H39/F39)*100</f>
        <v>7.8587173382656221</v>
      </c>
      <c r="P39" s="941" t="s">
        <v>7</v>
      </c>
      <c r="Q39" s="949"/>
      <c r="R39" s="950"/>
      <c r="S39" s="949"/>
      <c r="T39" s="950"/>
      <c r="U39" s="955">
        <f>$AA$3-S39+Q39</f>
        <v>1028.8019895615387</v>
      </c>
      <c r="V39" s="956">
        <f>$AB$3-T39+R39</f>
        <v>938.74376409000001</v>
      </c>
      <c r="W39" s="955">
        <f t="shared" ref="W39:W47" si="14">U39-V39</f>
        <v>90.058225471538663</v>
      </c>
      <c r="X39" s="956">
        <f t="shared" ref="X39:X47" si="15">(W39/U39)*100</f>
        <v>8.7536986111312096</v>
      </c>
    </row>
    <row r="40" spans="1:24">
      <c r="A40" s="941" t="s">
        <v>8</v>
      </c>
      <c r="B40" s="949">
        <v>217.85850699999986</v>
      </c>
      <c r="C40" s="950">
        <v>200.38002523</v>
      </c>
      <c r="D40" s="949">
        <v>213.61552200000003</v>
      </c>
      <c r="E40" s="950">
        <v>191.36072780000001</v>
      </c>
      <c r="F40" s="955">
        <f>$L$4-D40+B40</f>
        <v>954.19215199999985</v>
      </c>
      <c r="G40" s="956">
        <f>$M$4-E40+C40</f>
        <v>894.74193777999994</v>
      </c>
      <c r="H40" s="955">
        <f t="shared" si="12"/>
        <v>59.450214219999907</v>
      </c>
      <c r="I40" s="956">
        <f t="shared" si="13"/>
        <v>6.2304237249689631</v>
      </c>
      <c r="P40" s="941" t="s">
        <v>8</v>
      </c>
      <c r="Q40" s="949"/>
      <c r="R40" s="950"/>
      <c r="S40" s="949"/>
      <c r="T40" s="950"/>
      <c r="U40" s="955">
        <f>$AA$4-S40+Q40</f>
        <v>901.38445300000001</v>
      </c>
      <c r="V40" s="956">
        <f>$AB$4-T40+R40</f>
        <v>832.65804818999993</v>
      </c>
      <c r="W40" s="955">
        <f t="shared" si="14"/>
        <v>68.726404810000076</v>
      </c>
      <c r="X40" s="956">
        <f t="shared" si="15"/>
        <v>7.6245385175286655</v>
      </c>
    </row>
    <row r="41" spans="1:24">
      <c r="A41" s="941" t="s">
        <v>4</v>
      </c>
      <c r="B41" s="949">
        <v>410.4974170000001</v>
      </c>
      <c r="C41" s="950">
        <v>365.88399406999997</v>
      </c>
      <c r="D41" s="949">
        <v>405.95573699999994</v>
      </c>
      <c r="E41" s="950">
        <v>359.61791743000003</v>
      </c>
      <c r="F41" s="955">
        <f>$L$5-D41+B41</f>
        <v>1802.5487450000003</v>
      </c>
      <c r="G41" s="956">
        <f>$M$5-E41+C41</f>
        <v>1651.72556762</v>
      </c>
      <c r="H41" s="955">
        <f t="shared" si="12"/>
        <v>150.82317738000029</v>
      </c>
      <c r="I41" s="956">
        <f t="shared" si="13"/>
        <v>8.3672176854224407</v>
      </c>
      <c r="P41" s="941" t="s">
        <v>4</v>
      </c>
      <c r="Q41" s="949"/>
      <c r="R41" s="950"/>
      <c r="S41" s="949"/>
      <c r="T41" s="950"/>
      <c r="U41" s="955">
        <f>$AA$5-S41+Q41</f>
        <v>1716.5455240000001</v>
      </c>
      <c r="V41" s="956">
        <f>$AB$5-T41+R41</f>
        <v>1563.5181429400002</v>
      </c>
      <c r="W41" s="955">
        <f t="shared" si="14"/>
        <v>153.02738105999993</v>
      </c>
      <c r="X41" s="956">
        <f t="shared" si="15"/>
        <v>8.9148454800899248</v>
      </c>
    </row>
    <row r="42" spans="1:24">
      <c r="A42" s="941" t="s">
        <v>3</v>
      </c>
      <c r="B42" s="949">
        <v>349.687252</v>
      </c>
      <c r="C42" s="950">
        <v>291.40872181999998</v>
      </c>
      <c r="D42" s="949">
        <v>311.01778300000001</v>
      </c>
      <c r="E42" s="950">
        <v>266.25964766999999</v>
      </c>
      <c r="F42" s="955">
        <f>$L$6-D42+B42</f>
        <v>1464.6503909999999</v>
      </c>
      <c r="G42" s="956">
        <f>$M$6-E42+C42</f>
        <v>1313.9295147799999</v>
      </c>
      <c r="H42" s="955">
        <f t="shared" si="12"/>
        <v>150.72087622000004</v>
      </c>
      <c r="I42" s="956">
        <f t="shared" si="13"/>
        <v>10.290570169246624</v>
      </c>
      <c r="P42" s="941" t="s">
        <v>3</v>
      </c>
      <c r="Q42" s="949"/>
      <c r="R42" s="950"/>
      <c r="S42" s="949"/>
      <c r="T42" s="950"/>
      <c r="U42" s="955">
        <f>$AA$6-S42+Q42</f>
        <v>1274.2034646100001</v>
      </c>
      <c r="V42" s="956">
        <f>$AB$6-T42+R42</f>
        <v>1133.7920338599999</v>
      </c>
      <c r="W42" s="955">
        <f t="shared" si="14"/>
        <v>140.41143075000014</v>
      </c>
      <c r="X42" s="956">
        <f t="shared" si="15"/>
        <v>11.019545516066882</v>
      </c>
    </row>
    <row r="43" spans="1:24">
      <c r="A43" s="941" t="s">
        <v>397</v>
      </c>
      <c r="B43" s="949">
        <v>262.56388080999983</v>
      </c>
      <c r="C43" s="950">
        <v>223.69389255999999</v>
      </c>
      <c r="D43" s="949">
        <v>271.19327794999992</v>
      </c>
      <c r="E43" s="950">
        <v>230.29214603999998</v>
      </c>
      <c r="F43" s="955">
        <f>$L$7-D43+B43</f>
        <v>1159.6742786399998</v>
      </c>
      <c r="G43" s="956">
        <f>$M$7-E43+C43</f>
        <v>1035.0265133600001</v>
      </c>
      <c r="H43" s="955">
        <f t="shared" si="12"/>
        <v>124.6477652799997</v>
      </c>
      <c r="I43" s="956">
        <f t="shared" si="13"/>
        <v>10.748515128418605</v>
      </c>
      <c r="P43" s="941" t="s">
        <v>397</v>
      </c>
      <c r="Q43" s="949"/>
      <c r="R43" s="950"/>
      <c r="S43" s="949"/>
      <c r="T43" s="950"/>
      <c r="U43" s="955">
        <f>$AA$7-S43+Q43</f>
        <v>1122.133141</v>
      </c>
      <c r="V43" s="956">
        <f>$AB$7-T43+R43</f>
        <v>965.20939161000001</v>
      </c>
      <c r="W43" s="955">
        <f t="shared" si="14"/>
        <v>156.92374939000001</v>
      </c>
      <c r="X43" s="956">
        <f t="shared" si="15"/>
        <v>13.984414474217905</v>
      </c>
    </row>
    <row r="44" spans="1:24">
      <c r="A44" s="941" t="s">
        <v>399</v>
      </c>
      <c r="B44" s="949">
        <v>473.56574049999995</v>
      </c>
      <c r="C44" s="950">
        <v>399.74527628999999</v>
      </c>
      <c r="D44" s="949">
        <v>466.77010000000007</v>
      </c>
      <c r="E44" s="950">
        <v>400.81678455999997</v>
      </c>
      <c r="F44" s="955">
        <f>$L$8-D44+B44</f>
        <v>2027.2024395399997</v>
      </c>
      <c r="G44" s="956">
        <f>$M$8-E44+C44</f>
        <v>1800.8665700499998</v>
      </c>
      <c r="H44" s="955">
        <f t="shared" si="12"/>
        <v>226.33586948999982</v>
      </c>
      <c r="I44" s="956">
        <f t="shared" si="13"/>
        <v>11.164936716500725</v>
      </c>
      <c r="P44" s="941" t="s">
        <v>399</v>
      </c>
      <c r="Q44" s="949"/>
      <c r="R44" s="950"/>
      <c r="S44" s="949"/>
      <c r="T44" s="950"/>
      <c r="U44" s="955">
        <f>$AA$8-S44+Q44</f>
        <v>1886.7755155384616</v>
      </c>
      <c r="V44" s="956">
        <f>$AB$8-T44+R44</f>
        <v>1659.9203950400001</v>
      </c>
      <c r="W44" s="955">
        <f t="shared" si="14"/>
        <v>226.85512049846147</v>
      </c>
      <c r="X44" s="956">
        <f t="shared" si="15"/>
        <v>12.023429317913315</v>
      </c>
    </row>
    <row r="45" spans="1:24">
      <c r="A45" s="941" t="s">
        <v>883</v>
      </c>
      <c r="B45" s="949">
        <v>235.35022499999994</v>
      </c>
      <c r="C45" s="950">
        <v>214.86914049999999</v>
      </c>
      <c r="D45" s="949">
        <v>227.56079499999998</v>
      </c>
      <c r="E45" s="950">
        <v>204.10490085000001</v>
      </c>
      <c r="F45" s="955">
        <f>$L$9-D45+B45</f>
        <v>1180.7370680000001</v>
      </c>
      <c r="G45" s="956">
        <f>$M$9-E45+C45</f>
        <v>1086.98583532</v>
      </c>
      <c r="H45" s="955">
        <f t="shared" si="12"/>
        <v>93.751232680000157</v>
      </c>
      <c r="I45" s="956">
        <f t="shared" si="13"/>
        <v>7.9400600879585612</v>
      </c>
      <c r="P45" s="941" t="s">
        <v>883</v>
      </c>
      <c r="Q45" s="949"/>
      <c r="R45" s="950"/>
      <c r="S45" s="949"/>
      <c r="T45" s="950"/>
      <c r="U45" s="955">
        <f>$AA$9-S45+Q45</f>
        <v>1115.8376050000002</v>
      </c>
      <c r="V45" s="956">
        <f>$AB$9-T45+R45</f>
        <v>1019.3226274000002</v>
      </c>
      <c r="W45" s="955">
        <f t="shared" si="14"/>
        <v>96.514977599999952</v>
      </c>
      <c r="X45" s="956">
        <f t="shared" si="15"/>
        <v>8.6495541257547011</v>
      </c>
    </row>
    <row r="46" spans="1:24">
      <c r="A46" s="941" t="s">
        <v>884</v>
      </c>
      <c r="B46" s="949">
        <v>285.23186900000002</v>
      </c>
      <c r="C46" s="950">
        <v>265.56173524000002</v>
      </c>
      <c r="D46" s="949">
        <v>281.59263800000002</v>
      </c>
      <c r="E46" s="950">
        <v>253.17319349000002</v>
      </c>
      <c r="F46" s="955">
        <f>$L$10-D46+B46</f>
        <v>1443.1483639999999</v>
      </c>
      <c r="G46" s="956">
        <f>$M$10-E46+C46</f>
        <v>1332.49725403</v>
      </c>
      <c r="H46" s="955">
        <f t="shared" si="12"/>
        <v>110.65110996999988</v>
      </c>
      <c r="I46" s="956">
        <f t="shared" si="13"/>
        <v>7.6673412609709946</v>
      </c>
      <c r="P46" s="941" t="s">
        <v>884</v>
      </c>
      <c r="Q46" s="949"/>
      <c r="R46" s="950"/>
      <c r="S46" s="949"/>
      <c r="T46" s="950"/>
      <c r="U46" s="955">
        <f>$AA$10-S46+Q46</f>
        <v>1377.165158</v>
      </c>
      <c r="V46" s="956">
        <f>$AB$10-T46+R46</f>
        <v>1250.0898318520001</v>
      </c>
      <c r="W46" s="955">
        <f t="shared" si="14"/>
        <v>127.07532614799993</v>
      </c>
      <c r="X46" s="956">
        <f t="shared" si="15"/>
        <v>9.2273120191732243</v>
      </c>
    </row>
    <row r="47" spans="1:24" ht="14.4" thickBot="1">
      <c r="A47" s="941" t="s">
        <v>885</v>
      </c>
      <c r="B47" s="949">
        <v>67.815782999999996</v>
      </c>
      <c r="C47" s="950">
        <v>61.831594789999997</v>
      </c>
      <c r="D47" s="949">
        <v>68.130102999999991</v>
      </c>
      <c r="E47" s="950">
        <v>62.075008979999993</v>
      </c>
      <c r="F47" s="955">
        <f>$L$11-D47+B47</f>
        <v>290.12150400000002</v>
      </c>
      <c r="G47" s="956">
        <f>$M$11-E47+C47</f>
        <v>266.10252564000001</v>
      </c>
      <c r="H47" s="955">
        <f t="shared" si="12"/>
        <v>24.018978360000006</v>
      </c>
      <c r="I47" s="956">
        <f t="shared" si="13"/>
        <v>8.2789376274569442</v>
      </c>
      <c r="P47" s="941" t="s">
        <v>885</v>
      </c>
      <c r="Q47" s="949"/>
      <c r="R47" s="950"/>
      <c r="S47" s="949"/>
      <c r="T47" s="950"/>
      <c r="U47" s="955">
        <f>$AA$11-S47+Q47</f>
        <v>290.593999</v>
      </c>
      <c r="V47" s="956">
        <f>$AB$11-T47+R47</f>
        <v>265.04829051000002</v>
      </c>
      <c r="W47" s="955">
        <f t="shared" si="14"/>
        <v>25.545708489999981</v>
      </c>
      <c r="X47" s="956">
        <f t="shared" si="15"/>
        <v>8.7908589227267484</v>
      </c>
    </row>
    <row r="48" spans="1:24" ht="14.4" thickBot="1">
      <c r="A48" s="941" t="s">
        <v>16</v>
      </c>
      <c r="B48" s="945">
        <f t="shared" ref="B48:H48" si="16">SUM(B38:B47)</f>
        <v>3132.4936237000002</v>
      </c>
      <c r="C48" s="945">
        <f t="shared" si="16"/>
        <v>2771.8207002302411</v>
      </c>
      <c r="D48" s="945">
        <f t="shared" si="16"/>
        <v>3040.3645078900004</v>
      </c>
      <c r="E48" s="945">
        <f t="shared" si="16"/>
        <v>2679.1441576799998</v>
      </c>
      <c r="F48" s="945">
        <f t="shared" si="16"/>
        <v>14131.183238850001</v>
      </c>
      <c r="G48" s="946">
        <f t="shared" si="16"/>
        <v>12849.672696032632</v>
      </c>
      <c r="H48" s="946">
        <f t="shared" si="16"/>
        <v>1281.5105428173702</v>
      </c>
      <c r="I48" s="1361">
        <f>(H48/F48)*100</f>
        <v>9.0686711873793513</v>
      </c>
      <c r="P48" s="941" t="s">
        <v>16</v>
      </c>
      <c r="Q48" s="945">
        <f t="shared" ref="Q48:W48" si="17">SUM(Q38:Q47)</f>
        <v>0</v>
      </c>
      <c r="R48" s="945">
        <f t="shared" si="17"/>
        <v>0</v>
      </c>
      <c r="S48" s="945">
        <f t="shared" si="17"/>
        <v>0</v>
      </c>
      <c r="T48" s="945">
        <f t="shared" si="17"/>
        <v>0</v>
      </c>
      <c r="U48" s="945">
        <f t="shared" si="17"/>
        <v>13238.823112920001</v>
      </c>
      <c r="V48" s="946">
        <f t="shared" si="17"/>
        <v>11907.420439472</v>
      </c>
      <c r="W48" s="946">
        <f t="shared" si="17"/>
        <v>1331.4026734480003</v>
      </c>
      <c r="X48" s="946">
        <f>(W48/U48)*100</f>
        <v>10.056805367757054</v>
      </c>
    </row>
    <row r="49" spans="1:24">
      <c r="P49" s="117"/>
      <c r="Q49" s="117"/>
      <c r="R49" s="117"/>
      <c r="S49" s="117"/>
      <c r="T49" s="117"/>
      <c r="U49" s="117"/>
      <c r="V49" s="117"/>
      <c r="W49" s="117"/>
      <c r="X49" s="117"/>
    </row>
    <row r="50" spans="1:24">
      <c r="P50" s="117"/>
      <c r="Q50" s="117"/>
      <c r="R50" s="117"/>
      <c r="S50" s="117"/>
      <c r="T50" s="117"/>
      <c r="U50" s="117"/>
      <c r="V50" s="117"/>
      <c r="W50" s="117"/>
      <c r="X50" s="117"/>
    </row>
    <row r="51" spans="1:24">
      <c r="B51" s="116" t="s">
        <v>527</v>
      </c>
      <c r="P51" s="117"/>
      <c r="Q51" s="116" t="s">
        <v>527</v>
      </c>
      <c r="R51" s="117"/>
      <c r="S51" s="117"/>
      <c r="T51" s="117"/>
      <c r="U51" s="117"/>
      <c r="V51" s="117"/>
      <c r="W51" s="117"/>
      <c r="X51" s="117"/>
    </row>
    <row r="52" spans="1:24">
      <c r="H52" s="430"/>
      <c r="I52" s="430"/>
      <c r="P52" s="117"/>
      <c r="Q52" s="117"/>
      <c r="R52" s="117"/>
      <c r="S52" s="117"/>
      <c r="T52" s="117"/>
      <c r="U52" s="117"/>
      <c r="V52" s="117"/>
      <c r="W52" s="430"/>
      <c r="X52" s="430"/>
    </row>
    <row r="53" spans="1:24">
      <c r="B53" s="3411" t="str">
        <f>B36</f>
        <v>année (n) au mois</v>
      </c>
      <c r="C53" s="3411"/>
      <c r="D53" s="3411" t="str">
        <f>D36</f>
        <v>année (n-1) au mois</v>
      </c>
      <c r="E53" s="3411"/>
      <c r="F53" s="3412" t="s">
        <v>521</v>
      </c>
      <c r="G53" s="3412"/>
      <c r="H53" s="3412"/>
      <c r="I53" s="3412"/>
      <c r="P53" s="117"/>
      <c r="Q53" s="3411" t="str">
        <f>Q36</f>
        <v>année (n) au mois</v>
      </c>
      <c r="R53" s="3411"/>
      <c r="S53" s="3411" t="str">
        <f>S36</f>
        <v>année (n-1) au mois</v>
      </c>
      <c r="T53" s="3411"/>
      <c r="U53" s="3412" t="s">
        <v>521</v>
      </c>
      <c r="V53" s="3412"/>
      <c r="W53" s="3412"/>
      <c r="X53" s="3412"/>
    </row>
    <row r="54" spans="1:24">
      <c r="A54" s="430"/>
      <c r="B54" s="951" t="s">
        <v>522</v>
      </c>
      <c r="C54" s="951" t="s">
        <v>466</v>
      </c>
      <c r="D54" s="951" t="s">
        <v>522</v>
      </c>
      <c r="E54" s="951" t="s">
        <v>466</v>
      </c>
      <c r="F54" s="952" t="s">
        <v>522</v>
      </c>
      <c r="G54" s="952" t="s">
        <v>466</v>
      </c>
      <c r="H54" s="952" t="s">
        <v>523</v>
      </c>
      <c r="I54" s="952" t="s">
        <v>524</v>
      </c>
      <c r="P54" s="430"/>
      <c r="Q54" s="951" t="s">
        <v>522</v>
      </c>
      <c r="R54" s="951" t="s">
        <v>466</v>
      </c>
      <c r="S54" s="951" t="s">
        <v>522</v>
      </c>
      <c r="T54" s="951" t="s">
        <v>466</v>
      </c>
      <c r="U54" s="952" t="s">
        <v>522</v>
      </c>
      <c r="V54" s="952" t="s">
        <v>466</v>
      </c>
      <c r="W54" s="952" t="s">
        <v>523</v>
      </c>
      <c r="X54" s="952" t="s">
        <v>524</v>
      </c>
    </row>
    <row r="55" spans="1:24">
      <c r="A55" s="941" t="s">
        <v>68</v>
      </c>
      <c r="B55" s="947">
        <v>756.52294177999966</v>
      </c>
      <c r="C55" s="948">
        <v>692.56384596999999</v>
      </c>
      <c r="D55" s="947">
        <v>729.10329558000046</v>
      </c>
      <c r="E55" s="948">
        <v>659.95871880000004</v>
      </c>
      <c r="F55" s="953">
        <f>$L$2-D55+B55</f>
        <v>2712.8957746199994</v>
      </c>
      <c r="G55" s="954">
        <f>$M$2-E55+C55</f>
        <v>2461.9019227400004</v>
      </c>
      <c r="H55" s="953">
        <f>F55-G55</f>
        <v>250.99385187999906</v>
      </c>
      <c r="I55" s="954">
        <f>(H55/F55)*100</f>
        <v>9.2518796419724705</v>
      </c>
      <c r="P55" s="941" t="s">
        <v>68</v>
      </c>
      <c r="Q55" s="947"/>
      <c r="R55" s="948"/>
      <c r="S55" s="947"/>
      <c r="T55" s="948"/>
      <c r="U55" s="953">
        <f>$AA$2-S55+Q55</f>
        <v>2525.38226321</v>
      </c>
      <c r="V55" s="954">
        <f>$AB$2-T55+R55</f>
        <v>2279.1179139799997</v>
      </c>
      <c r="W55" s="953">
        <f>U55-V55</f>
        <v>246.26434923000033</v>
      </c>
      <c r="X55" s="954">
        <f>(W55/U55)*100</f>
        <v>9.7515672307357946</v>
      </c>
    </row>
    <row r="56" spans="1:24">
      <c r="A56" s="941" t="s">
        <v>7</v>
      </c>
      <c r="B56" s="949">
        <v>316.2891183000001</v>
      </c>
      <c r="C56" s="950">
        <v>294.56858710542087</v>
      </c>
      <c r="D56" s="949">
        <v>300.87552539999996</v>
      </c>
      <c r="E56" s="950">
        <v>279.01799785999998</v>
      </c>
      <c r="F56" s="955">
        <f>$L$3-D56+B56</f>
        <v>1103.4513637</v>
      </c>
      <c r="G56" s="956">
        <f>$M$3-E56+C56</f>
        <v>1017.0482822578085</v>
      </c>
      <c r="H56" s="955">
        <f t="shared" ref="H56:H64" si="18">F56-G56</f>
        <v>86.403081442191478</v>
      </c>
      <c r="I56" s="956">
        <f t="shared" ref="I56:I64" si="19">(H56/F56)*100</f>
        <v>7.8302573438734955</v>
      </c>
      <c r="P56" s="941" t="s">
        <v>7</v>
      </c>
      <c r="Q56" s="949"/>
      <c r="R56" s="950"/>
      <c r="S56" s="949"/>
      <c r="T56" s="950"/>
      <c r="U56" s="955">
        <f>$AA$3-S56+Q56</f>
        <v>1028.8019895615387</v>
      </c>
      <c r="V56" s="956">
        <f>$AB$3-T56+R56</f>
        <v>938.74376409000001</v>
      </c>
      <c r="W56" s="955">
        <f t="shared" ref="W56:W64" si="20">U56-V56</f>
        <v>90.058225471538663</v>
      </c>
      <c r="X56" s="956">
        <f t="shared" ref="X56:X64" si="21">(W56/U56)*100</f>
        <v>8.7536986111312096</v>
      </c>
    </row>
    <row r="57" spans="1:24">
      <c r="A57" s="941" t="s">
        <v>8</v>
      </c>
      <c r="B57" s="949">
        <v>285.62056899999993</v>
      </c>
      <c r="C57" s="950">
        <v>267.18452657</v>
      </c>
      <c r="D57" s="949">
        <v>280.45878399999998</v>
      </c>
      <c r="E57" s="950">
        <v>252.04064067999997</v>
      </c>
      <c r="F57" s="955">
        <f>$L$4-D57+B57</f>
        <v>955.110952</v>
      </c>
      <c r="G57" s="956">
        <f>$M$4-E57+C57</f>
        <v>900.86652623999987</v>
      </c>
      <c r="H57" s="955">
        <f t="shared" si="18"/>
        <v>54.244425760000127</v>
      </c>
      <c r="I57" s="956">
        <f t="shared" si="19"/>
        <v>5.6793847506839317</v>
      </c>
      <c r="P57" s="941" t="s">
        <v>8</v>
      </c>
      <c r="Q57" s="949"/>
      <c r="R57" s="950"/>
      <c r="S57" s="949"/>
      <c r="T57" s="950"/>
      <c r="U57" s="955">
        <f>$AA$4-S57+Q57</f>
        <v>901.38445300000001</v>
      </c>
      <c r="V57" s="956">
        <f>$AB$4-T57+R57</f>
        <v>832.65804818999993</v>
      </c>
      <c r="W57" s="955">
        <f t="shared" si="20"/>
        <v>68.726404810000076</v>
      </c>
      <c r="X57" s="956">
        <f t="shared" si="21"/>
        <v>7.6245385175286655</v>
      </c>
    </row>
    <row r="58" spans="1:24">
      <c r="A58" s="941" t="s">
        <v>4</v>
      </c>
      <c r="B58" s="949">
        <v>527.38610099999994</v>
      </c>
      <c r="C58" s="950">
        <v>492.70723485999997</v>
      </c>
      <c r="D58" s="949">
        <v>519.36389399999996</v>
      </c>
      <c r="E58" s="950">
        <v>482.21335584999997</v>
      </c>
      <c r="F58" s="955">
        <f>$L$5-D58+B58</f>
        <v>1806.0292720000002</v>
      </c>
      <c r="G58" s="956">
        <f>$M$5-E58+C58</f>
        <v>1655.9533699900001</v>
      </c>
      <c r="H58" s="955">
        <f t="shared" si="18"/>
        <v>150.07590201000016</v>
      </c>
      <c r="I58" s="956">
        <f t="shared" si="19"/>
        <v>8.3097159241392493</v>
      </c>
      <c r="P58" s="941" t="s">
        <v>4</v>
      </c>
      <c r="Q58" s="949"/>
      <c r="R58" s="950"/>
      <c r="S58" s="949"/>
      <c r="T58" s="950"/>
      <c r="U58" s="955">
        <f>$AA$5-S58+Q58</f>
        <v>1716.5455240000001</v>
      </c>
      <c r="V58" s="956">
        <f>$AB$5-T58+R58</f>
        <v>1563.5181429400002</v>
      </c>
      <c r="W58" s="955">
        <f t="shared" si="20"/>
        <v>153.02738105999993</v>
      </c>
      <c r="X58" s="956">
        <f t="shared" si="21"/>
        <v>8.9148454800899248</v>
      </c>
    </row>
    <row r="59" spans="1:24">
      <c r="A59" s="941" t="s">
        <v>3</v>
      </c>
      <c r="B59" s="949">
        <v>480.22003716</v>
      </c>
      <c r="C59" s="950">
        <v>398.92467141999998</v>
      </c>
      <c r="D59" s="949">
        <v>429.50457399999999</v>
      </c>
      <c r="E59" s="950">
        <v>358.47532771000004</v>
      </c>
      <c r="F59" s="955">
        <f>$L$6-D59+B59</f>
        <v>1476.6963851599999</v>
      </c>
      <c r="G59" s="956">
        <f>$M$6-E59+C59</f>
        <v>1329.2297843399997</v>
      </c>
      <c r="H59" s="955">
        <f t="shared" si="18"/>
        <v>147.46660082000017</v>
      </c>
      <c r="I59" s="956">
        <f t="shared" si="19"/>
        <v>9.9862505456070565</v>
      </c>
      <c r="P59" s="941" t="s">
        <v>3</v>
      </c>
      <c r="Q59" s="949"/>
      <c r="R59" s="950"/>
      <c r="S59" s="949"/>
      <c r="T59" s="950"/>
      <c r="U59" s="955">
        <f>$AA$6-S59+Q59</f>
        <v>1274.2034646100001</v>
      </c>
      <c r="V59" s="956">
        <f>$AB$6-T59+R59</f>
        <v>1133.7920338599999</v>
      </c>
      <c r="W59" s="955">
        <f t="shared" si="20"/>
        <v>140.41143075000014</v>
      </c>
      <c r="X59" s="956">
        <f t="shared" si="21"/>
        <v>11.019545516066882</v>
      </c>
    </row>
    <row r="60" spans="1:24">
      <c r="A60" s="941" t="s">
        <v>397</v>
      </c>
      <c r="B60" s="949">
        <v>338.16057896999985</v>
      </c>
      <c r="C60" s="950">
        <v>300.03429846</v>
      </c>
      <c r="D60" s="949">
        <v>346.01498527999979</v>
      </c>
      <c r="E60" s="950">
        <v>306.34527754999999</v>
      </c>
      <c r="F60" s="955">
        <f>$L$7-D60+B60</f>
        <v>1160.4492694699998</v>
      </c>
      <c r="G60" s="956">
        <f>$M$7-E60+C60</f>
        <v>1035.3137877500001</v>
      </c>
      <c r="H60" s="955">
        <f t="shared" si="18"/>
        <v>125.13548171999969</v>
      </c>
      <c r="I60" s="956">
        <f t="shared" si="19"/>
        <v>10.783365116611392</v>
      </c>
      <c r="P60" s="941" t="s">
        <v>397</v>
      </c>
      <c r="Q60" s="949"/>
      <c r="R60" s="950"/>
      <c r="S60" s="949"/>
      <c r="T60" s="950"/>
      <c r="U60" s="955">
        <f>$AA$7-S60+Q60</f>
        <v>1122.133141</v>
      </c>
      <c r="V60" s="956">
        <f>$AB$7-T60+R60</f>
        <v>965.20939161000001</v>
      </c>
      <c r="W60" s="955">
        <f t="shared" si="20"/>
        <v>156.92374939000001</v>
      </c>
      <c r="X60" s="956">
        <f t="shared" si="21"/>
        <v>13.984414474217905</v>
      </c>
    </row>
    <row r="61" spans="1:24">
      <c r="A61" s="941" t="s">
        <v>399</v>
      </c>
      <c r="B61" s="949">
        <v>600.37617379999983</v>
      </c>
      <c r="C61" s="950">
        <v>544.06370261999996</v>
      </c>
      <c r="D61" s="949">
        <v>588.4260680000001</v>
      </c>
      <c r="E61" s="950">
        <v>526.9030563</v>
      </c>
      <c r="F61" s="955">
        <f>$L$8-D61+B61</f>
        <v>2032.3569048399995</v>
      </c>
      <c r="G61" s="956">
        <f>$M$8-E61+C61</f>
        <v>1819.0987246399998</v>
      </c>
      <c r="H61" s="955">
        <f t="shared" si="18"/>
        <v>213.25818019999974</v>
      </c>
      <c r="I61" s="956">
        <f t="shared" si="19"/>
        <v>10.493146144367238</v>
      </c>
      <c r="P61" s="941" t="s">
        <v>399</v>
      </c>
      <c r="Q61" s="949"/>
      <c r="R61" s="950"/>
      <c r="S61" s="949"/>
      <c r="T61" s="950"/>
      <c r="U61" s="955">
        <f>$AA$8-S61+Q61</f>
        <v>1886.7755155384616</v>
      </c>
      <c r="V61" s="956">
        <f>$AB$8-T61+R61</f>
        <v>1659.9203950400001</v>
      </c>
      <c r="W61" s="955">
        <f t="shared" si="20"/>
        <v>226.85512049846147</v>
      </c>
      <c r="X61" s="956">
        <f t="shared" si="21"/>
        <v>12.023429317913315</v>
      </c>
    </row>
    <row r="62" spans="1:24">
      <c r="A62" s="941" t="s">
        <v>883</v>
      </c>
      <c r="B62" s="949">
        <v>313.94840899999997</v>
      </c>
      <c r="C62" s="950">
        <v>293.10001</v>
      </c>
      <c r="D62" s="949">
        <v>303.90431599999999</v>
      </c>
      <c r="E62" s="950">
        <v>277.17893041999997</v>
      </c>
      <c r="F62" s="955">
        <f>$L$9-D62+B62</f>
        <v>1182.9917310000001</v>
      </c>
      <c r="G62" s="956">
        <f>$M$9-E62+C62</f>
        <v>1092.1426752500001</v>
      </c>
      <c r="H62" s="955">
        <f t="shared" si="18"/>
        <v>90.849055749999934</v>
      </c>
      <c r="I62" s="956">
        <f t="shared" si="19"/>
        <v>7.679601925298658</v>
      </c>
      <c r="P62" s="941" t="s">
        <v>883</v>
      </c>
      <c r="Q62" s="949"/>
      <c r="R62" s="950"/>
      <c r="S62" s="949"/>
      <c r="T62" s="950"/>
      <c r="U62" s="955">
        <f>$AA$9-S62+Q62</f>
        <v>1115.8376050000002</v>
      </c>
      <c r="V62" s="956">
        <f>$AB$9-T62+R62</f>
        <v>1019.3226274000002</v>
      </c>
      <c r="W62" s="955">
        <f t="shared" si="20"/>
        <v>96.514977599999952</v>
      </c>
      <c r="X62" s="956">
        <f t="shared" si="21"/>
        <v>8.6495541257547011</v>
      </c>
    </row>
    <row r="63" spans="1:24">
      <c r="A63" s="941" t="s">
        <v>884</v>
      </c>
      <c r="B63" s="949">
        <v>374.58304500000014</v>
      </c>
      <c r="C63" s="950">
        <v>358.11331411000003</v>
      </c>
      <c r="D63" s="949">
        <v>369.082899</v>
      </c>
      <c r="E63" s="950">
        <v>342.05889458000001</v>
      </c>
      <c r="F63" s="955">
        <f>$L$10-D63+B63</f>
        <v>1445.0092790000001</v>
      </c>
      <c r="G63" s="956">
        <f>$M$10-E63+C63</f>
        <v>1336.1631318099999</v>
      </c>
      <c r="H63" s="955">
        <f t="shared" si="18"/>
        <v>108.84614719000024</v>
      </c>
      <c r="I63" s="956">
        <f t="shared" si="19"/>
        <v>7.5325569719057999</v>
      </c>
      <c r="P63" s="941" t="s">
        <v>884</v>
      </c>
      <c r="Q63" s="949"/>
      <c r="R63" s="950"/>
      <c r="S63" s="949"/>
      <c r="T63" s="950"/>
      <c r="U63" s="955">
        <f>$AA$10-S63+Q63</f>
        <v>1377.165158</v>
      </c>
      <c r="V63" s="956">
        <f>$AB$10-T63+R63</f>
        <v>1250.0898318520001</v>
      </c>
      <c r="W63" s="955">
        <f t="shared" si="20"/>
        <v>127.07532614799993</v>
      </c>
      <c r="X63" s="956">
        <f t="shared" si="21"/>
        <v>9.2273120191732243</v>
      </c>
    </row>
    <row r="64" spans="1:24" ht="14.4" thickBot="1">
      <c r="A64" s="941" t="s">
        <v>885</v>
      </c>
      <c r="B64" s="949">
        <v>89.259703000000002</v>
      </c>
      <c r="C64" s="950">
        <v>84.961388460000009</v>
      </c>
      <c r="D64" s="949">
        <v>89.135700999999983</v>
      </c>
      <c r="E64" s="950">
        <v>84.324131719999997</v>
      </c>
      <c r="F64" s="955">
        <f>$L$11-D64+B64</f>
        <v>290.55982600000004</v>
      </c>
      <c r="G64" s="956">
        <f>$M$11-E64+C64</f>
        <v>266.98319657000002</v>
      </c>
      <c r="H64" s="955">
        <f t="shared" si="18"/>
        <v>23.576629430000025</v>
      </c>
      <c r="I64" s="956">
        <f t="shared" si="19"/>
        <v>8.1142082697970856</v>
      </c>
      <c r="P64" s="941" t="s">
        <v>885</v>
      </c>
      <c r="Q64" s="949"/>
      <c r="R64" s="950"/>
      <c r="S64" s="949"/>
      <c r="T64" s="950"/>
      <c r="U64" s="955">
        <f>$AA$11-S64+Q64</f>
        <v>290.593999</v>
      </c>
      <c r="V64" s="956">
        <f>$AB$11-T64+R64</f>
        <v>265.04829051000002</v>
      </c>
      <c r="W64" s="955">
        <f t="shared" si="20"/>
        <v>25.545708489999981</v>
      </c>
      <c r="X64" s="956">
        <f t="shared" si="21"/>
        <v>8.7908589227267484</v>
      </c>
    </row>
    <row r="65" spans="1:24" ht="14.4" thickBot="1">
      <c r="A65" s="941" t="s">
        <v>16</v>
      </c>
      <c r="B65" s="945">
        <f t="shared" ref="B65:H65" si="22">SUM(B55:B64)</f>
        <v>4082.3666770099999</v>
      </c>
      <c r="C65" s="945">
        <f t="shared" si="22"/>
        <v>3726.2215795754205</v>
      </c>
      <c r="D65" s="945">
        <f t="shared" si="22"/>
        <v>3955.8700422600009</v>
      </c>
      <c r="E65" s="945">
        <f t="shared" si="22"/>
        <v>3568.5163314700003</v>
      </c>
      <c r="F65" s="945">
        <f t="shared" si="22"/>
        <v>14165.550757789999</v>
      </c>
      <c r="G65" s="946">
        <f t="shared" si="22"/>
        <v>12914.701401587809</v>
      </c>
      <c r="H65" s="946">
        <f t="shared" si="22"/>
        <v>1250.8493562021904</v>
      </c>
      <c r="I65" s="1361">
        <f>(H65/F65)*100</f>
        <v>8.8302204241110509</v>
      </c>
      <c r="P65" s="941" t="s">
        <v>16</v>
      </c>
      <c r="Q65" s="945">
        <f t="shared" ref="Q65:W65" si="23">SUM(Q55:Q64)</f>
        <v>0</v>
      </c>
      <c r="R65" s="945">
        <f t="shared" si="23"/>
        <v>0</v>
      </c>
      <c r="S65" s="945">
        <f t="shared" si="23"/>
        <v>0</v>
      </c>
      <c r="T65" s="945">
        <f t="shared" si="23"/>
        <v>0</v>
      </c>
      <c r="U65" s="945">
        <f t="shared" si="23"/>
        <v>13238.823112920001</v>
      </c>
      <c r="V65" s="946">
        <f t="shared" si="23"/>
        <v>11907.420439472</v>
      </c>
      <c r="W65" s="946">
        <f t="shared" si="23"/>
        <v>1331.4026734480003</v>
      </c>
      <c r="X65" s="1361">
        <f>(W65/U65)*100</f>
        <v>10.056805367757054</v>
      </c>
    </row>
    <row r="66" spans="1:24">
      <c r="P66" s="117"/>
      <c r="Q66" s="117"/>
      <c r="R66" s="117"/>
      <c r="S66" s="117"/>
      <c r="T66" s="117"/>
      <c r="U66" s="117"/>
      <c r="V66" s="117"/>
      <c r="W66" s="117"/>
      <c r="X66" s="117"/>
    </row>
    <row r="67" spans="1:24">
      <c r="P67" s="117"/>
      <c r="Q67" s="117"/>
      <c r="R67" s="117"/>
      <c r="S67" s="117"/>
      <c r="T67" s="117"/>
      <c r="U67" s="117"/>
      <c r="V67" s="117"/>
      <c r="W67" s="117"/>
      <c r="X67" s="117"/>
    </row>
    <row r="68" spans="1:24">
      <c r="B68" s="116" t="s">
        <v>528</v>
      </c>
      <c r="P68" s="117"/>
      <c r="Q68" s="116" t="s">
        <v>528</v>
      </c>
      <c r="R68" s="117"/>
      <c r="S68" s="117"/>
      <c r="T68" s="117"/>
      <c r="U68" s="117"/>
      <c r="V68" s="117"/>
      <c r="W68" s="117"/>
      <c r="X68" s="117"/>
    </row>
    <row r="69" spans="1:24">
      <c r="H69" s="430"/>
      <c r="I69" s="430"/>
      <c r="P69" s="117"/>
      <c r="Q69" s="117"/>
      <c r="R69" s="117"/>
      <c r="S69" s="117"/>
      <c r="T69" s="117"/>
      <c r="U69" s="117"/>
      <c r="V69" s="117"/>
      <c r="W69" s="430"/>
      <c r="X69" s="430"/>
    </row>
    <row r="70" spans="1:24">
      <c r="B70" s="3411" t="str">
        <f>B53</f>
        <v>année (n) au mois</v>
      </c>
      <c r="C70" s="3411"/>
      <c r="D70" s="3411" t="str">
        <f>D53</f>
        <v>année (n-1) au mois</v>
      </c>
      <c r="E70" s="3411"/>
      <c r="F70" s="3412" t="s">
        <v>521</v>
      </c>
      <c r="G70" s="3412"/>
      <c r="H70" s="3412"/>
      <c r="I70" s="3412"/>
      <c r="P70" s="117"/>
      <c r="Q70" s="3411" t="str">
        <f>Q53</f>
        <v>année (n) au mois</v>
      </c>
      <c r="R70" s="3411"/>
      <c r="S70" s="3411" t="str">
        <f>S53</f>
        <v>année (n-1) au mois</v>
      </c>
      <c r="T70" s="3411"/>
      <c r="U70" s="3412" t="s">
        <v>521</v>
      </c>
      <c r="V70" s="3412"/>
      <c r="W70" s="3412"/>
      <c r="X70" s="3412"/>
    </row>
    <row r="71" spans="1:24">
      <c r="A71" s="430"/>
      <c r="B71" s="951" t="s">
        <v>522</v>
      </c>
      <c r="C71" s="951" t="s">
        <v>466</v>
      </c>
      <c r="D71" s="951" t="s">
        <v>522</v>
      </c>
      <c r="E71" s="951" t="s">
        <v>466</v>
      </c>
      <c r="F71" s="952" t="s">
        <v>522</v>
      </c>
      <c r="G71" s="952" t="s">
        <v>466</v>
      </c>
      <c r="H71" s="952" t="s">
        <v>523</v>
      </c>
      <c r="I71" s="952" t="s">
        <v>524</v>
      </c>
      <c r="P71" s="430"/>
      <c r="Q71" s="951" t="s">
        <v>522</v>
      </c>
      <c r="R71" s="951" t="s">
        <v>466</v>
      </c>
      <c r="S71" s="951" t="s">
        <v>522</v>
      </c>
      <c r="T71" s="951" t="s">
        <v>466</v>
      </c>
      <c r="U71" s="952" t="s">
        <v>522</v>
      </c>
      <c r="V71" s="952" t="s">
        <v>466</v>
      </c>
      <c r="W71" s="952" t="s">
        <v>523</v>
      </c>
      <c r="X71" s="952" t="s">
        <v>524</v>
      </c>
    </row>
    <row r="72" spans="1:24">
      <c r="A72" s="941" t="s">
        <v>68</v>
      </c>
      <c r="B72" s="947">
        <v>950.83415595000008</v>
      </c>
      <c r="C72" s="948">
        <v>874.51900583999998</v>
      </c>
      <c r="D72" s="947">
        <v>904.20016937000059</v>
      </c>
      <c r="E72" s="948">
        <v>825.32168228</v>
      </c>
      <c r="F72" s="953">
        <f>$L$2-D72+B72</f>
        <v>2732.110115</v>
      </c>
      <c r="G72" s="954">
        <f>$M$2-E72+C72</f>
        <v>2478.4941191300004</v>
      </c>
      <c r="H72" s="953">
        <f>F72-G72</f>
        <v>253.61599586999955</v>
      </c>
      <c r="I72" s="1395">
        <f>(H72/F72)*100</f>
        <v>9.2827882184389754</v>
      </c>
      <c r="P72" s="941" t="s">
        <v>68</v>
      </c>
      <c r="Q72" s="947">
        <v>904.20016937000059</v>
      </c>
      <c r="R72" s="948">
        <v>825.32168228</v>
      </c>
      <c r="S72" s="947">
        <v>859.28197433000014</v>
      </c>
      <c r="T72" s="948">
        <v>774.47835944999997</v>
      </c>
      <c r="U72" s="953">
        <f>$AA$2-S72+Q72</f>
        <v>2570.3004582500007</v>
      </c>
      <c r="V72" s="954">
        <f>$AB$2-T72+R72</f>
        <v>2329.9612368099997</v>
      </c>
      <c r="W72" s="953">
        <f>U72-V72</f>
        <v>240.33922144000098</v>
      </c>
      <c r="X72" s="1395">
        <f>(W72/U72)*100</f>
        <v>9.3506274983756921</v>
      </c>
    </row>
    <row r="73" spans="1:24">
      <c r="A73" s="941" t="s">
        <v>7</v>
      </c>
      <c r="B73" s="949">
        <v>396.63285730000007</v>
      </c>
      <c r="C73" s="950">
        <v>367.82663994024119</v>
      </c>
      <c r="D73" s="949">
        <v>373.63382309999997</v>
      </c>
      <c r="E73" s="950">
        <v>344.34589428999999</v>
      </c>
      <c r="F73" s="955">
        <f>$L$3-D73+B73</f>
        <v>1111.036805</v>
      </c>
      <c r="G73" s="956">
        <f>$M$3-E73+C73</f>
        <v>1024.9784386626288</v>
      </c>
      <c r="H73" s="955">
        <f t="shared" ref="H73:H81" si="24">F73-G73</f>
        <v>86.058366337371126</v>
      </c>
      <c r="I73" s="1396">
        <f t="shared" ref="I73:I82" si="25">(H73/F73)*100</f>
        <v>7.7457709726700834</v>
      </c>
      <c r="P73" s="941" t="s">
        <v>7</v>
      </c>
      <c r="Q73" s="949">
        <v>373.63382309999997</v>
      </c>
      <c r="R73" s="950">
        <v>344.34589428999999</v>
      </c>
      <c r="S73" s="949">
        <v>361.72884169999992</v>
      </c>
      <c r="T73" s="950">
        <v>329.97864679399999</v>
      </c>
      <c r="U73" s="955">
        <f>$AA$3-S73+Q73</f>
        <v>1040.7069709615387</v>
      </c>
      <c r="V73" s="956">
        <f>$AB$3-T73+R73</f>
        <v>953.1110115859999</v>
      </c>
      <c r="W73" s="955">
        <f t="shared" ref="W73:W81" si="26">U73-V73</f>
        <v>87.595959375538769</v>
      </c>
      <c r="X73" s="1396">
        <f t="shared" ref="X73:X82" si="27">(W73/U73)*100</f>
        <v>8.4169667177886183</v>
      </c>
    </row>
    <row r="74" spans="1:24">
      <c r="A74" s="941" t="s">
        <v>8</v>
      </c>
      <c r="B74" s="949">
        <v>356.52534799999995</v>
      </c>
      <c r="C74" s="950">
        <v>332.89402544999996</v>
      </c>
      <c r="D74" s="949">
        <v>348.04312600000003</v>
      </c>
      <c r="E74" s="950">
        <v>314.29050867999996</v>
      </c>
      <c r="F74" s="955">
        <f>$L$4-D74+B74</f>
        <v>958.43138900000008</v>
      </c>
      <c r="G74" s="956">
        <f>$M$4-E74+C74</f>
        <v>904.32615711999995</v>
      </c>
      <c r="H74" s="955">
        <f t="shared" si="24"/>
        <v>54.105231880000133</v>
      </c>
      <c r="I74" s="1396">
        <f t="shared" si="25"/>
        <v>5.6451857170967648</v>
      </c>
      <c r="P74" s="941" t="s">
        <v>8</v>
      </c>
      <c r="Q74" s="949">
        <v>348.04312600000003</v>
      </c>
      <c r="R74" s="950">
        <v>314.29050867999996</v>
      </c>
      <c r="S74" s="949">
        <v>335.65839000000005</v>
      </c>
      <c r="T74" s="950">
        <v>301.76421816999999</v>
      </c>
      <c r="U74" s="955">
        <f>$AA$4-S74+Q74</f>
        <v>913.76918899999998</v>
      </c>
      <c r="V74" s="956">
        <f>$AB$4-T74+R74</f>
        <v>845.1843386999999</v>
      </c>
      <c r="W74" s="955">
        <f t="shared" si="26"/>
        <v>68.584850300000085</v>
      </c>
      <c r="X74" s="1396">
        <f t="shared" si="27"/>
        <v>7.5057083479753972</v>
      </c>
    </row>
    <row r="75" spans="1:24">
      <c r="A75" s="941" t="s">
        <v>4</v>
      </c>
      <c r="B75" s="949">
        <v>650.76910499999985</v>
      </c>
      <c r="C75" s="950">
        <v>609.88974445999997</v>
      </c>
      <c r="D75" s="949">
        <v>637.07255599999996</v>
      </c>
      <c r="E75" s="950">
        <v>593.25722458999996</v>
      </c>
      <c r="F75" s="955">
        <f>$L$5-D75+B75</f>
        <v>1811.703614</v>
      </c>
      <c r="G75" s="956">
        <f>$M$5-E75+C75</f>
        <v>1662.0920108500002</v>
      </c>
      <c r="H75" s="955">
        <f t="shared" si="24"/>
        <v>149.61160314999984</v>
      </c>
      <c r="I75" s="1396">
        <f t="shared" si="25"/>
        <v>8.2580617488352512</v>
      </c>
      <c r="P75" s="941" t="s">
        <v>4</v>
      </c>
      <c r="Q75" s="949">
        <v>637.07255599999996</v>
      </c>
      <c r="R75" s="950">
        <v>593.25722458999996</v>
      </c>
      <c r="S75" s="949">
        <v>631.45690100000013</v>
      </c>
      <c r="T75" s="950">
        <v>584.23416110000005</v>
      </c>
      <c r="U75" s="955">
        <f>$AA$5-S75+Q75</f>
        <v>1722.1611790000002</v>
      </c>
      <c r="V75" s="956">
        <f>$AB$5-T75+R75</f>
        <v>1572.5412064300001</v>
      </c>
      <c r="W75" s="955">
        <f t="shared" si="26"/>
        <v>149.61997257000007</v>
      </c>
      <c r="X75" s="1396">
        <f t="shared" si="27"/>
        <v>8.6879192490495729</v>
      </c>
    </row>
    <row r="76" spans="1:24">
      <c r="A76" s="941" t="s">
        <v>3</v>
      </c>
      <c r="B76" s="949">
        <v>606.55936415999997</v>
      </c>
      <c r="C76" s="950">
        <v>524.92003440999997</v>
      </c>
      <c r="D76" s="949">
        <v>536.76162799999997</v>
      </c>
      <c r="E76" s="950">
        <v>460.14979798000002</v>
      </c>
      <c r="F76" s="955">
        <f>$L$6-D76+B76</f>
        <v>1495.7786581599998</v>
      </c>
      <c r="G76" s="956">
        <f>$M$6-E76+C76</f>
        <v>1353.55067706</v>
      </c>
      <c r="H76" s="955">
        <f t="shared" si="24"/>
        <v>142.22798109999985</v>
      </c>
      <c r="I76" s="1396">
        <f t="shared" si="25"/>
        <v>9.5086248439296881</v>
      </c>
      <c r="P76" s="941" t="s">
        <v>3</v>
      </c>
      <c r="Q76" s="949">
        <v>536.76162799999997</v>
      </c>
      <c r="R76" s="950">
        <v>460.14979798000002</v>
      </c>
      <c r="S76" s="949">
        <v>466.75875300000001</v>
      </c>
      <c r="T76" s="950">
        <v>395.93982675000001</v>
      </c>
      <c r="U76" s="955">
        <f>$AA$6-S76+Q76</f>
        <v>1344.20633961</v>
      </c>
      <c r="V76" s="956">
        <f>$AB$6-T76+R76</f>
        <v>1198.0020050899998</v>
      </c>
      <c r="W76" s="955">
        <f t="shared" si="26"/>
        <v>146.2043345200002</v>
      </c>
      <c r="X76" s="1396">
        <f t="shared" si="27"/>
        <v>10.876628848694395</v>
      </c>
    </row>
    <row r="77" spans="1:24">
      <c r="A77" s="941" t="s">
        <v>397</v>
      </c>
      <c r="B77" s="949">
        <v>420.52563079999993</v>
      </c>
      <c r="C77" s="950">
        <v>371.54866220999997</v>
      </c>
      <c r="D77" s="949">
        <v>421.24935876000006</v>
      </c>
      <c r="E77" s="950">
        <v>375.47672805000002</v>
      </c>
      <c r="F77" s="955">
        <f>$L$7-D77+B77</f>
        <v>1167.5799478199997</v>
      </c>
      <c r="G77" s="956">
        <f>$M$7-E77+C77</f>
        <v>1037.6967010000001</v>
      </c>
      <c r="H77" s="955">
        <f t="shared" si="24"/>
        <v>129.88324681999961</v>
      </c>
      <c r="I77" s="1396">
        <f t="shared" si="25"/>
        <v>11.124141611245204</v>
      </c>
      <c r="P77" s="941" t="s">
        <v>397</v>
      </c>
      <c r="Q77" s="949">
        <v>421.24935876000006</v>
      </c>
      <c r="R77" s="950">
        <v>375.47672805000002</v>
      </c>
      <c r="S77" s="949">
        <v>413.81962700000008</v>
      </c>
      <c r="T77" s="950">
        <v>362.22443701000003</v>
      </c>
      <c r="U77" s="955">
        <f>$AA$7-S77+Q77</f>
        <v>1129.5628727600001</v>
      </c>
      <c r="V77" s="956">
        <f>$AB$7-T77+R77</f>
        <v>978.46168265000006</v>
      </c>
      <c r="W77" s="955">
        <f t="shared" si="26"/>
        <v>151.10119011000006</v>
      </c>
      <c r="X77" s="1396">
        <f t="shared" si="27"/>
        <v>13.376961455965342</v>
      </c>
    </row>
    <row r="78" spans="1:24">
      <c r="A78" s="941" t="s">
        <v>399</v>
      </c>
      <c r="B78" s="949">
        <v>746.34999210000001</v>
      </c>
      <c r="C78" s="950">
        <v>667.99726585999997</v>
      </c>
      <c r="D78" s="949">
        <v>718.47374196999999</v>
      </c>
      <c r="E78" s="950">
        <v>641.08946122999998</v>
      </c>
      <c r="F78" s="955">
        <f>$L$8-D78+B78</f>
        <v>2048.2830491699997</v>
      </c>
      <c r="G78" s="956">
        <f>$M$8-E78+C78</f>
        <v>1828.84588295</v>
      </c>
      <c r="H78" s="955">
        <f t="shared" si="24"/>
        <v>219.43716621999965</v>
      </c>
      <c r="I78" s="1396">
        <f t="shared" si="25"/>
        <v>10.713224732730149</v>
      </c>
      <c r="P78" s="941" t="s">
        <v>399</v>
      </c>
      <c r="Q78" s="949">
        <v>718.47374196999999</v>
      </c>
      <c r="R78" s="950">
        <v>641.08946122999998</v>
      </c>
      <c r="S78" s="949">
        <v>693.38012800000001</v>
      </c>
      <c r="T78" s="950">
        <v>605.89805688000001</v>
      </c>
      <c r="U78" s="955">
        <f>$AA$8-S78+Q78</f>
        <v>1911.8691295084616</v>
      </c>
      <c r="V78" s="956">
        <f>$AB$8-T78+R78</f>
        <v>1695.1117993900002</v>
      </c>
      <c r="W78" s="955">
        <f t="shared" si="26"/>
        <v>216.75733011846137</v>
      </c>
      <c r="X78" s="1396">
        <f t="shared" si="27"/>
        <v>11.337456459385864</v>
      </c>
    </row>
    <row r="79" spans="1:24">
      <c r="A79" s="941" t="s">
        <v>883</v>
      </c>
      <c r="B79" s="949">
        <v>402.55813799999999</v>
      </c>
      <c r="C79" s="950">
        <v>373.05674268000001</v>
      </c>
      <c r="D79" s="949">
        <v>379.88504699999999</v>
      </c>
      <c r="E79" s="950">
        <v>350.99564842999996</v>
      </c>
      <c r="F79" s="955">
        <f>$L$9-D79+B79</f>
        <v>1195.6207290000002</v>
      </c>
      <c r="G79" s="956">
        <f>$M$9-E79+C79</f>
        <v>1098.2826899199999</v>
      </c>
      <c r="H79" s="955">
        <f t="shared" si="24"/>
        <v>97.338039080000271</v>
      </c>
      <c r="I79" s="1396">
        <f t="shared" si="25"/>
        <v>8.1412137410341145</v>
      </c>
      <c r="P79" s="941" t="s">
        <v>883</v>
      </c>
      <c r="Q79" s="949">
        <v>379.88504699999999</v>
      </c>
      <c r="R79" s="950">
        <v>350.99564842999996</v>
      </c>
      <c r="S79" s="949">
        <v>368.22391300000004</v>
      </c>
      <c r="T79" s="950">
        <v>332.95190438000009</v>
      </c>
      <c r="U79" s="955">
        <f>$AA$9-S79+Q79</f>
        <v>1127.4987390000001</v>
      </c>
      <c r="V79" s="956">
        <f>$AB$9-T79+R79</f>
        <v>1037.3663714500001</v>
      </c>
      <c r="W79" s="955">
        <f t="shared" si="26"/>
        <v>90.132367550000026</v>
      </c>
      <c r="X79" s="1396">
        <f t="shared" si="27"/>
        <v>7.9940104970707218</v>
      </c>
    </row>
    <row r="80" spans="1:24">
      <c r="A80" s="941" t="s">
        <v>884</v>
      </c>
      <c r="B80" s="949">
        <v>478.45443699999998</v>
      </c>
      <c r="C80" s="950">
        <v>457.58249252000002</v>
      </c>
      <c r="D80" s="949">
        <v>462.59579200000002</v>
      </c>
      <c r="E80" s="950">
        <v>431.70230406000002</v>
      </c>
      <c r="F80" s="955">
        <f>$L$10-D80+B80</f>
        <v>1455.3677779999998</v>
      </c>
      <c r="G80" s="956">
        <f>$M$10-E80+C80</f>
        <v>1345.98890074</v>
      </c>
      <c r="H80" s="955">
        <f t="shared" si="24"/>
        <v>109.37887725999985</v>
      </c>
      <c r="I80" s="1396">
        <f t="shared" si="25"/>
        <v>7.5155489157737749</v>
      </c>
      <c r="P80" s="941" t="s">
        <v>884</v>
      </c>
      <c r="Q80" s="949">
        <v>462.59579200000002</v>
      </c>
      <c r="R80" s="950">
        <v>431.70230406000002</v>
      </c>
      <c r="S80" s="949">
        <v>445.25991499999998</v>
      </c>
      <c r="T80" s="950">
        <v>404.75944318999996</v>
      </c>
      <c r="U80" s="955">
        <f>$AA$10-S80+Q80</f>
        <v>1394.501035</v>
      </c>
      <c r="V80" s="956">
        <f>$AB$10-T80+R80</f>
        <v>1277.0326927220001</v>
      </c>
      <c r="W80" s="955">
        <f t="shared" si="26"/>
        <v>117.46834227799991</v>
      </c>
      <c r="X80" s="1396">
        <f t="shared" si="27"/>
        <v>8.4236826886256075</v>
      </c>
    </row>
    <row r="81" spans="1:24" ht="14.4" thickBot="1">
      <c r="A81" s="941" t="s">
        <v>885</v>
      </c>
      <c r="B81" s="949">
        <v>111.53262100000001</v>
      </c>
      <c r="C81" s="950">
        <v>107.15372468000001</v>
      </c>
      <c r="D81" s="949">
        <v>109.92770399999998</v>
      </c>
      <c r="E81" s="950">
        <v>103.98317745</v>
      </c>
      <c r="F81" s="955">
        <f>$L$11-D81+B81</f>
        <v>292.04074100000003</v>
      </c>
      <c r="G81" s="956">
        <f>$M$11-E81+C81</f>
        <v>269.51648706000003</v>
      </c>
      <c r="H81" s="955">
        <f t="shared" si="24"/>
        <v>22.524253939999994</v>
      </c>
      <c r="I81" s="1396">
        <f t="shared" si="25"/>
        <v>7.7127094880231093</v>
      </c>
      <c r="P81" s="941" t="s">
        <v>885</v>
      </c>
      <c r="Q81" s="949">
        <v>109.92770399999998</v>
      </c>
      <c r="R81" s="950">
        <v>103.98317745</v>
      </c>
      <c r="S81" s="949">
        <v>112.68929299999999</v>
      </c>
      <c r="T81" s="950">
        <v>103.26068900999999</v>
      </c>
      <c r="U81" s="955">
        <f>$AA$11-S81+Q81</f>
        <v>287.83240999999998</v>
      </c>
      <c r="V81" s="956">
        <f>$AB$11-T81+R81</f>
        <v>265.77077895000002</v>
      </c>
      <c r="W81" s="955">
        <f t="shared" si="26"/>
        <v>22.06163104999996</v>
      </c>
      <c r="X81" s="1396">
        <f t="shared" si="27"/>
        <v>7.6647487508442715</v>
      </c>
    </row>
    <row r="82" spans="1:24" ht="14.4" thickBot="1">
      <c r="A82" s="941" t="s">
        <v>16</v>
      </c>
      <c r="B82" s="945">
        <f t="shared" ref="B82:H82" si="28">SUM(B72:B81)</f>
        <v>5120.7416493100009</v>
      </c>
      <c r="C82" s="945">
        <f t="shared" si="28"/>
        <v>4687.3883380502411</v>
      </c>
      <c r="D82" s="945">
        <f t="shared" si="28"/>
        <v>4891.8429462000004</v>
      </c>
      <c r="E82" s="945">
        <f t="shared" si="28"/>
        <v>4440.6124270399996</v>
      </c>
      <c r="F82" s="945">
        <f t="shared" si="28"/>
        <v>14267.95282615</v>
      </c>
      <c r="G82" s="946">
        <f t="shared" si="28"/>
        <v>13003.77206449263</v>
      </c>
      <c r="H82" s="946">
        <f t="shared" si="28"/>
        <v>1264.1807616573697</v>
      </c>
      <c r="I82" s="1361">
        <f t="shared" si="25"/>
        <v>8.8602813386122659</v>
      </c>
      <c r="P82" s="941" t="s">
        <v>16</v>
      </c>
      <c r="Q82" s="945">
        <f t="shared" ref="Q82:W82" si="29">SUM(Q72:Q81)</f>
        <v>4891.8429462000004</v>
      </c>
      <c r="R82" s="945">
        <f t="shared" si="29"/>
        <v>4440.6124270399996</v>
      </c>
      <c r="S82" s="945">
        <f t="shared" si="29"/>
        <v>4688.2577360300002</v>
      </c>
      <c r="T82" s="945">
        <f t="shared" si="29"/>
        <v>4195.4897427340002</v>
      </c>
      <c r="U82" s="945">
        <f t="shared" si="29"/>
        <v>13442.40832309</v>
      </c>
      <c r="V82" s="946">
        <f t="shared" si="29"/>
        <v>12152.543123777999</v>
      </c>
      <c r="W82" s="946">
        <f t="shared" si="29"/>
        <v>1289.8651993120013</v>
      </c>
      <c r="X82" s="1361">
        <f t="shared" si="27"/>
        <v>9.5954918814391483</v>
      </c>
    </row>
    <row r="83" spans="1:24">
      <c r="P83" s="117"/>
      <c r="Q83" s="117"/>
      <c r="R83" s="117"/>
      <c r="S83" s="117"/>
      <c r="T83" s="117"/>
      <c r="U83" s="117"/>
      <c r="V83" s="117"/>
      <c r="W83" s="117"/>
      <c r="X83" s="117"/>
    </row>
    <row r="84" spans="1:24">
      <c r="P84" s="117"/>
      <c r="Q84" s="117"/>
      <c r="R84" s="117"/>
      <c r="S84" s="117"/>
      <c r="T84" s="117"/>
      <c r="U84" s="117"/>
      <c r="V84" s="117"/>
      <c r="W84" s="117"/>
      <c r="X84" s="117"/>
    </row>
    <row r="85" spans="1:24">
      <c r="P85" s="117"/>
      <c r="Q85" s="117"/>
      <c r="R85" s="117"/>
      <c r="S85" s="117"/>
      <c r="T85" s="117"/>
      <c r="U85" s="117"/>
      <c r="V85" s="117"/>
      <c r="W85" s="117"/>
      <c r="X85" s="117"/>
    </row>
    <row r="86" spans="1:24">
      <c r="B86" s="943" t="s">
        <v>529</v>
      </c>
      <c r="P86" s="117"/>
      <c r="Q86" s="943" t="s">
        <v>529</v>
      </c>
      <c r="R86" s="117"/>
      <c r="S86" s="117"/>
      <c r="T86" s="117"/>
      <c r="U86" s="117"/>
      <c r="V86" s="117"/>
      <c r="W86" s="117"/>
      <c r="X86" s="117"/>
    </row>
    <row r="87" spans="1:24">
      <c r="H87" s="430"/>
      <c r="I87" s="430"/>
      <c r="P87" s="117"/>
      <c r="Q87" s="117"/>
      <c r="R87" s="117"/>
      <c r="S87" s="117"/>
      <c r="T87" s="117"/>
      <c r="U87" s="117"/>
      <c r="V87" s="117"/>
      <c r="W87" s="430"/>
      <c r="X87" s="430"/>
    </row>
    <row r="88" spans="1:24">
      <c r="B88" s="3411" t="str">
        <f>B70</f>
        <v>année (n) au mois</v>
      </c>
      <c r="C88" s="3411"/>
      <c r="D88" s="3411" t="str">
        <f>D70</f>
        <v>année (n-1) au mois</v>
      </c>
      <c r="E88" s="3411"/>
      <c r="F88" s="3412" t="s">
        <v>521</v>
      </c>
      <c r="G88" s="3412"/>
      <c r="H88" s="3412"/>
      <c r="I88" s="3412"/>
      <c r="P88" s="117"/>
      <c r="Q88" s="3411" t="str">
        <f>Q70</f>
        <v>année (n) au mois</v>
      </c>
      <c r="R88" s="3411"/>
      <c r="S88" s="3411" t="str">
        <f>S70</f>
        <v>année (n-1) au mois</v>
      </c>
      <c r="T88" s="3411"/>
      <c r="U88" s="3412" t="s">
        <v>521</v>
      </c>
      <c r="V88" s="3412"/>
      <c r="W88" s="3412"/>
      <c r="X88" s="3412"/>
    </row>
    <row r="89" spans="1:24">
      <c r="A89" s="430"/>
      <c r="B89" s="951" t="s">
        <v>522</v>
      </c>
      <c r="C89" s="951" t="s">
        <v>466</v>
      </c>
      <c r="D89" s="951" t="s">
        <v>522</v>
      </c>
      <c r="E89" s="951" t="s">
        <v>466</v>
      </c>
      <c r="F89" s="952" t="s">
        <v>522</v>
      </c>
      <c r="G89" s="952" t="s">
        <v>466</v>
      </c>
      <c r="H89" s="952" t="s">
        <v>523</v>
      </c>
      <c r="I89" s="952" t="s">
        <v>524</v>
      </c>
      <c r="P89" s="430"/>
      <c r="Q89" s="951" t="s">
        <v>522</v>
      </c>
      <c r="R89" s="951" t="s">
        <v>466</v>
      </c>
      <c r="S89" s="951" t="s">
        <v>522</v>
      </c>
      <c r="T89" s="951" t="s">
        <v>466</v>
      </c>
      <c r="U89" s="952" t="s">
        <v>522</v>
      </c>
      <c r="V89" s="952" t="s">
        <v>466</v>
      </c>
      <c r="W89" s="952" t="s">
        <v>523</v>
      </c>
      <c r="X89" s="952" t="s">
        <v>524</v>
      </c>
    </row>
    <row r="90" spans="1:24">
      <c r="A90" s="941" t="s">
        <v>68</v>
      </c>
      <c r="B90" s="947">
        <v>1198.2741719999999</v>
      </c>
      <c r="C90" s="948">
        <v>1068.8514916700001</v>
      </c>
      <c r="D90" s="947">
        <v>1113.3679056500002</v>
      </c>
      <c r="E90" s="948">
        <v>993.01756439999997</v>
      </c>
      <c r="F90" s="953">
        <f>$L$2-D90+B90</f>
        <v>2770.3823947700002</v>
      </c>
      <c r="G90" s="954">
        <f>$M$2-E90+C90</f>
        <v>2505.1307228400005</v>
      </c>
      <c r="H90" s="953">
        <f>F90-G90</f>
        <v>265.2516719299997</v>
      </c>
      <c r="I90" s="954">
        <f>(H90/F90)*100</f>
        <v>9.5745508789959359</v>
      </c>
      <c r="P90" s="941" t="s">
        <v>68</v>
      </c>
      <c r="Q90" s="947">
        <v>1113.3679056500002</v>
      </c>
      <c r="R90" s="948">
        <v>993.01756439999997</v>
      </c>
      <c r="S90" s="947">
        <v>1102.2022654300001</v>
      </c>
      <c r="T90" s="948">
        <v>957.62141782000003</v>
      </c>
      <c r="U90" s="953">
        <f>$AA$2-S90+Q90</f>
        <v>2536.5479034300001</v>
      </c>
      <c r="V90" s="954">
        <f>$AB$2-T90+R90</f>
        <v>2314.5140605599995</v>
      </c>
      <c r="W90" s="953">
        <f>U90-V90</f>
        <v>222.03384287000063</v>
      </c>
      <c r="X90" s="954">
        <f>(W90/U90)*100</f>
        <v>8.7533865443565819</v>
      </c>
    </row>
    <row r="91" spans="1:24">
      <c r="A91" s="941" t="s">
        <v>7</v>
      </c>
      <c r="B91" s="949">
        <v>501.3825022000002</v>
      </c>
      <c r="C91" s="950">
        <v>448.5377094082412</v>
      </c>
      <c r="D91" s="949">
        <v>463.72795099999996</v>
      </c>
      <c r="E91" s="950">
        <v>412.69490747999998</v>
      </c>
      <c r="F91" s="955">
        <f>$L$3-D91+B91</f>
        <v>1125.6923220000001</v>
      </c>
      <c r="G91" s="956">
        <f>$M$3-E91+C91</f>
        <v>1037.3404949406288</v>
      </c>
      <c r="H91" s="955">
        <f t="shared" ref="H91:H99" si="30">F91-G91</f>
        <v>88.351827059371317</v>
      </c>
      <c r="I91" s="956">
        <f t="shared" ref="I91:I100" si="31">(H91/F91)*100</f>
        <v>7.8486656906745171</v>
      </c>
      <c r="P91" s="941" t="s">
        <v>7</v>
      </c>
      <c r="Q91" s="949">
        <v>463.72795099999996</v>
      </c>
      <c r="R91" s="950">
        <v>412.69490747999998</v>
      </c>
      <c r="S91" s="949">
        <v>461.83026166153843</v>
      </c>
      <c r="T91" s="950">
        <v>404.20747041400011</v>
      </c>
      <c r="U91" s="955">
        <f>$AA$3-S91+Q91</f>
        <v>1030.6996789000002</v>
      </c>
      <c r="V91" s="956">
        <f>$AB$3-T91+R91</f>
        <v>947.23120115599988</v>
      </c>
      <c r="W91" s="955">
        <f t="shared" ref="W91:W99" si="32">U91-V91</f>
        <v>83.468477744000324</v>
      </c>
      <c r="X91" s="956">
        <f t="shared" ref="X91:X100" si="33">(W91/U91)*100</f>
        <v>8.0982345733415659</v>
      </c>
    </row>
    <row r="92" spans="1:24">
      <c r="A92" s="941" t="s">
        <v>8</v>
      </c>
      <c r="B92" s="949">
        <v>439.97335999999996</v>
      </c>
      <c r="C92" s="950">
        <v>407.08217435999995</v>
      </c>
      <c r="D92" s="949">
        <v>424.07789300000002</v>
      </c>
      <c r="E92" s="950">
        <v>380.83722167999997</v>
      </c>
      <c r="F92" s="955">
        <f>$L$4-D92+B92</f>
        <v>965.84463400000004</v>
      </c>
      <c r="G92" s="956">
        <f>$M$4-E92+C92</f>
        <v>911.96759302999988</v>
      </c>
      <c r="H92" s="955">
        <f t="shared" si="30"/>
        <v>53.877040970000166</v>
      </c>
      <c r="I92" s="956">
        <f t="shared" si="31"/>
        <v>5.5782306049442898</v>
      </c>
      <c r="P92" s="941" t="s">
        <v>8</v>
      </c>
      <c r="Q92" s="949">
        <v>424.07789300000002</v>
      </c>
      <c r="R92" s="950">
        <v>380.83722167999997</v>
      </c>
      <c r="S92" s="949">
        <v>419.57659599999988</v>
      </c>
      <c r="T92" s="950">
        <v>369.24454616999998</v>
      </c>
      <c r="U92" s="955">
        <f>$AA$4-S92+Q92</f>
        <v>905.88575000000014</v>
      </c>
      <c r="V92" s="956">
        <f>$AB$4-T92+R92</f>
        <v>844.25072369999998</v>
      </c>
      <c r="W92" s="955">
        <f t="shared" si="32"/>
        <v>61.635026300000163</v>
      </c>
      <c r="X92" s="956">
        <f t="shared" si="33"/>
        <v>6.8038410252065624</v>
      </c>
    </row>
    <row r="93" spans="1:24">
      <c r="A93" s="941" t="s">
        <v>4</v>
      </c>
      <c r="B93" s="949">
        <v>803.25262399999974</v>
      </c>
      <c r="C93" s="950">
        <v>729.98229935999996</v>
      </c>
      <c r="D93" s="949">
        <v>780.90635899999995</v>
      </c>
      <c r="E93" s="950">
        <v>704.43162791999998</v>
      </c>
      <c r="F93" s="955">
        <f>$L$5-D93+B93</f>
        <v>1820.3533299999999</v>
      </c>
      <c r="G93" s="956">
        <f>$M$5-E93+C93</f>
        <v>1671.0101624200001</v>
      </c>
      <c r="H93" s="955">
        <f t="shared" si="30"/>
        <v>149.34316757999977</v>
      </c>
      <c r="I93" s="956">
        <f t="shared" si="31"/>
        <v>8.2040758307069854</v>
      </c>
      <c r="P93" s="941" t="s">
        <v>4</v>
      </c>
      <c r="Q93" s="949">
        <v>780.90635899999995</v>
      </c>
      <c r="R93" s="950">
        <v>704.43162791999998</v>
      </c>
      <c r="S93" s="949">
        <v>780.60715000000016</v>
      </c>
      <c r="T93" s="950">
        <v>698.53607566000005</v>
      </c>
      <c r="U93" s="955">
        <f>$AA$5-S93+Q93</f>
        <v>1716.8447329999999</v>
      </c>
      <c r="V93" s="956">
        <f>$AB$5-T93+R93</f>
        <v>1569.4136952000001</v>
      </c>
      <c r="W93" s="955">
        <f t="shared" si="32"/>
        <v>147.43103779999979</v>
      </c>
      <c r="X93" s="956">
        <f t="shared" si="33"/>
        <v>8.5873250484556074</v>
      </c>
    </row>
    <row r="94" spans="1:24">
      <c r="A94" s="941" t="s">
        <v>3</v>
      </c>
      <c r="B94" s="949">
        <v>744.34662615999991</v>
      </c>
      <c r="C94" s="950">
        <v>640.17798244999994</v>
      </c>
      <c r="D94" s="949">
        <v>645.85683399999994</v>
      </c>
      <c r="E94" s="950">
        <v>553.63874776</v>
      </c>
      <c r="F94" s="955">
        <f>$L$6-D94+B94</f>
        <v>1524.4707141599999</v>
      </c>
      <c r="G94" s="956">
        <f>$M$6-E94+C94</f>
        <v>1375.31967532</v>
      </c>
      <c r="H94" s="955">
        <f t="shared" si="30"/>
        <v>149.15103883999996</v>
      </c>
      <c r="I94" s="956">
        <f t="shared" si="31"/>
        <v>9.7837916763251052</v>
      </c>
      <c r="P94" s="941" t="s">
        <v>3</v>
      </c>
      <c r="Q94" s="949">
        <v>645.85683399999994</v>
      </c>
      <c r="R94" s="950">
        <v>553.63874776</v>
      </c>
      <c r="S94" s="949">
        <v>593.40834400000006</v>
      </c>
      <c r="T94" s="950">
        <v>485.61811569999998</v>
      </c>
      <c r="U94" s="955">
        <f>$AA$6-S94+Q94</f>
        <v>1326.6519546099998</v>
      </c>
      <c r="V94" s="956">
        <f>$AB$6-T94+R94</f>
        <v>1201.81266592</v>
      </c>
      <c r="W94" s="955">
        <f t="shared" si="32"/>
        <v>124.83928868999988</v>
      </c>
      <c r="X94" s="956">
        <f t="shared" si="33"/>
        <v>9.4101009881449489</v>
      </c>
    </row>
    <row r="95" spans="1:24">
      <c r="A95" s="941" t="s">
        <v>397</v>
      </c>
      <c r="B95" s="949">
        <v>520.75525907000008</v>
      </c>
      <c r="C95" s="950">
        <v>454.90289545999997</v>
      </c>
      <c r="D95" s="949">
        <v>510.32060885999999</v>
      </c>
      <c r="E95" s="950">
        <v>445.66517514000003</v>
      </c>
      <c r="F95" s="955">
        <f>$L$7-D95+B95</f>
        <v>1178.7383259899998</v>
      </c>
      <c r="G95" s="956">
        <f>$M$7-E95+C95</f>
        <v>1050.86248716</v>
      </c>
      <c r="H95" s="955">
        <f t="shared" si="30"/>
        <v>127.87583882999979</v>
      </c>
      <c r="I95" s="956">
        <f t="shared" si="31"/>
        <v>10.84853491317501</v>
      </c>
      <c r="P95" s="941" t="s">
        <v>397</v>
      </c>
      <c r="Q95" s="949">
        <v>510.32060885999999</v>
      </c>
      <c r="R95" s="950">
        <v>445.66517514000003</v>
      </c>
      <c r="S95" s="949">
        <v>511.64857500000016</v>
      </c>
      <c r="T95" s="950">
        <v>444.26880095000001</v>
      </c>
      <c r="U95" s="955">
        <f>$AA$7-S95+Q95</f>
        <v>1120.8051748599999</v>
      </c>
      <c r="V95" s="956">
        <f>$AB$7-T95+R95</f>
        <v>966.60576579999997</v>
      </c>
      <c r="W95" s="955">
        <f t="shared" si="32"/>
        <v>154.19940905999988</v>
      </c>
      <c r="X95" s="956">
        <f t="shared" si="33"/>
        <v>13.757913731908044</v>
      </c>
    </row>
    <row r="96" spans="1:24">
      <c r="A96" s="941" t="s">
        <v>399</v>
      </c>
      <c r="B96" s="949">
        <v>921.20382610000001</v>
      </c>
      <c r="C96" s="950">
        <v>809.13696252</v>
      </c>
      <c r="D96" s="949">
        <v>872.4470769699999</v>
      </c>
      <c r="E96" s="950">
        <v>765.88069101999997</v>
      </c>
      <c r="F96" s="955">
        <f>$L$8-D96+B96</f>
        <v>2069.16354817</v>
      </c>
      <c r="G96" s="956">
        <f>$M$8-E96+C96</f>
        <v>1845.1943498199998</v>
      </c>
      <c r="H96" s="955">
        <f t="shared" si="30"/>
        <v>223.96919835000017</v>
      </c>
      <c r="I96" s="956">
        <f t="shared" si="31"/>
        <v>10.824141888063027</v>
      </c>
      <c r="P96" s="941" t="s">
        <v>399</v>
      </c>
      <c r="Q96" s="949">
        <v>872.4470769699999</v>
      </c>
      <c r="R96" s="950">
        <v>765.88069101999997</v>
      </c>
      <c r="S96" s="949">
        <v>859.57206953846151</v>
      </c>
      <c r="T96" s="950">
        <v>737.83891624</v>
      </c>
      <c r="U96" s="955">
        <f>$AA$8-S96+Q96</f>
        <v>1899.6505229699999</v>
      </c>
      <c r="V96" s="956">
        <f>$AB$8-T96+R96</f>
        <v>1687.9621698200001</v>
      </c>
      <c r="W96" s="955">
        <f t="shared" si="32"/>
        <v>211.68835314999978</v>
      </c>
      <c r="X96" s="956">
        <f t="shared" si="33"/>
        <v>11.143541961551781</v>
      </c>
    </row>
    <row r="97" spans="1:24">
      <c r="A97" s="941" t="s">
        <v>883</v>
      </c>
      <c r="B97" s="949">
        <v>518.40090200000009</v>
      </c>
      <c r="C97" s="950">
        <v>455.80799678000005</v>
      </c>
      <c r="D97" s="949">
        <v>481.14020099999999</v>
      </c>
      <c r="E97" s="950">
        <v>422.13935541999996</v>
      </c>
      <c r="F97" s="955">
        <f>$L$9-D97+B97</f>
        <v>1210.2083390000003</v>
      </c>
      <c r="G97" s="956">
        <f>$M$9-E97+C97</f>
        <v>1109.8902370300002</v>
      </c>
      <c r="H97" s="955">
        <f t="shared" si="30"/>
        <v>100.31810197000004</v>
      </c>
      <c r="I97" s="956">
        <f t="shared" si="31"/>
        <v>8.2893249647323763</v>
      </c>
      <c r="P97" s="941" t="s">
        <v>883</v>
      </c>
      <c r="Q97" s="949">
        <v>481.14020099999999</v>
      </c>
      <c r="R97" s="950">
        <v>422.13935541999996</v>
      </c>
      <c r="S97" s="949">
        <v>482.48368000000005</v>
      </c>
      <c r="T97" s="950">
        <v>404.27837524000006</v>
      </c>
      <c r="U97" s="955">
        <f>$AA$9-S97+Q97</f>
        <v>1114.4941260000001</v>
      </c>
      <c r="V97" s="956">
        <f>$AB$9-T97+R97</f>
        <v>1037.1836075800002</v>
      </c>
      <c r="W97" s="955">
        <f t="shared" si="32"/>
        <v>77.31051841999988</v>
      </c>
      <c r="X97" s="956">
        <f t="shared" si="33"/>
        <v>6.9368260106917674</v>
      </c>
    </row>
    <row r="98" spans="1:24">
      <c r="A98" s="941" t="s">
        <v>884</v>
      </c>
      <c r="B98" s="949">
        <v>619.63579400000003</v>
      </c>
      <c r="C98" s="950">
        <v>556.53778906000002</v>
      </c>
      <c r="D98" s="949">
        <v>589.87701400000003</v>
      </c>
      <c r="E98" s="950">
        <v>516.27313523999999</v>
      </c>
      <c r="F98" s="955">
        <f>$L$10-D98+B98</f>
        <v>1469.2679130000001</v>
      </c>
      <c r="G98" s="956">
        <f>$M$10-E98+C98</f>
        <v>1360.3733661000001</v>
      </c>
      <c r="H98" s="955">
        <f t="shared" si="30"/>
        <v>108.89454690000002</v>
      </c>
      <c r="I98" s="956">
        <f t="shared" si="31"/>
        <v>7.4114833609654971</v>
      </c>
      <c r="P98" s="941" t="s">
        <v>884</v>
      </c>
      <c r="Q98" s="949">
        <v>589.87701400000003</v>
      </c>
      <c r="R98" s="950">
        <v>516.27313523999999</v>
      </c>
      <c r="S98" s="949">
        <v>586.18929700000001</v>
      </c>
      <c r="T98" s="950">
        <v>498.72998087999997</v>
      </c>
      <c r="U98" s="955">
        <f>$AA$10-S98+Q98</f>
        <v>1380.852875</v>
      </c>
      <c r="V98" s="956">
        <f>$AB$10-T98+R98</f>
        <v>1267.6329862120001</v>
      </c>
      <c r="W98" s="955">
        <f t="shared" si="32"/>
        <v>113.21988878799993</v>
      </c>
      <c r="X98" s="956">
        <f t="shared" si="33"/>
        <v>8.1992724089450828</v>
      </c>
    </row>
    <row r="99" spans="1:24" ht="14.4" thickBot="1">
      <c r="A99" s="941" t="s">
        <v>885</v>
      </c>
      <c r="B99" s="949">
        <v>136.230627</v>
      </c>
      <c r="C99" s="950">
        <v>125.11625521000001</v>
      </c>
      <c r="D99" s="949">
        <v>133.46044799999999</v>
      </c>
      <c r="E99" s="950">
        <v>120.52198659999999</v>
      </c>
      <c r="F99" s="955">
        <f>$L$11-D99+B99</f>
        <v>293.20600300000001</v>
      </c>
      <c r="G99" s="956">
        <f>$M$11-E99+C99</f>
        <v>270.94020844000005</v>
      </c>
      <c r="H99" s="955">
        <f t="shared" si="30"/>
        <v>22.265794559999961</v>
      </c>
      <c r="I99" s="956">
        <f t="shared" si="31"/>
        <v>7.5939081506458654</v>
      </c>
      <c r="P99" s="941" t="s">
        <v>885</v>
      </c>
      <c r="Q99" s="949">
        <v>133.46044799999999</v>
      </c>
      <c r="R99" s="950">
        <v>120.52198659999999</v>
      </c>
      <c r="S99" s="949">
        <v>137.65721099999999</v>
      </c>
      <c r="T99" s="950">
        <v>122.43189436999999</v>
      </c>
      <c r="U99" s="955">
        <f>$AA$11-S99+Q99</f>
        <v>286.39723600000002</v>
      </c>
      <c r="V99" s="956">
        <f>$AB$11-T99+R99</f>
        <v>263.13838274</v>
      </c>
      <c r="W99" s="955">
        <f t="shared" si="32"/>
        <v>23.258853260000024</v>
      </c>
      <c r="X99" s="956">
        <f t="shared" si="33"/>
        <v>8.1211863580974022</v>
      </c>
    </row>
    <row r="100" spans="1:24" ht="14.4" thickBot="1">
      <c r="A100" s="941" t="s">
        <v>16</v>
      </c>
      <c r="B100" s="945">
        <f t="shared" ref="B100:H100" si="34">SUM(B90:B99)</f>
        <v>6403.4556925299994</v>
      </c>
      <c r="C100" s="945">
        <f t="shared" si="34"/>
        <v>5696.1335562782424</v>
      </c>
      <c r="D100" s="945">
        <f t="shared" si="34"/>
        <v>6015.1822914800005</v>
      </c>
      <c r="E100" s="945">
        <f t="shared" si="34"/>
        <v>5315.1004126599992</v>
      </c>
      <c r="F100" s="945">
        <f t="shared" si="34"/>
        <v>14427.327524089998</v>
      </c>
      <c r="G100" s="946">
        <f t="shared" si="34"/>
        <v>13138.029297100631</v>
      </c>
      <c r="H100" s="946">
        <f t="shared" si="34"/>
        <v>1289.298226989371</v>
      </c>
      <c r="I100" s="1361">
        <f t="shared" si="31"/>
        <v>8.9365007125302185</v>
      </c>
      <c r="P100" s="941" t="s">
        <v>16</v>
      </c>
      <c r="Q100" s="945">
        <f t="shared" ref="Q100:W100" si="35">SUM(Q90:Q99)</f>
        <v>6015.1822914800005</v>
      </c>
      <c r="R100" s="945">
        <f t="shared" si="35"/>
        <v>5315.1004126599992</v>
      </c>
      <c r="S100" s="945">
        <f t="shared" si="35"/>
        <v>5935.17544963</v>
      </c>
      <c r="T100" s="945">
        <f t="shared" si="35"/>
        <v>5122.7755934440002</v>
      </c>
      <c r="U100" s="945">
        <f t="shared" si="35"/>
        <v>13318.829954770001</v>
      </c>
      <c r="V100" s="946">
        <f t="shared" si="35"/>
        <v>12099.745258687999</v>
      </c>
      <c r="W100" s="946">
        <f t="shared" si="35"/>
        <v>1219.0846960820002</v>
      </c>
      <c r="X100" s="1361">
        <f t="shared" si="33"/>
        <v>9.1530915269730411</v>
      </c>
    </row>
    <row r="101" spans="1:24">
      <c r="P101" s="117"/>
      <c r="Q101" s="117"/>
      <c r="R101" s="117"/>
      <c r="S101" s="117"/>
      <c r="T101" s="117"/>
      <c r="U101" s="117"/>
      <c r="V101" s="117"/>
      <c r="W101" s="117"/>
      <c r="X101" s="117"/>
    </row>
    <row r="102" spans="1:24">
      <c r="H102" s="944"/>
      <c r="P102" s="117"/>
      <c r="Q102" s="117"/>
      <c r="R102" s="117"/>
      <c r="S102" s="117"/>
      <c r="T102" s="117"/>
      <c r="U102" s="117"/>
      <c r="V102" s="117"/>
      <c r="W102" s="944"/>
      <c r="X102" s="117"/>
    </row>
    <row r="103" spans="1:24">
      <c r="B103" s="943" t="s">
        <v>530</v>
      </c>
      <c r="P103" s="117"/>
      <c r="Q103" s="943" t="s">
        <v>530</v>
      </c>
      <c r="R103" s="117"/>
      <c r="S103" s="117"/>
      <c r="T103" s="117"/>
      <c r="U103" s="117"/>
      <c r="V103" s="117"/>
      <c r="W103" s="117"/>
      <c r="X103" s="117"/>
    </row>
    <row r="104" spans="1:24">
      <c r="H104" s="430"/>
      <c r="I104" s="430"/>
      <c r="P104" s="117"/>
      <c r="Q104" s="117"/>
      <c r="R104" s="117"/>
      <c r="S104" s="117"/>
      <c r="T104" s="117"/>
      <c r="U104" s="117"/>
      <c r="V104" s="117"/>
      <c r="W104" s="430"/>
      <c r="X104" s="430"/>
    </row>
    <row r="105" spans="1:24">
      <c r="B105" s="3411" t="str">
        <f>B88</f>
        <v>année (n) au mois</v>
      </c>
      <c r="C105" s="3411"/>
      <c r="D105" s="3411" t="str">
        <f>D88</f>
        <v>année (n-1) au mois</v>
      </c>
      <c r="E105" s="3411"/>
      <c r="F105" s="3412" t="s">
        <v>521</v>
      </c>
      <c r="G105" s="3412"/>
      <c r="H105" s="3412"/>
      <c r="I105" s="3412"/>
      <c r="P105" s="117"/>
      <c r="Q105" s="3411" t="str">
        <f>Q88</f>
        <v>année (n) au mois</v>
      </c>
      <c r="R105" s="3411"/>
      <c r="S105" s="3411" t="str">
        <f>S88</f>
        <v>année (n-1) au mois</v>
      </c>
      <c r="T105" s="3411"/>
      <c r="U105" s="3412" t="s">
        <v>521</v>
      </c>
      <c r="V105" s="3412"/>
      <c r="W105" s="3412"/>
      <c r="X105" s="3412"/>
    </row>
    <row r="106" spans="1:24">
      <c r="A106" s="430"/>
      <c r="B106" s="951" t="s">
        <v>522</v>
      </c>
      <c r="C106" s="951" t="s">
        <v>466</v>
      </c>
      <c r="D106" s="951" t="s">
        <v>522</v>
      </c>
      <c r="E106" s="951" t="s">
        <v>466</v>
      </c>
      <c r="F106" s="952" t="s">
        <v>522</v>
      </c>
      <c r="G106" s="952" t="s">
        <v>466</v>
      </c>
      <c r="H106" s="952" t="s">
        <v>523</v>
      </c>
      <c r="I106" s="952" t="s">
        <v>524</v>
      </c>
      <c r="J106" s="77" t="s">
        <v>991</v>
      </c>
      <c r="P106" s="430"/>
      <c r="Q106" s="951" t="s">
        <v>522</v>
      </c>
      <c r="R106" s="951" t="s">
        <v>466</v>
      </c>
      <c r="S106" s="951" t="s">
        <v>522</v>
      </c>
      <c r="T106" s="951" t="s">
        <v>466</v>
      </c>
      <c r="U106" s="952" t="s">
        <v>522</v>
      </c>
      <c r="V106" s="952" t="s">
        <v>466</v>
      </c>
      <c r="W106" s="952" t="s">
        <v>523</v>
      </c>
      <c r="X106" s="952" t="s">
        <v>524</v>
      </c>
    </row>
    <row r="107" spans="1:24">
      <c r="A107" s="941" t="s">
        <v>68</v>
      </c>
      <c r="B107" s="947">
        <v>1565.5281331900003</v>
      </c>
      <c r="C107" s="948">
        <v>1318.6952281700001</v>
      </c>
      <c r="D107" s="947">
        <v>1500.2559124100003</v>
      </c>
      <c r="E107" s="948">
        <v>1241.30095895</v>
      </c>
      <c r="F107" s="953">
        <f>$L$2-D107+B107</f>
        <v>2750.7483492000001</v>
      </c>
      <c r="G107" s="954">
        <f>$M$2-E107+C107</f>
        <v>2506.6910647900004</v>
      </c>
      <c r="H107" s="953">
        <f>F107-G107</f>
        <v>244.05728440999974</v>
      </c>
      <c r="I107" s="954">
        <f>(H107/F107)*100</f>
        <v>8.8723959238575532</v>
      </c>
      <c r="J107" s="954">
        <v>10.601247346382896</v>
      </c>
      <c r="K107" s="2057">
        <v>10.853999999999992</v>
      </c>
      <c r="L107" s="2058">
        <f>J107-K107</f>
        <v>-0.25275265361709565</v>
      </c>
      <c r="P107" s="941" t="s">
        <v>68</v>
      </c>
      <c r="Q107" s="947"/>
      <c r="R107" s="948"/>
      <c r="S107" s="947"/>
      <c r="T107" s="948"/>
      <c r="U107" s="953">
        <f>$AA$2-S107+Q107</f>
        <v>2525.38226321</v>
      </c>
      <c r="V107" s="954">
        <f>$AB$2-T107+R107</f>
        <v>2279.1179139799997</v>
      </c>
      <c r="W107" s="953">
        <f>U107-V107</f>
        <v>246.26434923000033</v>
      </c>
      <c r="X107" s="954">
        <f>(W107/U107)*100</f>
        <v>9.7515672307357946</v>
      </c>
    </row>
    <row r="108" spans="1:24">
      <c r="A108" s="941" t="s">
        <v>7</v>
      </c>
      <c r="B108" s="949">
        <v>651.28889220000008</v>
      </c>
      <c r="C108" s="950">
        <v>557.26058817824116</v>
      </c>
      <c r="D108" s="949">
        <v>629.44928430000004</v>
      </c>
      <c r="E108" s="950">
        <v>523.056564224</v>
      </c>
      <c r="F108" s="955">
        <f>$L$3-D108+B108</f>
        <v>1109.8773787</v>
      </c>
      <c r="G108" s="956">
        <f>$M$3-E108+C108</f>
        <v>1035.7017169666287</v>
      </c>
      <c r="H108" s="955">
        <f t="shared" ref="H108:H116" si="36">F108-G108</f>
        <v>74.175661733371271</v>
      </c>
      <c r="I108" s="956">
        <f t="shared" ref="I108:I117" si="37">(H108/F108)*100</f>
        <v>6.6832303420989865</v>
      </c>
      <c r="J108" s="956">
        <v>9.0145107552962767</v>
      </c>
      <c r="K108" s="2057">
        <v>8.9400000000000013</v>
      </c>
      <c r="L108" s="2058">
        <f t="shared" ref="L108:L117" si="38">J108-K108</f>
        <v>7.4510755296275377E-2</v>
      </c>
      <c r="P108" s="941" t="s">
        <v>7</v>
      </c>
      <c r="Q108" s="949"/>
      <c r="R108" s="950"/>
      <c r="S108" s="949"/>
      <c r="T108" s="950"/>
      <c r="U108" s="955">
        <f>$AA$3-S108+Q108</f>
        <v>1028.8019895615387</v>
      </c>
      <c r="V108" s="956">
        <f>$AB$3-T108+R108</f>
        <v>938.74376409000001</v>
      </c>
      <c r="W108" s="955">
        <f t="shared" ref="W108:W116" si="39">U108-V108</f>
        <v>90.058225471538663</v>
      </c>
      <c r="X108" s="956">
        <f t="shared" ref="X108:X113" si="40">(W108/U108)*100</f>
        <v>8.7536986111312096</v>
      </c>
    </row>
    <row r="109" spans="1:24">
      <c r="A109" s="941" t="s">
        <v>8</v>
      </c>
      <c r="B109" s="949">
        <v>561.75438999999994</v>
      </c>
      <c r="C109" s="950">
        <v>497.47881137999997</v>
      </c>
      <c r="D109" s="949">
        <v>555.18502899999999</v>
      </c>
      <c r="E109" s="950">
        <v>471.46019834999993</v>
      </c>
      <c r="F109" s="955">
        <f>$L$4-D109+B109</f>
        <v>956.51852800000006</v>
      </c>
      <c r="G109" s="956">
        <f>$M$4-E109+C109</f>
        <v>911.74125337999999</v>
      </c>
      <c r="H109" s="955">
        <f t="shared" si="36"/>
        <v>44.777274620000071</v>
      </c>
      <c r="I109" s="956">
        <f t="shared" si="37"/>
        <v>4.6812762439244739</v>
      </c>
      <c r="J109" s="956">
        <v>8.2802974228584798</v>
      </c>
      <c r="K109" s="2057">
        <v>7.7039999999999944</v>
      </c>
      <c r="L109" s="2058">
        <f t="shared" si="38"/>
        <v>0.5762974228584854</v>
      </c>
      <c r="P109" s="941" t="s">
        <v>8</v>
      </c>
      <c r="Q109" s="949"/>
      <c r="R109" s="950"/>
      <c r="S109" s="949"/>
      <c r="T109" s="950"/>
      <c r="U109" s="955">
        <f>$AA$4-S109+Q109</f>
        <v>901.38445300000001</v>
      </c>
      <c r="V109" s="956">
        <f>$AB$4-T109+R109</f>
        <v>832.65804818999993</v>
      </c>
      <c r="W109" s="955">
        <f t="shared" si="39"/>
        <v>68.726404810000076</v>
      </c>
      <c r="X109" s="956">
        <f t="shared" si="40"/>
        <v>7.6245385175286655</v>
      </c>
    </row>
    <row r="110" spans="1:24">
      <c r="A110" s="941" t="s">
        <v>4</v>
      </c>
      <c r="B110" s="949">
        <v>1030.9263899999999</v>
      </c>
      <c r="C110" s="950">
        <v>885.34026630999995</v>
      </c>
      <c r="D110" s="949">
        <v>1038.838407</v>
      </c>
      <c r="E110" s="950">
        <v>862.34448742999996</v>
      </c>
      <c r="F110" s="955">
        <f>$L$5-D110+B110</f>
        <v>1790.0950480000001</v>
      </c>
      <c r="G110" s="956">
        <f>$M$5-E110+C110</f>
        <v>1668.45526986</v>
      </c>
      <c r="H110" s="955">
        <f t="shared" si="36"/>
        <v>121.63977814000009</v>
      </c>
      <c r="I110" s="956">
        <f t="shared" si="37"/>
        <v>6.7951575127758286</v>
      </c>
      <c r="J110" s="956">
        <v>9.2148878351897068</v>
      </c>
      <c r="K110" s="2057">
        <v>9.2540000000000138</v>
      </c>
      <c r="L110" s="2058">
        <f t="shared" si="38"/>
        <v>-3.9112164810306993E-2</v>
      </c>
      <c r="P110" s="941" t="s">
        <v>4</v>
      </c>
      <c r="Q110" s="949"/>
      <c r="R110" s="950"/>
      <c r="S110" s="949"/>
      <c r="T110" s="950"/>
      <c r="U110" s="955">
        <f>$AA$5-S110+Q110</f>
        <v>1716.5455240000001</v>
      </c>
      <c r="V110" s="956">
        <f>$AB$5-T110+R110</f>
        <v>1563.5181429400002</v>
      </c>
      <c r="W110" s="955">
        <f t="shared" si="39"/>
        <v>153.02738105999993</v>
      </c>
      <c r="X110" s="956">
        <f t="shared" si="40"/>
        <v>8.9148454800899248</v>
      </c>
    </row>
    <row r="111" spans="1:24">
      <c r="A111" s="941" t="s">
        <v>3</v>
      </c>
      <c r="B111" s="949">
        <v>927.36079615999995</v>
      </c>
      <c r="C111" s="950">
        <v>770.42497737999997</v>
      </c>
      <c r="D111" s="949">
        <v>814.04267399999992</v>
      </c>
      <c r="E111" s="950">
        <v>670.66330972000003</v>
      </c>
      <c r="F111" s="955">
        <f>$L$6-D111+B111</f>
        <v>1539.29904416</v>
      </c>
      <c r="G111" s="956">
        <f>$M$6-E111+C111</f>
        <v>1388.5421082899998</v>
      </c>
      <c r="H111" s="955">
        <f t="shared" si="36"/>
        <v>150.75693587000023</v>
      </c>
      <c r="I111" s="956">
        <f t="shared" si="37"/>
        <v>9.7938692576963646</v>
      </c>
      <c r="J111" s="956">
        <v>10.840555434310405</v>
      </c>
      <c r="K111" s="2057">
        <v>11.094000000000008</v>
      </c>
      <c r="L111" s="2058">
        <f t="shared" si="38"/>
        <v>-0.25344456568960361</v>
      </c>
      <c r="P111" s="941" t="s">
        <v>3</v>
      </c>
      <c r="Q111" s="949"/>
      <c r="R111" s="950"/>
      <c r="S111" s="949"/>
      <c r="T111" s="950"/>
      <c r="U111" s="955">
        <f>$AA$6-S111+Q111</f>
        <v>1274.2034646100001</v>
      </c>
      <c r="V111" s="956">
        <f>$AB$6-T111+R111</f>
        <v>1133.7920338599999</v>
      </c>
      <c r="W111" s="955">
        <f t="shared" si="39"/>
        <v>140.41143075000014</v>
      </c>
      <c r="X111" s="956">
        <f t="shared" si="40"/>
        <v>11.019545516066882</v>
      </c>
    </row>
    <row r="112" spans="1:24">
      <c r="A112" s="941" t="s">
        <v>397</v>
      </c>
      <c r="B112" s="949">
        <v>668.96816457999989</v>
      </c>
      <c r="C112" s="950">
        <v>585.14989039</v>
      </c>
      <c r="D112" s="949">
        <v>670.99188080999988</v>
      </c>
      <c r="E112" s="950">
        <v>544.73701057000005</v>
      </c>
      <c r="F112" s="955">
        <f>$L$7-D112+B112</f>
        <v>1166.2799595499998</v>
      </c>
      <c r="G112" s="956">
        <f>$M$7-E112+C112</f>
        <v>1082.0376466600001</v>
      </c>
      <c r="H112" s="955">
        <f t="shared" si="36"/>
        <v>84.242312889999766</v>
      </c>
      <c r="I112" s="956">
        <f t="shared" si="37"/>
        <v>7.2231638896122341</v>
      </c>
      <c r="J112" s="956">
        <v>16.352955885242796</v>
      </c>
      <c r="K112" s="2057">
        <v>12.303999999999988</v>
      </c>
      <c r="L112" s="2058">
        <f t="shared" si="38"/>
        <v>4.0489558852428083</v>
      </c>
      <c r="P112" s="941" t="s">
        <v>397</v>
      </c>
      <c r="Q112" s="949"/>
      <c r="R112" s="950"/>
      <c r="S112" s="949"/>
      <c r="T112" s="950"/>
      <c r="U112" s="955">
        <f>$AA$7-S112+Q112</f>
        <v>1122.133141</v>
      </c>
      <c r="V112" s="956">
        <f>$AB$7-T112+R112</f>
        <v>965.20939161000001</v>
      </c>
      <c r="W112" s="955">
        <f t="shared" si="39"/>
        <v>156.92374939000001</v>
      </c>
      <c r="X112" s="956">
        <f t="shared" si="40"/>
        <v>13.984414474217905</v>
      </c>
    </row>
    <row r="113" spans="1:24">
      <c r="A113" s="941" t="s">
        <v>399</v>
      </c>
      <c r="B113" s="949">
        <v>1173.1311952999999</v>
      </c>
      <c r="C113" s="950">
        <v>982.99736028999996</v>
      </c>
      <c r="D113" s="949">
        <v>1145.00869844</v>
      </c>
      <c r="E113" s="950">
        <v>927.41729983000005</v>
      </c>
      <c r="F113" s="955">
        <f>$L$8-D113+B113</f>
        <v>2048.5292958999999</v>
      </c>
      <c r="G113" s="956">
        <f>$M$8-E113+C113</f>
        <v>1857.5181387799998</v>
      </c>
      <c r="H113" s="955">
        <f t="shared" si="36"/>
        <v>191.01115712000001</v>
      </c>
      <c r="I113" s="956">
        <f t="shared" si="37"/>
        <v>9.3243068333119083</v>
      </c>
      <c r="J113" s="956">
        <v>12.619203110979413</v>
      </c>
      <c r="K113" s="2057">
        <v>12.10490000000002</v>
      </c>
      <c r="L113" s="2058">
        <f t="shared" si="38"/>
        <v>0.51430311097939274</v>
      </c>
      <c r="P113" s="941" t="s">
        <v>399</v>
      </c>
      <c r="Q113" s="949"/>
      <c r="R113" s="950"/>
      <c r="S113" s="949"/>
      <c r="T113" s="950"/>
      <c r="U113" s="955">
        <f>$AA$8-S113+Q113</f>
        <v>1886.7755155384616</v>
      </c>
      <c r="V113" s="956">
        <f>$AB$8-T113+R113</f>
        <v>1659.9203950400001</v>
      </c>
      <c r="W113" s="955">
        <f t="shared" si="39"/>
        <v>226.85512049846147</v>
      </c>
      <c r="X113" s="956">
        <f t="shared" si="40"/>
        <v>12.023429317913315</v>
      </c>
    </row>
    <row r="114" spans="1:24">
      <c r="A114" s="941" t="s">
        <v>883</v>
      </c>
      <c r="B114" s="949">
        <v>699.31930900000009</v>
      </c>
      <c r="C114" s="950">
        <v>585.95822380000004</v>
      </c>
      <c r="D114" s="949">
        <v>669.91397800000004</v>
      </c>
      <c r="E114" s="950">
        <v>543.83221241999991</v>
      </c>
      <c r="F114" s="955">
        <f>$L$9-D114+B114</f>
        <v>1202.352969</v>
      </c>
      <c r="G114" s="956">
        <f>$M$9-E114+C114</f>
        <v>1118.3476070500001</v>
      </c>
      <c r="H114" s="955">
        <f t="shared" si="36"/>
        <v>84.005361949999951</v>
      </c>
      <c r="I114" s="956">
        <f>(H114/F114)*100</f>
        <v>6.986747162928987</v>
      </c>
      <c r="J114" s="956">
        <v>10.323331738295346</v>
      </c>
      <c r="K114" s="2057">
        <v>8.3970043836091754</v>
      </c>
      <c r="L114" s="2058">
        <f t="shared" si="38"/>
        <v>1.9263273546861708</v>
      </c>
      <c r="P114" s="941" t="s">
        <v>883</v>
      </c>
      <c r="Q114" s="949"/>
      <c r="R114" s="950"/>
      <c r="S114" s="949"/>
      <c r="T114" s="950"/>
      <c r="U114" s="955">
        <f>$AA$9-S114+Q114</f>
        <v>1115.8376050000002</v>
      </c>
      <c r="V114" s="956">
        <f>$AB$9-T114+R114</f>
        <v>1019.3226274000002</v>
      </c>
      <c r="W114" s="955">
        <f t="shared" si="39"/>
        <v>96.514977599999952</v>
      </c>
      <c r="X114" s="956">
        <f>(W114/U114)*100</f>
        <v>8.6495541257547011</v>
      </c>
    </row>
    <row r="115" spans="1:24">
      <c r="A115" s="941" t="s">
        <v>884</v>
      </c>
      <c r="B115" s="949">
        <v>844.807999</v>
      </c>
      <c r="C115" s="950">
        <v>713.59419608000007</v>
      </c>
      <c r="D115" s="949">
        <v>822.28219300000001</v>
      </c>
      <c r="E115" s="950">
        <v>673.74651072999995</v>
      </c>
      <c r="F115" s="955">
        <f>$L$10-D115+B115</f>
        <v>1462.0349390000001</v>
      </c>
      <c r="G115" s="956">
        <f>$M$10-E115+C115</f>
        <v>1359.9563976300001</v>
      </c>
      <c r="H115" s="955">
        <f t="shared" si="36"/>
        <v>102.07854137000004</v>
      </c>
      <c r="I115" s="956">
        <f t="shared" si="37"/>
        <v>6.9819495175552735</v>
      </c>
      <c r="J115" s="956">
        <v>10.684556407817695</v>
      </c>
      <c r="K115" s="2057">
        <v>10.40000000000002</v>
      </c>
      <c r="L115" s="2058">
        <f t="shared" si="38"/>
        <v>0.28455640781767499</v>
      </c>
      <c r="P115" s="941" t="s">
        <v>884</v>
      </c>
      <c r="Q115" s="949"/>
      <c r="R115" s="950"/>
      <c r="S115" s="949"/>
      <c r="T115" s="950"/>
      <c r="U115" s="955">
        <f>$AA$10-S115+Q115</f>
        <v>1377.165158</v>
      </c>
      <c r="V115" s="956">
        <f>$AB$10-T115+R115</f>
        <v>1250.0898318520001</v>
      </c>
      <c r="W115" s="955">
        <f t="shared" si="39"/>
        <v>127.07532614799993</v>
      </c>
      <c r="X115" s="956">
        <f>(W115/U115)*100</f>
        <v>9.2273120191732243</v>
      </c>
    </row>
    <row r="116" spans="1:24" ht="14.4" thickBot="1">
      <c r="A116" s="941" t="s">
        <v>885</v>
      </c>
      <c r="B116" s="949">
        <v>170.27780799999999</v>
      </c>
      <c r="C116" s="950">
        <v>152.55989264999999</v>
      </c>
      <c r="D116" s="949">
        <v>169.90589499999999</v>
      </c>
      <c r="E116" s="950">
        <v>149.27446537</v>
      </c>
      <c r="F116" s="955">
        <f>$L$11-D116+B116</f>
        <v>290.80773700000003</v>
      </c>
      <c r="G116" s="956">
        <f>$M$11-E116+C116</f>
        <v>269.63136711000004</v>
      </c>
      <c r="H116" s="955">
        <f t="shared" si="36"/>
        <v>21.176369889999989</v>
      </c>
      <c r="I116" s="956">
        <f t="shared" si="37"/>
        <v>7.2819141981769171</v>
      </c>
      <c r="J116" s="956">
        <v>10.37397871103377</v>
      </c>
      <c r="K116" s="2057">
        <v>9.9999999999999929</v>
      </c>
      <c r="L116" s="2058">
        <f t="shared" si="38"/>
        <v>0.37397871103377689</v>
      </c>
      <c r="P116" s="941" t="s">
        <v>885</v>
      </c>
      <c r="Q116" s="949"/>
      <c r="R116" s="950"/>
      <c r="S116" s="949"/>
      <c r="T116" s="950"/>
      <c r="U116" s="955">
        <f>$AA$11-S116+Q116</f>
        <v>290.593999</v>
      </c>
      <c r="V116" s="956">
        <f>$AB$11-T116+R116</f>
        <v>265.04829051000002</v>
      </c>
      <c r="W116" s="955">
        <f t="shared" si="39"/>
        <v>25.545708489999981</v>
      </c>
      <c r="X116" s="956">
        <f>(W116/U116)*100</f>
        <v>8.7908589227267484</v>
      </c>
    </row>
    <row r="117" spans="1:24" ht="14.4" thickBot="1">
      <c r="A117" s="941" t="s">
        <v>16</v>
      </c>
      <c r="B117" s="945">
        <f t="shared" ref="B117:H117" si="41">SUM(B107:B116)</f>
        <v>8293.36307743</v>
      </c>
      <c r="C117" s="945">
        <f t="shared" si="41"/>
        <v>7049.4594346282411</v>
      </c>
      <c r="D117" s="945">
        <f t="shared" si="41"/>
        <v>8015.8739519600012</v>
      </c>
      <c r="E117" s="945">
        <f t="shared" si="41"/>
        <v>6607.833017594</v>
      </c>
      <c r="F117" s="945">
        <f t="shared" si="41"/>
        <v>14316.543248509999</v>
      </c>
      <c r="G117" s="946">
        <f t="shared" si="41"/>
        <v>13198.622570516627</v>
      </c>
      <c r="H117" s="946">
        <f t="shared" si="41"/>
        <v>1117.9206779933711</v>
      </c>
      <c r="I117" s="1361">
        <f t="shared" si="37"/>
        <v>7.8085935870708125</v>
      </c>
      <c r="J117" s="1361">
        <v>10.916170011404034</v>
      </c>
      <c r="K117" s="2057">
        <v>10.344378420449797</v>
      </c>
      <c r="L117" s="2058">
        <f t="shared" si="38"/>
        <v>0.57179159095423771</v>
      </c>
      <c r="P117" s="941" t="s">
        <v>16</v>
      </c>
      <c r="Q117" s="945">
        <f t="shared" ref="Q117:W117" si="42">SUM(Q107:Q116)</f>
        <v>0</v>
      </c>
      <c r="R117" s="945">
        <f t="shared" si="42"/>
        <v>0</v>
      </c>
      <c r="S117" s="945">
        <f t="shared" si="42"/>
        <v>0</v>
      </c>
      <c r="T117" s="945">
        <f t="shared" si="42"/>
        <v>0</v>
      </c>
      <c r="U117" s="945">
        <f t="shared" si="42"/>
        <v>13238.823112920001</v>
      </c>
      <c r="V117" s="946">
        <f t="shared" si="42"/>
        <v>11907.420439472</v>
      </c>
      <c r="W117" s="946">
        <f t="shared" si="42"/>
        <v>1331.4026734480003</v>
      </c>
      <c r="X117" s="1361">
        <f>(W117/U117)*100</f>
        <v>10.056805367757054</v>
      </c>
    </row>
    <row r="118" spans="1:24">
      <c r="D118" s="944">
        <f>B117-D117</f>
        <v>277.48912546999873</v>
      </c>
      <c r="P118" s="117"/>
      <c r="Q118" s="117"/>
      <c r="R118" s="117"/>
      <c r="S118" s="117"/>
      <c r="T118" s="117"/>
      <c r="U118" s="117"/>
      <c r="V118" s="117"/>
      <c r="W118" s="117"/>
      <c r="X118" s="117"/>
    </row>
    <row r="119" spans="1:24">
      <c r="F119" s="944"/>
      <c r="G119" s="944"/>
      <c r="H119" s="944"/>
      <c r="P119" s="117"/>
      <c r="Q119" s="117"/>
      <c r="R119" s="117"/>
      <c r="S119" s="117"/>
      <c r="T119" s="117"/>
      <c r="U119" s="944"/>
      <c r="V119" s="944"/>
      <c r="W119" s="944"/>
      <c r="X119" s="117"/>
    </row>
    <row r="120" spans="1:24">
      <c r="B120" s="943" t="s">
        <v>536</v>
      </c>
      <c r="P120" s="117"/>
      <c r="Q120" s="943" t="s">
        <v>536</v>
      </c>
      <c r="R120" s="117"/>
      <c r="S120" s="117"/>
      <c r="T120" s="117"/>
      <c r="U120" s="117"/>
      <c r="V120" s="117"/>
      <c r="W120" s="117"/>
      <c r="X120" s="117"/>
    </row>
    <row r="121" spans="1:24">
      <c r="H121" s="430"/>
      <c r="I121" s="430"/>
      <c r="P121" s="117"/>
      <c r="Q121" s="117"/>
      <c r="R121" s="117"/>
      <c r="S121" s="117"/>
      <c r="T121" s="117"/>
      <c r="U121" s="117"/>
      <c r="V121" s="117"/>
      <c r="W121" s="430"/>
      <c r="X121" s="430"/>
    </row>
    <row r="122" spans="1:24">
      <c r="B122" s="3411" t="str">
        <f>B105</f>
        <v>année (n) au mois</v>
      </c>
      <c r="C122" s="3411"/>
      <c r="D122" s="3411" t="str">
        <f>D105</f>
        <v>année (n-1) au mois</v>
      </c>
      <c r="E122" s="3411"/>
      <c r="F122" s="3412" t="s">
        <v>521</v>
      </c>
      <c r="G122" s="3412"/>
      <c r="H122" s="3412"/>
      <c r="I122" s="3412"/>
      <c r="P122" s="117"/>
      <c r="Q122" s="3411" t="str">
        <f>Q105</f>
        <v>année (n) au mois</v>
      </c>
      <c r="R122" s="3411"/>
      <c r="S122" s="3411" t="str">
        <f>S105</f>
        <v>année (n-1) au mois</v>
      </c>
      <c r="T122" s="3411"/>
      <c r="U122" s="3412" t="s">
        <v>521</v>
      </c>
      <c r="V122" s="3412"/>
      <c r="W122" s="3412"/>
      <c r="X122" s="3412"/>
    </row>
    <row r="123" spans="1:24">
      <c r="A123" s="430"/>
      <c r="B123" s="951" t="s">
        <v>522</v>
      </c>
      <c r="C123" s="951" t="s">
        <v>466</v>
      </c>
      <c r="D123" s="951" t="s">
        <v>522</v>
      </c>
      <c r="E123" s="951" t="s">
        <v>466</v>
      </c>
      <c r="F123" s="952" t="s">
        <v>522</v>
      </c>
      <c r="G123" s="952" t="s">
        <v>466</v>
      </c>
      <c r="H123" s="952" t="s">
        <v>523</v>
      </c>
      <c r="I123" s="952" t="s">
        <v>524</v>
      </c>
      <c r="P123" s="430"/>
      <c r="Q123" s="951" t="s">
        <v>522</v>
      </c>
      <c r="R123" s="951" t="s">
        <v>466</v>
      </c>
      <c r="S123" s="951" t="s">
        <v>522</v>
      </c>
      <c r="T123" s="951" t="s">
        <v>466</v>
      </c>
      <c r="U123" s="952" t="s">
        <v>522</v>
      </c>
      <c r="V123" s="952" t="s">
        <v>466</v>
      </c>
      <c r="W123" s="952" t="s">
        <v>523</v>
      </c>
      <c r="X123" s="952" t="s">
        <v>524</v>
      </c>
    </row>
    <row r="124" spans="1:24">
      <c r="A124" s="941" t="s">
        <v>68</v>
      </c>
      <c r="B124" s="1078">
        <v>1955.9128814300002</v>
      </c>
      <c r="C124" s="1079">
        <v>1621.8699291100002</v>
      </c>
      <c r="D124" s="1078">
        <v>1829.8415790600002</v>
      </c>
      <c r="E124" s="1079">
        <v>1523.81527185</v>
      </c>
      <c r="F124" s="953">
        <f>$L$2-D124+B124</f>
        <v>2811.5474307900004</v>
      </c>
      <c r="G124" s="954">
        <f>$M$2-E124+C124</f>
        <v>2527.3514528300007</v>
      </c>
      <c r="H124" s="953">
        <f>F124-G124</f>
        <v>284.19597795999971</v>
      </c>
      <c r="I124" s="1395">
        <f>(H124/F124)*100</f>
        <v>10.108169431811618</v>
      </c>
      <c r="P124" s="941" t="s">
        <v>68</v>
      </c>
      <c r="Q124" s="1078">
        <v>1829.8415790600002</v>
      </c>
      <c r="R124" s="1079">
        <v>1523.81527185</v>
      </c>
      <c r="S124" s="1078">
        <v>1725.81117135</v>
      </c>
      <c r="T124" s="1079">
        <v>1432.28166627</v>
      </c>
      <c r="U124" s="953">
        <f>$AA$2-S124+Q124</f>
        <v>2629.41267092</v>
      </c>
      <c r="V124" s="954">
        <f>$AB$2-T124+R124</f>
        <v>2370.6515195599995</v>
      </c>
      <c r="W124" s="953">
        <f>U124-V124</f>
        <v>258.76115136000044</v>
      </c>
      <c r="X124" s="954">
        <f>(W124/U124)*100</f>
        <v>9.8410247361234102</v>
      </c>
    </row>
    <row r="125" spans="1:24">
      <c r="A125" s="941" t="s">
        <v>7</v>
      </c>
      <c r="B125" s="1080">
        <v>800.05573700000002</v>
      </c>
      <c r="C125" s="1081">
        <v>677.23681734824117</v>
      </c>
      <c r="D125" s="1080">
        <v>757.98682699999995</v>
      </c>
      <c r="E125" s="1081">
        <v>639.96731596400002</v>
      </c>
      <c r="F125" s="955">
        <f>$L$3-D125+B125</f>
        <v>1130.1066808</v>
      </c>
      <c r="G125" s="956">
        <f>$M$3-E125+C125</f>
        <v>1038.7671943966288</v>
      </c>
      <c r="H125" s="955">
        <f t="shared" ref="H125:H133" si="43">F125-G125</f>
        <v>91.339486403371211</v>
      </c>
      <c r="I125" s="1396">
        <f t="shared" ref="I125:I133" si="44">(H125/F125)*100</f>
        <v>8.0823773503145908</v>
      </c>
      <c r="P125" s="941" t="s">
        <v>7</v>
      </c>
      <c r="Q125" s="1080">
        <v>757.98682699999995</v>
      </c>
      <c r="R125" s="1081">
        <v>639.96731596400002</v>
      </c>
      <c r="S125" s="1080">
        <v>710.89893086153836</v>
      </c>
      <c r="T125" s="1081">
        <v>601.61647065400007</v>
      </c>
      <c r="U125" s="955">
        <f>$AA$3-S125+Q125</f>
        <v>1075.8898857000004</v>
      </c>
      <c r="V125" s="956">
        <f>$AB$3-T125+R125</f>
        <v>977.09460939999997</v>
      </c>
      <c r="W125" s="955">
        <f t="shared" ref="W125:W133" si="45">U125-V125</f>
        <v>98.79527630000041</v>
      </c>
      <c r="X125" s="956">
        <f t="shared" ref="X125:X133" si="46">(W125/U125)*100</f>
        <v>9.1826568511443689</v>
      </c>
    </row>
    <row r="126" spans="1:24">
      <c r="A126" s="941" t="s">
        <v>8</v>
      </c>
      <c r="B126" s="1080">
        <v>677.30711699999995</v>
      </c>
      <c r="C126" s="1081">
        <v>596.34247048999987</v>
      </c>
      <c r="D126" s="1080">
        <v>658.71934099999999</v>
      </c>
      <c r="E126" s="1081">
        <v>573.28598134999993</v>
      </c>
      <c r="F126" s="955">
        <f>$L$4-D126+B126</f>
        <v>968.53694300000006</v>
      </c>
      <c r="G126" s="956">
        <f>$M$4-E126+C126</f>
        <v>908.77912948999983</v>
      </c>
      <c r="H126" s="955">
        <f t="shared" si="43"/>
        <v>59.757813510000233</v>
      </c>
      <c r="I126" s="1396">
        <f t="shared" si="44"/>
        <v>6.1699054374635489</v>
      </c>
      <c r="P126" s="941" t="s">
        <v>8</v>
      </c>
      <c r="Q126" s="1080">
        <v>658.71934099999999</v>
      </c>
      <c r="R126" s="1081">
        <v>573.28598134999993</v>
      </c>
      <c r="S126" s="1080">
        <v>617.9307080000001</v>
      </c>
      <c r="T126" s="1081">
        <v>544.49814077999997</v>
      </c>
      <c r="U126" s="955">
        <f>$AA$4-S126+Q126</f>
        <v>942.1730859999999</v>
      </c>
      <c r="V126" s="956">
        <f>$AB$4-T126+R126</f>
        <v>861.44588875999989</v>
      </c>
      <c r="W126" s="955">
        <f t="shared" si="45"/>
        <v>80.72719724000001</v>
      </c>
      <c r="X126" s="956">
        <f t="shared" si="46"/>
        <v>8.5681918152351066</v>
      </c>
    </row>
    <row r="127" spans="1:24">
      <c r="A127" s="941" t="s">
        <v>4</v>
      </c>
      <c r="B127" s="1080">
        <v>1269.7754998</v>
      </c>
      <c r="C127" s="1081">
        <v>1077.61382226</v>
      </c>
      <c r="D127" s="1080">
        <v>1249.610809</v>
      </c>
      <c r="E127" s="1081">
        <v>1050.3889579899999</v>
      </c>
      <c r="F127" s="955">
        <f>$L$5-D127+B127</f>
        <v>1818.1717558000003</v>
      </c>
      <c r="G127" s="956">
        <f>$M$5-E127+C127</f>
        <v>1672.6843552500002</v>
      </c>
      <c r="H127" s="955">
        <f t="shared" si="43"/>
        <v>145.48740055000007</v>
      </c>
      <c r="I127" s="1396">
        <f t="shared" si="44"/>
        <v>8.0018513149757542</v>
      </c>
      <c r="P127" s="941" t="s">
        <v>4</v>
      </c>
      <c r="Q127" s="1080">
        <v>1249.610809</v>
      </c>
      <c r="R127" s="1081">
        <v>1050.3889579899999</v>
      </c>
      <c r="S127" s="1080">
        <v>1186.8483640000002</v>
      </c>
      <c r="T127" s="1081">
        <v>1017.91359862</v>
      </c>
      <c r="U127" s="955">
        <f>$AA$5-S127+Q127</f>
        <v>1779.307969</v>
      </c>
      <c r="V127" s="956">
        <f>$AB$5-T127+R127</f>
        <v>1595.9935023100002</v>
      </c>
      <c r="W127" s="955">
        <f t="shared" si="45"/>
        <v>183.31446668999979</v>
      </c>
      <c r="X127" s="956">
        <f t="shared" si="46"/>
        <v>10.30257099298136</v>
      </c>
    </row>
    <row r="128" spans="1:24">
      <c r="A128" s="941" t="s">
        <v>3</v>
      </c>
      <c r="B128" s="1080">
        <v>1096.83943316</v>
      </c>
      <c r="C128" s="1081">
        <v>913.52440172000001</v>
      </c>
      <c r="D128" s="1080">
        <v>967.63730399999986</v>
      </c>
      <c r="E128" s="1081">
        <v>799.32507959999998</v>
      </c>
      <c r="F128" s="955">
        <f>$L$6-D128+B128</f>
        <v>1555.1830511600001</v>
      </c>
      <c r="G128" s="956">
        <f>$M$6-E128+C128</f>
        <v>1402.97976275</v>
      </c>
      <c r="H128" s="955">
        <f t="shared" si="43"/>
        <v>152.20328841000014</v>
      </c>
      <c r="I128" s="1396">
        <f t="shared" si="44"/>
        <v>9.78684073855311</v>
      </c>
      <c r="P128" s="941" t="s">
        <v>3</v>
      </c>
      <c r="Q128" s="1080">
        <v>967.63730399999986</v>
      </c>
      <c r="R128" s="1081">
        <v>799.32507959999998</v>
      </c>
      <c r="S128" s="1080">
        <v>876.63769300000001</v>
      </c>
      <c r="T128" s="1081">
        <v>715.64316128000007</v>
      </c>
      <c r="U128" s="955">
        <f>$AA$6-S128+Q128</f>
        <v>1365.2030756099998</v>
      </c>
      <c r="V128" s="956">
        <f>$AB$6-T128+R128</f>
        <v>1217.4739521799997</v>
      </c>
      <c r="W128" s="955">
        <f t="shared" si="45"/>
        <v>147.72912343000007</v>
      </c>
      <c r="X128" s="956">
        <f t="shared" si="46"/>
        <v>10.821036523375232</v>
      </c>
    </row>
    <row r="129" spans="1:24">
      <c r="A129" s="941" t="s">
        <v>397</v>
      </c>
      <c r="B129" s="1080">
        <v>836.17435503999991</v>
      </c>
      <c r="C129" s="1081">
        <v>679.98948356999995</v>
      </c>
      <c r="D129" s="1080">
        <v>809.03115288999993</v>
      </c>
      <c r="E129" s="1081">
        <v>649.13725855000007</v>
      </c>
      <c r="F129" s="955">
        <f>$L$7-D129+B129</f>
        <v>1195.4468779299998</v>
      </c>
      <c r="G129" s="956">
        <f>$M$7-E129+C129</f>
        <v>1072.47699186</v>
      </c>
      <c r="H129" s="955">
        <f t="shared" si="43"/>
        <v>122.9698860699998</v>
      </c>
      <c r="I129" s="1396">
        <f t="shared" si="44"/>
        <v>10.286520324761799</v>
      </c>
      <c r="P129" s="941" t="s">
        <v>397</v>
      </c>
      <c r="Q129" s="1080">
        <v>809.03115288999993</v>
      </c>
      <c r="R129" s="1081">
        <v>649.13725855000007</v>
      </c>
      <c r="S129" s="1080">
        <v>773.20767000000001</v>
      </c>
      <c r="T129" s="1081">
        <v>624.28411222</v>
      </c>
      <c r="U129" s="955">
        <f>$AA$7-S129+Q129</f>
        <v>1157.9566238899999</v>
      </c>
      <c r="V129" s="956">
        <f>$AB$7-T129+R129</f>
        <v>990.06253794000008</v>
      </c>
      <c r="W129" s="955">
        <f t="shared" si="45"/>
        <v>167.89408594999986</v>
      </c>
      <c r="X129" s="956">
        <f t="shared" si="46"/>
        <v>14.49916883639235</v>
      </c>
    </row>
    <row r="130" spans="1:24">
      <c r="A130" s="941" t="s">
        <v>399</v>
      </c>
      <c r="B130" s="1080">
        <v>1452.1211226</v>
      </c>
      <c r="C130" s="1081">
        <v>1169.7321035300001</v>
      </c>
      <c r="D130" s="1080">
        <v>1378.4631664399999</v>
      </c>
      <c r="E130" s="1081">
        <v>1103.1525206400001</v>
      </c>
      <c r="F130" s="955">
        <f>$L$8-D130+B130</f>
        <v>2094.0647552</v>
      </c>
      <c r="G130" s="956">
        <f>$M$8-E130+C130</f>
        <v>1868.5176612099999</v>
      </c>
      <c r="H130" s="955">
        <f t="shared" si="43"/>
        <v>225.54709399000012</v>
      </c>
      <c r="I130" s="1396">
        <f t="shared" si="44"/>
        <v>10.770779338600661</v>
      </c>
      <c r="P130" s="941" t="s">
        <v>399</v>
      </c>
      <c r="Q130" s="1080">
        <v>1378.4631664399999</v>
      </c>
      <c r="R130" s="1081">
        <v>1103.1525206400001</v>
      </c>
      <c r="S130" s="1080">
        <v>1288.8150155384617</v>
      </c>
      <c r="T130" s="1081">
        <v>1048.4949364300001</v>
      </c>
      <c r="U130" s="955">
        <f>$AA$8-S130+Q130</f>
        <v>1976.4236664399998</v>
      </c>
      <c r="V130" s="956">
        <f>$AB$8-T130+R130</f>
        <v>1714.5779792500002</v>
      </c>
      <c r="W130" s="955">
        <f t="shared" si="45"/>
        <v>261.84568718999958</v>
      </c>
      <c r="X130" s="956">
        <f t="shared" si="46"/>
        <v>13.248459408586458</v>
      </c>
    </row>
    <row r="131" spans="1:24">
      <c r="A131" s="941" t="s">
        <v>883</v>
      </c>
      <c r="B131" s="1080">
        <v>881.64851299999987</v>
      </c>
      <c r="C131" s="1081">
        <v>735.20564048000006</v>
      </c>
      <c r="D131" s="1080">
        <v>828.07340900000008</v>
      </c>
      <c r="E131" s="1081">
        <v>685.02598012999988</v>
      </c>
      <c r="F131" s="955">
        <f>$L$9-D131+B131</f>
        <v>1226.5227419999999</v>
      </c>
      <c r="G131" s="956">
        <f>$M$9-E131+C131</f>
        <v>1126.4012560200001</v>
      </c>
      <c r="H131" s="955">
        <f t="shared" si="43"/>
        <v>100.12148597999976</v>
      </c>
      <c r="I131" s="1396">
        <f t="shared" si="44"/>
        <v>8.1630354294726786</v>
      </c>
      <c r="P131" s="941" t="s">
        <v>883</v>
      </c>
      <c r="Q131" s="1080">
        <v>828.07340900000008</v>
      </c>
      <c r="R131" s="1081">
        <v>685.02598012999988</v>
      </c>
      <c r="S131" s="1080">
        <v>783.72586699999999</v>
      </c>
      <c r="T131" s="1081">
        <v>647.94153408000011</v>
      </c>
      <c r="U131" s="955">
        <f>$AA$9-S131+Q131</f>
        <v>1160.1851470000001</v>
      </c>
      <c r="V131" s="956">
        <f>$AB$9-T131+R131</f>
        <v>1056.4070734500001</v>
      </c>
      <c r="W131" s="955">
        <f t="shared" si="45"/>
        <v>103.77807355000004</v>
      </c>
      <c r="X131" s="956">
        <f t="shared" si="46"/>
        <v>8.9449579507502559</v>
      </c>
    </row>
    <row r="132" spans="1:24">
      <c r="A132" s="941" t="s">
        <v>884</v>
      </c>
      <c r="B132" s="1080">
        <v>1076.1029840000001</v>
      </c>
      <c r="C132" s="1081">
        <v>906.60061436000001</v>
      </c>
      <c r="D132" s="1080">
        <v>1025.3679259999999</v>
      </c>
      <c r="E132" s="1081">
        <v>855.84730517999992</v>
      </c>
      <c r="F132" s="955">
        <f>$L$10-D132+B132</f>
        <v>1490.2441910000002</v>
      </c>
      <c r="G132" s="956">
        <f>$M$10-E132+C132</f>
        <v>1370.8620214600001</v>
      </c>
      <c r="H132" s="955">
        <f t="shared" si="43"/>
        <v>119.38216954000018</v>
      </c>
      <c r="I132" s="1396">
        <f t="shared" si="44"/>
        <v>8.0109132624694901</v>
      </c>
      <c r="P132" s="941" t="s">
        <v>884</v>
      </c>
      <c r="Q132" s="1080">
        <v>1025.3679259999999</v>
      </c>
      <c r="R132" s="1081">
        <v>855.84730517999992</v>
      </c>
      <c r="S132" s="1080">
        <v>969.74396400000001</v>
      </c>
      <c r="T132" s="1081">
        <v>797.12319653199995</v>
      </c>
      <c r="U132" s="955">
        <f>$AA$10-S132+Q132</f>
        <v>1432.7891199999999</v>
      </c>
      <c r="V132" s="956">
        <f>$AB$10-T132+R132</f>
        <v>1308.8139405000002</v>
      </c>
      <c r="W132" s="955">
        <f t="shared" si="45"/>
        <v>123.97517949999974</v>
      </c>
      <c r="X132" s="956">
        <f t="shared" si="46"/>
        <v>8.6527164234747787</v>
      </c>
    </row>
    <row r="133" spans="1:24" ht="14.4" thickBot="1">
      <c r="A133" s="941" t="s">
        <v>885</v>
      </c>
      <c r="B133" s="1080">
        <v>203.04239200000001</v>
      </c>
      <c r="C133" s="1081">
        <v>182.80155916999999</v>
      </c>
      <c r="D133" s="1080">
        <v>201.50454199999999</v>
      </c>
      <c r="E133" s="1081">
        <v>179.27069791</v>
      </c>
      <c r="F133" s="955">
        <f>$L$11-D133+B133</f>
        <v>291.97367400000007</v>
      </c>
      <c r="G133" s="956">
        <f>$M$11-E133+C133</f>
        <v>269.87680109000001</v>
      </c>
      <c r="H133" s="955">
        <f t="shared" si="43"/>
        <v>22.096872910000059</v>
      </c>
      <c r="I133" s="1396">
        <f t="shared" si="44"/>
        <v>7.5681045510973197</v>
      </c>
      <c r="P133" s="941" t="s">
        <v>885</v>
      </c>
      <c r="Q133" s="1080">
        <v>201.50454199999999</v>
      </c>
      <c r="R133" s="1081">
        <v>179.27069791</v>
      </c>
      <c r="S133" s="1080">
        <v>199.677682</v>
      </c>
      <c r="T133" s="1081">
        <v>176.21078337</v>
      </c>
      <c r="U133" s="955">
        <f>$AA$11-S133+Q133</f>
        <v>292.42085899999995</v>
      </c>
      <c r="V133" s="956">
        <f>$AB$11-T133+R133</f>
        <v>268.10820505000004</v>
      </c>
      <c r="W133" s="955">
        <f t="shared" si="45"/>
        <v>24.312653949999913</v>
      </c>
      <c r="X133" s="956">
        <f t="shared" si="46"/>
        <v>8.3142680153333099</v>
      </c>
    </row>
    <row r="134" spans="1:24" ht="14.4" thickBot="1">
      <c r="A134" s="941" t="s">
        <v>16</v>
      </c>
      <c r="B134" s="945">
        <f t="shared" ref="B134:H134" si="47">SUM(B124:B133)</f>
        <v>10248.980035029999</v>
      </c>
      <c r="C134" s="945">
        <f t="shared" si="47"/>
        <v>8560.916842038243</v>
      </c>
      <c r="D134" s="945">
        <f t="shared" si="47"/>
        <v>9706.236056390002</v>
      </c>
      <c r="E134" s="945">
        <f t="shared" si="47"/>
        <v>8059.2163691640008</v>
      </c>
      <c r="F134" s="945">
        <f t="shared" si="47"/>
        <v>14581.79810168</v>
      </c>
      <c r="G134" s="946">
        <f t="shared" si="47"/>
        <v>13258.69662635663</v>
      </c>
      <c r="H134" s="946">
        <f t="shared" si="47"/>
        <v>1323.1014753233712</v>
      </c>
      <c r="I134" s="1361">
        <f>(H134/F134)*100</f>
        <v>9.0736510415058742</v>
      </c>
      <c r="P134" s="941" t="s">
        <v>16</v>
      </c>
      <c r="Q134" s="945">
        <f t="shared" ref="Q134:W134" si="48">SUM(Q124:Q133)</f>
        <v>9706.236056390002</v>
      </c>
      <c r="R134" s="945">
        <f t="shared" si="48"/>
        <v>8059.2163691640008</v>
      </c>
      <c r="S134" s="945">
        <f t="shared" si="48"/>
        <v>9133.2970657499991</v>
      </c>
      <c r="T134" s="945">
        <f t="shared" si="48"/>
        <v>7606.0076002360011</v>
      </c>
      <c r="U134" s="945">
        <f t="shared" si="48"/>
        <v>13811.762103559999</v>
      </c>
      <c r="V134" s="946">
        <f t="shared" si="48"/>
        <v>12360.629208400002</v>
      </c>
      <c r="W134" s="946">
        <f t="shared" si="48"/>
        <v>1451.1328951599999</v>
      </c>
      <c r="X134" s="946">
        <f>(W134/U134)*100</f>
        <v>10.506500794608739</v>
      </c>
    </row>
    <row r="135" spans="1:24">
      <c r="P135" s="117"/>
      <c r="Q135" s="117"/>
      <c r="R135" s="117"/>
      <c r="S135" s="117"/>
      <c r="T135" s="117"/>
      <c r="U135" s="117"/>
      <c r="V135" s="117"/>
      <c r="W135" s="117"/>
      <c r="X135" s="117"/>
    </row>
    <row r="136" spans="1:24">
      <c r="P136" s="117"/>
      <c r="Q136" s="117"/>
      <c r="R136" s="117"/>
      <c r="S136" s="117"/>
      <c r="T136" s="117"/>
      <c r="U136" s="117"/>
      <c r="V136" s="117"/>
      <c r="W136" s="117"/>
      <c r="X136" s="117"/>
    </row>
    <row r="137" spans="1:24">
      <c r="B137" s="943" t="s">
        <v>531</v>
      </c>
      <c r="P137" s="117"/>
      <c r="Q137" s="943" t="s">
        <v>531</v>
      </c>
      <c r="R137" s="117"/>
      <c r="S137" s="117"/>
      <c r="T137" s="117"/>
      <c r="U137" s="117"/>
      <c r="V137" s="117"/>
      <c r="W137" s="117"/>
      <c r="X137" s="117"/>
    </row>
    <row r="138" spans="1:24">
      <c r="H138" s="430"/>
      <c r="I138" s="430"/>
      <c r="P138" s="117"/>
      <c r="Q138" s="117"/>
      <c r="R138" s="117"/>
      <c r="S138" s="117"/>
      <c r="T138" s="117"/>
      <c r="U138" s="117"/>
      <c r="V138" s="117"/>
      <c r="W138" s="430"/>
      <c r="X138" s="430"/>
    </row>
    <row r="139" spans="1:24">
      <c r="B139" s="3411" t="str">
        <f>B122</f>
        <v>année (n) au mois</v>
      </c>
      <c r="C139" s="3411"/>
      <c r="D139" s="3411" t="str">
        <f>D122</f>
        <v>année (n-1) au mois</v>
      </c>
      <c r="E139" s="3411"/>
      <c r="F139" s="3412" t="s">
        <v>521</v>
      </c>
      <c r="G139" s="3412"/>
      <c r="H139" s="3412"/>
      <c r="I139" s="3412"/>
      <c r="P139" s="117"/>
      <c r="Q139" s="3411" t="str">
        <f>Q122</f>
        <v>année (n) au mois</v>
      </c>
      <c r="R139" s="3411"/>
      <c r="S139" s="3411" t="str">
        <f>S122</f>
        <v>année (n-1) au mois</v>
      </c>
      <c r="T139" s="3411"/>
      <c r="U139" s="3412" t="s">
        <v>521</v>
      </c>
      <c r="V139" s="3412"/>
      <c r="W139" s="3412"/>
      <c r="X139" s="3412"/>
    </row>
    <row r="140" spans="1:24">
      <c r="A140" s="430"/>
      <c r="B140" s="951" t="s">
        <v>522</v>
      </c>
      <c r="C140" s="951" t="s">
        <v>466</v>
      </c>
      <c r="D140" s="951" t="s">
        <v>522</v>
      </c>
      <c r="E140" s="951" t="s">
        <v>466</v>
      </c>
      <c r="F140" s="952" t="s">
        <v>522</v>
      </c>
      <c r="G140" s="952" t="s">
        <v>466</v>
      </c>
      <c r="H140" s="952" t="s">
        <v>523</v>
      </c>
      <c r="I140" s="952" t="s">
        <v>524</v>
      </c>
      <c r="P140" s="430"/>
      <c r="Q140" s="951" t="s">
        <v>522</v>
      </c>
      <c r="R140" s="951" t="s">
        <v>466</v>
      </c>
      <c r="S140" s="951" t="s">
        <v>522</v>
      </c>
      <c r="T140" s="951" t="s">
        <v>466</v>
      </c>
      <c r="U140" s="952" t="s">
        <v>522</v>
      </c>
      <c r="V140" s="952" t="s">
        <v>466</v>
      </c>
      <c r="W140" s="952" t="s">
        <v>523</v>
      </c>
      <c r="X140" s="952" t="s">
        <v>524</v>
      </c>
    </row>
    <row r="141" spans="1:24">
      <c r="A141" s="941" t="s">
        <v>68</v>
      </c>
      <c r="B141" s="947"/>
      <c r="C141" s="948"/>
      <c r="D141" s="947"/>
      <c r="E141" s="948"/>
      <c r="F141" s="953">
        <f>$L$2-D141+B141</f>
        <v>2685.4761284200004</v>
      </c>
      <c r="G141" s="954">
        <f>$M$2-E141+C141</f>
        <v>2429.2967955700005</v>
      </c>
      <c r="H141" s="953">
        <f>F141-G141</f>
        <v>256.17933284999981</v>
      </c>
      <c r="I141" s="1395">
        <f>(H141/F141)*100</f>
        <v>9.5394380958702794</v>
      </c>
      <c r="P141" s="941" t="s">
        <v>68</v>
      </c>
      <c r="Q141" s="947"/>
      <c r="R141" s="948"/>
      <c r="S141" s="947"/>
      <c r="T141" s="948"/>
      <c r="U141" s="953">
        <f>$AA$2-S141+Q141</f>
        <v>2525.38226321</v>
      </c>
      <c r="V141" s="954">
        <f>$AB$2-T141+R141</f>
        <v>2279.1179139799997</v>
      </c>
      <c r="W141" s="953">
        <f>U141-V141</f>
        <v>246.26434923000033</v>
      </c>
      <c r="X141" s="1395">
        <f>(W141/U141)*100</f>
        <v>9.7515672307357946</v>
      </c>
    </row>
    <row r="142" spans="1:24">
      <c r="A142" s="941" t="s">
        <v>7</v>
      </c>
      <c r="B142" s="949"/>
      <c r="C142" s="950"/>
      <c r="D142" s="949"/>
      <c r="E142" s="950"/>
      <c r="F142" s="955">
        <f>$L$3-D142+B142</f>
        <v>1088.0377707999999</v>
      </c>
      <c r="G142" s="956">
        <f>$M$3-E142+C142</f>
        <v>1001.4976930123876</v>
      </c>
      <c r="H142" s="955">
        <f t="shared" ref="H142:H150" si="49">F142-G142</f>
        <v>86.54007778761229</v>
      </c>
      <c r="I142" s="1396">
        <f t="shared" ref="I142:I150" si="50">(H142/F142)*100</f>
        <v>7.9537751455064001</v>
      </c>
      <c r="P142" s="941" t="s">
        <v>7</v>
      </c>
      <c r="Q142" s="949"/>
      <c r="R142" s="950"/>
      <c r="S142" s="949"/>
      <c r="T142" s="950"/>
      <c r="U142" s="955">
        <f>$AA$3-S142+Q142</f>
        <v>1028.8019895615387</v>
      </c>
      <c r="V142" s="956">
        <f>$AB$3-T142+R142</f>
        <v>938.74376409000001</v>
      </c>
      <c r="W142" s="955">
        <f t="shared" ref="W142:W150" si="51">U142-V142</f>
        <v>90.058225471538663</v>
      </c>
      <c r="X142" s="1396">
        <f t="shared" ref="X142:X150" si="52">(W142/U142)*100</f>
        <v>8.7536986111312096</v>
      </c>
    </row>
    <row r="143" spans="1:24">
      <c r="A143" s="941" t="s">
        <v>8</v>
      </c>
      <c r="B143" s="949"/>
      <c r="C143" s="950"/>
      <c r="D143" s="949"/>
      <c r="E143" s="950"/>
      <c r="F143" s="955">
        <f>$L$4-D143+B143</f>
        <v>949.9491670000001</v>
      </c>
      <c r="G143" s="956">
        <f>$M$4-E143+C143</f>
        <v>885.72264034999989</v>
      </c>
      <c r="H143" s="955">
        <f t="shared" si="49"/>
        <v>64.22652665000021</v>
      </c>
      <c r="I143" s="1396">
        <f t="shared" si="50"/>
        <v>6.7610487888348452</v>
      </c>
      <c r="P143" s="941" t="s">
        <v>8</v>
      </c>
      <c r="Q143" s="949"/>
      <c r="R143" s="950"/>
      <c r="S143" s="949"/>
      <c r="T143" s="950"/>
      <c r="U143" s="955">
        <f>$AA$4-S143+Q143</f>
        <v>901.38445300000001</v>
      </c>
      <c r="V143" s="956">
        <f>$AB$4-T143+R143</f>
        <v>832.65804818999993</v>
      </c>
      <c r="W143" s="955">
        <f t="shared" si="51"/>
        <v>68.726404810000076</v>
      </c>
      <c r="X143" s="1396">
        <f t="shared" si="52"/>
        <v>7.6245385175286655</v>
      </c>
    </row>
    <row r="144" spans="1:24">
      <c r="A144" s="941" t="s">
        <v>4</v>
      </c>
      <c r="B144" s="949"/>
      <c r="C144" s="950"/>
      <c r="D144" s="949"/>
      <c r="E144" s="950"/>
      <c r="F144" s="955">
        <f>$L$5-D144+B144</f>
        <v>1798.0070650000002</v>
      </c>
      <c r="G144" s="956">
        <f>$M$5-E144+C144</f>
        <v>1645.4594909800001</v>
      </c>
      <c r="H144" s="955">
        <f t="shared" si="49"/>
        <v>152.54757402000018</v>
      </c>
      <c r="I144" s="1396">
        <f t="shared" si="50"/>
        <v>8.4842588769249456</v>
      </c>
      <c r="P144" s="941" t="s">
        <v>4</v>
      </c>
      <c r="Q144" s="949"/>
      <c r="R144" s="950"/>
      <c r="S144" s="949"/>
      <c r="T144" s="950"/>
      <c r="U144" s="955">
        <f>$AA$5-S144+Q144</f>
        <v>1716.5455240000001</v>
      </c>
      <c r="V144" s="956">
        <f>$AB$5-T144+R144</f>
        <v>1563.5181429400002</v>
      </c>
      <c r="W144" s="955">
        <f t="shared" si="51"/>
        <v>153.02738105999993</v>
      </c>
      <c r="X144" s="1396">
        <f t="shared" si="52"/>
        <v>8.9148454800899248</v>
      </c>
    </row>
    <row r="145" spans="1:24">
      <c r="A145" s="941" t="s">
        <v>3</v>
      </c>
      <c r="B145" s="949"/>
      <c r="C145" s="950"/>
      <c r="D145" s="949"/>
      <c r="E145" s="950"/>
      <c r="F145" s="955">
        <f>$L$6-D145+B145</f>
        <v>1425.980922</v>
      </c>
      <c r="G145" s="956">
        <f>$M$6-E145+C145</f>
        <v>1288.7804406299999</v>
      </c>
      <c r="H145" s="955">
        <f t="shared" si="49"/>
        <v>137.20048137000003</v>
      </c>
      <c r="I145" s="1396">
        <f t="shared" si="50"/>
        <v>9.6214808524626267</v>
      </c>
      <c r="P145" s="941" t="s">
        <v>3</v>
      </c>
      <c r="Q145" s="949"/>
      <c r="R145" s="950"/>
      <c r="S145" s="949"/>
      <c r="T145" s="950"/>
      <c r="U145" s="955">
        <f>$AA$6-S145+Q145</f>
        <v>1274.2034646100001</v>
      </c>
      <c r="V145" s="956">
        <f>$AB$6-T145+R145</f>
        <v>1133.7920338599999</v>
      </c>
      <c r="W145" s="955">
        <f t="shared" si="51"/>
        <v>140.41143075000014</v>
      </c>
      <c r="X145" s="1396">
        <f t="shared" si="52"/>
        <v>11.019545516066882</v>
      </c>
    </row>
    <row r="146" spans="1:24">
      <c r="A146" s="941" t="s">
        <v>397</v>
      </c>
      <c r="B146" s="949"/>
      <c r="C146" s="950"/>
      <c r="D146" s="949"/>
      <c r="E146" s="950"/>
      <c r="F146" s="955">
        <f>$L$7-D146+B146</f>
        <v>1168.3036757799998</v>
      </c>
      <c r="G146" s="956">
        <f>$M$7-E146+C146</f>
        <v>1041.6247668400001</v>
      </c>
      <c r="H146" s="955">
        <f t="shared" si="49"/>
        <v>126.6789089399997</v>
      </c>
      <c r="I146" s="1396">
        <f t="shared" si="50"/>
        <v>10.842977863219037</v>
      </c>
      <c r="P146" s="941" t="s">
        <v>397</v>
      </c>
      <c r="Q146" s="949"/>
      <c r="R146" s="950"/>
      <c r="S146" s="949"/>
      <c r="T146" s="950"/>
      <c r="U146" s="955">
        <f>$AA$7-S146+Q146</f>
        <v>1122.133141</v>
      </c>
      <c r="V146" s="956">
        <f>$AB$7-T146+R146</f>
        <v>965.20939161000001</v>
      </c>
      <c r="W146" s="955">
        <f t="shared" si="51"/>
        <v>156.92374939000001</v>
      </c>
      <c r="X146" s="1396">
        <f t="shared" si="52"/>
        <v>13.984414474217905</v>
      </c>
    </row>
    <row r="147" spans="1:24">
      <c r="A147" s="941" t="s">
        <v>399</v>
      </c>
      <c r="B147" s="949"/>
      <c r="C147" s="950"/>
      <c r="D147" s="949"/>
      <c r="E147" s="950"/>
      <c r="F147" s="955">
        <f>$L$8-D147+B147</f>
        <v>2020.4067990399999</v>
      </c>
      <c r="G147" s="956">
        <f>$M$8-E147+C147</f>
        <v>1801.9380783199999</v>
      </c>
      <c r="H147" s="955">
        <f t="shared" si="49"/>
        <v>218.46872071999996</v>
      </c>
      <c r="I147" s="1396">
        <f t="shared" si="50"/>
        <v>10.813105599516186</v>
      </c>
      <c r="P147" s="941" t="s">
        <v>399</v>
      </c>
      <c r="Q147" s="949"/>
      <c r="R147" s="950"/>
      <c r="S147" s="949"/>
      <c r="T147" s="950"/>
      <c r="U147" s="955">
        <f>$AA$8-S147+Q147</f>
        <v>1886.7755155384616</v>
      </c>
      <c r="V147" s="956">
        <f>$AB$8-T147+R147</f>
        <v>1659.9203950400001</v>
      </c>
      <c r="W147" s="955">
        <f t="shared" si="51"/>
        <v>226.85512049846147</v>
      </c>
      <c r="X147" s="1396">
        <f t="shared" si="52"/>
        <v>12.023429317913315</v>
      </c>
    </row>
    <row r="148" spans="1:24">
      <c r="A148" s="941" t="s">
        <v>883</v>
      </c>
      <c r="B148" s="949"/>
      <c r="C148" s="950"/>
      <c r="D148" s="949"/>
      <c r="E148" s="950"/>
      <c r="F148" s="955">
        <f>$L$9-D148+B148</f>
        <v>1172.9476380000001</v>
      </c>
      <c r="G148" s="956">
        <f>$M$9-E148+C148</f>
        <v>1076.2215956699999</v>
      </c>
      <c r="H148" s="955">
        <f t="shared" si="49"/>
        <v>96.726042330000155</v>
      </c>
      <c r="I148" s="1396">
        <f t="shared" si="50"/>
        <v>8.24640752889262</v>
      </c>
      <c r="P148" s="941" t="s">
        <v>883</v>
      </c>
      <c r="Q148" s="949"/>
      <c r="R148" s="950"/>
      <c r="S148" s="949"/>
      <c r="T148" s="950"/>
      <c r="U148" s="955">
        <f>$AA$9-S148+Q148</f>
        <v>1115.8376050000002</v>
      </c>
      <c r="V148" s="956">
        <f>$AB$9-T148+R148</f>
        <v>1019.3226274000002</v>
      </c>
      <c r="W148" s="955">
        <f t="shared" si="51"/>
        <v>96.514977599999952</v>
      </c>
      <c r="X148" s="1396">
        <f t="shared" si="52"/>
        <v>8.6495541257547011</v>
      </c>
    </row>
    <row r="149" spans="1:24">
      <c r="A149" s="941" t="s">
        <v>884</v>
      </c>
      <c r="B149" s="949"/>
      <c r="C149" s="950"/>
      <c r="D149" s="949"/>
      <c r="E149" s="950"/>
      <c r="F149" s="955">
        <f>$L$10-D149+B149</f>
        <v>1439.509133</v>
      </c>
      <c r="G149" s="956">
        <f>$M$10-E149+C149</f>
        <v>1320.10871228</v>
      </c>
      <c r="H149" s="955">
        <f t="shared" si="49"/>
        <v>119.40042072000006</v>
      </c>
      <c r="I149" s="1396">
        <f t="shared" si="50"/>
        <v>8.2945233192903984</v>
      </c>
      <c r="P149" s="941" t="s">
        <v>884</v>
      </c>
      <c r="Q149" s="949"/>
      <c r="R149" s="950"/>
      <c r="S149" s="949"/>
      <c r="T149" s="950"/>
      <c r="U149" s="955">
        <f>$AA$10-S149+Q149</f>
        <v>1377.165158</v>
      </c>
      <c r="V149" s="956">
        <f>$AB$10-T149+R149</f>
        <v>1250.0898318520001</v>
      </c>
      <c r="W149" s="955">
        <f t="shared" si="51"/>
        <v>127.07532614799993</v>
      </c>
      <c r="X149" s="1396">
        <f t="shared" si="52"/>
        <v>9.2273120191732243</v>
      </c>
    </row>
    <row r="150" spans="1:24" ht="14.4" thickBot="1">
      <c r="A150" s="941" t="s">
        <v>885</v>
      </c>
      <c r="B150" s="949"/>
      <c r="C150" s="950"/>
      <c r="D150" s="949"/>
      <c r="E150" s="950"/>
      <c r="F150" s="955">
        <f>$L$11-D150+B150</f>
        <v>290.43582400000003</v>
      </c>
      <c r="G150" s="956">
        <f>$M$11-E150+C150</f>
        <v>266.34593983000002</v>
      </c>
      <c r="H150" s="955">
        <f t="shared" si="49"/>
        <v>24.089884170000005</v>
      </c>
      <c r="I150" s="1396">
        <f t="shared" si="50"/>
        <v>8.2943914556490803</v>
      </c>
      <c r="P150" s="941" t="s">
        <v>885</v>
      </c>
      <c r="Q150" s="949"/>
      <c r="R150" s="950"/>
      <c r="S150" s="949"/>
      <c r="T150" s="950"/>
      <c r="U150" s="955">
        <f>$AA$11-S150+Q150</f>
        <v>290.593999</v>
      </c>
      <c r="V150" s="956">
        <f>$AB$11-T150+R150</f>
        <v>265.04829051000002</v>
      </c>
      <c r="W150" s="955">
        <f t="shared" si="51"/>
        <v>25.545708489999981</v>
      </c>
      <c r="X150" s="1396">
        <f t="shared" si="52"/>
        <v>8.7908589227267484</v>
      </c>
    </row>
    <row r="151" spans="1:24" ht="14.4" thickBot="1">
      <c r="A151" s="941" t="s">
        <v>16</v>
      </c>
      <c r="B151" s="945">
        <f t="shared" ref="B151:H151" si="53">SUM(B141:B150)</f>
        <v>0</v>
      </c>
      <c r="C151" s="945">
        <f t="shared" si="53"/>
        <v>0</v>
      </c>
      <c r="D151" s="945">
        <f t="shared" si="53"/>
        <v>0</v>
      </c>
      <c r="E151" s="945">
        <f t="shared" si="53"/>
        <v>0</v>
      </c>
      <c r="F151" s="945">
        <f t="shared" si="53"/>
        <v>14039.054123039998</v>
      </c>
      <c r="G151" s="946">
        <f t="shared" si="53"/>
        <v>12756.996153482389</v>
      </c>
      <c r="H151" s="946">
        <f t="shared" si="53"/>
        <v>1282.0579695576123</v>
      </c>
      <c r="I151" s="1361">
        <f>(H151/F151)*100</f>
        <v>9.132082249427194</v>
      </c>
      <c r="P151" s="941" t="s">
        <v>16</v>
      </c>
      <c r="Q151" s="945">
        <f t="shared" ref="Q151:W151" si="54">SUM(Q141:Q150)</f>
        <v>0</v>
      </c>
      <c r="R151" s="945">
        <f t="shared" si="54"/>
        <v>0</v>
      </c>
      <c r="S151" s="945">
        <f t="shared" si="54"/>
        <v>0</v>
      </c>
      <c r="T151" s="945">
        <f t="shared" si="54"/>
        <v>0</v>
      </c>
      <c r="U151" s="945">
        <f t="shared" si="54"/>
        <v>13238.823112920001</v>
      </c>
      <c r="V151" s="946">
        <f t="shared" si="54"/>
        <v>11907.420439472</v>
      </c>
      <c r="W151" s="946">
        <f t="shared" si="54"/>
        <v>1331.4026734480003</v>
      </c>
      <c r="X151" s="1361">
        <f>(W151/U151)*100</f>
        <v>10.056805367757054</v>
      </c>
    </row>
    <row r="152" spans="1:24">
      <c r="P152" s="117"/>
      <c r="Q152" s="117"/>
      <c r="R152" s="117"/>
      <c r="S152" s="117"/>
      <c r="T152" s="117"/>
      <c r="U152" s="117"/>
      <c r="V152" s="117"/>
      <c r="W152" s="117"/>
      <c r="X152" s="117"/>
    </row>
    <row r="153" spans="1:24">
      <c r="P153" s="117"/>
      <c r="Q153" s="117"/>
      <c r="R153" s="117"/>
      <c r="S153" s="117"/>
      <c r="T153" s="117"/>
      <c r="U153" s="117"/>
      <c r="V153" s="117"/>
      <c r="W153" s="117"/>
      <c r="X153" s="117"/>
    </row>
    <row r="154" spans="1:24">
      <c r="B154" s="943" t="s">
        <v>532</v>
      </c>
      <c r="P154" s="117"/>
      <c r="Q154" s="943" t="s">
        <v>532</v>
      </c>
      <c r="R154" s="117"/>
      <c r="S154" s="117"/>
      <c r="T154" s="117"/>
      <c r="U154" s="117"/>
      <c r="V154" s="117"/>
      <c r="W154" s="117"/>
      <c r="X154" s="117"/>
    </row>
    <row r="155" spans="1:24">
      <c r="H155" s="430"/>
      <c r="I155" s="430"/>
      <c r="P155" s="117"/>
      <c r="Q155" s="117"/>
      <c r="R155" s="117"/>
      <c r="S155" s="117"/>
      <c r="T155" s="117"/>
      <c r="U155" s="117"/>
      <c r="V155" s="117"/>
      <c r="W155" s="430"/>
      <c r="X155" s="430"/>
    </row>
    <row r="156" spans="1:24">
      <c r="B156" s="3411" t="str">
        <f>B139</f>
        <v>année (n) au mois</v>
      </c>
      <c r="C156" s="3411"/>
      <c r="D156" s="3411" t="str">
        <f>D139</f>
        <v>année (n-1) au mois</v>
      </c>
      <c r="E156" s="3411"/>
      <c r="F156" s="3412" t="s">
        <v>521</v>
      </c>
      <c r="G156" s="3412"/>
      <c r="H156" s="3412"/>
      <c r="I156" s="3412"/>
      <c r="P156" s="117"/>
      <c r="Q156" s="3411" t="str">
        <f>Q139</f>
        <v>année (n) au mois</v>
      </c>
      <c r="R156" s="3411"/>
      <c r="S156" s="3411" t="str">
        <f>S139</f>
        <v>année (n-1) au mois</v>
      </c>
      <c r="T156" s="3411"/>
      <c r="U156" s="3412" t="s">
        <v>521</v>
      </c>
      <c r="V156" s="3412"/>
      <c r="W156" s="3412"/>
      <c r="X156" s="3412"/>
    </row>
    <row r="157" spans="1:24">
      <c r="A157" s="430"/>
      <c r="B157" s="951" t="s">
        <v>522</v>
      </c>
      <c r="C157" s="951" t="s">
        <v>466</v>
      </c>
      <c r="D157" s="951" t="s">
        <v>522</v>
      </c>
      <c r="E157" s="951" t="s">
        <v>466</v>
      </c>
      <c r="F157" s="952" t="s">
        <v>522</v>
      </c>
      <c r="G157" s="952" t="s">
        <v>466</v>
      </c>
      <c r="H157" s="952" t="s">
        <v>523</v>
      </c>
      <c r="I157" s="952" t="s">
        <v>524</v>
      </c>
      <c r="P157" s="430"/>
      <c r="Q157" s="951" t="s">
        <v>522</v>
      </c>
      <c r="R157" s="951" t="s">
        <v>466</v>
      </c>
      <c r="S157" s="951" t="s">
        <v>522</v>
      </c>
      <c r="T157" s="951" t="s">
        <v>466</v>
      </c>
      <c r="U157" s="952" t="s">
        <v>522</v>
      </c>
      <c r="V157" s="952" t="s">
        <v>466</v>
      </c>
      <c r="W157" s="952" t="s">
        <v>523</v>
      </c>
      <c r="X157" s="952" t="s">
        <v>524</v>
      </c>
    </row>
    <row r="158" spans="1:24">
      <c r="A158" s="941" t="s">
        <v>68</v>
      </c>
      <c r="B158" s="947"/>
      <c r="C158" s="948"/>
      <c r="D158" s="947"/>
      <c r="E158" s="948"/>
      <c r="F158" s="953">
        <f>$L$2-D158+B158</f>
        <v>2685.4761284200004</v>
      </c>
      <c r="G158" s="954">
        <f>$M$2-E158+C158</f>
        <v>2429.2967955700005</v>
      </c>
      <c r="H158" s="953">
        <f>F158-G158</f>
        <v>256.17933284999981</v>
      </c>
      <c r="I158" s="954">
        <f>(H158/F158)*100</f>
        <v>9.5394380958702794</v>
      </c>
      <c r="P158" s="941" t="s">
        <v>68</v>
      </c>
      <c r="Q158" s="947"/>
      <c r="R158" s="948"/>
      <c r="S158" s="947"/>
      <c r="T158" s="948"/>
      <c r="U158" s="953">
        <f>$AA$2-S158+Q158</f>
        <v>2525.38226321</v>
      </c>
      <c r="V158" s="954">
        <f>$AB$2-T158+R158</f>
        <v>2279.1179139799997</v>
      </c>
      <c r="W158" s="953">
        <f>U158-V158</f>
        <v>246.26434923000033</v>
      </c>
      <c r="X158" s="954">
        <f>(W158/U158)*100</f>
        <v>9.7515672307357946</v>
      </c>
    </row>
    <row r="159" spans="1:24">
      <c r="A159" s="941" t="s">
        <v>7</v>
      </c>
      <c r="B159" s="949"/>
      <c r="C159" s="950"/>
      <c r="D159" s="949"/>
      <c r="E159" s="950"/>
      <c r="F159" s="955">
        <f>$L$3-D159+B159</f>
        <v>1088.0377707999999</v>
      </c>
      <c r="G159" s="956">
        <f>$M$3-E159+C159</f>
        <v>1001.4976930123876</v>
      </c>
      <c r="H159" s="955">
        <f t="shared" ref="H159:H167" si="55">F159-G159</f>
        <v>86.54007778761229</v>
      </c>
      <c r="I159" s="956">
        <f t="shared" ref="I159:I167" si="56">(H159/F159)*100</f>
        <v>7.9537751455064001</v>
      </c>
      <c r="P159" s="941" t="s">
        <v>7</v>
      </c>
      <c r="Q159" s="949"/>
      <c r="R159" s="950"/>
      <c r="S159" s="949"/>
      <c r="T159" s="950"/>
      <c r="U159" s="955">
        <f>$AA$3-S159+Q159</f>
        <v>1028.8019895615387</v>
      </c>
      <c r="V159" s="956">
        <f>$AB$3-T159+R159</f>
        <v>938.74376409000001</v>
      </c>
      <c r="W159" s="955">
        <f t="shared" ref="W159:W167" si="57">U159-V159</f>
        <v>90.058225471538663</v>
      </c>
      <c r="X159" s="956">
        <f t="shared" ref="X159:X167" si="58">(W159/U159)*100</f>
        <v>8.7536986111312096</v>
      </c>
    </row>
    <row r="160" spans="1:24">
      <c r="A160" s="941" t="s">
        <v>8</v>
      </c>
      <c r="B160" s="949"/>
      <c r="C160" s="950"/>
      <c r="D160" s="949"/>
      <c r="E160" s="950"/>
      <c r="F160" s="955">
        <f>$L$4-D160+B160</f>
        <v>949.9491670000001</v>
      </c>
      <c r="G160" s="956">
        <f>$M$4-E160+C160</f>
        <v>885.72264034999989</v>
      </c>
      <c r="H160" s="955">
        <f t="shared" si="55"/>
        <v>64.22652665000021</v>
      </c>
      <c r="I160" s="956">
        <f t="shared" si="56"/>
        <v>6.7610487888348452</v>
      </c>
      <c r="P160" s="941" t="s">
        <v>8</v>
      </c>
      <c r="Q160" s="949"/>
      <c r="R160" s="950"/>
      <c r="S160" s="949"/>
      <c r="T160" s="950"/>
      <c r="U160" s="955">
        <f>$AA$4-S160+Q160</f>
        <v>901.38445300000001</v>
      </c>
      <c r="V160" s="956">
        <f>$AB$4-T160+R160</f>
        <v>832.65804818999993</v>
      </c>
      <c r="W160" s="955">
        <f t="shared" si="57"/>
        <v>68.726404810000076</v>
      </c>
      <c r="X160" s="956">
        <f t="shared" si="58"/>
        <v>7.6245385175286655</v>
      </c>
    </row>
    <row r="161" spans="1:24">
      <c r="A161" s="941" t="s">
        <v>4</v>
      </c>
      <c r="B161" s="949"/>
      <c r="C161" s="950"/>
      <c r="D161" s="949"/>
      <c r="E161" s="950"/>
      <c r="F161" s="955">
        <f>$L$5-D161+B161</f>
        <v>1798.0070650000002</v>
      </c>
      <c r="G161" s="956">
        <f>$M$5-E161+C161</f>
        <v>1645.4594909800001</v>
      </c>
      <c r="H161" s="955">
        <f t="shared" si="55"/>
        <v>152.54757402000018</v>
      </c>
      <c r="I161" s="956">
        <f t="shared" si="56"/>
        <v>8.4842588769249456</v>
      </c>
      <c r="P161" s="941" t="s">
        <v>4</v>
      </c>
      <c r="Q161" s="949"/>
      <c r="R161" s="950"/>
      <c r="S161" s="949"/>
      <c r="T161" s="950"/>
      <c r="U161" s="955">
        <f>$AA$5-S161+Q161</f>
        <v>1716.5455240000001</v>
      </c>
      <c r="V161" s="956">
        <f>$AB$5-T161+R161</f>
        <v>1563.5181429400002</v>
      </c>
      <c r="W161" s="955">
        <f t="shared" si="57"/>
        <v>153.02738105999993</v>
      </c>
      <c r="X161" s="956">
        <f t="shared" si="58"/>
        <v>8.9148454800899248</v>
      </c>
    </row>
    <row r="162" spans="1:24">
      <c r="A162" s="941" t="s">
        <v>3</v>
      </c>
      <c r="B162" s="949"/>
      <c r="C162" s="950"/>
      <c r="D162" s="949"/>
      <c r="E162" s="950"/>
      <c r="F162" s="955">
        <f>$L$6-D162+B162</f>
        <v>1425.980922</v>
      </c>
      <c r="G162" s="956">
        <f>$M$6-E162+C162</f>
        <v>1288.7804406299999</v>
      </c>
      <c r="H162" s="955">
        <f t="shared" si="55"/>
        <v>137.20048137000003</v>
      </c>
      <c r="I162" s="956">
        <f t="shared" si="56"/>
        <v>9.6214808524626267</v>
      </c>
      <c r="P162" s="941" t="s">
        <v>3</v>
      </c>
      <c r="Q162" s="949"/>
      <c r="R162" s="950"/>
      <c r="S162" s="949"/>
      <c r="T162" s="950"/>
      <c r="U162" s="955">
        <f>$AA$6-S162+Q162</f>
        <v>1274.2034646100001</v>
      </c>
      <c r="V162" s="956">
        <f>$AB$6-T162+R162</f>
        <v>1133.7920338599999</v>
      </c>
      <c r="W162" s="955">
        <f t="shared" si="57"/>
        <v>140.41143075000014</v>
      </c>
      <c r="X162" s="956">
        <f t="shared" si="58"/>
        <v>11.019545516066882</v>
      </c>
    </row>
    <row r="163" spans="1:24">
      <c r="A163" s="941" t="s">
        <v>397</v>
      </c>
      <c r="B163" s="949"/>
      <c r="C163" s="950"/>
      <c r="D163" s="949"/>
      <c r="E163" s="950"/>
      <c r="F163" s="955">
        <f>$L$7-D163+B163</f>
        <v>1168.3036757799998</v>
      </c>
      <c r="G163" s="956">
        <f>$M$7-E163+C163</f>
        <v>1041.6247668400001</v>
      </c>
      <c r="H163" s="955">
        <f t="shared" si="55"/>
        <v>126.6789089399997</v>
      </c>
      <c r="I163" s="956">
        <f t="shared" si="56"/>
        <v>10.842977863219037</v>
      </c>
      <c r="P163" s="941" t="s">
        <v>397</v>
      </c>
      <c r="Q163" s="949"/>
      <c r="R163" s="950"/>
      <c r="S163" s="949"/>
      <c r="T163" s="950"/>
      <c r="U163" s="955">
        <f>$AA$7-S163+Q163</f>
        <v>1122.133141</v>
      </c>
      <c r="V163" s="956">
        <f>$AB$7-T163+R163</f>
        <v>965.20939161000001</v>
      </c>
      <c r="W163" s="955">
        <f t="shared" si="57"/>
        <v>156.92374939000001</v>
      </c>
      <c r="X163" s="956">
        <f t="shared" si="58"/>
        <v>13.984414474217905</v>
      </c>
    </row>
    <row r="164" spans="1:24">
      <c r="A164" s="941" t="s">
        <v>399</v>
      </c>
      <c r="B164" s="949"/>
      <c r="C164" s="950"/>
      <c r="D164" s="949"/>
      <c r="E164" s="950"/>
      <c r="F164" s="955">
        <f>$L$8-D164+B164</f>
        <v>2020.4067990399999</v>
      </c>
      <c r="G164" s="956">
        <f>$M$8-E164+C164</f>
        <v>1801.9380783199999</v>
      </c>
      <c r="H164" s="955">
        <f t="shared" si="55"/>
        <v>218.46872071999996</v>
      </c>
      <c r="I164" s="956">
        <f t="shared" si="56"/>
        <v>10.813105599516186</v>
      </c>
      <c r="P164" s="941" t="s">
        <v>399</v>
      </c>
      <c r="Q164" s="949"/>
      <c r="R164" s="950"/>
      <c r="S164" s="949"/>
      <c r="T164" s="950"/>
      <c r="U164" s="955">
        <f>$AA$8-S164+Q164</f>
        <v>1886.7755155384616</v>
      </c>
      <c r="V164" s="956">
        <f>$AB$8-T164+R164</f>
        <v>1659.9203950400001</v>
      </c>
      <c r="W164" s="955">
        <f t="shared" si="57"/>
        <v>226.85512049846147</v>
      </c>
      <c r="X164" s="956">
        <f t="shared" si="58"/>
        <v>12.023429317913315</v>
      </c>
    </row>
    <row r="165" spans="1:24">
      <c r="A165" s="941" t="s">
        <v>883</v>
      </c>
      <c r="B165" s="949"/>
      <c r="C165" s="950"/>
      <c r="D165" s="949"/>
      <c r="E165" s="950"/>
      <c r="F165" s="955">
        <f>$L$9-D165+B165</f>
        <v>1172.9476380000001</v>
      </c>
      <c r="G165" s="956">
        <f>$M$9-E165+C165</f>
        <v>1076.2215956699999</v>
      </c>
      <c r="H165" s="955">
        <f t="shared" si="55"/>
        <v>96.726042330000155</v>
      </c>
      <c r="I165" s="956">
        <f t="shared" si="56"/>
        <v>8.24640752889262</v>
      </c>
      <c r="P165" s="941" t="s">
        <v>883</v>
      </c>
      <c r="Q165" s="949"/>
      <c r="R165" s="950"/>
      <c r="S165" s="949"/>
      <c r="T165" s="950"/>
      <c r="U165" s="955">
        <f>$AA$9-S165+Q165</f>
        <v>1115.8376050000002</v>
      </c>
      <c r="V165" s="956">
        <f>$AB$9-T165+R165</f>
        <v>1019.3226274000002</v>
      </c>
      <c r="W165" s="955">
        <f t="shared" si="57"/>
        <v>96.514977599999952</v>
      </c>
      <c r="X165" s="956">
        <f t="shared" si="58"/>
        <v>8.6495541257547011</v>
      </c>
    </row>
    <row r="166" spans="1:24">
      <c r="A166" s="941" t="s">
        <v>884</v>
      </c>
      <c r="B166" s="949"/>
      <c r="C166" s="950"/>
      <c r="D166" s="949"/>
      <c r="E166" s="950"/>
      <c r="F166" s="955">
        <f>$L$10-D166+B166</f>
        <v>1439.509133</v>
      </c>
      <c r="G166" s="956">
        <f>$M$10-E166+C166</f>
        <v>1320.10871228</v>
      </c>
      <c r="H166" s="955">
        <f t="shared" si="55"/>
        <v>119.40042072000006</v>
      </c>
      <c r="I166" s="956">
        <f t="shared" si="56"/>
        <v>8.2945233192903984</v>
      </c>
      <c r="P166" s="941" t="s">
        <v>884</v>
      </c>
      <c r="Q166" s="949"/>
      <c r="R166" s="950"/>
      <c r="S166" s="949"/>
      <c r="T166" s="950"/>
      <c r="U166" s="955">
        <f>$AA$10-S166+Q166</f>
        <v>1377.165158</v>
      </c>
      <c r="V166" s="956">
        <f>$AB$10-T166+R166</f>
        <v>1250.0898318520001</v>
      </c>
      <c r="W166" s="955">
        <f t="shared" si="57"/>
        <v>127.07532614799993</v>
      </c>
      <c r="X166" s="956">
        <f t="shared" si="58"/>
        <v>9.2273120191732243</v>
      </c>
    </row>
    <row r="167" spans="1:24" ht="14.4" thickBot="1">
      <c r="A167" s="941" t="s">
        <v>885</v>
      </c>
      <c r="B167" s="949"/>
      <c r="C167" s="950"/>
      <c r="D167" s="949"/>
      <c r="E167" s="950"/>
      <c r="F167" s="955">
        <f>$L$11-D167+B167</f>
        <v>290.43582400000003</v>
      </c>
      <c r="G167" s="956">
        <f>$M$11-E167+C167</f>
        <v>266.34593983000002</v>
      </c>
      <c r="H167" s="955">
        <f t="shared" si="55"/>
        <v>24.089884170000005</v>
      </c>
      <c r="I167" s="956">
        <f t="shared" si="56"/>
        <v>8.2943914556490803</v>
      </c>
      <c r="P167" s="941" t="s">
        <v>885</v>
      </c>
      <c r="Q167" s="949"/>
      <c r="R167" s="950"/>
      <c r="S167" s="949"/>
      <c r="T167" s="950"/>
      <c r="U167" s="955">
        <f>$AA$11-S167+Q167</f>
        <v>290.593999</v>
      </c>
      <c r="V167" s="956">
        <f>$AB$11-T167+R167</f>
        <v>265.04829051000002</v>
      </c>
      <c r="W167" s="955">
        <f t="shared" si="57"/>
        <v>25.545708489999981</v>
      </c>
      <c r="X167" s="956">
        <f t="shared" si="58"/>
        <v>8.7908589227267484</v>
      </c>
    </row>
    <row r="168" spans="1:24" ht="14.4" thickBot="1">
      <c r="A168" s="941" t="s">
        <v>16</v>
      </c>
      <c r="B168" s="945">
        <f t="shared" ref="B168:H168" si="59">SUM(B158:B167)</f>
        <v>0</v>
      </c>
      <c r="C168" s="945">
        <f t="shared" si="59"/>
        <v>0</v>
      </c>
      <c r="D168" s="945">
        <f t="shared" si="59"/>
        <v>0</v>
      </c>
      <c r="E168" s="945">
        <f t="shared" si="59"/>
        <v>0</v>
      </c>
      <c r="F168" s="945">
        <f t="shared" si="59"/>
        <v>14039.054123039998</v>
      </c>
      <c r="G168" s="946">
        <f t="shared" si="59"/>
        <v>12756.996153482389</v>
      </c>
      <c r="H168" s="946">
        <f t="shared" si="59"/>
        <v>1282.0579695576123</v>
      </c>
      <c r="I168" s="946">
        <f>(H168/F168)*100</f>
        <v>9.132082249427194</v>
      </c>
      <c r="P168" s="941" t="s">
        <v>16</v>
      </c>
      <c r="Q168" s="945">
        <f t="shared" ref="Q168:W168" si="60">SUM(Q158:Q167)</f>
        <v>0</v>
      </c>
      <c r="R168" s="945">
        <f t="shared" si="60"/>
        <v>0</v>
      </c>
      <c r="S168" s="945">
        <f t="shared" si="60"/>
        <v>0</v>
      </c>
      <c r="T168" s="945">
        <f t="shared" si="60"/>
        <v>0</v>
      </c>
      <c r="U168" s="945">
        <f t="shared" si="60"/>
        <v>13238.823112920001</v>
      </c>
      <c r="V168" s="946">
        <f t="shared" si="60"/>
        <v>11907.420439472</v>
      </c>
      <c r="W168" s="946">
        <f t="shared" si="60"/>
        <v>1331.4026734480003</v>
      </c>
      <c r="X168" s="946">
        <f>(W168/U168)*100</f>
        <v>10.056805367757054</v>
      </c>
    </row>
    <row r="169" spans="1:24">
      <c r="P169" s="117"/>
      <c r="Q169" s="117"/>
      <c r="R169" s="117"/>
      <c r="S169" s="117"/>
      <c r="T169" s="117"/>
      <c r="U169" s="117"/>
      <c r="V169" s="117"/>
      <c r="W169" s="117"/>
      <c r="X169" s="117"/>
    </row>
    <row r="170" spans="1:24">
      <c r="P170" s="117"/>
      <c r="Q170" s="117"/>
      <c r="R170" s="117"/>
      <c r="S170" s="117"/>
      <c r="T170" s="117"/>
      <c r="U170" s="117"/>
      <c r="V170" s="117"/>
      <c r="W170" s="117"/>
      <c r="X170" s="117"/>
    </row>
    <row r="171" spans="1:24">
      <c r="B171" s="943" t="s">
        <v>533</v>
      </c>
      <c r="P171" s="117"/>
      <c r="Q171" s="943" t="s">
        <v>533</v>
      </c>
      <c r="R171" s="117"/>
      <c r="S171" s="117"/>
      <c r="T171" s="117"/>
      <c r="U171" s="117"/>
      <c r="V171" s="117"/>
      <c r="W171" s="117"/>
      <c r="X171" s="117"/>
    </row>
    <row r="172" spans="1:24">
      <c r="H172" s="430"/>
      <c r="I172" s="430"/>
      <c r="P172" s="117"/>
      <c r="Q172" s="117"/>
      <c r="R172" s="117"/>
      <c r="S172" s="117"/>
      <c r="T172" s="117"/>
      <c r="U172" s="117"/>
      <c r="V172" s="117"/>
      <c r="W172" s="430"/>
      <c r="X172" s="430"/>
    </row>
    <row r="173" spans="1:24">
      <c r="B173" s="3411" t="str">
        <f>B156</f>
        <v>année (n) au mois</v>
      </c>
      <c r="C173" s="3411"/>
      <c r="D173" s="3411" t="str">
        <f>D156</f>
        <v>année (n-1) au mois</v>
      </c>
      <c r="E173" s="3411"/>
      <c r="F173" s="3412" t="s">
        <v>521</v>
      </c>
      <c r="G173" s="3412"/>
      <c r="H173" s="3412"/>
      <c r="I173" s="3412"/>
      <c r="P173" s="117"/>
      <c r="Q173" s="3411" t="str">
        <f>Q156</f>
        <v>année (n) au mois</v>
      </c>
      <c r="R173" s="3411"/>
      <c r="S173" s="3411" t="str">
        <f>S156</f>
        <v>année (n-1) au mois</v>
      </c>
      <c r="T173" s="3411"/>
      <c r="U173" s="3412" t="s">
        <v>521</v>
      </c>
      <c r="V173" s="3412"/>
      <c r="W173" s="3412"/>
      <c r="X173" s="3412"/>
    </row>
    <row r="174" spans="1:24">
      <c r="A174" s="430"/>
      <c r="B174" s="951" t="s">
        <v>522</v>
      </c>
      <c r="C174" s="951" t="s">
        <v>466</v>
      </c>
      <c r="D174" s="951" t="s">
        <v>522</v>
      </c>
      <c r="E174" s="951" t="s">
        <v>466</v>
      </c>
      <c r="F174" s="952" t="s">
        <v>522</v>
      </c>
      <c r="G174" s="952" t="s">
        <v>466</v>
      </c>
      <c r="H174" s="952" t="s">
        <v>523</v>
      </c>
      <c r="I174" s="952" t="s">
        <v>524</v>
      </c>
      <c r="P174" s="430"/>
      <c r="Q174" s="951" t="s">
        <v>522</v>
      </c>
      <c r="R174" s="951" t="s">
        <v>466</v>
      </c>
      <c r="S174" s="951" t="s">
        <v>522</v>
      </c>
      <c r="T174" s="951" t="s">
        <v>466</v>
      </c>
      <c r="U174" s="952" t="s">
        <v>522</v>
      </c>
      <c r="V174" s="952" t="s">
        <v>466</v>
      </c>
      <c r="W174" s="952" t="s">
        <v>523</v>
      </c>
      <c r="X174" s="952" t="s">
        <v>524</v>
      </c>
    </row>
    <row r="175" spans="1:24">
      <c r="A175" s="941" t="s">
        <v>68</v>
      </c>
      <c r="B175" s="947"/>
      <c r="C175" s="948"/>
      <c r="D175" s="947"/>
      <c r="E175" s="948"/>
      <c r="F175" s="953">
        <f>$L$2-D175+B175</f>
        <v>2685.4761284200004</v>
      </c>
      <c r="G175" s="954">
        <f>$M$2-E175+C175</f>
        <v>2429.2967955700005</v>
      </c>
      <c r="H175" s="953">
        <f>F175-G175</f>
        <v>256.17933284999981</v>
      </c>
      <c r="I175" s="1395">
        <f>(H175/F175)*100</f>
        <v>9.5394380958702794</v>
      </c>
      <c r="P175" s="941" t="s">
        <v>68</v>
      </c>
      <c r="Q175" s="947">
        <v>2346.8870260800004</v>
      </c>
      <c r="R175" s="948">
        <v>2111.6687581699998</v>
      </c>
      <c r="S175" s="947">
        <v>2144.0903936399995</v>
      </c>
      <c r="T175" s="948">
        <v>1908.81912255</v>
      </c>
      <c r="U175" s="953">
        <f>$AA$2-S175+Q175</f>
        <v>2728.1788956500009</v>
      </c>
      <c r="V175" s="954">
        <f>$AB$2-T175+R175</f>
        <v>2481.9675495999995</v>
      </c>
      <c r="W175" s="953">
        <f>U175-V175</f>
        <v>246.21134605000134</v>
      </c>
      <c r="X175" s="1395">
        <f>(W175/U175)*100</f>
        <v>9.0247507757859253</v>
      </c>
    </row>
    <row r="176" spans="1:24">
      <c r="A176" s="941" t="s">
        <v>7</v>
      </c>
      <c r="B176" s="949"/>
      <c r="C176" s="950"/>
      <c r="D176" s="949"/>
      <c r="E176" s="950"/>
      <c r="F176" s="955">
        <f>$L$3-D176+B176</f>
        <v>1088.0377707999999</v>
      </c>
      <c r="G176" s="956">
        <f>$M$3-E176+C176</f>
        <v>1001.4976930123876</v>
      </c>
      <c r="H176" s="955">
        <f t="shared" ref="H176:H184" si="61">F176-G176</f>
        <v>86.54007778761229</v>
      </c>
      <c r="I176" s="1396">
        <f t="shared" ref="I176:I184" si="62">(H176/F176)*100</f>
        <v>7.9537751455064001</v>
      </c>
      <c r="N176" s="84"/>
      <c r="O176" s="84"/>
      <c r="P176" s="941" t="s">
        <v>7</v>
      </c>
      <c r="Q176" s="949">
        <v>952.22578526153848</v>
      </c>
      <c r="R176" s="950">
        <v>871.52539584400006</v>
      </c>
      <c r="S176" s="949">
        <v>897.1270330000001</v>
      </c>
      <c r="T176" s="950">
        <v>817.94550121753014</v>
      </c>
      <c r="U176" s="955">
        <f>$AA$3-S176+Q176</f>
        <v>1083.9007418230772</v>
      </c>
      <c r="V176" s="956">
        <f>$AB$3-T176+R176</f>
        <v>992.32365871646994</v>
      </c>
      <c r="W176" s="955">
        <f t="shared" ref="W176:W184" si="63">U176-V176</f>
        <v>91.577083106607233</v>
      </c>
      <c r="X176" s="1396">
        <f t="shared" ref="X176:X184" si="64">(W176/U176)*100</f>
        <v>8.4488440290739426</v>
      </c>
    </row>
    <row r="177" spans="1:24">
      <c r="A177" s="941" t="s">
        <v>8</v>
      </c>
      <c r="B177" s="949"/>
      <c r="C177" s="950"/>
      <c r="D177" s="949"/>
      <c r="E177" s="950"/>
      <c r="F177" s="955">
        <f>$L$4-D177+B177</f>
        <v>949.9491670000001</v>
      </c>
      <c r="G177" s="956">
        <f>$M$4-E177+C177</f>
        <v>885.72264034999989</v>
      </c>
      <c r="H177" s="955">
        <f t="shared" si="61"/>
        <v>64.22652665000021</v>
      </c>
      <c r="I177" s="1396">
        <f t="shared" si="62"/>
        <v>6.7610487888348452</v>
      </c>
      <c r="N177" s="84"/>
      <c r="O177" s="84"/>
      <c r="P177" s="941" t="s">
        <v>8</v>
      </c>
      <c r="Q177" s="949">
        <v>830.72878400000002</v>
      </c>
      <c r="R177" s="950">
        <v>771.5343231899999</v>
      </c>
      <c r="S177" s="949">
        <v>797.7888210000001</v>
      </c>
      <c r="T177" s="950">
        <v>738.86725682999986</v>
      </c>
      <c r="U177" s="955">
        <f>$AA$4-S177+Q177</f>
        <v>934.32441599999993</v>
      </c>
      <c r="V177" s="956">
        <f>$AB$4-T177+R177</f>
        <v>865.32511454999997</v>
      </c>
      <c r="W177" s="955">
        <f t="shared" si="63"/>
        <v>68.999301449999962</v>
      </c>
      <c r="X177" s="1396">
        <f t="shared" si="64"/>
        <v>7.3849404198808779</v>
      </c>
    </row>
    <row r="178" spans="1:24">
      <c r="A178" s="941" t="s">
        <v>4</v>
      </c>
      <c r="B178" s="949"/>
      <c r="C178" s="950"/>
      <c r="D178" s="949"/>
      <c r="E178" s="950"/>
      <c r="F178" s="955">
        <f>$L$5-D178+B178</f>
        <v>1798.0070650000002</v>
      </c>
      <c r="G178" s="956">
        <f>$M$5-E178+C178</f>
        <v>1645.4594909800001</v>
      </c>
      <c r="H178" s="955">
        <f t="shared" si="61"/>
        <v>152.54757402000018</v>
      </c>
      <c r="I178" s="1396">
        <f t="shared" si="62"/>
        <v>8.4842588769249456</v>
      </c>
      <c r="N178" s="84"/>
      <c r="O178" s="84"/>
      <c r="P178" s="941" t="s">
        <v>4</v>
      </c>
      <c r="Q178" s="949">
        <v>1585.4427000000001</v>
      </c>
      <c r="R178" s="950">
        <v>1457.7831948300002</v>
      </c>
      <c r="S178" s="949">
        <v>1494.2433979999998</v>
      </c>
      <c r="T178" s="950">
        <v>1358.2165053600002</v>
      </c>
      <c r="U178" s="955">
        <f>$AA$5-S178+Q178</f>
        <v>1807.7448260000003</v>
      </c>
      <c r="V178" s="956">
        <f>$AB$5-T178+R178</f>
        <v>1663.0848324100002</v>
      </c>
      <c r="W178" s="955">
        <f t="shared" si="63"/>
        <v>144.65999359000011</v>
      </c>
      <c r="X178" s="1396">
        <f t="shared" si="64"/>
        <v>8.0022352441240017</v>
      </c>
    </row>
    <row r="179" spans="1:24">
      <c r="A179" s="941" t="s">
        <v>3</v>
      </c>
      <c r="B179" s="949"/>
      <c r="C179" s="950"/>
      <c r="D179" s="949"/>
      <c r="E179" s="950"/>
      <c r="F179" s="955">
        <f>$L$6-D179+B179</f>
        <v>1425.980922</v>
      </c>
      <c r="G179" s="956">
        <f>$M$6-E179+C179</f>
        <v>1288.7804406299999</v>
      </c>
      <c r="H179" s="955">
        <f t="shared" si="61"/>
        <v>137.20048137000003</v>
      </c>
      <c r="I179" s="1396">
        <f t="shared" si="62"/>
        <v>9.6214808524626267</v>
      </c>
      <c r="N179" s="84"/>
      <c r="O179" s="84"/>
      <c r="P179" s="941" t="s">
        <v>3</v>
      </c>
      <c r="Q179" s="949">
        <v>1177.99815661</v>
      </c>
      <c r="R179" s="950">
        <v>1041.0923265399999</v>
      </c>
      <c r="S179" s="949">
        <v>1134.041643</v>
      </c>
      <c r="T179" s="950">
        <v>997.67754968999998</v>
      </c>
      <c r="U179" s="955">
        <f>$AA$6-S179+Q179</f>
        <v>1318.1599782200001</v>
      </c>
      <c r="V179" s="956">
        <f>$AB$6-T179+R179</f>
        <v>1177.2068107099999</v>
      </c>
      <c r="W179" s="955">
        <f t="shared" si="63"/>
        <v>140.95316751000018</v>
      </c>
      <c r="X179" s="1396">
        <f t="shared" si="64"/>
        <v>10.693176081733167</v>
      </c>
    </row>
    <row r="180" spans="1:24">
      <c r="A180" s="941" t="s">
        <v>397</v>
      </c>
      <c r="B180" s="949"/>
      <c r="C180" s="950"/>
      <c r="D180" s="949"/>
      <c r="E180" s="950"/>
      <c r="F180" s="955">
        <f>$L$7-D180+B180</f>
        <v>1168.3036757799998</v>
      </c>
      <c r="G180" s="956">
        <f>$M$7-E180+C180</f>
        <v>1041.6247668400001</v>
      </c>
      <c r="H180" s="955">
        <f t="shared" si="61"/>
        <v>126.6789089399997</v>
      </c>
      <c r="I180" s="1396">
        <f t="shared" si="62"/>
        <v>10.842977863219037</v>
      </c>
      <c r="N180" s="84"/>
      <c r="O180" s="84"/>
      <c r="P180" s="941" t="s">
        <v>397</v>
      </c>
      <c r="Q180" s="949">
        <v>1038.3272030000001</v>
      </c>
      <c r="R180" s="950">
        <v>890.50049603000002</v>
      </c>
      <c r="S180" s="949">
        <v>953.68955700000015</v>
      </c>
      <c r="T180" s="950">
        <v>795.95545100000004</v>
      </c>
      <c r="U180" s="955">
        <f>$AA$7-S180+Q180</f>
        <v>1206.7707869999999</v>
      </c>
      <c r="V180" s="956">
        <f>$AB$7-T180+R180</f>
        <v>1059.75443664</v>
      </c>
      <c r="W180" s="955">
        <f t="shared" si="63"/>
        <v>147.01635035999993</v>
      </c>
      <c r="X180" s="1396">
        <f t="shared" si="64"/>
        <v>12.182624235168857</v>
      </c>
    </row>
    <row r="181" spans="1:24">
      <c r="A181" s="941" t="s">
        <v>399</v>
      </c>
      <c r="B181" s="949"/>
      <c r="C181" s="950"/>
      <c r="D181" s="949"/>
      <c r="E181" s="950"/>
      <c r="F181" s="955">
        <f>$L$8-D181+B181</f>
        <v>2020.4067990399999</v>
      </c>
      <c r="G181" s="956">
        <f>$M$8-E181+C181</f>
        <v>1801.9380783199999</v>
      </c>
      <c r="H181" s="955">
        <f t="shared" si="61"/>
        <v>218.46872071999996</v>
      </c>
      <c r="I181" s="1396">
        <f t="shared" si="62"/>
        <v>10.813105599516186</v>
      </c>
      <c r="N181" s="84"/>
      <c r="O181" s="84"/>
      <c r="P181" s="941" t="s">
        <v>399</v>
      </c>
      <c r="Q181" s="949">
        <v>1744.3365755384616</v>
      </c>
      <c r="R181" s="950">
        <v>1517.7912502600002</v>
      </c>
      <c r="S181" s="949">
        <v>1610.4967060000001</v>
      </c>
      <c r="T181" s="950">
        <v>1395.0383680799998</v>
      </c>
      <c r="U181" s="955">
        <f>$AA$8-S181+Q181</f>
        <v>2020.6153850769231</v>
      </c>
      <c r="V181" s="956">
        <f>$AB$8-T181+R181</f>
        <v>1782.6732772200005</v>
      </c>
      <c r="W181" s="955">
        <f t="shared" si="63"/>
        <v>237.94210785692258</v>
      </c>
      <c r="X181" s="1396">
        <f t="shared" si="64"/>
        <v>11.775724841759745</v>
      </c>
    </row>
    <row r="182" spans="1:24">
      <c r="A182" s="941" t="s">
        <v>883</v>
      </c>
      <c r="B182" s="949"/>
      <c r="C182" s="950"/>
      <c r="D182" s="949"/>
      <c r="E182" s="950"/>
      <c r="F182" s="955">
        <f>$L$9-D182+B182</f>
        <v>1172.9476380000001</v>
      </c>
      <c r="G182" s="956">
        <f>$M$9-E182+C182</f>
        <v>1076.2215956699999</v>
      </c>
      <c r="H182" s="955">
        <f t="shared" si="61"/>
        <v>96.726042330000155</v>
      </c>
      <c r="I182" s="1396">
        <f t="shared" si="62"/>
        <v>8.24640752889262</v>
      </c>
      <c r="N182" s="84"/>
      <c r="O182" s="84"/>
      <c r="P182" s="941" t="s">
        <v>883</v>
      </c>
      <c r="Q182" s="949">
        <v>1042.2818460000001</v>
      </c>
      <c r="R182" s="950">
        <v>953.85074615000019</v>
      </c>
      <c r="S182" s="949">
        <v>983.78505800000016</v>
      </c>
      <c r="T182" s="950">
        <v>890.54753370999981</v>
      </c>
      <c r="U182" s="955">
        <f>$AA$9-S182+Q182</f>
        <v>1174.3343930000001</v>
      </c>
      <c r="V182" s="956">
        <f>$AB$9-T182+R182</f>
        <v>1082.6258398400005</v>
      </c>
      <c r="W182" s="955">
        <f t="shared" si="63"/>
        <v>91.70855315999961</v>
      </c>
      <c r="X182" s="1396">
        <f t="shared" si="64"/>
        <v>7.8094070740547235</v>
      </c>
    </row>
    <row r="183" spans="1:24">
      <c r="A183" s="941" t="s">
        <v>884</v>
      </c>
      <c r="B183" s="949"/>
      <c r="C183" s="950"/>
      <c r="D183" s="949"/>
      <c r="E183" s="950"/>
      <c r="F183" s="955">
        <f>$L$10-D183+B183</f>
        <v>1439.509133</v>
      </c>
      <c r="G183" s="956">
        <f>$M$10-E183+C183</f>
        <v>1320.10871228</v>
      </c>
      <c r="H183" s="955">
        <f t="shared" si="61"/>
        <v>119.40042072000006</v>
      </c>
      <c r="I183" s="1396">
        <f t="shared" si="62"/>
        <v>8.2945233192903984</v>
      </c>
      <c r="N183" s="84"/>
      <c r="O183" s="84"/>
      <c r="P183" s="941" t="s">
        <v>884</v>
      </c>
      <c r="Q183" s="949">
        <v>1287.2274500000001</v>
      </c>
      <c r="R183" s="950">
        <v>1183.0348792520001</v>
      </c>
      <c r="S183" s="949">
        <v>1190.7199440000002</v>
      </c>
      <c r="T183" s="950">
        <v>1075.6672553200003</v>
      </c>
      <c r="U183" s="955">
        <f>$AA$10-S183+Q183</f>
        <v>1473.6726639999999</v>
      </c>
      <c r="V183" s="956">
        <f>$AB$10-T183+R183</f>
        <v>1357.4574557839999</v>
      </c>
      <c r="W183" s="955">
        <f t="shared" si="63"/>
        <v>116.21520821600006</v>
      </c>
      <c r="X183" s="1396">
        <f t="shared" si="64"/>
        <v>7.886093774757029</v>
      </c>
    </row>
    <row r="184" spans="1:24" ht="14.4" thickBot="1">
      <c r="A184" s="941" t="s">
        <v>885</v>
      </c>
      <c r="B184" s="949"/>
      <c r="C184" s="950"/>
      <c r="D184" s="949"/>
      <c r="E184" s="950"/>
      <c r="F184" s="955">
        <f>$L$11-D184+B184</f>
        <v>290.43582400000003</v>
      </c>
      <c r="G184" s="956">
        <f>$M$11-E184+C184</f>
        <v>266.34593983000002</v>
      </c>
      <c r="H184" s="955">
        <f t="shared" si="61"/>
        <v>24.089884170000005</v>
      </c>
      <c r="I184" s="1396">
        <f t="shared" si="62"/>
        <v>8.2943914556490803</v>
      </c>
      <c r="N184" s="84"/>
      <c r="O184" s="84"/>
      <c r="P184" s="941" t="s">
        <v>885</v>
      </c>
      <c r="Q184" s="949">
        <v>267.53521000000001</v>
      </c>
      <c r="R184" s="950">
        <v>247.76025672</v>
      </c>
      <c r="S184" s="949">
        <v>269.48350599999998</v>
      </c>
      <c r="T184" s="950">
        <v>244.73766924</v>
      </c>
      <c r="U184" s="955">
        <f>$AA$11-S184+Q184</f>
        <v>288.64570300000003</v>
      </c>
      <c r="V184" s="956">
        <f>$AB$11-T184+R184</f>
        <v>268.07087798999999</v>
      </c>
      <c r="W184" s="955">
        <f t="shared" si="63"/>
        <v>20.57482501000004</v>
      </c>
      <c r="X184" s="1396">
        <f t="shared" si="64"/>
        <v>7.1280551888208903</v>
      </c>
    </row>
    <row r="185" spans="1:24" ht="14.4" thickBot="1">
      <c r="A185" s="941" t="s">
        <v>16</v>
      </c>
      <c r="B185" s="945">
        <f t="shared" ref="B185:H185" si="65">SUM(B175:B184)</f>
        <v>0</v>
      </c>
      <c r="C185" s="945">
        <f t="shared" si="65"/>
        <v>0</v>
      </c>
      <c r="D185" s="945">
        <f t="shared" si="65"/>
        <v>0</v>
      </c>
      <c r="E185" s="945">
        <f t="shared" si="65"/>
        <v>0</v>
      </c>
      <c r="F185" s="945">
        <f t="shared" si="65"/>
        <v>14039.054123039998</v>
      </c>
      <c r="G185" s="946">
        <f t="shared" si="65"/>
        <v>12756.996153482389</v>
      </c>
      <c r="H185" s="946">
        <f t="shared" si="65"/>
        <v>1282.0579695576123</v>
      </c>
      <c r="I185" s="1361">
        <f>(H185/F185)*100</f>
        <v>9.132082249427194</v>
      </c>
      <c r="N185" s="84"/>
      <c r="O185" s="84"/>
      <c r="P185" s="941" t="s">
        <v>16</v>
      </c>
      <c r="Q185" s="945">
        <f t="shared" ref="Q185:W185" si="66">SUM(Q175:Q184)</f>
        <v>12272.990736489999</v>
      </c>
      <c r="R185" s="945">
        <f t="shared" si="66"/>
        <v>11046.541626985998</v>
      </c>
      <c r="S185" s="945">
        <f t="shared" si="66"/>
        <v>11475.466059639999</v>
      </c>
      <c r="T185" s="945">
        <f t="shared" si="66"/>
        <v>10223.472212997529</v>
      </c>
      <c r="U185" s="945">
        <f t="shared" si="66"/>
        <v>14036.34778977</v>
      </c>
      <c r="V185" s="946">
        <f t="shared" si="66"/>
        <v>12730.489853460471</v>
      </c>
      <c r="W185" s="946">
        <f t="shared" si="66"/>
        <v>1305.8579363095309</v>
      </c>
      <c r="X185" s="1361">
        <f>(W185/U185)*100</f>
        <v>9.3034025365292603</v>
      </c>
    </row>
    <row r="186" spans="1:24">
      <c r="N186" s="84"/>
      <c r="O186" s="84"/>
      <c r="P186" s="117"/>
      <c r="Q186" s="117"/>
      <c r="R186" s="117"/>
      <c r="S186" s="117"/>
      <c r="T186" s="117"/>
      <c r="U186" s="117"/>
      <c r="V186" s="117"/>
      <c r="W186" s="117"/>
      <c r="X186" s="117"/>
    </row>
    <row r="187" spans="1:24">
      <c r="P187" s="117"/>
      <c r="Q187" s="117"/>
      <c r="R187" s="117"/>
      <c r="S187" s="117"/>
      <c r="T187" s="117"/>
      <c r="U187" s="117"/>
      <c r="V187" s="117"/>
      <c r="W187" s="117"/>
      <c r="X187" s="117"/>
    </row>
    <row r="188" spans="1:24">
      <c r="B188" s="943" t="s">
        <v>534</v>
      </c>
      <c r="P188" s="117"/>
      <c r="Q188" s="943" t="s">
        <v>534</v>
      </c>
      <c r="R188" s="117"/>
      <c r="S188" s="117"/>
      <c r="T188" s="117"/>
      <c r="U188" s="117"/>
      <c r="V188" s="117"/>
      <c r="W188" s="117"/>
      <c r="X188" s="117"/>
    </row>
    <row r="189" spans="1:24">
      <c r="H189" s="430"/>
      <c r="I189" s="430"/>
      <c r="P189" s="117"/>
      <c r="Q189" s="117"/>
      <c r="R189" s="117"/>
      <c r="S189" s="117"/>
      <c r="T189" s="117"/>
      <c r="U189" s="117"/>
      <c r="V189" s="117"/>
      <c r="W189" s="430"/>
      <c r="X189" s="430"/>
    </row>
    <row r="190" spans="1:24">
      <c r="B190" s="3411" t="str">
        <f>B173</f>
        <v>année (n) au mois</v>
      </c>
      <c r="C190" s="3411"/>
      <c r="D190" s="3411" t="str">
        <f>D173</f>
        <v>année (n-1) au mois</v>
      </c>
      <c r="E190" s="3411"/>
      <c r="F190" s="3412" t="s">
        <v>521</v>
      </c>
      <c r="G190" s="3412"/>
      <c r="H190" s="3412"/>
      <c r="I190" s="3412"/>
      <c r="P190" s="117"/>
      <c r="Q190" s="3411" t="str">
        <f>Q173</f>
        <v>année (n) au mois</v>
      </c>
      <c r="R190" s="3411"/>
      <c r="S190" s="3411" t="str">
        <f>S173</f>
        <v>année (n-1) au mois</v>
      </c>
      <c r="T190" s="3411"/>
      <c r="U190" s="3412" t="s">
        <v>521</v>
      </c>
      <c r="V190" s="3412"/>
      <c r="W190" s="3412"/>
      <c r="X190" s="3412"/>
    </row>
    <row r="191" spans="1:24">
      <c r="A191" s="430"/>
      <c r="B191" s="951" t="s">
        <v>522</v>
      </c>
      <c r="C191" s="951" t="s">
        <v>466</v>
      </c>
      <c r="D191" s="951" t="s">
        <v>522</v>
      </c>
      <c r="E191" s="951" t="s">
        <v>466</v>
      </c>
      <c r="F191" s="952" t="s">
        <v>522</v>
      </c>
      <c r="G191" s="952" t="s">
        <v>466</v>
      </c>
      <c r="H191" s="952" t="s">
        <v>523</v>
      </c>
      <c r="I191" s="952" t="s">
        <v>524</v>
      </c>
      <c r="P191" s="430"/>
      <c r="Q191" s="951" t="s">
        <v>522</v>
      </c>
      <c r="R191" s="951" t="s">
        <v>466</v>
      </c>
      <c r="S191" s="951" t="s">
        <v>522</v>
      </c>
      <c r="T191" s="951" t="s">
        <v>466</v>
      </c>
      <c r="U191" s="952" t="s">
        <v>522</v>
      </c>
      <c r="V191" s="952" t="s">
        <v>466</v>
      </c>
      <c r="W191" s="952" t="s">
        <v>523</v>
      </c>
      <c r="X191" s="952" t="s">
        <v>524</v>
      </c>
    </row>
    <row r="192" spans="1:24">
      <c r="A192" s="941" t="s">
        <v>68</v>
      </c>
      <c r="B192" s="947"/>
      <c r="C192" s="948"/>
      <c r="D192" s="947"/>
      <c r="E192" s="948"/>
      <c r="F192" s="953">
        <f>$L$2-D192+B192</f>
        <v>2685.4761284200004</v>
      </c>
      <c r="G192" s="954">
        <f>$M$2-E192+C192</f>
        <v>2429.2967955700005</v>
      </c>
      <c r="H192" s="953">
        <f>F192-G192</f>
        <v>256.17933284999981</v>
      </c>
      <c r="I192" s="954">
        <f>(H192/F192)*100</f>
        <v>9.5394380958702794</v>
      </c>
      <c r="P192" s="941" t="s">
        <v>68</v>
      </c>
      <c r="Q192" s="947"/>
      <c r="R192" s="948"/>
      <c r="S192" s="947"/>
      <c r="T192" s="948"/>
      <c r="U192" s="953">
        <f>$AA$2-S192+Q192</f>
        <v>2525.38226321</v>
      </c>
      <c r="V192" s="954">
        <f>$AB$2-T192+R192</f>
        <v>2279.1179139799997</v>
      </c>
      <c r="W192" s="953">
        <f>U192-V192</f>
        <v>246.26434923000033</v>
      </c>
      <c r="X192" s="954">
        <f>(W192/U192)*100</f>
        <v>9.7515672307357946</v>
      </c>
    </row>
    <row r="193" spans="1:24">
      <c r="A193" s="941" t="s">
        <v>7</v>
      </c>
      <c r="B193" s="949"/>
      <c r="C193" s="950"/>
      <c r="D193" s="949"/>
      <c r="E193" s="950"/>
      <c r="F193" s="955">
        <f>$L$3-D193+B193</f>
        <v>1088.0377707999999</v>
      </c>
      <c r="G193" s="956">
        <f>$M$3-E193+C193</f>
        <v>1001.4976930123876</v>
      </c>
      <c r="H193" s="955">
        <f t="shared" ref="H193:H201" si="67">F193-G193</f>
        <v>86.54007778761229</v>
      </c>
      <c r="I193" s="956">
        <f t="shared" ref="I193:I201" si="68">(H193/F193)*100</f>
        <v>7.9537751455064001</v>
      </c>
      <c r="P193" s="941" t="s">
        <v>7</v>
      </c>
      <c r="Q193" s="949"/>
      <c r="R193" s="950"/>
      <c r="S193" s="949"/>
      <c r="T193" s="950"/>
      <c r="U193" s="955">
        <f>$AA$3-S193+Q193</f>
        <v>1028.8019895615387</v>
      </c>
      <c r="V193" s="956">
        <f>$AB$3-T193+R193</f>
        <v>938.74376409000001</v>
      </c>
      <c r="W193" s="955">
        <f t="shared" ref="W193:W201" si="69">U193-V193</f>
        <v>90.058225471538663</v>
      </c>
      <c r="X193" s="956">
        <f t="shared" ref="X193:X201" si="70">(W193/U193)*100</f>
        <v>8.7536986111312096</v>
      </c>
    </row>
    <row r="194" spans="1:24">
      <c r="A194" s="941" t="s">
        <v>8</v>
      </c>
      <c r="B194" s="949"/>
      <c r="C194" s="950"/>
      <c r="D194" s="949"/>
      <c r="E194" s="950"/>
      <c r="F194" s="955">
        <f>$L$4-D194+B194</f>
        <v>949.9491670000001</v>
      </c>
      <c r="G194" s="956">
        <f>$M$4-E194+C194</f>
        <v>885.72264034999989</v>
      </c>
      <c r="H194" s="955">
        <f t="shared" si="67"/>
        <v>64.22652665000021</v>
      </c>
      <c r="I194" s="956">
        <f t="shared" si="68"/>
        <v>6.7610487888348452</v>
      </c>
      <c r="P194" s="941" t="s">
        <v>8</v>
      </c>
      <c r="Q194" s="949"/>
      <c r="R194" s="950"/>
      <c r="S194" s="949"/>
      <c r="T194" s="950"/>
      <c r="U194" s="955">
        <f>$AA$4-S194+Q194</f>
        <v>901.38445300000001</v>
      </c>
      <c r="V194" s="956">
        <f>$AB$4-T194+R194</f>
        <v>832.65804818999993</v>
      </c>
      <c r="W194" s="955">
        <f t="shared" si="69"/>
        <v>68.726404810000076</v>
      </c>
      <c r="X194" s="956">
        <f t="shared" si="70"/>
        <v>7.6245385175286655</v>
      </c>
    </row>
    <row r="195" spans="1:24">
      <c r="A195" s="941" t="s">
        <v>4</v>
      </c>
      <c r="B195" s="949"/>
      <c r="C195" s="950"/>
      <c r="D195" s="949"/>
      <c r="E195" s="950"/>
      <c r="F195" s="955">
        <f>$L$5-D195+B195</f>
        <v>1798.0070650000002</v>
      </c>
      <c r="G195" s="956">
        <f>$M$5-E195+C195</f>
        <v>1645.4594909800001</v>
      </c>
      <c r="H195" s="955">
        <f t="shared" si="67"/>
        <v>152.54757402000018</v>
      </c>
      <c r="I195" s="956">
        <f t="shared" si="68"/>
        <v>8.4842588769249456</v>
      </c>
      <c r="P195" s="941" t="s">
        <v>4</v>
      </c>
      <c r="Q195" s="949"/>
      <c r="R195" s="950"/>
      <c r="S195" s="949"/>
      <c r="T195" s="950"/>
      <c r="U195" s="955">
        <f>$AA$5-S195+Q195</f>
        <v>1716.5455240000001</v>
      </c>
      <c r="V195" s="956">
        <f>$AB$5-T195+R195</f>
        <v>1563.5181429400002</v>
      </c>
      <c r="W195" s="955">
        <f t="shared" si="69"/>
        <v>153.02738105999993</v>
      </c>
      <c r="X195" s="956">
        <f t="shared" si="70"/>
        <v>8.9148454800899248</v>
      </c>
    </row>
    <row r="196" spans="1:24">
      <c r="A196" s="941" t="s">
        <v>3</v>
      </c>
      <c r="B196" s="949"/>
      <c r="C196" s="950"/>
      <c r="D196" s="949"/>
      <c r="E196" s="950"/>
      <c r="F196" s="955">
        <f>$L$6-D196+B196</f>
        <v>1425.980922</v>
      </c>
      <c r="G196" s="956">
        <f>$M$6-E196+C196</f>
        <v>1288.7804406299999</v>
      </c>
      <c r="H196" s="955">
        <f t="shared" si="67"/>
        <v>137.20048137000003</v>
      </c>
      <c r="I196" s="956">
        <f t="shared" si="68"/>
        <v>9.6214808524626267</v>
      </c>
      <c r="P196" s="941" t="s">
        <v>3</v>
      </c>
      <c r="Q196" s="949"/>
      <c r="R196" s="950"/>
      <c r="S196" s="949"/>
      <c r="T196" s="950"/>
      <c r="U196" s="955">
        <f>$AA$6-S196+Q196</f>
        <v>1274.2034646100001</v>
      </c>
      <c r="V196" s="956">
        <f>$AB$6-T196+R196</f>
        <v>1133.7920338599999</v>
      </c>
      <c r="W196" s="955">
        <f t="shared" si="69"/>
        <v>140.41143075000014</v>
      </c>
      <c r="X196" s="956">
        <f t="shared" si="70"/>
        <v>11.019545516066882</v>
      </c>
    </row>
    <row r="197" spans="1:24">
      <c r="A197" s="941" t="s">
        <v>397</v>
      </c>
      <c r="B197" s="949"/>
      <c r="C197" s="950"/>
      <c r="D197" s="949"/>
      <c r="E197" s="950"/>
      <c r="F197" s="955">
        <f>$L$7-D197+B197</f>
        <v>1168.3036757799998</v>
      </c>
      <c r="G197" s="956">
        <f>$M$7-E197+C197</f>
        <v>1041.6247668400001</v>
      </c>
      <c r="H197" s="955">
        <f t="shared" si="67"/>
        <v>126.6789089399997</v>
      </c>
      <c r="I197" s="956">
        <f t="shared" si="68"/>
        <v>10.842977863219037</v>
      </c>
      <c r="P197" s="941" t="s">
        <v>397</v>
      </c>
      <c r="Q197" s="949"/>
      <c r="R197" s="950"/>
      <c r="S197" s="949"/>
      <c r="T197" s="950"/>
      <c r="U197" s="955">
        <f>$AA$7-S197+Q197</f>
        <v>1122.133141</v>
      </c>
      <c r="V197" s="956">
        <f>$AB$7-T197+R197</f>
        <v>965.20939161000001</v>
      </c>
      <c r="W197" s="955">
        <f t="shared" si="69"/>
        <v>156.92374939000001</v>
      </c>
      <c r="X197" s="956">
        <f t="shared" si="70"/>
        <v>13.984414474217905</v>
      </c>
    </row>
    <row r="198" spans="1:24">
      <c r="A198" s="941" t="s">
        <v>399</v>
      </c>
      <c r="B198" s="949"/>
      <c r="C198" s="950"/>
      <c r="D198" s="949"/>
      <c r="E198" s="950"/>
      <c r="F198" s="955">
        <f>$L$8-D198+B198</f>
        <v>2020.4067990399999</v>
      </c>
      <c r="G198" s="956">
        <f>$M$8-E198+C198</f>
        <v>1801.9380783199999</v>
      </c>
      <c r="H198" s="955">
        <f t="shared" si="67"/>
        <v>218.46872071999996</v>
      </c>
      <c r="I198" s="956">
        <f t="shared" si="68"/>
        <v>10.813105599516186</v>
      </c>
      <c r="P198" s="941" t="s">
        <v>399</v>
      </c>
      <c r="Q198" s="949"/>
      <c r="R198" s="950"/>
      <c r="S198" s="949"/>
      <c r="T198" s="950"/>
      <c r="U198" s="955">
        <f>$AA$8-S198+Q198</f>
        <v>1886.7755155384616</v>
      </c>
      <c r="V198" s="956">
        <f>$AB$8-T198+R198</f>
        <v>1659.9203950400001</v>
      </c>
      <c r="W198" s="955">
        <f t="shared" si="69"/>
        <v>226.85512049846147</v>
      </c>
      <c r="X198" s="956">
        <f t="shared" si="70"/>
        <v>12.023429317913315</v>
      </c>
    </row>
    <row r="199" spans="1:24">
      <c r="A199" s="941" t="s">
        <v>883</v>
      </c>
      <c r="B199" s="949"/>
      <c r="C199" s="950"/>
      <c r="D199" s="949"/>
      <c r="E199" s="950"/>
      <c r="F199" s="955">
        <f>$L$9-D199+B199</f>
        <v>1172.9476380000001</v>
      </c>
      <c r="G199" s="956">
        <f>$M$9-E199+C199</f>
        <v>1076.2215956699999</v>
      </c>
      <c r="H199" s="955">
        <f t="shared" si="67"/>
        <v>96.726042330000155</v>
      </c>
      <c r="I199" s="956">
        <f t="shared" si="68"/>
        <v>8.24640752889262</v>
      </c>
      <c r="P199" s="941" t="s">
        <v>883</v>
      </c>
      <c r="Q199" s="949"/>
      <c r="R199" s="950"/>
      <c r="S199" s="949"/>
      <c r="T199" s="950"/>
      <c r="U199" s="955">
        <f>$AA$9-S199+Q199</f>
        <v>1115.8376050000002</v>
      </c>
      <c r="V199" s="956">
        <f>$AB$9-T199+R199</f>
        <v>1019.3226274000002</v>
      </c>
      <c r="W199" s="955">
        <f t="shared" si="69"/>
        <v>96.514977599999952</v>
      </c>
      <c r="X199" s="956">
        <f t="shared" si="70"/>
        <v>8.6495541257547011</v>
      </c>
    </row>
    <row r="200" spans="1:24">
      <c r="A200" s="941" t="s">
        <v>884</v>
      </c>
      <c r="B200" s="949"/>
      <c r="C200" s="950"/>
      <c r="D200" s="949"/>
      <c r="E200" s="950"/>
      <c r="F200" s="955">
        <f>$L$10-D200+B200</f>
        <v>1439.509133</v>
      </c>
      <c r="G200" s="956">
        <f>$M$10-E200+C200</f>
        <v>1320.10871228</v>
      </c>
      <c r="H200" s="955">
        <f t="shared" si="67"/>
        <v>119.40042072000006</v>
      </c>
      <c r="I200" s="956">
        <f t="shared" si="68"/>
        <v>8.2945233192903984</v>
      </c>
      <c r="P200" s="941" t="s">
        <v>884</v>
      </c>
      <c r="Q200" s="949"/>
      <c r="R200" s="950"/>
      <c r="S200" s="949"/>
      <c r="T200" s="950"/>
      <c r="U200" s="955">
        <f>$AA$10-S200+Q200</f>
        <v>1377.165158</v>
      </c>
      <c r="V200" s="956">
        <f>$AB$10-T200+R200</f>
        <v>1250.0898318520001</v>
      </c>
      <c r="W200" s="955">
        <f t="shared" si="69"/>
        <v>127.07532614799993</v>
      </c>
      <c r="X200" s="956">
        <f t="shared" si="70"/>
        <v>9.2273120191732243</v>
      </c>
    </row>
    <row r="201" spans="1:24" ht="14.4" thickBot="1">
      <c r="A201" s="941" t="s">
        <v>885</v>
      </c>
      <c r="B201" s="949"/>
      <c r="C201" s="950"/>
      <c r="D201" s="949"/>
      <c r="E201" s="950"/>
      <c r="F201" s="955">
        <f>$L$11-D201+B201</f>
        <v>290.43582400000003</v>
      </c>
      <c r="G201" s="956">
        <f>$M$11-E201+C201</f>
        <v>266.34593983000002</v>
      </c>
      <c r="H201" s="955">
        <f t="shared" si="67"/>
        <v>24.089884170000005</v>
      </c>
      <c r="I201" s="956">
        <f t="shared" si="68"/>
        <v>8.2943914556490803</v>
      </c>
      <c r="P201" s="941" t="s">
        <v>885</v>
      </c>
      <c r="Q201" s="949"/>
      <c r="R201" s="950"/>
      <c r="S201" s="949"/>
      <c r="T201" s="950"/>
      <c r="U201" s="955">
        <f>$AA$11-S201+Q201</f>
        <v>290.593999</v>
      </c>
      <c r="V201" s="956">
        <f>$AB$11-T201+R201</f>
        <v>265.04829051000002</v>
      </c>
      <c r="W201" s="955">
        <f t="shared" si="69"/>
        <v>25.545708489999981</v>
      </c>
      <c r="X201" s="956">
        <f t="shared" si="70"/>
        <v>8.7908589227267484</v>
      </c>
    </row>
    <row r="202" spans="1:24" ht="14.4" thickBot="1">
      <c r="A202" s="941" t="s">
        <v>16</v>
      </c>
      <c r="B202" s="945">
        <f t="shared" ref="B202:H202" si="71">SUM(B192:B201)</f>
        <v>0</v>
      </c>
      <c r="C202" s="945">
        <f t="shared" si="71"/>
        <v>0</v>
      </c>
      <c r="D202" s="945">
        <f t="shared" si="71"/>
        <v>0</v>
      </c>
      <c r="E202" s="945">
        <f t="shared" si="71"/>
        <v>0</v>
      </c>
      <c r="F202" s="945">
        <f t="shared" si="71"/>
        <v>14039.054123039998</v>
      </c>
      <c r="G202" s="946">
        <f t="shared" si="71"/>
        <v>12756.996153482389</v>
      </c>
      <c r="H202" s="946">
        <f t="shared" si="71"/>
        <v>1282.0579695576123</v>
      </c>
      <c r="I202" s="1361">
        <f>(H202/F202)*100</f>
        <v>9.132082249427194</v>
      </c>
      <c r="P202" s="941" t="s">
        <v>16</v>
      </c>
      <c r="Q202" s="945">
        <f t="shared" ref="Q202:W202" si="72">SUM(Q192:Q201)</f>
        <v>0</v>
      </c>
      <c r="R202" s="945">
        <f t="shared" si="72"/>
        <v>0</v>
      </c>
      <c r="S202" s="945">
        <f t="shared" si="72"/>
        <v>0</v>
      </c>
      <c r="T202" s="945">
        <f t="shared" si="72"/>
        <v>0</v>
      </c>
      <c r="U202" s="945">
        <f t="shared" si="72"/>
        <v>13238.823112920001</v>
      </c>
      <c r="V202" s="946">
        <f t="shared" si="72"/>
        <v>11907.420439472</v>
      </c>
      <c r="W202" s="946">
        <f t="shared" si="72"/>
        <v>1331.4026734480003</v>
      </c>
      <c r="X202" s="1361">
        <f>(W202/U202)*100</f>
        <v>10.056805367757054</v>
      </c>
    </row>
    <row r="203" spans="1:24">
      <c r="P203" s="117"/>
      <c r="Q203" s="117"/>
      <c r="R203" s="117"/>
      <c r="S203" s="117"/>
      <c r="T203" s="117"/>
      <c r="U203" s="117"/>
      <c r="V203" s="117"/>
      <c r="W203" s="117"/>
      <c r="X203" s="117"/>
    </row>
    <row r="204" spans="1:24">
      <c r="P204" s="117"/>
      <c r="Q204" s="117"/>
      <c r="R204" s="117"/>
      <c r="S204" s="117"/>
      <c r="T204" s="117"/>
      <c r="U204" s="117"/>
      <c r="V204" s="117"/>
      <c r="W204" s="117"/>
      <c r="X204" s="117"/>
    </row>
    <row r="205" spans="1:24">
      <c r="P205" s="117"/>
      <c r="Q205" s="117"/>
      <c r="R205" s="117"/>
      <c r="S205" s="117"/>
      <c r="T205" s="117"/>
      <c r="U205" s="117"/>
      <c r="V205" s="117"/>
      <c r="W205" s="117"/>
      <c r="X205" s="117"/>
    </row>
    <row r="206" spans="1:24">
      <c r="P206" s="117"/>
      <c r="Q206" s="117"/>
      <c r="R206" s="117"/>
      <c r="S206" s="117"/>
      <c r="T206" s="117"/>
      <c r="U206" s="117"/>
      <c r="V206" s="117"/>
      <c r="W206" s="117"/>
      <c r="X206" s="117"/>
    </row>
    <row r="207" spans="1:24">
      <c r="P207" s="117"/>
      <c r="Q207" s="117"/>
      <c r="R207" s="117"/>
      <c r="S207" s="117"/>
      <c r="T207" s="117"/>
      <c r="U207" s="117"/>
      <c r="V207" s="117"/>
      <c r="W207" s="117"/>
      <c r="X207" s="117"/>
    </row>
    <row r="208" spans="1:24">
      <c r="P208" s="117"/>
      <c r="Q208" s="117"/>
      <c r="R208" s="117"/>
      <c r="S208" s="117"/>
      <c r="T208" s="117"/>
      <c r="U208" s="117"/>
      <c r="V208" s="117"/>
      <c r="W208" s="117"/>
      <c r="X208" s="117"/>
    </row>
    <row r="209" spans="1:24">
      <c r="P209" s="117"/>
      <c r="Q209" s="117"/>
      <c r="R209" s="117"/>
      <c r="S209" s="117"/>
      <c r="T209" s="117"/>
      <c r="U209" s="117"/>
      <c r="V209" s="117"/>
      <c r="W209" s="117"/>
      <c r="X209" s="117"/>
    </row>
    <row r="210" spans="1:24">
      <c r="P210" s="117"/>
      <c r="Q210" s="117"/>
      <c r="R210" s="117"/>
      <c r="S210" s="117"/>
      <c r="T210" s="117"/>
      <c r="U210" s="117"/>
      <c r="V210" s="117"/>
      <c r="W210" s="117"/>
      <c r="X210" s="117"/>
    </row>
    <row r="211" spans="1:24">
      <c r="P211" s="117"/>
      <c r="Q211" s="117"/>
      <c r="R211" s="117"/>
      <c r="S211" s="117"/>
      <c r="T211" s="117"/>
      <c r="U211" s="117"/>
      <c r="V211" s="117"/>
      <c r="W211" s="117"/>
      <c r="X211" s="117"/>
    </row>
    <row r="212" spans="1:24">
      <c r="P212" s="117"/>
      <c r="Q212" s="117"/>
      <c r="R212" s="117"/>
      <c r="S212" s="117"/>
      <c r="T212" s="117"/>
      <c r="U212" s="117"/>
      <c r="V212" s="117"/>
      <c r="W212" s="117"/>
      <c r="X212" s="117"/>
    </row>
    <row r="213" spans="1:24">
      <c r="P213" s="117"/>
      <c r="Q213" s="117"/>
      <c r="R213" s="117"/>
      <c r="S213" s="117"/>
      <c r="T213" s="117"/>
      <c r="U213" s="117"/>
      <c r="V213" s="117"/>
      <c r="W213" s="117"/>
      <c r="X213" s="117"/>
    </row>
    <row r="214" spans="1:24">
      <c r="P214" s="117"/>
      <c r="Q214" s="117"/>
      <c r="R214" s="117"/>
      <c r="S214" s="117"/>
      <c r="T214" s="117"/>
      <c r="U214" s="117"/>
      <c r="V214" s="117"/>
      <c r="W214" s="117"/>
      <c r="X214" s="117"/>
    </row>
    <row r="215" spans="1:24">
      <c r="P215" s="117"/>
      <c r="Q215" s="117"/>
      <c r="R215" s="117"/>
      <c r="S215" s="117"/>
      <c r="T215" s="117"/>
      <c r="U215" s="117"/>
      <c r="V215" s="117"/>
      <c r="W215" s="117"/>
      <c r="X215" s="117"/>
    </row>
    <row r="216" spans="1:24">
      <c r="B216" s="3411" t="s">
        <v>541</v>
      </c>
      <c r="C216" s="3411"/>
      <c r="D216" s="3411" t="s">
        <v>540</v>
      </c>
      <c r="E216" s="3411"/>
      <c r="F216" s="3412" t="s">
        <v>521</v>
      </c>
      <c r="G216" s="3412"/>
      <c r="H216" s="3412"/>
      <c r="I216" s="3412"/>
      <c r="P216" s="117"/>
      <c r="Q216" s="3411" t="s">
        <v>541</v>
      </c>
      <c r="R216" s="3411"/>
      <c r="S216" s="3411" t="s">
        <v>540</v>
      </c>
      <c r="T216" s="3411"/>
      <c r="U216" s="3412" t="s">
        <v>521</v>
      </c>
      <c r="V216" s="3412"/>
      <c r="W216" s="3412"/>
      <c r="X216" s="3412"/>
    </row>
    <row r="217" spans="1:24">
      <c r="A217" s="430"/>
      <c r="B217" s="951" t="s">
        <v>522</v>
      </c>
      <c r="C217" s="951" t="s">
        <v>466</v>
      </c>
      <c r="D217" s="951" t="s">
        <v>522</v>
      </c>
      <c r="E217" s="951" t="s">
        <v>466</v>
      </c>
      <c r="F217" s="952" t="s">
        <v>522</v>
      </c>
      <c r="G217" s="952" t="s">
        <v>466</v>
      </c>
      <c r="H217" s="952" t="s">
        <v>523</v>
      </c>
      <c r="I217" s="952" t="s">
        <v>524</v>
      </c>
      <c r="P217" s="430"/>
      <c r="Q217" s="951" t="s">
        <v>522</v>
      </c>
      <c r="R217" s="951" t="s">
        <v>466</v>
      </c>
      <c r="S217" s="951" t="s">
        <v>522</v>
      </c>
      <c r="T217" s="951" t="s">
        <v>466</v>
      </c>
      <c r="U217" s="952" t="s">
        <v>522</v>
      </c>
      <c r="V217" s="952" t="s">
        <v>466</v>
      </c>
      <c r="W217" s="952" t="s">
        <v>523</v>
      </c>
      <c r="X217" s="952" t="s">
        <v>524</v>
      </c>
    </row>
    <row r="218" spans="1:24">
      <c r="A218" s="941" t="s">
        <v>68</v>
      </c>
      <c r="B218" s="947">
        <f>B124</f>
        <v>1955.9128814300002</v>
      </c>
      <c r="C218" s="948">
        <f t="shared" ref="C218:I218" si="73">C124</f>
        <v>1621.8699291100002</v>
      </c>
      <c r="D218" s="947">
        <f t="shared" si="73"/>
        <v>1829.8415790600002</v>
      </c>
      <c r="E218" s="948">
        <f t="shared" si="73"/>
        <v>1523.81527185</v>
      </c>
      <c r="F218" s="953">
        <f t="shared" si="73"/>
        <v>2811.5474307900004</v>
      </c>
      <c r="G218" s="954">
        <f t="shared" si="73"/>
        <v>2527.3514528300007</v>
      </c>
      <c r="H218" s="953">
        <f t="shared" si="73"/>
        <v>284.19597795999971</v>
      </c>
      <c r="I218" s="954">
        <f t="shared" si="73"/>
        <v>10.108169431811618</v>
      </c>
      <c r="P218" s="941" t="s">
        <v>68</v>
      </c>
      <c r="Q218" s="947">
        <f t="shared" ref="Q218:X218" si="74">Q124</f>
        <v>1829.8415790600002</v>
      </c>
      <c r="R218" s="948">
        <f t="shared" si="74"/>
        <v>1523.81527185</v>
      </c>
      <c r="S218" s="947">
        <f t="shared" si="74"/>
        <v>1725.81117135</v>
      </c>
      <c r="T218" s="948">
        <f t="shared" si="74"/>
        <v>1432.28166627</v>
      </c>
      <c r="U218" s="953">
        <f t="shared" si="74"/>
        <v>2629.41267092</v>
      </c>
      <c r="V218" s="954">
        <f t="shared" si="74"/>
        <v>2370.6515195599995</v>
      </c>
      <c r="W218" s="953">
        <f t="shared" si="74"/>
        <v>258.76115136000044</v>
      </c>
      <c r="X218" s="954">
        <f t="shared" si="74"/>
        <v>9.8410247361234102</v>
      </c>
    </row>
    <row r="219" spans="1:24">
      <c r="A219" s="941" t="s">
        <v>7</v>
      </c>
      <c r="B219" s="949">
        <f t="shared" ref="B219:I219" si="75">B125</f>
        <v>800.05573700000002</v>
      </c>
      <c r="C219" s="950">
        <f t="shared" si="75"/>
        <v>677.23681734824117</v>
      </c>
      <c r="D219" s="949">
        <f t="shared" si="75"/>
        <v>757.98682699999995</v>
      </c>
      <c r="E219" s="950">
        <f t="shared" si="75"/>
        <v>639.96731596400002</v>
      </c>
      <c r="F219" s="955">
        <f t="shared" si="75"/>
        <v>1130.1066808</v>
      </c>
      <c r="G219" s="956">
        <f t="shared" si="75"/>
        <v>1038.7671943966288</v>
      </c>
      <c r="H219" s="955">
        <f t="shared" si="75"/>
        <v>91.339486403371211</v>
      </c>
      <c r="I219" s="956">
        <f t="shared" si="75"/>
        <v>8.0823773503145908</v>
      </c>
      <c r="P219" s="941" t="s">
        <v>7</v>
      </c>
      <c r="Q219" s="949">
        <f t="shared" ref="Q219:X219" si="76">Q125</f>
        <v>757.98682699999995</v>
      </c>
      <c r="R219" s="950">
        <f t="shared" si="76"/>
        <v>639.96731596400002</v>
      </c>
      <c r="S219" s="949">
        <f t="shared" si="76"/>
        <v>710.89893086153836</v>
      </c>
      <c r="T219" s="950">
        <f t="shared" si="76"/>
        <v>601.61647065400007</v>
      </c>
      <c r="U219" s="955">
        <f t="shared" si="76"/>
        <v>1075.8898857000004</v>
      </c>
      <c r="V219" s="956">
        <f t="shared" si="76"/>
        <v>977.09460939999997</v>
      </c>
      <c r="W219" s="955">
        <f t="shared" si="76"/>
        <v>98.79527630000041</v>
      </c>
      <c r="X219" s="956">
        <f t="shared" si="76"/>
        <v>9.1826568511443689</v>
      </c>
    </row>
    <row r="220" spans="1:24">
      <c r="A220" s="941" t="s">
        <v>8</v>
      </c>
      <c r="B220" s="949">
        <f t="shared" ref="B220:I220" si="77">B126</f>
        <v>677.30711699999995</v>
      </c>
      <c r="C220" s="950">
        <f t="shared" si="77"/>
        <v>596.34247048999987</v>
      </c>
      <c r="D220" s="949">
        <f t="shared" si="77"/>
        <v>658.71934099999999</v>
      </c>
      <c r="E220" s="950">
        <f t="shared" si="77"/>
        <v>573.28598134999993</v>
      </c>
      <c r="F220" s="955">
        <f t="shared" si="77"/>
        <v>968.53694300000006</v>
      </c>
      <c r="G220" s="956">
        <f t="shared" si="77"/>
        <v>908.77912948999983</v>
      </c>
      <c r="H220" s="955">
        <f t="shared" si="77"/>
        <v>59.757813510000233</v>
      </c>
      <c r="I220" s="956">
        <f t="shared" si="77"/>
        <v>6.1699054374635489</v>
      </c>
      <c r="P220" s="941" t="s">
        <v>8</v>
      </c>
      <c r="Q220" s="949">
        <f t="shared" ref="Q220:X220" si="78">Q126</f>
        <v>658.71934099999999</v>
      </c>
      <c r="R220" s="950">
        <f t="shared" si="78"/>
        <v>573.28598134999993</v>
      </c>
      <c r="S220" s="949">
        <f t="shared" si="78"/>
        <v>617.9307080000001</v>
      </c>
      <c r="T220" s="950">
        <f t="shared" si="78"/>
        <v>544.49814077999997</v>
      </c>
      <c r="U220" s="955">
        <f t="shared" si="78"/>
        <v>942.1730859999999</v>
      </c>
      <c r="V220" s="956">
        <f t="shared" si="78"/>
        <v>861.44588875999989</v>
      </c>
      <c r="W220" s="955">
        <f t="shared" si="78"/>
        <v>80.72719724000001</v>
      </c>
      <c r="X220" s="956">
        <f t="shared" si="78"/>
        <v>8.5681918152351066</v>
      </c>
    </row>
    <row r="221" spans="1:24">
      <c r="A221" s="941" t="s">
        <v>4</v>
      </c>
      <c r="B221" s="949">
        <f t="shared" ref="B221:I221" si="79">B127</f>
        <v>1269.7754998</v>
      </c>
      <c r="C221" s="950">
        <f t="shared" si="79"/>
        <v>1077.61382226</v>
      </c>
      <c r="D221" s="949">
        <f t="shared" si="79"/>
        <v>1249.610809</v>
      </c>
      <c r="E221" s="950">
        <f t="shared" si="79"/>
        <v>1050.3889579899999</v>
      </c>
      <c r="F221" s="955">
        <f t="shared" si="79"/>
        <v>1818.1717558000003</v>
      </c>
      <c r="G221" s="956">
        <f t="shared" si="79"/>
        <v>1672.6843552500002</v>
      </c>
      <c r="H221" s="955">
        <f t="shared" si="79"/>
        <v>145.48740055000007</v>
      </c>
      <c r="I221" s="956">
        <f t="shared" si="79"/>
        <v>8.0018513149757542</v>
      </c>
      <c r="P221" s="941" t="s">
        <v>4</v>
      </c>
      <c r="Q221" s="949">
        <f t="shared" ref="Q221:X221" si="80">Q127</f>
        <v>1249.610809</v>
      </c>
      <c r="R221" s="950">
        <f t="shared" si="80"/>
        <v>1050.3889579899999</v>
      </c>
      <c r="S221" s="949">
        <f t="shared" si="80"/>
        <v>1186.8483640000002</v>
      </c>
      <c r="T221" s="950">
        <f t="shared" si="80"/>
        <v>1017.91359862</v>
      </c>
      <c r="U221" s="955">
        <f t="shared" si="80"/>
        <v>1779.307969</v>
      </c>
      <c r="V221" s="956">
        <f t="shared" si="80"/>
        <v>1595.9935023100002</v>
      </c>
      <c r="W221" s="955">
        <f t="shared" si="80"/>
        <v>183.31446668999979</v>
      </c>
      <c r="X221" s="956">
        <f t="shared" si="80"/>
        <v>10.30257099298136</v>
      </c>
    </row>
    <row r="222" spans="1:24">
      <c r="A222" s="941" t="s">
        <v>3</v>
      </c>
      <c r="B222" s="949">
        <f t="shared" ref="B222:I222" si="81">B128</f>
        <v>1096.83943316</v>
      </c>
      <c r="C222" s="950">
        <f t="shared" si="81"/>
        <v>913.52440172000001</v>
      </c>
      <c r="D222" s="949">
        <f t="shared" si="81"/>
        <v>967.63730399999986</v>
      </c>
      <c r="E222" s="950">
        <f t="shared" si="81"/>
        <v>799.32507959999998</v>
      </c>
      <c r="F222" s="955">
        <f t="shared" si="81"/>
        <v>1555.1830511600001</v>
      </c>
      <c r="G222" s="956">
        <f t="shared" si="81"/>
        <v>1402.97976275</v>
      </c>
      <c r="H222" s="955">
        <f t="shared" si="81"/>
        <v>152.20328841000014</v>
      </c>
      <c r="I222" s="956">
        <f t="shared" si="81"/>
        <v>9.78684073855311</v>
      </c>
      <c r="P222" s="941" t="s">
        <v>3</v>
      </c>
      <c r="Q222" s="949">
        <f t="shared" ref="Q222:X222" si="82">Q128</f>
        <v>967.63730399999986</v>
      </c>
      <c r="R222" s="950">
        <f t="shared" si="82"/>
        <v>799.32507959999998</v>
      </c>
      <c r="S222" s="949">
        <f t="shared" si="82"/>
        <v>876.63769300000001</v>
      </c>
      <c r="T222" s="950">
        <f t="shared" si="82"/>
        <v>715.64316128000007</v>
      </c>
      <c r="U222" s="955">
        <f t="shared" si="82"/>
        <v>1365.2030756099998</v>
      </c>
      <c r="V222" s="956">
        <f t="shared" si="82"/>
        <v>1217.4739521799997</v>
      </c>
      <c r="W222" s="955">
        <f t="shared" si="82"/>
        <v>147.72912343000007</v>
      </c>
      <c r="X222" s="956">
        <f t="shared" si="82"/>
        <v>10.821036523375232</v>
      </c>
    </row>
    <row r="223" spans="1:24">
      <c r="A223" s="941" t="s">
        <v>397</v>
      </c>
      <c r="B223" s="949">
        <f t="shared" ref="B223:I223" si="83">B129</f>
        <v>836.17435503999991</v>
      </c>
      <c r="C223" s="950">
        <f t="shared" si="83"/>
        <v>679.98948356999995</v>
      </c>
      <c r="D223" s="949">
        <f t="shared" si="83"/>
        <v>809.03115288999993</v>
      </c>
      <c r="E223" s="950">
        <f t="shared" si="83"/>
        <v>649.13725855000007</v>
      </c>
      <c r="F223" s="955">
        <f t="shared" si="83"/>
        <v>1195.4468779299998</v>
      </c>
      <c r="G223" s="956">
        <f t="shared" si="83"/>
        <v>1072.47699186</v>
      </c>
      <c r="H223" s="955">
        <f t="shared" si="83"/>
        <v>122.9698860699998</v>
      </c>
      <c r="I223" s="956">
        <f t="shared" si="83"/>
        <v>10.286520324761799</v>
      </c>
      <c r="P223" s="941" t="s">
        <v>397</v>
      </c>
      <c r="Q223" s="949">
        <f t="shared" ref="Q223:X223" si="84">Q129</f>
        <v>809.03115288999993</v>
      </c>
      <c r="R223" s="950">
        <f t="shared" si="84"/>
        <v>649.13725855000007</v>
      </c>
      <c r="S223" s="949">
        <f t="shared" si="84"/>
        <v>773.20767000000001</v>
      </c>
      <c r="T223" s="950">
        <f t="shared" si="84"/>
        <v>624.28411222</v>
      </c>
      <c r="U223" s="955">
        <f t="shared" si="84"/>
        <v>1157.9566238899999</v>
      </c>
      <c r="V223" s="956">
        <f t="shared" si="84"/>
        <v>990.06253794000008</v>
      </c>
      <c r="W223" s="955">
        <f t="shared" si="84"/>
        <v>167.89408594999986</v>
      </c>
      <c r="X223" s="956">
        <f t="shared" si="84"/>
        <v>14.49916883639235</v>
      </c>
    </row>
    <row r="224" spans="1:24">
      <c r="A224" s="941" t="s">
        <v>399</v>
      </c>
      <c r="B224" s="949">
        <f t="shared" ref="B224:I224" si="85">B130</f>
        <v>1452.1211226</v>
      </c>
      <c r="C224" s="950">
        <f t="shared" si="85"/>
        <v>1169.7321035300001</v>
      </c>
      <c r="D224" s="949">
        <f t="shared" si="85"/>
        <v>1378.4631664399999</v>
      </c>
      <c r="E224" s="950">
        <f t="shared" si="85"/>
        <v>1103.1525206400001</v>
      </c>
      <c r="F224" s="955">
        <f t="shared" si="85"/>
        <v>2094.0647552</v>
      </c>
      <c r="G224" s="956">
        <f t="shared" si="85"/>
        <v>1868.5176612099999</v>
      </c>
      <c r="H224" s="955">
        <f t="shared" si="85"/>
        <v>225.54709399000012</v>
      </c>
      <c r="I224" s="956">
        <f t="shared" si="85"/>
        <v>10.770779338600661</v>
      </c>
      <c r="P224" s="941" t="s">
        <v>399</v>
      </c>
      <c r="Q224" s="949">
        <f t="shared" ref="Q224:X224" si="86">Q130</f>
        <v>1378.4631664399999</v>
      </c>
      <c r="R224" s="950">
        <f t="shared" si="86"/>
        <v>1103.1525206400001</v>
      </c>
      <c r="S224" s="949">
        <f t="shared" si="86"/>
        <v>1288.8150155384617</v>
      </c>
      <c r="T224" s="950">
        <f t="shared" si="86"/>
        <v>1048.4949364300001</v>
      </c>
      <c r="U224" s="955">
        <f t="shared" si="86"/>
        <v>1976.4236664399998</v>
      </c>
      <c r="V224" s="956">
        <f t="shared" si="86"/>
        <v>1714.5779792500002</v>
      </c>
      <c r="W224" s="955">
        <f t="shared" si="86"/>
        <v>261.84568718999958</v>
      </c>
      <c r="X224" s="956">
        <f t="shared" si="86"/>
        <v>13.248459408586458</v>
      </c>
    </row>
    <row r="225" spans="1:24">
      <c r="A225" s="941" t="s">
        <v>883</v>
      </c>
      <c r="B225" s="949">
        <f t="shared" ref="B225:I225" si="87">B131</f>
        <v>881.64851299999987</v>
      </c>
      <c r="C225" s="950">
        <f t="shared" si="87"/>
        <v>735.20564048000006</v>
      </c>
      <c r="D225" s="949">
        <f t="shared" si="87"/>
        <v>828.07340900000008</v>
      </c>
      <c r="E225" s="950">
        <f t="shared" si="87"/>
        <v>685.02598012999988</v>
      </c>
      <c r="F225" s="955">
        <f t="shared" si="87"/>
        <v>1226.5227419999999</v>
      </c>
      <c r="G225" s="956">
        <f t="shared" si="87"/>
        <v>1126.4012560200001</v>
      </c>
      <c r="H225" s="955">
        <f t="shared" si="87"/>
        <v>100.12148597999976</v>
      </c>
      <c r="I225" s="956">
        <f t="shared" si="87"/>
        <v>8.1630354294726786</v>
      </c>
      <c r="P225" s="941" t="s">
        <v>883</v>
      </c>
      <c r="Q225" s="949">
        <f t="shared" ref="Q225:X225" si="88">Q131</f>
        <v>828.07340900000008</v>
      </c>
      <c r="R225" s="950">
        <f t="shared" si="88"/>
        <v>685.02598012999988</v>
      </c>
      <c r="S225" s="949">
        <f t="shared" si="88"/>
        <v>783.72586699999999</v>
      </c>
      <c r="T225" s="950">
        <f t="shared" si="88"/>
        <v>647.94153408000011</v>
      </c>
      <c r="U225" s="955">
        <f t="shared" si="88"/>
        <v>1160.1851470000001</v>
      </c>
      <c r="V225" s="956">
        <f t="shared" si="88"/>
        <v>1056.4070734500001</v>
      </c>
      <c r="W225" s="955">
        <f t="shared" si="88"/>
        <v>103.77807355000004</v>
      </c>
      <c r="X225" s="956">
        <f t="shared" si="88"/>
        <v>8.9449579507502559</v>
      </c>
    </row>
    <row r="226" spans="1:24">
      <c r="A226" s="941" t="s">
        <v>884</v>
      </c>
      <c r="B226" s="949">
        <f t="shared" ref="B226:I226" si="89">B132</f>
        <v>1076.1029840000001</v>
      </c>
      <c r="C226" s="950">
        <f t="shared" si="89"/>
        <v>906.60061436000001</v>
      </c>
      <c r="D226" s="949">
        <f t="shared" si="89"/>
        <v>1025.3679259999999</v>
      </c>
      <c r="E226" s="950">
        <f t="shared" si="89"/>
        <v>855.84730517999992</v>
      </c>
      <c r="F226" s="955">
        <f t="shared" si="89"/>
        <v>1490.2441910000002</v>
      </c>
      <c r="G226" s="956">
        <f t="shared" si="89"/>
        <v>1370.8620214600001</v>
      </c>
      <c r="H226" s="955">
        <f t="shared" si="89"/>
        <v>119.38216954000018</v>
      </c>
      <c r="I226" s="956">
        <f t="shared" si="89"/>
        <v>8.0109132624694901</v>
      </c>
      <c r="P226" s="941" t="s">
        <v>884</v>
      </c>
      <c r="Q226" s="949">
        <f t="shared" ref="Q226:X226" si="90">Q132</f>
        <v>1025.3679259999999</v>
      </c>
      <c r="R226" s="950">
        <f t="shared" si="90"/>
        <v>855.84730517999992</v>
      </c>
      <c r="S226" s="949">
        <f t="shared" si="90"/>
        <v>969.74396400000001</v>
      </c>
      <c r="T226" s="950">
        <f t="shared" si="90"/>
        <v>797.12319653199995</v>
      </c>
      <c r="U226" s="955">
        <f t="shared" si="90"/>
        <v>1432.7891199999999</v>
      </c>
      <c r="V226" s="956">
        <f t="shared" si="90"/>
        <v>1308.8139405000002</v>
      </c>
      <c r="W226" s="955">
        <f t="shared" si="90"/>
        <v>123.97517949999974</v>
      </c>
      <c r="X226" s="956">
        <f t="shared" si="90"/>
        <v>8.6527164234747787</v>
      </c>
    </row>
    <row r="227" spans="1:24" ht="14.4" thickBot="1">
      <c r="A227" s="941" t="s">
        <v>885</v>
      </c>
      <c r="B227" s="949">
        <f t="shared" ref="B227:I227" si="91">B133</f>
        <v>203.04239200000001</v>
      </c>
      <c r="C227" s="950">
        <f t="shared" si="91"/>
        <v>182.80155916999999</v>
      </c>
      <c r="D227" s="949">
        <f t="shared" si="91"/>
        <v>201.50454199999999</v>
      </c>
      <c r="E227" s="950">
        <f t="shared" si="91"/>
        <v>179.27069791</v>
      </c>
      <c r="F227" s="955">
        <f t="shared" si="91"/>
        <v>291.97367400000007</v>
      </c>
      <c r="G227" s="956">
        <f t="shared" si="91"/>
        <v>269.87680109000001</v>
      </c>
      <c r="H227" s="955">
        <f t="shared" si="91"/>
        <v>22.096872910000059</v>
      </c>
      <c r="I227" s="956">
        <f t="shared" si="91"/>
        <v>7.5681045510973197</v>
      </c>
      <c r="P227" s="941" t="s">
        <v>885</v>
      </c>
      <c r="Q227" s="949">
        <f t="shared" ref="Q227:X227" si="92">Q133</f>
        <v>201.50454199999999</v>
      </c>
      <c r="R227" s="950">
        <f t="shared" si="92"/>
        <v>179.27069791</v>
      </c>
      <c r="S227" s="949">
        <f t="shared" si="92"/>
        <v>199.677682</v>
      </c>
      <c r="T227" s="950">
        <f t="shared" si="92"/>
        <v>176.21078337</v>
      </c>
      <c r="U227" s="955">
        <f t="shared" si="92"/>
        <v>292.42085899999995</v>
      </c>
      <c r="V227" s="956">
        <f t="shared" si="92"/>
        <v>268.10820505000004</v>
      </c>
      <c r="W227" s="955">
        <f t="shared" si="92"/>
        <v>24.312653949999913</v>
      </c>
      <c r="X227" s="956">
        <f t="shared" si="92"/>
        <v>8.3142680153333099</v>
      </c>
    </row>
    <row r="228" spans="1:24" ht="14.4" thickBot="1">
      <c r="A228" s="941" t="s">
        <v>16</v>
      </c>
      <c r="B228" s="945">
        <f t="shared" ref="B228:I228" si="93">B134</f>
        <v>10248.980035029999</v>
      </c>
      <c r="C228" s="945">
        <f t="shared" si="93"/>
        <v>8560.916842038243</v>
      </c>
      <c r="D228" s="945">
        <f t="shared" si="93"/>
        <v>9706.236056390002</v>
      </c>
      <c r="E228" s="945">
        <f t="shared" si="93"/>
        <v>8059.2163691640008</v>
      </c>
      <c r="F228" s="945">
        <f t="shared" si="93"/>
        <v>14581.79810168</v>
      </c>
      <c r="G228" s="946">
        <f t="shared" si="93"/>
        <v>13258.69662635663</v>
      </c>
      <c r="H228" s="946">
        <f t="shared" si="93"/>
        <v>1323.1014753233712</v>
      </c>
      <c r="I228" s="946">
        <f t="shared" si="93"/>
        <v>9.0736510415058742</v>
      </c>
      <c r="P228" s="941" t="s">
        <v>16</v>
      </c>
      <c r="Q228" s="945">
        <f t="shared" ref="Q228:X228" si="94">Q134</f>
        <v>9706.236056390002</v>
      </c>
      <c r="R228" s="945">
        <f t="shared" si="94"/>
        <v>8059.2163691640008</v>
      </c>
      <c r="S228" s="945">
        <f t="shared" si="94"/>
        <v>9133.2970657499991</v>
      </c>
      <c r="T228" s="945">
        <f t="shared" si="94"/>
        <v>7606.0076002360011</v>
      </c>
      <c r="U228" s="945">
        <f t="shared" si="94"/>
        <v>13811.762103559999</v>
      </c>
      <c r="V228" s="946">
        <f t="shared" si="94"/>
        <v>12360.629208400002</v>
      </c>
      <c r="W228" s="946">
        <f t="shared" si="94"/>
        <v>1451.1328951599999</v>
      </c>
      <c r="X228" s="1361">
        <f t="shared" si="94"/>
        <v>10.506500794608739</v>
      </c>
    </row>
  </sheetData>
  <mergeCells count="78">
    <mergeCell ref="B4:C4"/>
    <mergeCell ref="D4:E4"/>
    <mergeCell ref="F4:I4"/>
    <mergeCell ref="B20:C20"/>
    <mergeCell ref="D20:E20"/>
    <mergeCell ref="F20:I20"/>
    <mergeCell ref="B36:C36"/>
    <mergeCell ref="D36:E36"/>
    <mergeCell ref="F36:I36"/>
    <mergeCell ref="B53:C53"/>
    <mergeCell ref="D53:E53"/>
    <mergeCell ref="F53:I53"/>
    <mergeCell ref="B70:C70"/>
    <mergeCell ref="D70:E70"/>
    <mergeCell ref="F70:I70"/>
    <mergeCell ref="B88:C88"/>
    <mergeCell ref="D88:E88"/>
    <mergeCell ref="F88:I88"/>
    <mergeCell ref="B105:C105"/>
    <mergeCell ref="D105:E105"/>
    <mergeCell ref="F105:I105"/>
    <mergeCell ref="B122:C122"/>
    <mergeCell ref="D122:E122"/>
    <mergeCell ref="F122:I122"/>
    <mergeCell ref="B139:C139"/>
    <mergeCell ref="D139:E139"/>
    <mergeCell ref="F139:I139"/>
    <mergeCell ref="B156:C156"/>
    <mergeCell ref="D156:E156"/>
    <mergeCell ref="F156:I156"/>
    <mergeCell ref="B216:C216"/>
    <mergeCell ref="D216:E216"/>
    <mergeCell ref="F216:I216"/>
    <mergeCell ref="B173:C173"/>
    <mergeCell ref="D173:E173"/>
    <mergeCell ref="F173:I173"/>
    <mergeCell ref="B190:C190"/>
    <mergeCell ref="D190:E190"/>
    <mergeCell ref="F190:I190"/>
    <mergeCell ref="Q4:R4"/>
    <mergeCell ref="S4:T4"/>
    <mergeCell ref="U4:X4"/>
    <mergeCell ref="Q20:R20"/>
    <mergeCell ref="S20:T20"/>
    <mergeCell ref="U20:X20"/>
    <mergeCell ref="Q36:R36"/>
    <mergeCell ref="S36:T36"/>
    <mergeCell ref="U36:X36"/>
    <mergeCell ref="Q53:R53"/>
    <mergeCell ref="S53:T53"/>
    <mergeCell ref="U53:X53"/>
    <mergeCell ref="Q70:R70"/>
    <mergeCell ref="S70:T70"/>
    <mergeCell ref="U70:X70"/>
    <mergeCell ref="Q88:R88"/>
    <mergeCell ref="S88:T88"/>
    <mergeCell ref="U88:X88"/>
    <mergeCell ref="Q105:R105"/>
    <mergeCell ref="S105:T105"/>
    <mergeCell ref="U105:X105"/>
    <mergeCell ref="Q122:R122"/>
    <mergeCell ref="S122:T122"/>
    <mergeCell ref="U122:X122"/>
    <mergeCell ref="Q139:R139"/>
    <mergeCell ref="S139:T139"/>
    <mergeCell ref="U139:X139"/>
    <mergeCell ref="Q156:R156"/>
    <mergeCell ref="S156:T156"/>
    <mergeCell ref="U156:X156"/>
    <mergeCell ref="Q216:R216"/>
    <mergeCell ref="S216:T216"/>
    <mergeCell ref="U216:X216"/>
    <mergeCell ref="Q173:R173"/>
    <mergeCell ref="S173:T173"/>
    <mergeCell ref="U173:X173"/>
    <mergeCell ref="Q190:R190"/>
    <mergeCell ref="S190:T190"/>
    <mergeCell ref="U190:X190"/>
  </mergeCells>
  <pageMargins left="0.70866141732283472" right="0.70866141732283472" top="0.74803149606299213" bottom="0.74803149606299213" header="0.31496062992125984" footer="0.31496062992125984"/>
  <pageSetup paperSize="9" orientation="landscape" r:id="rId1"/>
</worksheet>
</file>

<file path=xl/worksheets/sheet3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400-000000000000}">
  <sheetPr>
    <tabColor rgb="FFFF0000"/>
  </sheetPr>
  <dimension ref="A1:AB228"/>
  <sheetViews>
    <sheetView topLeftCell="A117" workbookViewId="0">
      <selection activeCell="I124" sqref="I124:I134"/>
    </sheetView>
  </sheetViews>
  <sheetFormatPr baseColWidth="10" defaultColWidth="11.44140625" defaultRowHeight="13.8"/>
  <cols>
    <col min="1" max="9" width="11.44140625" style="117"/>
    <col min="10" max="16384" width="11.44140625" style="77"/>
  </cols>
  <sheetData>
    <row r="1" spans="1:28">
      <c r="K1" s="77" t="s">
        <v>535</v>
      </c>
      <c r="L1" s="647" t="s">
        <v>442</v>
      </c>
      <c r="M1" s="403" t="s">
        <v>90</v>
      </c>
      <c r="P1" s="117"/>
      <c r="Q1" s="117"/>
      <c r="R1" s="117"/>
      <c r="S1" s="117"/>
      <c r="T1" s="117"/>
      <c r="U1" s="117"/>
      <c r="V1" s="117"/>
      <c r="W1" s="117"/>
      <c r="X1" s="117"/>
      <c r="Z1" s="77" t="s">
        <v>535</v>
      </c>
      <c r="AA1" s="647" t="s">
        <v>442</v>
      </c>
      <c r="AB1" s="403" t="s">
        <v>90</v>
      </c>
    </row>
    <row r="2" spans="1:28">
      <c r="B2" s="116" t="s">
        <v>520</v>
      </c>
      <c r="K2" s="77" t="s">
        <v>68</v>
      </c>
      <c r="L2" s="816">
        <v>4124.2363185199993</v>
      </c>
      <c r="M2" s="447">
        <v>3728.1309215500005</v>
      </c>
      <c r="P2" s="117"/>
      <c r="Q2" s="116" t="s">
        <v>520</v>
      </c>
      <c r="R2" s="117"/>
      <c r="S2" s="117"/>
      <c r="T2" s="117"/>
      <c r="U2" s="117"/>
      <c r="V2" s="117"/>
      <c r="W2" s="117"/>
      <c r="X2" s="117"/>
      <c r="Z2" s="77" t="s">
        <v>68</v>
      </c>
      <c r="AA2" s="816">
        <v>3985.3009843499995</v>
      </c>
      <c r="AB2" s="447">
        <v>4075.9374462600008</v>
      </c>
    </row>
    <row r="3" spans="1:28">
      <c r="H3" s="430"/>
      <c r="I3" s="430"/>
      <c r="K3" s="77" t="s">
        <v>7</v>
      </c>
      <c r="L3" s="816">
        <v>3275.2338950000003</v>
      </c>
      <c r="M3" s="447">
        <v>3134.1293854599994</v>
      </c>
      <c r="P3" s="117"/>
      <c r="Q3" s="117"/>
      <c r="R3" s="117"/>
      <c r="S3" s="117"/>
      <c r="T3" s="117"/>
      <c r="U3" s="117"/>
      <c r="V3" s="117"/>
      <c r="W3" s="430"/>
      <c r="X3" s="430"/>
      <c r="Z3" s="77" t="s">
        <v>7</v>
      </c>
      <c r="AA3" s="816">
        <v>3111.5160040000001</v>
      </c>
      <c r="AB3" s="447">
        <v>3333.8697204300001</v>
      </c>
    </row>
    <row r="4" spans="1:28">
      <c r="B4" s="3411" t="s">
        <v>541</v>
      </c>
      <c r="C4" s="3411"/>
      <c r="D4" s="3411" t="s">
        <v>540</v>
      </c>
      <c r="E4" s="3411"/>
      <c r="F4" s="3412" t="s">
        <v>521</v>
      </c>
      <c r="G4" s="3412"/>
      <c r="H4" s="3412"/>
      <c r="I4" s="3412"/>
      <c r="K4" s="77" t="s">
        <v>8</v>
      </c>
      <c r="L4" s="816">
        <v>3131.6329650000002</v>
      </c>
      <c r="M4" s="447">
        <v>2984.8316109799998</v>
      </c>
      <c r="P4" s="117"/>
      <c r="Q4" s="3411" t="s">
        <v>541</v>
      </c>
      <c r="R4" s="3411"/>
      <c r="S4" s="3411" t="s">
        <v>540</v>
      </c>
      <c r="T4" s="3411"/>
      <c r="U4" s="3412" t="s">
        <v>521</v>
      </c>
      <c r="V4" s="3412"/>
      <c r="W4" s="3412"/>
      <c r="X4" s="3412"/>
      <c r="Z4" s="77" t="s">
        <v>8</v>
      </c>
      <c r="AA4" s="816">
        <v>3036.1096109999994</v>
      </c>
      <c r="AB4" s="447">
        <v>3109.1492814699996</v>
      </c>
    </row>
    <row r="5" spans="1:28">
      <c r="A5" s="430"/>
      <c r="B5" s="951" t="s">
        <v>522</v>
      </c>
      <c r="C5" s="951" t="s">
        <v>466</v>
      </c>
      <c r="D5" s="951" t="s">
        <v>522</v>
      </c>
      <c r="E5" s="951" t="s">
        <v>466</v>
      </c>
      <c r="F5" s="952" t="s">
        <v>522</v>
      </c>
      <c r="G5" s="952" t="s">
        <v>466</v>
      </c>
      <c r="H5" s="952" t="s">
        <v>523</v>
      </c>
      <c r="I5" s="952" t="s">
        <v>524</v>
      </c>
      <c r="K5" s="77" t="s">
        <v>4</v>
      </c>
      <c r="L5" s="816">
        <v>4891.117295</v>
      </c>
      <c r="M5" s="447">
        <v>4946.4932728200001</v>
      </c>
      <c r="P5" s="430"/>
      <c r="Q5" s="951" t="s">
        <v>522</v>
      </c>
      <c r="R5" s="951" t="s">
        <v>466</v>
      </c>
      <c r="S5" s="951" t="s">
        <v>522</v>
      </c>
      <c r="T5" s="951" t="s">
        <v>466</v>
      </c>
      <c r="U5" s="952" t="s">
        <v>522</v>
      </c>
      <c r="V5" s="952" t="s">
        <v>466</v>
      </c>
      <c r="W5" s="952" t="s">
        <v>523</v>
      </c>
      <c r="X5" s="952" t="s">
        <v>524</v>
      </c>
      <c r="Z5" s="77" t="s">
        <v>4</v>
      </c>
      <c r="AA5" s="816">
        <v>4659.1682739999997</v>
      </c>
      <c r="AB5" s="447">
        <v>5196.0141774199992</v>
      </c>
    </row>
    <row r="6" spans="1:28">
      <c r="A6" s="941" t="s">
        <v>68</v>
      </c>
      <c r="B6" s="947"/>
      <c r="C6" s="948"/>
      <c r="D6" s="947"/>
      <c r="E6" s="948"/>
      <c r="F6" s="953">
        <f>$L$2-D6+B6</f>
        <v>4124.2363185199993</v>
      </c>
      <c r="G6" s="954">
        <f>$M$2-E6+C6</f>
        <v>3728.1309215500005</v>
      </c>
      <c r="H6" s="953">
        <f>F6-G6</f>
        <v>396.10539696999876</v>
      </c>
      <c r="I6" s="954">
        <f>(H6/F6)*100</f>
        <v>9.6043331753633119</v>
      </c>
      <c r="K6" s="77" t="s">
        <v>3</v>
      </c>
      <c r="L6" s="816">
        <v>5554.3826170000011</v>
      </c>
      <c r="M6" s="447">
        <v>5121.3940476599992</v>
      </c>
      <c r="P6" s="941" t="s">
        <v>68</v>
      </c>
      <c r="Q6" s="947"/>
      <c r="R6" s="948"/>
      <c r="S6" s="947"/>
      <c r="T6" s="948"/>
      <c r="U6" s="953">
        <f>$AA$2-S6+Q6</f>
        <v>3985.3009843499995</v>
      </c>
      <c r="V6" s="954">
        <f>$AB$2-T6+R6</f>
        <v>4075.9374462600008</v>
      </c>
      <c r="W6" s="953">
        <f>U6-V6</f>
        <v>-90.636461910001344</v>
      </c>
      <c r="X6" s="954">
        <f>(W6/U6)*100</f>
        <v>-2.2742689263853455</v>
      </c>
      <c r="Z6" s="77" t="s">
        <v>3</v>
      </c>
      <c r="AA6" s="816">
        <v>5655.8158780000003</v>
      </c>
      <c r="AB6" s="447">
        <v>5469.2741296499989</v>
      </c>
    </row>
    <row r="7" spans="1:28">
      <c r="A7" s="941" t="s">
        <v>7</v>
      </c>
      <c r="B7" s="949"/>
      <c r="C7" s="950"/>
      <c r="D7" s="949"/>
      <c r="E7" s="950"/>
      <c r="F7" s="955">
        <f>$L$3-D7+B7</f>
        <v>3275.2338950000003</v>
      </c>
      <c r="G7" s="956">
        <f>$M$3-E7+C7</f>
        <v>3134.1293854599994</v>
      </c>
      <c r="H7" s="955">
        <f t="shared" ref="H7:H15" si="0">F7-G7</f>
        <v>141.10450954000089</v>
      </c>
      <c r="I7" s="956">
        <f t="shared" ref="I7:I15" si="1">(H7/F7)*100</f>
        <v>4.3082269561087596</v>
      </c>
      <c r="K7" s="77" t="s">
        <v>397</v>
      </c>
      <c r="L7" s="816">
        <v>1674.3147552500002</v>
      </c>
      <c r="M7" s="447">
        <v>1464.4653884400013</v>
      </c>
      <c r="P7" s="941" t="s">
        <v>7</v>
      </c>
      <c r="Q7" s="949"/>
      <c r="R7" s="950"/>
      <c r="S7" s="949"/>
      <c r="T7" s="950"/>
      <c r="U7" s="955">
        <f>$AA$3-S7+Q7</f>
        <v>3111.5160040000001</v>
      </c>
      <c r="V7" s="956">
        <f>$AB$3-T7+R7</f>
        <v>3333.8697204300001</v>
      </c>
      <c r="W7" s="955">
        <f t="shared" ref="W7:W15" si="2">U7-V7</f>
        <v>-222.35371643000008</v>
      </c>
      <c r="X7" s="956">
        <f t="shared" ref="X7:X15" si="3">(W7/U7)*100</f>
        <v>-7.1461537123432413</v>
      </c>
      <c r="Z7" s="77" t="s">
        <v>397</v>
      </c>
      <c r="AA7" s="816">
        <v>1576.4305022799999</v>
      </c>
      <c r="AB7" s="447">
        <v>1521.915172420001</v>
      </c>
    </row>
    <row r="8" spans="1:28">
      <c r="A8" s="941" t="s">
        <v>8</v>
      </c>
      <c r="B8" s="949"/>
      <c r="C8" s="950"/>
      <c r="D8" s="949"/>
      <c r="E8" s="950"/>
      <c r="F8" s="955">
        <f>$L$4-D8+B8</f>
        <v>3131.6329650000002</v>
      </c>
      <c r="G8" s="956">
        <f>$M$4-E8+C8</f>
        <v>2984.8316109799998</v>
      </c>
      <c r="H8" s="955">
        <f t="shared" si="0"/>
        <v>146.80135402000042</v>
      </c>
      <c r="I8" s="956">
        <f t="shared" si="1"/>
        <v>4.6876934704894575</v>
      </c>
      <c r="K8" s="77" t="s">
        <v>399</v>
      </c>
      <c r="L8" s="816">
        <v>3022.1810381200003</v>
      </c>
      <c r="M8" s="447">
        <v>2728.9321647699999</v>
      </c>
      <c r="P8" s="941" t="s">
        <v>8</v>
      </c>
      <c r="Q8" s="949"/>
      <c r="R8" s="950"/>
      <c r="S8" s="949"/>
      <c r="T8" s="950"/>
      <c r="U8" s="955">
        <f>$AA$4-S8+Q8</f>
        <v>3036.1096109999994</v>
      </c>
      <c r="V8" s="956">
        <f>$AB$4-T8+R8</f>
        <v>3109.1492814699996</v>
      </c>
      <c r="W8" s="955">
        <f t="shared" si="2"/>
        <v>-73.039670470000146</v>
      </c>
      <c r="X8" s="956">
        <f t="shared" si="3"/>
        <v>-2.4056993925836285</v>
      </c>
      <c r="Z8" s="77" t="s">
        <v>399</v>
      </c>
      <c r="AA8" s="816">
        <v>2809.6222358199998</v>
      </c>
      <c r="AB8" s="447">
        <v>2789.8338850800001</v>
      </c>
    </row>
    <row r="9" spans="1:28">
      <c r="A9" s="941" t="s">
        <v>4</v>
      </c>
      <c r="B9" s="949"/>
      <c r="C9" s="950"/>
      <c r="D9" s="949"/>
      <c r="E9" s="950"/>
      <c r="F9" s="955">
        <f>$L$5-D9+B9</f>
        <v>4891.117295</v>
      </c>
      <c r="G9" s="956">
        <f>$M$5-E9+C9</f>
        <v>4946.4932728200001</v>
      </c>
      <c r="H9" s="955">
        <f t="shared" si="0"/>
        <v>-55.375977820000116</v>
      </c>
      <c r="I9" s="956">
        <f t="shared" si="1"/>
        <v>-1.1321743986104942</v>
      </c>
      <c r="K9" s="77" t="s">
        <v>883</v>
      </c>
      <c r="L9" s="816">
        <v>1959.3614289999998</v>
      </c>
      <c r="M9" s="447">
        <v>1791.6212273600006</v>
      </c>
      <c r="P9" s="941" t="s">
        <v>4</v>
      </c>
      <c r="Q9" s="949"/>
      <c r="R9" s="950"/>
      <c r="S9" s="949"/>
      <c r="T9" s="950"/>
      <c r="U9" s="955">
        <f>$AA$5-S9+Q9</f>
        <v>4659.1682739999997</v>
      </c>
      <c r="V9" s="956">
        <f>$AB$5-T9+R9</f>
        <v>5196.0141774199992</v>
      </c>
      <c r="W9" s="955">
        <f t="shared" si="2"/>
        <v>-536.84590341999956</v>
      </c>
      <c r="X9" s="956">
        <f t="shared" si="3"/>
        <v>-11.522354889300992</v>
      </c>
      <c r="Z9" s="77" t="s">
        <v>883</v>
      </c>
      <c r="AA9" s="816">
        <v>1911.5098789999997</v>
      </c>
      <c r="AB9" s="447">
        <v>1946.47764478</v>
      </c>
    </row>
    <row r="10" spans="1:28">
      <c r="A10" s="941" t="s">
        <v>3</v>
      </c>
      <c r="B10" s="949"/>
      <c r="C10" s="950"/>
      <c r="D10" s="949"/>
      <c r="E10" s="950"/>
      <c r="F10" s="955">
        <f>$L$6-D10+B10</f>
        <v>5554.3826170000011</v>
      </c>
      <c r="G10" s="956">
        <f>$M$6-E10+C10</f>
        <v>5121.3940476599992</v>
      </c>
      <c r="H10" s="955">
        <f t="shared" si="0"/>
        <v>432.98856934000196</v>
      </c>
      <c r="I10" s="956">
        <f t="shared" si="1"/>
        <v>7.7954400911233055</v>
      </c>
      <c r="K10" s="77" t="s">
        <v>884</v>
      </c>
      <c r="L10" s="816">
        <v>2102.2111479999999</v>
      </c>
      <c r="M10" s="447">
        <v>1900.39871973</v>
      </c>
      <c r="P10" s="941" t="s">
        <v>3</v>
      </c>
      <c r="Q10" s="949"/>
      <c r="R10" s="950"/>
      <c r="S10" s="949"/>
      <c r="T10" s="950"/>
      <c r="U10" s="955">
        <f>$AA$6-S10+Q10</f>
        <v>5655.8158780000003</v>
      </c>
      <c r="V10" s="956">
        <f>$AB$6-T10+R10</f>
        <v>5469.2741296499989</v>
      </c>
      <c r="W10" s="955">
        <f t="shared" si="2"/>
        <v>186.5417483500014</v>
      </c>
      <c r="X10" s="956">
        <f t="shared" si="3"/>
        <v>3.29822880330337</v>
      </c>
      <c r="Z10" s="77" t="s">
        <v>884</v>
      </c>
      <c r="AA10" s="816">
        <v>1983.3501999999999</v>
      </c>
      <c r="AB10" s="447">
        <v>2060.6519396399999</v>
      </c>
    </row>
    <row r="11" spans="1:28" ht="14.4" thickBot="1">
      <c r="A11" s="941" t="s">
        <v>397</v>
      </c>
      <c r="B11" s="949"/>
      <c r="C11" s="950"/>
      <c r="D11" s="949"/>
      <c r="E11" s="950"/>
      <c r="F11" s="955">
        <f>$L$7-D11+B11</f>
        <v>1674.3147552500002</v>
      </c>
      <c r="G11" s="956">
        <f>$M$7-E11+C11</f>
        <v>1464.4653884400013</v>
      </c>
      <c r="H11" s="955">
        <f t="shared" si="0"/>
        <v>209.84936680999886</v>
      </c>
      <c r="I11" s="956">
        <f t="shared" si="1"/>
        <v>12.533447856921336</v>
      </c>
      <c r="K11" s="77" t="s">
        <v>885</v>
      </c>
      <c r="L11" s="816">
        <v>1335.2583690000001</v>
      </c>
      <c r="M11" s="447">
        <v>1187.3271510479999</v>
      </c>
      <c r="P11" s="941" t="s">
        <v>397</v>
      </c>
      <c r="Q11" s="949"/>
      <c r="R11" s="950"/>
      <c r="S11" s="949"/>
      <c r="T11" s="950"/>
      <c r="U11" s="955">
        <f>$AA$7-S11+Q11</f>
        <v>1576.4305022799999</v>
      </c>
      <c r="V11" s="956">
        <f>$AB$7-T11+R11</f>
        <v>1521.915172420001</v>
      </c>
      <c r="W11" s="955">
        <f t="shared" si="2"/>
        <v>54.515329859998928</v>
      </c>
      <c r="X11" s="956">
        <f t="shared" si="3"/>
        <v>3.4581499013850032</v>
      </c>
      <c r="Z11" s="77" t="s">
        <v>885</v>
      </c>
      <c r="AA11" s="816">
        <v>1326.8774069999999</v>
      </c>
      <c r="AB11" s="447">
        <v>1302.3806176500002</v>
      </c>
    </row>
    <row r="12" spans="1:28" ht="14.4" thickBot="1">
      <c r="A12" s="941" t="s">
        <v>399</v>
      </c>
      <c r="B12" s="949"/>
      <c r="C12" s="950"/>
      <c r="D12" s="949"/>
      <c r="E12" s="950"/>
      <c r="F12" s="955">
        <f>$L$8-D12+B12</f>
        <v>3022.1810381200003</v>
      </c>
      <c r="G12" s="956">
        <f>$M$8-E12+C12</f>
        <v>2728.9321647699999</v>
      </c>
      <c r="H12" s="955">
        <f t="shared" si="0"/>
        <v>293.24887335000039</v>
      </c>
      <c r="I12" s="956">
        <f t="shared" si="1"/>
        <v>9.7032199478169208</v>
      </c>
      <c r="K12" s="77" t="s">
        <v>16</v>
      </c>
      <c r="L12" s="942">
        <f>SUM(L2:L11)</f>
        <v>31069.929829890003</v>
      </c>
      <c r="M12" s="942">
        <f>SUM(M2:M11)</f>
        <v>28987.723889818</v>
      </c>
      <c r="P12" s="941" t="s">
        <v>399</v>
      </c>
      <c r="Q12" s="949"/>
      <c r="R12" s="950"/>
      <c r="S12" s="949"/>
      <c r="T12" s="950"/>
      <c r="U12" s="955">
        <f>$AA$8-S12+Q12</f>
        <v>2809.6222358199998</v>
      </c>
      <c r="V12" s="956">
        <f>$AB$8-T12+R12</f>
        <v>2789.8338850800001</v>
      </c>
      <c r="W12" s="955">
        <f t="shared" si="2"/>
        <v>19.788350739999714</v>
      </c>
      <c r="X12" s="956">
        <f t="shared" si="3"/>
        <v>0.70430645400357184</v>
      </c>
      <c r="Z12" s="77" t="s">
        <v>16</v>
      </c>
      <c r="AA12" s="942">
        <f>SUM(AA2:AA11)</f>
        <v>30055.70097545</v>
      </c>
      <c r="AB12" s="942">
        <f>SUM(AB2:AB11)</f>
        <v>30805.504014800001</v>
      </c>
    </row>
    <row r="13" spans="1:28">
      <c r="A13" s="941" t="s">
        <v>883</v>
      </c>
      <c r="B13" s="949"/>
      <c r="C13" s="950"/>
      <c r="D13" s="949"/>
      <c r="E13" s="950"/>
      <c r="F13" s="955">
        <f>$L$9-D13+B13</f>
        <v>1959.3614289999998</v>
      </c>
      <c r="G13" s="956">
        <f>$M$9-E13+C13</f>
        <v>1791.6212273600006</v>
      </c>
      <c r="H13" s="955">
        <f t="shared" si="0"/>
        <v>167.74020163999921</v>
      </c>
      <c r="I13" s="956">
        <f t="shared" si="1"/>
        <v>8.5609627278214244</v>
      </c>
      <c r="P13" s="941" t="s">
        <v>883</v>
      </c>
      <c r="Q13" s="949"/>
      <c r="R13" s="950"/>
      <c r="S13" s="949"/>
      <c r="T13" s="950"/>
      <c r="U13" s="955">
        <f>$AA$9-S13+Q13</f>
        <v>1911.5098789999997</v>
      </c>
      <c r="V13" s="956">
        <f>$AB$9-T13+R13</f>
        <v>1946.47764478</v>
      </c>
      <c r="W13" s="955">
        <f t="shared" si="2"/>
        <v>-34.967765780000263</v>
      </c>
      <c r="X13" s="956">
        <f t="shared" si="3"/>
        <v>-1.8293269715296232</v>
      </c>
    </row>
    <row r="14" spans="1:28">
      <c r="A14" s="941" t="s">
        <v>884</v>
      </c>
      <c r="B14" s="949"/>
      <c r="C14" s="950"/>
      <c r="D14" s="949"/>
      <c r="E14" s="950"/>
      <c r="F14" s="955">
        <f>$L$10-D14+B14</f>
        <v>2102.2111479999999</v>
      </c>
      <c r="G14" s="956">
        <f>$M$10-E14+C14</f>
        <v>1900.39871973</v>
      </c>
      <c r="H14" s="955">
        <f t="shared" si="0"/>
        <v>201.81242826999983</v>
      </c>
      <c r="I14" s="956">
        <f t="shared" si="1"/>
        <v>9.6000075188450982</v>
      </c>
      <c r="P14" s="941" t="s">
        <v>884</v>
      </c>
      <c r="Q14" s="949"/>
      <c r="R14" s="950"/>
      <c r="S14" s="949"/>
      <c r="T14" s="950"/>
      <c r="U14" s="955">
        <f>$AA$10-S14+Q14</f>
        <v>1983.3501999999999</v>
      </c>
      <c r="V14" s="956">
        <f>$AB$10-T14+R14</f>
        <v>2060.6519396399999</v>
      </c>
      <c r="W14" s="955">
        <f t="shared" si="2"/>
        <v>-77.301739640000051</v>
      </c>
      <c r="X14" s="956">
        <f t="shared" si="3"/>
        <v>-3.8975335591263738</v>
      </c>
    </row>
    <row r="15" spans="1:28" ht="14.4" thickBot="1">
      <c r="A15" s="941" t="s">
        <v>885</v>
      </c>
      <c r="B15" s="949"/>
      <c r="C15" s="950"/>
      <c r="D15" s="949"/>
      <c r="E15" s="950"/>
      <c r="F15" s="955">
        <f>$L$11-D15+B15</f>
        <v>1335.2583690000001</v>
      </c>
      <c r="G15" s="956">
        <f>$M$11-E15+C15</f>
        <v>1187.3271510479999</v>
      </c>
      <c r="H15" s="955">
        <f t="shared" si="0"/>
        <v>147.93121795200022</v>
      </c>
      <c r="I15" s="956">
        <f t="shared" si="1"/>
        <v>11.078845966177218</v>
      </c>
      <c r="P15" s="941" t="s">
        <v>885</v>
      </c>
      <c r="Q15" s="949"/>
      <c r="R15" s="950"/>
      <c r="S15" s="949"/>
      <c r="T15" s="950"/>
      <c r="U15" s="955">
        <f>$AA$11-S15+Q15</f>
        <v>1326.8774069999999</v>
      </c>
      <c r="V15" s="956">
        <f>$AB$11-T15+R15</f>
        <v>1302.3806176500002</v>
      </c>
      <c r="W15" s="955">
        <f t="shared" si="2"/>
        <v>24.496789349999744</v>
      </c>
      <c r="X15" s="956">
        <f t="shared" si="3"/>
        <v>1.8461983918609104</v>
      </c>
    </row>
    <row r="16" spans="1:28" ht="14.4" thickBot="1">
      <c r="A16" s="941" t="s">
        <v>16</v>
      </c>
      <c r="B16" s="945">
        <f t="shared" ref="B16:H16" si="4">SUM(B6:B15)</f>
        <v>0</v>
      </c>
      <c r="C16" s="945">
        <f t="shared" si="4"/>
        <v>0</v>
      </c>
      <c r="D16" s="945">
        <f t="shared" si="4"/>
        <v>0</v>
      </c>
      <c r="E16" s="945">
        <f t="shared" si="4"/>
        <v>0</v>
      </c>
      <c r="F16" s="945">
        <f t="shared" si="4"/>
        <v>31069.929829890003</v>
      </c>
      <c r="G16" s="946">
        <f t="shared" si="4"/>
        <v>28987.723889818</v>
      </c>
      <c r="H16" s="946">
        <f t="shared" si="4"/>
        <v>2082.2059400720004</v>
      </c>
      <c r="I16" s="946">
        <f>(H16/F16)*100</f>
        <v>6.7016757085459178</v>
      </c>
      <c r="P16" s="941" t="s">
        <v>16</v>
      </c>
      <c r="Q16" s="945">
        <f t="shared" ref="Q16:W16" si="5">SUM(Q6:Q15)</f>
        <v>0</v>
      </c>
      <c r="R16" s="945">
        <f t="shared" si="5"/>
        <v>0</v>
      </c>
      <c r="S16" s="945">
        <f t="shared" si="5"/>
        <v>0</v>
      </c>
      <c r="T16" s="945">
        <f t="shared" si="5"/>
        <v>0</v>
      </c>
      <c r="U16" s="945">
        <f t="shared" si="5"/>
        <v>30055.70097545</v>
      </c>
      <c r="V16" s="946">
        <f t="shared" si="5"/>
        <v>30805.504014800001</v>
      </c>
      <c r="W16" s="946">
        <f t="shared" si="5"/>
        <v>-749.80303935000165</v>
      </c>
      <c r="X16" s="946">
        <f>(W16/U16)*100</f>
        <v>-2.4947115356333005</v>
      </c>
    </row>
    <row r="17" spans="1:24">
      <c r="P17" s="117"/>
      <c r="Q17" s="117"/>
      <c r="R17" s="117"/>
      <c r="S17" s="117"/>
      <c r="T17" s="117"/>
      <c r="U17" s="117"/>
      <c r="V17" s="117"/>
      <c r="W17" s="117"/>
      <c r="X17" s="117"/>
    </row>
    <row r="18" spans="1:24">
      <c r="B18" s="116" t="s">
        <v>525</v>
      </c>
      <c r="P18" s="117"/>
      <c r="Q18" s="116" t="s">
        <v>525</v>
      </c>
      <c r="R18" s="117"/>
      <c r="S18" s="117"/>
      <c r="T18" s="117"/>
      <c r="U18" s="117"/>
      <c r="V18" s="117"/>
      <c r="W18" s="117"/>
      <c r="X18" s="117"/>
    </row>
    <row r="19" spans="1:24">
      <c r="H19" s="430"/>
      <c r="I19" s="430"/>
      <c r="P19" s="117"/>
      <c r="Q19" s="117"/>
      <c r="R19" s="117"/>
      <c r="S19" s="117"/>
      <c r="T19" s="117"/>
      <c r="U19" s="117"/>
      <c r="V19" s="117"/>
      <c r="W19" s="430"/>
      <c r="X19" s="430"/>
    </row>
    <row r="20" spans="1:24">
      <c r="B20" s="3411" t="str">
        <f>B4</f>
        <v>année (n) au mois</v>
      </c>
      <c r="C20" s="3411"/>
      <c r="D20" s="3411" t="str">
        <f>D4</f>
        <v>année (n-1) au mois</v>
      </c>
      <c r="E20" s="3411"/>
      <c r="F20" s="3412" t="s">
        <v>521</v>
      </c>
      <c r="G20" s="3412"/>
      <c r="H20" s="3412"/>
      <c r="I20" s="3412"/>
      <c r="P20" s="117"/>
      <c r="Q20" s="3411" t="str">
        <f>Q4</f>
        <v>année (n) au mois</v>
      </c>
      <c r="R20" s="3411"/>
      <c r="S20" s="3411" t="str">
        <f>S4</f>
        <v>année (n-1) au mois</v>
      </c>
      <c r="T20" s="3411"/>
      <c r="U20" s="3412" t="s">
        <v>521</v>
      </c>
      <c r="V20" s="3412"/>
      <c r="W20" s="3412"/>
      <c r="X20" s="3412"/>
    </row>
    <row r="21" spans="1:24">
      <c r="A21" s="430"/>
      <c r="B21" s="951" t="s">
        <v>522</v>
      </c>
      <c r="C21" s="951" t="s">
        <v>466</v>
      </c>
      <c r="D21" s="951" t="s">
        <v>522</v>
      </c>
      <c r="E21" s="951" t="s">
        <v>466</v>
      </c>
      <c r="F21" s="952" t="s">
        <v>522</v>
      </c>
      <c r="G21" s="952" t="s">
        <v>466</v>
      </c>
      <c r="H21" s="952" t="s">
        <v>523</v>
      </c>
      <c r="I21" s="952" t="s">
        <v>524</v>
      </c>
      <c r="P21" s="430"/>
      <c r="Q21" s="951" t="s">
        <v>522</v>
      </c>
      <c r="R21" s="951" t="s">
        <v>466</v>
      </c>
      <c r="S21" s="951" t="s">
        <v>522</v>
      </c>
      <c r="T21" s="951" t="s">
        <v>466</v>
      </c>
      <c r="U21" s="952" t="s">
        <v>522</v>
      </c>
      <c r="V21" s="952" t="s">
        <v>466</v>
      </c>
      <c r="W21" s="952" t="s">
        <v>523</v>
      </c>
      <c r="X21" s="952" t="s">
        <v>524</v>
      </c>
    </row>
    <row r="22" spans="1:24">
      <c r="A22" s="941" t="s">
        <v>68</v>
      </c>
      <c r="B22" s="947"/>
      <c r="C22" s="948"/>
      <c r="D22" s="947"/>
      <c r="E22" s="948"/>
      <c r="F22" s="953">
        <f>$L$2-D22+B22</f>
        <v>4124.2363185199993</v>
      </c>
      <c r="G22" s="954">
        <f>$M$2-E22+C22</f>
        <v>3728.1309215500005</v>
      </c>
      <c r="H22" s="953">
        <f>F22-G22</f>
        <v>396.10539696999876</v>
      </c>
      <c r="I22" s="954">
        <f>(H22/F22)*100</f>
        <v>9.6043331753633119</v>
      </c>
      <c r="P22" s="941" t="s">
        <v>68</v>
      </c>
      <c r="Q22" s="947"/>
      <c r="R22" s="948"/>
      <c r="S22" s="947"/>
      <c r="T22" s="948"/>
      <c r="U22" s="953">
        <f>$AA$2-S22+Q22</f>
        <v>3985.3009843499995</v>
      </c>
      <c r="V22" s="954">
        <f>$AB$2-T22+R22</f>
        <v>4075.9374462600008</v>
      </c>
      <c r="W22" s="953">
        <f>U22-V22</f>
        <v>-90.636461910001344</v>
      </c>
      <c r="X22" s="954">
        <f>(W22/U22)*100</f>
        <v>-2.2742689263853455</v>
      </c>
    </row>
    <row r="23" spans="1:24">
      <c r="A23" s="941" t="s">
        <v>7</v>
      </c>
      <c r="B23" s="949"/>
      <c r="C23" s="950"/>
      <c r="D23" s="949"/>
      <c r="E23" s="950"/>
      <c r="F23" s="955">
        <f>$L$3-D23+B23</f>
        <v>3275.2338950000003</v>
      </c>
      <c r="G23" s="956">
        <f>$M$3-E23+C23</f>
        <v>3134.1293854599994</v>
      </c>
      <c r="H23" s="955">
        <f t="shared" ref="H23:H31" si="6">F23-G23</f>
        <v>141.10450954000089</v>
      </c>
      <c r="I23" s="956">
        <f t="shared" ref="I23:I31" si="7">(H23/F23)*100</f>
        <v>4.3082269561087596</v>
      </c>
      <c r="P23" s="941" t="s">
        <v>7</v>
      </c>
      <c r="Q23" s="949"/>
      <c r="R23" s="950"/>
      <c r="S23" s="949"/>
      <c r="T23" s="950"/>
      <c r="U23" s="955">
        <f>$AA$3-S23+Q23</f>
        <v>3111.5160040000001</v>
      </c>
      <c r="V23" s="956">
        <f>$AB$3-T23+R23</f>
        <v>3333.8697204300001</v>
      </c>
      <c r="W23" s="955">
        <f t="shared" ref="W23:W31" si="8">U23-V23</f>
        <v>-222.35371643000008</v>
      </c>
      <c r="X23" s="956">
        <f t="shared" ref="X23:X31" si="9">(W23/U23)*100</f>
        <v>-7.1461537123432413</v>
      </c>
    </row>
    <row r="24" spans="1:24">
      <c r="A24" s="941" t="s">
        <v>8</v>
      </c>
      <c r="B24" s="949"/>
      <c r="C24" s="950"/>
      <c r="D24" s="949"/>
      <c r="E24" s="950"/>
      <c r="F24" s="955">
        <f>$L$4-D24+B24</f>
        <v>3131.6329650000002</v>
      </c>
      <c r="G24" s="956">
        <f>$M$4-E24+C24</f>
        <v>2984.8316109799998</v>
      </c>
      <c r="H24" s="955">
        <f t="shared" si="6"/>
        <v>146.80135402000042</v>
      </c>
      <c r="I24" s="956">
        <f t="shared" si="7"/>
        <v>4.6876934704894575</v>
      </c>
      <c r="P24" s="941" t="s">
        <v>8</v>
      </c>
      <c r="Q24" s="949"/>
      <c r="R24" s="950"/>
      <c r="S24" s="949"/>
      <c r="T24" s="950"/>
      <c r="U24" s="955">
        <f>$AA$4-S24+Q24</f>
        <v>3036.1096109999994</v>
      </c>
      <c r="V24" s="956">
        <f>$AB$4-T24+R24</f>
        <v>3109.1492814699996</v>
      </c>
      <c r="W24" s="955">
        <f t="shared" si="8"/>
        <v>-73.039670470000146</v>
      </c>
      <c r="X24" s="956">
        <f t="shared" si="9"/>
        <v>-2.4056993925836285</v>
      </c>
    </row>
    <row r="25" spans="1:24">
      <c r="A25" s="941" t="s">
        <v>4</v>
      </c>
      <c r="B25" s="949"/>
      <c r="C25" s="950"/>
      <c r="D25" s="949"/>
      <c r="E25" s="950"/>
      <c r="F25" s="955">
        <f>$L$5-D25+B25</f>
        <v>4891.117295</v>
      </c>
      <c r="G25" s="956">
        <f>$M$5-E25+C25</f>
        <v>4946.4932728200001</v>
      </c>
      <c r="H25" s="955">
        <f t="shared" si="6"/>
        <v>-55.375977820000116</v>
      </c>
      <c r="I25" s="956">
        <f t="shared" si="7"/>
        <v>-1.1321743986104942</v>
      </c>
      <c r="P25" s="941" t="s">
        <v>4</v>
      </c>
      <c r="Q25" s="949"/>
      <c r="R25" s="950"/>
      <c r="S25" s="949"/>
      <c r="T25" s="950"/>
      <c r="U25" s="955">
        <f>$AA$5-S25+Q25</f>
        <v>4659.1682739999997</v>
      </c>
      <c r="V25" s="956">
        <f>$AB$5-T25+R25</f>
        <v>5196.0141774199992</v>
      </c>
      <c r="W25" s="955">
        <f t="shared" si="8"/>
        <v>-536.84590341999956</v>
      </c>
      <c r="X25" s="956">
        <f t="shared" si="9"/>
        <v>-11.522354889300992</v>
      </c>
    </row>
    <row r="26" spans="1:24">
      <c r="A26" s="941" t="s">
        <v>3</v>
      </c>
      <c r="B26" s="949"/>
      <c r="C26" s="950"/>
      <c r="D26" s="949"/>
      <c r="E26" s="950"/>
      <c r="F26" s="955">
        <f>$L$6-D26+B26</f>
        <v>5554.3826170000011</v>
      </c>
      <c r="G26" s="956">
        <f>$M$6-E26+C26</f>
        <v>5121.3940476599992</v>
      </c>
      <c r="H26" s="955">
        <f t="shared" si="6"/>
        <v>432.98856934000196</v>
      </c>
      <c r="I26" s="956">
        <f t="shared" si="7"/>
        <v>7.7954400911233055</v>
      </c>
      <c r="P26" s="941" t="s">
        <v>3</v>
      </c>
      <c r="Q26" s="949"/>
      <c r="R26" s="950"/>
      <c r="S26" s="949"/>
      <c r="T26" s="950"/>
      <c r="U26" s="955">
        <f>$AA$6-S26+Q26</f>
        <v>5655.8158780000003</v>
      </c>
      <c r="V26" s="956">
        <f>$AB$6-T26+R26</f>
        <v>5469.2741296499989</v>
      </c>
      <c r="W26" s="955">
        <f t="shared" si="8"/>
        <v>186.5417483500014</v>
      </c>
      <c r="X26" s="956">
        <f t="shared" si="9"/>
        <v>3.29822880330337</v>
      </c>
    </row>
    <row r="27" spans="1:24">
      <c r="A27" s="941" t="s">
        <v>397</v>
      </c>
      <c r="B27" s="949"/>
      <c r="C27" s="950"/>
      <c r="D27" s="949"/>
      <c r="E27" s="950"/>
      <c r="F27" s="955">
        <f>$L$7-D27+B27</f>
        <v>1674.3147552500002</v>
      </c>
      <c r="G27" s="956">
        <f>$M$7-E27+C27</f>
        <v>1464.4653884400013</v>
      </c>
      <c r="H27" s="955">
        <f t="shared" si="6"/>
        <v>209.84936680999886</v>
      </c>
      <c r="I27" s="956">
        <f t="shared" si="7"/>
        <v>12.533447856921336</v>
      </c>
      <c r="P27" s="941" t="s">
        <v>397</v>
      </c>
      <c r="Q27" s="949"/>
      <c r="R27" s="950"/>
      <c r="S27" s="949"/>
      <c r="T27" s="950"/>
      <c r="U27" s="955">
        <f>$AA$7-S27+Q27</f>
        <v>1576.4305022799999</v>
      </c>
      <c r="V27" s="956">
        <f>$AB$7-T27+R27</f>
        <v>1521.915172420001</v>
      </c>
      <c r="W27" s="955">
        <f t="shared" si="8"/>
        <v>54.515329859998928</v>
      </c>
      <c r="X27" s="956">
        <f t="shared" si="9"/>
        <v>3.4581499013850032</v>
      </c>
    </row>
    <row r="28" spans="1:24">
      <c r="A28" s="941" t="s">
        <v>399</v>
      </c>
      <c r="B28" s="949"/>
      <c r="C28" s="950"/>
      <c r="D28" s="949"/>
      <c r="E28" s="950"/>
      <c r="F28" s="955">
        <f>$L$8-D28+B28</f>
        <v>3022.1810381200003</v>
      </c>
      <c r="G28" s="956">
        <f>$M$8-E28+C28</f>
        <v>2728.9321647699999</v>
      </c>
      <c r="H28" s="955">
        <f t="shared" si="6"/>
        <v>293.24887335000039</v>
      </c>
      <c r="I28" s="956">
        <f t="shared" si="7"/>
        <v>9.7032199478169208</v>
      </c>
      <c r="P28" s="941" t="s">
        <v>399</v>
      </c>
      <c r="Q28" s="949"/>
      <c r="R28" s="950"/>
      <c r="S28" s="949"/>
      <c r="T28" s="950"/>
      <c r="U28" s="955">
        <f>$AA$8-S28+Q28</f>
        <v>2809.6222358199998</v>
      </c>
      <c r="V28" s="956">
        <f>$AB$8-T28+R28</f>
        <v>2789.8338850800001</v>
      </c>
      <c r="W28" s="955">
        <f t="shared" si="8"/>
        <v>19.788350739999714</v>
      </c>
      <c r="X28" s="956">
        <f t="shared" si="9"/>
        <v>0.70430645400357184</v>
      </c>
    </row>
    <row r="29" spans="1:24">
      <c r="A29" s="941" t="s">
        <v>883</v>
      </c>
      <c r="B29" s="949"/>
      <c r="C29" s="950"/>
      <c r="D29" s="949"/>
      <c r="E29" s="950"/>
      <c r="F29" s="955">
        <f>$L$9-D29+B29</f>
        <v>1959.3614289999998</v>
      </c>
      <c r="G29" s="956">
        <f>$M$9-E29+C29</f>
        <v>1791.6212273600006</v>
      </c>
      <c r="H29" s="955">
        <f t="shared" si="6"/>
        <v>167.74020163999921</v>
      </c>
      <c r="I29" s="956">
        <f t="shared" si="7"/>
        <v>8.5609627278214244</v>
      </c>
      <c r="P29" s="941" t="s">
        <v>883</v>
      </c>
      <c r="Q29" s="949"/>
      <c r="R29" s="950"/>
      <c r="S29" s="949"/>
      <c r="T29" s="950"/>
      <c r="U29" s="955">
        <f>$AA$9-S29+Q29</f>
        <v>1911.5098789999997</v>
      </c>
      <c r="V29" s="956">
        <f>$AB$9-T29+R29</f>
        <v>1946.47764478</v>
      </c>
      <c r="W29" s="955">
        <f t="shared" si="8"/>
        <v>-34.967765780000263</v>
      </c>
      <c r="X29" s="956">
        <f t="shared" si="9"/>
        <v>-1.8293269715296232</v>
      </c>
    </row>
    <row r="30" spans="1:24">
      <c r="A30" s="941" t="s">
        <v>884</v>
      </c>
      <c r="B30" s="949"/>
      <c r="C30" s="950"/>
      <c r="D30" s="949"/>
      <c r="E30" s="950"/>
      <c r="F30" s="955">
        <f>$L$10-D30+B30</f>
        <v>2102.2111479999999</v>
      </c>
      <c r="G30" s="956">
        <f>$M$10-E30+C30</f>
        <v>1900.39871973</v>
      </c>
      <c r="H30" s="955">
        <f t="shared" si="6"/>
        <v>201.81242826999983</v>
      </c>
      <c r="I30" s="956">
        <f t="shared" si="7"/>
        <v>9.6000075188450982</v>
      </c>
      <c r="P30" s="941" t="s">
        <v>884</v>
      </c>
      <c r="Q30" s="949"/>
      <c r="R30" s="950"/>
      <c r="S30" s="949"/>
      <c r="T30" s="950"/>
      <c r="U30" s="955">
        <f>$AA$10-S30+Q30</f>
        <v>1983.3501999999999</v>
      </c>
      <c r="V30" s="956">
        <f>$AB$10-T30+R30</f>
        <v>2060.6519396399999</v>
      </c>
      <c r="W30" s="955">
        <f t="shared" si="8"/>
        <v>-77.301739640000051</v>
      </c>
      <c r="X30" s="956">
        <f t="shared" si="9"/>
        <v>-3.8975335591263738</v>
      </c>
    </row>
    <row r="31" spans="1:24" ht="14.4" thickBot="1">
      <c r="A31" s="941" t="s">
        <v>885</v>
      </c>
      <c r="B31" s="949"/>
      <c r="C31" s="950"/>
      <c r="D31" s="949"/>
      <c r="E31" s="950"/>
      <c r="F31" s="955">
        <f>$L$11-D31+B31</f>
        <v>1335.2583690000001</v>
      </c>
      <c r="G31" s="956">
        <f>$M$11-E31+C31</f>
        <v>1187.3271510479999</v>
      </c>
      <c r="H31" s="955">
        <f t="shared" si="6"/>
        <v>147.93121795200022</v>
      </c>
      <c r="I31" s="956">
        <f t="shared" si="7"/>
        <v>11.078845966177218</v>
      </c>
      <c r="P31" s="941" t="s">
        <v>885</v>
      </c>
      <c r="Q31" s="949"/>
      <c r="R31" s="950"/>
      <c r="S31" s="949"/>
      <c r="T31" s="950"/>
      <c r="U31" s="955">
        <f>$AA$11-S31+Q31</f>
        <v>1326.8774069999999</v>
      </c>
      <c r="V31" s="956">
        <f>$AB$11-T31+R31</f>
        <v>1302.3806176500002</v>
      </c>
      <c r="W31" s="955">
        <f t="shared" si="8"/>
        <v>24.496789349999744</v>
      </c>
      <c r="X31" s="956">
        <f t="shared" si="9"/>
        <v>1.8461983918609104</v>
      </c>
    </row>
    <row r="32" spans="1:24" ht="14.4" thickBot="1">
      <c r="A32" s="941" t="s">
        <v>16</v>
      </c>
      <c r="B32" s="945">
        <f t="shared" ref="B32:H32" si="10">SUM(B22:B31)</f>
        <v>0</v>
      </c>
      <c r="C32" s="945">
        <f t="shared" si="10"/>
        <v>0</v>
      </c>
      <c r="D32" s="945">
        <f t="shared" si="10"/>
        <v>0</v>
      </c>
      <c r="E32" s="945">
        <f t="shared" si="10"/>
        <v>0</v>
      </c>
      <c r="F32" s="945">
        <f t="shared" si="10"/>
        <v>31069.929829890003</v>
      </c>
      <c r="G32" s="946">
        <f t="shared" si="10"/>
        <v>28987.723889818</v>
      </c>
      <c r="H32" s="946">
        <f t="shared" si="10"/>
        <v>2082.2059400720004</v>
      </c>
      <c r="I32" s="1361">
        <f>(H32/F32)*100</f>
        <v>6.7016757085459178</v>
      </c>
      <c r="P32" s="941" t="s">
        <v>16</v>
      </c>
      <c r="Q32" s="945">
        <f t="shared" ref="Q32:W32" si="11">SUM(Q22:Q31)</f>
        <v>0</v>
      </c>
      <c r="R32" s="945">
        <f t="shared" si="11"/>
        <v>0</v>
      </c>
      <c r="S32" s="945">
        <f t="shared" si="11"/>
        <v>0</v>
      </c>
      <c r="T32" s="945">
        <f t="shared" si="11"/>
        <v>0</v>
      </c>
      <c r="U32" s="945">
        <f t="shared" si="11"/>
        <v>30055.70097545</v>
      </c>
      <c r="V32" s="946">
        <f t="shared" si="11"/>
        <v>30805.504014800001</v>
      </c>
      <c r="W32" s="946">
        <f t="shared" si="11"/>
        <v>-749.80303935000165</v>
      </c>
      <c r="X32" s="1361">
        <f>(W32/U32)*100</f>
        <v>-2.4947115356333005</v>
      </c>
    </row>
    <row r="33" spans="1:24">
      <c r="C33" s="454"/>
      <c r="P33" s="117"/>
      <c r="Q33" s="117"/>
      <c r="R33" s="454"/>
      <c r="S33" s="117"/>
      <c r="T33" s="117"/>
      <c r="U33" s="117"/>
      <c r="V33" s="117"/>
      <c r="W33" s="117"/>
      <c r="X33" s="117"/>
    </row>
    <row r="34" spans="1:24">
      <c r="B34" s="116" t="s">
        <v>526</v>
      </c>
      <c r="P34" s="117"/>
      <c r="Q34" s="116" t="s">
        <v>526</v>
      </c>
      <c r="R34" s="117"/>
      <c r="S34" s="117"/>
      <c r="T34" s="117"/>
      <c r="U34" s="117"/>
      <c r="V34" s="117"/>
      <c r="W34" s="117"/>
      <c r="X34" s="117"/>
    </row>
    <row r="35" spans="1:24">
      <c r="H35" s="430"/>
      <c r="I35" s="430"/>
      <c r="P35" s="117"/>
      <c r="Q35" s="117"/>
      <c r="R35" s="117"/>
      <c r="S35" s="117"/>
      <c r="T35" s="117"/>
      <c r="U35" s="117"/>
      <c r="V35" s="117"/>
      <c r="W35" s="430"/>
      <c r="X35" s="430"/>
    </row>
    <row r="36" spans="1:24">
      <c r="B36" s="3411" t="str">
        <f>B20</f>
        <v>année (n) au mois</v>
      </c>
      <c r="C36" s="3411"/>
      <c r="D36" s="3411" t="str">
        <f>D20</f>
        <v>année (n-1) au mois</v>
      </c>
      <c r="E36" s="3411"/>
      <c r="F36" s="3412" t="s">
        <v>521</v>
      </c>
      <c r="G36" s="3412"/>
      <c r="H36" s="3412"/>
      <c r="I36" s="3412"/>
      <c r="P36" s="117"/>
      <c r="Q36" s="3411" t="str">
        <f>Q20</f>
        <v>année (n) au mois</v>
      </c>
      <c r="R36" s="3411"/>
      <c r="S36" s="3411" t="str">
        <f>S20</f>
        <v>année (n-1) au mois</v>
      </c>
      <c r="T36" s="3411"/>
      <c r="U36" s="3412" t="s">
        <v>521</v>
      </c>
      <c r="V36" s="3412"/>
      <c r="W36" s="3412"/>
      <c r="X36" s="3412"/>
    </row>
    <row r="37" spans="1:24">
      <c r="A37" s="430"/>
      <c r="B37" s="951" t="s">
        <v>522</v>
      </c>
      <c r="C37" s="951" t="s">
        <v>466</v>
      </c>
      <c r="D37" s="951" t="s">
        <v>522</v>
      </c>
      <c r="E37" s="951" t="s">
        <v>466</v>
      </c>
      <c r="F37" s="952" t="s">
        <v>522</v>
      </c>
      <c r="G37" s="952" t="s">
        <v>466</v>
      </c>
      <c r="H37" s="952" t="s">
        <v>523</v>
      </c>
      <c r="I37" s="952" t="s">
        <v>524</v>
      </c>
      <c r="P37" s="430"/>
      <c r="Q37" s="951" t="s">
        <v>522</v>
      </c>
      <c r="R37" s="951" t="s">
        <v>466</v>
      </c>
      <c r="S37" s="951" t="s">
        <v>522</v>
      </c>
      <c r="T37" s="951" t="s">
        <v>466</v>
      </c>
      <c r="U37" s="952" t="s">
        <v>522</v>
      </c>
      <c r="V37" s="952" t="s">
        <v>466</v>
      </c>
      <c r="W37" s="952" t="s">
        <v>523</v>
      </c>
      <c r="X37" s="952" t="s">
        <v>524</v>
      </c>
    </row>
    <row r="38" spans="1:24">
      <c r="A38" s="941" t="s">
        <v>68</v>
      </c>
      <c r="B38" s="947"/>
      <c r="C38" s="948"/>
      <c r="D38" s="947"/>
      <c r="E38" s="948"/>
      <c r="F38" s="953">
        <f>$L$2-D38+B38</f>
        <v>4124.2363185199993</v>
      </c>
      <c r="G38" s="954">
        <f>$M$2-E38+C38</f>
        <v>3728.1309215500005</v>
      </c>
      <c r="H38" s="953">
        <f>F38-G38</f>
        <v>396.10539696999876</v>
      </c>
      <c r="I38" s="954">
        <f>(H38/F38)*100</f>
        <v>9.6043331753633119</v>
      </c>
      <c r="P38" s="941" t="s">
        <v>68</v>
      </c>
      <c r="Q38" s="947"/>
      <c r="R38" s="948"/>
      <c r="S38" s="947"/>
      <c r="T38" s="948"/>
      <c r="U38" s="953">
        <f>$AA$2-S38+Q38</f>
        <v>3985.3009843499995</v>
      </c>
      <c r="V38" s="954">
        <f>$AB$2-T38+R38</f>
        <v>4075.9374462600008</v>
      </c>
      <c r="W38" s="953">
        <f>U38-V38</f>
        <v>-90.636461910001344</v>
      </c>
      <c r="X38" s="954">
        <f>(W38/U38)*100</f>
        <v>-2.2742689263853455</v>
      </c>
    </row>
    <row r="39" spans="1:24">
      <c r="A39" s="941" t="s">
        <v>7</v>
      </c>
      <c r="B39" s="949"/>
      <c r="C39" s="950"/>
      <c r="D39" s="949"/>
      <c r="E39" s="950"/>
      <c r="F39" s="955">
        <f>$L$3-D39+B39</f>
        <v>3275.2338950000003</v>
      </c>
      <c r="G39" s="956">
        <f>$M$3-E39+C39</f>
        <v>3134.1293854599994</v>
      </c>
      <c r="H39" s="955">
        <f t="shared" ref="H39:H47" si="12">F39-G39</f>
        <v>141.10450954000089</v>
      </c>
      <c r="I39" s="956">
        <f t="shared" ref="I39:I47" si="13">(H39/F39)*100</f>
        <v>4.3082269561087596</v>
      </c>
      <c r="P39" s="941" t="s">
        <v>7</v>
      </c>
      <c r="Q39" s="949"/>
      <c r="R39" s="950"/>
      <c r="S39" s="949"/>
      <c r="T39" s="950"/>
      <c r="U39" s="955">
        <f>$AA$3-S39+Q39</f>
        <v>3111.5160040000001</v>
      </c>
      <c r="V39" s="956">
        <f>$AB$3-T39+R39</f>
        <v>3333.8697204300001</v>
      </c>
      <c r="W39" s="955">
        <f t="shared" ref="W39:W47" si="14">U39-V39</f>
        <v>-222.35371643000008</v>
      </c>
      <c r="X39" s="956">
        <f t="shared" ref="X39:X47" si="15">(W39/U39)*100</f>
        <v>-7.1461537123432413</v>
      </c>
    </row>
    <row r="40" spans="1:24">
      <c r="A40" s="941" t="s">
        <v>8</v>
      </c>
      <c r="B40" s="949"/>
      <c r="C40" s="950"/>
      <c r="D40" s="949"/>
      <c r="E40" s="950"/>
      <c r="F40" s="955">
        <f>$L$4-D40+B40</f>
        <v>3131.6329650000002</v>
      </c>
      <c r="G40" s="956">
        <f>$M$4-E40+C40</f>
        <v>2984.8316109799998</v>
      </c>
      <c r="H40" s="955">
        <f t="shared" si="12"/>
        <v>146.80135402000042</v>
      </c>
      <c r="I40" s="956">
        <f t="shared" si="13"/>
        <v>4.6876934704894575</v>
      </c>
      <c r="P40" s="941" t="s">
        <v>8</v>
      </c>
      <c r="Q40" s="949"/>
      <c r="R40" s="950"/>
      <c r="S40" s="949"/>
      <c r="T40" s="950"/>
      <c r="U40" s="955">
        <f>$AA$4-S40+Q40</f>
        <v>3036.1096109999994</v>
      </c>
      <c r="V40" s="956">
        <f>$AB$4-T40+R40</f>
        <v>3109.1492814699996</v>
      </c>
      <c r="W40" s="955">
        <f t="shared" si="14"/>
        <v>-73.039670470000146</v>
      </c>
      <c r="X40" s="956">
        <f t="shared" si="15"/>
        <v>-2.4056993925836285</v>
      </c>
    </row>
    <row r="41" spans="1:24">
      <c r="A41" s="941" t="s">
        <v>4</v>
      </c>
      <c r="B41" s="949"/>
      <c r="C41" s="950"/>
      <c r="D41" s="949"/>
      <c r="E41" s="950"/>
      <c r="F41" s="955">
        <f>$L$5-D41+B41</f>
        <v>4891.117295</v>
      </c>
      <c r="G41" s="956">
        <f>$M$5-E41+C41</f>
        <v>4946.4932728200001</v>
      </c>
      <c r="H41" s="955">
        <f t="shared" si="12"/>
        <v>-55.375977820000116</v>
      </c>
      <c r="I41" s="956">
        <f t="shared" si="13"/>
        <v>-1.1321743986104942</v>
      </c>
      <c r="P41" s="941" t="s">
        <v>4</v>
      </c>
      <c r="Q41" s="949"/>
      <c r="R41" s="950"/>
      <c r="S41" s="949"/>
      <c r="T41" s="950"/>
      <c r="U41" s="955">
        <f>$AA$5-S41+Q41</f>
        <v>4659.1682739999997</v>
      </c>
      <c r="V41" s="956">
        <f>$AB$5-T41+R41</f>
        <v>5196.0141774199992</v>
      </c>
      <c r="W41" s="955">
        <f t="shared" si="14"/>
        <v>-536.84590341999956</v>
      </c>
      <c r="X41" s="956">
        <f t="shared" si="15"/>
        <v>-11.522354889300992</v>
      </c>
    </row>
    <row r="42" spans="1:24">
      <c r="A42" s="941" t="s">
        <v>3</v>
      </c>
      <c r="B42" s="949"/>
      <c r="C42" s="950"/>
      <c r="D42" s="949"/>
      <c r="E42" s="950"/>
      <c r="F42" s="955">
        <f>$L$6-D42+B42</f>
        <v>5554.3826170000011</v>
      </c>
      <c r="G42" s="956">
        <f>$M$6-E42+C42</f>
        <v>5121.3940476599992</v>
      </c>
      <c r="H42" s="955">
        <f t="shared" si="12"/>
        <v>432.98856934000196</v>
      </c>
      <c r="I42" s="956">
        <f t="shared" si="13"/>
        <v>7.7954400911233055</v>
      </c>
      <c r="P42" s="941" t="s">
        <v>3</v>
      </c>
      <c r="Q42" s="949"/>
      <c r="R42" s="950"/>
      <c r="S42" s="949"/>
      <c r="T42" s="950"/>
      <c r="U42" s="955">
        <f>$AA$6-S42+Q42</f>
        <v>5655.8158780000003</v>
      </c>
      <c r="V42" s="956">
        <f>$AB$6-T42+R42</f>
        <v>5469.2741296499989</v>
      </c>
      <c r="W42" s="955">
        <f t="shared" si="14"/>
        <v>186.5417483500014</v>
      </c>
      <c r="X42" s="956">
        <f t="shared" si="15"/>
        <v>3.29822880330337</v>
      </c>
    </row>
    <row r="43" spans="1:24">
      <c r="A43" s="941" t="s">
        <v>397</v>
      </c>
      <c r="B43" s="949"/>
      <c r="C43" s="950"/>
      <c r="D43" s="949"/>
      <c r="E43" s="950"/>
      <c r="F43" s="955">
        <f>$L$7-D43+B43</f>
        <v>1674.3147552500002</v>
      </c>
      <c r="G43" s="956">
        <f>$M$7-E43+C43</f>
        <v>1464.4653884400013</v>
      </c>
      <c r="H43" s="955">
        <f t="shared" si="12"/>
        <v>209.84936680999886</v>
      </c>
      <c r="I43" s="956">
        <f t="shared" si="13"/>
        <v>12.533447856921336</v>
      </c>
      <c r="P43" s="941" t="s">
        <v>397</v>
      </c>
      <c r="Q43" s="949"/>
      <c r="R43" s="950"/>
      <c r="S43" s="949"/>
      <c r="T43" s="950"/>
      <c r="U43" s="955">
        <f>$AA$7-S43+Q43</f>
        <v>1576.4305022799999</v>
      </c>
      <c r="V43" s="956">
        <f>$AB$7-T43+R43</f>
        <v>1521.915172420001</v>
      </c>
      <c r="W43" s="955">
        <f t="shared" si="14"/>
        <v>54.515329859998928</v>
      </c>
      <c r="X43" s="956">
        <f t="shared" si="15"/>
        <v>3.4581499013850032</v>
      </c>
    </row>
    <row r="44" spans="1:24">
      <c r="A44" s="941" t="s">
        <v>399</v>
      </c>
      <c r="B44" s="949"/>
      <c r="C44" s="950"/>
      <c r="D44" s="949"/>
      <c r="E44" s="950"/>
      <c r="F44" s="955">
        <f>$L$8-D44+B44</f>
        <v>3022.1810381200003</v>
      </c>
      <c r="G44" s="956">
        <f>$M$8-E44+C44</f>
        <v>2728.9321647699999</v>
      </c>
      <c r="H44" s="955">
        <f t="shared" si="12"/>
        <v>293.24887335000039</v>
      </c>
      <c r="I44" s="956">
        <f t="shared" si="13"/>
        <v>9.7032199478169208</v>
      </c>
      <c r="P44" s="941" t="s">
        <v>399</v>
      </c>
      <c r="Q44" s="949"/>
      <c r="R44" s="950"/>
      <c r="S44" s="949"/>
      <c r="T44" s="950"/>
      <c r="U44" s="955">
        <f>$AA$8-S44+Q44</f>
        <v>2809.6222358199998</v>
      </c>
      <c r="V44" s="956">
        <f>$AB$8-T44+R44</f>
        <v>2789.8338850800001</v>
      </c>
      <c r="W44" s="955">
        <f t="shared" si="14"/>
        <v>19.788350739999714</v>
      </c>
      <c r="X44" s="956">
        <f t="shared" si="15"/>
        <v>0.70430645400357184</v>
      </c>
    </row>
    <row r="45" spans="1:24">
      <c r="A45" s="941" t="s">
        <v>883</v>
      </c>
      <c r="B45" s="949"/>
      <c r="C45" s="950"/>
      <c r="D45" s="949"/>
      <c r="E45" s="950"/>
      <c r="F45" s="955">
        <f>$L$9-D45+B45</f>
        <v>1959.3614289999998</v>
      </c>
      <c r="G45" s="956">
        <f>$M$9-E45+C45</f>
        <v>1791.6212273600006</v>
      </c>
      <c r="H45" s="955">
        <f t="shared" si="12"/>
        <v>167.74020163999921</v>
      </c>
      <c r="I45" s="956">
        <f t="shared" si="13"/>
        <v>8.5609627278214244</v>
      </c>
      <c r="P45" s="941" t="s">
        <v>883</v>
      </c>
      <c r="Q45" s="949"/>
      <c r="R45" s="950"/>
      <c r="S45" s="949"/>
      <c r="T45" s="950"/>
      <c r="U45" s="955">
        <f>$AA$9-S45+Q45</f>
        <v>1911.5098789999997</v>
      </c>
      <c r="V45" s="956">
        <f>$AB$9-T45+R45</f>
        <v>1946.47764478</v>
      </c>
      <c r="W45" s="955">
        <f t="shared" si="14"/>
        <v>-34.967765780000263</v>
      </c>
      <c r="X45" s="956">
        <f t="shared" si="15"/>
        <v>-1.8293269715296232</v>
      </c>
    </row>
    <row r="46" spans="1:24">
      <c r="A46" s="941" t="s">
        <v>884</v>
      </c>
      <c r="B46" s="949"/>
      <c r="C46" s="950"/>
      <c r="D46" s="949"/>
      <c r="E46" s="950"/>
      <c r="F46" s="955">
        <f>$L$10-D46+B46</f>
        <v>2102.2111479999999</v>
      </c>
      <c r="G46" s="956">
        <f>$M$10-E46+C46</f>
        <v>1900.39871973</v>
      </c>
      <c r="H46" s="955">
        <f t="shared" si="12"/>
        <v>201.81242826999983</v>
      </c>
      <c r="I46" s="956">
        <f t="shared" si="13"/>
        <v>9.6000075188450982</v>
      </c>
      <c r="P46" s="941" t="s">
        <v>884</v>
      </c>
      <c r="Q46" s="949"/>
      <c r="R46" s="950"/>
      <c r="S46" s="949"/>
      <c r="T46" s="950"/>
      <c r="U46" s="955">
        <f>$AA$10-S46+Q46</f>
        <v>1983.3501999999999</v>
      </c>
      <c r="V46" s="956">
        <f>$AB$10-T46+R46</f>
        <v>2060.6519396399999</v>
      </c>
      <c r="W46" s="955">
        <f t="shared" si="14"/>
        <v>-77.301739640000051</v>
      </c>
      <c r="X46" s="956">
        <f t="shared" si="15"/>
        <v>-3.8975335591263738</v>
      </c>
    </row>
    <row r="47" spans="1:24" ht="14.4" thickBot="1">
      <c r="A47" s="941" t="s">
        <v>885</v>
      </c>
      <c r="B47" s="949"/>
      <c r="C47" s="950"/>
      <c r="D47" s="949"/>
      <c r="E47" s="950"/>
      <c r="F47" s="955">
        <f>$L$11-D47+B47</f>
        <v>1335.2583690000001</v>
      </c>
      <c r="G47" s="956">
        <f>$M$11-E47+C47</f>
        <v>1187.3271510479999</v>
      </c>
      <c r="H47" s="955">
        <f t="shared" si="12"/>
        <v>147.93121795200022</v>
      </c>
      <c r="I47" s="956">
        <f t="shared" si="13"/>
        <v>11.078845966177218</v>
      </c>
      <c r="P47" s="941" t="s">
        <v>885</v>
      </c>
      <c r="Q47" s="949"/>
      <c r="R47" s="950"/>
      <c r="S47" s="949"/>
      <c r="T47" s="950"/>
      <c r="U47" s="955">
        <f>$AA$11-S47+Q47</f>
        <v>1326.8774069999999</v>
      </c>
      <c r="V47" s="956">
        <f>$AB$11-T47+R47</f>
        <v>1302.3806176500002</v>
      </c>
      <c r="W47" s="955">
        <f t="shared" si="14"/>
        <v>24.496789349999744</v>
      </c>
      <c r="X47" s="956">
        <f t="shared" si="15"/>
        <v>1.8461983918609104</v>
      </c>
    </row>
    <row r="48" spans="1:24" ht="14.4" thickBot="1">
      <c r="A48" s="941" t="s">
        <v>16</v>
      </c>
      <c r="B48" s="945">
        <f t="shared" ref="B48:H48" si="16">SUM(B38:B47)</f>
        <v>0</v>
      </c>
      <c r="C48" s="945">
        <f t="shared" si="16"/>
        <v>0</v>
      </c>
      <c r="D48" s="945">
        <f t="shared" si="16"/>
        <v>0</v>
      </c>
      <c r="E48" s="945">
        <f t="shared" si="16"/>
        <v>0</v>
      </c>
      <c r="F48" s="945">
        <f t="shared" si="16"/>
        <v>31069.929829890003</v>
      </c>
      <c r="G48" s="946">
        <f t="shared" si="16"/>
        <v>28987.723889818</v>
      </c>
      <c r="H48" s="946">
        <f t="shared" si="16"/>
        <v>2082.2059400720004</v>
      </c>
      <c r="I48" s="946">
        <f>(H48/F48)*100</f>
        <v>6.7016757085459178</v>
      </c>
      <c r="P48" s="941" t="s">
        <v>16</v>
      </c>
      <c r="Q48" s="945">
        <f t="shared" ref="Q48:W48" si="17">SUM(Q38:Q47)</f>
        <v>0</v>
      </c>
      <c r="R48" s="945">
        <f t="shared" si="17"/>
        <v>0</v>
      </c>
      <c r="S48" s="945">
        <f t="shared" si="17"/>
        <v>0</v>
      </c>
      <c r="T48" s="945">
        <f t="shared" si="17"/>
        <v>0</v>
      </c>
      <c r="U48" s="945">
        <f t="shared" si="17"/>
        <v>30055.70097545</v>
      </c>
      <c r="V48" s="946">
        <f t="shared" si="17"/>
        <v>30805.504014800001</v>
      </c>
      <c r="W48" s="946">
        <f t="shared" si="17"/>
        <v>-749.80303935000165</v>
      </c>
      <c r="X48" s="946">
        <f>(W48/U48)*100</f>
        <v>-2.4947115356333005</v>
      </c>
    </row>
    <row r="49" spans="1:24">
      <c r="P49" s="117"/>
      <c r="Q49" s="117"/>
      <c r="R49" s="117"/>
      <c r="S49" s="117"/>
      <c r="T49" s="117"/>
      <c r="U49" s="117"/>
      <c r="V49" s="117"/>
      <c r="W49" s="117"/>
      <c r="X49" s="117"/>
    </row>
    <row r="50" spans="1:24">
      <c r="P50" s="117"/>
      <c r="Q50" s="117"/>
      <c r="R50" s="117"/>
      <c r="S50" s="117"/>
      <c r="T50" s="117"/>
      <c r="U50" s="117"/>
      <c r="V50" s="117"/>
      <c r="W50" s="117"/>
      <c r="X50" s="117"/>
    </row>
    <row r="51" spans="1:24">
      <c r="B51" s="116" t="s">
        <v>527</v>
      </c>
      <c r="P51" s="117"/>
      <c r="Q51" s="116" t="s">
        <v>527</v>
      </c>
      <c r="R51" s="117"/>
      <c r="S51" s="117"/>
      <c r="T51" s="117"/>
      <c r="U51" s="117"/>
      <c r="V51" s="117"/>
      <c r="W51" s="117"/>
      <c r="X51" s="117"/>
    </row>
    <row r="52" spans="1:24">
      <c r="H52" s="430"/>
      <c r="I52" s="430"/>
      <c r="P52" s="117"/>
      <c r="Q52" s="117"/>
      <c r="R52" s="117"/>
      <c r="S52" s="117"/>
      <c r="T52" s="117"/>
      <c r="U52" s="117"/>
      <c r="V52" s="117"/>
      <c r="W52" s="430"/>
      <c r="X52" s="430"/>
    </row>
    <row r="53" spans="1:24">
      <c r="B53" s="3411" t="str">
        <f>B36</f>
        <v>année (n) au mois</v>
      </c>
      <c r="C53" s="3411"/>
      <c r="D53" s="3411" t="str">
        <f>D36</f>
        <v>année (n-1) au mois</v>
      </c>
      <c r="E53" s="3411"/>
      <c r="F53" s="3412" t="s">
        <v>521</v>
      </c>
      <c r="G53" s="3412"/>
      <c r="H53" s="3412"/>
      <c r="I53" s="3412"/>
      <c r="P53" s="117"/>
      <c r="Q53" s="3411" t="str">
        <f>Q36</f>
        <v>année (n) au mois</v>
      </c>
      <c r="R53" s="3411"/>
      <c r="S53" s="3411" t="str">
        <f>S36</f>
        <v>année (n-1) au mois</v>
      </c>
      <c r="T53" s="3411"/>
      <c r="U53" s="3412" t="s">
        <v>521</v>
      </c>
      <c r="V53" s="3412"/>
      <c r="W53" s="3412"/>
      <c r="X53" s="3412"/>
    </row>
    <row r="54" spans="1:24">
      <c r="A54" s="430"/>
      <c r="B54" s="951" t="s">
        <v>522</v>
      </c>
      <c r="C54" s="951" t="s">
        <v>466</v>
      </c>
      <c r="D54" s="951" t="s">
        <v>522</v>
      </c>
      <c r="E54" s="951" t="s">
        <v>466</v>
      </c>
      <c r="F54" s="952" t="s">
        <v>522</v>
      </c>
      <c r="G54" s="952" t="s">
        <v>466</v>
      </c>
      <c r="H54" s="952" t="s">
        <v>523</v>
      </c>
      <c r="I54" s="952" t="s">
        <v>524</v>
      </c>
      <c r="P54" s="430"/>
      <c r="Q54" s="951" t="s">
        <v>522</v>
      </c>
      <c r="R54" s="951" t="s">
        <v>466</v>
      </c>
      <c r="S54" s="951" t="s">
        <v>522</v>
      </c>
      <c r="T54" s="951" t="s">
        <v>466</v>
      </c>
      <c r="U54" s="952" t="s">
        <v>522</v>
      </c>
      <c r="V54" s="952" t="s">
        <v>466</v>
      </c>
      <c r="W54" s="952" t="s">
        <v>523</v>
      </c>
      <c r="X54" s="952" t="s">
        <v>524</v>
      </c>
    </row>
    <row r="55" spans="1:24">
      <c r="A55" s="941" t="s">
        <v>68</v>
      </c>
      <c r="B55" s="947">
        <v>2081.5207173000003</v>
      </c>
      <c r="C55" s="948">
        <v>2070.4861081800009</v>
      </c>
      <c r="D55" s="947">
        <v>2156.6362050000002</v>
      </c>
      <c r="E55" s="948">
        <v>2035.4109595600003</v>
      </c>
      <c r="F55" s="953">
        <f>$L$2-D55+B55</f>
        <v>4049.1208308199994</v>
      </c>
      <c r="G55" s="954">
        <f>$M$2-E55+C55</f>
        <v>3763.2060701700011</v>
      </c>
      <c r="H55" s="953">
        <f>F55-G55</f>
        <v>285.91476064999824</v>
      </c>
      <c r="I55" s="954">
        <f>(H55/F55)*100</f>
        <v>7.0611565472126641</v>
      </c>
      <c r="P55" s="941" t="s">
        <v>68</v>
      </c>
      <c r="Q55" s="947"/>
      <c r="R55" s="948"/>
      <c r="S55" s="947"/>
      <c r="T55" s="948"/>
      <c r="U55" s="953">
        <f>$AA$2-S55+Q55</f>
        <v>3985.3009843499995</v>
      </c>
      <c r="V55" s="954">
        <f>$AB$2-T55+R55</f>
        <v>4075.9374462600008</v>
      </c>
      <c r="W55" s="953">
        <f>U55-V55</f>
        <v>-90.636461910001344</v>
      </c>
      <c r="X55" s="954">
        <f>(W55/U55)*100</f>
        <v>-2.2742689263853455</v>
      </c>
    </row>
    <row r="56" spans="1:24">
      <c r="A56" s="941" t="s">
        <v>7</v>
      </c>
      <c r="B56" s="949">
        <v>1917.3822720000003</v>
      </c>
      <c r="C56" s="950">
        <v>2047.7845506799999</v>
      </c>
      <c r="D56" s="949">
        <v>1912.3176759999999</v>
      </c>
      <c r="E56" s="950">
        <v>1967.3769186799996</v>
      </c>
      <c r="F56" s="955">
        <f>$L$3-D56+B56</f>
        <v>3280.2984910000005</v>
      </c>
      <c r="G56" s="956">
        <f>$M$3-E56+C56</f>
        <v>3214.5370174599998</v>
      </c>
      <c r="H56" s="955">
        <f t="shared" ref="H56:H64" si="18">F56-G56</f>
        <v>65.761473540000679</v>
      </c>
      <c r="I56" s="956">
        <f t="shared" ref="I56:I64" si="19">(H56/F56)*100</f>
        <v>2.0047405356685468</v>
      </c>
      <c r="P56" s="941" t="s">
        <v>7</v>
      </c>
      <c r="Q56" s="949"/>
      <c r="R56" s="950"/>
      <c r="S56" s="949"/>
      <c r="T56" s="950"/>
      <c r="U56" s="955">
        <f>$AA$3-S56+Q56</f>
        <v>3111.5160040000001</v>
      </c>
      <c r="V56" s="956">
        <f>$AB$3-T56+R56</f>
        <v>3333.8697204300001</v>
      </c>
      <c r="W56" s="955">
        <f t="shared" ref="W56:W64" si="20">U56-V56</f>
        <v>-222.35371643000008</v>
      </c>
      <c r="X56" s="956">
        <f t="shared" ref="X56:X64" si="21">(W56/U56)*100</f>
        <v>-7.1461537123432413</v>
      </c>
    </row>
    <row r="57" spans="1:24">
      <c r="A57" s="941" t="s">
        <v>8</v>
      </c>
      <c r="B57" s="949">
        <v>1844.0971570000002</v>
      </c>
      <c r="C57" s="950">
        <v>1995.41332605</v>
      </c>
      <c r="D57" s="949">
        <v>1738.9994980000001</v>
      </c>
      <c r="E57" s="950">
        <v>1845.9850411099999</v>
      </c>
      <c r="F57" s="955">
        <f>$L$4-D57+B57</f>
        <v>3236.7306240000003</v>
      </c>
      <c r="G57" s="956">
        <f>$M$4-E57+C57</f>
        <v>3134.25989592</v>
      </c>
      <c r="H57" s="955">
        <f t="shared" si="18"/>
        <v>102.4707280800003</v>
      </c>
      <c r="I57" s="956">
        <f t="shared" si="19"/>
        <v>3.1658713678608645</v>
      </c>
      <c r="P57" s="941" t="s">
        <v>8</v>
      </c>
      <c r="Q57" s="949"/>
      <c r="R57" s="950"/>
      <c r="S57" s="949"/>
      <c r="T57" s="950"/>
      <c r="U57" s="955">
        <f>$AA$4-S57+Q57</f>
        <v>3036.1096109999994</v>
      </c>
      <c r="V57" s="956">
        <f>$AB$4-T57+R57</f>
        <v>3109.1492814699996</v>
      </c>
      <c r="W57" s="955">
        <f t="shared" si="20"/>
        <v>-73.039670470000146</v>
      </c>
      <c r="X57" s="956">
        <f t="shared" si="21"/>
        <v>-2.4056993925836285</v>
      </c>
    </row>
    <row r="58" spans="1:24">
      <c r="A58" s="941" t="s">
        <v>4</v>
      </c>
      <c r="B58" s="949">
        <v>2752.5574280000001</v>
      </c>
      <c r="C58" s="950">
        <v>3056.9785297699996</v>
      </c>
      <c r="D58" s="949">
        <v>2964.2564939999997</v>
      </c>
      <c r="E58" s="950">
        <v>3112.4977015800005</v>
      </c>
      <c r="F58" s="955">
        <f>$L$5-D58+B58</f>
        <v>4679.4182290000008</v>
      </c>
      <c r="G58" s="956">
        <f>$M$5-E58+C58</f>
        <v>4890.9741010099988</v>
      </c>
      <c r="H58" s="955">
        <f t="shared" si="18"/>
        <v>-211.55587200999798</v>
      </c>
      <c r="I58" s="956">
        <f t="shared" si="19"/>
        <v>-4.5209866196381387</v>
      </c>
      <c r="P58" s="941" t="s">
        <v>4</v>
      </c>
      <c r="Q58" s="949"/>
      <c r="R58" s="950"/>
      <c r="S58" s="949"/>
      <c r="T58" s="950"/>
      <c r="U58" s="955">
        <f>$AA$5-S58+Q58</f>
        <v>4659.1682739999997</v>
      </c>
      <c r="V58" s="956">
        <f>$AB$5-T58+R58</f>
        <v>5196.0141774199992</v>
      </c>
      <c r="W58" s="955">
        <f t="shared" si="20"/>
        <v>-536.84590341999956</v>
      </c>
      <c r="X58" s="956">
        <f t="shared" si="21"/>
        <v>-11.522354889300992</v>
      </c>
    </row>
    <row r="59" spans="1:24">
      <c r="A59" s="941" t="s">
        <v>3</v>
      </c>
      <c r="B59" s="949">
        <v>3138.9083110000001</v>
      </c>
      <c r="C59" s="950">
        <v>3089.8483531099996</v>
      </c>
      <c r="D59" s="949">
        <v>3098.5038179999997</v>
      </c>
      <c r="E59" s="950">
        <v>3109.9721120399995</v>
      </c>
      <c r="F59" s="955">
        <f>$L$6-D59+B59</f>
        <v>5594.7871100000011</v>
      </c>
      <c r="G59" s="956">
        <f>$M$6-E59+C59</f>
        <v>5101.2702887299993</v>
      </c>
      <c r="H59" s="955">
        <f t="shared" si="18"/>
        <v>493.51682127000186</v>
      </c>
      <c r="I59" s="956">
        <f t="shared" si="19"/>
        <v>8.8210116232644609</v>
      </c>
      <c r="P59" s="941" t="s">
        <v>3</v>
      </c>
      <c r="Q59" s="949"/>
      <c r="R59" s="950"/>
      <c r="S59" s="949"/>
      <c r="T59" s="950"/>
      <c r="U59" s="955">
        <f>$AA$6-S59+Q59</f>
        <v>5655.8158780000003</v>
      </c>
      <c r="V59" s="956">
        <f>$AB$6-T59+R59</f>
        <v>5469.2741296499989</v>
      </c>
      <c r="W59" s="955">
        <f t="shared" si="20"/>
        <v>186.5417483500014</v>
      </c>
      <c r="X59" s="956">
        <f t="shared" si="21"/>
        <v>3.29822880330337</v>
      </c>
    </row>
    <row r="60" spans="1:24">
      <c r="A60" s="941" t="s">
        <v>397</v>
      </c>
      <c r="B60" s="949">
        <v>880.86519169999997</v>
      </c>
      <c r="C60" s="950">
        <v>814.70729254999958</v>
      </c>
      <c r="D60" s="949">
        <v>941.02078299999994</v>
      </c>
      <c r="E60" s="950">
        <v>825.75980610000011</v>
      </c>
      <c r="F60" s="955">
        <f>$L$7-D60+B60</f>
        <v>1614.1591639500002</v>
      </c>
      <c r="G60" s="956">
        <f>$M$7-E60+C60</f>
        <v>1453.4128748900007</v>
      </c>
      <c r="H60" s="955">
        <f t="shared" si="18"/>
        <v>160.74628905999953</v>
      </c>
      <c r="I60" s="956">
        <f t="shared" si="19"/>
        <v>9.9585154085200696</v>
      </c>
      <c r="P60" s="941" t="s">
        <v>397</v>
      </c>
      <c r="Q60" s="949"/>
      <c r="R60" s="950"/>
      <c r="S60" s="949"/>
      <c r="T60" s="950"/>
      <c r="U60" s="955">
        <f>$AA$7-S60+Q60</f>
        <v>1576.4305022799999</v>
      </c>
      <c r="V60" s="956">
        <f>$AB$7-T60+R60</f>
        <v>1521.915172420001</v>
      </c>
      <c r="W60" s="955">
        <f t="shared" si="20"/>
        <v>54.515329859998928</v>
      </c>
      <c r="X60" s="956">
        <f t="shared" si="21"/>
        <v>3.4581499013850032</v>
      </c>
    </row>
    <row r="61" spans="1:24">
      <c r="A61" s="941" t="s">
        <v>399</v>
      </c>
      <c r="B61" s="949">
        <v>1552.8459248000001</v>
      </c>
      <c r="C61" s="950">
        <v>1545.3478537799997</v>
      </c>
      <c r="D61" s="949">
        <v>1575.24050519</v>
      </c>
      <c r="E61" s="950">
        <v>1434.8109798199998</v>
      </c>
      <c r="F61" s="955">
        <f>$L$8-D61+B61</f>
        <v>2999.7864577300006</v>
      </c>
      <c r="G61" s="956">
        <f>$M$8-E61+C61</f>
        <v>2839.4690387299997</v>
      </c>
      <c r="H61" s="955">
        <f t="shared" si="18"/>
        <v>160.31741900000088</v>
      </c>
      <c r="I61" s="956">
        <f t="shared" si="19"/>
        <v>5.3442943775843412</v>
      </c>
      <c r="P61" s="941" t="s">
        <v>399</v>
      </c>
      <c r="Q61" s="949"/>
      <c r="R61" s="950"/>
      <c r="S61" s="949"/>
      <c r="T61" s="950"/>
      <c r="U61" s="955">
        <f>$AA$8-S61+Q61</f>
        <v>2809.6222358199998</v>
      </c>
      <c r="V61" s="956">
        <f>$AB$8-T61+R61</f>
        <v>2789.8338850800001</v>
      </c>
      <c r="W61" s="955">
        <f t="shared" si="20"/>
        <v>19.788350739999714</v>
      </c>
      <c r="X61" s="956">
        <f t="shared" si="21"/>
        <v>0.70430645400357184</v>
      </c>
    </row>
    <row r="62" spans="1:24">
      <c r="A62" s="941" t="s">
        <v>883</v>
      </c>
      <c r="B62" s="949">
        <v>1093.129488</v>
      </c>
      <c r="C62" s="950">
        <v>1224.2541236599998</v>
      </c>
      <c r="D62" s="949">
        <v>1095.5370229999999</v>
      </c>
      <c r="E62" s="950">
        <v>1121.167114690001</v>
      </c>
      <c r="F62" s="955">
        <f>$L$9-D62+B62</f>
        <v>1956.953894</v>
      </c>
      <c r="G62" s="956">
        <f>$M$9-E62+C62</f>
        <v>1894.7082363299994</v>
      </c>
      <c r="H62" s="955">
        <f t="shared" si="18"/>
        <v>62.245657670000583</v>
      </c>
      <c r="I62" s="956">
        <f t="shared" si="19"/>
        <v>3.1807421657119828</v>
      </c>
      <c r="P62" s="941" t="s">
        <v>883</v>
      </c>
      <c r="Q62" s="949"/>
      <c r="R62" s="950"/>
      <c r="S62" s="949"/>
      <c r="T62" s="950"/>
      <c r="U62" s="955">
        <f>$AA$9-S62+Q62</f>
        <v>1911.5098789999997</v>
      </c>
      <c r="V62" s="956">
        <f>$AB$9-T62+R62</f>
        <v>1946.47764478</v>
      </c>
      <c r="W62" s="955">
        <f t="shared" si="20"/>
        <v>-34.967765780000263</v>
      </c>
      <c r="X62" s="956">
        <f t="shared" si="21"/>
        <v>-1.8293269715296232</v>
      </c>
    </row>
    <row r="63" spans="1:24">
      <c r="A63" s="941" t="s">
        <v>884</v>
      </c>
      <c r="B63" s="949">
        <v>1136.6100309999999</v>
      </c>
      <c r="C63" s="950">
        <v>1254.4732020900001</v>
      </c>
      <c r="D63" s="949">
        <v>1127.6167379999999</v>
      </c>
      <c r="E63" s="950">
        <v>1135.0076345099999</v>
      </c>
      <c r="F63" s="955">
        <f>$L$10-D63+B63</f>
        <v>2111.2044409999999</v>
      </c>
      <c r="G63" s="956">
        <f>$M$10-E63+C63</f>
        <v>2019.8642873100002</v>
      </c>
      <c r="H63" s="955">
        <f t="shared" si="18"/>
        <v>91.340153689999624</v>
      </c>
      <c r="I63" s="956">
        <f t="shared" si="19"/>
        <v>4.3264475915338236</v>
      </c>
      <c r="P63" s="941" t="s">
        <v>884</v>
      </c>
      <c r="Q63" s="949"/>
      <c r="R63" s="950"/>
      <c r="S63" s="949"/>
      <c r="T63" s="950"/>
      <c r="U63" s="955">
        <f>$AA$10-S63+Q63</f>
        <v>1983.3501999999999</v>
      </c>
      <c r="V63" s="956">
        <f>$AB$10-T63+R63</f>
        <v>2060.6519396399999</v>
      </c>
      <c r="W63" s="955">
        <f t="shared" si="20"/>
        <v>-77.301739640000051</v>
      </c>
      <c r="X63" s="956">
        <f t="shared" si="21"/>
        <v>-3.8975335591263738</v>
      </c>
    </row>
    <row r="64" spans="1:24" ht="14.4" thickBot="1">
      <c r="A64" s="941" t="s">
        <v>885</v>
      </c>
      <c r="B64" s="949">
        <v>887.73202000000003</v>
      </c>
      <c r="C64" s="950">
        <v>822.43107402200008</v>
      </c>
      <c r="D64" s="949">
        <v>763.64811500000008</v>
      </c>
      <c r="E64" s="950">
        <v>757.98281939000026</v>
      </c>
      <c r="F64" s="955">
        <f>$L$11-D64+B64</f>
        <v>1459.3422740000001</v>
      </c>
      <c r="G64" s="956">
        <f>$M$11-E64+C64</f>
        <v>1251.7754056799997</v>
      </c>
      <c r="H64" s="955">
        <f t="shared" si="18"/>
        <v>207.56686832000037</v>
      </c>
      <c r="I64" s="956">
        <f t="shared" si="19"/>
        <v>14.223316354090649</v>
      </c>
      <c r="P64" s="941" t="s">
        <v>885</v>
      </c>
      <c r="Q64" s="949"/>
      <c r="R64" s="950"/>
      <c r="S64" s="949"/>
      <c r="T64" s="950"/>
      <c r="U64" s="955">
        <f>$AA$11-S64+Q64</f>
        <v>1326.8774069999999</v>
      </c>
      <c r="V64" s="956">
        <f>$AB$11-T64+R64</f>
        <v>1302.3806176500002</v>
      </c>
      <c r="W64" s="955">
        <f t="shared" si="20"/>
        <v>24.496789349999744</v>
      </c>
      <c r="X64" s="956">
        <f t="shared" si="21"/>
        <v>1.8461983918609104</v>
      </c>
    </row>
    <row r="65" spans="1:24" ht="14.4" thickBot="1">
      <c r="A65" s="941" t="s">
        <v>16</v>
      </c>
      <c r="B65" s="945">
        <f t="shared" ref="B65:H65" si="22">SUM(B55:B64)</f>
        <v>17285.648540800001</v>
      </c>
      <c r="C65" s="945">
        <f t="shared" si="22"/>
        <v>17921.724413892</v>
      </c>
      <c r="D65" s="945">
        <f t="shared" si="22"/>
        <v>17373.776855190001</v>
      </c>
      <c r="E65" s="945">
        <f t="shared" si="22"/>
        <v>17345.97108748</v>
      </c>
      <c r="F65" s="945">
        <f t="shared" si="22"/>
        <v>30981.801515499999</v>
      </c>
      <c r="G65" s="946">
        <f t="shared" si="22"/>
        <v>29563.47721623</v>
      </c>
      <c r="H65" s="946">
        <f t="shared" si="22"/>
        <v>1418.3242992700041</v>
      </c>
      <c r="I65" s="946">
        <f>(H65/F65)*100</f>
        <v>4.577927137517892</v>
      </c>
      <c r="P65" s="941" t="s">
        <v>16</v>
      </c>
      <c r="Q65" s="945">
        <f t="shared" ref="Q65:W65" si="23">SUM(Q55:Q64)</f>
        <v>0</v>
      </c>
      <c r="R65" s="945">
        <f t="shared" si="23"/>
        <v>0</v>
      </c>
      <c r="S65" s="945">
        <f t="shared" si="23"/>
        <v>0</v>
      </c>
      <c r="T65" s="945">
        <f t="shared" si="23"/>
        <v>0</v>
      </c>
      <c r="U65" s="945">
        <f t="shared" si="23"/>
        <v>30055.70097545</v>
      </c>
      <c r="V65" s="946">
        <f t="shared" si="23"/>
        <v>30805.504014800001</v>
      </c>
      <c r="W65" s="946">
        <f t="shared" si="23"/>
        <v>-749.80303935000165</v>
      </c>
      <c r="X65" s="946">
        <f>(W65/U65)*100</f>
        <v>-2.4947115356333005</v>
      </c>
    </row>
    <row r="66" spans="1:24">
      <c r="P66" s="117"/>
      <c r="Q66" s="117"/>
      <c r="R66" s="117"/>
      <c r="S66" s="117"/>
      <c r="T66" s="117"/>
      <c r="U66" s="117"/>
      <c r="V66" s="117"/>
      <c r="W66" s="117"/>
      <c r="X66" s="117"/>
    </row>
    <row r="67" spans="1:24">
      <c r="P67" s="117"/>
      <c r="Q67" s="117"/>
      <c r="R67" s="117"/>
      <c r="S67" s="117"/>
      <c r="T67" s="117"/>
      <c r="U67" s="117"/>
      <c r="V67" s="117"/>
      <c r="W67" s="117"/>
      <c r="X67" s="117"/>
    </row>
    <row r="68" spans="1:24">
      <c r="B68" s="116" t="s">
        <v>528</v>
      </c>
      <c r="P68" s="117"/>
      <c r="Q68" s="116" t="s">
        <v>528</v>
      </c>
      <c r="R68" s="117"/>
      <c r="S68" s="117"/>
      <c r="T68" s="117"/>
      <c r="U68" s="117"/>
      <c r="V68" s="117"/>
      <c r="W68" s="117"/>
      <c r="X68" s="117"/>
    </row>
    <row r="69" spans="1:24">
      <c r="H69" s="430"/>
      <c r="I69" s="430"/>
      <c r="P69" s="117"/>
      <c r="Q69" s="117"/>
      <c r="R69" s="117"/>
      <c r="S69" s="117"/>
      <c r="T69" s="117"/>
      <c r="U69" s="117"/>
      <c r="V69" s="117"/>
      <c r="W69" s="430"/>
      <c r="X69" s="430"/>
    </row>
    <row r="70" spans="1:24">
      <c r="B70" s="3411" t="str">
        <f>B53</f>
        <v>année (n) au mois</v>
      </c>
      <c r="C70" s="3411"/>
      <c r="D70" s="3411" t="str">
        <f>D53</f>
        <v>année (n-1) au mois</v>
      </c>
      <c r="E70" s="3411"/>
      <c r="F70" s="3412" t="s">
        <v>521</v>
      </c>
      <c r="G70" s="3412"/>
      <c r="H70" s="3412"/>
      <c r="I70" s="3412"/>
      <c r="P70" s="117"/>
      <c r="Q70" s="3411" t="str">
        <f>Q53</f>
        <v>année (n) au mois</v>
      </c>
      <c r="R70" s="3411"/>
      <c r="S70" s="3411" t="str">
        <f>S53</f>
        <v>année (n-1) au mois</v>
      </c>
      <c r="T70" s="3411"/>
      <c r="U70" s="3412" t="s">
        <v>521</v>
      </c>
      <c r="V70" s="3412"/>
      <c r="W70" s="3412"/>
      <c r="X70" s="3412"/>
    </row>
    <row r="71" spans="1:24">
      <c r="A71" s="430"/>
      <c r="B71" s="951" t="s">
        <v>522</v>
      </c>
      <c r="C71" s="951" t="s">
        <v>466</v>
      </c>
      <c r="D71" s="951" t="s">
        <v>522</v>
      </c>
      <c r="E71" s="951" t="s">
        <v>466</v>
      </c>
      <c r="F71" s="952" t="s">
        <v>522</v>
      </c>
      <c r="G71" s="952" t="s">
        <v>466</v>
      </c>
      <c r="H71" s="952" t="s">
        <v>523</v>
      </c>
      <c r="I71" s="952" t="s">
        <v>524</v>
      </c>
      <c r="P71" s="430"/>
      <c r="Q71" s="951" t="s">
        <v>522</v>
      </c>
      <c r="R71" s="951" t="s">
        <v>466</v>
      </c>
      <c r="S71" s="951" t="s">
        <v>522</v>
      </c>
      <c r="T71" s="951" t="s">
        <v>466</v>
      </c>
      <c r="U71" s="952" t="s">
        <v>522</v>
      </c>
      <c r="V71" s="952" t="s">
        <v>466</v>
      </c>
      <c r="W71" s="952" t="s">
        <v>523</v>
      </c>
      <c r="X71" s="952" t="s">
        <v>524</v>
      </c>
    </row>
    <row r="72" spans="1:24">
      <c r="A72" s="941" t="s">
        <v>68</v>
      </c>
      <c r="B72" s="947">
        <v>2300.0071102500006</v>
      </c>
      <c r="C72" s="948">
        <v>2395.4544220700013</v>
      </c>
      <c r="D72" s="947">
        <v>2367.82685661</v>
      </c>
      <c r="E72" s="948">
        <v>2352.9137365700003</v>
      </c>
      <c r="F72" s="953">
        <f>$L$2-D72+B72</f>
        <v>4056.4165721599998</v>
      </c>
      <c r="G72" s="954">
        <f>$M$2-E72+C72</f>
        <v>3770.6716070500015</v>
      </c>
      <c r="H72" s="953">
        <f>F72-G72</f>
        <v>285.74496510999825</v>
      </c>
      <c r="I72" s="1395">
        <f>(H72/F72)*100</f>
        <v>7.0442707258204988</v>
      </c>
      <c r="P72" s="941" t="s">
        <v>68</v>
      </c>
      <c r="Q72" s="947"/>
      <c r="R72" s="948"/>
      <c r="S72" s="947"/>
      <c r="T72" s="948"/>
      <c r="U72" s="953">
        <f>$AA$2-S72+Q72</f>
        <v>3985.3009843499995</v>
      </c>
      <c r="V72" s="954">
        <f>$AB$2-T72+R72</f>
        <v>4075.9374462600008</v>
      </c>
      <c r="W72" s="953">
        <f>U72-V72</f>
        <v>-90.636461910001344</v>
      </c>
      <c r="X72" s="1395">
        <f>(W72/U72)*100</f>
        <v>-2.2742689263853455</v>
      </c>
    </row>
    <row r="73" spans="1:24">
      <c r="A73" s="941" t="s">
        <v>7</v>
      </c>
      <c r="B73" s="949">
        <v>2060.7245220000004</v>
      </c>
      <c r="C73" s="950">
        <v>2343.8538700699996</v>
      </c>
      <c r="D73" s="949">
        <v>2050.7713779999999</v>
      </c>
      <c r="E73" s="950">
        <v>2245.4691369599996</v>
      </c>
      <c r="F73" s="955">
        <f>$L$3-D73+B73</f>
        <v>3285.1870390000008</v>
      </c>
      <c r="G73" s="956">
        <f>$M$3-E73+C73</f>
        <v>3232.5141185699995</v>
      </c>
      <c r="H73" s="955">
        <f t="shared" ref="H73:H81" si="24">F73-G73</f>
        <v>52.672920430001341</v>
      </c>
      <c r="I73" s="1396">
        <f t="shared" ref="I73:I82" si="25">(H73/F73)*100</f>
        <v>1.6033461658254562</v>
      </c>
      <c r="P73" s="941" t="s">
        <v>7</v>
      </c>
      <c r="Q73" s="949"/>
      <c r="R73" s="950"/>
      <c r="S73" s="949"/>
      <c r="T73" s="950"/>
      <c r="U73" s="955">
        <f>$AA$3-S73+Q73</f>
        <v>3111.5160040000001</v>
      </c>
      <c r="V73" s="956">
        <f>$AB$3-T73+R73</f>
        <v>3333.8697204300001</v>
      </c>
      <c r="W73" s="955">
        <f t="shared" ref="W73:W81" si="26">U73-V73</f>
        <v>-222.35371643000008</v>
      </c>
      <c r="X73" s="1396">
        <f t="shared" ref="X73:X82" si="27">(W73/U73)*100</f>
        <v>-7.1461537123432413</v>
      </c>
    </row>
    <row r="74" spans="1:24">
      <c r="A74" s="941" t="s">
        <v>8</v>
      </c>
      <c r="B74" s="949">
        <v>1983.1569410000002</v>
      </c>
      <c r="C74" s="950">
        <v>2256.1813964599992</v>
      </c>
      <c r="D74" s="949">
        <v>1906.8272880000002</v>
      </c>
      <c r="E74" s="950">
        <v>2084.12504111</v>
      </c>
      <c r="F74" s="955">
        <f>$L$4-D74+B74</f>
        <v>3207.9626180000005</v>
      </c>
      <c r="G74" s="956">
        <f>$M$4-E74+C74</f>
        <v>3156.887966329999</v>
      </c>
      <c r="H74" s="955">
        <f t="shared" si="24"/>
        <v>51.074651670001458</v>
      </c>
      <c r="I74" s="1396">
        <f t="shared" si="25"/>
        <v>1.5921211607460648</v>
      </c>
      <c r="P74" s="941" t="s">
        <v>8</v>
      </c>
      <c r="Q74" s="949"/>
      <c r="R74" s="950"/>
      <c r="S74" s="949"/>
      <c r="T74" s="950"/>
      <c r="U74" s="955">
        <f>$AA$4-S74+Q74</f>
        <v>3036.1096109999994</v>
      </c>
      <c r="V74" s="956">
        <f>$AB$4-T74+R74</f>
        <v>3109.1492814699996</v>
      </c>
      <c r="W74" s="955">
        <f t="shared" si="26"/>
        <v>-73.039670470000146</v>
      </c>
      <c r="X74" s="1396">
        <f t="shared" si="27"/>
        <v>-2.4056993925836285</v>
      </c>
    </row>
    <row r="75" spans="1:24">
      <c r="A75" s="941" t="s">
        <v>4</v>
      </c>
      <c r="B75" s="949">
        <v>2974.1269710000001</v>
      </c>
      <c r="C75" s="950">
        <v>3490.7458614799993</v>
      </c>
      <c r="D75" s="949">
        <v>3204.6195699999998</v>
      </c>
      <c r="E75" s="950">
        <v>3541.3272487400004</v>
      </c>
      <c r="F75" s="955">
        <f>$L$5-D75+B75</f>
        <v>4660.6246960000008</v>
      </c>
      <c r="G75" s="956">
        <f>$M$5-E75+C75</f>
        <v>4895.9118855599991</v>
      </c>
      <c r="H75" s="955">
        <f t="shared" si="24"/>
        <v>-235.2871895599983</v>
      </c>
      <c r="I75" s="1396">
        <f t="shared" si="25"/>
        <v>-5.0484045574820575</v>
      </c>
      <c r="P75" s="941" t="s">
        <v>4</v>
      </c>
      <c r="Q75" s="949"/>
      <c r="R75" s="950"/>
      <c r="S75" s="949"/>
      <c r="T75" s="950"/>
      <c r="U75" s="955">
        <f>$AA$5-S75+Q75</f>
        <v>4659.1682739999997</v>
      </c>
      <c r="V75" s="956">
        <f>$AB$5-T75+R75</f>
        <v>5196.0141774199992</v>
      </c>
      <c r="W75" s="955">
        <f t="shared" si="26"/>
        <v>-536.84590341999956</v>
      </c>
      <c r="X75" s="1396">
        <f t="shared" si="27"/>
        <v>-11.522354889300992</v>
      </c>
    </row>
    <row r="76" spans="1:24">
      <c r="A76" s="941" t="s">
        <v>3</v>
      </c>
      <c r="B76" s="949">
        <v>3345.5998079999999</v>
      </c>
      <c r="C76" s="950">
        <v>3531.8113280599996</v>
      </c>
      <c r="D76" s="949">
        <v>3386.2512679999995</v>
      </c>
      <c r="E76" s="950">
        <v>3531.6483926699993</v>
      </c>
      <c r="F76" s="955">
        <f>$L$6-D76+B76</f>
        <v>5513.731157000002</v>
      </c>
      <c r="G76" s="956">
        <f>$M$6-E76+C76</f>
        <v>5121.556983049999</v>
      </c>
      <c r="H76" s="955">
        <f t="shared" si="24"/>
        <v>392.17417395000302</v>
      </c>
      <c r="I76" s="1396">
        <f t="shared" si="25"/>
        <v>7.112682188940517</v>
      </c>
      <c r="P76" s="941" t="s">
        <v>3</v>
      </c>
      <c r="Q76" s="949"/>
      <c r="R76" s="950"/>
      <c r="S76" s="949"/>
      <c r="T76" s="950"/>
      <c r="U76" s="955">
        <f>$AA$6-S76+Q76</f>
        <v>5655.8158780000003</v>
      </c>
      <c r="V76" s="956">
        <f>$AB$6-T76+R76</f>
        <v>5469.2741296499989</v>
      </c>
      <c r="W76" s="955">
        <f t="shared" si="26"/>
        <v>186.5417483500014</v>
      </c>
      <c r="X76" s="1396">
        <f t="shared" si="27"/>
        <v>3.29822880330337</v>
      </c>
    </row>
    <row r="77" spans="1:24">
      <c r="A77" s="941" t="s">
        <v>397</v>
      </c>
      <c r="B77" s="949">
        <v>965.53528774999995</v>
      </c>
      <c r="C77" s="950">
        <v>945.26194518000136</v>
      </c>
      <c r="D77" s="949">
        <v>1018.3274904</v>
      </c>
      <c r="E77" s="950">
        <v>950.04745519000016</v>
      </c>
      <c r="F77" s="955">
        <f>$L$7-D77+B77</f>
        <v>1621.5225526000002</v>
      </c>
      <c r="G77" s="956">
        <f>$M$7-E77+C77</f>
        <v>1459.6798784300026</v>
      </c>
      <c r="H77" s="955">
        <f t="shared" si="24"/>
        <v>161.84267416999751</v>
      </c>
      <c r="I77" s="1396">
        <f t="shared" si="25"/>
        <v>9.9809079997372763</v>
      </c>
      <c r="P77" s="941" t="s">
        <v>397</v>
      </c>
      <c r="Q77" s="949"/>
      <c r="R77" s="950"/>
      <c r="S77" s="949"/>
      <c r="T77" s="950"/>
      <c r="U77" s="955">
        <f>$AA$7-S77+Q77</f>
        <v>1576.4305022799999</v>
      </c>
      <c r="V77" s="956">
        <f>$AB$7-T77+R77</f>
        <v>1521.915172420001</v>
      </c>
      <c r="W77" s="955">
        <f t="shared" si="26"/>
        <v>54.515329859998928</v>
      </c>
      <c r="X77" s="1396">
        <f t="shared" si="27"/>
        <v>3.4581499013850032</v>
      </c>
    </row>
    <row r="78" spans="1:24">
      <c r="A78" s="941" t="s">
        <v>399</v>
      </c>
      <c r="B78" s="949">
        <v>1721.0031818000002</v>
      </c>
      <c r="C78" s="950">
        <v>1806.0129236599998</v>
      </c>
      <c r="D78" s="949">
        <v>1731.2738521900001</v>
      </c>
      <c r="E78" s="950">
        <v>1669.8544939499996</v>
      </c>
      <c r="F78" s="955">
        <f>$L$8-D78+B78</f>
        <v>3011.9103677300004</v>
      </c>
      <c r="G78" s="956">
        <f>$M$8-E78+C78</f>
        <v>2865.0905944800002</v>
      </c>
      <c r="H78" s="955">
        <f t="shared" si="24"/>
        <v>146.81977325000025</v>
      </c>
      <c r="I78" s="1396">
        <f t="shared" si="25"/>
        <v>4.8746395252344294</v>
      </c>
      <c r="P78" s="941" t="s">
        <v>399</v>
      </c>
      <c r="Q78" s="949"/>
      <c r="R78" s="950"/>
      <c r="S78" s="949"/>
      <c r="T78" s="950"/>
      <c r="U78" s="955">
        <f>$AA$8-S78+Q78</f>
        <v>2809.6222358199998</v>
      </c>
      <c r="V78" s="956">
        <f>$AB$8-T78+R78</f>
        <v>2789.8338850800001</v>
      </c>
      <c r="W78" s="955">
        <f t="shared" si="26"/>
        <v>19.788350739999714</v>
      </c>
      <c r="X78" s="1396">
        <f t="shared" si="27"/>
        <v>0.70430645400357184</v>
      </c>
    </row>
    <row r="79" spans="1:24">
      <c r="A79" s="941" t="s">
        <v>883</v>
      </c>
      <c r="B79" s="949">
        <v>1170.446003</v>
      </c>
      <c r="C79" s="950">
        <v>1377.6481488000011</v>
      </c>
      <c r="D79" s="949">
        <v>1173.0409009999998</v>
      </c>
      <c r="E79" s="950">
        <v>1262.7498887300007</v>
      </c>
      <c r="F79" s="955">
        <f>$L$9-D79+B79</f>
        <v>1956.766531</v>
      </c>
      <c r="G79" s="956">
        <f>$M$9-E79+C79</f>
        <v>1906.5194874300009</v>
      </c>
      <c r="H79" s="955">
        <f t="shared" si="24"/>
        <v>50.24704356999905</v>
      </c>
      <c r="I79" s="1396">
        <f t="shared" si="25"/>
        <v>2.5678609468202853</v>
      </c>
      <c r="P79" s="941" t="s">
        <v>883</v>
      </c>
      <c r="Q79" s="949"/>
      <c r="R79" s="950"/>
      <c r="S79" s="949"/>
      <c r="T79" s="950"/>
      <c r="U79" s="955">
        <f>$AA$9-S79+Q79</f>
        <v>1911.5098789999997</v>
      </c>
      <c r="V79" s="956">
        <f>$AB$9-T79+R79</f>
        <v>1946.47764478</v>
      </c>
      <c r="W79" s="955">
        <f t="shared" si="26"/>
        <v>-34.967765780000263</v>
      </c>
      <c r="X79" s="1396">
        <f t="shared" si="27"/>
        <v>-1.8293269715296232</v>
      </c>
    </row>
    <row r="80" spans="1:24">
      <c r="A80" s="941" t="s">
        <v>884</v>
      </c>
      <c r="B80" s="949">
        <v>1236.8501469999999</v>
      </c>
      <c r="C80" s="950">
        <v>1444.82139923</v>
      </c>
      <c r="D80" s="949">
        <v>1212.2729609999999</v>
      </c>
      <c r="E80" s="950">
        <v>1295.8431438799998</v>
      </c>
      <c r="F80" s="955">
        <f>$L$10-D80+B80</f>
        <v>2126.7883339999998</v>
      </c>
      <c r="G80" s="956">
        <f>$M$10-E80+C80</f>
        <v>2049.3769750800002</v>
      </c>
      <c r="H80" s="955">
        <f t="shared" si="24"/>
        <v>77.411358919999657</v>
      </c>
      <c r="I80" s="1396">
        <f t="shared" si="25"/>
        <v>3.6398243154929615</v>
      </c>
      <c r="P80" s="941" t="s">
        <v>884</v>
      </c>
      <c r="Q80" s="949"/>
      <c r="R80" s="950"/>
      <c r="S80" s="949"/>
      <c r="T80" s="950"/>
      <c r="U80" s="955">
        <f>$AA$10-S80+Q80</f>
        <v>1983.3501999999999</v>
      </c>
      <c r="V80" s="956">
        <f>$AB$10-T80+R80</f>
        <v>2060.6519396399999</v>
      </c>
      <c r="W80" s="955">
        <f t="shared" si="26"/>
        <v>-77.301739640000051</v>
      </c>
      <c r="X80" s="1396">
        <f t="shared" si="27"/>
        <v>-3.8975335591263738</v>
      </c>
    </row>
    <row r="81" spans="1:24" ht="14.4" thickBot="1">
      <c r="A81" s="941" t="s">
        <v>885</v>
      </c>
      <c r="B81" s="949">
        <v>941.44729000000007</v>
      </c>
      <c r="C81" s="950">
        <v>957.58095330000003</v>
      </c>
      <c r="D81" s="949">
        <v>823.23830200000009</v>
      </c>
      <c r="E81" s="950">
        <v>875.30943167800024</v>
      </c>
      <c r="F81" s="955">
        <f>$L$11-D81+B81</f>
        <v>1453.467357</v>
      </c>
      <c r="G81" s="956">
        <f>$M$11-E81+C81</f>
        <v>1269.5986726699998</v>
      </c>
      <c r="H81" s="955">
        <f t="shared" si="24"/>
        <v>183.86868433000018</v>
      </c>
      <c r="I81" s="1396">
        <f t="shared" si="25"/>
        <v>12.650348385498702</v>
      </c>
      <c r="P81" s="941" t="s">
        <v>885</v>
      </c>
      <c r="Q81" s="949"/>
      <c r="R81" s="950"/>
      <c r="S81" s="949"/>
      <c r="T81" s="950"/>
      <c r="U81" s="955">
        <f>$AA$11-S81+Q81</f>
        <v>1326.8774069999999</v>
      </c>
      <c r="V81" s="956">
        <f>$AB$11-T81+R81</f>
        <v>1302.3806176500002</v>
      </c>
      <c r="W81" s="955">
        <f t="shared" si="26"/>
        <v>24.496789349999744</v>
      </c>
      <c r="X81" s="1396">
        <f t="shared" si="27"/>
        <v>1.8461983918609104</v>
      </c>
    </row>
    <row r="82" spans="1:24" ht="14.4" thickBot="1">
      <c r="A82" s="941" t="s">
        <v>16</v>
      </c>
      <c r="B82" s="945">
        <f t="shared" ref="B82:H82" si="28">SUM(B72:B81)</f>
        <v>18698.897261800004</v>
      </c>
      <c r="C82" s="945">
        <f t="shared" si="28"/>
        <v>20549.372248310003</v>
      </c>
      <c r="D82" s="945">
        <f t="shared" si="28"/>
        <v>18874.449867200001</v>
      </c>
      <c r="E82" s="945">
        <f t="shared" si="28"/>
        <v>19809.287969477999</v>
      </c>
      <c r="F82" s="945">
        <f t="shared" si="28"/>
        <v>30894.377224490006</v>
      </c>
      <c r="G82" s="946">
        <f t="shared" si="28"/>
        <v>29727.808168650001</v>
      </c>
      <c r="H82" s="946">
        <f t="shared" si="28"/>
        <v>1166.5690558400024</v>
      </c>
      <c r="I82" s="1361">
        <f t="shared" si="25"/>
        <v>3.7759914930904053</v>
      </c>
      <c r="P82" s="941" t="s">
        <v>16</v>
      </c>
      <c r="Q82" s="945">
        <f t="shared" ref="Q82:W82" si="29">SUM(Q72:Q81)</f>
        <v>0</v>
      </c>
      <c r="R82" s="945">
        <f t="shared" si="29"/>
        <v>0</v>
      </c>
      <c r="S82" s="945">
        <f t="shared" si="29"/>
        <v>0</v>
      </c>
      <c r="T82" s="945">
        <f t="shared" si="29"/>
        <v>0</v>
      </c>
      <c r="U82" s="945">
        <f t="shared" si="29"/>
        <v>30055.70097545</v>
      </c>
      <c r="V82" s="946">
        <f t="shared" si="29"/>
        <v>30805.504014800001</v>
      </c>
      <c r="W82" s="946">
        <f t="shared" si="29"/>
        <v>-749.80303935000165</v>
      </c>
      <c r="X82" s="1361">
        <f t="shared" si="27"/>
        <v>-2.4947115356333005</v>
      </c>
    </row>
    <row r="83" spans="1:24">
      <c r="P83" s="117"/>
      <c r="Q83" s="117"/>
      <c r="R83" s="117"/>
      <c r="S83" s="117"/>
      <c r="T83" s="117"/>
      <c r="U83" s="117"/>
      <c r="V83" s="117"/>
      <c r="W83" s="117"/>
      <c r="X83" s="117"/>
    </row>
    <row r="84" spans="1:24">
      <c r="P84" s="117"/>
      <c r="Q84" s="117"/>
      <c r="R84" s="117"/>
      <c r="S84" s="117"/>
      <c r="T84" s="117"/>
      <c r="U84" s="117"/>
      <c r="V84" s="117"/>
      <c r="W84" s="117"/>
      <c r="X84" s="117"/>
    </row>
    <row r="85" spans="1:24">
      <c r="P85" s="117"/>
      <c r="Q85" s="117"/>
      <c r="R85" s="117"/>
      <c r="S85" s="117"/>
      <c r="T85" s="117"/>
      <c r="U85" s="117"/>
      <c r="V85" s="117"/>
      <c r="W85" s="117"/>
      <c r="X85" s="117"/>
    </row>
    <row r="86" spans="1:24">
      <c r="B86" s="943" t="s">
        <v>529</v>
      </c>
      <c r="P86" s="117"/>
      <c r="Q86" s="943" t="s">
        <v>529</v>
      </c>
      <c r="R86" s="117"/>
      <c r="S86" s="117"/>
      <c r="T86" s="117"/>
      <c r="U86" s="117"/>
      <c r="V86" s="117"/>
      <c r="W86" s="117"/>
      <c r="X86" s="117"/>
    </row>
    <row r="87" spans="1:24">
      <c r="H87" s="430"/>
      <c r="I87" s="430"/>
      <c r="P87" s="117"/>
      <c r="Q87" s="117"/>
      <c r="R87" s="117"/>
      <c r="S87" s="117"/>
      <c r="T87" s="117"/>
      <c r="U87" s="117"/>
      <c r="V87" s="117"/>
      <c r="W87" s="430"/>
      <c r="X87" s="430"/>
    </row>
    <row r="88" spans="1:24">
      <c r="B88" s="3411" t="str">
        <f>B70</f>
        <v>année (n) au mois</v>
      </c>
      <c r="C88" s="3411"/>
      <c r="D88" s="3411" t="str">
        <f>D70</f>
        <v>année (n-1) au mois</v>
      </c>
      <c r="E88" s="3411"/>
      <c r="F88" s="3412" t="s">
        <v>521</v>
      </c>
      <c r="G88" s="3412"/>
      <c r="H88" s="3412"/>
      <c r="I88" s="3412"/>
      <c r="P88" s="117"/>
      <c r="Q88" s="3411" t="str">
        <f>Q70</f>
        <v>année (n) au mois</v>
      </c>
      <c r="R88" s="3411"/>
      <c r="S88" s="3411" t="str">
        <f>S70</f>
        <v>année (n-1) au mois</v>
      </c>
      <c r="T88" s="3411"/>
      <c r="U88" s="3412" t="s">
        <v>521</v>
      </c>
      <c r="V88" s="3412"/>
      <c r="W88" s="3412"/>
      <c r="X88" s="3412"/>
    </row>
    <row r="89" spans="1:24">
      <c r="A89" s="430"/>
      <c r="B89" s="951" t="s">
        <v>522</v>
      </c>
      <c r="C89" s="951" t="s">
        <v>466</v>
      </c>
      <c r="D89" s="951" t="s">
        <v>522</v>
      </c>
      <c r="E89" s="951" t="s">
        <v>466</v>
      </c>
      <c r="F89" s="952" t="s">
        <v>522</v>
      </c>
      <c r="G89" s="952" t="s">
        <v>466</v>
      </c>
      <c r="H89" s="952" t="s">
        <v>523</v>
      </c>
      <c r="I89" s="952" t="s">
        <v>524</v>
      </c>
      <c r="P89" s="430"/>
      <c r="Q89" s="951" t="s">
        <v>522</v>
      </c>
      <c r="R89" s="951" t="s">
        <v>466</v>
      </c>
      <c r="S89" s="951" t="s">
        <v>522</v>
      </c>
      <c r="T89" s="951" t="s">
        <v>466</v>
      </c>
      <c r="U89" s="952" t="s">
        <v>522</v>
      </c>
      <c r="V89" s="952" t="s">
        <v>466</v>
      </c>
      <c r="W89" s="952" t="s">
        <v>523</v>
      </c>
      <c r="X89" s="952" t="s">
        <v>524</v>
      </c>
    </row>
    <row r="90" spans="1:24">
      <c r="A90" s="941" t="s">
        <v>68</v>
      </c>
      <c r="B90" s="947">
        <v>2463.0739572800007</v>
      </c>
      <c r="C90" s="948">
        <v>2623.5623435400012</v>
      </c>
      <c r="D90" s="947">
        <v>2538.7992119700002</v>
      </c>
      <c r="E90" s="948">
        <v>2569.0912698500006</v>
      </c>
      <c r="F90" s="953">
        <f>$L$2-D90+B90</f>
        <v>4048.5110638299998</v>
      </c>
      <c r="G90" s="954">
        <f>$M$2-E90+C90</f>
        <v>3782.6019952400011</v>
      </c>
      <c r="H90" s="953">
        <f>F90-G90</f>
        <v>265.9090685899987</v>
      </c>
      <c r="I90" s="954">
        <f>(H90/F90)*100</f>
        <v>6.5680706906217914</v>
      </c>
      <c r="P90" s="941" t="s">
        <v>68</v>
      </c>
      <c r="Q90" s="947"/>
      <c r="R90" s="948"/>
      <c r="S90" s="947"/>
      <c r="T90" s="948"/>
      <c r="U90" s="953">
        <f>$AA$2-S90+Q90</f>
        <v>3985.3009843499995</v>
      </c>
      <c r="V90" s="954">
        <f>$AB$2-T90+R90</f>
        <v>4075.9374462600008</v>
      </c>
      <c r="W90" s="953">
        <f>U90-V90</f>
        <v>-90.636461910001344</v>
      </c>
      <c r="X90" s="954">
        <f>(W90/U90)*100</f>
        <v>-2.2742689263853455</v>
      </c>
    </row>
    <row r="91" spans="1:24">
      <c r="A91" s="941" t="s">
        <v>7</v>
      </c>
      <c r="B91" s="949">
        <v>2129.7064880000003</v>
      </c>
      <c r="C91" s="950">
        <v>2468.9856315599995</v>
      </c>
      <c r="D91" s="949">
        <v>2147.1483009999997</v>
      </c>
      <c r="E91" s="950">
        <v>2370.6869285699995</v>
      </c>
      <c r="F91" s="955">
        <f>$L$3-D91+B91</f>
        <v>3257.7920820000008</v>
      </c>
      <c r="G91" s="956">
        <f>$M$3-E91+C91</f>
        <v>3232.4280884499994</v>
      </c>
      <c r="H91" s="955">
        <f t="shared" ref="H91:H99" si="30">F91-G91</f>
        <v>25.363993550001396</v>
      </c>
      <c r="I91" s="956">
        <f t="shared" ref="I91:I100" si="31">(H91/F91)*100</f>
        <v>0.77856391419645521</v>
      </c>
      <c r="P91" s="941" t="s">
        <v>7</v>
      </c>
      <c r="Q91" s="949"/>
      <c r="R91" s="950"/>
      <c r="S91" s="949"/>
      <c r="T91" s="950"/>
      <c r="U91" s="955">
        <f>$AA$3-S91+Q91</f>
        <v>3111.5160040000001</v>
      </c>
      <c r="V91" s="956">
        <f>$AB$3-T91+R91</f>
        <v>3333.8697204300001</v>
      </c>
      <c r="W91" s="955">
        <f t="shared" ref="W91:W99" si="32">U91-V91</f>
        <v>-222.35371643000008</v>
      </c>
      <c r="X91" s="956">
        <f t="shared" ref="X91:X100" si="33">(W91/U91)*100</f>
        <v>-7.1461537123432413</v>
      </c>
    </row>
    <row r="92" spans="1:24">
      <c r="A92" s="941" t="s">
        <v>8</v>
      </c>
      <c r="B92" s="949">
        <v>2047.5070220000002</v>
      </c>
      <c r="C92" s="950">
        <v>2398.9172172999988</v>
      </c>
      <c r="D92" s="949">
        <v>1990.1107790000001</v>
      </c>
      <c r="E92" s="950">
        <v>2217.33391016</v>
      </c>
      <c r="F92" s="955">
        <f>$L$4-D92+B92</f>
        <v>3189.0292080000004</v>
      </c>
      <c r="G92" s="956">
        <f>$M$4-E92+C92</f>
        <v>3166.4149181199987</v>
      </c>
      <c r="H92" s="955">
        <f t="shared" si="30"/>
        <v>22.614289880001706</v>
      </c>
      <c r="I92" s="956">
        <f t="shared" si="31"/>
        <v>0.70912771269925923</v>
      </c>
      <c r="P92" s="941" t="s">
        <v>8</v>
      </c>
      <c r="Q92" s="949"/>
      <c r="R92" s="950"/>
      <c r="S92" s="949"/>
      <c r="T92" s="950"/>
      <c r="U92" s="955">
        <f>$AA$4-S92+Q92</f>
        <v>3036.1096109999994</v>
      </c>
      <c r="V92" s="956">
        <f>$AB$4-T92+R92</f>
        <v>3109.1492814699996</v>
      </c>
      <c r="W92" s="955">
        <f t="shared" si="32"/>
        <v>-73.039670470000146</v>
      </c>
      <c r="X92" s="956">
        <f t="shared" si="33"/>
        <v>-2.4056993925836285</v>
      </c>
    </row>
    <row r="93" spans="1:24">
      <c r="A93" s="941" t="s">
        <v>4</v>
      </c>
      <c r="B93" s="949">
        <v>3068.0315300000002</v>
      </c>
      <c r="C93" s="950">
        <v>3716.107599559999</v>
      </c>
      <c r="D93" s="949">
        <v>3347.8473639999997</v>
      </c>
      <c r="E93" s="950">
        <v>3782.2813167700006</v>
      </c>
      <c r="F93" s="955">
        <f>$L$5-D93+B93</f>
        <v>4611.3014610000009</v>
      </c>
      <c r="G93" s="956">
        <f>$M$5-E93+C93</f>
        <v>4880.3195556099981</v>
      </c>
      <c r="H93" s="955">
        <f t="shared" si="30"/>
        <v>-269.01809460999721</v>
      </c>
      <c r="I93" s="956">
        <f t="shared" si="31"/>
        <v>-5.8338865260754016</v>
      </c>
      <c r="P93" s="941" t="s">
        <v>4</v>
      </c>
      <c r="Q93" s="949"/>
      <c r="R93" s="950"/>
      <c r="S93" s="949"/>
      <c r="T93" s="950"/>
      <c r="U93" s="955">
        <f>$AA$5-S93+Q93</f>
        <v>4659.1682739999997</v>
      </c>
      <c r="V93" s="956">
        <f>$AB$5-T93+R93</f>
        <v>5196.0141774199992</v>
      </c>
      <c r="W93" s="955">
        <f t="shared" si="32"/>
        <v>-536.84590341999956</v>
      </c>
      <c r="X93" s="956">
        <f t="shared" si="33"/>
        <v>-11.522354889300992</v>
      </c>
    </row>
    <row r="94" spans="1:24">
      <c r="A94" s="941" t="s">
        <v>3</v>
      </c>
      <c r="B94" s="949">
        <v>3453.3022969999997</v>
      </c>
      <c r="C94" s="950">
        <v>3774.8302569199996</v>
      </c>
      <c r="D94" s="949">
        <v>3523.1488349999995</v>
      </c>
      <c r="E94" s="950">
        <v>3768.2340634199995</v>
      </c>
      <c r="F94" s="955">
        <f>$L$6-D94+B94</f>
        <v>5484.5360790000013</v>
      </c>
      <c r="G94" s="956">
        <f>$M$6-E94+C94</f>
        <v>5127.9902411599996</v>
      </c>
      <c r="H94" s="955">
        <f t="shared" si="30"/>
        <v>356.5458378400017</v>
      </c>
      <c r="I94" s="956">
        <f t="shared" si="31"/>
        <v>6.5009297542083244</v>
      </c>
      <c r="P94" s="941" t="s">
        <v>3</v>
      </c>
      <c r="Q94" s="949"/>
      <c r="R94" s="950"/>
      <c r="S94" s="949"/>
      <c r="T94" s="950"/>
      <c r="U94" s="955">
        <f>$AA$6-S94+Q94</f>
        <v>5655.8158780000003</v>
      </c>
      <c r="V94" s="956">
        <f>$AB$6-T94+R94</f>
        <v>5469.2741296499989</v>
      </c>
      <c r="W94" s="955">
        <f t="shared" si="32"/>
        <v>186.5417483500014</v>
      </c>
      <c r="X94" s="956">
        <f t="shared" si="33"/>
        <v>3.29822880330337</v>
      </c>
    </row>
    <row r="95" spans="1:24" hidden="1">
      <c r="A95" s="941" t="s">
        <v>397</v>
      </c>
      <c r="B95" s="949">
        <v>1018.79075972</v>
      </c>
      <c r="C95" s="950">
        <v>1037.4829706700023</v>
      </c>
      <c r="D95" s="949">
        <v>1077.56734572</v>
      </c>
      <c r="E95" s="950">
        <v>1045.9246190000001</v>
      </c>
      <c r="F95" s="955">
        <f>$L$7-D95+B95</f>
        <v>1615.53816925</v>
      </c>
      <c r="G95" s="956">
        <f>$M$7-E95+C95</f>
        <v>1456.0237401100035</v>
      </c>
      <c r="H95" s="955">
        <f t="shared" si="30"/>
        <v>159.51442913999654</v>
      </c>
      <c r="I95" s="956">
        <f t="shared" si="31"/>
        <v>9.8737641843553448</v>
      </c>
      <c r="P95" s="941" t="s">
        <v>397</v>
      </c>
      <c r="Q95" s="949"/>
      <c r="R95" s="950"/>
      <c r="S95" s="949"/>
      <c r="T95" s="950"/>
      <c r="U95" s="955">
        <f>$AA$7-S95+Q95</f>
        <v>1576.4305022799999</v>
      </c>
      <c r="V95" s="956">
        <f>$AB$7-T95+R95</f>
        <v>1521.915172420001</v>
      </c>
      <c r="W95" s="955">
        <f t="shared" si="32"/>
        <v>54.515329859998928</v>
      </c>
      <c r="X95" s="956">
        <f t="shared" si="33"/>
        <v>3.4581499013850032</v>
      </c>
    </row>
    <row r="96" spans="1:24">
      <c r="A96" s="941" t="s">
        <v>399</v>
      </c>
      <c r="B96" s="949">
        <v>1846.3430298000003</v>
      </c>
      <c r="C96" s="950">
        <v>1957.34792827</v>
      </c>
      <c r="D96" s="949">
        <v>1866.7885874900001</v>
      </c>
      <c r="E96" s="950">
        <v>1828.2423087699995</v>
      </c>
      <c r="F96" s="955">
        <f>$L$8-D96+B96</f>
        <v>3001.7354804300003</v>
      </c>
      <c r="G96" s="956">
        <f>$M$8-E96+C96</f>
        <v>2858.0377842700004</v>
      </c>
      <c r="H96" s="955">
        <f t="shared" si="30"/>
        <v>143.69769615999985</v>
      </c>
      <c r="I96" s="956">
        <f t="shared" si="31"/>
        <v>4.7871538680488621</v>
      </c>
      <c r="P96" s="941" t="s">
        <v>399</v>
      </c>
      <c r="Q96" s="949"/>
      <c r="R96" s="950"/>
      <c r="S96" s="949"/>
      <c r="T96" s="950"/>
      <c r="U96" s="955">
        <f>$AA$8-S96+Q96</f>
        <v>2809.6222358199998</v>
      </c>
      <c r="V96" s="956">
        <f>$AB$8-T96+R96</f>
        <v>2789.8338850800001</v>
      </c>
      <c r="W96" s="955">
        <f t="shared" si="32"/>
        <v>19.788350739999714</v>
      </c>
      <c r="X96" s="956">
        <f t="shared" si="33"/>
        <v>0.70430645400357184</v>
      </c>
    </row>
    <row r="97" spans="1:24">
      <c r="A97" s="941" t="s">
        <v>883</v>
      </c>
      <c r="B97" s="949">
        <v>1271.6647809999999</v>
      </c>
      <c r="C97" s="950">
        <v>1450.814127280001</v>
      </c>
      <c r="D97" s="949">
        <v>1229.6078719999998</v>
      </c>
      <c r="E97" s="950">
        <v>1334.8133429100008</v>
      </c>
      <c r="F97" s="955">
        <f>$L$9-D97+B97</f>
        <v>2001.4183379999999</v>
      </c>
      <c r="G97" s="956">
        <f>$M$9-E97+C97</f>
        <v>1907.6220117300008</v>
      </c>
      <c r="H97" s="955">
        <f t="shared" si="30"/>
        <v>93.796326269999099</v>
      </c>
      <c r="I97" s="956">
        <f t="shared" si="31"/>
        <v>4.6864927980888273</v>
      </c>
      <c r="P97" s="941" t="s">
        <v>883</v>
      </c>
      <c r="Q97" s="949"/>
      <c r="R97" s="950"/>
      <c r="S97" s="949"/>
      <c r="T97" s="950"/>
      <c r="U97" s="955">
        <f>$AA$9-S97+Q97</f>
        <v>1911.5098789999997</v>
      </c>
      <c r="V97" s="956">
        <f>$AB$9-T97+R97</f>
        <v>1946.47764478</v>
      </c>
      <c r="W97" s="955">
        <f t="shared" si="32"/>
        <v>-34.967765780000263</v>
      </c>
      <c r="X97" s="956">
        <f t="shared" si="33"/>
        <v>-1.8293269715296232</v>
      </c>
    </row>
    <row r="98" spans="1:24">
      <c r="A98" s="941" t="s">
        <v>884</v>
      </c>
      <c r="B98" s="949">
        <v>1329.9875690000001</v>
      </c>
      <c r="C98" s="950">
        <v>1525.6086041999999</v>
      </c>
      <c r="D98" s="949">
        <v>1288.0685979999998</v>
      </c>
      <c r="E98" s="950">
        <v>1369.3806958</v>
      </c>
      <c r="F98" s="955">
        <f>$L$10-D98+B98</f>
        <v>2144.1301190000004</v>
      </c>
      <c r="G98" s="956">
        <f>$M$10-E98+C98</f>
        <v>2056.62662813</v>
      </c>
      <c r="H98" s="955">
        <f t="shared" si="30"/>
        <v>87.503490870000405</v>
      </c>
      <c r="I98" s="956">
        <f t="shared" si="31"/>
        <v>4.0810718572812696</v>
      </c>
      <c r="P98" s="941" t="s">
        <v>884</v>
      </c>
      <c r="Q98" s="949"/>
      <c r="R98" s="950"/>
      <c r="S98" s="949"/>
      <c r="T98" s="950"/>
      <c r="U98" s="955">
        <f>$AA$10-S98+Q98</f>
        <v>1983.3501999999999</v>
      </c>
      <c r="V98" s="956">
        <f>$AB$10-T98+R98</f>
        <v>2060.6519396399999</v>
      </c>
      <c r="W98" s="955">
        <f t="shared" si="32"/>
        <v>-77.301739640000051</v>
      </c>
      <c r="X98" s="956">
        <f t="shared" si="33"/>
        <v>-3.8975335591263738</v>
      </c>
    </row>
    <row r="99" spans="1:24" ht="14.4" thickBot="1">
      <c r="A99" s="941" t="s">
        <v>885</v>
      </c>
      <c r="B99" s="949">
        <v>894.34335499999997</v>
      </c>
      <c r="C99" s="950">
        <v>1011.7037086940001</v>
      </c>
      <c r="D99" s="949">
        <v>856.2935470000001</v>
      </c>
      <c r="E99" s="950">
        <v>925.38121255200019</v>
      </c>
      <c r="F99" s="955">
        <f>$L$11-D99+B99</f>
        <v>1373.3081769999999</v>
      </c>
      <c r="G99" s="956">
        <f>$M$11-E99+C99</f>
        <v>1273.6496471899998</v>
      </c>
      <c r="H99" s="955">
        <f t="shared" si="30"/>
        <v>99.658529810000118</v>
      </c>
      <c r="I99" s="956">
        <f t="shared" si="31"/>
        <v>7.2568219922570316</v>
      </c>
      <c r="P99" s="941" t="s">
        <v>885</v>
      </c>
      <c r="Q99" s="949"/>
      <c r="R99" s="950"/>
      <c r="S99" s="949"/>
      <c r="T99" s="950"/>
      <c r="U99" s="955">
        <f>$AA$11-S99+Q99</f>
        <v>1326.8774069999999</v>
      </c>
      <c r="V99" s="956">
        <f>$AB$11-T99+R99</f>
        <v>1302.3806176500002</v>
      </c>
      <c r="W99" s="955">
        <f t="shared" si="32"/>
        <v>24.496789349999744</v>
      </c>
      <c r="X99" s="956">
        <f t="shared" si="33"/>
        <v>1.8461983918609104</v>
      </c>
    </row>
    <row r="100" spans="1:24" ht="14.4" thickBot="1">
      <c r="A100" s="941" t="s">
        <v>16</v>
      </c>
      <c r="B100" s="945">
        <f t="shared" ref="B100:H100" si="34">SUM(B90:B99)</f>
        <v>19522.750788800004</v>
      </c>
      <c r="C100" s="945">
        <f t="shared" si="34"/>
        <v>21965.360387994002</v>
      </c>
      <c r="D100" s="945">
        <f t="shared" si="34"/>
        <v>19865.380441180001</v>
      </c>
      <c r="E100" s="945">
        <f t="shared" si="34"/>
        <v>21211.369667802002</v>
      </c>
      <c r="F100" s="945">
        <f t="shared" si="34"/>
        <v>30727.300177510006</v>
      </c>
      <c r="G100" s="946">
        <f t="shared" si="34"/>
        <v>29741.71461001</v>
      </c>
      <c r="H100" s="946">
        <f t="shared" si="34"/>
        <v>985.5855675000023</v>
      </c>
      <c r="I100" s="1361">
        <f t="shared" si="31"/>
        <v>3.2075241293778691</v>
      </c>
      <c r="P100" s="941" t="s">
        <v>16</v>
      </c>
      <c r="Q100" s="945">
        <f t="shared" ref="Q100:W100" si="35">SUM(Q90:Q99)</f>
        <v>0</v>
      </c>
      <c r="R100" s="945">
        <f t="shared" si="35"/>
        <v>0</v>
      </c>
      <c r="S100" s="945">
        <f t="shared" si="35"/>
        <v>0</v>
      </c>
      <c r="T100" s="945">
        <f t="shared" si="35"/>
        <v>0</v>
      </c>
      <c r="U100" s="945">
        <f t="shared" si="35"/>
        <v>30055.70097545</v>
      </c>
      <c r="V100" s="946">
        <f t="shared" si="35"/>
        <v>30805.504014800001</v>
      </c>
      <c r="W100" s="946">
        <f t="shared" si="35"/>
        <v>-749.80303935000165</v>
      </c>
      <c r="X100" s="1361">
        <f t="shared" si="33"/>
        <v>-2.4947115356333005</v>
      </c>
    </row>
    <row r="101" spans="1:24">
      <c r="P101" s="117"/>
      <c r="Q101" s="117"/>
      <c r="R101" s="117"/>
      <c r="S101" s="117"/>
      <c r="T101" s="117"/>
      <c r="U101" s="117"/>
      <c r="V101" s="117"/>
      <c r="W101" s="117"/>
      <c r="X101" s="117"/>
    </row>
    <row r="102" spans="1:24">
      <c r="H102" s="944"/>
      <c r="L102" s="84"/>
      <c r="P102" s="117"/>
      <c r="Q102" s="117"/>
      <c r="R102" s="117"/>
      <c r="S102" s="117"/>
      <c r="T102" s="117"/>
      <c r="U102" s="117"/>
      <c r="V102" s="117"/>
      <c r="W102" s="944"/>
      <c r="X102" s="117"/>
    </row>
    <row r="103" spans="1:24">
      <c r="B103" s="943" t="s">
        <v>530</v>
      </c>
      <c r="L103" s="84"/>
      <c r="P103" s="117"/>
      <c r="Q103" s="943" t="s">
        <v>530</v>
      </c>
      <c r="R103" s="117"/>
      <c r="S103" s="117"/>
      <c r="T103" s="117"/>
      <c r="U103" s="117"/>
      <c r="V103" s="117"/>
      <c r="W103" s="117"/>
      <c r="X103" s="117"/>
    </row>
    <row r="104" spans="1:24">
      <c r="H104" s="430"/>
      <c r="I104" s="430"/>
      <c r="L104" s="84"/>
      <c r="P104" s="117"/>
      <c r="Q104" s="117"/>
      <c r="R104" s="117"/>
      <c r="S104" s="117"/>
      <c r="T104" s="117"/>
      <c r="U104" s="117"/>
      <c r="V104" s="117"/>
      <c r="W104" s="430"/>
      <c r="X104" s="430"/>
    </row>
    <row r="105" spans="1:24">
      <c r="B105" s="3411" t="str">
        <f>B88</f>
        <v>année (n) au mois</v>
      </c>
      <c r="C105" s="3411"/>
      <c r="D105" s="3411" t="str">
        <f>D88</f>
        <v>année (n-1) au mois</v>
      </c>
      <c r="E105" s="3411"/>
      <c r="F105" s="3412" t="s">
        <v>521</v>
      </c>
      <c r="G105" s="3412"/>
      <c r="H105" s="3412"/>
      <c r="I105" s="3412"/>
      <c r="L105" s="84"/>
      <c r="P105" s="117"/>
      <c r="Q105" s="3411" t="str">
        <f>Q88</f>
        <v>année (n) au mois</v>
      </c>
      <c r="R105" s="3411"/>
      <c r="S105" s="3411" t="str">
        <f>S88</f>
        <v>année (n-1) au mois</v>
      </c>
      <c r="T105" s="3411"/>
      <c r="U105" s="3412" t="s">
        <v>521</v>
      </c>
      <c r="V105" s="3412"/>
      <c r="W105" s="3412"/>
      <c r="X105" s="3412"/>
    </row>
    <row r="106" spans="1:24">
      <c r="A106" s="430"/>
      <c r="B106" s="951" t="s">
        <v>522</v>
      </c>
      <c r="C106" s="951" t="s">
        <v>466</v>
      </c>
      <c r="D106" s="951" t="s">
        <v>522</v>
      </c>
      <c r="E106" s="951" t="s">
        <v>466</v>
      </c>
      <c r="F106" s="952" t="s">
        <v>522</v>
      </c>
      <c r="G106" s="952" t="s">
        <v>466</v>
      </c>
      <c r="H106" s="952" t="s">
        <v>523</v>
      </c>
      <c r="I106" s="952" t="s">
        <v>524</v>
      </c>
      <c r="L106" s="84"/>
      <c r="P106" s="430"/>
      <c r="Q106" s="951" t="s">
        <v>522</v>
      </c>
      <c r="R106" s="951" t="s">
        <v>466</v>
      </c>
      <c r="S106" s="951" t="s">
        <v>522</v>
      </c>
      <c r="T106" s="951" t="s">
        <v>466</v>
      </c>
      <c r="U106" s="952" t="s">
        <v>522</v>
      </c>
      <c r="V106" s="952" t="s">
        <v>466</v>
      </c>
      <c r="W106" s="952" t="s">
        <v>523</v>
      </c>
      <c r="X106" s="952" t="s">
        <v>524</v>
      </c>
    </row>
    <row r="107" spans="1:24">
      <c r="A107" s="941" t="s">
        <v>68</v>
      </c>
      <c r="B107" s="947"/>
      <c r="C107" s="948"/>
      <c r="D107" s="947"/>
      <c r="E107" s="948"/>
      <c r="F107" s="953">
        <f>$L$2-D107+B107</f>
        <v>4124.2363185199993</v>
      </c>
      <c r="G107" s="954">
        <f>$M$2-E107+C107</f>
        <v>3728.1309215500005</v>
      </c>
      <c r="H107" s="953">
        <f>F107-G107</f>
        <v>396.10539696999876</v>
      </c>
      <c r="I107" s="954">
        <f>(H107/F107)*100</f>
        <v>9.6043331753633119</v>
      </c>
      <c r="L107" s="84"/>
      <c r="P107" s="941" t="s">
        <v>68</v>
      </c>
      <c r="Q107" s="947"/>
      <c r="R107" s="948"/>
      <c r="S107" s="947"/>
      <c r="T107" s="948"/>
      <c r="U107" s="953">
        <f>$AA$2-S107+Q107</f>
        <v>3985.3009843499995</v>
      </c>
      <c r="V107" s="954">
        <f>$AB$2-T107+R107</f>
        <v>4075.9374462600008</v>
      </c>
      <c r="W107" s="953">
        <f>U107-V107</f>
        <v>-90.636461910001344</v>
      </c>
      <c r="X107" s="954">
        <f>(W107/U107)*100</f>
        <v>-2.2742689263853455</v>
      </c>
    </row>
    <row r="108" spans="1:24">
      <c r="A108" s="941" t="s">
        <v>7</v>
      </c>
      <c r="B108" s="949"/>
      <c r="C108" s="950"/>
      <c r="D108" s="949"/>
      <c r="E108" s="950"/>
      <c r="F108" s="955">
        <f>$L$3-D108+B108</f>
        <v>3275.2338950000003</v>
      </c>
      <c r="G108" s="956">
        <f>$M$3-E108+C108</f>
        <v>3134.1293854599994</v>
      </c>
      <c r="H108" s="955">
        <f t="shared" ref="H108:H116" si="36">F108-G108</f>
        <v>141.10450954000089</v>
      </c>
      <c r="I108" s="956">
        <f t="shared" ref="I108:I117" si="37">(H108/F108)*100</f>
        <v>4.3082269561087596</v>
      </c>
      <c r="L108" s="84"/>
      <c r="P108" s="941" t="s">
        <v>7</v>
      </c>
      <c r="Q108" s="949"/>
      <c r="R108" s="950"/>
      <c r="S108" s="949"/>
      <c r="T108" s="950"/>
      <c r="U108" s="955">
        <f>$AA$3-S108+Q108</f>
        <v>3111.5160040000001</v>
      </c>
      <c r="V108" s="956">
        <f>$AB$3-T108+R108</f>
        <v>3333.8697204300001</v>
      </c>
      <c r="W108" s="955">
        <f t="shared" ref="W108:W116" si="38">U108-V108</f>
        <v>-222.35371643000008</v>
      </c>
      <c r="X108" s="956">
        <f t="shared" ref="X108:X113" si="39">(W108/U108)*100</f>
        <v>-7.1461537123432413</v>
      </c>
    </row>
    <row r="109" spans="1:24">
      <c r="A109" s="941" t="s">
        <v>8</v>
      </c>
      <c r="B109" s="949"/>
      <c r="C109" s="950"/>
      <c r="D109" s="949"/>
      <c r="E109" s="950"/>
      <c r="F109" s="955">
        <f>$L$4-D109+B109</f>
        <v>3131.6329650000002</v>
      </c>
      <c r="G109" s="956">
        <f>$M$4-E109+C109</f>
        <v>2984.8316109799998</v>
      </c>
      <c r="H109" s="955">
        <f t="shared" si="36"/>
        <v>146.80135402000042</v>
      </c>
      <c r="I109" s="956">
        <f t="shared" si="37"/>
        <v>4.6876934704894575</v>
      </c>
      <c r="L109" s="84"/>
      <c r="P109" s="941" t="s">
        <v>8</v>
      </c>
      <c r="Q109" s="949"/>
      <c r="R109" s="950"/>
      <c r="S109" s="949"/>
      <c r="T109" s="950"/>
      <c r="U109" s="955">
        <f>$AA$4-S109+Q109</f>
        <v>3036.1096109999994</v>
      </c>
      <c r="V109" s="956">
        <f>$AB$4-T109+R109</f>
        <v>3109.1492814699996</v>
      </c>
      <c r="W109" s="955">
        <f t="shared" si="38"/>
        <v>-73.039670470000146</v>
      </c>
      <c r="X109" s="956">
        <f t="shared" si="39"/>
        <v>-2.4056993925836285</v>
      </c>
    </row>
    <row r="110" spans="1:24">
      <c r="A110" s="941" t="s">
        <v>4</v>
      </c>
      <c r="B110" s="949"/>
      <c r="C110" s="950"/>
      <c r="D110" s="949"/>
      <c r="E110" s="950"/>
      <c r="F110" s="955">
        <f>$L$5-D110+B110</f>
        <v>4891.117295</v>
      </c>
      <c r="G110" s="956">
        <f>$M$5-E110+C110</f>
        <v>4946.4932728200001</v>
      </c>
      <c r="H110" s="955">
        <f t="shared" si="36"/>
        <v>-55.375977820000116</v>
      </c>
      <c r="I110" s="956">
        <f t="shared" si="37"/>
        <v>-1.1321743986104942</v>
      </c>
      <c r="L110" s="84"/>
      <c r="P110" s="941" t="s">
        <v>4</v>
      </c>
      <c r="Q110" s="949"/>
      <c r="R110" s="950"/>
      <c r="S110" s="949"/>
      <c r="T110" s="950"/>
      <c r="U110" s="955">
        <f>$AA$5-S110+Q110</f>
        <v>4659.1682739999997</v>
      </c>
      <c r="V110" s="956">
        <f>$AB$5-T110+R110</f>
        <v>5196.0141774199992</v>
      </c>
      <c r="W110" s="955">
        <f t="shared" si="38"/>
        <v>-536.84590341999956</v>
      </c>
      <c r="X110" s="956">
        <f t="shared" si="39"/>
        <v>-11.522354889300992</v>
      </c>
    </row>
    <row r="111" spans="1:24">
      <c r="A111" s="941" t="s">
        <v>3</v>
      </c>
      <c r="B111" s="949"/>
      <c r="C111" s="950"/>
      <c r="D111" s="949"/>
      <c r="E111" s="950"/>
      <c r="F111" s="955">
        <f>$L$6-D111+B111</f>
        <v>5554.3826170000011</v>
      </c>
      <c r="G111" s="956">
        <f>$M$6-E111+C111</f>
        <v>5121.3940476599992</v>
      </c>
      <c r="H111" s="955">
        <f t="shared" si="36"/>
        <v>432.98856934000196</v>
      </c>
      <c r="I111" s="956">
        <f t="shared" si="37"/>
        <v>7.7954400911233055</v>
      </c>
      <c r="L111" s="84"/>
      <c r="P111" s="941" t="s">
        <v>3</v>
      </c>
      <c r="Q111" s="949"/>
      <c r="R111" s="950"/>
      <c r="S111" s="949"/>
      <c r="T111" s="950"/>
      <c r="U111" s="955">
        <f>$AA$6-S111+Q111</f>
        <v>5655.8158780000003</v>
      </c>
      <c r="V111" s="956">
        <f>$AB$6-T111+R111</f>
        <v>5469.2741296499989</v>
      </c>
      <c r="W111" s="955">
        <f t="shared" si="38"/>
        <v>186.5417483500014</v>
      </c>
      <c r="X111" s="956">
        <f t="shared" si="39"/>
        <v>3.29822880330337</v>
      </c>
    </row>
    <row r="112" spans="1:24">
      <c r="A112" s="941" t="s">
        <v>397</v>
      </c>
      <c r="B112" s="949"/>
      <c r="C112" s="950"/>
      <c r="D112" s="949"/>
      <c r="E112" s="950"/>
      <c r="F112" s="955">
        <f>$L$7-D112+B112</f>
        <v>1674.3147552500002</v>
      </c>
      <c r="G112" s="956">
        <f>$M$7-E112+C112</f>
        <v>1464.4653884400013</v>
      </c>
      <c r="H112" s="955">
        <f t="shared" si="36"/>
        <v>209.84936680999886</v>
      </c>
      <c r="I112" s="956">
        <f t="shared" si="37"/>
        <v>12.533447856921336</v>
      </c>
      <c r="L112" s="84"/>
      <c r="P112" s="941" t="s">
        <v>397</v>
      </c>
      <c r="Q112" s="949"/>
      <c r="R112" s="950"/>
      <c r="S112" s="949"/>
      <c r="T112" s="950"/>
      <c r="U112" s="955">
        <f>$AA$7-S112+Q112</f>
        <v>1576.4305022799999</v>
      </c>
      <c r="V112" s="956">
        <f>$AB$7-T112+R112</f>
        <v>1521.915172420001</v>
      </c>
      <c r="W112" s="955">
        <f t="shared" si="38"/>
        <v>54.515329859998928</v>
      </c>
      <c r="X112" s="956">
        <f t="shared" si="39"/>
        <v>3.4581499013850032</v>
      </c>
    </row>
    <row r="113" spans="1:24">
      <c r="A113" s="941" t="s">
        <v>399</v>
      </c>
      <c r="B113" s="949"/>
      <c r="C113" s="950"/>
      <c r="D113" s="949"/>
      <c r="E113" s="950"/>
      <c r="F113" s="955">
        <f>$L$8-D113+B113</f>
        <v>3022.1810381200003</v>
      </c>
      <c r="G113" s="956">
        <f>$M$8-E113+C113</f>
        <v>2728.9321647699999</v>
      </c>
      <c r="H113" s="955">
        <f t="shared" si="36"/>
        <v>293.24887335000039</v>
      </c>
      <c r="I113" s="956">
        <f t="shared" si="37"/>
        <v>9.7032199478169208</v>
      </c>
      <c r="L113" s="84"/>
      <c r="P113" s="941" t="s">
        <v>399</v>
      </c>
      <c r="Q113" s="949"/>
      <c r="R113" s="950"/>
      <c r="S113" s="949"/>
      <c r="T113" s="950"/>
      <c r="U113" s="955">
        <f>$AA$8-S113+Q113</f>
        <v>2809.6222358199998</v>
      </c>
      <c r="V113" s="956">
        <f>$AB$8-T113+R113</f>
        <v>2789.8338850800001</v>
      </c>
      <c r="W113" s="955">
        <f t="shared" si="38"/>
        <v>19.788350739999714</v>
      </c>
      <c r="X113" s="956">
        <f t="shared" si="39"/>
        <v>0.70430645400357184</v>
      </c>
    </row>
    <row r="114" spans="1:24">
      <c r="A114" s="941" t="s">
        <v>883</v>
      </c>
      <c r="B114" s="949"/>
      <c r="C114" s="950"/>
      <c r="D114" s="949"/>
      <c r="E114" s="950"/>
      <c r="F114" s="955">
        <f>$L$9-D114+B114</f>
        <v>1959.3614289999998</v>
      </c>
      <c r="G114" s="956">
        <f>$M$9-E114+C114</f>
        <v>1791.6212273600006</v>
      </c>
      <c r="H114" s="955">
        <f t="shared" si="36"/>
        <v>167.74020163999921</v>
      </c>
      <c r="I114" s="956">
        <f t="shared" si="37"/>
        <v>8.5609627278214244</v>
      </c>
      <c r="L114" s="84"/>
      <c r="P114" s="941" t="s">
        <v>883</v>
      </c>
      <c r="Q114" s="949"/>
      <c r="R114" s="950"/>
      <c r="S114" s="949"/>
      <c r="T114" s="950"/>
      <c r="U114" s="955">
        <f>$AA$9-S114+Q114</f>
        <v>1911.5098789999997</v>
      </c>
      <c r="V114" s="956">
        <f>$AB$9-T114+R114</f>
        <v>1946.47764478</v>
      </c>
      <c r="W114" s="955">
        <f t="shared" si="38"/>
        <v>-34.967765780000263</v>
      </c>
      <c r="X114" s="956">
        <f>(W114/U114)*100</f>
        <v>-1.8293269715296232</v>
      </c>
    </row>
    <row r="115" spans="1:24">
      <c r="A115" s="941" t="s">
        <v>884</v>
      </c>
      <c r="B115" s="949"/>
      <c r="C115" s="950"/>
      <c r="D115" s="949"/>
      <c r="E115" s="950"/>
      <c r="F115" s="955">
        <f>$L$10-D115+B115</f>
        <v>2102.2111479999999</v>
      </c>
      <c r="G115" s="956">
        <f>$M$10-E115+C115</f>
        <v>1900.39871973</v>
      </c>
      <c r="H115" s="955">
        <f t="shared" si="36"/>
        <v>201.81242826999983</v>
      </c>
      <c r="I115" s="956">
        <f>(H115/F115)*100</f>
        <v>9.6000075188450982</v>
      </c>
      <c r="L115" s="84"/>
      <c r="P115" s="941" t="s">
        <v>884</v>
      </c>
      <c r="Q115" s="949"/>
      <c r="R115" s="950"/>
      <c r="S115" s="949"/>
      <c r="T115" s="950"/>
      <c r="U115" s="955">
        <f>$AA$10-S115+Q115</f>
        <v>1983.3501999999999</v>
      </c>
      <c r="V115" s="956">
        <f>$AB$10-T115+R115</f>
        <v>2060.6519396399999</v>
      </c>
      <c r="W115" s="955">
        <f t="shared" si="38"/>
        <v>-77.301739640000051</v>
      </c>
      <c r="X115" s="956">
        <f>(W115/U115)*100</f>
        <v>-3.8975335591263738</v>
      </c>
    </row>
    <row r="116" spans="1:24" ht="14.4" thickBot="1">
      <c r="A116" s="941" t="s">
        <v>885</v>
      </c>
      <c r="B116" s="949"/>
      <c r="C116" s="950"/>
      <c r="D116" s="949"/>
      <c r="E116" s="950"/>
      <c r="F116" s="955">
        <f>$L$11-D116+B116</f>
        <v>1335.2583690000001</v>
      </c>
      <c r="G116" s="956">
        <f>$M$11-E116+C116</f>
        <v>1187.3271510479999</v>
      </c>
      <c r="H116" s="955">
        <f t="shared" si="36"/>
        <v>147.93121795200022</v>
      </c>
      <c r="I116" s="956">
        <f t="shared" si="37"/>
        <v>11.078845966177218</v>
      </c>
      <c r="L116" s="84"/>
      <c r="P116" s="941" t="s">
        <v>885</v>
      </c>
      <c r="Q116" s="949"/>
      <c r="R116" s="950"/>
      <c r="S116" s="949"/>
      <c r="T116" s="950"/>
      <c r="U116" s="955">
        <f>$AA$11-S116+Q116</f>
        <v>1326.8774069999999</v>
      </c>
      <c r="V116" s="956">
        <f>$AB$11-T116+R116</f>
        <v>1302.3806176500002</v>
      </c>
      <c r="W116" s="955">
        <f t="shared" si="38"/>
        <v>24.496789349999744</v>
      </c>
      <c r="X116" s="956">
        <f>(W116/U116)*100</f>
        <v>1.8461983918609104</v>
      </c>
    </row>
    <row r="117" spans="1:24" ht="14.4" thickBot="1">
      <c r="A117" s="941" t="s">
        <v>16</v>
      </c>
      <c r="B117" s="945">
        <f t="shared" ref="B117:H117" si="40">SUM(B107:B116)</f>
        <v>0</v>
      </c>
      <c r="C117" s="945">
        <f t="shared" si="40"/>
        <v>0</v>
      </c>
      <c r="D117" s="945">
        <f t="shared" si="40"/>
        <v>0</v>
      </c>
      <c r="E117" s="945">
        <f t="shared" si="40"/>
        <v>0</v>
      </c>
      <c r="F117" s="945">
        <f t="shared" si="40"/>
        <v>31069.929829890003</v>
      </c>
      <c r="G117" s="946">
        <f t="shared" si="40"/>
        <v>28987.723889818</v>
      </c>
      <c r="H117" s="946">
        <f t="shared" si="40"/>
        <v>2082.2059400720004</v>
      </c>
      <c r="I117" s="946">
        <f t="shared" si="37"/>
        <v>6.7016757085459178</v>
      </c>
      <c r="P117" s="941" t="s">
        <v>16</v>
      </c>
      <c r="Q117" s="945">
        <f t="shared" ref="Q117:W117" si="41">SUM(Q107:Q116)</f>
        <v>0</v>
      </c>
      <c r="R117" s="945">
        <f t="shared" si="41"/>
        <v>0</v>
      </c>
      <c r="S117" s="945">
        <f t="shared" si="41"/>
        <v>0</v>
      </c>
      <c r="T117" s="945">
        <f t="shared" si="41"/>
        <v>0</v>
      </c>
      <c r="U117" s="945">
        <f t="shared" si="41"/>
        <v>30055.70097545</v>
      </c>
      <c r="V117" s="946">
        <f t="shared" si="41"/>
        <v>30805.504014800001</v>
      </c>
      <c r="W117" s="946">
        <f t="shared" si="41"/>
        <v>-749.80303935000165</v>
      </c>
      <c r="X117" s="946">
        <f>(W117/U117)*100</f>
        <v>-2.4947115356333005</v>
      </c>
    </row>
    <row r="118" spans="1:24">
      <c r="P118" s="117"/>
      <c r="Q118" s="117"/>
      <c r="R118" s="117"/>
      <c r="S118" s="117"/>
      <c r="T118" s="117"/>
      <c r="U118" s="117"/>
      <c r="V118" s="117"/>
      <c r="W118" s="117"/>
      <c r="X118" s="117"/>
    </row>
    <row r="119" spans="1:24">
      <c r="F119" s="944"/>
      <c r="G119" s="944"/>
      <c r="H119" s="944"/>
      <c r="P119" s="117"/>
      <c r="Q119" s="117"/>
      <c r="R119" s="117"/>
      <c r="S119" s="117"/>
      <c r="T119" s="117"/>
      <c r="U119" s="944"/>
      <c r="V119" s="944"/>
      <c r="W119" s="944"/>
      <c r="X119" s="117"/>
    </row>
    <row r="120" spans="1:24">
      <c r="B120" s="943" t="s">
        <v>536</v>
      </c>
      <c r="P120" s="117"/>
      <c r="Q120" s="943" t="s">
        <v>536</v>
      </c>
      <c r="R120" s="117"/>
      <c r="S120" s="117"/>
      <c r="T120" s="117"/>
      <c r="U120" s="117"/>
      <c r="V120" s="117"/>
      <c r="W120" s="117"/>
      <c r="X120" s="117"/>
    </row>
    <row r="121" spans="1:24">
      <c r="H121" s="430"/>
      <c r="I121" s="430"/>
      <c r="P121" s="117"/>
      <c r="Q121" s="117"/>
      <c r="R121" s="117"/>
      <c r="S121" s="117"/>
      <c r="T121" s="117"/>
      <c r="U121" s="117"/>
      <c r="V121" s="117"/>
      <c r="W121" s="430"/>
      <c r="X121" s="430"/>
    </row>
    <row r="122" spans="1:24">
      <c r="B122" s="3411" t="str">
        <f>B105</f>
        <v>année (n) au mois</v>
      </c>
      <c r="C122" s="3411"/>
      <c r="D122" s="3411" t="str">
        <f>D105</f>
        <v>année (n-1) au mois</v>
      </c>
      <c r="E122" s="3411"/>
      <c r="F122" s="3412" t="s">
        <v>521</v>
      </c>
      <c r="G122" s="3412"/>
      <c r="H122" s="3412"/>
      <c r="I122" s="3412"/>
      <c r="P122" s="117"/>
      <c r="Q122" s="3411" t="str">
        <f>Q105</f>
        <v>année (n) au mois</v>
      </c>
      <c r="R122" s="3411"/>
      <c r="S122" s="3411" t="str">
        <f>S105</f>
        <v>année (n-1) au mois</v>
      </c>
      <c r="T122" s="3411"/>
      <c r="U122" s="3412" t="s">
        <v>521</v>
      </c>
      <c r="V122" s="3412"/>
      <c r="W122" s="3412"/>
      <c r="X122" s="3412"/>
    </row>
    <row r="123" spans="1:24">
      <c r="A123" s="430"/>
      <c r="B123" s="951" t="s">
        <v>522</v>
      </c>
      <c r="C123" s="951" t="s">
        <v>466</v>
      </c>
      <c r="D123" s="951" t="s">
        <v>522</v>
      </c>
      <c r="E123" s="951" t="s">
        <v>466</v>
      </c>
      <c r="F123" s="952" t="s">
        <v>522</v>
      </c>
      <c r="G123" s="952" t="s">
        <v>466</v>
      </c>
      <c r="H123" s="952" t="s">
        <v>523</v>
      </c>
      <c r="I123" s="952" t="s">
        <v>524</v>
      </c>
      <c r="P123" s="430"/>
      <c r="Q123" s="951" t="s">
        <v>522</v>
      </c>
      <c r="R123" s="951" t="s">
        <v>466</v>
      </c>
      <c r="S123" s="951" t="s">
        <v>522</v>
      </c>
      <c r="T123" s="951" t="s">
        <v>466</v>
      </c>
      <c r="U123" s="952" t="s">
        <v>522</v>
      </c>
      <c r="V123" s="952" t="s">
        <v>466</v>
      </c>
      <c r="W123" s="952" t="s">
        <v>523</v>
      </c>
      <c r="X123" s="952" t="s">
        <v>524</v>
      </c>
    </row>
    <row r="124" spans="1:24">
      <c r="A124" s="941" t="s">
        <v>68</v>
      </c>
      <c r="B124" s="1078">
        <v>2804.7358327700008</v>
      </c>
      <c r="C124" s="1079">
        <v>3035.6858658400006</v>
      </c>
      <c r="D124" s="1078">
        <v>2838.0943592399999</v>
      </c>
      <c r="E124" s="1079">
        <v>3053.5190140600002</v>
      </c>
      <c r="F124" s="953">
        <f>$L$2-D124+B124</f>
        <v>4090.8777920500002</v>
      </c>
      <c r="G124" s="954">
        <f>$M$2-E124+C124</f>
        <v>3710.2977733300008</v>
      </c>
      <c r="H124" s="953">
        <f>F124-G124</f>
        <v>380.58001871999932</v>
      </c>
      <c r="I124" s="954">
        <f>(H124/F124)*100</f>
        <v>9.3031383010169311</v>
      </c>
      <c r="P124" s="941" t="s">
        <v>68</v>
      </c>
      <c r="Q124" s="1078">
        <v>2838.0943592399999</v>
      </c>
      <c r="R124" s="1079">
        <v>3053.5190140600002</v>
      </c>
      <c r="S124" s="1078">
        <v>2969.2943477599997</v>
      </c>
      <c r="T124" s="1079">
        <v>3310.658672900001</v>
      </c>
      <c r="U124" s="953">
        <f>$AA$2-S124+Q124</f>
        <v>3854.1009958299996</v>
      </c>
      <c r="V124" s="954">
        <f>$AB$2-T124+R124</f>
        <v>3818.7977874200001</v>
      </c>
      <c r="W124" s="953">
        <f>U124-V124</f>
        <v>35.30320840999957</v>
      </c>
      <c r="X124" s="954">
        <f>(W124/U124)*100</f>
        <v>0.91599074461713348</v>
      </c>
    </row>
    <row r="125" spans="1:24">
      <c r="A125" s="941" t="s">
        <v>7</v>
      </c>
      <c r="B125" s="1080">
        <v>2250.7096760000004</v>
      </c>
      <c r="C125" s="1081">
        <v>2649.9152460399991</v>
      </c>
      <c r="D125" s="1080">
        <v>2255.0547529999999</v>
      </c>
      <c r="E125" s="1081">
        <v>2584.3258482899996</v>
      </c>
      <c r="F125" s="955">
        <f>$L$3-D125+B125</f>
        <v>3270.8888180000008</v>
      </c>
      <c r="G125" s="956">
        <f>$M$3-E125+C125</f>
        <v>3199.7187832099989</v>
      </c>
      <c r="H125" s="955">
        <f t="shared" ref="H125:H133" si="42">F125-G125</f>
        <v>71.170034790001864</v>
      </c>
      <c r="I125" s="956">
        <f t="shared" ref="I125:I133" si="43">(H125/F125)*100</f>
        <v>2.1758622426524146</v>
      </c>
      <c r="P125" s="941" t="s">
        <v>7</v>
      </c>
      <c r="Q125" s="1080">
        <v>2255.0547529999999</v>
      </c>
      <c r="R125" s="1081">
        <v>2584.3258482899996</v>
      </c>
      <c r="S125" s="1080">
        <v>2265.8531760000001</v>
      </c>
      <c r="T125" s="1081">
        <v>2862.8103818799996</v>
      </c>
      <c r="U125" s="955">
        <f>$AA$3-S125+Q125</f>
        <v>3100.7175809999999</v>
      </c>
      <c r="V125" s="956">
        <f>$AB$3-T125+R125</f>
        <v>3055.3851868400002</v>
      </c>
      <c r="W125" s="955">
        <f t="shared" ref="W125:W133" si="44">U125-V125</f>
        <v>45.332394159999694</v>
      </c>
      <c r="X125" s="956">
        <f t="shared" ref="X125:X133" si="45">(W125/U125)*100</f>
        <v>1.4619968757483461</v>
      </c>
    </row>
    <row r="126" spans="1:24">
      <c r="A126" s="941" t="s">
        <v>8</v>
      </c>
      <c r="B126" s="1080">
        <v>2155.7617600000003</v>
      </c>
      <c r="C126" s="1081">
        <v>2572.4406428499992</v>
      </c>
      <c r="D126" s="1080">
        <v>2083.8534440000003</v>
      </c>
      <c r="E126" s="1081">
        <v>2413.1392578499995</v>
      </c>
      <c r="F126" s="955">
        <f>$L$4-D126+B126</f>
        <v>3203.5412810000003</v>
      </c>
      <c r="G126" s="956">
        <f>$M$4-E126+C126</f>
        <v>3144.1329959799996</v>
      </c>
      <c r="H126" s="955">
        <f t="shared" si="42"/>
        <v>59.408285020000676</v>
      </c>
      <c r="I126" s="956">
        <f t="shared" si="43"/>
        <v>1.854456671819634</v>
      </c>
      <c r="P126" s="941" t="s">
        <v>8</v>
      </c>
      <c r="Q126" s="1080">
        <v>2083.8534440000003</v>
      </c>
      <c r="R126" s="1081">
        <v>2413.1392578499995</v>
      </c>
      <c r="S126" s="1080">
        <v>2150.4297179999999</v>
      </c>
      <c r="T126" s="1081">
        <v>2594.7642540100001</v>
      </c>
      <c r="U126" s="955">
        <f>$AA$4-S126+Q126</f>
        <v>2969.5333369999998</v>
      </c>
      <c r="V126" s="956">
        <f>$AB$4-T126+R126</f>
        <v>2927.524285309999</v>
      </c>
      <c r="W126" s="955">
        <f t="shared" si="44"/>
        <v>42.009051690000888</v>
      </c>
      <c r="X126" s="956">
        <f t="shared" si="45"/>
        <v>1.4146684654647099</v>
      </c>
    </row>
    <row r="127" spans="1:24">
      <c r="A127" s="941" t="s">
        <v>4</v>
      </c>
      <c r="B127" s="1080">
        <v>3233.6893380000001</v>
      </c>
      <c r="C127" s="1081">
        <v>3999.1770321299991</v>
      </c>
      <c r="D127" s="1080">
        <v>3497.8411479999995</v>
      </c>
      <c r="E127" s="1081">
        <v>4114.4595578500002</v>
      </c>
      <c r="F127" s="955">
        <f>$L$5-D127+B127</f>
        <v>4626.9654850000006</v>
      </c>
      <c r="G127" s="956">
        <f>$M$5-E127+C127</f>
        <v>4831.210747099999</v>
      </c>
      <c r="H127" s="955">
        <f t="shared" si="42"/>
        <v>-204.2452620999984</v>
      </c>
      <c r="I127" s="956">
        <f t="shared" si="43"/>
        <v>-4.414237857665765</v>
      </c>
      <c r="P127" s="941" t="s">
        <v>4</v>
      </c>
      <c r="Q127" s="1080">
        <v>3497.8411479999995</v>
      </c>
      <c r="R127" s="1081">
        <v>4114.4595578500002</v>
      </c>
      <c r="S127" s="1080">
        <v>3499.8665029999997</v>
      </c>
      <c r="T127" s="1081">
        <v>4478.8429298099991</v>
      </c>
      <c r="U127" s="955">
        <f>$AA$5-S127+Q127</f>
        <v>4657.1429189999999</v>
      </c>
      <c r="V127" s="956">
        <f>$AB$5-T127+R127</f>
        <v>4831.6308054600004</v>
      </c>
      <c r="W127" s="955">
        <f t="shared" si="44"/>
        <v>-174.48788646000048</v>
      </c>
      <c r="X127" s="956">
        <f t="shared" si="45"/>
        <v>-3.7466723588862334</v>
      </c>
    </row>
    <row r="128" spans="1:24">
      <c r="A128" s="941" t="s">
        <v>3</v>
      </c>
      <c r="B128" s="1080">
        <v>3651.2215449999994</v>
      </c>
      <c r="C128" s="1081">
        <v>4059.2007137299993</v>
      </c>
      <c r="D128" s="1080">
        <v>3707.8065139999999</v>
      </c>
      <c r="E128" s="1081">
        <v>4107.3188885399995</v>
      </c>
      <c r="F128" s="955">
        <f>$L$6-D128+B128</f>
        <v>5497.7976480000007</v>
      </c>
      <c r="G128" s="956">
        <f>$M$6-E128+C128</f>
        <v>5073.2758728499994</v>
      </c>
      <c r="H128" s="955">
        <f t="shared" si="42"/>
        <v>424.5217751500013</v>
      </c>
      <c r="I128" s="956">
        <f t="shared" si="43"/>
        <v>7.7216696999467533</v>
      </c>
      <c r="P128" s="941" t="s">
        <v>3</v>
      </c>
      <c r="Q128" s="1080">
        <v>3707.8065139999999</v>
      </c>
      <c r="R128" s="1081">
        <v>4107.3188885399995</v>
      </c>
      <c r="S128" s="1080">
        <v>3873.4395430000004</v>
      </c>
      <c r="T128" s="1081">
        <v>4433.8393975299996</v>
      </c>
      <c r="U128" s="955">
        <f>$AA$6-S128+Q128</f>
        <v>5490.1828489999998</v>
      </c>
      <c r="V128" s="956">
        <f>$AB$6-T128+R128</f>
        <v>5142.7536206599989</v>
      </c>
      <c r="W128" s="955">
        <f t="shared" si="44"/>
        <v>347.42922834000092</v>
      </c>
      <c r="X128" s="956">
        <f t="shared" si="45"/>
        <v>6.3281904791801766</v>
      </c>
    </row>
    <row r="129" spans="1:24">
      <c r="A129" s="941" t="s">
        <v>397</v>
      </c>
      <c r="B129" s="1080">
        <v>1133.2621072299999</v>
      </c>
      <c r="C129" s="1081">
        <v>1173.4156620200024</v>
      </c>
      <c r="D129" s="1080">
        <v>1174.83901941</v>
      </c>
      <c r="E129" s="1081">
        <v>1179.0305760100007</v>
      </c>
      <c r="F129" s="955">
        <f>$L$7-D129+B129</f>
        <v>1632.7378430700001</v>
      </c>
      <c r="G129" s="956">
        <f>$M$7-E129+C129</f>
        <v>1458.850474450003</v>
      </c>
      <c r="H129" s="955">
        <f t="shared" si="42"/>
        <v>173.88736861999701</v>
      </c>
      <c r="I129" s="956">
        <f t="shared" si="43"/>
        <v>10.650048282891547</v>
      </c>
      <c r="P129" s="941" t="s">
        <v>397</v>
      </c>
      <c r="Q129" s="1080">
        <v>1174.83901941</v>
      </c>
      <c r="R129" s="1081">
        <v>1179.0305760100007</v>
      </c>
      <c r="S129" s="1080">
        <v>1210.6737700199999</v>
      </c>
      <c r="T129" s="1081">
        <v>1274.4783737600001</v>
      </c>
      <c r="U129" s="955">
        <f>$AA$7-S129+Q129</f>
        <v>1540.59575167</v>
      </c>
      <c r="V129" s="956">
        <f>$AB$7-T129+R129</f>
        <v>1426.4673746700016</v>
      </c>
      <c r="W129" s="955">
        <f t="shared" si="44"/>
        <v>114.12837699999841</v>
      </c>
      <c r="X129" s="956">
        <f t="shared" si="45"/>
        <v>7.4080677475764602</v>
      </c>
    </row>
    <row r="130" spans="1:24">
      <c r="A130" s="941" t="s">
        <v>399</v>
      </c>
      <c r="B130" s="1080">
        <v>2092.9558408000003</v>
      </c>
      <c r="C130" s="1081">
        <v>2265.2661823600001</v>
      </c>
      <c r="D130" s="1080">
        <v>2077.5528998</v>
      </c>
      <c r="E130" s="1081">
        <v>2102.2366619099998</v>
      </c>
      <c r="F130" s="955">
        <f>$L$8-D130+B130</f>
        <v>3037.5839791200005</v>
      </c>
      <c r="G130" s="956">
        <f>$M$8-E130+C130</f>
        <v>2891.9616852200002</v>
      </c>
      <c r="H130" s="955">
        <f t="shared" si="42"/>
        <v>145.62229390000039</v>
      </c>
      <c r="I130" s="956">
        <f t="shared" si="43"/>
        <v>4.7940170510837277</v>
      </c>
      <c r="P130" s="941" t="s">
        <v>399</v>
      </c>
      <c r="Q130" s="1080">
        <v>2077.5528998</v>
      </c>
      <c r="R130" s="1081">
        <v>2102.2366619099998</v>
      </c>
      <c r="S130" s="1080">
        <v>2059.1927736399998</v>
      </c>
      <c r="T130" s="1081">
        <v>2238.9207321600002</v>
      </c>
      <c r="U130" s="955">
        <f>$AA$8-S130+Q130</f>
        <v>2827.98236198</v>
      </c>
      <c r="V130" s="956">
        <f>$AB$8-T130+R130</f>
        <v>2653.1498148299997</v>
      </c>
      <c r="W130" s="955">
        <f t="shared" si="44"/>
        <v>174.83254715000021</v>
      </c>
      <c r="X130" s="956">
        <f t="shared" si="45"/>
        <v>6.1822361235517729</v>
      </c>
    </row>
    <row r="131" spans="1:24">
      <c r="A131" s="941" t="s">
        <v>883</v>
      </c>
      <c r="B131" s="1080">
        <v>1360.5992479999998</v>
      </c>
      <c r="C131" s="1081">
        <v>1583.2185636219997</v>
      </c>
      <c r="D131" s="1080">
        <v>1311.524899</v>
      </c>
      <c r="E131" s="1081">
        <v>1458.7128654700007</v>
      </c>
      <c r="F131" s="955">
        <f>$L$9-D131+B131</f>
        <v>2008.4357779999996</v>
      </c>
      <c r="G131" s="956">
        <f>$M$9-E131+C131</f>
        <v>1916.1269255119996</v>
      </c>
      <c r="H131" s="955">
        <f t="shared" si="42"/>
        <v>92.308852487999957</v>
      </c>
      <c r="I131" s="956">
        <f t="shared" si="43"/>
        <v>4.5960569662785593</v>
      </c>
      <c r="P131" s="941" t="s">
        <v>883</v>
      </c>
      <c r="Q131" s="1080">
        <v>1311.524899</v>
      </c>
      <c r="R131" s="1081">
        <v>1458.7128654700007</v>
      </c>
      <c r="S131" s="1080">
        <v>1408.2149489999997</v>
      </c>
      <c r="T131" s="1081">
        <v>1652.15257213</v>
      </c>
      <c r="U131" s="955">
        <f>$AA$9-S131+Q131</f>
        <v>1814.819829</v>
      </c>
      <c r="V131" s="956">
        <f>$AB$9-T131+R131</f>
        <v>1753.0379381200007</v>
      </c>
      <c r="W131" s="955">
        <f t="shared" si="44"/>
        <v>61.78189087999931</v>
      </c>
      <c r="X131" s="956">
        <f t="shared" si="45"/>
        <v>3.4042988671796857</v>
      </c>
    </row>
    <row r="132" spans="1:24">
      <c r="A132" s="941" t="s">
        <v>884</v>
      </c>
      <c r="B132" s="1080">
        <v>1474.2703550000001</v>
      </c>
      <c r="C132" s="1081">
        <v>1730.02758296</v>
      </c>
      <c r="D132" s="1080">
        <v>1412.6576469999998</v>
      </c>
      <c r="E132" s="1081">
        <v>1552.3223707199998</v>
      </c>
      <c r="F132" s="955">
        <f>$L$10-D132+B132</f>
        <v>2163.823856</v>
      </c>
      <c r="G132" s="956">
        <f>$M$10-E132+C132</f>
        <v>2078.1039319700003</v>
      </c>
      <c r="H132" s="955">
        <f t="shared" si="42"/>
        <v>85.719924029999675</v>
      </c>
      <c r="I132" s="956">
        <f t="shared" si="43"/>
        <v>3.961501939832559</v>
      </c>
      <c r="P132" s="941" t="s">
        <v>884</v>
      </c>
      <c r="Q132" s="1080">
        <v>1412.6576469999998</v>
      </c>
      <c r="R132" s="1081">
        <v>1552.3223707199998</v>
      </c>
      <c r="S132" s="1080">
        <v>1454.138494</v>
      </c>
      <c r="T132" s="1081">
        <v>1726.6877614599998</v>
      </c>
      <c r="U132" s="955">
        <f>$AA$10-S132+Q132</f>
        <v>1941.8693529999996</v>
      </c>
      <c r="V132" s="956">
        <f>$AB$10-T132+R132</f>
        <v>1886.2865488999998</v>
      </c>
      <c r="W132" s="955">
        <f t="shared" si="44"/>
        <v>55.582804099999748</v>
      </c>
      <c r="X132" s="956">
        <f t="shared" si="45"/>
        <v>2.8623348946791767</v>
      </c>
    </row>
    <row r="133" spans="1:24" ht="14.4" thickBot="1">
      <c r="A133" s="941" t="s">
        <v>885</v>
      </c>
      <c r="B133" s="1080">
        <v>936.13161700000001</v>
      </c>
      <c r="C133" s="1081">
        <v>1090.379358142</v>
      </c>
      <c r="D133" s="1080">
        <v>892.62269400000002</v>
      </c>
      <c r="E133" s="1081">
        <v>1008.8887732320002</v>
      </c>
      <c r="F133" s="955">
        <f>$L$11-D133+B133</f>
        <v>1378.767292</v>
      </c>
      <c r="G133" s="956">
        <f>$M$11-E133+C133</f>
        <v>1268.8177359579997</v>
      </c>
      <c r="H133" s="955">
        <f t="shared" si="42"/>
        <v>109.94955604200027</v>
      </c>
      <c r="I133" s="956">
        <f t="shared" si="43"/>
        <v>7.9744824728551986</v>
      </c>
      <c r="P133" s="941" t="s">
        <v>885</v>
      </c>
      <c r="Q133" s="1080">
        <v>892.62269400000002</v>
      </c>
      <c r="R133" s="1081">
        <v>1008.8887732320002</v>
      </c>
      <c r="S133" s="1080">
        <v>958.06081899999992</v>
      </c>
      <c r="T133" s="1081">
        <v>1123.2045541340003</v>
      </c>
      <c r="U133" s="955">
        <f>$AA$11-S133+Q133</f>
        <v>1261.439282</v>
      </c>
      <c r="V133" s="956">
        <f>$AB$11-T133+R133</f>
        <v>1188.0648367480001</v>
      </c>
      <c r="W133" s="955">
        <f t="shared" si="44"/>
        <v>73.374445251999987</v>
      </c>
      <c r="X133" s="956">
        <f t="shared" si="45"/>
        <v>5.8167243004883673</v>
      </c>
    </row>
    <row r="134" spans="1:24" ht="14.4" thickBot="1">
      <c r="A134" s="941" t="s">
        <v>16</v>
      </c>
      <c r="B134" s="945">
        <f t="shared" ref="B134:H134" si="46">SUM(B124:B133)</f>
        <v>21093.337319800001</v>
      </c>
      <c r="C134" s="945">
        <f t="shared" si="46"/>
        <v>24158.726849693994</v>
      </c>
      <c r="D134" s="945">
        <f t="shared" si="46"/>
        <v>21251.847377450002</v>
      </c>
      <c r="E134" s="945">
        <f t="shared" si="46"/>
        <v>23573.953813931999</v>
      </c>
      <c r="F134" s="945">
        <f t="shared" si="46"/>
        <v>30911.419772240002</v>
      </c>
      <c r="G134" s="946">
        <f t="shared" si="46"/>
        <v>29572.496925579999</v>
      </c>
      <c r="H134" s="946">
        <f t="shared" si="46"/>
        <v>1338.9228466600021</v>
      </c>
      <c r="I134" s="946">
        <f>(H134/F134)*100</f>
        <v>4.3314828517272499</v>
      </c>
      <c r="P134" s="941" t="s">
        <v>16</v>
      </c>
      <c r="Q134" s="945">
        <f t="shared" ref="Q134:W134" si="47">SUM(Q124:Q133)</f>
        <v>21251.847377450002</v>
      </c>
      <c r="R134" s="945">
        <f t="shared" si="47"/>
        <v>23573.953813931999</v>
      </c>
      <c r="S134" s="945">
        <f t="shared" si="47"/>
        <v>21849.164093419997</v>
      </c>
      <c r="T134" s="945">
        <f t="shared" si="47"/>
        <v>25696.359629773997</v>
      </c>
      <c r="U134" s="945">
        <f t="shared" si="47"/>
        <v>29458.384259479997</v>
      </c>
      <c r="V134" s="946">
        <f t="shared" si="47"/>
        <v>28683.098198958</v>
      </c>
      <c r="W134" s="946">
        <f t="shared" si="47"/>
        <v>775.28606052199825</v>
      </c>
      <c r="X134" s="946">
        <f>(W134/U134)*100</f>
        <v>2.6318010305419368</v>
      </c>
    </row>
    <row r="135" spans="1:24">
      <c r="P135" s="117"/>
      <c r="Q135" s="117"/>
      <c r="R135" s="117"/>
      <c r="S135" s="117"/>
      <c r="T135" s="117"/>
      <c r="U135" s="117"/>
      <c r="V135" s="117"/>
      <c r="W135" s="117"/>
      <c r="X135" s="117"/>
    </row>
    <row r="136" spans="1:24">
      <c r="P136" s="117"/>
      <c r="Q136" s="117"/>
      <c r="R136" s="117"/>
      <c r="S136" s="117"/>
      <c r="T136" s="117"/>
      <c r="U136" s="117"/>
      <c r="V136" s="117"/>
      <c r="W136" s="117"/>
      <c r="X136" s="117"/>
    </row>
    <row r="137" spans="1:24">
      <c r="B137" s="943" t="s">
        <v>531</v>
      </c>
      <c r="P137" s="117"/>
      <c r="Q137" s="943" t="s">
        <v>531</v>
      </c>
      <c r="R137" s="117"/>
      <c r="S137" s="117"/>
      <c r="T137" s="117"/>
      <c r="U137" s="117"/>
      <c r="V137" s="117"/>
      <c r="W137" s="117"/>
      <c r="X137" s="117"/>
    </row>
    <row r="138" spans="1:24">
      <c r="H138" s="430"/>
      <c r="I138" s="430"/>
      <c r="P138" s="117"/>
      <c r="Q138" s="117"/>
      <c r="R138" s="117"/>
      <c r="S138" s="117"/>
      <c r="T138" s="117"/>
      <c r="U138" s="117"/>
      <c r="V138" s="117"/>
      <c r="W138" s="430"/>
      <c r="X138" s="430"/>
    </row>
    <row r="139" spans="1:24">
      <c r="B139" s="3411" t="str">
        <f>B122</f>
        <v>année (n) au mois</v>
      </c>
      <c r="C139" s="3411"/>
      <c r="D139" s="3411" t="str">
        <f>D122</f>
        <v>année (n-1) au mois</v>
      </c>
      <c r="E139" s="3411"/>
      <c r="F139" s="3412" t="s">
        <v>521</v>
      </c>
      <c r="G139" s="3412"/>
      <c r="H139" s="3412"/>
      <c r="I139" s="3412"/>
      <c r="P139" s="117"/>
      <c r="Q139" s="3411" t="str">
        <f>Q122</f>
        <v>année (n) au mois</v>
      </c>
      <c r="R139" s="3411"/>
      <c r="S139" s="3411" t="str">
        <f>S122</f>
        <v>année (n-1) au mois</v>
      </c>
      <c r="T139" s="3411"/>
      <c r="U139" s="3412" t="s">
        <v>521</v>
      </c>
      <c r="V139" s="3412"/>
      <c r="W139" s="3412"/>
      <c r="X139" s="3412"/>
    </row>
    <row r="140" spans="1:24">
      <c r="A140" s="430"/>
      <c r="B140" s="951" t="s">
        <v>522</v>
      </c>
      <c r="C140" s="951" t="s">
        <v>466</v>
      </c>
      <c r="D140" s="951" t="s">
        <v>522</v>
      </c>
      <c r="E140" s="951" t="s">
        <v>466</v>
      </c>
      <c r="F140" s="952" t="s">
        <v>522</v>
      </c>
      <c r="G140" s="952" t="s">
        <v>466</v>
      </c>
      <c r="H140" s="952" t="s">
        <v>523</v>
      </c>
      <c r="I140" s="952" t="s">
        <v>524</v>
      </c>
      <c r="P140" s="430"/>
      <c r="Q140" s="951" t="s">
        <v>522</v>
      </c>
      <c r="R140" s="951" t="s">
        <v>466</v>
      </c>
      <c r="S140" s="951" t="s">
        <v>522</v>
      </c>
      <c r="T140" s="951" t="s">
        <v>466</v>
      </c>
      <c r="U140" s="952" t="s">
        <v>522</v>
      </c>
      <c r="V140" s="952" t="s">
        <v>466</v>
      </c>
      <c r="W140" s="952" t="s">
        <v>523</v>
      </c>
      <c r="X140" s="952" t="s">
        <v>524</v>
      </c>
    </row>
    <row r="141" spans="1:24">
      <c r="A141" s="941" t="s">
        <v>68</v>
      </c>
      <c r="B141" s="947"/>
      <c r="C141" s="948"/>
      <c r="D141" s="947"/>
      <c r="E141" s="948"/>
      <c r="F141" s="953">
        <f>$L$2-D141+B141</f>
        <v>4124.2363185199993</v>
      </c>
      <c r="G141" s="954">
        <f>$M$2-E141+C141</f>
        <v>3728.1309215500005</v>
      </c>
      <c r="H141" s="953">
        <f>F141-G141</f>
        <v>396.10539696999876</v>
      </c>
      <c r="I141" s="1395">
        <f>(H141/F141)*100</f>
        <v>9.6043331753633119</v>
      </c>
      <c r="P141" s="941" t="s">
        <v>68</v>
      </c>
      <c r="Q141" s="947"/>
      <c r="R141" s="948"/>
      <c r="S141" s="947"/>
      <c r="T141" s="948"/>
      <c r="U141" s="953">
        <f>$AA$2-S141+Q141</f>
        <v>3985.3009843499995</v>
      </c>
      <c r="V141" s="954">
        <f>$AB$2-T141+R141</f>
        <v>4075.9374462600008</v>
      </c>
      <c r="W141" s="953">
        <f>U141-V141</f>
        <v>-90.636461910001344</v>
      </c>
      <c r="X141" s="1395">
        <f>(W141/U141)*100</f>
        <v>-2.2742689263853455</v>
      </c>
    </row>
    <row r="142" spans="1:24">
      <c r="A142" s="941" t="s">
        <v>7</v>
      </c>
      <c r="B142" s="949"/>
      <c r="C142" s="950"/>
      <c r="D142" s="949"/>
      <c r="E142" s="950"/>
      <c r="F142" s="955">
        <f>$L$3-D142+B142</f>
        <v>3275.2338950000003</v>
      </c>
      <c r="G142" s="956">
        <f>$M$3-E142+C142</f>
        <v>3134.1293854599994</v>
      </c>
      <c r="H142" s="955">
        <f t="shared" ref="H142:H150" si="48">F142-G142</f>
        <v>141.10450954000089</v>
      </c>
      <c r="I142" s="1396">
        <f t="shared" ref="I142:I150" si="49">(H142/F142)*100</f>
        <v>4.3082269561087596</v>
      </c>
      <c r="P142" s="941" t="s">
        <v>7</v>
      </c>
      <c r="Q142" s="949"/>
      <c r="R142" s="950"/>
      <c r="S142" s="949"/>
      <c r="T142" s="950"/>
      <c r="U142" s="955">
        <f>$AA$3-S142+Q142</f>
        <v>3111.5160040000001</v>
      </c>
      <c r="V142" s="956">
        <f>$AB$3-T142+R142</f>
        <v>3333.8697204300001</v>
      </c>
      <c r="W142" s="955">
        <f t="shared" ref="W142:W150" si="50">U142-V142</f>
        <v>-222.35371643000008</v>
      </c>
      <c r="X142" s="1396">
        <f t="shared" ref="X142:X150" si="51">(W142/U142)*100</f>
        <v>-7.1461537123432413</v>
      </c>
    </row>
    <row r="143" spans="1:24">
      <c r="A143" s="941" t="s">
        <v>8</v>
      </c>
      <c r="B143" s="949"/>
      <c r="C143" s="950"/>
      <c r="D143" s="949"/>
      <c r="E143" s="950"/>
      <c r="F143" s="955">
        <f>$L$4-D143+B143</f>
        <v>3131.6329650000002</v>
      </c>
      <c r="G143" s="956">
        <f>$M$4-E143+C143</f>
        <v>2984.8316109799998</v>
      </c>
      <c r="H143" s="955">
        <f t="shared" si="48"/>
        <v>146.80135402000042</v>
      </c>
      <c r="I143" s="1396">
        <f t="shared" si="49"/>
        <v>4.6876934704894575</v>
      </c>
      <c r="P143" s="941" t="s">
        <v>8</v>
      </c>
      <c r="Q143" s="949"/>
      <c r="R143" s="950"/>
      <c r="S143" s="949"/>
      <c r="T143" s="950"/>
      <c r="U143" s="955">
        <f>$AA$4-S143+Q143</f>
        <v>3036.1096109999994</v>
      </c>
      <c r="V143" s="956">
        <f>$AB$4-T143+R143</f>
        <v>3109.1492814699996</v>
      </c>
      <c r="W143" s="955">
        <f t="shared" si="50"/>
        <v>-73.039670470000146</v>
      </c>
      <c r="X143" s="1396">
        <f t="shared" si="51"/>
        <v>-2.4056993925836285</v>
      </c>
    </row>
    <row r="144" spans="1:24">
      <c r="A144" s="941" t="s">
        <v>4</v>
      </c>
      <c r="B144" s="949"/>
      <c r="C144" s="950"/>
      <c r="D144" s="949"/>
      <c r="E144" s="950"/>
      <c r="F144" s="955">
        <f>$L$5-D144+B144</f>
        <v>4891.117295</v>
      </c>
      <c r="G144" s="956">
        <f>$M$5-E144+C144</f>
        <v>4946.4932728200001</v>
      </c>
      <c r="H144" s="955">
        <f t="shared" si="48"/>
        <v>-55.375977820000116</v>
      </c>
      <c r="I144" s="1396">
        <f t="shared" si="49"/>
        <v>-1.1321743986104942</v>
      </c>
      <c r="P144" s="941" t="s">
        <v>4</v>
      </c>
      <c r="Q144" s="949"/>
      <c r="R144" s="950"/>
      <c r="S144" s="949"/>
      <c r="T144" s="950"/>
      <c r="U144" s="955">
        <f>$AA$5-S144+Q144</f>
        <v>4659.1682739999997</v>
      </c>
      <c r="V144" s="956">
        <f>$AB$5-T144+R144</f>
        <v>5196.0141774199992</v>
      </c>
      <c r="W144" s="955">
        <f t="shared" si="50"/>
        <v>-536.84590341999956</v>
      </c>
      <c r="X144" s="1396">
        <f t="shared" si="51"/>
        <v>-11.522354889300992</v>
      </c>
    </row>
    <row r="145" spans="1:24">
      <c r="A145" s="941" t="s">
        <v>3</v>
      </c>
      <c r="B145" s="949"/>
      <c r="C145" s="950"/>
      <c r="D145" s="949"/>
      <c r="E145" s="950"/>
      <c r="F145" s="955">
        <f>$L$6-D145+B145</f>
        <v>5554.3826170000011</v>
      </c>
      <c r="G145" s="956">
        <f>$M$6-E145+C145</f>
        <v>5121.3940476599992</v>
      </c>
      <c r="H145" s="955">
        <f t="shared" si="48"/>
        <v>432.98856934000196</v>
      </c>
      <c r="I145" s="1396">
        <f t="shared" si="49"/>
        <v>7.7954400911233055</v>
      </c>
      <c r="P145" s="941" t="s">
        <v>3</v>
      </c>
      <c r="Q145" s="949"/>
      <c r="R145" s="950"/>
      <c r="S145" s="949"/>
      <c r="T145" s="950"/>
      <c r="U145" s="955">
        <f>$AA$6-S145+Q145</f>
        <v>5655.8158780000003</v>
      </c>
      <c r="V145" s="956">
        <f>$AB$6-T145+R145</f>
        <v>5469.2741296499989</v>
      </c>
      <c r="W145" s="955">
        <f t="shared" si="50"/>
        <v>186.5417483500014</v>
      </c>
      <c r="X145" s="1396">
        <f t="shared" si="51"/>
        <v>3.29822880330337</v>
      </c>
    </row>
    <row r="146" spans="1:24">
      <c r="A146" s="941" t="s">
        <v>397</v>
      </c>
      <c r="B146" s="949"/>
      <c r="C146" s="950"/>
      <c r="D146" s="949"/>
      <c r="E146" s="950"/>
      <c r="F146" s="955">
        <f>$L$7-D146+B146</f>
        <v>1674.3147552500002</v>
      </c>
      <c r="G146" s="956">
        <f>$M$7-E146+C146</f>
        <v>1464.4653884400013</v>
      </c>
      <c r="H146" s="955">
        <f t="shared" si="48"/>
        <v>209.84936680999886</v>
      </c>
      <c r="I146" s="1396">
        <f t="shared" si="49"/>
        <v>12.533447856921336</v>
      </c>
      <c r="P146" s="941" t="s">
        <v>397</v>
      </c>
      <c r="Q146" s="949"/>
      <c r="R146" s="950"/>
      <c r="S146" s="949"/>
      <c r="T146" s="950"/>
      <c r="U146" s="955">
        <f>$AA$7-S146+Q146</f>
        <v>1576.4305022799999</v>
      </c>
      <c r="V146" s="956">
        <f>$AB$7-T146+R146</f>
        <v>1521.915172420001</v>
      </c>
      <c r="W146" s="955">
        <f t="shared" si="50"/>
        <v>54.515329859998928</v>
      </c>
      <c r="X146" s="1396">
        <f t="shared" si="51"/>
        <v>3.4581499013850032</v>
      </c>
    </row>
    <row r="147" spans="1:24">
      <c r="A147" s="941" t="s">
        <v>399</v>
      </c>
      <c r="B147" s="949"/>
      <c r="C147" s="950"/>
      <c r="D147" s="949"/>
      <c r="E147" s="950"/>
      <c r="F147" s="955">
        <f>$L$8-D147+B147</f>
        <v>3022.1810381200003</v>
      </c>
      <c r="G147" s="956">
        <f>$M$8-E147+C147</f>
        <v>2728.9321647699999</v>
      </c>
      <c r="H147" s="955">
        <f t="shared" si="48"/>
        <v>293.24887335000039</v>
      </c>
      <c r="I147" s="1396">
        <f t="shared" si="49"/>
        <v>9.7032199478169208</v>
      </c>
      <c r="P147" s="941" t="s">
        <v>399</v>
      </c>
      <c r="Q147" s="949"/>
      <c r="R147" s="950"/>
      <c r="S147" s="949"/>
      <c r="T147" s="950"/>
      <c r="U147" s="955">
        <f>$AA$8-S147+Q147</f>
        <v>2809.6222358199998</v>
      </c>
      <c r="V147" s="956">
        <f>$AB$8-T147+R147</f>
        <v>2789.8338850800001</v>
      </c>
      <c r="W147" s="955">
        <f t="shared" si="50"/>
        <v>19.788350739999714</v>
      </c>
      <c r="X147" s="1396">
        <f t="shared" si="51"/>
        <v>0.70430645400357184</v>
      </c>
    </row>
    <row r="148" spans="1:24">
      <c r="A148" s="941" t="s">
        <v>883</v>
      </c>
      <c r="B148" s="949"/>
      <c r="C148" s="950"/>
      <c r="D148" s="949"/>
      <c r="E148" s="950"/>
      <c r="F148" s="955">
        <f>$L$9-D148+B148</f>
        <v>1959.3614289999998</v>
      </c>
      <c r="G148" s="956">
        <f>$M$9-E148+C148</f>
        <v>1791.6212273600006</v>
      </c>
      <c r="H148" s="955">
        <f t="shared" si="48"/>
        <v>167.74020163999921</v>
      </c>
      <c r="I148" s="1396">
        <f t="shared" si="49"/>
        <v>8.5609627278214244</v>
      </c>
      <c r="P148" s="941" t="s">
        <v>883</v>
      </c>
      <c r="Q148" s="949"/>
      <c r="R148" s="950"/>
      <c r="S148" s="949"/>
      <c r="T148" s="950"/>
      <c r="U148" s="955">
        <f>$AA$9-S148+Q148</f>
        <v>1911.5098789999997</v>
      </c>
      <c r="V148" s="956">
        <f>$AB$9-T148+R148</f>
        <v>1946.47764478</v>
      </c>
      <c r="W148" s="955">
        <f t="shared" si="50"/>
        <v>-34.967765780000263</v>
      </c>
      <c r="X148" s="1396">
        <f t="shared" si="51"/>
        <v>-1.8293269715296232</v>
      </c>
    </row>
    <row r="149" spans="1:24">
      <c r="A149" s="941" t="s">
        <v>884</v>
      </c>
      <c r="B149" s="949"/>
      <c r="C149" s="950"/>
      <c r="D149" s="949"/>
      <c r="E149" s="950"/>
      <c r="F149" s="955">
        <f>$L$10-D149+B149</f>
        <v>2102.2111479999999</v>
      </c>
      <c r="G149" s="956">
        <f>$M$10-E149+C149</f>
        <v>1900.39871973</v>
      </c>
      <c r="H149" s="955">
        <f t="shared" si="48"/>
        <v>201.81242826999983</v>
      </c>
      <c r="I149" s="1396">
        <f t="shared" si="49"/>
        <v>9.6000075188450982</v>
      </c>
      <c r="P149" s="941" t="s">
        <v>884</v>
      </c>
      <c r="Q149" s="949"/>
      <c r="R149" s="950"/>
      <c r="S149" s="949"/>
      <c r="T149" s="950"/>
      <c r="U149" s="955">
        <f>$AA$10-S149+Q149</f>
        <v>1983.3501999999999</v>
      </c>
      <c r="V149" s="956">
        <f>$AB$10-T149+R149</f>
        <v>2060.6519396399999</v>
      </c>
      <c r="W149" s="955">
        <f t="shared" si="50"/>
        <v>-77.301739640000051</v>
      </c>
      <c r="X149" s="1396">
        <f t="shared" si="51"/>
        <v>-3.8975335591263738</v>
      </c>
    </row>
    <row r="150" spans="1:24" ht="14.4" thickBot="1">
      <c r="A150" s="941" t="s">
        <v>885</v>
      </c>
      <c r="B150" s="949"/>
      <c r="C150" s="950"/>
      <c r="D150" s="949"/>
      <c r="E150" s="950"/>
      <c r="F150" s="955">
        <f>$L$11-D150+B150</f>
        <v>1335.2583690000001</v>
      </c>
      <c r="G150" s="956">
        <f>$M$11-E150+C150</f>
        <v>1187.3271510479999</v>
      </c>
      <c r="H150" s="955">
        <f t="shared" si="48"/>
        <v>147.93121795200022</v>
      </c>
      <c r="I150" s="1396">
        <f t="shared" si="49"/>
        <v>11.078845966177218</v>
      </c>
      <c r="P150" s="941" t="s">
        <v>885</v>
      </c>
      <c r="Q150" s="949"/>
      <c r="R150" s="950"/>
      <c r="S150" s="949"/>
      <c r="T150" s="950"/>
      <c r="U150" s="955">
        <f>$AA$11-S150+Q150</f>
        <v>1326.8774069999999</v>
      </c>
      <c r="V150" s="956">
        <f>$AB$11-T150+R150</f>
        <v>1302.3806176500002</v>
      </c>
      <c r="W150" s="955">
        <f t="shared" si="50"/>
        <v>24.496789349999744</v>
      </c>
      <c r="X150" s="1396">
        <f t="shared" si="51"/>
        <v>1.8461983918609104</v>
      </c>
    </row>
    <row r="151" spans="1:24" ht="14.4" thickBot="1">
      <c r="A151" s="941" t="s">
        <v>16</v>
      </c>
      <c r="B151" s="945">
        <f t="shared" ref="B151:H151" si="52">SUM(B141:B150)</f>
        <v>0</v>
      </c>
      <c r="C151" s="945">
        <f t="shared" si="52"/>
        <v>0</v>
      </c>
      <c r="D151" s="945">
        <f t="shared" si="52"/>
        <v>0</v>
      </c>
      <c r="E151" s="945">
        <f t="shared" si="52"/>
        <v>0</v>
      </c>
      <c r="F151" s="945">
        <f t="shared" si="52"/>
        <v>31069.929829890003</v>
      </c>
      <c r="G151" s="946">
        <f t="shared" si="52"/>
        <v>28987.723889818</v>
      </c>
      <c r="H151" s="946">
        <f t="shared" si="52"/>
        <v>2082.2059400720004</v>
      </c>
      <c r="I151" s="1361">
        <f>(H151/F151)*100</f>
        <v>6.7016757085459178</v>
      </c>
      <c r="P151" s="941" t="s">
        <v>16</v>
      </c>
      <c r="Q151" s="945">
        <f t="shared" ref="Q151:W151" si="53">SUM(Q141:Q150)</f>
        <v>0</v>
      </c>
      <c r="R151" s="945">
        <f t="shared" si="53"/>
        <v>0</v>
      </c>
      <c r="S151" s="945">
        <f t="shared" si="53"/>
        <v>0</v>
      </c>
      <c r="T151" s="945">
        <f t="shared" si="53"/>
        <v>0</v>
      </c>
      <c r="U151" s="945">
        <f t="shared" si="53"/>
        <v>30055.70097545</v>
      </c>
      <c r="V151" s="946">
        <f t="shared" si="53"/>
        <v>30805.504014800001</v>
      </c>
      <c r="W151" s="946">
        <f t="shared" si="53"/>
        <v>-749.80303935000165</v>
      </c>
      <c r="X151" s="1361">
        <f>(W151/U151)*100</f>
        <v>-2.4947115356333005</v>
      </c>
    </row>
    <row r="152" spans="1:24">
      <c r="P152" s="117"/>
      <c r="Q152" s="117"/>
      <c r="R152" s="117"/>
      <c r="S152" s="117"/>
      <c r="T152" s="117"/>
      <c r="U152" s="117"/>
      <c r="V152" s="117"/>
      <c r="W152" s="117"/>
      <c r="X152" s="117"/>
    </row>
    <row r="153" spans="1:24">
      <c r="P153" s="117"/>
      <c r="Q153" s="117"/>
      <c r="R153" s="117"/>
      <c r="S153" s="117"/>
      <c r="T153" s="117"/>
      <c r="U153" s="117"/>
      <c r="V153" s="117"/>
      <c r="W153" s="117"/>
      <c r="X153" s="117"/>
    </row>
    <row r="154" spans="1:24">
      <c r="B154" s="943" t="s">
        <v>532</v>
      </c>
      <c r="P154" s="117"/>
      <c r="Q154" s="943" t="s">
        <v>532</v>
      </c>
      <c r="R154" s="117"/>
      <c r="S154" s="117"/>
      <c r="T154" s="117"/>
      <c r="U154" s="117"/>
      <c r="V154" s="117"/>
      <c r="W154" s="117"/>
      <c r="X154" s="117"/>
    </row>
    <row r="155" spans="1:24">
      <c r="H155" s="430"/>
      <c r="I155" s="430"/>
      <c r="P155" s="117"/>
      <c r="Q155" s="117"/>
      <c r="R155" s="117"/>
      <c r="S155" s="117"/>
      <c r="T155" s="117"/>
      <c r="U155" s="117"/>
      <c r="V155" s="117"/>
      <c r="W155" s="430"/>
      <c r="X155" s="430"/>
    </row>
    <row r="156" spans="1:24">
      <c r="B156" s="3411" t="str">
        <f>B139</f>
        <v>année (n) au mois</v>
      </c>
      <c r="C156" s="3411"/>
      <c r="D156" s="3411" t="str">
        <f>D139</f>
        <v>année (n-1) au mois</v>
      </c>
      <c r="E156" s="3411"/>
      <c r="F156" s="3412" t="s">
        <v>521</v>
      </c>
      <c r="G156" s="3412"/>
      <c r="H156" s="3412"/>
      <c r="I156" s="3412"/>
      <c r="P156" s="117"/>
      <c r="Q156" s="3411" t="str">
        <f>Q139</f>
        <v>année (n) au mois</v>
      </c>
      <c r="R156" s="3411"/>
      <c r="S156" s="3411" t="str">
        <f>S139</f>
        <v>année (n-1) au mois</v>
      </c>
      <c r="T156" s="3411"/>
      <c r="U156" s="3412" t="s">
        <v>521</v>
      </c>
      <c r="V156" s="3412"/>
      <c r="W156" s="3412"/>
      <c r="X156" s="3412"/>
    </row>
    <row r="157" spans="1:24">
      <c r="A157" s="430"/>
      <c r="B157" s="951" t="s">
        <v>522</v>
      </c>
      <c r="C157" s="951" t="s">
        <v>466</v>
      </c>
      <c r="D157" s="951" t="s">
        <v>522</v>
      </c>
      <c r="E157" s="951" t="s">
        <v>466</v>
      </c>
      <c r="F157" s="952" t="s">
        <v>522</v>
      </c>
      <c r="G157" s="952" t="s">
        <v>466</v>
      </c>
      <c r="H157" s="952" t="s">
        <v>523</v>
      </c>
      <c r="I157" s="952" t="s">
        <v>524</v>
      </c>
      <c r="P157" s="430"/>
      <c r="Q157" s="951" t="s">
        <v>522</v>
      </c>
      <c r="R157" s="951" t="s">
        <v>466</v>
      </c>
      <c r="S157" s="951" t="s">
        <v>522</v>
      </c>
      <c r="T157" s="951" t="s">
        <v>466</v>
      </c>
      <c r="U157" s="952" t="s">
        <v>522</v>
      </c>
      <c r="V157" s="952" t="s">
        <v>466</v>
      </c>
      <c r="W157" s="952" t="s">
        <v>523</v>
      </c>
      <c r="X157" s="952" t="s">
        <v>524</v>
      </c>
    </row>
    <row r="158" spans="1:24">
      <c r="A158" s="941" t="s">
        <v>68</v>
      </c>
      <c r="B158" s="947"/>
      <c r="C158" s="948"/>
      <c r="D158" s="947"/>
      <c r="E158" s="948"/>
      <c r="F158" s="953">
        <f>$L$2-D158+B158</f>
        <v>4124.2363185199993</v>
      </c>
      <c r="G158" s="954">
        <f>$M$2-E158+C158</f>
        <v>3728.1309215500005</v>
      </c>
      <c r="H158" s="953">
        <f>F158-G158</f>
        <v>396.10539696999876</v>
      </c>
      <c r="I158" s="954">
        <f>(H158/F158)*100</f>
        <v>9.6043331753633119</v>
      </c>
      <c r="P158" s="941" t="s">
        <v>68</v>
      </c>
      <c r="Q158" s="947"/>
      <c r="R158" s="948"/>
      <c r="S158" s="947"/>
      <c r="T158" s="948"/>
      <c r="U158" s="953">
        <f>$AA$2-S158+Q158</f>
        <v>3985.3009843499995</v>
      </c>
      <c r="V158" s="954">
        <f>$AB$2-T158+R158</f>
        <v>4075.9374462600008</v>
      </c>
      <c r="W158" s="953">
        <f>U158-V158</f>
        <v>-90.636461910001344</v>
      </c>
      <c r="X158" s="954">
        <f>(W158/U158)*100</f>
        <v>-2.2742689263853455</v>
      </c>
    </row>
    <row r="159" spans="1:24">
      <c r="A159" s="941" t="s">
        <v>7</v>
      </c>
      <c r="B159" s="949"/>
      <c r="C159" s="950"/>
      <c r="D159" s="949"/>
      <c r="E159" s="950"/>
      <c r="F159" s="955">
        <f>$L$3-D159+B159</f>
        <v>3275.2338950000003</v>
      </c>
      <c r="G159" s="956">
        <f>$M$3-E159+C159</f>
        <v>3134.1293854599994</v>
      </c>
      <c r="H159" s="955">
        <f t="shared" ref="H159:H167" si="54">F159-G159</f>
        <v>141.10450954000089</v>
      </c>
      <c r="I159" s="956">
        <f t="shared" ref="I159:I167" si="55">(H159/F159)*100</f>
        <v>4.3082269561087596</v>
      </c>
      <c r="P159" s="941" t="s">
        <v>7</v>
      </c>
      <c r="Q159" s="949"/>
      <c r="R159" s="950"/>
      <c r="S159" s="949"/>
      <c r="T159" s="950"/>
      <c r="U159" s="955">
        <f>$AA$3-S159+Q159</f>
        <v>3111.5160040000001</v>
      </c>
      <c r="V159" s="956">
        <f>$AB$3-T159+R159</f>
        <v>3333.8697204300001</v>
      </c>
      <c r="W159" s="955">
        <f t="shared" ref="W159:W167" si="56">U159-V159</f>
        <v>-222.35371643000008</v>
      </c>
      <c r="X159" s="956">
        <f t="shared" ref="X159:X167" si="57">(W159/U159)*100</f>
        <v>-7.1461537123432413</v>
      </c>
    </row>
    <row r="160" spans="1:24">
      <c r="A160" s="941" t="s">
        <v>8</v>
      </c>
      <c r="B160" s="949"/>
      <c r="C160" s="950"/>
      <c r="D160" s="949"/>
      <c r="E160" s="950"/>
      <c r="F160" s="955">
        <f>$L$4-D160+B160</f>
        <v>3131.6329650000002</v>
      </c>
      <c r="G160" s="956">
        <f>$M$4-E160+C160</f>
        <v>2984.8316109799998</v>
      </c>
      <c r="H160" s="955">
        <f t="shared" si="54"/>
        <v>146.80135402000042</v>
      </c>
      <c r="I160" s="956">
        <f t="shared" si="55"/>
        <v>4.6876934704894575</v>
      </c>
      <c r="P160" s="941" t="s">
        <v>8</v>
      </c>
      <c r="Q160" s="949"/>
      <c r="R160" s="950"/>
      <c r="S160" s="949"/>
      <c r="T160" s="950"/>
      <c r="U160" s="955">
        <f>$AA$4-S160+Q160</f>
        <v>3036.1096109999994</v>
      </c>
      <c r="V160" s="956">
        <f>$AB$4-T160+R160</f>
        <v>3109.1492814699996</v>
      </c>
      <c r="W160" s="955">
        <f t="shared" si="56"/>
        <v>-73.039670470000146</v>
      </c>
      <c r="X160" s="956">
        <f t="shared" si="57"/>
        <v>-2.4056993925836285</v>
      </c>
    </row>
    <row r="161" spans="1:24">
      <c r="A161" s="941" t="s">
        <v>4</v>
      </c>
      <c r="B161" s="949"/>
      <c r="C161" s="950"/>
      <c r="D161" s="949"/>
      <c r="E161" s="950"/>
      <c r="F161" s="955">
        <f>$L$5-D161+B161</f>
        <v>4891.117295</v>
      </c>
      <c r="G161" s="956">
        <f>$M$5-E161+C161</f>
        <v>4946.4932728200001</v>
      </c>
      <c r="H161" s="955">
        <f t="shared" si="54"/>
        <v>-55.375977820000116</v>
      </c>
      <c r="I161" s="956">
        <f t="shared" si="55"/>
        <v>-1.1321743986104942</v>
      </c>
      <c r="P161" s="941" t="s">
        <v>4</v>
      </c>
      <c r="Q161" s="949"/>
      <c r="R161" s="950"/>
      <c r="S161" s="949"/>
      <c r="T161" s="950"/>
      <c r="U161" s="955">
        <f>$AA$5-S161+Q161</f>
        <v>4659.1682739999997</v>
      </c>
      <c r="V161" s="956">
        <f>$AB$5-T161+R161</f>
        <v>5196.0141774199992</v>
      </c>
      <c r="W161" s="955">
        <f t="shared" si="56"/>
        <v>-536.84590341999956</v>
      </c>
      <c r="X161" s="956">
        <f t="shared" si="57"/>
        <v>-11.522354889300992</v>
      </c>
    </row>
    <row r="162" spans="1:24">
      <c r="A162" s="941" t="s">
        <v>3</v>
      </c>
      <c r="B162" s="949"/>
      <c r="C162" s="950"/>
      <c r="D162" s="949"/>
      <c r="E162" s="950"/>
      <c r="F162" s="955">
        <f>$L$6-D162+B162</f>
        <v>5554.3826170000011</v>
      </c>
      <c r="G162" s="956">
        <f>$M$6-E162+C162</f>
        <v>5121.3940476599992</v>
      </c>
      <c r="H162" s="955">
        <f t="shared" si="54"/>
        <v>432.98856934000196</v>
      </c>
      <c r="I162" s="956">
        <f t="shared" si="55"/>
        <v>7.7954400911233055</v>
      </c>
      <c r="P162" s="941" t="s">
        <v>3</v>
      </c>
      <c r="Q162" s="949"/>
      <c r="R162" s="950"/>
      <c r="S162" s="949"/>
      <c r="T162" s="950"/>
      <c r="U162" s="955">
        <f>$AA$6-S162+Q162</f>
        <v>5655.8158780000003</v>
      </c>
      <c r="V162" s="956">
        <f>$AB$6-T162+R162</f>
        <v>5469.2741296499989</v>
      </c>
      <c r="W162" s="955">
        <f t="shared" si="56"/>
        <v>186.5417483500014</v>
      </c>
      <c r="X162" s="956">
        <f t="shared" si="57"/>
        <v>3.29822880330337</v>
      </c>
    </row>
    <row r="163" spans="1:24">
      <c r="A163" s="941" t="s">
        <v>397</v>
      </c>
      <c r="B163" s="949"/>
      <c r="C163" s="950"/>
      <c r="D163" s="949"/>
      <c r="E163" s="950"/>
      <c r="F163" s="955">
        <f>$L$7-D163+B163</f>
        <v>1674.3147552500002</v>
      </c>
      <c r="G163" s="956">
        <f>$M$7-E163+C163</f>
        <v>1464.4653884400013</v>
      </c>
      <c r="H163" s="955">
        <f t="shared" si="54"/>
        <v>209.84936680999886</v>
      </c>
      <c r="I163" s="956">
        <f t="shared" si="55"/>
        <v>12.533447856921336</v>
      </c>
      <c r="P163" s="941" t="s">
        <v>397</v>
      </c>
      <c r="Q163" s="949"/>
      <c r="R163" s="950"/>
      <c r="S163" s="949"/>
      <c r="T163" s="950"/>
      <c r="U163" s="955">
        <f>$AA$7-S163+Q163</f>
        <v>1576.4305022799999</v>
      </c>
      <c r="V163" s="956">
        <f>$AB$7-T163+R163</f>
        <v>1521.915172420001</v>
      </c>
      <c r="W163" s="955">
        <f t="shared" si="56"/>
        <v>54.515329859998928</v>
      </c>
      <c r="X163" s="956">
        <f t="shared" si="57"/>
        <v>3.4581499013850032</v>
      </c>
    </row>
    <row r="164" spans="1:24">
      <c r="A164" s="941" t="s">
        <v>399</v>
      </c>
      <c r="B164" s="949"/>
      <c r="C164" s="950"/>
      <c r="D164" s="949"/>
      <c r="E164" s="950"/>
      <c r="F164" s="955">
        <f>$L$8-D164+B164</f>
        <v>3022.1810381200003</v>
      </c>
      <c r="G164" s="956">
        <f>$M$8-E164+C164</f>
        <v>2728.9321647699999</v>
      </c>
      <c r="H164" s="955">
        <f t="shared" si="54"/>
        <v>293.24887335000039</v>
      </c>
      <c r="I164" s="956">
        <f t="shared" si="55"/>
        <v>9.7032199478169208</v>
      </c>
      <c r="P164" s="941" t="s">
        <v>399</v>
      </c>
      <c r="Q164" s="949"/>
      <c r="R164" s="950"/>
      <c r="S164" s="949"/>
      <c r="T164" s="950"/>
      <c r="U164" s="955">
        <f>$AA$8-S164+Q164</f>
        <v>2809.6222358199998</v>
      </c>
      <c r="V164" s="956">
        <f>$AB$8-T164+R164</f>
        <v>2789.8338850800001</v>
      </c>
      <c r="W164" s="955">
        <f t="shared" si="56"/>
        <v>19.788350739999714</v>
      </c>
      <c r="X164" s="956">
        <f t="shared" si="57"/>
        <v>0.70430645400357184</v>
      </c>
    </row>
    <row r="165" spans="1:24">
      <c r="A165" s="941" t="s">
        <v>883</v>
      </c>
      <c r="B165" s="949"/>
      <c r="C165" s="950"/>
      <c r="D165" s="949"/>
      <c r="E165" s="950"/>
      <c r="F165" s="955">
        <f>$L$9-D165+B165</f>
        <v>1959.3614289999998</v>
      </c>
      <c r="G165" s="956">
        <f>$M$9-E165+C165</f>
        <v>1791.6212273600006</v>
      </c>
      <c r="H165" s="955">
        <f t="shared" si="54"/>
        <v>167.74020163999921</v>
      </c>
      <c r="I165" s="956">
        <f t="shared" si="55"/>
        <v>8.5609627278214244</v>
      </c>
      <c r="P165" s="941" t="s">
        <v>883</v>
      </c>
      <c r="Q165" s="949"/>
      <c r="R165" s="950"/>
      <c r="S165" s="949"/>
      <c r="T165" s="950"/>
      <c r="U165" s="955">
        <f>$AA$9-S165+Q165</f>
        <v>1911.5098789999997</v>
      </c>
      <c r="V165" s="956">
        <f>$AB$9-T165+R165</f>
        <v>1946.47764478</v>
      </c>
      <c r="W165" s="955">
        <f t="shared" si="56"/>
        <v>-34.967765780000263</v>
      </c>
      <c r="X165" s="956">
        <f t="shared" si="57"/>
        <v>-1.8293269715296232</v>
      </c>
    </row>
    <row r="166" spans="1:24">
      <c r="A166" s="941" t="s">
        <v>884</v>
      </c>
      <c r="B166" s="949"/>
      <c r="C166" s="950"/>
      <c r="D166" s="949"/>
      <c r="E166" s="950"/>
      <c r="F166" s="955">
        <f>$L$10-D166+B166</f>
        <v>2102.2111479999999</v>
      </c>
      <c r="G166" s="956">
        <f>$M$10-E166+C166</f>
        <v>1900.39871973</v>
      </c>
      <c r="H166" s="955">
        <f t="shared" si="54"/>
        <v>201.81242826999983</v>
      </c>
      <c r="I166" s="956">
        <f t="shared" si="55"/>
        <v>9.6000075188450982</v>
      </c>
      <c r="P166" s="941" t="s">
        <v>884</v>
      </c>
      <c r="Q166" s="949"/>
      <c r="R166" s="950"/>
      <c r="S166" s="949"/>
      <c r="T166" s="950"/>
      <c r="U166" s="955">
        <f>$AA$10-S166+Q166</f>
        <v>1983.3501999999999</v>
      </c>
      <c r="V166" s="956">
        <f>$AB$10-T166+R166</f>
        <v>2060.6519396399999</v>
      </c>
      <c r="W166" s="955">
        <f t="shared" si="56"/>
        <v>-77.301739640000051</v>
      </c>
      <c r="X166" s="956">
        <f t="shared" si="57"/>
        <v>-3.8975335591263738</v>
      </c>
    </row>
    <row r="167" spans="1:24" ht="14.4" thickBot="1">
      <c r="A167" s="941" t="s">
        <v>885</v>
      </c>
      <c r="B167" s="949"/>
      <c r="C167" s="950"/>
      <c r="D167" s="949"/>
      <c r="E167" s="950"/>
      <c r="F167" s="955">
        <f>$L$11-D167+B167</f>
        <v>1335.2583690000001</v>
      </c>
      <c r="G167" s="956">
        <f>$M$11-E167+C167</f>
        <v>1187.3271510479999</v>
      </c>
      <c r="H167" s="955">
        <f t="shared" si="54"/>
        <v>147.93121795200022</v>
      </c>
      <c r="I167" s="956">
        <f t="shared" si="55"/>
        <v>11.078845966177218</v>
      </c>
      <c r="P167" s="941" t="s">
        <v>885</v>
      </c>
      <c r="Q167" s="949"/>
      <c r="R167" s="950"/>
      <c r="S167" s="949"/>
      <c r="T167" s="950"/>
      <c r="U167" s="955">
        <f>$AA$11-S167+Q167</f>
        <v>1326.8774069999999</v>
      </c>
      <c r="V167" s="956">
        <f>$AB$11-T167+R167</f>
        <v>1302.3806176500002</v>
      </c>
      <c r="W167" s="955">
        <f t="shared" si="56"/>
        <v>24.496789349999744</v>
      </c>
      <c r="X167" s="956">
        <f t="shared" si="57"/>
        <v>1.8461983918609104</v>
      </c>
    </row>
    <row r="168" spans="1:24" ht="14.4" thickBot="1">
      <c r="A168" s="941" t="s">
        <v>16</v>
      </c>
      <c r="B168" s="945">
        <f t="shared" ref="B168:H168" si="58">SUM(B158:B167)</f>
        <v>0</v>
      </c>
      <c r="C168" s="945">
        <f t="shared" si="58"/>
        <v>0</v>
      </c>
      <c r="D168" s="945">
        <f t="shared" si="58"/>
        <v>0</v>
      </c>
      <c r="E168" s="945">
        <f t="shared" si="58"/>
        <v>0</v>
      </c>
      <c r="F168" s="945">
        <f t="shared" si="58"/>
        <v>31069.929829890003</v>
      </c>
      <c r="G168" s="946">
        <f t="shared" si="58"/>
        <v>28987.723889818</v>
      </c>
      <c r="H168" s="946">
        <f t="shared" si="58"/>
        <v>2082.2059400720004</v>
      </c>
      <c r="I168" s="946">
        <f>(H168/F168)*100</f>
        <v>6.7016757085459178</v>
      </c>
      <c r="P168" s="941" t="s">
        <v>16</v>
      </c>
      <c r="Q168" s="945">
        <f t="shared" ref="Q168:W168" si="59">SUM(Q158:Q167)</f>
        <v>0</v>
      </c>
      <c r="R168" s="945">
        <f t="shared" si="59"/>
        <v>0</v>
      </c>
      <c r="S168" s="945">
        <f t="shared" si="59"/>
        <v>0</v>
      </c>
      <c r="T168" s="945">
        <f t="shared" si="59"/>
        <v>0</v>
      </c>
      <c r="U168" s="945">
        <f t="shared" si="59"/>
        <v>30055.70097545</v>
      </c>
      <c r="V168" s="946">
        <f t="shared" si="59"/>
        <v>30805.504014800001</v>
      </c>
      <c r="W168" s="946">
        <f t="shared" si="59"/>
        <v>-749.80303935000165</v>
      </c>
      <c r="X168" s="946">
        <f>(W168/U168)*100</f>
        <v>-2.4947115356333005</v>
      </c>
    </row>
    <row r="169" spans="1:24">
      <c r="P169" s="117"/>
      <c r="Q169" s="117"/>
      <c r="R169" s="117"/>
      <c r="S169" s="117"/>
      <c r="T169" s="117"/>
      <c r="U169" s="117"/>
      <c r="V169" s="117"/>
      <c r="W169" s="117"/>
      <c r="X169" s="117"/>
    </row>
    <row r="170" spans="1:24">
      <c r="P170" s="117"/>
      <c r="Q170" s="117"/>
      <c r="R170" s="117"/>
      <c r="S170" s="117"/>
      <c r="T170" s="117"/>
      <c r="U170" s="117"/>
      <c r="V170" s="117"/>
      <c r="W170" s="117"/>
      <c r="X170" s="117"/>
    </row>
    <row r="171" spans="1:24">
      <c r="B171" s="943" t="s">
        <v>533</v>
      </c>
      <c r="P171" s="117"/>
      <c r="Q171" s="943" t="s">
        <v>533</v>
      </c>
      <c r="R171" s="117"/>
      <c r="S171" s="117"/>
      <c r="T171" s="117"/>
      <c r="U171" s="117"/>
      <c r="V171" s="117"/>
      <c r="W171" s="117"/>
      <c r="X171" s="117"/>
    </row>
    <row r="172" spans="1:24">
      <c r="H172" s="430"/>
      <c r="I172" s="430"/>
      <c r="P172" s="117"/>
      <c r="Q172" s="117"/>
      <c r="R172" s="117"/>
      <c r="S172" s="117"/>
      <c r="T172" s="117"/>
      <c r="U172" s="117"/>
      <c r="V172" s="117"/>
      <c r="W172" s="430"/>
      <c r="X172" s="430"/>
    </row>
    <row r="173" spans="1:24">
      <c r="B173" s="3411" t="str">
        <f>B156</f>
        <v>année (n) au mois</v>
      </c>
      <c r="C173" s="3411"/>
      <c r="D173" s="3411" t="str">
        <f>D156</f>
        <v>année (n-1) au mois</v>
      </c>
      <c r="E173" s="3411"/>
      <c r="F173" s="3412" t="s">
        <v>521</v>
      </c>
      <c r="G173" s="3412"/>
      <c r="H173" s="3412"/>
      <c r="I173" s="3412"/>
      <c r="P173" s="117"/>
      <c r="Q173" s="3411" t="str">
        <f>Q156</f>
        <v>année (n) au mois</v>
      </c>
      <c r="R173" s="3411"/>
      <c r="S173" s="3411" t="str">
        <f>S156</f>
        <v>année (n-1) au mois</v>
      </c>
      <c r="T173" s="3411"/>
      <c r="U173" s="3412" t="s">
        <v>521</v>
      </c>
      <c r="V173" s="3412"/>
      <c r="W173" s="3412"/>
      <c r="X173" s="3412"/>
    </row>
    <row r="174" spans="1:24">
      <c r="A174" s="430"/>
      <c r="B174" s="951" t="s">
        <v>522</v>
      </c>
      <c r="C174" s="951" t="s">
        <v>466</v>
      </c>
      <c r="D174" s="951" t="s">
        <v>522</v>
      </c>
      <c r="E174" s="951" t="s">
        <v>466</v>
      </c>
      <c r="F174" s="952" t="s">
        <v>522</v>
      </c>
      <c r="G174" s="952" t="s">
        <v>466</v>
      </c>
      <c r="H174" s="952" t="s">
        <v>523</v>
      </c>
      <c r="I174" s="952" t="s">
        <v>524</v>
      </c>
      <c r="P174" s="430"/>
      <c r="Q174" s="951" t="s">
        <v>522</v>
      </c>
      <c r="R174" s="951" t="s">
        <v>466</v>
      </c>
      <c r="S174" s="951" t="s">
        <v>522</v>
      </c>
      <c r="T174" s="951" t="s">
        <v>466</v>
      </c>
      <c r="U174" s="952" t="s">
        <v>522</v>
      </c>
      <c r="V174" s="952" t="s">
        <v>466</v>
      </c>
      <c r="W174" s="952" t="s">
        <v>523</v>
      </c>
      <c r="X174" s="952" t="s">
        <v>524</v>
      </c>
    </row>
    <row r="175" spans="1:24">
      <c r="A175" s="941" t="s">
        <v>68</v>
      </c>
      <c r="B175" s="947"/>
      <c r="C175" s="948"/>
      <c r="D175" s="947"/>
      <c r="E175" s="948"/>
      <c r="F175" s="953">
        <f>$L$2-D175+B175</f>
        <v>4124.2363185199993</v>
      </c>
      <c r="G175" s="954">
        <f>$M$2-E175+C175</f>
        <v>3728.1309215500005</v>
      </c>
      <c r="H175" s="953">
        <f>F175-G175</f>
        <v>396.10539696999876</v>
      </c>
      <c r="I175" s="954">
        <f>(H175/F175)*100</f>
        <v>9.6043331753633119</v>
      </c>
      <c r="N175" s="84"/>
      <c r="O175" s="84"/>
      <c r="P175" s="941" t="s">
        <v>68</v>
      </c>
      <c r="Q175" s="947"/>
      <c r="R175" s="948"/>
      <c r="S175" s="947"/>
      <c r="T175" s="948"/>
      <c r="U175" s="953">
        <f>$AA$2-S175+Q175</f>
        <v>3985.3009843499995</v>
      </c>
      <c r="V175" s="954">
        <f>$AB$2-T175+R175</f>
        <v>4075.9374462600008</v>
      </c>
      <c r="W175" s="953">
        <f>U175-V175</f>
        <v>-90.636461910001344</v>
      </c>
      <c r="X175" s="1395">
        <f>(W175/U175)*100</f>
        <v>-2.2742689263853455</v>
      </c>
    </row>
    <row r="176" spans="1:24">
      <c r="A176" s="941" t="s">
        <v>7</v>
      </c>
      <c r="B176" s="949"/>
      <c r="C176" s="950"/>
      <c r="D176" s="949"/>
      <c r="E176" s="950"/>
      <c r="F176" s="955">
        <f>$L$3-D176+B176</f>
        <v>3275.2338950000003</v>
      </c>
      <c r="G176" s="956">
        <f>$M$3-E176+C176</f>
        <v>3134.1293854599994</v>
      </c>
      <c r="H176" s="955">
        <f t="shared" ref="H176:H184" si="60">F176-G176</f>
        <v>141.10450954000089</v>
      </c>
      <c r="I176" s="956">
        <f t="shared" ref="I176:I184" si="61">(H176/F176)*100</f>
        <v>4.3082269561087596</v>
      </c>
      <c r="N176" s="84"/>
      <c r="O176" s="84"/>
      <c r="P176" s="941" t="s">
        <v>7</v>
      </c>
      <c r="Q176" s="949"/>
      <c r="R176" s="950"/>
      <c r="S176" s="949"/>
      <c r="T176" s="950"/>
      <c r="U176" s="955">
        <f>$AA$3-S176+Q176</f>
        <v>3111.5160040000001</v>
      </c>
      <c r="V176" s="956">
        <f>$AB$3-T176+R176</f>
        <v>3333.8697204300001</v>
      </c>
      <c r="W176" s="955">
        <f t="shared" ref="W176:W184" si="62">U176-V176</f>
        <v>-222.35371643000008</v>
      </c>
      <c r="X176" s="1396">
        <f t="shared" ref="X176:X184" si="63">(W176/U176)*100</f>
        <v>-7.1461537123432413</v>
      </c>
    </row>
    <row r="177" spans="1:24">
      <c r="A177" s="941" t="s">
        <v>8</v>
      </c>
      <c r="B177" s="949"/>
      <c r="C177" s="950"/>
      <c r="D177" s="949"/>
      <c r="E177" s="950"/>
      <c r="F177" s="955">
        <f>$L$4-D177+B177</f>
        <v>3131.6329650000002</v>
      </c>
      <c r="G177" s="956">
        <f>$M$4-E177+C177</f>
        <v>2984.8316109799998</v>
      </c>
      <c r="H177" s="955">
        <f t="shared" si="60"/>
        <v>146.80135402000042</v>
      </c>
      <c r="I177" s="956">
        <f t="shared" si="61"/>
        <v>4.6876934704894575</v>
      </c>
      <c r="N177" s="84"/>
      <c r="O177" s="84"/>
      <c r="P177" s="941" t="s">
        <v>8</v>
      </c>
      <c r="Q177" s="949"/>
      <c r="R177" s="950"/>
      <c r="S177" s="949"/>
      <c r="T177" s="950"/>
      <c r="U177" s="955">
        <f>$AA$4-S177+Q177</f>
        <v>3036.1096109999994</v>
      </c>
      <c r="V177" s="956">
        <f>$AB$4-T177+R177</f>
        <v>3109.1492814699996</v>
      </c>
      <c r="W177" s="955">
        <f t="shared" si="62"/>
        <v>-73.039670470000146</v>
      </c>
      <c r="X177" s="1396">
        <f t="shared" si="63"/>
        <v>-2.4056993925836285</v>
      </c>
    </row>
    <row r="178" spans="1:24">
      <c r="A178" s="941" t="s">
        <v>4</v>
      </c>
      <c r="B178" s="949"/>
      <c r="C178" s="950"/>
      <c r="D178" s="949"/>
      <c r="E178" s="950"/>
      <c r="F178" s="955">
        <f>$L$5-D178+B178</f>
        <v>4891.117295</v>
      </c>
      <c r="G178" s="956">
        <f>$M$5-E178+C178</f>
        <v>4946.4932728200001</v>
      </c>
      <c r="H178" s="955">
        <f t="shared" si="60"/>
        <v>-55.375977820000116</v>
      </c>
      <c r="I178" s="956">
        <f t="shared" si="61"/>
        <v>-1.1321743986104942</v>
      </c>
      <c r="N178" s="84"/>
      <c r="O178" s="84"/>
      <c r="P178" s="941" t="s">
        <v>4</v>
      </c>
      <c r="Q178" s="949"/>
      <c r="R178" s="950"/>
      <c r="S178" s="949"/>
      <c r="T178" s="950"/>
      <c r="U178" s="955">
        <f>$AA$5-S178+Q178</f>
        <v>4659.1682739999997</v>
      </c>
      <c r="V178" s="956">
        <f>$AB$5-T178+R178</f>
        <v>5196.0141774199992</v>
      </c>
      <c r="W178" s="955">
        <f t="shared" si="62"/>
        <v>-536.84590341999956</v>
      </c>
      <c r="X178" s="1396">
        <f t="shared" si="63"/>
        <v>-11.522354889300992</v>
      </c>
    </row>
    <row r="179" spans="1:24">
      <c r="A179" s="941" t="s">
        <v>3</v>
      </c>
      <c r="B179" s="949"/>
      <c r="C179" s="950"/>
      <c r="D179" s="949"/>
      <c r="E179" s="950"/>
      <c r="F179" s="955">
        <f>$L$6-D179+B179</f>
        <v>5554.3826170000011</v>
      </c>
      <c r="G179" s="956">
        <f>$M$6-E179+C179</f>
        <v>5121.3940476599992</v>
      </c>
      <c r="H179" s="955">
        <f t="shared" si="60"/>
        <v>432.98856934000196</v>
      </c>
      <c r="I179" s="956">
        <f t="shared" si="61"/>
        <v>7.7954400911233055</v>
      </c>
      <c r="N179" s="84"/>
      <c r="O179" s="84"/>
      <c r="P179" s="941" t="s">
        <v>3</v>
      </c>
      <c r="Q179" s="949"/>
      <c r="R179" s="950"/>
      <c r="S179" s="949"/>
      <c r="T179" s="950"/>
      <c r="U179" s="955">
        <f>$AA$6-S179+Q179</f>
        <v>5655.8158780000003</v>
      </c>
      <c r="V179" s="956">
        <f>$AB$6-T179+R179</f>
        <v>5469.2741296499989</v>
      </c>
      <c r="W179" s="955">
        <f t="shared" si="62"/>
        <v>186.5417483500014</v>
      </c>
      <c r="X179" s="1396">
        <f t="shared" si="63"/>
        <v>3.29822880330337</v>
      </c>
    </row>
    <row r="180" spans="1:24">
      <c r="A180" s="941" t="s">
        <v>397</v>
      </c>
      <c r="B180" s="949"/>
      <c r="C180" s="950"/>
      <c r="D180" s="949"/>
      <c r="E180" s="950"/>
      <c r="F180" s="955">
        <f>$L$7-D180+B180</f>
        <v>1674.3147552500002</v>
      </c>
      <c r="G180" s="956">
        <f>$M$7-E180+C180</f>
        <v>1464.4653884400013</v>
      </c>
      <c r="H180" s="955">
        <f t="shared" si="60"/>
        <v>209.84936680999886</v>
      </c>
      <c r="I180" s="956">
        <f t="shared" si="61"/>
        <v>12.533447856921336</v>
      </c>
      <c r="N180" s="84"/>
      <c r="O180" s="84"/>
      <c r="P180" s="941" t="s">
        <v>397</v>
      </c>
      <c r="Q180" s="949"/>
      <c r="R180" s="950"/>
      <c r="S180" s="949"/>
      <c r="T180" s="950"/>
      <c r="U180" s="955">
        <f>$AA$7-S180+Q180</f>
        <v>1576.4305022799999</v>
      </c>
      <c r="V180" s="956">
        <f>$AB$7-T180+R180</f>
        <v>1521.915172420001</v>
      </c>
      <c r="W180" s="955">
        <f t="shared" si="62"/>
        <v>54.515329859998928</v>
      </c>
      <c r="X180" s="1396">
        <f t="shared" si="63"/>
        <v>3.4581499013850032</v>
      </c>
    </row>
    <row r="181" spans="1:24">
      <c r="A181" s="941" t="s">
        <v>399</v>
      </c>
      <c r="B181" s="949"/>
      <c r="C181" s="950"/>
      <c r="D181" s="949"/>
      <c r="E181" s="950"/>
      <c r="F181" s="955">
        <f>$L$8-D181+B181</f>
        <v>3022.1810381200003</v>
      </c>
      <c r="G181" s="956">
        <f>$M$8-E181+C181</f>
        <v>2728.9321647699999</v>
      </c>
      <c r="H181" s="955">
        <f t="shared" si="60"/>
        <v>293.24887335000039</v>
      </c>
      <c r="I181" s="956">
        <f t="shared" si="61"/>
        <v>9.7032199478169208</v>
      </c>
      <c r="N181" s="84"/>
      <c r="O181" s="84"/>
      <c r="P181" s="941" t="s">
        <v>399</v>
      </c>
      <c r="Q181" s="949"/>
      <c r="R181" s="950"/>
      <c r="S181" s="949"/>
      <c r="T181" s="950"/>
      <c r="U181" s="955">
        <f>$AA$8-S181+Q181</f>
        <v>2809.6222358199998</v>
      </c>
      <c r="V181" s="956">
        <f>$AB$8-T181+R181</f>
        <v>2789.8338850800001</v>
      </c>
      <c r="W181" s="955">
        <f t="shared" si="62"/>
        <v>19.788350739999714</v>
      </c>
      <c r="X181" s="1396">
        <f t="shared" si="63"/>
        <v>0.70430645400357184</v>
      </c>
    </row>
    <row r="182" spans="1:24">
      <c r="A182" s="941" t="s">
        <v>883</v>
      </c>
      <c r="B182" s="949"/>
      <c r="C182" s="950"/>
      <c r="D182" s="949"/>
      <c r="E182" s="950"/>
      <c r="F182" s="955">
        <f>$L$9-D182+B182</f>
        <v>1959.3614289999998</v>
      </c>
      <c r="G182" s="956">
        <f>$M$9-E182+C182</f>
        <v>1791.6212273600006</v>
      </c>
      <c r="H182" s="955">
        <f t="shared" si="60"/>
        <v>167.74020163999921</v>
      </c>
      <c r="I182" s="956">
        <f t="shared" si="61"/>
        <v>8.5609627278214244</v>
      </c>
      <c r="N182" s="84"/>
      <c r="O182" s="84"/>
      <c r="P182" s="941" t="s">
        <v>883</v>
      </c>
      <c r="Q182" s="949"/>
      <c r="R182" s="950"/>
      <c r="S182" s="949"/>
      <c r="T182" s="950"/>
      <c r="U182" s="955">
        <f>$AA$9-S182+Q182</f>
        <v>1911.5098789999997</v>
      </c>
      <c r="V182" s="956">
        <f>$AB$9-T182+R182</f>
        <v>1946.47764478</v>
      </c>
      <c r="W182" s="955">
        <f t="shared" si="62"/>
        <v>-34.967765780000263</v>
      </c>
      <c r="X182" s="1396">
        <f t="shared" si="63"/>
        <v>-1.8293269715296232</v>
      </c>
    </row>
    <row r="183" spans="1:24">
      <c r="A183" s="941" t="s">
        <v>884</v>
      </c>
      <c r="B183" s="949"/>
      <c r="C183" s="950"/>
      <c r="D183" s="949"/>
      <c r="E183" s="950"/>
      <c r="F183" s="955">
        <f>$L$10-D183+B183</f>
        <v>2102.2111479999999</v>
      </c>
      <c r="G183" s="956">
        <f>$M$10-E183+C183</f>
        <v>1900.39871973</v>
      </c>
      <c r="H183" s="955">
        <f t="shared" si="60"/>
        <v>201.81242826999983</v>
      </c>
      <c r="I183" s="956">
        <f t="shared" si="61"/>
        <v>9.6000075188450982</v>
      </c>
      <c r="N183" s="84"/>
      <c r="O183" s="84"/>
      <c r="P183" s="941" t="s">
        <v>884</v>
      </c>
      <c r="Q183" s="949"/>
      <c r="R183" s="950"/>
      <c r="S183" s="949"/>
      <c r="T183" s="950"/>
      <c r="U183" s="955">
        <f>$AA$10-S183+Q183</f>
        <v>1983.3501999999999</v>
      </c>
      <c r="V183" s="956">
        <f>$AB$10-T183+R183</f>
        <v>2060.6519396399999</v>
      </c>
      <c r="W183" s="955">
        <f t="shared" si="62"/>
        <v>-77.301739640000051</v>
      </c>
      <c r="X183" s="1396">
        <f t="shared" si="63"/>
        <v>-3.8975335591263738</v>
      </c>
    </row>
    <row r="184" spans="1:24" ht="14.4" thickBot="1">
      <c r="A184" s="941" t="s">
        <v>885</v>
      </c>
      <c r="B184" s="949"/>
      <c r="C184" s="950"/>
      <c r="D184" s="949"/>
      <c r="E184" s="950"/>
      <c r="F184" s="955">
        <f>$L$11-D184+B184</f>
        <v>1335.2583690000001</v>
      </c>
      <c r="G184" s="956">
        <f>$M$11-E184+C184</f>
        <v>1187.3271510479999</v>
      </c>
      <c r="H184" s="955">
        <f t="shared" si="60"/>
        <v>147.93121795200022</v>
      </c>
      <c r="I184" s="956">
        <f t="shared" si="61"/>
        <v>11.078845966177218</v>
      </c>
      <c r="N184" s="84"/>
      <c r="O184" s="84"/>
      <c r="P184" s="941" t="s">
        <v>885</v>
      </c>
      <c r="Q184" s="949"/>
      <c r="R184" s="950"/>
      <c r="S184" s="949"/>
      <c r="T184" s="950"/>
      <c r="U184" s="955">
        <f>$AA$11-S184+Q184</f>
        <v>1326.8774069999999</v>
      </c>
      <c r="V184" s="956">
        <f>$AB$11-T184+R184</f>
        <v>1302.3806176500002</v>
      </c>
      <c r="W184" s="955">
        <f t="shared" si="62"/>
        <v>24.496789349999744</v>
      </c>
      <c r="X184" s="1396">
        <f t="shared" si="63"/>
        <v>1.8461983918609104</v>
      </c>
    </row>
    <row r="185" spans="1:24" ht="14.4" thickBot="1">
      <c r="A185" s="941" t="s">
        <v>16</v>
      </c>
      <c r="B185" s="945">
        <f t="shared" ref="B185:H185" si="64">SUM(B175:B184)</f>
        <v>0</v>
      </c>
      <c r="C185" s="945">
        <f t="shared" si="64"/>
        <v>0</v>
      </c>
      <c r="D185" s="945">
        <f t="shared" si="64"/>
        <v>0</v>
      </c>
      <c r="E185" s="945">
        <f t="shared" si="64"/>
        <v>0</v>
      </c>
      <c r="F185" s="945">
        <f t="shared" si="64"/>
        <v>31069.929829890003</v>
      </c>
      <c r="G185" s="946">
        <f t="shared" si="64"/>
        <v>28987.723889818</v>
      </c>
      <c r="H185" s="946">
        <f t="shared" si="64"/>
        <v>2082.2059400720004</v>
      </c>
      <c r="I185" s="1361">
        <f>(H185/F185)*100</f>
        <v>6.7016757085459178</v>
      </c>
      <c r="N185" s="84"/>
      <c r="O185" s="84"/>
      <c r="P185" s="941" t="s">
        <v>16</v>
      </c>
      <c r="Q185" s="945">
        <f t="shared" ref="Q185:W185" si="65">SUM(Q175:Q184)</f>
        <v>0</v>
      </c>
      <c r="R185" s="945">
        <f t="shared" si="65"/>
        <v>0</v>
      </c>
      <c r="S185" s="945">
        <f t="shared" si="65"/>
        <v>0</v>
      </c>
      <c r="T185" s="945">
        <f t="shared" si="65"/>
        <v>0</v>
      </c>
      <c r="U185" s="945">
        <f t="shared" si="65"/>
        <v>30055.70097545</v>
      </c>
      <c r="V185" s="946">
        <f t="shared" si="65"/>
        <v>30805.504014800001</v>
      </c>
      <c r="W185" s="946">
        <f t="shared" si="65"/>
        <v>-749.80303935000165</v>
      </c>
      <c r="X185" s="1361">
        <f>(W185/U185)*100</f>
        <v>-2.4947115356333005</v>
      </c>
    </row>
    <row r="186" spans="1:24">
      <c r="P186" s="117"/>
      <c r="Q186" s="117"/>
      <c r="R186" s="117"/>
      <c r="S186" s="117"/>
      <c r="T186" s="117"/>
      <c r="U186" s="117"/>
      <c r="V186" s="117"/>
      <c r="W186" s="117"/>
      <c r="X186" s="117"/>
    </row>
    <row r="187" spans="1:24">
      <c r="P187" s="117"/>
      <c r="Q187" s="117"/>
      <c r="R187" s="117"/>
      <c r="S187" s="117"/>
      <c r="T187" s="117"/>
      <c r="U187" s="117"/>
      <c r="V187" s="117"/>
      <c r="W187" s="117"/>
      <c r="X187" s="117"/>
    </row>
    <row r="188" spans="1:24">
      <c r="B188" s="943" t="s">
        <v>534</v>
      </c>
      <c r="P188" s="117"/>
      <c r="Q188" s="943" t="s">
        <v>534</v>
      </c>
      <c r="R188" s="117"/>
      <c r="S188" s="117"/>
      <c r="T188" s="117"/>
      <c r="U188" s="117"/>
      <c r="V188" s="117"/>
      <c r="W188" s="117"/>
      <c r="X188" s="117"/>
    </row>
    <row r="189" spans="1:24">
      <c r="H189" s="430"/>
      <c r="I189" s="430"/>
      <c r="P189" s="117"/>
      <c r="Q189" s="117"/>
      <c r="R189" s="117"/>
      <c r="S189" s="117"/>
      <c r="T189" s="117"/>
      <c r="U189" s="117"/>
      <c r="V189" s="117"/>
      <c r="W189" s="430"/>
      <c r="X189" s="430"/>
    </row>
    <row r="190" spans="1:24">
      <c r="B190" s="3411" t="str">
        <f>B173</f>
        <v>année (n) au mois</v>
      </c>
      <c r="C190" s="3411"/>
      <c r="D190" s="3411" t="str">
        <f>D173</f>
        <v>année (n-1) au mois</v>
      </c>
      <c r="E190" s="3411"/>
      <c r="F190" s="3412" t="s">
        <v>521</v>
      </c>
      <c r="G190" s="3412"/>
      <c r="H190" s="3412"/>
      <c r="I190" s="3412"/>
      <c r="P190" s="117"/>
      <c r="Q190" s="3411" t="str">
        <f>Q173</f>
        <v>année (n) au mois</v>
      </c>
      <c r="R190" s="3411"/>
      <c r="S190" s="3411" t="str">
        <f>S173</f>
        <v>année (n-1) au mois</v>
      </c>
      <c r="T190" s="3411"/>
      <c r="U190" s="3412" t="s">
        <v>521</v>
      </c>
      <c r="V190" s="3412"/>
      <c r="W190" s="3412"/>
      <c r="X190" s="3412"/>
    </row>
    <row r="191" spans="1:24">
      <c r="A191" s="430"/>
      <c r="B191" s="951" t="s">
        <v>522</v>
      </c>
      <c r="C191" s="951" t="s">
        <v>466</v>
      </c>
      <c r="D191" s="951" t="s">
        <v>522</v>
      </c>
      <c r="E191" s="951" t="s">
        <v>466</v>
      </c>
      <c r="F191" s="952" t="s">
        <v>522</v>
      </c>
      <c r="G191" s="952" t="s">
        <v>466</v>
      </c>
      <c r="H191" s="952" t="s">
        <v>523</v>
      </c>
      <c r="I191" s="952" t="s">
        <v>524</v>
      </c>
      <c r="P191" s="430"/>
      <c r="Q191" s="951" t="s">
        <v>522</v>
      </c>
      <c r="R191" s="951" t="s">
        <v>466</v>
      </c>
      <c r="S191" s="951" t="s">
        <v>522</v>
      </c>
      <c r="T191" s="951" t="s">
        <v>466</v>
      </c>
      <c r="U191" s="952" t="s">
        <v>522</v>
      </c>
      <c r="V191" s="952" t="s">
        <v>466</v>
      </c>
      <c r="W191" s="952" t="s">
        <v>523</v>
      </c>
      <c r="X191" s="952" t="s">
        <v>524</v>
      </c>
    </row>
    <row r="192" spans="1:24">
      <c r="A192" s="941" t="s">
        <v>68</v>
      </c>
      <c r="B192" s="947">
        <f>B175</f>
        <v>0</v>
      </c>
      <c r="C192" s="948"/>
      <c r="D192" s="947"/>
      <c r="E192" s="948"/>
      <c r="F192" s="953">
        <f>$L$2-D192+B192</f>
        <v>4124.2363185199993</v>
      </c>
      <c r="G192" s="954">
        <f>$M$2-E192+C192</f>
        <v>3728.1309215500005</v>
      </c>
      <c r="H192" s="953">
        <f>F192-G192</f>
        <v>396.10539696999876</v>
      </c>
      <c r="I192" s="954">
        <f>(H192/F192)*100</f>
        <v>9.6043331753633119</v>
      </c>
      <c r="P192" s="941" t="s">
        <v>68</v>
      </c>
      <c r="Q192" s="947"/>
      <c r="R192" s="948"/>
      <c r="S192" s="947"/>
      <c r="T192" s="948"/>
      <c r="U192" s="953">
        <f>$AA$2-S192+Q192</f>
        <v>3985.3009843499995</v>
      </c>
      <c r="V192" s="954">
        <f>$AB$2-T192+R192</f>
        <v>4075.9374462600008</v>
      </c>
      <c r="W192" s="953">
        <f>U192-V192</f>
        <v>-90.636461910001344</v>
      </c>
      <c r="X192" s="954">
        <f>(W192/U192)*100</f>
        <v>-2.2742689263853455</v>
      </c>
    </row>
    <row r="193" spans="1:24">
      <c r="A193" s="941" t="s">
        <v>7</v>
      </c>
      <c r="B193" s="949"/>
      <c r="C193" s="950"/>
      <c r="D193" s="949"/>
      <c r="E193" s="950"/>
      <c r="F193" s="955">
        <f>$L$3-D193+B193</f>
        <v>3275.2338950000003</v>
      </c>
      <c r="G193" s="956">
        <f>$M$3-E193+C193</f>
        <v>3134.1293854599994</v>
      </c>
      <c r="H193" s="955">
        <f t="shared" ref="H193:H201" si="66">F193-G193</f>
        <v>141.10450954000089</v>
      </c>
      <c r="I193" s="956">
        <f t="shared" ref="I193:I201" si="67">(H193/F193)*100</f>
        <v>4.3082269561087596</v>
      </c>
      <c r="P193" s="941" t="s">
        <v>7</v>
      </c>
      <c r="Q193" s="949"/>
      <c r="R193" s="950"/>
      <c r="S193" s="949"/>
      <c r="T193" s="950"/>
      <c r="U193" s="955">
        <f>$AA$3-S193+Q193</f>
        <v>3111.5160040000001</v>
      </c>
      <c r="V193" s="956">
        <f>$AB$3-T193+R193</f>
        <v>3333.8697204300001</v>
      </c>
      <c r="W193" s="955">
        <f t="shared" ref="W193:W201" si="68">U193-V193</f>
        <v>-222.35371643000008</v>
      </c>
      <c r="X193" s="956">
        <f t="shared" ref="X193:X201" si="69">(W193/U193)*100</f>
        <v>-7.1461537123432413</v>
      </c>
    </row>
    <row r="194" spans="1:24">
      <c r="A194" s="941" t="s">
        <v>8</v>
      </c>
      <c r="B194" s="949"/>
      <c r="C194" s="950"/>
      <c r="D194" s="949"/>
      <c r="E194" s="950"/>
      <c r="F194" s="955">
        <f>$L$4-D194+B194</f>
        <v>3131.6329650000002</v>
      </c>
      <c r="G194" s="956">
        <f>$M$4-E194+C194</f>
        <v>2984.8316109799998</v>
      </c>
      <c r="H194" s="955">
        <f t="shared" si="66"/>
        <v>146.80135402000042</v>
      </c>
      <c r="I194" s="956">
        <f t="shared" si="67"/>
        <v>4.6876934704894575</v>
      </c>
      <c r="P194" s="941" t="s">
        <v>8</v>
      </c>
      <c r="Q194" s="949"/>
      <c r="R194" s="950"/>
      <c r="S194" s="949"/>
      <c r="T194" s="950"/>
      <c r="U194" s="955">
        <f>$AA$4-S194+Q194</f>
        <v>3036.1096109999994</v>
      </c>
      <c r="V194" s="956">
        <f>$AB$4-T194+R194</f>
        <v>3109.1492814699996</v>
      </c>
      <c r="W194" s="955">
        <f t="shared" si="68"/>
        <v>-73.039670470000146</v>
      </c>
      <c r="X194" s="956">
        <f t="shared" si="69"/>
        <v>-2.4056993925836285</v>
      </c>
    </row>
    <row r="195" spans="1:24">
      <c r="A195" s="941" t="s">
        <v>4</v>
      </c>
      <c r="B195" s="949"/>
      <c r="C195" s="950"/>
      <c r="D195" s="949"/>
      <c r="E195" s="950"/>
      <c r="F195" s="955">
        <f>$L$5-D195+B195</f>
        <v>4891.117295</v>
      </c>
      <c r="G195" s="956">
        <f>$M$5-E195+C195</f>
        <v>4946.4932728200001</v>
      </c>
      <c r="H195" s="955">
        <f t="shared" si="66"/>
        <v>-55.375977820000116</v>
      </c>
      <c r="I195" s="956">
        <f t="shared" si="67"/>
        <v>-1.1321743986104942</v>
      </c>
      <c r="P195" s="941" t="s">
        <v>4</v>
      </c>
      <c r="Q195" s="949"/>
      <c r="R195" s="950"/>
      <c r="S195" s="949"/>
      <c r="T195" s="950"/>
      <c r="U195" s="955">
        <f>$AA$5-S195+Q195</f>
        <v>4659.1682739999997</v>
      </c>
      <c r="V195" s="956">
        <f>$AB$5-T195+R195</f>
        <v>5196.0141774199992</v>
      </c>
      <c r="W195" s="955">
        <f t="shared" si="68"/>
        <v>-536.84590341999956</v>
      </c>
      <c r="X195" s="956">
        <f t="shared" si="69"/>
        <v>-11.522354889300992</v>
      </c>
    </row>
    <row r="196" spans="1:24">
      <c r="A196" s="941" t="s">
        <v>3</v>
      </c>
      <c r="B196" s="949"/>
      <c r="C196" s="950"/>
      <c r="D196" s="949"/>
      <c r="E196" s="950"/>
      <c r="F196" s="955">
        <f>$L$6-D196+B196</f>
        <v>5554.3826170000011</v>
      </c>
      <c r="G196" s="956">
        <f>$M$6-E196+C196</f>
        <v>5121.3940476599992</v>
      </c>
      <c r="H196" s="955">
        <f t="shared" si="66"/>
        <v>432.98856934000196</v>
      </c>
      <c r="I196" s="956">
        <f t="shared" si="67"/>
        <v>7.7954400911233055</v>
      </c>
      <c r="P196" s="941" t="s">
        <v>3</v>
      </c>
      <c r="Q196" s="949"/>
      <c r="R196" s="950"/>
      <c r="S196" s="949"/>
      <c r="T196" s="950"/>
      <c r="U196" s="955">
        <f>$AA$6-S196+Q196</f>
        <v>5655.8158780000003</v>
      </c>
      <c r="V196" s="956">
        <f>$AB$6-T196+R196</f>
        <v>5469.2741296499989</v>
      </c>
      <c r="W196" s="955">
        <f t="shared" si="68"/>
        <v>186.5417483500014</v>
      </c>
      <c r="X196" s="956">
        <f t="shared" si="69"/>
        <v>3.29822880330337</v>
      </c>
    </row>
    <row r="197" spans="1:24">
      <c r="A197" s="941" t="s">
        <v>397</v>
      </c>
      <c r="B197" s="949"/>
      <c r="C197" s="950"/>
      <c r="D197" s="949"/>
      <c r="E197" s="950"/>
      <c r="F197" s="955">
        <f>$L$7-D197+B197</f>
        <v>1674.3147552500002</v>
      </c>
      <c r="G197" s="956">
        <f>$M$7-E197+C197</f>
        <v>1464.4653884400013</v>
      </c>
      <c r="H197" s="955">
        <f t="shared" si="66"/>
        <v>209.84936680999886</v>
      </c>
      <c r="I197" s="956">
        <f t="shared" si="67"/>
        <v>12.533447856921336</v>
      </c>
      <c r="P197" s="941" t="s">
        <v>397</v>
      </c>
      <c r="Q197" s="949"/>
      <c r="R197" s="950"/>
      <c r="S197" s="949"/>
      <c r="T197" s="950"/>
      <c r="U197" s="955">
        <f>$AA$7-S197+Q197</f>
        <v>1576.4305022799999</v>
      </c>
      <c r="V197" s="956">
        <f>$AB$7-T197+R197</f>
        <v>1521.915172420001</v>
      </c>
      <c r="W197" s="955">
        <f t="shared" si="68"/>
        <v>54.515329859998928</v>
      </c>
      <c r="X197" s="956">
        <f t="shared" si="69"/>
        <v>3.4581499013850032</v>
      </c>
    </row>
    <row r="198" spans="1:24">
      <c r="A198" s="941" t="s">
        <v>399</v>
      </c>
      <c r="B198" s="949"/>
      <c r="C198" s="950"/>
      <c r="D198" s="949"/>
      <c r="E198" s="950"/>
      <c r="F198" s="955">
        <f>$L$8-D198+B198</f>
        <v>3022.1810381200003</v>
      </c>
      <c r="G198" s="956">
        <f>$M$8-E198+C198</f>
        <v>2728.9321647699999</v>
      </c>
      <c r="H198" s="955">
        <f t="shared" si="66"/>
        <v>293.24887335000039</v>
      </c>
      <c r="I198" s="956">
        <f t="shared" si="67"/>
        <v>9.7032199478169208</v>
      </c>
      <c r="P198" s="941" t="s">
        <v>399</v>
      </c>
      <c r="Q198" s="949"/>
      <c r="R198" s="950"/>
      <c r="S198" s="949"/>
      <c r="T198" s="950"/>
      <c r="U198" s="955">
        <f>$AA$8-S198+Q198</f>
        <v>2809.6222358199998</v>
      </c>
      <c r="V198" s="956">
        <f>$AB$8-T198+R198</f>
        <v>2789.8338850800001</v>
      </c>
      <c r="W198" s="955">
        <f t="shared" si="68"/>
        <v>19.788350739999714</v>
      </c>
      <c r="X198" s="956">
        <f t="shared" si="69"/>
        <v>0.70430645400357184</v>
      </c>
    </row>
    <row r="199" spans="1:24">
      <c r="A199" s="941" t="s">
        <v>883</v>
      </c>
      <c r="B199" s="949"/>
      <c r="C199" s="950"/>
      <c r="D199" s="949"/>
      <c r="E199" s="950"/>
      <c r="F199" s="955">
        <f>$L$9-D199+B199</f>
        <v>1959.3614289999998</v>
      </c>
      <c r="G199" s="956">
        <f>$M$9-E199+C199</f>
        <v>1791.6212273600006</v>
      </c>
      <c r="H199" s="955">
        <f t="shared" si="66"/>
        <v>167.74020163999921</v>
      </c>
      <c r="I199" s="956">
        <f t="shared" si="67"/>
        <v>8.5609627278214244</v>
      </c>
      <c r="P199" s="941" t="s">
        <v>883</v>
      </c>
      <c r="Q199" s="949"/>
      <c r="R199" s="950"/>
      <c r="S199" s="949"/>
      <c r="T199" s="950"/>
      <c r="U199" s="955">
        <f>$AA$9-S199+Q199</f>
        <v>1911.5098789999997</v>
      </c>
      <c r="V199" s="956">
        <f>$AB$9-T199+R199</f>
        <v>1946.47764478</v>
      </c>
      <c r="W199" s="955">
        <f t="shared" si="68"/>
        <v>-34.967765780000263</v>
      </c>
      <c r="X199" s="956">
        <f t="shared" si="69"/>
        <v>-1.8293269715296232</v>
      </c>
    </row>
    <row r="200" spans="1:24">
      <c r="A200" s="941" t="s">
        <v>884</v>
      </c>
      <c r="B200" s="949"/>
      <c r="C200" s="950"/>
      <c r="D200" s="949"/>
      <c r="E200" s="950"/>
      <c r="F200" s="955">
        <f>$L$10-D200+B200</f>
        <v>2102.2111479999999</v>
      </c>
      <c r="G200" s="956">
        <f>$M$10-E200+C200</f>
        <v>1900.39871973</v>
      </c>
      <c r="H200" s="955">
        <f t="shared" si="66"/>
        <v>201.81242826999983</v>
      </c>
      <c r="I200" s="956">
        <f t="shared" si="67"/>
        <v>9.6000075188450982</v>
      </c>
      <c r="P200" s="941" t="s">
        <v>884</v>
      </c>
      <c r="Q200" s="949"/>
      <c r="R200" s="950"/>
      <c r="S200" s="949"/>
      <c r="T200" s="950"/>
      <c r="U200" s="955">
        <f>$AA$10-S200+Q200</f>
        <v>1983.3501999999999</v>
      </c>
      <c r="V200" s="956">
        <f>$AB$10-T200+R200</f>
        <v>2060.6519396399999</v>
      </c>
      <c r="W200" s="955">
        <f t="shared" si="68"/>
        <v>-77.301739640000051</v>
      </c>
      <c r="X200" s="956">
        <f t="shared" si="69"/>
        <v>-3.8975335591263738</v>
      </c>
    </row>
    <row r="201" spans="1:24" ht="14.4" thickBot="1">
      <c r="A201" s="941" t="s">
        <v>885</v>
      </c>
      <c r="B201" s="949"/>
      <c r="C201" s="950"/>
      <c r="D201" s="949"/>
      <c r="E201" s="950"/>
      <c r="F201" s="955">
        <f>$L$11-D201+B201</f>
        <v>1335.2583690000001</v>
      </c>
      <c r="G201" s="956">
        <f>$M$11-E201+C201</f>
        <v>1187.3271510479999</v>
      </c>
      <c r="H201" s="955">
        <f t="shared" si="66"/>
        <v>147.93121795200022</v>
      </c>
      <c r="I201" s="956">
        <f t="shared" si="67"/>
        <v>11.078845966177218</v>
      </c>
      <c r="P201" s="941" t="s">
        <v>885</v>
      </c>
      <c r="Q201" s="949"/>
      <c r="R201" s="950"/>
      <c r="S201" s="949"/>
      <c r="T201" s="950"/>
      <c r="U201" s="955">
        <f>$AA$11-S201+Q201</f>
        <v>1326.8774069999999</v>
      </c>
      <c r="V201" s="956">
        <f>$AB$11-T201+R201</f>
        <v>1302.3806176500002</v>
      </c>
      <c r="W201" s="955">
        <f t="shared" si="68"/>
        <v>24.496789349999744</v>
      </c>
      <c r="X201" s="956">
        <f t="shared" si="69"/>
        <v>1.8461983918609104</v>
      </c>
    </row>
    <row r="202" spans="1:24" ht="14.4" thickBot="1">
      <c r="A202" s="941" t="s">
        <v>16</v>
      </c>
      <c r="B202" s="945">
        <f t="shared" ref="B202:H202" si="70">SUM(B192:B201)</f>
        <v>0</v>
      </c>
      <c r="C202" s="945">
        <f t="shared" si="70"/>
        <v>0</v>
      </c>
      <c r="D202" s="945">
        <f t="shared" si="70"/>
        <v>0</v>
      </c>
      <c r="E202" s="945">
        <f t="shared" si="70"/>
        <v>0</v>
      </c>
      <c r="F202" s="945">
        <f t="shared" si="70"/>
        <v>31069.929829890003</v>
      </c>
      <c r="G202" s="946">
        <f t="shared" si="70"/>
        <v>28987.723889818</v>
      </c>
      <c r="H202" s="946">
        <f t="shared" si="70"/>
        <v>2082.2059400720004</v>
      </c>
      <c r="I202" s="1361">
        <f>(H202/F202)*100</f>
        <v>6.7016757085459178</v>
      </c>
      <c r="P202" s="941" t="s">
        <v>16</v>
      </c>
      <c r="Q202" s="945">
        <f t="shared" ref="Q202:W202" si="71">SUM(Q192:Q201)</f>
        <v>0</v>
      </c>
      <c r="R202" s="945">
        <f t="shared" si="71"/>
        <v>0</v>
      </c>
      <c r="S202" s="945">
        <f t="shared" si="71"/>
        <v>0</v>
      </c>
      <c r="T202" s="945">
        <f t="shared" si="71"/>
        <v>0</v>
      </c>
      <c r="U202" s="945">
        <f t="shared" si="71"/>
        <v>30055.70097545</v>
      </c>
      <c r="V202" s="946">
        <f t="shared" si="71"/>
        <v>30805.504014800001</v>
      </c>
      <c r="W202" s="946">
        <f t="shared" si="71"/>
        <v>-749.80303935000165</v>
      </c>
      <c r="X202" s="1361">
        <f>(W202/U202)*100</f>
        <v>-2.4947115356333005</v>
      </c>
    </row>
    <row r="203" spans="1:24">
      <c r="P203" s="117"/>
      <c r="Q203" s="117"/>
      <c r="R203" s="117"/>
      <c r="S203" s="117"/>
      <c r="T203" s="117"/>
      <c r="U203" s="117"/>
      <c r="V203" s="117"/>
      <c r="W203" s="117"/>
      <c r="X203" s="117"/>
    </row>
    <row r="204" spans="1:24">
      <c r="P204" s="117"/>
      <c r="Q204" s="117"/>
      <c r="R204" s="117"/>
      <c r="S204" s="117"/>
      <c r="T204" s="117"/>
      <c r="U204" s="117"/>
      <c r="V204" s="117"/>
      <c r="W204" s="117"/>
      <c r="X204" s="117"/>
    </row>
    <row r="205" spans="1:24">
      <c r="P205" s="117"/>
      <c r="Q205" s="117"/>
      <c r="R205" s="117"/>
      <c r="S205" s="117"/>
      <c r="T205" s="117"/>
      <c r="U205" s="117"/>
      <c r="V205" s="117"/>
      <c r="W205" s="117"/>
      <c r="X205" s="117"/>
    </row>
    <row r="206" spans="1:24">
      <c r="P206" s="117"/>
      <c r="Q206" s="117"/>
      <c r="R206" s="117"/>
      <c r="S206" s="117"/>
      <c r="T206" s="117"/>
      <c r="U206" s="117"/>
      <c r="V206" s="117"/>
      <c r="W206" s="117"/>
      <c r="X206" s="117"/>
    </row>
    <row r="207" spans="1:24">
      <c r="P207" s="117"/>
      <c r="Q207" s="117"/>
      <c r="R207" s="117"/>
      <c r="S207" s="117"/>
      <c r="T207" s="117"/>
      <c r="U207" s="117"/>
      <c r="V207" s="117"/>
      <c r="W207" s="117"/>
      <c r="X207" s="117"/>
    </row>
    <row r="208" spans="1:24">
      <c r="P208" s="117"/>
      <c r="Q208" s="117"/>
      <c r="R208" s="117"/>
      <c r="S208" s="117"/>
      <c r="T208" s="117"/>
      <c r="U208" s="117"/>
      <c r="V208" s="117"/>
      <c r="W208" s="117"/>
      <c r="X208" s="117"/>
    </row>
    <row r="209" spans="1:24">
      <c r="P209" s="117"/>
      <c r="Q209" s="117"/>
      <c r="R209" s="117"/>
      <c r="S209" s="117"/>
      <c r="T209" s="117"/>
      <c r="U209" s="117"/>
      <c r="V209" s="117"/>
      <c r="W209" s="117"/>
      <c r="X209" s="117"/>
    </row>
    <row r="210" spans="1:24">
      <c r="P210" s="117"/>
      <c r="Q210" s="117"/>
      <c r="R210" s="117"/>
      <c r="S210" s="117"/>
      <c r="T210" s="117"/>
      <c r="U210" s="117"/>
      <c r="V210" s="117"/>
      <c r="W210" s="117"/>
      <c r="X210" s="117"/>
    </row>
    <row r="211" spans="1:24">
      <c r="P211" s="117"/>
      <c r="Q211" s="117"/>
      <c r="R211" s="117"/>
      <c r="S211" s="117"/>
      <c r="T211" s="117"/>
      <c r="U211" s="117"/>
      <c r="V211" s="117"/>
      <c r="W211" s="117"/>
      <c r="X211" s="117"/>
    </row>
    <row r="212" spans="1:24">
      <c r="P212" s="117"/>
      <c r="Q212" s="117"/>
      <c r="R212" s="117"/>
      <c r="S212" s="117"/>
      <c r="T212" s="117"/>
      <c r="U212" s="117"/>
      <c r="V212" s="117"/>
      <c r="W212" s="117"/>
      <c r="X212" s="117"/>
    </row>
    <row r="213" spans="1:24">
      <c r="P213" s="117"/>
      <c r="Q213" s="117"/>
      <c r="R213" s="117"/>
      <c r="S213" s="117"/>
      <c r="T213" s="117"/>
      <c r="U213" s="117"/>
      <c r="V213" s="117"/>
      <c r="W213" s="117"/>
      <c r="X213" s="117"/>
    </row>
    <row r="214" spans="1:24">
      <c r="P214" s="117"/>
      <c r="Q214" s="117"/>
      <c r="R214" s="117"/>
      <c r="S214" s="117"/>
      <c r="T214" s="117"/>
      <c r="U214" s="117"/>
      <c r="V214" s="117"/>
      <c r="W214" s="117"/>
      <c r="X214" s="117"/>
    </row>
    <row r="215" spans="1:24">
      <c r="P215" s="117"/>
      <c r="Q215" s="117"/>
      <c r="R215" s="117"/>
      <c r="S215" s="117"/>
      <c r="T215" s="117"/>
      <c r="U215" s="117"/>
      <c r="V215" s="117"/>
      <c r="W215" s="117"/>
      <c r="X215" s="117"/>
    </row>
    <row r="216" spans="1:24">
      <c r="B216" s="3411" t="s">
        <v>541</v>
      </c>
      <c r="C216" s="3411"/>
      <c r="D216" s="3411" t="s">
        <v>540</v>
      </c>
      <c r="E216" s="3411"/>
      <c r="F216" s="3412" t="s">
        <v>521</v>
      </c>
      <c r="G216" s="3412"/>
      <c r="H216" s="3412"/>
      <c r="I216" s="3412"/>
      <c r="P216" s="117"/>
      <c r="Q216" s="3411" t="s">
        <v>541</v>
      </c>
      <c r="R216" s="3411"/>
      <c r="S216" s="3411" t="s">
        <v>540</v>
      </c>
      <c r="T216" s="3411"/>
      <c r="U216" s="3412" t="s">
        <v>521</v>
      </c>
      <c r="V216" s="3412"/>
      <c r="W216" s="3412"/>
      <c r="X216" s="3412"/>
    </row>
    <row r="217" spans="1:24">
      <c r="A217" s="430"/>
      <c r="B217" s="951" t="s">
        <v>522</v>
      </c>
      <c r="C217" s="951" t="s">
        <v>466</v>
      </c>
      <c r="D217" s="951" t="s">
        <v>522</v>
      </c>
      <c r="E217" s="951" t="s">
        <v>466</v>
      </c>
      <c r="F217" s="952" t="s">
        <v>522</v>
      </c>
      <c r="G217" s="952" t="s">
        <v>466</v>
      </c>
      <c r="H217" s="952" t="s">
        <v>523</v>
      </c>
      <c r="I217" s="952" t="s">
        <v>524</v>
      </c>
      <c r="P217" s="430"/>
      <c r="Q217" s="951" t="s">
        <v>522</v>
      </c>
      <c r="R217" s="951" t="s">
        <v>466</v>
      </c>
      <c r="S217" s="951" t="s">
        <v>522</v>
      </c>
      <c r="T217" s="951" t="s">
        <v>466</v>
      </c>
      <c r="U217" s="952" t="s">
        <v>522</v>
      </c>
      <c r="V217" s="952" t="s">
        <v>466</v>
      </c>
      <c r="W217" s="952" t="s">
        <v>523</v>
      </c>
      <c r="X217" s="952" t="s">
        <v>524</v>
      </c>
    </row>
    <row r="218" spans="1:24">
      <c r="A218" s="941" t="s">
        <v>68</v>
      </c>
      <c r="B218" s="947">
        <f>B124</f>
        <v>2804.7358327700008</v>
      </c>
      <c r="C218" s="948">
        <f t="shared" ref="C218:I218" si="72">C124</f>
        <v>3035.6858658400006</v>
      </c>
      <c r="D218" s="947">
        <f t="shared" si="72"/>
        <v>2838.0943592399999</v>
      </c>
      <c r="E218" s="948">
        <f t="shared" si="72"/>
        <v>3053.5190140600002</v>
      </c>
      <c r="F218" s="953">
        <f t="shared" si="72"/>
        <v>4090.8777920500002</v>
      </c>
      <c r="G218" s="954">
        <f t="shared" si="72"/>
        <v>3710.2977733300008</v>
      </c>
      <c r="H218" s="953">
        <f t="shared" si="72"/>
        <v>380.58001871999932</v>
      </c>
      <c r="I218" s="954">
        <f t="shared" si="72"/>
        <v>9.3031383010169311</v>
      </c>
      <c r="P218" s="941" t="s">
        <v>68</v>
      </c>
      <c r="Q218" s="947">
        <f t="shared" ref="Q218:X218" si="73">Q124</f>
        <v>2838.0943592399999</v>
      </c>
      <c r="R218" s="948">
        <f t="shared" si="73"/>
        <v>3053.5190140600002</v>
      </c>
      <c r="S218" s="947">
        <f t="shared" si="73"/>
        <v>2969.2943477599997</v>
      </c>
      <c r="T218" s="948">
        <f t="shared" si="73"/>
        <v>3310.658672900001</v>
      </c>
      <c r="U218" s="953">
        <f t="shared" si="73"/>
        <v>3854.1009958299996</v>
      </c>
      <c r="V218" s="954">
        <f t="shared" si="73"/>
        <v>3818.7977874200001</v>
      </c>
      <c r="W218" s="953">
        <f t="shared" si="73"/>
        <v>35.30320840999957</v>
      </c>
      <c r="X218" s="954">
        <f t="shared" si="73"/>
        <v>0.91599074461713348</v>
      </c>
    </row>
    <row r="219" spans="1:24">
      <c r="A219" s="941" t="s">
        <v>7</v>
      </c>
      <c r="B219" s="949">
        <f t="shared" ref="B219:I219" si="74">B125</f>
        <v>2250.7096760000004</v>
      </c>
      <c r="C219" s="950">
        <f t="shared" si="74"/>
        <v>2649.9152460399991</v>
      </c>
      <c r="D219" s="949">
        <f t="shared" si="74"/>
        <v>2255.0547529999999</v>
      </c>
      <c r="E219" s="950">
        <f t="shared" si="74"/>
        <v>2584.3258482899996</v>
      </c>
      <c r="F219" s="955">
        <f t="shared" si="74"/>
        <v>3270.8888180000008</v>
      </c>
      <c r="G219" s="956">
        <f t="shared" si="74"/>
        <v>3199.7187832099989</v>
      </c>
      <c r="H219" s="955">
        <f t="shared" si="74"/>
        <v>71.170034790001864</v>
      </c>
      <c r="I219" s="956">
        <f t="shared" si="74"/>
        <v>2.1758622426524146</v>
      </c>
      <c r="P219" s="941" t="s">
        <v>7</v>
      </c>
      <c r="Q219" s="949">
        <f t="shared" ref="Q219:X219" si="75">Q125</f>
        <v>2255.0547529999999</v>
      </c>
      <c r="R219" s="950">
        <f t="shared" si="75"/>
        <v>2584.3258482899996</v>
      </c>
      <c r="S219" s="949">
        <f t="shared" si="75"/>
        <v>2265.8531760000001</v>
      </c>
      <c r="T219" s="950">
        <f t="shared" si="75"/>
        <v>2862.8103818799996</v>
      </c>
      <c r="U219" s="955">
        <f t="shared" si="75"/>
        <v>3100.7175809999999</v>
      </c>
      <c r="V219" s="956">
        <f t="shared" si="75"/>
        <v>3055.3851868400002</v>
      </c>
      <c r="W219" s="955">
        <f t="shared" si="75"/>
        <v>45.332394159999694</v>
      </c>
      <c r="X219" s="956">
        <f t="shared" si="75"/>
        <v>1.4619968757483461</v>
      </c>
    </row>
    <row r="220" spans="1:24">
      <c r="A220" s="941" t="s">
        <v>8</v>
      </c>
      <c r="B220" s="949">
        <f t="shared" ref="B220:I220" si="76">B126</f>
        <v>2155.7617600000003</v>
      </c>
      <c r="C220" s="950">
        <f t="shared" si="76"/>
        <v>2572.4406428499992</v>
      </c>
      <c r="D220" s="949">
        <f t="shared" si="76"/>
        <v>2083.8534440000003</v>
      </c>
      <c r="E220" s="950">
        <f t="shared" si="76"/>
        <v>2413.1392578499995</v>
      </c>
      <c r="F220" s="955">
        <f t="shared" si="76"/>
        <v>3203.5412810000003</v>
      </c>
      <c r="G220" s="956">
        <f t="shared" si="76"/>
        <v>3144.1329959799996</v>
      </c>
      <c r="H220" s="955">
        <f t="shared" si="76"/>
        <v>59.408285020000676</v>
      </c>
      <c r="I220" s="956">
        <f t="shared" si="76"/>
        <v>1.854456671819634</v>
      </c>
      <c r="P220" s="941" t="s">
        <v>8</v>
      </c>
      <c r="Q220" s="949">
        <f t="shared" ref="Q220:X220" si="77">Q126</f>
        <v>2083.8534440000003</v>
      </c>
      <c r="R220" s="950">
        <f t="shared" si="77"/>
        <v>2413.1392578499995</v>
      </c>
      <c r="S220" s="949">
        <f t="shared" si="77"/>
        <v>2150.4297179999999</v>
      </c>
      <c r="T220" s="950">
        <f t="shared" si="77"/>
        <v>2594.7642540100001</v>
      </c>
      <c r="U220" s="955">
        <f t="shared" si="77"/>
        <v>2969.5333369999998</v>
      </c>
      <c r="V220" s="956">
        <f t="shared" si="77"/>
        <v>2927.524285309999</v>
      </c>
      <c r="W220" s="955">
        <f t="shared" si="77"/>
        <v>42.009051690000888</v>
      </c>
      <c r="X220" s="956">
        <f t="shared" si="77"/>
        <v>1.4146684654647099</v>
      </c>
    </row>
    <row r="221" spans="1:24">
      <c r="A221" s="941" t="s">
        <v>4</v>
      </c>
      <c r="B221" s="949">
        <f t="shared" ref="B221:I221" si="78">B127</f>
        <v>3233.6893380000001</v>
      </c>
      <c r="C221" s="950">
        <f t="shared" si="78"/>
        <v>3999.1770321299991</v>
      </c>
      <c r="D221" s="949">
        <f t="shared" si="78"/>
        <v>3497.8411479999995</v>
      </c>
      <c r="E221" s="950">
        <f t="shared" si="78"/>
        <v>4114.4595578500002</v>
      </c>
      <c r="F221" s="955">
        <f t="shared" si="78"/>
        <v>4626.9654850000006</v>
      </c>
      <c r="G221" s="956">
        <f t="shared" si="78"/>
        <v>4831.210747099999</v>
      </c>
      <c r="H221" s="955">
        <f t="shared" si="78"/>
        <v>-204.2452620999984</v>
      </c>
      <c r="I221" s="956">
        <f t="shared" si="78"/>
        <v>-4.414237857665765</v>
      </c>
      <c r="P221" s="941" t="s">
        <v>4</v>
      </c>
      <c r="Q221" s="949">
        <f t="shared" ref="Q221:X221" si="79">Q127</f>
        <v>3497.8411479999995</v>
      </c>
      <c r="R221" s="950">
        <f t="shared" si="79"/>
        <v>4114.4595578500002</v>
      </c>
      <c r="S221" s="949">
        <f t="shared" si="79"/>
        <v>3499.8665029999997</v>
      </c>
      <c r="T221" s="950">
        <f t="shared" si="79"/>
        <v>4478.8429298099991</v>
      </c>
      <c r="U221" s="955">
        <f t="shared" si="79"/>
        <v>4657.1429189999999</v>
      </c>
      <c r="V221" s="956">
        <f t="shared" si="79"/>
        <v>4831.6308054600004</v>
      </c>
      <c r="W221" s="955">
        <f t="shared" si="79"/>
        <v>-174.48788646000048</v>
      </c>
      <c r="X221" s="956">
        <f t="shared" si="79"/>
        <v>-3.7466723588862334</v>
      </c>
    </row>
    <row r="222" spans="1:24">
      <c r="A222" s="941" t="s">
        <v>3</v>
      </c>
      <c r="B222" s="949">
        <f t="shared" ref="B222:I222" si="80">B128</f>
        <v>3651.2215449999994</v>
      </c>
      <c r="C222" s="950">
        <f t="shared" si="80"/>
        <v>4059.2007137299993</v>
      </c>
      <c r="D222" s="949">
        <f t="shared" si="80"/>
        <v>3707.8065139999999</v>
      </c>
      <c r="E222" s="950">
        <f t="shared" si="80"/>
        <v>4107.3188885399995</v>
      </c>
      <c r="F222" s="955">
        <f t="shared" si="80"/>
        <v>5497.7976480000007</v>
      </c>
      <c r="G222" s="956">
        <f t="shared" si="80"/>
        <v>5073.2758728499994</v>
      </c>
      <c r="H222" s="955">
        <f t="shared" si="80"/>
        <v>424.5217751500013</v>
      </c>
      <c r="I222" s="956">
        <f t="shared" si="80"/>
        <v>7.7216696999467533</v>
      </c>
      <c r="P222" s="941" t="s">
        <v>3</v>
      </c>
      <c r="Q222" s="949">
        <f t="shared" ref="Q222:X222" si="81">Q128</f>
        <v>3707.8065139999999</v>
      </c>
      <c r="R222" s="950">
        <f t="shared" si="81"/>
        <v>4107.3188885399995</v>
      </c>
      <c r="S222" s="949">
        <f t="shared" si="81"/>
        <v>3873.4395430000004</v>
      </c>
      <c r="T222" s="950">
        <f t="shared" si="81"/>
        <v>4433.8393975299996</v>
      </c>
      <c r="U222" s="955">
        <f t="shared" si="81"/>
        <v>5490.1828489999998</v>
      </c>
      <c r="V222" s="956">
        <f t="shared" si="81"/>
        <v>5142.7536206599989</v>
      </c>
      <c r="W222" s="955">
        <f t="shared" si="81"/>
        <v>347.42922834000092</v>
      </c>
      <c r="X222" s="956">
        <f t="shared" si="81"/>
        <v>6.3281904791801766</v>
      </c>
    </row>
    <row r="223" spans="1:24">
      <c r="A223" s="941" t="s">
        <v>397</v>
      </c>
      <c r="B223" s="949">
        <f t="shared" ref="B223:I223" si="82">B129</f>
        <v>1133.2621072299999</v>
      </c>
      <c r="C223" s="950">
        <f t="shared" si="82"/>
        <v>1173.4156620200024</v>
      </c>
      <c r="D223" s="949">
        <f t="shared" si="82"/>
        <v>1174.83901941</v>
      </c>
      <c r="E223" s="950">
        <f t="shared" si="82"/>
        <v>1179.0305760100007</v>
      </c>
      <c r="F223" s="955">
        <f t="shared" si="82"/>
        <v>1632.7378430700001</v>
      </c>
      <c r="G223" s="956">
        <f t="shared" si="82"/>
        <v>1458.850474450003</v>
      </c>
      <c r="H223" s="955">
        <f t="shared" si="82"/>
        <v>173.88736861999701</v>
      </c>
      <c r="I223" s="956">
        <f t="shared" si="82"/>
        <v>10.650048282891547</v>
      </c>
      <c r="P223" s="941" t="s">
        <v>397</v>
      </c>
      <c r="Q223" s="949">
        <f t="shared" ref="Q223:X223" si="83">Q129</f>
        <v>1174.83901941</v>
      </c>
      <c r="R223" s="950">
        <f t="shared" si="83"/>
        <v>1179.0305760100007</v>
      </c>
      <c r="S223" s="949">
        <f t="shared" si="83"/>
        <v>1210.6737700199999</v>
      </c>
      <c r="T223" s="950">
        <f t="shared" si="83"/>
        <v>1274.4783737600001</v>
      </c>
      <c r="U223" s="955">
        <f t="shared" si="83"/>
        <v>1540.59575167</v>
      </c>
      <c r="V223" s="956">
        <f t="shared" si="83"/>
        <v>1426.4673746700016</v>
      </c>
      <c r="W223" s="955">
        <f t="shared" si="83"/>
        <v>114.12837699999841</v>
      </c>
      <c r="X223" s="956">
        <f t="shared" si="83"/>
        <v>7.4080677475764602</v>
      </c>
    </row>
    <row r="224" spans="1:24">
      <c r="A224" s="941" t="s">
        <v>399</v>
      </c>
      <c r="B224" s="949">
        <f t="shared" ref="B224:I224" si="84">B130</f>
        <v>2092.9558408000003</v>
      </c>
      <c r="C224" s="950">
        <f t="shared" si="84"/>
        <v>2265.2661823600001</v>
      </c>
      <c r="D224" s="949">
        <f t="shared" si="84"/>
        <v>2077.5528998</v>
      </c>
      <c r="E224" s="950">
        <f t="shared" si="84"/>
        <v>2102.2366619099998</v>
      </c>
      <c r="F224" s="955">
        <f t="shared" si="84"/>
        <v>3037.5839791200005</v>
      </c>
      <c r="G224" s="956">
        <f t="shared" si="84"/>
        <v>2891.9616852200002</v>
      </c>
      <c r="H224" s="955">
        <f t="shared" si="84"/>
        <v>145.62229390000039</v>
      </c>
      <c r="I224" s="956">
        <f t="shared" si="84"/>
        <v>4.7940170510837277</v>
      </c>
      <c r="P224" s="941" t="s">
        <v>399</v>
      </c>
      <c r="Q224" s="949">
        <f t="shared" ref="Q224:X224" si="85">Q130</f>
        <v>2077.5528998</v>
      </c>
      <c r="R224" s="950">
        <f t="shared" si="85"/>
        <v>2102.2366619099998</v>
      </c>
      <c r="S224" s="949">
        <f t="shared" si="85"/>
        <v>2059.1927736399998</v>
      </c>
      <c r="T224" s="950">
        <f t="shared" si="85"/>
        <v>2238.9207321600002</v>
      </c>
      <c r="U224" s="955">
        <f t="shared" si="85"/>
        <v>2827.98236198</v>
      </c>
      <c r="V224" s="956">
        <f t="shared" si="85"/>
        <v>2653.1498148299997</v>
      </c>
      <c r="W224" s="955">
        <f t="shared" si="85"/>
        <v>174.83254715000021</v>
      </c>
      <c r="X224" s="956">
        <f t="shared" si="85"/>
        <v>6.1822361235517729</v>
      </c>
    </row>
    <row r="225" spans="1:24">
      <c r="A225" s="941" t="s">
        <v>883</v>
      </c>
      <c r="B225" s="949">
        <f t="shared" ref="B225:I225" si="86">B131</f>
        <v>1360.5992479999998</v>
      </c>
      <c r="C225" s="950">
        <f t="shared" si="86"/>
        <v>1583.2185636219997</v>
      </c>
      <c r="D225" s="949">
        <f t="shared" si="86"/>
        <v>1311.524899</v>
      </c>
      <c r="E225" s="950">
        <f t="shared" si="86"/>
        <v>1458.7128654700007</v>
      </c>
      <c r="F225" s="955">
        <f t="shared" si="86"/>
        <v>2008.4357779999996</v>
      </c>
      <c r="G225" s="956">
        <f t="shared" si="86"/>
        <v>1916.1269255119996</v>
      </c>
      <c r="H225" s="955">
        <f t="shared" si="86"/>
        <v>92.308852487999957</v>
      </c>
      <c r="I225" s="956">
        <f t="shared" si="86"/>
        <v>4.5960569662785593</v>
      </c>
      <c r="P225" s="941" t="s">
        <v>883</v>
      </c>
      <c r="Q225" s="949">
        <f t="shared" ref="Q225:X225" si="87">Q131</f>
        <v>1311.524899</v>
      </c>
      <c r="R225" s="950">
        <f t="shared" si="87"/>
        <v>1458.7128654700007</v>
      </c>
      <c r="S225" s="949">
        <f t="shared" si="87"/>
        <v>1408.2149489999997</v>
      </c>
      <c r="T225" s="950">
        <f t="shared" si="87"/>
        <v>1652.15257213</v>
      </c>
      <c r="U225" s="955">
        <f t="shared" si="87"/>
        <v>1814.819829</v>
      </c>
      <c r="V225" s="956">
        <f t="shared" si="87"/>
        <v>1753.0379381200007</v>
      </c>
      <c r="W225" s="955">
        <f t="shared" si="87"/>
        <v>61.78189087999931</v>
      </c>
      <c r="X225" s="956">
        <f t="shared" si="87"/>
        <v>3.4042988671796857</v>
      </c>
    </row>
    <row r="226" spans="1:24">
      <c r="A226" s="941" t="s">
        <v>884</v>
      </c>
      <c r="B226" s="949">
        <f t="shared" ref="B226:I226" si="88">B132</f>
        <v>1474.2703550000001</v>
      </c>
      <c r="C226" s="950">
        <f t="shared" si="88"/>
        <v>1730.02758296</v>
      </c>
      <c r="D226" s="949">
        <f t="shared" si="88"/>
        <v>1412.6576469999998</v>
      </c>
      <c r="E226" s="950">
        <f t="shared" si="88"/>
        <v>1552.3223707199998</v>
      </c>
      <c r="F226" s="955">
        <f t="shared" si="88"/>
        <v>2163.823856</v>
      </c>
      <c r="G226" s="956">
        <f t="shared" si="88"/>
        <v>2078.1039319700003</v>
      </c>
      <c r="H226" s="955">
        <f t="shared" si="88"/>
        <v>85.719924029999675</v>
      </c>
      <c r="I226" s="956">
        <f t="shared" si="88"/>
        <v>3.961501939832559</v>
      </c>
      <c r="P226" s="941" t="s">
        <v>884</v>
      </c>
      <c r="Q226" s="949">
        <f t="shared" ref="Q226:X226" si="89">Q132</f>
        <v>1412.6576469999998</v>
      </c>
      <c r="R226" s="950">
        <f t="shared" si="89"/>
        <v>1552.3223707199998</v>
      </c>
      <c r="S226" s="949">
        <f t="shared" si="89"/>
        <v>1454.138494</v>
      </c>
      <c r="T226" s="950">
        <f t="shared" si="89"/>
        <v>1726.6877614599998</v>
      </c>
      <c r="U226" s="955">
        <f t="shared" si="89"/>
        <v>1941.8693529999996</v>
      </c>
      <c r="V226" s="956">
        <f t="shared" si="89"/>
        <v>1886.2865488999998</v>
      </c>
      <c r="W226" s="955">
        <f t="shared" si="89"/>
        <v>55.582804099999748</v>
      </c>
      <c r="X226" s="956">
        <f t="shared" si="89"/>
        <v>2.8623348946791767</v>
      </c>
    </row>
    <row r="227" spans="1:24" ht="14.4" thickBot="1">
      <c r="A227" s="941" t="s">
        <v>885</v>
      </c>
      <c r="B227" s="949">
        <f t="shared" ref="B227:I227" si="90">B133</f>
        <v>936.13161700000001</v>
      </c>
      <c r="C227" s="950">
        <f t="shared" si="90"/>
        <v>1090.379358142</v>
      </c>
      <c r="D227" s="949">
        <f t="shared" si="90"/>
        <v>892.62269400000002</v>
      </c>
      <c r="E227" s="950">
        <f t="shared" si="90"/>
        <v>1008.8887732320002</v>
      </c>
      <c r="F227" s="955">
        <f t="shared" si="90"/>
        <v>1378.767292</v>
      </c>
      <c r="G227" s="956">
        <f t="shared" si="90"/>
        <v>1268.8177359579997</v>
      </c>
      <c r="H227" s="955">
        <f t="shared" si="90"/>
        <v>109.94955604200027</v>
      </c>
      <c r="I227" s="956">
        <f t="shared" si="90"/>
        <v>7.9744824728551986</v>
      </c>
      <c r="P227" s="941" t="s">
        <v>885</v>
      </c>
      <c r="Q227" s="949">
        <f t="shared" ref="Q227:X227" si="91">Q133</f>
        <v>892.62269400000002</v>
      </c>
      <c r="R227" s="950">
        <f t="shared" si="91"/>
        <v>1008.8887732320002</v>
      </c>
      <c r="S227" s="949">
        <f t="shared" si="91"/>
        <v>958.06081899999992</v>
      </c>
      <c r="T227" s="950">
        <f t="shared" si="91"/>
        <v>1123.2045541340003</v>
      </c>
      <c r="U227" s="955">
        <f t="shared" si="91"/>
        <v>1261.439282</v>
      </c>
      <c r="V227" s="956">
        <f t="shared" si="91"/>
        <v>1188.0648367480001</v>
      </c>
      <c r="W227" s="955">
        <f t="shared" si="91"/>
        <v>73.374445251999987</v>
      </c>
      <c r="X227" s="956">
        <f t="shared" si="91"/>
        <v>5.8167243004883673</v>
      </c>
    </row>
    <row r="228" spans="1:24" ht="14.4" thickBot="1">
      <c r="A228" s="941" t="s">
        <v>16</v>
      </c>
      <c r="B228" s="945">
        <f t="shared" ref="B228:I228" si="92">B134</f>
        <v>21093.337319800001</v>
      </c>
      <c r="C228" s="945">
        <f t="shared" si="92"/>
        <v>24158.726849693994</v>
      </c>
      <c r="D228" s="945">
        <f t="shared" si="92"/>
        <v>21251.847377450002</v>
      </c>
      <c r="E228" s="945">
        <f t="shared" si="92"/>
        <v>23573.953813931999</v>
      </c>
      <c r="F228" s="945">
        <f t="shared" si="92"/>
        <v>30911.419772240002</v>
      </c>
      <c r="G228" s="946">
        <f t="shared" si="92"/>
        <v>29572.496925579999</v>
      </c>
      <c r="H228" s="946">
        <f t="shared" si="92"/>
        <v>1338.9228466600021</v>
      </c>
      <c r="I228" s="946">
        <f t="shared" si="92"/>
        <v>4.3314828517272499</v>
      </c>
      <c r="P228" s="941" t="s">
        <v>16</v>
      </c>
      <c r="Q228" s="945">
        <f t="shared" ref="Q228:X228" si="93">Q134</f>
        <v>21251.847377450002</v>
      </c>
      <c r="R228" s="945">
        <f t="shared" si="93"/>
        <v>23573.953813931999</v>
      </c>
      <c r="S228" s="945">
        <f t="shared" si="93"/>
        <v>21849.164093419997</v>
      </c>
      <c r="T228" s="945">
        <f t="shared" si="93"/>
        <v>25696.359629773997</v>
      </c>
      <c r="U228" s="945">
        <f t="shared" si="93"/>
        <v>29458.384259479997</v>
      </c>
      <c r="V228" s="946">
        <f t="shared" si="93"/>
        <v>28683.098198958</v>
      </c>
      <c r="W228" s="946">
        <f t="shared" si="93"/>
        <v>775.28606052199825</v>
      </c>
      <c r="X228" s="946">
        <f t="shared" si="93"/>
        <v>2.6318010305419368</v>
      </c>
    </row>
  </sheetData>
  <mergeCells count="78">
    <mergeCell ref="B216:C216"/>
    <mergeCell ref="D216:E216"/>
    <mergeCell ref="F216:I216"/>
    <mergeCell ref="B173:C173"/>
    <mergeCell ref="D173:E173"/>
    <mergeCell ref="F173:I173"/>
    <mergeCell ref="B190:C190"/>
    <mergeCell ref="D190:E190"/>
    <mergeCell ref="F190:I190"/>
    <mergeCell ref="B139:C139"/>
    <mergeCell ref="D139:E139"/>
    <mergeCell ref="F139:I139"/>
    <mergeCell ref="B156:C156"/>
    <mergeCell ref="D156:E156"/>
    <mergeCell ref="F156:I156"/>
    <mergeCell ref="B105:C105"/>
    <mergeCell ref="D105:E105"/>
    <mergeCell ref="F105:I105"/>
    <mergeCell ref="B122:C122"/>
    <mergeCell ref="D122:E122"/>
    <mergeCell ref="F122:I122"/>
    <mergeCell ref="B70:C70"/>
    <mergeCell ref="D70:E70"/>
    <mergeCell ref="F70:I70"/>
    <mergeCell ref="B88:C88"/>
    <mergeCell ref="D88:E88"/>
    <mergeCell ref="F88:I88"/>
    <mergeCell ref="B36:C36"/>
    <mergeCell ref="D36:E36"/>
    <mergeCell ref="F36:I36"/>
    <mergeCell ref="B53:C53"/>
    <mergeCell ref="D53:E53"/>
    <mergeCell ref="F53:I53"/>
    <mergeCell ref="B4:C4"/>
    <mergeCell ref="D4:E4"/>
    <mergeCell ref="F4:I4"/>
    <mergeCell ref="B20:C20"/>
    <mergeCell ref="D20:E20"/>
    <mergeCell ref="F20:I20"/>
    <mergeCell ref="Q4:R4"/>
    <mergeCell ref="S4:T4"/>
    <mergeCell ref="U4:X4"/>
    <mergeCell ref="Q20:R20"/>
    <mergeCell ref="S20:T20"/>
    <mergeCell ref="U20:X20"/>
    <mergeCell ref="Q36:R36"/>
    <mergeCell ref="S36:T36"/>
    <mergeCell ref="U36:X36"/>
    <mergeCell ref="Q53:R53"/>
    <mergeCell ref="S53:T53"/>
    <mergeCell ref="U53:X53"/>
    <mergeCell ref="Q70:R70"/>
    <mergeCell ref="S70:T70"/>
    <mergeCell ref="U70:X70"/>
    <mergeCell ref="Q88:R88"/>
    <mergeCell ref="S88:T88"/>
    <mergeCell ref="U88:X88"/>
    <mergeCell ref="Q105:R105"/>
    <mergeCell ref="S105:T105"/>
    <mergeCell ref="U105:X105"/>
    <mergeCell ref="Q122:R122"/>
    <mergeCell ref="S122:T122"/>
    <mergeCell ref="U122:X122"/>
    <mergeCell ref="Q139:R139"/>
    <mergeCell ref="S139:T139"/>
    <mergeCell ref="U139:X139"/>
    <mergeCell ref="Q156:R156"/>
    <mergeCell ref="S156:T156"/>
    <mergeCell ref="U156:X156"/>
    <mergeCell ref="Q216:R216"/>
    <mergeCell ref="S216:T216"/>
    <mergeCell ref="U216:X216"/>
    <mergeCell ref="Q173:R173"/>
    <mergeCell ref="S173:T173"/>
    <mergeCell ref="U173:X173"/>
    <mergeCell ref="Q190:R190"/>
    <mergeCell ref="S190:T190"/>
    <mergeCell ref="U190:X190"/>
  </mergeCells>
  <pageMargins left="0.70866141732283472" right="0.70866141732283472" top="0.74803149606299213" bottom="0.74803149606299213" header="0.31496062992125984" footer="0.31496062992125984"/>
  <pageSetup paperSize="9" orientation="landscape" r:id="rId1"/>
</worksheet>
</file>

<file path=xl/worksheets/sheet3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500-000000000000}">
  <sheetPr codeName="Feuil22">
    <tabColor indexed="11"/>
  </sheetPr>
  <dimension ref="A1:U314"/>
  <sheetViews>
    <sheetView showGridLines="0" topLeftCell="A166" zoomScale="87" zoomScaleNormal="87" workbookViewId="0">
      <selection activeCell="N217" sqref="N217"/>
    </sheetView>
  </sheetViews>
  <sheetFormatPr baseColWidth="10" defaultColWidth="11.44140625" defaultRowHeight="13.8"/>
  <cols>
    <col min="1" max="1" width="12.109375" style="117" customWidth="1"/>
    <col min="2" max="2" width="11.44140625" style="117"/>
    <col min="3" max="3" width="12.109375" style="117" customWidth="1"/>
    <col min="4" max="4" width="11.88671875" style="117" customWidth="1"/>
    <col min="5" max="6" width="11.44140625" style="117"/>
    <col min="7" max="7" width="12.109375" style="117" customWidth="1"/>
    <col min="8" max="8" width="11.88671875" style="117" customWidth="1"/>
    <col min="9" max="9" width="11.44140625" style="117"/>
    <col min="10" max="10" width="11.5546875" style="117" customWidth="1"/>
    <col min="11" max="13" width="11.44140625" style="117"/>
    <col min="14" max="17" width="11.44140625" style="117" customWidth="1"/>
    <col min="18" max="16384" width="11.44140625" style="117"/>
  </cols>
  <sheetData>
    <row r="1" spans="1:17" ht="18">
      <c r="A1" s="393" t="s">
        <v>84</v>
      </c>
    </row>
    <row r="2" spans="1:17" ht="18.600000000000001" thickBot="1">
      <c r="A2" s="394">
        <v>2021</v>
      </c>
    </row>
    <row r="3" spans="1:17">
      <c r="A3" s="2815" t="s">
        <v>0</v>
      </c>
      <c r="B3" s="2827" t="s">
        <v>269</v>
      </c>
      <c r="C3" s="2828"/>
      <c r="D3" s="2828"/>
      <c r="E3" s="3091"/>
      <c r="F3" s="2829" t="s">
        <v>270</v>
      </c>
      <c r="G3" s="2830"/>
      <c r="H3" s="2830"/>
      <c r="I3" s="3095"/>
      <c r="J3" s="2817" t="s">
        <v>271</v>
      </c>
      <c r="K3" s="2818"/>
      <c r="L3" s="2818"/>
      <c r="M3" s="3094"/>
      <c r="N3" s="2819" t="s">
        <v>272</v>
      </c>
      <c r="O3" s="2820"/>
      <c r="P3" s="2820"/>
      <c r="Q3" s="3090"/>
    </row>
    <row r="4" spans="1:17">
      <c r="A4" s="2816"/>
      <c r="B4" s="402" t="s">
        <v>17</v>
      </c>
      <c r="C4" s="403" t="s">
        <v>18</v>
      </c>
      <c r="D4" s="403" t="s">
        <v>52</v>
      </c>
      <c r="E4" s="404" t="s">
        <v>19</v>
      </c>
      <c r="F4" s="402" t="s">
        <v>17</v>
      </c>
      <c r="G4" s="403" t="s">
        <v>18</v>
      </c>
      <c r="H4" s="403" t="s">
        <v>52</v>
      </c>
      <c r="I4" s="404" t="s">
        <v>19</v>
      </c>
      <c r="J4" s="402" t="s">
        <v>17</v>
      </c>
      <c r="K4" s="403" t="s">
        <v>18</v>
      </c>
      <c r="L4" s="403" t="s">
        <v>52</v>
      </c>
      <c r="M4" s="404" t="s">
        <v>19</v>
      </c>
      <c r="N4" s="402" t="s">
        <v>17</v>
      </c>
      <c r="O4" s="403" t="s">
        <v>18</v>
      </c>
      <c r="P4" s="403" t="s">
        <v>52</v>
      </c>
      <c r="Q4" s="404" t="s">
        <v>19</v>
      </c>
    </row>
    <row r="5" spans="1:17">
      <c r="A5" s="397" t="s">
        <v>68</v>
      </c>
      <c r="B5" s="398">
        <f>élec!J5</f>
        <v>358097</v>
      </c>
      <c r="C5" s="399">
        <f>élec!K5</f>
        <v>9241</v>
      </c>
      <c r="D5" s="400">
        <f>élec!L5</f>
        <v>367338</v>
      </c>
      <c r="E5" s="401">
        <f>élec!M5</f>
        <v>2883</v>
      </c>
      <c r="F5" s="398">
        <f>élec!V5</f>
        <v>363893</v>
      </c>
      <c r="G5" s="399">
        <f>élec!W5</f>
        <v>9300</v>
      </c>
      <c r="H5" s="400">
        <f>élec!X5</f>
        <v>373193</v>
      </c>
      <c r="I5" s="401">
        <f>élec!Y5</f>
        <v>2897</v>
      </c>
      <c r="J5" s="398">
        <f>élec!AH5</f>
        <v>0</v>
      </c>
      <c r="K5" s="399">
        <f>élec!AI5</f>
        <v>0</v>
      </c>
      <c r="L5" s="400">
        <f>élec!AJ5</f>
        <v>0</v>
      </c>
      <c r="M5" s="401">
        <f>élec!AK5</f>
        <v>0</v>
      </c>
      <c r="N5" s="398">
        <f>élec!AT5</f>
        <v>0</v>
      </c>
      <c r="O5" s="399">
        <f>élec!AU5</f>
        <v>0</v>
      </c>
      <c r="P5" s="400">
        <f t="shared" ref="P5:P14" si="0">+N5+O5</f>
        <v>0</v>
      </c>
      <c r="Q5" s="401">
        <f>élec!AW5</f>
        <v>0</v>
      </c>
    </row>
    <row r="6" spans="1:17">
      <c r="A6" s="397" t="s">
        <v>7</v>
      </c>
      <c r="B6" s="398">
        <f>élec!J6</f>
        <v>222125</v>
      </c>
      <c r="C6" s="399">
        <f>élec!K6</f>
        <v>7526</v>
      </c>
      <c r="D6" s="400">
        <f>élec!L6</f>
        <v>229651</v>
      </c>
      <c r="E6" s="401">
        <f>élec!M6</f>
        <v>1351</v>
      </c>
      <c r="F6" s="398">
        <f>élec!V6</f>
        <v>224277</v>
      </c>
      <c r="G6" s="399">
        <f>élec!W6</f>
        <v>7632</v>
      </c>
      <c r="H6" s="400">
        <f>élec!X6</f>
        <v>231909</v>
      </c>
      <c r="I6" s="401">
        <f>élec!Y6</f>
        <v>1346</v>
      </c>
      <c r="J6" s="398">
        <f>élec!AH6</f>
        <v>0</v>
      </c>
      <c r="K6" s="399">
        <f>élec!AI6</f>
        <v>0</v>
      </c>
      <c r="L6" s="400">
        <f>élec!AJ6</f>
        <v>0</v>
      </c>
      <c r="M6" s="401">
        <f>élec!AK6</f>
        <v>0</v>
      </c>
      <c r="N6" s="398">
        <f>élec!AT6</f>
        <v>0</v>
      </c>
      <c r="O6" s="399">
        <f>élec!AU6</f>
        <v>0</v>
      </c>
      <c r="P6" s="400">
        <f t="shared" si="0"/>
        <v>0</v>
      </c>
      <c r="Q6" s="401">
        <f>élec!AW6</f>
        <v>0</v>
      </c>
    </row>
    <row r="7" spans="1:17">
      <c r="A7" s="397" t="s">
        <v>8</v>
      </c>
      <c r="B7" s="398">
        <f>élec!J7</f>
        <v>222436</v>
      </c>
      <c r="C7" s="399">
        <f>élec!K7</f>
        <v>10882</v>
      </c>
      <c r="D7" s="400">
        <f>élec!L7</f>
        <v>233318</v>
      </c>
      <c r="E7" s="401">
        <f>élec!M7</f>
        <v>1113</v>
      </c>
      <c r="F7" s="398">
        <f>élec!V7</f>
        <v>224433</v>
      </c>
      <c r="G7" s="399">
        <f>élec!W7</f>
        <v>10955</v>
      </c>
      <c r="H7" s="400">
        <f>élec!X7</f>
        <v>235388</v>
      </c>
      <c r="I7" s="401">
        <f>élec!Y7</f>
        <v>1120</v>
      </c>
      <c r="J7" s="398">
        <f>élec!AH7</f>
        <v>0</v>
      </c>
      <c r="K7" s="399">
        <f>élec!AI7</f>
        <v>0</v>
      </c>
      <c r="L7" s="400">
        <f>élec!AJ7</f>
        <v>0</v>
      </c>
      <c r="M7" s="401">
        <f>élec!AK7</f>
        <v>0</v>
      </c>
      <c r="N7" s="398">
        <f>élec!AT7</f>
        <v>0</v>
      </c>
      <c r="O7" s="399">
        <f>élec!AU7</f>
        <v>0</v>
      </c>
      <c r="P7" s="400">
        <f t="shared" si="0"/>
        <v>0</v>
      </c>
      <c r="Q7" s="401">
        <f>élec!AW7</f>
        <v>0</v>
      </c>
    </row>
    <row r="8" spans="1:17">
      <c r="A8" s="397" t="s">
        <v>4</v>
      </c>
      <c r="B8" s="398">
        <f>élec!J8</f>
        <v>448911</v>
      </c>
      <c r="C8" s="399">
        <f>élec!K8</f>
        <v>11542</v>
      </c>
      <c r="D8" s="400">
        <f>élec!L8</f>
        <v>460453</v>
      </c>
      <c r="E8" s="401">
        <f>élec!M8</f>
        <v>1530</v>
      </c>
      <c r="F8" s="398">
        <f>élec!V8</f>
        <v>451201</v>
      </c>
      <c r="G8" s="399">
        <f>élec!W8</f>
        <v>11575</v>
      </c>
      <c r="H8" s="400">
        <f>élec!X8</f>
        <v>462776</v>
      </c>
      <c r="I8" s="401">
        <f>élec!Y8</f>
        <v>1545</v>
      </c>
      <c r="J8" s="398">
        <f>élec!AH8</f>
        <v>0</v>
      </c>
      <c r="K8" s="399">
        <f>élec!AI8</f>
        <v>0</v>
      </c>
      <c r="L8" s="400">
        <f>élec!AJ8</f>
        <v>0</v>
      </c>
      <c r="M8" s="401">
        <f>élec!AK8</f>
        <v>0</v>
      </c>
      <c r="N8" s="398">
        <f>élec!AT8</f>
        <v>0</v>
      </c>
      <c r="O8" s="399">
        <f>élec!AU8</f>
        <v>0</v>
      </c>
      <c r="P8" s="400">
        <f t="shared" si="0"/>
        <v>0</v>
      </c>
      <c r="Q8" s="401">
        <f>élec!AW8</f>
        <v>0</v>
      </c>
    </row>
    <row r="9" spans="1:17">
      <c r="A9" s="397" t="s">
        <v>3</v>
      </c>
      <c r="B9" s="398">
        <f>élec!J9</f>
        <v>228279</v>
      </c>
      <c r="C9" s="399">
        <f>élec!K9</f>
        <v>6626</v>
      </c>
      <c r="D9" s="400">
        <f>élec!L9</f>
        <v>234905</v>
      </c>
      <c r="E9" s="401">
        <f>élec!M9</f>
        <v>1711</v>
      </c>
      <c r="F9" s="398">
        <f>élec!V9</f>
        <v>229518</v>
      </c>
      <c r="G9" s="399">
        <f>élec!W9</f>
        <v>6651</v>
      </c>
      <c r="H9" s="400">
        <f>élec!X9</f>
        <v>236169</v>
      </c>
      <c r="I9" s="401">
        <f>élec!Y9</f>
        <v>1764</v>
      </c>
      <c r="J9" s="398">
        <f>élec!AH9</f>
        <v>0</v>
      </c>
      <c r="K9" s="399">
        <f>élec!AI9</f>
        <v>0</v>
      </c>
      <c r="L9" s="400">
        <f>élec!AJ9</f>
        <v>0</v>
      </c>
      <c r="M9" s="401">
        <f>élec!AK9</f>
        <v>0</v>
      </c>
      <c r="N9" s="398">
        <f>élec!AT9</f>
        <v>0</v>
      </c>
      <c r="O9" s="399">
        <f>élec!AU9</f>
        <v>0</v>
      </c>
      <c r="P9" s="400">
        <f t="shared" si="0"/>
        <v>0</v>
      </c>
      <c r="Q9" s="401">
        <f>élec!AW9</f>
        <v>0</v>
      </c>
    </row>
    <row r="10" spans="1:17">
      <c r="A10" s="397" t="s">
        <v>397</v>
      </c>
      <c r="B10" s="398">
        <f>élec!J10</f>
        <v>218766</v>
      </c>
      <c r="C10" s="399">
        <f>élec!K10</f>
        <v>6389</v>
      </c>
      <c r="D10" s="400">
        <f>élec!L10</f>
        <v>225155</v>
      </c>
      <c r="E10" s="401">
        <f>élec!M10</f>
        <v>1297</v>
      </c>
      <c r="F10" s="398">
        <f>élec!V10</f>
        <v>221684</v>
      </c>
      <c r="G10" s="399">
        <f>élec!W10</f>
        <v>6461</v>
      </c>
      <c r="H10" s="400">
        <f>élec!X10</f>
        <v>228145</v>
      </c>
      <c r="I10" s="401">
        <f>élec!Y10</f>
        <v>1297</v>
      </c>
      <c r="J10" s="398">
        <f>élec!AH10</f>
        <v>0</v>
      </c>
      <c r="K10" s="399">
        <f>élec!AI10</f>
        <v>0</v>
      </c>
      <c r="L10" s="400">
        <f>élec!AJ10</f>
        <v>0</v>
      </c>
      <c r="M10" s="401">
        <f>élec!AK10</f>
        <v>0</v>
      </c>
      <c r="N10" s="398">
        <f>élec!AT10</f>
        <v>0</v>
      </c>
      <c r="O10" s="399">
        <f>élec!AU10</f>
        <v>0</v>
      </c>
      <c r="P10" s="400">
        <f t="shared" si="0"/>
        <v>0</v>
      </c>
      <c r="Q10" s="401">
        <f>élec!AW10</f>
        <v>0</v>
      </c>
    </row>
    <row r="11" spans="1:17">
      <c r="A11" s="397" t="s">
        <v>399</v>
      </c>
      <c r="B11" s="398">
        <f>élec!J11</f>
        <v>306922</v>
      </c>
      <c r="C11" s="399">
        <f>élec!K11</f>
        <v>7716</v>
      </c>
      <c r="D11" s="400">
        <f>élec!L11</f>
        <v>314638</v>
      </c>
      <c r="E11" s="401">
        <f>élec!M11</f>
        <v>1558</v>
      </c>
      <c r="F11" s="398">
        <f>élec!V11</f>
        <v>309815</v>
      </c>
      <c r="G11" s="399">
        <f>élec!W11</f>
        <v>7780</v>
      </c>
      <c r="H11" s="400">
        <f>élec!X11</f>
        <v>317595</v>
      </c>
      <c r="I11" s="401">
        <f>élec!Y11</f>
        <v>1560</v>
      </c>
      <c r="J11" s="398">
        <f>élec!AH11</f>
        <v>0</v>
      </c>
      <c r="K11" s="399">
        <f>élec!AI11</f>
        <v>0</v>
      </c>
      <c r="L11" s="400">
        <f>élec!AJ11</f>
        <v>0</v>
      </c>
      <c r="M11" s="401">
        <f>élec!AK11</f>
        <v>0</v>
      </c>
      <c r="N11" s="398">
        <f>élec!AT11</f>
        <v>0</v>
      </c>
      <c r="O11" s="399">
        <f>élec!AU11</f>
        <v>0</v>
      </c>
      <c r="P11" s="400">
        <f t="shared" si="0"/>
        <v>0</v>
      </c>
      <c r="Q11" s="401">
        <f>élec!AW11</f>
        <v>0</v>
      </c>
    </row>
    <row r="12" spans="1:17">
      <c r="A12" s="397" t="s">
        <v>883</v>
      </c>
      <c r="B12" s="398">
        <f>élec!J12</f>
        <v>219181</v>
      </c>
      <c r="C12" s="399">
        <f>élec!K12</f>
        <v>6979</v>
      </c>
      <c r="D12" s="400">
        <f>élec!L12</f>
        <v>226160</v>
      </c>
      <c r="E12" s="401">
        <f>élec!M12</f>
        <v>1431</v>
      </c>
      <c r="F12" s="398">
        <f>élec!V12</f>
        <v>221553</v>
      </c>
      <c r="G12" s="399">
        <f>élec!W12</f>
        <v>7013</v>
      </c>
      <c r="H12" s="400">
        <f>élec!X12</f>
        <v>228566</v>
      </c>
      <c r="I12" s="401">
        <f>élec!Y12</f>
        <v>1452</v>
      </c>
      <c r="J12" s="398">
        <f>élec!AH12</f>
        <v>0</v>
      </c>
      <c r="K12" s="399">
        <f>élec!AI12</f>
        <v>0</v>
      </c>
      <c r="L12" s="400">
        <f>élec!AJ12</f>
        <v>0</v>
      </c>
      <c r="M12" s="401">
        <f>élec!AK12</f>
        <v>0</v>
      </c>
      <c r="N12" s="398">
        <f>élec!AT12</f>
        <v>0</v>
      </c>
      <c r="O12" s="399">
        <f>élec!AU12</f>
        <v>0</v>
      </c>
      <c r="P12" s="400">
        <f t="shared" si="0"/>
        <v>0</v>
      </c>
      <c r="Q12" s="401">
        <f>élec!AW12</f>
        <v>0</v>
      </c>
    </row>
    <row r="13" spans="1:17">
      <c r="A13" s="397" t="s">
        <v>884</v>
      </c>
      <c r="B13" s="398">
        <f>élec!J13</f>
        <v>292222</v>
      </c>
      <c r="C13" s="399">
        <f>élec!K13</f>
        <v>8147</v>
      </c>
      <c r="D13" s="400">
        <f>élec!L13</f>
        <v>300369</v>
      </c>
      <c r="E13" s="401">
        <f>élec!M13</f>
        <v>1660</v>
      </c>
      <c r="F13" s="398">
        <f>élec!V13</f>
        <v>296138</v>
      </c>
      <c r="G13" s="399">
        <f>élec!W13</f>
        <v>8316</v>
      </c>
      <c r="H13" s="400">
        <f>élec!X13</f>
        <v>304454</v>
      </c>
      <c r="I13" s="401">
        <f>élec!Y13</f>
        <v>1673</v>
      </c>
      <c r="J13" s="398">
        <f>élec!AH13</f>
        <v>0</v>
      </c>
      <c r="K13" s="399">
        <f>élec!AI13</f>
        <v>0</v>
      </c>
      <c r="L13" s="400">
        <f>élec!AJ13</f>
        <v>0</v>
      </c>
      <c r="M13" s="401">
        <f>élec!AK13</f>
        <v>0</v>
      </c>
      <c r="N13" s="398">
        <f>élec!AT13</f>
        <v>0</v>
      </c>
      <c r="O13" s="399">
        <f>élec!AU13</f>
        <v>0</v>
      </c>
      <c r="P13" s="400">
        <f t="shared" si="0"/>
        <v>0</v>
      </c>
      <c r="Q13" s="401">
        <f>élec!AW13</f>
        <v>0</v>
      </c>
    </row>
    <row r="14" spans="1:17" ht="14.4" thickBot="1">
      <c r="A14" s="397" t="s">
        <v>885</v>
      </c>
      <c r="B14" s="398">
        <f>élec!J14</f>
        <v>83419</v>
      </c>
      <c r="C14" s="399">
        <f>élec!K14</f>
        <v>3303</v>
      </c>
      <c r="D14" s="400">
        <f>élec!L14</f>
        <v>86722</v>
      </c>
      <c r="E14" s="401">
        <f>élec!M14</f>
        <v>263</v>
      </c>
      <c r="F14" s="398">
        <f>élec!V14</f>
        <v>85230</v>
      </c>
      <c r="G14" s="399">
        <f>élec!W14</f>
        <v>3325</v>
      </c>
      <c r="H14" s="400">
        <f>élec!X14</f>
        <v>88555</v>
      </c>
      <c r="I14" s="401">
        <f>élec!Y14</f>
        <v>266</v>
      </c>
      <c r="J14" s="398">
        <f>élec!AH14</f>
        <v>0</v>
      </c>
      <c r="K14" s="399">
        <f>élec!AI14</f>
        <v>0</v>
      </c>
      <c r="L14" s="400">
        <f>élec!AJ14</f>
        <v>0</v>
      </c>
      <c r="M14" s="401">
        <f>élec!AK14</f>
        <v>0</v>
      </c>
      <c r="N14" s="398">
        <f>élec!AT14</f>
        <v>0</v>
      </c>
      <c r="O14" s="399">
        <f>élec!AU14</f>
        <v>0</v>
      </c>
      <c r="P14" s="400">
        <f t="shared" si="0"/>
        <v>0</v>
      </c>
      <c r="Q14" s="401">
        <f>élec!AW14</f>
        <v>0</v>
      </c>
    </row>
    <row r="15" spans="1:17" ht="14.4" thickBot="1">
      <c r="A15" s="433" t="s">
        <v>16</v>
      </c>
      <c r="B15" s="417">
        <f t="shared" ref="B15:Q15" si="1">SUM(B5:B14)</f>
        <v>2600358</v>
      </c>
      <c r="C15" s="419">
        <f t="shared" si="1"/>
        <v>78351</v>
      </c>
      <c r="D15" s="419">
        <f t="shared" si="1"/>
        <v>2678709</v>
      </c>
      <c r="E15" s="420">
        <f t="shared" si="1"/>
        <v>14797</v>
      </c>
      <c r="F15" s="417">
        <f t="shared" si="1"/>
        <v>2627742</v>
      </c>
      <c r="G15" s="419">
        <f t="shared" si="1"/>
        <v>79008</v>
      </c>
      <c r="H15" s="419">
        <f t="shared" si="1"/>
        <v>2706750</v>
      </c>
      <c r="I15" s="420">
        <f t="shared" si="1"/>
        <v>14920</v>
      </c>
      <c r="J15" s="803">
        <f t="shared" si="1"/>
        <v>0</v>
      </c>
      <c r="K15" s="419">
        <f t="shared" si="1"/>
        <v>0</v>
      </c>
      <c r="L15" s="419">
        <f t="shared" si="1"/>
        <v>0</v>
      </c>
      <c r="M15" s="420">
        <f t="shared" si="1"/>
        <v>0</v>
      </c>
      <c r="N15" s="803">
        <f t="shared" si="1"/>
        <v>0</v>
      </c>
      <c r="O15" s="419">
        <f t="shared" si="1"/>
        <v>0</v>
      </c>
      <c r="P15" s="419">
        <f t="shared" si="1"/>
        <v>0</v>
      </c>
      <c r="Q15" s="420">
        <f t="shared" si="1"/>
        <v>0</v>
      </c>
    </row>
    <row r="17" spans="1:17" ht="18.600000000000001" thickBot="1">
      <c r="A17" s="394">
        <v>2022</v>
      </c>
    </row>
    <row r="18" spans="1:17">
      <c r="A18" s="2815" t="s">
        <v>0</v>
      </c>
      <c r="B18" s="2827" t="s">
        <v>269</v>
      </c>
      <c r="C18" s="2828"/>
      <c r="D18" s="2828"/>
      <c r="E18" s="3091"/>
      <c r="F18" s="2829" t="s">
        <v>270</v>
      </c>
      <c r="G18" s="2830"/>
      <c r="H18" s="2830"/>
      <c r="I18" s="3095"/>
      <c r="J18" s="2817" t="s">
        <v>271</v>
      </c>
      <c r="K18" s="2818"/>
      <c r="L18" s="2818"/>
      <c r="M18" s="3094"/>
      <c r="N18" s="2819" t="s">
        <v>272</v>
      </c>
      <c r="O18" s="2820"/>
      <c r="P18" s="2820"/>
      <c r="Q18" s="3090"/>
    </row>
    <row r="19" spans="1:17">
      <c r="A19" s="2816"/>
      <c r="B19" s="402" t="s">
        <v>17</v>
      </c>
      <c r="C19" s="403" t="s">
        <v>18</v>
      </c>
      <c r="D19" s="403" t="s">
        <v>52</v>
      </c>
      <c r="E19" s="404" t="s">
        <v>19</v>
      </c>
      <c r="F19" s="402" t="s">
        <v>17</v>
      </c>
      <c r="G19" s="403" t="s">
        <v>18</v>
      </c>
      <c r="H19" s="403" t="s">
        <v>52</v>
      </c>
      <c r="I19" s="404" t="s">
        <v>19</v>
      </c>
      <c r="J19" s="402" t="s">
        <v>17</v>
      </c>
      <c r="K19" s="403" t="s">
        <v>18</v>
      </c>
      <c r="L19" s="403" t="s">
        <v>52</v>
      </c>
      <c r="M19" s="404" t="s">
        <v>19</v>
      </c>
      <c r="N19" s="402" t="s">
        <v>17</v>
      </c>
      <c r="O19" s="403" t="s">
        <v>18</v>
      </c>
      <c r="P19" s="403" t="s">
        <v>52</v>
      </c>
      <c r="Q19" s="404" t="s">
        <v>19</v>
      </c>
    </row>
    <row r="20" spans="1:17">
      <c r="A20" s="397" t="s">
        <v>68</v>
      </c>
      <c r="B20" s="398">
        <f>élec!J20</f>
        <v>376224</v>
      </c>
      <c r="C20" s="399">
        <f>élec!K20</f>
        <v>9978</v>
      </c>
      <c r="D20" s="400">
        <f>élec!L20</f>
        <v>386202</v>
      </c>
      <c r="E20" s="401">
        <f>élec!M20</f>
        <v>2972</v>
      </c>
      <c r="F20" s="398">
        <f>élec!V20</f>
        <v>379839</v>
      </c>
      <c r="G20" s="399">
        <f>élec!W20</f>
        <v>10245</v>
      </c>
      <c r="H20" s="400">
        <f>élec!X20</f>
        <v>390084</v>
      </c>
      <c r="I20" s="401">
        <f>élec!Y20</f>
        <v>2997</v>
      </c>
      <c r="J20" s="398">
        <f>élec!AH20</f>
        <v>0</v>
      </c>
      <c r="K20" s="399">
        <f>élec!AI20</f>
        <v>0</v>
      </c>
      <c r="L20" s="400">
        <f>élec!AJ20</f>
        <v>0</v>
      </c>
      <c r="M20" s="401">
        <f>élec!AK20</f>
        <v>0</v>
      </c>
      <c r="N20" s="804">
        <f>élec!AT20</f>
        <v>0</v>
      </c>
      <c r="O20" s="805">
        <f>élec!AU20</f>
        <v>0</v>
      </c>
      <c r="P20" s="806">
        <f t="shared" ref="P20:P29" si="2">+N20+O20</f>
        <v>0</v>
      </c>
      <c r="Q20" s="401">
        <f>élec!AW20</f>
        <v>0</v>
      </c>
    </row>
    <row r="21" spans="1:17">
      <c r="A21" s="397" t="s">
        <v>7</v>
      </c>
      <c r="B21" s="398">
        <f>élec!J21</f>
        <v>231931</v>
      </c>
      <c r="C21" s="399">
        <f>élec!K21</f>
        <v>7731</v>
      </c>
      <c r="D21" s="400">
        <f>élec!L21</f>
        <v>239662</v>
      </c>
      <c r="E21" s="401">
        <f>élec!M21</f>
        <v>1398</v>
      </c>
      <c r="F21" s="398">
        <f>élec!V21</f>
        <v>234611</v>
      </c>
      <c r="G21" s="399">
        <f>élec!W21</f>
        <v>7787</v>
      </c>
      <c r="H21" s="400">
        <f>élec!X21</f>
        <v>242398</v>
      </c>
      <c r="I21" s="401">
        <f>élec!Y21</f>
        <v>1426</v>
      </c>
      <c r="J21" s="398">
        <f>élec!AH21</f>
        <v>0</v>
      </c>
      <c r="K21" s="399">
        <f>élec!AI21</f>
        <v>0</v>
      </c>
      <c r="L21" s="400">
        <f>élec!AJ21</f>
        <v>0</v>
      </c>
      <c r="M21" s="401">
        <f>élec!AK21</f>
        <v>0</v>
      </c>
      <c r="N21" s="804">
        <f>élec!AT21</f>
        <v>0</v>
      </c>
      <c r="O21" s="805">
        <f>élec!AU21</f>
        <v>0</v>
      </c>
      <c r="P21" s="806">
        <f t="shared" si="2"/>
        <v>0</v>
      </c>
      <c r="Q21" s="401">
        <f>élec!AW21</f>
        <v>0</v>
      </c>
    </row>
    <row r="22" spans="1:17">
      <c r="A22" s="397" t="s">
        <v>8</v>
      </c>
      <c r="B22" s="398">
        <f>élec!J22</f>
        <v>233717</v>
      </c>
      <c r="C22" s="399">
        <f>élec!K22</f>
        <v>11313</v>
      </c>
      <c r="D22" s="400">
        <f>élec!L22</f>
        <v>245030</v>
      </c>
      <c r="E22" s="401">
        <f>élec!M22</f>
        <v>1169</v>
      </c>
      <c r="F22" s="398">
        <f>élec!V22</f>
        <v>235459</v>
      </c>
      <c r="G22" s="399">
        <f>élec!W22</f>
        <v>11413</v>
      </c>
      <c r="H22" s="400">
        <f>élec!X22</f>
        <v>246872</v>
      </c>
      <c r="I22" s="401">
        <f>élec!Y22</f>
        <v>1188</v>
      </c>
      <c r="J22" s="398">
        <f>élec!AH22</f>
        <v>0</v>
      </c>
      <c r="K22" s="399">
        <f>élec!AI22</f>
        <v>0</v>
      </c>
      <c r="L22" s="400">
        <f>élec!AJ22</f>
        <v>0</v>
      </c>
      <c r="M22" s="401">
        <f>élec!AK22</f>
        <v>0</v>
      </c>
      <c r="N22" s="804">
        <f>élec!AT22</f>
        <v>0</v>
      </c>
      <c r="O22" s="805">
        <f>élec!AU22</f>
        <v>0</v>
      </c>
      <c r="P22" s="806">
        <f t="shared" si="2"/>
        <v>0</v>
      </c>
      <c r="Q22" s="401">
        <f>élec!AW22</f>
        <v>0</v>
      </c>
    </row>
    <row r="23" spans="1:17">
      <c r="A23" s="397" t="s">
        <v>4</v>
      </c>
      <c r="B23" s="398">
        <f>élec!J23</f>
        <v>462342</v>
      </c>
      <c r="C23" s="399">
        <f>élec!K23</f>
        <v>12025</v>
      </c>
      <c r="D23" s="400">
        <f>élec!L23</f>
        <v>474367</v>
      </c>
      <c r="E23" s="401">
        <f>élec!M23</f>
        <v>1574</v>
      </c>
      <c r="F23" s="398">
        <f>élec!V23</f>
        <v>467806</v>
      </c>
      <c r="G23" s="399">
        <f>élec!W23</f>
        <v>12175</v>
      </c>
      <c r="H23" s="400">
        <f>élec!X23</f>
        <v>479981</v>
      </c>
      <c r="I23" s="401">
        <f>élec!Y23</f>
        <v>1578</v>
      </c>
      <c r="J23" s="398">
        <f>élec!AH23</f>
        <v>0</v>
      </c>
      <c r="K23" s="399">
        <f>élec!AI23</f>
        <v>0</v>
      </c>
      <c r="L23" s="400">
        <f>élec!AJ23</f>
        <v>0</v>
      </c>
      <c r="M23" s="401">
        <f>élec!AK23</f>
        <v>0</v>
      </c>
      <c r="N23" s="804">
        <f>élec!AT23</f>
        <v>0</v>
      </c>
      <c r="O23" s="805">
        <f>élec!AU23</f>
        <v>0</v>
      </c>
      <c r="P23" s="806">
        <f t="shared" si="2"/>
        <v>0</v>
      </c>
      <c r="Q23" s="401">
        <f>élec!AW23</f>
        <v>0</v>
      </c>
    </row>
    <row r="24" spans="1:17">
      <c r="A24" s="397" t="s">
        <v>3</v>
      </c>
      <c r="B24" s="398">
        <f>élec!J24</f>
        <v>234276</v>
      </c>
      <c r="C24" s="399">
        <f>élec!K24</f>
        <v>6752</v>
      </c>
      <c r="D24" s="400">
        <f>élec!L24</f>
        <v>241028</v>
      </c>
      <c r="E24" s="401">
        <f>élec!M24</f>
        <v>1976</v>
      </c>
      <c r="F24" s="398">
        <f>élec!V24</f>
        <v>236259</v>
      </c>
      <c r="G24" s="399">
        <f>élec!W24</f>
        <v>6801</v>
      </c>
      <c r="H24" s="400">
        <f>élec!X24</f>
        <v>243060</v>
      </c>
      <c r="I24" s="401">
        <f>élec!Y24</f>
        <v>2030</v>
      </c>
      <c r="J24" s="398">
        <f>élec!AH24</f>
        <v>0</v>
      </c>
      <c r="K24" s="399">
        <f>élec!AI24</f>
        <v>0</v>
      </c>
      <c r="L24" s="400">
        <f>élec!AJ24</f>
        <v>0</v>
      </c>
      <c r="M24" s="401">
        <f>élec!AK24</f>
        <v>0</v>
      </c>
      <c r="N24" s="804">
        <f>élec!AT24</f>
        <v>0</v>
      </c>
      <c r="O24" s="805">
        <f>élec!AU24</f>
        <v>0</v>
      </c>
      <c r="P24" s="806">
        <f t="shared" si="2"/>
        <v>0</v>
      </c>
      <c r="Q24" s="401">
        <f>élec!AW24</f>
        <v>0</v>
      </c>
    </row>
    <row r="25" spans="1:17">
      <c r="A25" s="397" t="s">
        <v>397</v>
      </c>
      <c r="B25" s="398">
        <f>élec!J25</f>
        <v>228722</v>
      </c>
      <c r="C25" s="399">
        <f>élec!K25</f>
        <v>6847</v>
      </c>
      <c r="D25" s="400">
        <f>élec!L25</f>
        <v>235569</v>
      </c>
      <c r="E25" s="401">
        <f>élec!M25</f>
        <v>1329</v>
      </c>
      <c r="F25" s="398">
        <f>élec!V25</f>
        <v>230065</v>
      </c>
      <c r="G25" s="399">
        <f>élec!W25</f>
        <v>6837</v>
      </c>
      <c r="H25" s="400">
        <f>élec!X25</f>
        <v>236902</v>
      </c>
      <c r="I25" s="401">
        <f>élec!Y25</f>
        <v>1351</v>
      </c>
      <c r="J25" s="398">
        <f>élec!AH25</f>
        <v>0</v>
      </c>
      <c r="K25" s="399">
        <f>élec!AI25</f>
        <v>0</v>
      </c>
      <c r="L25" s="400">
        <f>élec!AJ25</f>
        <v>0</v>
      </c>
      <c r="M25" s="401">
        <f>élec!AK25</f>
        <v>0</v>
      </c>
      <c r="N25" s="804">
        <f>élec!AT25</f>
        <v>0</v>
      </c>
      <c r="O25" s="805">
        <f>élec!AU25</f>
        <v>0</v>
      </c>
      <c r="P25" s="806">
        <f t="shared" si="2"/>
        <v>0</v>
      </c>
      <c r="Q25" s="401">
        <f>élec!AW25</f>
        <v>0</v>
      </c>
    </row>
    <row r="26" spans="1:17">
      <c r="A26" s="397" t="s">
        <v>399</v>
      </c>
      <c r="B26" s="398">
        <f>élec!J26</f>
        <v>322467</v>
      </c>
      <c r="C26" s="399">
        <f>élec!K26</f>
        <v>8060</v>
      </c>
      <c r="D26" s="400">
        <f>élec!L26</f>
        <v>330527</v>
      </c>
      <c r="E26" s="401">
        <f>élec!M26</f>
        <v>1595</v>
      </c>
      <c r="F26" s="398">
        <f>élec!V26</f>
        <v>326953</v>
      </c>
      <c r="G26" s="399">
        <f>élec!W26</f>
        <v>8126</v>
      </c>
      <c r="H26" s="400">
        <f>élec!X26</f>
        <v>335079</v>
      </c>
      <c r="I26" s="401">
        <f>élec!Y26</f>
        <v>1607</v>
      </c>
      <c r="J26" s="398">
        <f>élec!AH26</f>
        <v>0</v>
      </c>
      <c r="K26" s="399">
        <f>élec!AI26</f>
        <v>0</v>
      </c>
      <c r="L26" s="400">
        <f>élec!AJ26</f>
        <v>0</v>
      </c>
      <c r="M26" s="401">
        <f>élec!AK26</f>
        <v>0</v>
      </c>
      <c r="N26" s="804">
        <f>élec!AT26</f>
        <v>0</v>
      </c>
      <c r="O26" s="805">
        <f>élec!AU26</f>
        <v>0</v>
      </c>
      <c r="P26" s="806">
        <f t="shared" si="2"/>
        <v>0</v>
      </c>
      <c r="Q26" s="401">
        <f>élec!AW26</f>
        <v>0</v>
      </c>
    </row>
    <row r="27" spans="1:17">
      <c r="A27" s="397" t="s">
        <v>883</v>
      </c>
      <c r="B27" s="398">
        <f>élec!J27</f>
        <v>228640</v>
      </c>
      <c r="C27" s="399">
        <f>élec!K27</f>
        <v>7212</v>
      </c>
      <c r="D27" s="400">
        <f>élec!L27</f>
        <v>235852</v>
      </c>
      <c r="E27" s="401">
        <f>élec!M27</f>
        <v>1503</v>
      </c>
      <c r="F27" s="398">
        <f>élec!V27</f>
        <v>230568</v>
      </c>
      <c r="G27" s="399">
        <f>élec!W27</f>
        <v>7260</v>
      </c>
      <c r="H27" s="400">
        <f>élec!X27</f>
        <v>237828</v>
      </c>
      <c r="I27" s="401">
        <f>élec!Y27</f>
        <v>1526</v>
      </c>
      <c r="J27" s="398">
        <f>élec!AH27</f>
        <v>0</v>
      </c>
      <c r="K27" s="399">
        <f>élec!AI27</f>
        <v>0</v>
      </c>
      <c r="L27" s="400">
        <f>élec!AJ27</f>
        <v>0</v>
      </c>
      <c r="M27" s="401">
        <f>élec!AK27</f>
        <v>0</v>
      </c>
      <c r="N27" s="804">
        <f>élec!AT27</f>
        <v>0</v>
      </c>
      <c r="O27" s="805">
        <f>élec!AU27</f>
        <v>0</v>
      </c>
      <c r="P27" s="806">
        <f t="shared" si="2"/>
        <v>0</v>
      </c>
      <c r="Q27" s="401">
        <f>élec!AW27</f>
        <v>0</v>
      </c>
    </row>
    <row r="28" spans="1:17">
      <c r="A28" s="397" t="s">
        <v>884</v>
      </c>
      <c r="B28" s="398">
        <f>élec!J28</f>
        <v>303470</v>
      </c>
      <c r="C28" s="399">
        <f>élec!K28</f>
        <v>8491</v>
      </c>
      <c r="D28" s="400">
        <f>élec!L28</f>
        <v>311961</v>
      </c>
      <c r="E28" s="401">
        <f>élec!M28</f>
        <v>1708</v>
      </c>
      <c r="F28" s="398">
        <f>élec!V28</f>
        <v>305596</v>
      </c>
      <c r="G28" s="399">
        <f>élec!W28</f>
        <v>8566</v>
      </c>
      <c r="H28" s="400">
        <f>élec!X28</f>
        <v>314162</v>
      </c>
      <c r="I28" s="401">
        <f>élec!Y28</f>
        <v>1729</v>
      </c>
      <c r="J28" s="398">
        <f>élec!AH28</f>
        <v>0</v>
      </c>
      <c r="K28" s="399">
        <f>élec!AI28</f>
        <v>0</v>
      </c>
      <c r="L28" s="400">
        <f>élec!AJ28</f>
        <v>0</v>
      </c>
      <c r="M28" s="401">
        <f>élec!AK28</f>
        <v>0</v>
      </c>
      <c r="N28" s="804">
        <f>élec!AT28</f>
        <v>0</v>
      </c>
      <c r="O28" s="805">
        <f>élec!AU28</f>
        <v>0</v>
      </c>
      <c r="P28" s="806">
        <f t="shared" si="2"/>
        <v>0</v>
      </c>
      <c r="Q28" s="401">
        <f>élec!AW28</f>
        <v>0</v>
      </c>
    </row>
    <row r="29" spans="1:17" ht="14.4" thickBot="1">
      <c r="A29" s="397" t="s">
        <v>885</v>
      </c>
      <c r="B29" s="398">
        <f>élec!J29</f>
        <v>87745</v>
      </c>
      <c r="C29" s="399">
        <f>élec!K29</f>
        <v>3407</v>
      </c>
      <c r="D29" s="400">
        <f>élec!L29</f>
        <v>91152</v>
      </c>
      <c r="E29" s="401">
        <f>élec!M29</f>
        <v>267</v>
      </c>
      <c r="F29" s="398">
        <f>élec!V29</f>
        <v>89736</v>
      </c>
      <c r="G29" s="399">
        <f>élec!W29</f>
        <v>3467</v>
      </c>
      <c r="H29" s="400">
        <f>élec!X29</f>
        <v>93203</v>
      </c>
      <c r="I29" s="401">
        <f>élec!Y29</f>
        <v>268</v>
      </c>
      <c r="J29" s="398">
        <f>élec!AH29</f>
        <v>0</v>
      </c>
      <c r="K29" s="399">
        <f>élec!AI29</f>
        <v>0</v>
      </c>
      <c r="L29" s="400">
        <f>élec!AJ29</f>
        <v>0</v>
      </c>
      <c r="M29" s="401">
        <f>élec!AK29</f>
        <v>0</v>
      </c>
      <c r="N29" s="804">
        <f>élec!AT29</f>
        <v>0</v>
      </c>
      <c r="O29" s="805">
        <f>élec!AU29</f>
        <v>0</v>
      </c>
      <c r="P29" s="806">
        <f t="shared" si="2"/>
        <v>0</v>
      </c>
      <c r="Q29" s="401">
        <f>élec!AW29</f>
        <v>0</v>
      </c>
    </row>
    <row r="30" spans="1:17" ht="14.4" thickBot="1">
      <c r="A30" s="433" t="s">
        <v>16</v>
      </c>
      <c r="B30" s="417">
        <f t="shared" ref="B30:Q30" si="3">SUM(B20:B29)</f>
        <v>2709534</v>
      </c>
      <c r="C30" s="419">
        <f t="shared" si="3"/>
        <v>81816</v>
      </c>
      <c r="D30" s="419">
        <f t="shared" si="3"/>
        <v>2791350</v>
      </c>
      <c r="E30" s="420">
        <f t="shared" si="3"/>
        <v>15491</v>
      </c>
      <c r="F30" s="417">
        <f t="shared" si="3"/>
        <v>2736892</v>
      </c>
      <c r="G30" s="419">
        <f t="shared" si="3"/>
        <v>82677</v>
      </c>
      <c r="H30" s="419">
        <f t="shared" si="3"/>
        <v>2819569</v>
      </c>
      <c r="I30" s="420">
        <f t="shared" si="3"/>
        <v>15700</v>
      </c>
      <c r="J30" s="807">
        <f t="shared" si="3"/>
        <v>0</v>
      </c>
      <c r="K30" s="808">
        <f t="shared" si="3"/>
        <v>0</v>
      </c>
      <c r="L30" s="808">
        <f t="shared" si="3"/>
        <v>0</v>
      </c>
      <c r="M30" s="809">
        <f t="shared" si="3"/>
        <v>0</v>
      </c>
      <c r="N30" s="807">
        <f t="shared" si="3"/>
        <v>0</v>
      </c>
      <c r="O30" s="808">
        <f t="shared" si="3"/>
        <v>0</v>
      </c>
      <c r="P30" s="808">
        <f t="shared" si="3"/>
        <v>0</v>
      </c>
      <c r="Q30" s="420">
        <f t="shared" si="3"/>
        <v>0</v>
      </c>
    </row>
    <row r="31" spans="1:17">
      <c r="A31" s="424"/>
      <c r="B31" s="424"/>
      <c r="C31" s="424"/>
      <c r="D31" s="424"/>
      <c r="E31" s="424"/>
      <c r="F31" s="424"/>
      <c r="G31" s="424"/>
      <c r="H31" s="424"/>
      <c r="I31" s="424"/>
      <c r="J31" s="424"/>
      <c r="K31" s="424"/>
      <c r="L31" s="424"/>
      <c r="M31" s="424"/>
      <c r="N31" s="424"/>
      <c r="O31" s="424"/>
      <c r="P31" s="424"/>
      <c r="Q31" s="424"/>
    </row>
    <row r="32" spans="1:17">
      <c r="A32" s="424"/>
      <c r="B32" s="424"/>
      <c r="C32" s="424"/>
      <c r="D32" s="424"/>
      <c r="E32" s="424"/>
      <c r="F32" s="424"/>
      <c r="G32" s="424"/>
      <c r="H32" s="424"/>
      <c r="I32" s="424"/>
      <c r="J32" s="424"/>
      <c r="K32" s="424"/>
      <c r="L32" s="424"/>
      <c r="M32" s="424"/>
      <c r="N32" s="424"/>
      <c r="O32" s="424"/>
      <c r="P32" s="424"/>
      <c r="Q32" s="424"/>
    </row>
    <row r="33" spans="1:21" ht="18">
      <c r="A33" s="393" t="s">
        <v>868</v>
      </c>
    </row>
    <row r="34" spans="1:21" ht="18.600000000000001" thickBot="1">
      <c r="A34" s="394">
        <f>A2</f>
        <v>2021</v>
      </c>
    </row>
    <row r="35" spans="1:21">
      <c r="A35" s="2815" t="s">
        <v>0</v>
      </c>
      <c r="B35" s="2827" t="s">
        <v>269</v>
      </c>
      <c r="C35" s="2828"/>
      <c r="D35" s="2828"/>
      <c r="E35" s="3091"/>
      <c r="F35" s="2829" t="s">
        <v>270</v>
      </c>
      <c r="G35" s="2830"/>
      <c r="H35" s="2830"/>
      <c r="I35" s="3095"/>
      <c r="J35" s="2817" t="s">
        <v>271</v>
      </c>
      <c r="K35" s="2818"/>
      <c r="L35" s="2818"/>
      <c r="M35" s="3094"/>
      <c r="N35" s="2819" t="s">
        <v>272</v>
      </c>
      <c r="O35" s="2820"/>
      <c r="P35" s="2820"/>
      <c r="Q35" s="3090"/>
      <c r="R35" s="3413" t="s">
        <v>83</v>
      </c>
      <c r="S35" s="3413"/>
      <c r="T35" s="3413"/>
      <c r="U35" s="3414"/>
    </row>
    <row r="36" spans="1:21" ht="14.4" thickBot="1">
      <c r="A36" s="2816"/>
      <c r="B36" s="402" t="s">
        <v>17</v>
      </c>
      <c r="C36" s="403" t="s">
        <v>18</v>
      </c>
      <c r="D36" s="403" t="s">
        <v>52</v>
      </c>
      <c r="E36" s="404" t="s">
        <v>19</v>
      </c>
      <c r="F36" s="402" t="s">
        <v>17</v>
      </c>
      <c r="G36" s="403" t="s">
        <v>18</v>
      </c>
      <c r="H36" s="403" t="s">
        <v>52</v>
      </c>
      <c r="I36" s="404" t="s">
        <v>19</v>
      </c>
      <c r="J36" s="402" t="s">
        <v>17</v>
      </c>
      <c r="K36" s="403" t="s">
        <v>18</v>
      </c>
      <c r="L36" s="403" t="s">
        <v>52</v>
      </c>
      <c r="M36" s="404" t="s">
        <v>19</v>
      </c>
      <c r="N36" s="402" t="s">
        <v>17</v>
      </c>
      <c r="O36" s="403" t="s">
        <v>18</v>
      </c>
      <c r="P36" s="403" t="s">
        <v>52</v>
      </c>
      <c r="Q36" s="404" t="s">
        <v>19</v>
      </c>
      <c r="R36" s="403" t="s">
        <v>17</v>
      </c>
      <c r="S36" s="403" t="s">
        <v>18</v>
      </c>
      <c r="T36" s="403" t="s">
        <v>52</v>
      </c>
      <c r="U36" s="431" t="s">
        <v>19</v>
      </c>
    </row>
    <row r="37" spans="1:21">
      <c r="A37" s="397" t="s">
        <v>68</v>
      </c>
      <c r="B37" s="398">
        <f>élec!B37+élec!F37+élec!J37</f>
        <v>4864</v>
      </c>
      <c r="C37" s="399">
        <f>élec!C37+élec!G37+élec!K37</f>
        <v>56</v>
      </c>
      <c r="D37" s="400">
        <f>élec!D37+élec!H37+élec!L37</f>
        <v>4920</v>
      </c>
      <c r="E37" s="401">
        <f>élec!E37+élec!I37+élec!M37</f>
        <v>8</v>
      </c>
      <c r="F37" s="398">
        <f>élec!N37+élec!R37+élec!V37</f>
        <v>5796</v>
      </c>
      <c r="G37" s="399">
        <f>élec!O37+élec!S37+élec!W37</f>
        <v>59</v>
      </c>
      <c r="H37" s="400">
        <f>élec!P37+élec!T37+élec!X37</f>
        <v>5855</v>
      </c>
      <c r="I37" s="401">
        <f>élec!Q37+élec!U37+élec!Y37</f>
        <v>14</v>
      </c>
      <c r="J37" s="398">
        <f>élec!Z37+élec!AD37+élec!AH37</f>
        <v>2229</v>
      </c>
      <c r="K37" s="399">
        <f>élec!AA37+élec!AE37+élec!AI37</f>
        <v>31</v>
      </c>
      <c r="L37" s="400">
        <f>élec!AB37+élec!AF37+élec!AJ37</f>
        <v>2260</v>
      </c>
      <c r="M37" s="401">
        <f>élec!AC37+élec!AG37+élec!AK37</f>
        <v>13</v>
      </c>
      <c r="N37" s="398">
        <f>élec!AL37+élec!AP37+élec!AT37</f>
        <v>0</v>
      </c>
      <c r="O37" s="399">
        <f>élec!AM37+élec!AQ37+élec!AU37</f>
        <v>0</v>
      </c>
      <c r="P37" s="400">
        <f t="shared" ref="P37:P46" si="4">+N37+O37</f>
        <v>0</v>
      </c>
      <c r="Q37" s="401">
        <f>élec!AO37+élec!AS37+élec!AW37</f>
        <v>0</v>
      </c>
      <c r="R37" s="432">
        <f t="shared" ref="R37:U38" si="5">B37+F37+J37+N37</f>
        <v>12889</v>
      </c>
      <c r="S37" s="810">
        <f t="shared" si="5"/>
        <v>146</v>
      </c>
      <c r="T37" s="810">
        <f t="shared" si="5"/>
        <v>13035</v>
      </c>
      <c r="U37" s="811">
        <f t="shared" si="5"/>
        <v>35</v>
      </c>
    </row>
    <row r="38" spans="1:21">
      <c r="A38" s="397" t="s">
        <v>7</v>
      </c>
      <c r="B38" s="398">
        <f>élec!B38+élec!F38+élec!J38</f>
        <v>2856</v>
      </c>
      <c r="C38" s="399">
        <f>élec!C38+élec!G38+élec!K38</f>
        <v>-4</v>
      </c>
      <c r="D38" s="400">
        <f>élec!D38+élec!H38+élec!L38</f>
        <v>2852</v>
      </c>
      <c r="E38" s="401">
        <f>élec!E38+élec!I38+élec!M38</f>
        <v>16</v>
      </c>
      <c r="F38" s="398">
        <f>élec!N38+élec!R38+élec!V38</f>
        <v>2152</v>
      </c>
      <c r="G38" s="399">
        <f>élec!O38+élec!S38+élec!W38</f>
        <v>106</v>
      </c>
      <c r="H38" s="400">
        <f>élec!P38+élec!T38+élec!X38</f>
        <v>2258</v>
      </c>
      <c r="I38" s="401">
        <f>élec!Q38+élec!U38+élec!Y38</f>
        <v>-5</v>
      </c>
      <c r="J38" s="398">
        <f>élec!Z38+élec!AD38+élec!AH38</f>
        <v>1043</v>
      </c>
      <c r="K38" s="399">
        <f>élec!AA38+élec!AE38+élec!AI38</f>
        <v>47</v>
      </c>
      <c r="L38" s="400">
        <f>élec!AB38+élec!AF38+élec!AJ38</f>
        <v>1090</v>
      </c>
      <c r="M38" s="401">
        <f>élec!AC38+élec!AG38+élec!AK38</f>
        <v>12</v>
      </c>
      <c r="N38" s="398">
        <f>élec!AL38+élec!AP38+élec!AT38</f>
        <v>0</v>
      </c>
      <c r="O38" s="399">
        <f>élec!AM38+élec!AQ38+élec!AU38</f>
        <v>0</v>
      </c>
      <c r="P38" s="400">
        <f t="shared" si="4"/>
        <v>0</v>
      </c>
      <c r="Q38" s="401">
        <f>élec!AO38+élec!AS38+élec!AW38</f>
        <v>0</v>
      </c>
      <c r="R38" s="812">
        <f t="shared" si="5"/>
        <v>6051</v>
      </c>
      <c r="S38" s="813">
        <f t="shared" si="5"/>
        <v>149</v>
      </c>
      <c r="T38" s="813">
        <f t="shared" si="5"/>
        <v>6200</v>
      </c>
      <c r="U38" s="814">
        <f t="shared" si="5"/>
        <v>23</v>
      </c>
    </row>
    <row r="39" spans="1:21">
      <c r="A39" s="397" t="s">
        <v>8</v>
      </c>
      <c r="B39" s="398">
        <f>élec!B39+élec!F39+élec!J39</f>
        <v>3014</v>
      </c>
      <c r="C39" s="399">
        <f>élec!C39+élec!G39+élec!K39</f>
        <v>101</v>
      </c>
      <c r="D39" s="400">
        <f>élec!D39+élec!H39+élec!L39</f>
        <v>3115</v>
      </c>
      <c r="E39" s="401">
        <f>élec!E39+élec!I39+élec!M39</f>
        <v>9</v>
      </c>
      <c r="F39" s="398">
        <f>élec!N39+élec!R39+élec!V39</f>
        <v>1997</v>
      </c>
      <c r="G39" s="399">
        <f>élec!O39+élec!S39+élec!W39</f>
        <v>73</v>
      </c>
      <c r="H39" s="400">
        <f>élec!P39+élec!T39+élec!X39</f>
        <v>2070</v>
      </c>
      <c r="I39" s="401">
        <f>élec!Q39+élec!U39+élec!Y39</f>
        <v>7</v>
      </c>
      <c r="J39" s="398">
        <f>élec!Z39+élec!AD39+élec!AH39</f>
        <v>1685</v>
      </c>
      <c r="K39" s="399">
        <f>élec!AA39+élec!AE39+élec!AI39</f>
        <v>55</v>
      </c>
      <c r="L39" s="400">
        <f>élec!AB39+élec!AF39+élec!AJ39</f>
        <v>1740</v>
      </c>
      <c r="M39" s="401">
        <f>élec!AC39+élec!AG39+élec!AK39</f>
        <v>11</v>
      </c>
      <c r="N39" s="398">
        <f>élec!AL39+élec!AP39+élec!AT39</f>
        <v>0</v>
      </c>
      <c r="O39" s="399">
        <f>élec!AM39+élec!AQ39+élec!AU39</f>
        <v>0</v>
      </c>
      <c r="P39" s="400">
        <f t="shared" si="4"/>
        <v>0</v>
      </c>
      <c r="Q39" s="401">
        <f>élec!AO39+élec!AS39+élec!AW39</f>
        <v>0</v>
      </c>
      <c r="R39" s="812">
        <f t="shared" ref="R39:R46" si="6">B39+F39+J39+N39</f>
        <v>6696</v>
      </c>
      <c r="S39" s="813">
        <f t="shared" ref="S39:S46" si="7">C39+G39+K39+O39</f>
        <v>229</v>
      </c>
      <c r="T39" s="813">
        <f t="shared" ref="T39:T46" si="8">D39+H39+L39+P39</f>
        <v>6925</v>
      </c>
      <c r="U39" s="814">
        <f t="shared" ref="U39:U46" si="9">E39+I39+M39+Q39</f>
        <v>27</v>
      </c>
    </row>
    <row r="40" spans="1:21">
      <c r="A40" s="397" t="s">
        <v>4</v>
      </c>
      <c r="B40" s="398">
        <f>élec!B40+élec!F40+élec!J40</f>
        <v>3653</v>
      </c>
      <c r="C40" s="399">
        <f>élec!C40+élec!G40+élec!K40</f>
        <v>57</v>
      </c>
      <c r="D40" s="400">
        <f>élec!D40+élec!H40+élec!L40</f>
        <v>3710</v>
      </c>
      <c r="E40" s="401">
        <f>élec!E40+élec!I40+élec!M40</f>
        <v>9</v>
      </c>
      <c r="F40" s="398">
        <f>élec!N40+élec!R40+élec!V40</f>
        <v>2290</v>
      </c>
      <c r="G40" s="399">
        <f>élec!O40+élec!S40+élec!W40</f>
        <v>33</v>
      </c>
      <c r="H40" s="400">
        <f>élec!P40+élec!T40+élec!X40</f>
        <v>2323</v>
      </c>
      <c r="I40" s="401">
        <f>élec!Q40+élec!U40+élec!Y40</f>
        <v>15</v>
      </c>
      <c r="J40" s="398">
        <f>élec!Z40+élec!AD40+élec!AH40</f>
        <v>2827</v>
      </c>
      <c r="K40" s="399">
        <f>élec!AA40+élec!AE40+élec!AI40</f>
        <v>53</v>
      </c>
      <c r="L40" s="400">
        <f>élec!AB40+élec!AF40+élec!AJ40</f>
        <v>2880</v>
      </c>
      <c r="M40" s="401">
        <f>élec!AC40+élec!AG40+élec!AK40</f>
        <v>6</v>
      </c>
      <c r="N40" s="398">
        <f>élec!AL40+élec!AP40+élec!AT40</f>
        <v>0</v>
      </c>
      <c r="O40" s="399">
        <f>élec!AM40+élec!AQ40+élec!AU40</f>
        <v>0</v>
      </c>
      <c r="P40" s="400">
        <f t="shared" si="4"/>
        <v>0</v>
      </c>
      <c r="Q40" s="401">
        <f>élec!AO40+élec!AS40+élec!AW40</f>
        <v>0</v>
      </c>
      <c r="R40" s="812">
        <f t="shared" si="6"/>
        <v>8770</v>
      </c>
      <c r="S40" s="813">
        <f t="shared" si="7"/>
        <v>143</v>
      </c>
      <c r="T40" s="813">
        <f t="shared" si="8"/>
        <v>8913</v>
      </c>
      <c r="U40" s="814">
        <f t="shared" si="9"/>
        <v>30</v>
      </c>
    </row>
    <row r="41" spans="1:21">
      <c r="A41" s="397" t="s">
        <v>3</v>
      </c>
      <c r="B41" s="398">
        <f>élec!B41+élec!F41+élec!J41</f>
        <v>2146</v>
      </c>
      <c r="C41" s="399">
        <f>élec!C41+élec!G41+élec!K41</f>
        <v>23</v>
      </c>
      <c r="D41" s="400">
        <f>élec!D41+élec!H41+élec!L41</f>
        <v>2169</v>
      </c>
      <c r="E41" s="401">
        <f>élec!E41+élec!I41+élec!M41</f>
        <v>55</v>
      </c>
      <c r="F41" s="398">
        <f>élec!N41+élec!R41+élec!V41</f>
        <v>1239</v>
      </c>
      <c r="G41" s="399">
        <f>élec!O41+élec!S41+élec!W41</f>
        <v>25</v>
      </c>
      <c r="H41" s="400">
        <f>élec!P41+élec!T41+élec!X41</f>
        <v>1264</v>
      </c>
      <c r="I41" s="401">
        <f>élec!Q41+élec!U41+élec!Y41</f>
        <v>53</v>
      </c>
      <c r="J41" s="398">
        <f>élec!Z41+élec!AD41+élec!AH41</f>
        <v>817</v>
      </c>
      <c r="K41" s="399">
        <f>élec!AA41+élec!AE41+élec!AI41</f>
        <v>11</v>
      </c>
      <c r="L41" s="400">
        <f>élec!AB41+élec!AF41+élec!AJ41</f>
        <v>828</v>
      </c>
      <c r="M41" s="401">
        <f>élec!AC41+élec!AG41+élec!AK41</f>
        <v>37</v>
      </c>
      <c r="N41" s="398">
        <f>élec!AL41+élec!AP41+élec!AT41</f>
        <v>0</v>
      </c>
      <c r="O41" s="399">
        <f>élec!AM41+élec!AQ41+élec!AU41</f>
        <v>0</v>
      </c>
      <c r="P41" s="400">
        <f t="shared" si="4"/>
        <v>0</v>
      </c>
      <c r="Q41" s="401">
        <f>élec!AO41+élec!AS41+élec!AW41</f>
        <v>0</v>
      </c>
      <c r="R41" s="812">
        <f t="shared" si="6"/>
        <v>4202</v>
      </c>
      <c r="S41" s="813">
        <f t="shared" si="7"/>
        <v>59</v>
      </c>
      <c r="T41" s="813">
        <f t="shared" si="8"/>
        <v>4261</v>
      </c>
      <c r="U41" s="814">
        <f t="shared" si="9"/>
        <v>145</v>
      </c>
    </row>
    <row r="42" spans="1:21">
      <c r="A42" s="397" t="s">
        <v>397</v>
      </c>
      <c r="B42" s="398">
        <f>élec!B42+élec!F42+élec!J42</f>
        <v>3147</v>
      </c>
      <c r="C42" s="399">
        <f>élec!C42+élec!G42+élec!K42</f>
        <v>72</v>
      </c>
      <c r="D42" s="400">
        <f>élec!D42+élec!H42+élec!L42</f>
        <v>3219</v>
      </c>
      <c r="E42" s="401">
        <f>élec!E42+élec!I42+élec!M42</f>
        <v>-4</v>
      </c>
      <c r="F42" s="398">
        <f>élec!N42+élec!R42+élec!V42</f>
        <v>2918</v>
      </c>
      <c r="G42" s="399">
        <f>élec!O42+élec!S42+élec!W42</f>
        <v>72</v>
      </c>
      <c r="H42" s="400">
        <f>élec!P42+élec!T42+élec!X42</f>
        <v>2990</v>
      </c>
      <c r="I42" s="401">
        <f>élec!Q42+élec!U42+élec!Y42</f>
        <v>0</v>
      </c>
      <c r="J42" s="398">
        <f>élec!Z42+élec!AD42+élec!AH42</f>
        <v>1584</v>
      </c>
      <c r="K42" s="399">
        <f>élec!AA42+élec!AE42+élec!AI42</f>
        <v>65</v>
      </c>
      <c r="L42" s="400">
        <f>élec!AB42+élec!AF42+élec!AJ42</f>
        <v>1649</v>
      </c>
      <c r="M42" s="401">
        <f>élec!AC42+élec!AG42+élec!AK42</f>
        <v>6</v>
      </c>
      <c r="N42" s="398">
        <f>élec!AL42+élec!AP42+élec!AT42</f>
        <v>0</v>
      </c>
      <c r="O42" s="399">
        <f>élec!AM42+élec!AQ42+élec!AU42</f>
        <v>0</v>
      </c>
      <c r="P42" s="400">
        <f t="shared" si="4"/>
        <v>0</v>
      </c>
      <c r="Q42" s="401">
        <f>élec!AO42+élec!AS42+élec!AW42</f>
        <v>0</v>
      </c>
      <c r="R42" s="812">
        <f t="shared" si="6"/>
        <v>7649</v>
      </c>
      <c r="S42" s="813">
        <f t="shared" si="7"/>
        <v>209</v>
      </c>
      <c r="T42" s="813">
        <f t="shared" si="8"/>
        <v>7858</v>
      </c>
      <c r="U42" s="814">
        <f t="shared" si="9"/>
        <v>2</v>
      </c>
    </row>
    <row r="43" spans="1:21">
      <c r="A43" s="397" t="s">
        <v>399</v>
      </c>
      <c r="B43" s="398">
        <f>élec!B43+élec!F43+élec!J43</f>
        <v>2911</v>
      </c>
      <c r="C43" s="399">
        <f>élec!C43+élec!G43+élec!K43</f>
        <v>62</v>
      </c>
      <c r="D43" s="400">
        <f>élec!D43+élec!H43+élec!L43</f>
        <v>2973</v>
      </c>
      <c r="E43" s="401">
        <f>élec!E43+élec!I43+élec!M43</f>
        <v>8</v>
      </c>
      <c r="F43" s="398">
        <f>élec!N43+élec!R43+élec!V43</f>
        <v>2893</v>
      </c>
      <c r="G43" s="399">
        <f>élec!O43+élec!S43+élec!W43</f>
        <v>64</v>
      </c>
      <c r="H43" s="400">
        <f>élec!P43+élec!T43+élec!X43</f>
        <v>2957</v>
      </c>
      <c r="I43" s="401">
        <f>élec!Q43+élec!U43+élec!Y43</f>
        <v>2</v>
      </c>
      <c r="J43" s="398">
        <f>élec!Z43+élec!AD43+élec!AH43</f>
        <v>3440</v>
      </c>
      <c r="K43" s="399">
        <f>élec!AA43+élec!AE43+élec!AI43</f>
        <v>26</v>
      </c>
      <c r="L43" s="400">
        <f>élec!AB43+élec!AF43+élec!AJ43</f>
        <v>3466</v>
      </c>
      <c r="M43" s="401">
        <f>élec!AC43+élec!AG43+élec!AK43</f>
        <v>3</v>
      </c>
      <c r="N43" s="398">
        <f>élec!AL43+élec!AP43+élec!AT43</f>
        <v>0</v>
      </c>
      <c r="O43" s="399">
        <f>élec!AM43+élec!AQ43+élec!AU43</f>
        <v>0</v>
      </c>
      <c r="P43" s="400">
        <f t="shared" si="4"/>
        <v>0</v>
      </c>
      <c r="Q43" s="401">
        <f>élec!AO43+élec!AS43+élec!AW43</f>
        <v>0</v>
      </c>
      <c r="R43" s="812">
        <f t="shared" si="6"/>
        <v>9244</v>
      </c>
      <c r="S43" s="813">
        <f t="shared" si="7"/>
        <v>152</v>
      </c>
      <c r="T43" s="813">
        <f t="shared" si="8"/>
        <v>9396</v>
      </c>
      <c r="U43" s="814">
        <f t="shared" si="9"/>
        <v>13</v>
      </c>
    </row>
    <row r="44" spans="1:21">
      <c r="A44" s="397" t="s">
        <v>883</v>
      </c>
      <c r="B44" s="398">
        <f>élec!B44+élec!F44+élec!J44</f>
        <v>1617</v>
      </c>
      <c r="C44" s="399">
        <f>élec!C44+élec!G44+élec!K44</f>
        <v>11</v>
      </c>
      <c r="D44" s="400">
        <f>élec!D44+élec!H44+élec!L44</f>
        <v>1628</v>
      </c>
      <c r="E44" s="401">
        <f>élec!E44+élec!I44+élec!M44</f>
        <v>14</v>
      </c>
      <c r="F44" s="398">
        <f>élec!N44+élec!R44+élec!V44</f>
        <v>2372</v>
      </c>
      <c r="G44" s="399">
        <f>élec!O44+élec!S44+élec!W44</f>
        <v>34</v>
      </c>
      <c r="H44" s="400">
        <f>élec!P44+élec!T44+élec!X44</f>
        <v>2406</v>
      </c>
      <c r="I44" s="401">
        <f>élec!Q44+élec!U44+élec!Y44</f>
        <v>21</v>
      </c>
      <c r="J44" s="398">
        <f>élec!Z44+élec!AD44+élec!AH44</f>
        <v>1610</v>
      </c>
      <c r="K44" s="399">
        <f>élec!AA44+élec!AE44+élec!AI44</f>
        <v>49</v>
      </c>
      <c r="L44" s="400">
        <f>élec!AB44+élec!AF44+élec!AJ44</f>
        <v>1659</v>
      </c>
      <c r="M44" s="401">
        <f>élec!AC44+élec!AG44+élec!AK44</f>
        <v>11</v>
      </c>
      <c r="N44" s="398">
        <f>élec!AL44+élec!AP44+élec!AT44</f>
        <v>0</v>
      </c>
      <c r="O44" s="399">
        <f>élec!AM44+élec!AQ44+élec!AU44</f>
        <v>0</v>
      </c>
      <c r="P44" s="400">
        <f t="shared" si="4"/>
        <v>0</v>
      </c>
      <c r="Q44" s="401">
        <f>élec!AO44+élec!AS44+élec!AW44</f>
        <v>0</v>
      </c>
      <c r="R44" s="812">
        <f t="shared" si="6"/>
        <v>5599</v>
      </c>
      <c r="S44" s="813">
        <f t="shared" si="7"/>
        <v>94</v>
      </c>
      <c r="T44" s="813">
        <f t="shared" si="8"/>
        <v>5693</v>
      </c>
      <c r="U44" s="814">
        <f t="shared" si="9"/>
        <v>46</v>
      </c>
    </row>
    <row r="45" spans="1:21">
      <c r="A45" s="397" t="s">
        <v>884</v>
      </c>
      <c r="B45" s="398">
        <f>élec!B45+élec!F45+élec!J45</f>
        <v>3442</v>
      </c>
      <c r="C45" s="399">
        <f>élec!C45+élec!G45+élec!K45</f>
        <v>33</v>
      </c>
      <c r="D45" s="400">
        <f>élec!D45+élec!H45+élec!L45</f>
        <v>3475</v>
      </c>
      <c r="E45" s="401">
        <f>élec!E45+élec!I45+élec!M45</f>
        <v>15</v>
      </c>
      <c r="F45" s="398">
        <f>élec!N45+élec!R45+élec!V45</f>
        <v>3916</v>
      </c>
      <c r="G45" s="399">
        <f>élec!O45+élec!S45+élec!W45</f>
        <v>169</v>
      </c>
      <c r="H45" s="400">
        <f>élec!P45+élec!T45+élec!X45</f>
        <v>4085</v>
      </c>
      <c r="I45" s="401">
        <f>élec!Q45+élec!U45+élec!Y45</f>
        <v>13</v>
      </c>
      <c r="J45" s="398">
        <f>élec!Z45+élec!AD45+élec!AH45</f>
        <v>1346</v>
      </c>
      <c r="K45" s="399">
        <f>élec!AA45+élec!AE45+élec!AI45</f>
        <v>66</v>
      </c>
      <c r="L45" s="400">
        <f>élec!AB45+élec!AF45+élec!AJ45</f>
        <v>1412</v>
      </c>
      <c r="M45" s="401">
        <f>élec!AC45+élec!AG45+élec!AK45</f>
        <v>13</v>
      </c>
      <c r="N45" s="398">
        <f>élec!AL45+élec!AP45+élec!AT45</f>
        <v>0</v>
      </c>
      <c r="O45" s="399">
        <f>élec!AM45+élec!AQ45+élec!AU45</f>
        <v>0</v>
      </c>
      <c r="P45" s="400">
        <f t="shared" si="4"/>
        <v>0</v>
      </c>
      <c r="Q45" s="401">
        <f>élec!AO45+élec!AS45+élec!AW45</f>
        <v>0</v>
      </c>
      <c r="R45" s="812">
        <f t="shared" si="6"/>
        <v>8704</v>
      </c>
      <c r="S45" s="813">
        <f t="shared" si="7"/>
        <v>268</v>
      </c>
      <c r="T45" s="813">
        <f t="shared" si="8"/>
        <v>8972</v>
      </c>
      <c r="U45" s="814">
        <f t="shared" si="9"/>
        <v>41</v>
      </c>
    </row>
    <row r="46" spans="1:21" ht="14.4" thickBot="1">
      <c r="A46" s="397" t="s">
        <v>885</v>
      </c>
      <c r="B46" s="398">
        <f>élec!B46+élec!F46+élec!J46</f>
        <v>1444</v>
      </c>
      <c r="C46" s="399">
        <f>élec!C46+élec!G46+élec!K46</f>
        <v>94</v>
      </c>
      <c r="D46" s="400">
        <f>élec!D46+élec!H46+élec!L46</f>
        <v>1538</v>
      </c>
      <c r="E46" s="401">
        <f>élec!E46+élec!I46+élec!M46</f>
        <v>1</v>
      </c>
      <c r="F46" s="398">
        <f>élec!N46+élec!R46+élec!V46</f>
        <v>1811</v>
      </c>
      <c r="G46" s="399">
        <f>élec!O46+élec!S46+élec!W46</f>
        <v>22</v>
      </c>
      <c r="H46" s="400">
        <f>élec!P46+élec!T46+élec!X46</f>
        <v>1833</v>
      </c>
      <c r="I46" s="401">
        <f>élec!Q46+élec!U46+élec!Y46</f>
        <v>3</v>
      </c>
      <c r="J46" s="398">
        <f>élec!Z46+élec!AD46+élec!AH46</f>
        <v>130</v>
      </c>
      <c r="K46" s="399">
        <f>élec!AA46+élec!AE46+élec!AI46</f>
        <v>15</v>
      </c>
      <c r="L46" s="400">
        <f>élec!AB46+élec!AF46+élec!AJ46</f>
        <v>145</v>
      </c>
      <c r="M46" s="401">
        <f>élec!AC46+élec!AG46+élec!AK46</f>
        <v>0</v>
      </c>
      <c r="N46" s="398">
        <f>élec!AL46+élec!AP46+élec!AT46</f>
        <v>0</v>
      </c>
      <c r="O46" s="399">
        <f>élec!AM46+élec!AQ46+élec!AU46</f>
        <v>0</v>
      </c>
      <c r="P46" s="400">
        <f t="shared" si="4"/>
        <v>0</v>
      </c>
      <c r="Q46" s="401">
        <f>élec!AO46+élec!AS46+élec!AW46</f>
        <v>0</v>
      </c>
      <c r="R46" s="812">
        <f t="shared" si="6"/>
        <v>3385</v>
      </c>
      <c r="S46" s="813">
        <f t="shared" si="7"/>
        <v>131</v>
      </c>
      <c r="T46" s="813">
        <f t="shared" si="8"/>
        <v>3516</v>
      </c>
      <c r="U46" s="814">
        <f t="shared" si="9"/>
        <v>4</v>
      </c>
    </row>
    <row r="47" spans="1:21" ht="14.4" thickBot="1">
      <c r="A47" s="433" t="s">
        <v>16</v>
      </c>
      <c r="B47" s="417">
        <f t="shared" ref="B47:U47" si="10">SUM(B37:B46)</f>
        <v>29094</v>
      </c>
      <c r="C47" s="419">
        <f t="shared" si="10"/>
        <v>505</v>
      </c>
      <c r="D47" s="419">
        <f t="shared" si="10"/>
        <v>29599</v>
      </c>
      <c r="E47" s="420">
        <f t="shared" si="10"/>
        <v>131</v>
      </c>
      <c r="F47" s="417">
        <f t="shared" si="10"/>
        <v>27384</v>
      </c>
      <c r="G47" s="419">
        <f t="shared" si="10"/>
        <v>657</v>
      </c>
      <c r="H47" s="419">
        <f t="shared" si="10"/>
        <v>28041</v>
      </c>
      <c r="I47" s="420">
        <f t="shared" si="10"/>
        <v>123</v>
      </c>
      <c r="J47" s="417">
        <f t="shared" si="10"/>
        <v>16711</v>
      </c>
      <c r="K47" s="419">
        <f t="shared" si="10"/>
        <v>418</v>
      </c>
      <c r="L47" s="419">
        <f t="shared" si="10"/>
        <v>17129</v>
      </c>
      <c r="M47" s="420">
        <f t="shared" si="10"/>
        <v>112</v>
      </c>
      <c r="N47" s="417">
        <f t="shared" si="10"/>
        <v>0</v>
      </c>
      <c r="O47" s="419">
        <f t="shared" si="10"/>
        <v>0</v>
      </c>
      <c r="P47" s="419">
        <f t="shared" si="10"/>
        <v>0</v>
      </c>
      <c r="Q47" s="420">
        <f t="shared" si="10"/>
        <v>0</v>
      </c>
      <c r="R47" s="434">
        <f t="shared" si="10"/>
        <v>73189</v>
      </c>
      <c r="S47" s="434">
        <f t="shared" si="10"/>
        <v>1580</v>
      </c>
      <c r="T47" s="434">
        <f t="shared" si="10"/>
        <v>74769</v>
      </c>
      <c r="U47" s="434">
        <f t="shared" si="10"/>
        <v>366</v>
      </c>
    </row>
    <row r="49" spans="1:21" ht="18.600000000000001" thickBot="1">
      <c r="A49" s="394">
        <f>A17</f>
        <v>2022</v>
      </c>
    </row>
    <row r="50" spans="1:21">
      <c r="A50" s="2815" t="s">
        <v>0</v>
      </c>
      <c r="B50" s="2827" t="s">
        <v>269</v>
      </c>
      <c r="C50" s="2828"/>
      <c r="D50" s="2828"/>
      <c r="E50" s="3091"/>
      <c r="F50" s="2829" t="s">
        <v>270</v>
      </c>
      <c r="G50" s="2830"/>
      <c r="H50" s="2830"/>
      <c r="I50" s="3095"/>
      <c r="J50" s="2817" t="s">
        <v>271</v>
      </c>
      <c r="K50" s="2818"/>
      <c r="L50" s="2818"/>
      <c r="M50" s="3094"/>
      <c r="N50" s="2819" t="s">
        <v>272</v>
      </c>
      <c r="O50" s="2820"/>
      <c r="P50" s="2820"/>
      <c r="Q50" s="3090"/>
      <c r="R50" s="3413" t="s">
        <v>83</v>
      </c>
      <c r="S50" s="3413"/>
      <c r="T50" s="3413"/>
      <c r="U50" s="3414"/>
    </row>
    <row r="51" spans="1:21" ht="14.4" thickBot="1">
      <c r="A51" s="2816"/>
      <c r="B51" s="402" t="s">
        <v>17</v>
      </c>
      <c r="C51" s="403" t="s">
        <v>18</v>
      </c>
      <c r="D51" s="403" t="s">
        <v>52</v>
      </c>
      <c r="E51" s="404" t="s">
        <v>19</v>
      </c>
      <c r="F51" s="402" t="s">
        <v>17</v>
      </c>
      <c r="G51" s="403" t="s">
        <v>18</v>
      </c>
      <c r="H51" s="403" t="s">
        <v>52</v>
      </c>
      <c r="I51" s="404" t="s">
        <v>19</v>
      </c>
      <c r="J51" s="402" t="s">
        <v>17</v>
      </c>
      <c r="K51" s="403" t="s">
        <v>18</v>
      </c>
      <c r="L51" s="403" t="s">
        <v>52</v>
      </c>
      <c r="M51" s="404" t="s">
        <v>19</v>
      </c>
      <c r="N51" s="402" t="s">
        <v>17</v>
      </c>
      <c r="O51" s="403" t="s">
        <v>18</v>
      </c>
      <c r="P51" s="403" t="s">
        <v>52</v>
      </c>
      <c r="Q51" s="404" t="s">
        <v>19</v>
      </c>
      <c r="R51" s="403" t="s">
        <v>17</v>
      </c>
      <c r="S51" s="403" t="s">
        <v>18</v>
      </c>
      <c r="T51" s="403" t="s">
        <v>52</v>
      </c>
      <c r="U51" s="431" t="s">
        <v>19</v>
      </c>
    </row>
    <row r="52" spans="1:21">
      <c r="A52" s="397" t="s">
        <v>68</v>
      </c>
      <c r="B52" s="398">
        <f>élec!B52+élec!F52+élec!J52</f>
        <v>5870</v>
      </c>
      <c r="C52" s="399">
        <f>élec!C52+élec!G52+élec!K52</f>
        <v>245</v>
      </c>
      <c r="D52" s="400">
        <f>élec!D52+élec!H52+élec!L52</f>
        <v>6115</v>
      </c>
      <c r="E52" s="401">
        <f>élec!E52+élec!I52+élec!M52</f>
        <v>28</v>
      </c>
      <c r="F52" s="398">
        <f>élec!N52+élec!R52+élec!V52</f>
        <v>3615</v>
      </c>
      <c r="G52" s="399">
        <f>élec!O52+élec!S52+élec!W52</f>
        <v>267</v>
      </c>
      <c r="H52" s="400">
        <f>élec!P52+élec!T52+élec!X52</f>
        <v>3882</v>
      </c>
      <c r="I52" s="401">
        <f>élec!Q52+élec!U52+élec!Y52</f>
        <v>25</v>
      </c>
      <c r="J52" s="398">
        <f>élec!Z52+élec!AD52+élec!AH52</f>
        <v>2568</v>
      </c>
      <c r="K52" s="399">
        <f>élec!AA52+élec!AE52+élec!AI52</f>
        <v>26</v>
      </c>
      <c r="L52" s="400">
        <f>élec!AB52+élec!AF52+élec!AJ52</f>
        <v>2594</v>
      </c>
      <c r="M52" s="401">
        <f>élec!AC52+élec!AG52+élec!AK52</f>
        <v>9</v>
      </c>
      <c r="N52" s="398">
        <f>élec!AL52+élec!AP52+élec!AT52</f>
        <v>0</v>
      </c>
      <c r="O52" s="399">
        <f>élec!AM52+élec!AQ52+élec!AU52</f>
        <v>0</v>
      </c>
      <c r="P52" s="400">
        <f>+N52+O52</f>
        <v>0</v>
      </c>
      <c r="Q52" s="401">
        <f>élec!AO52+élec!AS52+élec!AW52</f>
        <v>0</v>
      </c>
      <c r="R52" s="432">
        <f>B52+F52+J52+N52</f>
        <v>12053</v>
      </c>
      <c r="S52" s="810">
        <f t="shared" ref="S52:S61" si="11">C52+G52+K52+O52</f>
        <v>538</v>
      </c>
      <c r="T52" s="810">
        <f t="shared" ref="T52:T61" si="12">D52+H52+L52+P52</f>
        <v>12591</v>
      </c>
      <c r="U52" s="811">
        <f t="shared" ref="U52:U61" si="13">E52+I52+M52+Q52</f>
        <v>62</v>
      </c>
    </row>
    <row r="53" spans="1:21">
      <c r="A53" s="397" t="s">
        <v>7</v>
      </c>
      <c r="B53" s="398">
        <f>élec!B53+élec!F53+élec!J53</f>
        <v>3217</v>
      </c>
      <c r="C53" s="399">
        <f>élec!C53+élec!G53+élec!K53</f>
        <v>-62</v>
      </c>
      <c r="D53" s="400">
        <f>élec!D53+élec!H53+élec!L53</f>
        <v>3155</v>
      </c>
      <c r="E53" s="401">
        <f>élec!E53+élec!I53+élec!M53</f>
        <v>15</v>
      </c>
      <c r="F53" s="398">
        <f>élec!N53+élec!R53+élec!V53</f>
        <v>2680</v>
      </c>
      <c r="G53" s="399">
        <f>élec!O53+élec!S53+élec!W53</f>
        <v>56</v>
      </c>
      <c r="H53" s="400">
        <f>élec!P53+élec!T53+élec!X53</f>
        <v>2736</v>
      </c>
      <c r="I53" s="401">
        <f>élec!Q53+élec!U53+élec!Y53</f>
        <v>28</v>
      </c>
      <c r="J53" s="398">
        <f>élec!Z53+élec!AD53+élec!AH53</f>
        <v>1872</v>
      </c>
      <c r="K53" s="399">
        <f>élec!AA53+élec!AE53+élec!AI53</f>
        <v>99</v>
      </c>
      <c r="L53" s="400">
        <f>élec!AB53+élec!AF53+élec!AJ53</f>
        <v>1971</v>
      </c>
      <c r="M53" s="401">
        <f>élec!AC53+élec!AG53+élec!AK53</f>
        <v>14</v>
      </c>
      <c r="N53" s="398">
        <f>élec!AL53+élec!AP53+élec!AT53</f>
        <v>0</v>
      </c>
      <c r="O53" s="399">
        <f>élec!AM53+élec!AQ53+élec!AU53</f>
        <v>0</v>
      </c>
      <c r="P53" s="400">
        <f t="shared" ref="P53:P61" si="14">+N53+O53</f>
        <v>0</v>
      </c>
      <c r="Q53" s="401">
        <f>élec!AO53+élec!AS53+élec!AW53</f>
        <v>0</v>
      </c>
      <c r="R53" s="812">
        <f t="shared" ref="R53:R61" si="15">B53+F53+J53+N53</f>
        <v>7769</v>
      </c>
      <c r="S53" s="813">
        <f t="shared" si="11"/>
        <v>93</v>
      </c>
      <c r="T53" s="813">
        <f t="shared" si="12"/>
        <v>7862</v>
      </c>
      <c r="U53" s="814">
        <f t="shared" si="13"/>
        <v>57</v>
      </c>
    </row>
    <row r="54" spans="1:21">
      <c r="A54" s="397" t="s">
        <v>8</v>
      </c>
      <c r="B54" s="398">
        <f>élec!B54+élec!F54+élec!J54</f>
        <v>3018</v>
      </c>
      <c r="C54" s="399">
        <f>élec!C54+élec!G54+élec!K54</f>
        <v>117</v>
      </c>
      <c r="D54" s="400">
        <f>élec!D54+élec!H54+élec!L54</f>
        <v>3135</v>
      </c>
      <c r="E54" s="401">
        <f>élec!E54+élec!I54+élec!M54</f>
        <v>13</v>
      </c>
      <c r="F54" s="398">
        <f>élec!N54+élec!R54+élec!V54</f>
        <v>1742</v>
      </c>
      <c r="G54" s="399">
        <f>élec!O54+élec!S54+élec!W54</f>
        <v>100</v>
      </c>
      <c r="H54" s="400">
        <f>élec!P54+élec!T54+élec!X54</f>
        <v>1842</v>
      </c>
      <c r="I54" s="401">
        <f>élec!Q54+élec!U54+élec!Y54</f>
        <v>19</v>
      </c>
      <c r="J54" s="398">
        <f>élec!Z54+élec!AD54+élec!AH54</f>
        <v>1926</v>
      </c>
      <c r="K54" s="399">
        <f>élec!AA54+élec!AE54+élec!AI54</f>
        <v>108</v>
      </c>
      <c r="L54" s="400">
        <f>élec!AB54+élec!AF54+élec!AJ54</f>
        <v>2034</v>
      </c>
      <c r="M54" s="401">
        <f>élec!AC54+élec!AG54+élec!AK54</f>
        <v>11</v>
      </c>
      <c r="N54" s="398">
        <f>élec!AL54+élec!AP54+élec!AT54</f>
        <v>0</v>
      </c>
      <c r="O54" s="399">
        <f>élec!AM54+élec!AQ54+élec!AU54</f>
        <v>0</v>
      </c>
      <c r="P54" s="400">
        <f t="shared" si="14"/>
        <v>0</v>
      </c>
      <c r="Q54" s="401">
        <f>élec!AO54+élec!AS54+élec!AW54</f>
        <v>0</v>
      </c>
      <c r="R54" s="812">
        <f t="shared" si="15"/>
        <v>6686</v>
      </c>
      <c r="S54" s="813">
        <f t="shared" si="11"/>
        <v>325</v>
      </c>
      <c r="T54" s="813">
        <f t="shared" si="12"/>
        <v>7011</v>
      </c>
      <c r="U54" s="814">
        <f t="shared" si="13"/>
        <v>43</v>
      </c>
    </row>
    <row r="55" spans="1:21">
      <c r="A55" s="397" t="s">
        <v>4</v>
      </c>
      <c r="B55" s="398">
        <f>élec!B55+élec!F55+élec!J55</f>
        <v>3829</v>
      </c>
      <c r="C55" s="399">
        <f>élec!C55+élec!G55+élec!K55</f>
        <v>113</v>
      </c>
      <c r="D55" s="400">
        <f>élec!D55+élec!H55+élec!L55</f>
        <v>3942</v>
      </c>
      <c r="E55" s="401">
        <f>élec!E55+élec!I55+élec!M55</f>
        <v>10</v>
      </c>
      <c r="F55" s="398">
        <f>élec!N55+élec!R55+élec!V55</f>
        <v>5464</v>
      </c>
      <c r="G55" s="399">
        <f>élec!O55+élec!S55+élec!W55</f>
        <v>150</v>
      </c>
      <c r="H55" s="400">
        <f>élec!P55+élec!T55+élec!X55</f>
        <v>5614</v>
      </c>
      <c r="I55" s="401">
        <f>élec!Q55+élec!U55+élec!Y55</f>
        <v>4</v>
      </c>
      <c r="J55" s="398">
        <f>élec!Z55+élec!AD55+élec!AH55</f>
        <v>3059</v>
      </c>
      <c r="K55" s="399">
        <f>élec!AA55+élec!AE55+élec!AI55</f>
        <v>46</v>
      </c>
      <c r="L55" s="400">
        <f>élec!AB55+élec!AF55+élec!AJ55</f>
        <v>3105</v>
      </c>
      <c r="M55" s="401">
        <f>élec!AC55+élec!AG55+élec!AK55</f>
        <v>4</v>
      </c>
      <c r="N55" s="398">
        <f>élec!AL55+élec!AP55+élec!AT55</f>
        <v>0</v>
      </c>
      <c r="O55" s="399">
        <f>élec!AM55+élec!AQ55+élec!AU55</f>
        <v>0</v>
      </c>
      <c r="P55" s="400">
        <f t="shared" si="14"/>
        <v>0</v>
      </c>
      <c r="Q55" s="401">
        <f>élec!AO55+élec!AS55+élec!AW55</f>
        <v>0</v>
      </c>
      <c r="R55" s="812">
        <f t="shared" si="15"/>
        <v>12352</v>
      </c>
      <c r="S55" s="813">
        <f t="shared" si="11"/>
        <v>309</v>
      </c>
      <c r="T55" s="813">
        <f t="shared" si="12"/>
        <v>12661</v>
      </c>
      <c r="U55" s="814">
        <f t="shared" si="13"/>
        <v>18</v>
      </c>
    </row>
    <row r="56" spans="1:21">
      <c r="A56" s="397" t="s">
        <v>3</v>
      </c>
      <c r="B56" s="398">
        <f>élec!B56+élec!F56+élec!J56</f>
        <v>1501</v>
      </c>
      <c r="C56" s="399">
        <f>élec!C56+élec!G56+élec!K56</f>
        <v>66</v>
      </c>
      <c r="D56" s="400">
        <f>élec!D56+élec!H56+élec!L56</f>
        <v>1567</v>
      </c>
      <c r="E56" s="401">
        <f>élec!E56+élec!I56+élec!M56</f>
        <v>91</v>
      </c>
      <c r="F56" s="398">
        <f>élec!N56+élec!R56+élec!V56</f>
        <v>1983</v>
      </c>
      <c r="G56" s="399">
        <f>élec!O56+élec!S56+élec!W56</f>
        <v>49</v>
      </c>
      <c r="H56" s="400">
        <f>élec!P56+élec!T56+élec!X56</f>
        <v>2032</v>
      </c>
      <c r="I56" s="401">
        <f>élec!Q56+élec!U56+élec!Y56</f>
        <v>54</v>
      </c>
      <c r="J56" s="398">
        <f>élec!Z56+élec!AD56+élec!AH56</f>
        <v>1500</v>
      </c>
      <c r="K56" s="399">
        <f>élec!AA56+élec!AE56+élec!AI56</f>
        <v>160</v>
      </c>
      <c r="L56" s="400">
        <f>élec!AB56+élec!AF56+élec!AJ56</f>
        <v>1660</v>
      </c>
      <c r="M56" s="401">
        <f>élec!AC56+élec!AG56+élec!AK56</f>
        <v>38</v>
      </c>
      <c r="N56" s="398">
        <f>élec!AL56+élec!AP56+élec!AT56</f>
        <v>0</v>
      </c>
      <c r="O56" s="399">
        <f>élec!AM56+élec!AQ56+élec!AU56</f>
        <v>0</v>
      </c>
      <c r="P56" s="400">
        <f t="shared" si="14"/>
        <v>0</v>
      </c>
      <c r="Q56" s="401">
        <f>élec!AO56+élec!AS56+élec!AW56</f>
        <v>0</v>
      </c>
      <c r="R56" s="812">
        <f t="shared" si="15"/>
        <v>4984</v>
      </c>
      <c r="S56" s="813">
        <f t="shared" si="11"/>
        <v>275</v>
      </c>
      <c r="T56" s="813">
        <f t="shared" si="12"/>
        <v>5259</v>
      </c>
      <c r="U56" s="814">
        <f t="shared" si="13"/>
        <v>183</v>
      </c>
    </row>
    <row r="57" spans="1:21">
      <c r="A57" s="397" t="s">
        <v>397</v>
      </c>
      <c r="B57" s="398">
        <f>élec!B57+élec!F57+élec!J57</f>
        <v>1731</v>
      </c>
      <c r="C57" s="399">
        <f>élec!C57+élec!G57+élec!K57</f>
        <v>114</v>
      </c>
      <c r="D57" s="400">
        <f>élec!D57+élec!H57+élec!L57</f>
        <v>1845</v>
      </c>
      <c r="E57" s="401">
        <f>élec!E57+élec!I57+élec!M57</f>
        <v>10</v>
      </c>
      <c r="F57" s="398">
        <f>élec!N57+élec!R57+élec!V57</f>
        <v>1343</v>
      </c>
      <c r="G57" s="399">
        <f>élec!O57+élec!S57+élec!W57</f>
        <v>-10</v>
      </c>
      <c r="H57" s="400">
        <f>élec!P57+élec!T57+élec!X57</f>
        <v>1333</v>
      </c>
      <c r="I57" s="401">
        <f>élec!Q57+élec!U57+élec!Y57</f>
        <v>22</v>
      </c>
      <c r="J57" s="398">
        <f>élec!Z57+élec!AD57+élec!AH57</f>
        <v>1304</v>
      </c>
      <c r="K57" s="399">
        <f>élec!AA57+élec!AE57+élec!AI57</f>
        <v>89</v>
      </c>
      <c r="L57" s="400">
        <f>élec!AB57+élec!AF57+élec!AJ57</f>
        <v>1393</v>
      </c>
      <c r="M57" s="401">
        <f>élec!AC57+élec!AG57+élec!AK57</f>
        <v>11</v>
      </c>
      <c r="N57" s="398">
        <f>élec!AL57+élec!AP57+élec!AT57</f>
        <v>0</v>
      </c>
      <c r="O57" s="399">
        <f>élec!AM57+élec!AQ57+élec!AU57</f>
        <v>0</v>
      </c>
      <c r="P57" s="400">
        <f t="shared" si="14"/>
        <v>0</v>
      </c>
      <c r="Q57" s="401">
        <f>élec!AO57+élec!AS57+élec!AW57</f>
        <v>0</v>
      </c>
      <c r="R57" s="812">
        <f t="shared" si="15"/>
        <v>4378</v>
      </c>
      <c r="S57" s="813">
        <f t="shared" si="11"/>
        <v>193</v>
      </c>
      <c r="T57" s="813">
        <f t="shared" si="12"/>
        <v>4571</v>
      </c>
      <c r="U57" s="814">
        <f t="shared" si="13"/>
        <v>43</v>
      </c>
    </row>
    <row r="58" spans="1:21">
      <c r="A58" s="397" t="s">
        <v>399</v>
      </c>
      <c r="B58" s="398">
        <f>élec!B58+élec!F58+élec!J58</f>
        <v>4244</v>
      </c>
      <c r="C58" s="399">
        <f>élec!C58+élec!G58+élec!K58</f>
        <v>113</v>
      </c>
      <c r="D58" s="400">
        <f>élec!D58+élec!H58+élec!L58</f>
        <v>4357</v>
      </c>
      <c r="E58" s="401">
        <f>élec!E58+élec!I58+élec!M58</f>
        <v>10</v>
      </c>
      <c r="F58" s="398">
        <f>élec!N58+élec!R58+élec!V58</f>
        <v>4486</v>
      </c>
      <c r="G58" s="399">
        <f>élec!O58+élec!S58+élec!W58</f>
        <v>66</v>
      </c>
      <c r="H58" s="400">
        <f>élec!P58+élec!T58+élec!X58</f>
        <v>4552</v>
      </c>
      <c r="I58" s="401">
        <f>élec!Q58+élec!U58+élec!Y58</f>
        <v>12</v>
      </c>
      <c r="J58" s="398">
        <f>élec!Z58+élec!AD58+élec!AH58</f>
        <v>2333</v>
      </c>
      <c r="K58" s="399">
        <f>élec!AA58+élec!AE58+élec!AI58</f>
        <v>87</v>
      </c>
      <c r="L58" s="400">
        <f>élec!AB58+élec!AF58+élec!AJ58</f>
        <v>2420</v>
      </c>
      <c r="M58" s="401">
        <f>élec!AC58+élec!AG58+élec!AK58</f>
        <v>14</v>
      </c>
      <c r="N58" s="398">
        <f>élec!AL58+élec!AP58+élec!AT58</f>
        <v>0</v>
      </c>
      <c r="O58" s="399">
        <f>élec!AM58+élec!AQ58+élec!AU58</f>
        <v>0</v>
      </c>
      <c r="P58" s="400">
        <f t="shared" si="14"/>
        <v>0</v>
      </c>
      <c r="Q58" s="401">
        <f>élec!AO58+élec!AS58+élec!AW58</f>
        <v>0</v>
      </c>
      <c r="R58" s="812">
        <f t="shared" si="15"/>
        <v>11063</v>
      </c>
      <c r="S58" s="813">
        <f t="shared" si="11"/>
        <v>266</v>
      </c>
      <c r="T58" s="813">
        <f t="shared" si="12"/>
        <v>11329</v>
      </c>
      <c r="U58" s="814">
        <f t="shared" si="13"/>
        <v>36</v>
      </c>
    </row>
    <row r="59" spans="1:21">
      <c r="A59" s="397" t="s">
        <v>883</v>
      </c>
      <c r="B59" s="398">
        <f>élec!B59+élec!F59+élec!J59</f>
        <v>1742</v>
      </c>
      <c r="C59" s="399">
        <f>élec!C59+élec!G59+élec!K59</f>
        <v>61</v>
      </c>
      <c r="D59" s="400">
        <f>élec!D59+élec!H59+élec!L59</f>
        <v>1803</v>
      </c>
      <c r="E59" s="401">
        <f>élec!E59+élec!I59+élec!M59</f>
        <v>19</v>
      </c>
      <c r="F59" s="398">
        <f>élec!N59+élec!R59+élec!V59</f>
        <v>1928</v>
      </c>
      <c r="G59" s="399">
        <f>élec!O59+élec!S59+élec!W59</f>
        <v>48</v>
      </c>
      <c r="H59" s="400">
        <f>élec!P59+élec!T59+élec!X59</f>
        <v>1976</v>
      </c>
      <c r="I59" s="401">
        <f>élec!Q59+élec!U59+élec!Y59</f>
        <v>23</v>
      </c>
      <c r="J59" s="398">
        <f>élec!Z59+élec!AD59+élec!AH59</f>
        <v>1322</v>
      </c>
      <c r="K59" s="399">
        <f>élec!AA59+élec!AE59+élec!AI59</f>
        <v>70</v>
      </c>
      <c r="L59" s="400">
        <f>élec!AB59+élec!AF59+élec!AJ59</f>
        <v>1392</v>
      </c>
      <c r="M59" s="401">
        <f>élec!AC59+élec!AG59+élec!AK59</f>
        <v>21</v>
      </c>
      <c r="N59" s="398">
        <f>élec!AL59+élec!AP59+élec!AT59</f>
        <v>0</v>
      </c>
      <c r="O59" s="399">
        <f>élec!AM59+élec!AQ59+élec!AU59</f>
        <v>0</v>
      </c>
      <c r="P59" s="400">
        <f t="shared" si="14"/>
        <v>0</v>
      </c>
      <c r="Q59" s="401">
        <f>élec!AO59+élec!AS59+élec!AW59</f>
        <v>0</v>
      </c>
      <c r="R59" s="812">
        <f t="shared" si="15"/>
        <v>4992</v>
      </c>
      <c r="S59" s="813">
        <f t="shared" si="11"/>
        <v>179</v>
      </c>
      <c r="T59" s="813">
        <f t="shared" si="12"/>
        <v>5171</v>
      </c>
      <c r="U59" s="814">
        <f t="shared" si="13"/>
        <v>63</v>
      </c>
    </row>
    <row r="60" spans="1:21">
      <c r="A60" s="397" t="s">
        <v>884</v>
      </c>
      <c r="B60" s="398">
        <f>élec!B60+élec!F60+élec!J60</f>
        <v>2829</v>
      </c>
      <c r="C60" s="399">
        <f>élec!C60+élec!G60+élec!K60</f>
        <v>80</v>
      </c>
      <c r="D60" s="400">
        <f>élec!D60+élec!H60+élec!L60</f>
        <v>2909</v>
      </c>
      <c r="E60" s="401">
        <f>élec!E60+élec!I60+élec!M60</f>
        <v>10</v>
      </c>
      <c r="F60" s="398">
        <f>élec!N60+élec!R60+élec!V60</f>
        <v>2126</v>
      </c>
      <c r="G60" s="399">
        <f>élec!O60+élec!S60+élec!W60</f>
        <v>75</v>
      </c>
      <c r="H60" s="400">
        <f>élec!P60+élec!T60+élec!X60</f>
        <v>2201</v>
      </c>
      <c r="I60" s="401">
        <f>élec!Q60+élec!U60+élec!Y60</f>
        <v>21</v>
      </c>
      <c r="J60" s="398">
        <f>élec!Z60+élec!AD60+élec!AH60</f>
        <v>2350</v>
      </c>
      <c r="K60" s="399">
        <f>élec!AA60+élec!AE60+élec!AI60</f>
        <v>56</v>
      </c>
      <c r="L60" s="400">
        <f>élec!AB60+élec!AF60+élec!AJ60</f>
        <v>2406</v>
      </c>
      <c r="M60" s="401">
        <f>élec!AC60+élec!AG60+élec!AK60</f>
        <v>10</v>
      </c>
      <c r="N60" s="398">
        <f>élec!AL60+élec!AP60+élec!AT60</f>
        <v>0</v>
      </c>
      <c r="O60" s="399">
        <f>élec!AM60+élec!AQ60+élec!AU60</f>
        <v>0</v>
      </c>
      <c r="P60" s="400">
        <f t="shared" si="14"/>
        <v>0</v>
      </c>
      <c r="Q60" s="401">
        <f>élec!AO60+élec!AS60+élec!AW60</f>
        <v>0</v>
      </c>
      <c r="R60" s="812">
        <f t="shared" si="15"/>
        <v>7305</v>
      </c>
      <c r="S60" s="813">
        <f t="shared" si="11"/>
        <v>211</v>
      </c>
      <c r="T60" s="813">
        <f t="shared" si="12"/>
        <v>7516</v>
      </c>
      <c r="U60" s="814">
        <f t="shared" si="13"/>
        <v>41</v>
      </c>
    </row>
    <row r="61" spans="1:21" ht="14.4" thickBot="1">
      <c r="A61" s="397" t="s">
        <v>885</v>
      </c>
      <c r="B61" s="398">
        <f>élec!B61+élec!F61+élec!J61</f>
        <v>1513</v>
      </c>
      <c r="C61" s="399">
        <f>élec!C61+élec!G61+élec!K61</f>
        <v>87</v>
      </c>
      <c r="D61" s="400">
        <f>élec!D61+élec!H61+élec!L61</f>
        <v>1600</v>
      </c>
      <c r="E61" s="401">
        <f>élec!E61+élec!I61+élec!M61</f>
        <v>1</v>
      </c>
      <c r="F61" s="398">
        <f>élec!N61+élec!R61+élec!V61</f>
        <v>1991</v>
      </c>
      <c r="G61" s="399">
        <f>élec!O61+élec!S61+élec!W61</f>
        <v>60</v>
      </c>
      <c r="H61" s="400">
        <f>élec!P61+élec!T61+élec!X61</f>
        <v>2051</v>
      </c>
      <c r="I61" s="401">
        <f>élec!Q61+élec!U61+élec!Y61</f>
        <v>1</v>
      </c>
      <c r="J61" s="398">
        <f>élec!Z61+élec!AD61+élec!AH61</f>
        <v>526</v>
      </c>
      <c r="K61" s="399">
        <f>élec!AA61+élec!AE61+élec!AI61</f>
        <v>28</v>
      </c>
      <c r="L61" s="400">
        <f>élec!AB61+élec!AF61+élec!AJ61</f>
        <v>554</v>
      </c>
      <c r="M61" s="401">
        <f>élec!AC61+élec!AG61+élec!AK61</f>
        <v>-1</v>
      </c>
      <c r="N61" s="398">
        <f>élec!AL61+élec!AP61+élec!AT61</f>
        <v>0</v>
      </c>
      <c r="O61" s="399">
        <f>élec!AM61+élec!AQ61+élec!AU61</f>
        <v>0</v>
      </c>
      <c r="P61" s="400">
        <f t="shared" si="14"/>
        <v>0</v>
      </c>
      <c r="Q61" s="401">
        <f>élec!AO61+élec!AS61+élec!AW61</f>
        <v>0</v>
      </c>
      <c r="R61" s="812">
        <f t="shared" si="15"/>
        <v>4030</v>
      </c>
      <c r="S61" s="813">
        <f t="shared" si="11"/>
        <v>175</v>
      </c>
      <c r="T61" s="813">
        <f t="shared" si="12"/>
        <v>4205</v>
      </c>
      <c r="U61" s="814">
        <f t="shared" si="13"/>
        <v>1</v>
      </c>
    </row>
    <row r="62" spans="1:21" ht="14.4" thickBot="1">
      <c r="A62" s="433" t="s">
        <v>16</v>
      </c>
      <c r="B62" s="417">
        <f t="shared" ref="B62:U62" si="16">SUM(B52:B61)</f>
        <v>29494</v>
      </c>
      <c r="C62" s="419">
        <f t="shared" si="16"/>
        <v>934</v>
      </c>
      <c r="D62" s="419">
        <f t="shared" si="16"/>
        <v>30428</v>
      </c>
      <c r="E62" s="420">
        <f t="shared" si="16"/>
        <v>207</v>
      </c>
      <c r="F62" s="417">
        <f t="shared" si="16"/>
        <v>27358</v>
      </c>
      <c r="G62" s="419">
        <f t="shared" si="16"/>
        <v>861</v>
      </c>
      <c r="H62" s="419">
        <f t="shared" si="16"/>
        <v>28219</v>
      </c>
      <c r="I62" s="420">
        <f t="shared" si="16"/>
        <v>209</v>
      </c>
      <c r="J62" s="417">
        <f t="shared" si="16"/>
        <v>18760</v>
      </c>
      <c r="K62" s="419">
        <f t="shared" si="16"/>
        <v>769</v>
      </c>
      <c r="L62" s="419">
        <f t="shared" si="16"/>
        <v>19529</v>
      </c>
      <c r="M62" s="420">
        <f t="shared" si="16"/>
        <v>131</v>
      </c>
      <c r="N62" s="417">
        <f t="shared" si="16"/>
        <v>0</v>
      </c>
      <c r="O62" s="419">
        <f t="shared" si="16"/>
        <v>0</v>
      </c>
      <c r="P62" s="419">
        <f t="shared" si="16"/>
        <v>0</v>
      </c>
      <c r="Q62" s="420">
        <f t="shared" si="16"/>
        <v>0</v>
      </c>
      <c r="R62" s="434">
        <f t="shared" si="16"/>
        <v>75612</v>
      </c>
      <c r="S62" s="434">
        <f t="shared" si="16"/>
        <v>2564</v>
      </c>
      <c r="T62" s="434">
        <f t="shared" si="16"/>
        <v>78176</v>
      </c>
      <c r="U62" s="434">
        <f t="shared" si="16"/>
        <v>547</v>
      </c>
    </row>
    <row r="64" spans="1:21" ht="18">
      <c r="A64" s="393" t="s">
        <v>861</v>
      </c>
    </row>
    <row r="65" spans="1:21" ht="18.600000000000001" thickBot="1">
      <c r="A65" s="394">
        <f>A34</f>
        <v>2021</v>
      </c>
    </row>
    <row r="66" spans="1:21">
      <c r="A66" s="2815" t="s">
        <v>0</v>
      </c>
      <c r="B66" s="2827" t="s">
        <v>269</v>
      </c>
      <c r="C66" s="2828"/>
      <c r="D66" s="2828"/>
      <c r="E66" s="3091"/>
      <c r="F66" s="2829" t="s">
        <v>270</v>
      </c>
      <c r="G66" s="2830"/>
      <c r="H66" s="2830"/>
      <c r="I66" s="3095"/>
      <c r="J66" s="2817" t="s">
        <v>271</v>
      </c>
      <c r="K66" s="2818"/>
      <c r="L66" s="2818"/>
      <c r="M66" s="3094"/>
      <c r="N66" s="2819" t="s">
        <v>272</v>
      </c>
      <c r="O66" s="2820"/>
      <c r="P66" s="2820"/>
      <c r="Q66" s="3090"/>
      <c r="R66" s="3413" t="s">
        <v>83</v>
      </c>
      <c r="S66" s="3413"/>
      <c r="T66" s="3413"/>
      <c r="U66" s="3414"/>
    </row>
    <row r="67" spans="1:21" ht="14.4" thickBot="1">
      <c r="A67" s="2816"/>
      <c r="B67" s="402" t="s">
        <v>17</v>
      </c>
      <c r="C67" s="403" t="s">
        <v>18</v>
      </c>
      <c r="D67" s="403" t="s">
        <v>52</v>
      </c>
      <c r="E67" s="404" t="s">
        <v>19</v>
      </c>
      <c r="F67" s="402" t="s">
        <v>17</v>
      </c>
      <c r="G67" s="403" t="s">
        <v>18</v>
      </c>
      <c r="H67" s="403" t="s">
        <v>52</v>
      </c>
      <c r="I67" s="404" t="s">
        <v>19</v>
      </c>
      <c r="J67" s="402" t="s">
        <v>17</v>
      </c>
      <c r="K67" s="403" t="s">
        <v>18</v>
      </c>
      <c r="L67" s="403" t="s">
        <v>52</v>
      </c>
      <c r="M67" s="404" t="s">
        <v>19</v>
      </c>
      <c r="N67" s="402" t="s">
        <v>17</v>
      </c>
      <c r="O67" s="403" t="s">
        <v>18</v>
      </c>
      <c r="P67" s="403" t="s">
        <v>52</v>
      </c>
      <c r="Q67" s="404" t="s">
        <v>19</v>
      </c>
      <c r="R67" s="403" t="s">
        <v>17</v>
      </c>
      <c r="S67" s="403" t="s">
        <v>18</v>
      </c>
      <c r="T67" s="403" t="s">
        <v>52</v>
      </c>
      <c r="U67" s="431" t="s">
        <v>19</v>
      </c>
    </row>
    <row r="68" spans="1:21">
      <c r="A68" s="397" t="s">
        <v>68</v>
      </c>
      <c r="B68" s="398">
        <f>élec!B69+élec!F69+élec!J69</f>
        <v>432</v>
      </c>
      <c r="C68" s="399">
        <f>élec!C69+élec!G69+élec!K69</f>
        <v>6</v>
      </c>
      <c r="D68" s="400">
        <f>C68+B68</f>
        <v>438</v>
      </c>
      <c r="E68" s="401">
        <f>élec!E69+élec!I69+élec!M69</f>
        <v>6</v>
      </c>
      <c r="F68" s="398">
        <f>+élec!N69+élec!R69+élec!V69</f>
        <v>844</v>
      </c>
      <c r="G68" s="399">
        <f>+élec!O69+élec!S69+élec!W69</f>
        <v>8</v>
      </c>
      <c r="H68" s="400">
        <f>+élec!P69+élec!T69+élec!X69</f>
        <v>852</v>
      </c>
      <c r="I68" s="401">
        <f>+élec!Q69+élec!U69+élec!Y69</f>
        <v>7</v>
      </c>
      <c r="J68" s="398">
        <f>+élec!Z69+élec!AD69+élec!AH69</f>
        <v>861</v>
      </c>
      <c r="K68" s="399">
        <f>+élec!AA69+élec!AE69+élec!AI69</f>
        <v>0</v>
      </c>
      <c r="L68" s="400">
        <f>+élec!AB69+élec!AF69+élec!AJ69</f>
        <v>861</v>
      </c>
      <c r="M68" s="401">
        <f>+élec!AC69+élec!AG69+élec!AK69</f>
        <v>3</v>
      </c>
      <c r="N68" s="398">
        <f>+élec!AL69+élec!AP69+élec!AT69</f>
        <v>0</v>
      </c>
      <c r="O68" s="399">
        <f>+élec!AM69+élec!AQ69+élec!AU69</f>
        <v>0</v>
      </c>
      <c r="P68" s="400">
        <f>+élec!AN69+élec!AR69+élec!AV69</f>
        <v>0</v>
      </c>
      <c r="Q68" s="401">
        <f>+élec!AO69+élec!AS69+élec!AW69</f>
        <v>0</v>
      </c>
      <c r="R68" s="432">
        <f t="shared" ref="R68:R77" si="17">B68+F68+J68+N68</f>
        <v>2137</v>
      </c>
      <c r="S68" s="810">
        <f t="shared" ref="S68:S77" si="18">C68+G68+K68+O68</f>
        <v>14</v>
      </c>
      <c r="T68" s="810">
        <f t="shared" ref="T68:T77" si="19">D68+H68+L68+P68</f>
        <v>2151</v>
      </c>
      <c r="U68" s="811">
        <f t="shared" ref="U68:U77" si="20">E68+I68+M68+Q68</f>
        <v>16</v>
      </c>
    </row>
    <row r="69" spans="1:21">
      <c r="A69" s="397" t="s">
        <v>7</v>
      </c>
      <c r="B69" s="398">
        <f>élec!B70+élec!F70+élec!J70</f>
        <v>689</v>
      </c>
      <c r="C69" s="399">
        <f>élec!C70+élec!G70+élec!K70</f>
        <v>82</v>
      </c>
      <c r="D69" s="400">
        <f t="shared" ref="D69:D78" si="21">C69+B69</f>
        <v>771</v>
      </c>
      <c r="E69" s="401">
        <f>élec!E70+élec!I70+élec!M70</f>
        <v>2</v>
      </c>
      <c r="F69" s="398">
        <f>+élec!N70+élec!R70+élec!V70</f>
        <v>938</v>
      </c>
      <c r="G69" s="399">
        <f>+élec!O70+élec!S70+élec!W70</f>
        <v>47</v>
      </c>
      <c r="H69" s="400">
        <f>+élec!P70+élec!T70+élec!X70</f>
        <v>985</v>
      </c>
      <c r="I69" s="401">
        <f>+élec!Q70+élec!U70+élec!Y70</f>
        <v>8</v>
      </c>
      <c r="J69" s="398">
        <f>+élec!Z70+élec!AD70+élec!AH70</f>
        <v>1361</v>
      </c>
      <c r="K69" s="399">
        <f>+élec!AA70+élec!AE70+élec!AI70</f>
        <v>1</v>
      </c>
      <c r="L69" s="400">
        <f>+élec!AB70+élec!AF70+élec!AJ70</f>
        <v>1362</v>
      </c>
      <c r="M69" s="401">
        <f>+élec!AC70+élec!AG70+élec!AK70</f>
        <v>0</v>
      </c>
      <c r="N69" s="398">
        <f>+élec!AL70+élec!AP70+élec!AT70</f>
        <v>0</v>
      </c>
      <c r="O69" s="399">
        <f>+élec!AM70+élec!AQ70+élec!AU70</f>
        <v>0</v>
      </c>
      <c r="P69" s="400">
        <f>+élec!AN70+élec!AR70+élec!AV70</f>
        <v>0</v>
      </c>
      <c r="Q69" s="401">
        <f>+élec!AO70+élec!AS70+élec!AW70</f>
        <v>0</v>
      </c>
      <c r="R69" s="812">
        <f t="shared" si="17"/>
        <v>2988</v>
      </c>
      <c r="S69" s="813">
        <f t="shared" si="18"/>
        <v>130</v>
      </c>
      <c r="T69" s="813">
        <f t="shared" si="19"/>
        <v>3118</v>
      </c>
      <c r="U69" s="814">
        <f t="shared" si="20"/>
        <v>10</v>
      </c>
    </row>
    <row r="70" spans="1:21">
      <c r="A70" s="397" t="s">
        <v>8</v>
      </c>
      <c r="B70" s="398">
        <f>élec!B71+élec!F71+élec!J71</f>
        <v>406</v>
      </c>
      <c r="C70" s="399">
        <f>élec!C71+élec!G71+élec!K71</f>
        <v>9</v>
      </c>
      <c r="D70" s="400">
        <f t="shared" si="21"/>
        <v>415</v>
      </c>
      <c r="E70" s="401">
        <f>élec!E71+élec!I71+élec!M71</f>
        <v>2</v>
      </c>
      <c r="F70" s="398">
        <f>+élec!N71+élec!R71+élec!V71</f>
        <v>467</v>
      </c>
      <c r="G70" s="399">
        <f>+élec!O71+élec!S71+élec!W71</f>
        <v>13</v>
      </c>
      <c r="H70" s="400">
        <f>+élec!P71+élec!T71+élec!X71</f>
        <v>480</v>
      </c>
      <c r="I70" s="401">
        <f>+élec!Q71+élec!U71+élec!Y71</f>
        <v>0</v>
      </c>
      <c r="J70" s="398">
        <f>+élec!Z71+élec!AD71+élec!AH71</f>
        <v>419</v>
      </c>
      <c r="K70" s="399">
        <f>+élec!AA71+élec!AE71+élec!AI71</f>
        <v>3</v>
      </c>
      <c r="L70" s="400">
        <f>+élec!AB71+élec!AF71+élec!AJ71</f>
        <v>422</v>
      </c>
      <c r="M70" s="401">
        <f>+élec!AC71+élec!AG71+élec!AK71</f>
        <v>1</v>
      </c>
      <c r="N70" s="398">
        <f>+élec!AL71+élec!AP71+élec!AT71</f>
        <v>0</v>
      </c>
      <c r="O70" s="399">
        <f>+élec!AM71+élec!AQ71+élec!AU71</f>
        <v>0</v>
      </c>
      <c r="P70" s="400">
        <f>+élec!AN71+élec!AR71+élec!AV71</f>
        <v>0</v>
      </c>
      <c r="Q70" s="401">
        <f>+élec!AO71+élec!AS71+élec!AW71</f>
        <v>0</v>
      </c>
      <c r="R70" s="812">
        <f t="shared" si="17"/>
        <v>1292</v>
      </c>
      <c r="S70" s="813">
        <f t="shared" si="18"/>
        <v>25</v>
      </c>
      <c r="T70" s="813">
        <f t="shared" si="19"/>
        <v>1317</v>
      </c>
      <c r="U70" s="814">
        <f t="shared" si="20"/>
        <v>3</v>
      </c>
    </row>
    <row r="71" spans="1:21">
      <c r="A71" s="397" t="s">
        <v>4</v>
      </c>
      <c r="B71" s="398">
        <f>élec!B72+élec!F72+élec!J72</f>
        <v>1010</v>
      </c>
      <c r="C71" s="399">
        <f>élec!C72+élec!G72+élec!K72</f>
        <v>20</v>
      </c>
      <c r="D71" s="400">
        <f t="shared" si="21"/>
        <v>1030</v>
      </c>
      <c r="E71" s="401">
        <f>élec!E72+élec!I72+élec!M72</f>
        <v>3</v>
      </c>
      <c r="F71" s="398">
        <f>+élec!N72+élec!R72+élec!V72</f>
        <v>2210</v>
      </c>
      <c r="G71" s="399">
        <f>+élec!O72+élec!S72+élec!W72</f>
        <v>16</v>
      </c>
      <c r="H71" s="400">
        <f>+élec!P72+élec!T72+élec!X72</f>
        <v>2226</v>
      </c>
      <c r="I71" s="401">
        <f>+élec!Q72+élec!U72+élec!Y72</f>
        <v>6</v>
      </c>
      <c r="J71" s="398">
        <f>+élec!Z72+élec!AD72+élec!AH72</f>
        <v>1495</v>
      </c>
      <c r="K71" s="399">
        <f>+élec!AA72+élec!AE72+élec!AI72</f>
        <v>20</v>
      </c>
      <c r="L71" s="400">
        <f>+élec!AB72+élec!AF72+élec!AJ72</f>
        <v>1515</v>
      </c>
      <c r="M71" s="401">
        <f>+élec!AC72+élec!AG72+élec!AK72</f>
        <v>4</v>
      </c>
      <c r="N71" s="398">
        <f>+élec!AL72+élec!AP72+élec!AT72</f>
        <v>0</v>
      </c>
      <c r="O71" s="399">
        <f>+élec!AM72+élec!AQ72+élec!AU72</f>
        <v>0</v>
      </c>
      <c r="P71" s="400">
        <f>+élec!AN72+élec!AR72+élec!AV72</f>
        <v>0</v>
      </c>
      <c r="Q71" s="401">
        <f>+élec!AO72+élec!AS72+élec!AW72</f>
        <v>0</v>
      </c>
      <c r="R71" s="812">
        <f t="shared" si="17"/>
        <v>4715</v>
      </c>
      <c r="S71" s="813">
        <f t="shared" si="18"/>
        <v>56</v>
      </c>
      <c r="T71" s="813">
        <f t="shared" si="19"/>
        <v>4771</v>
      </c>
      <c r="U71" s="814">
        <f t="shared" si="20"/>
        <v>13</v>
      </c>
    </row>
    <row r="72" spans="1:21">
      <c r="A72" s="397" t="s">
        <v>3</v>
      </c>
      <c r="B72" s="398">
        <f>élec!B73+élec!F73+élec!J73</f>
        <v>98</v>
      </c>
      <c r="C72" s="399">
        <f>élec!C73+élec!G73+élec!K73</f>
        <v>11</v>
      </c>
      <c r="D72" s="400">
        <f t="shared" si="21"/>
        <v>109</v>
      </c>
      <c r="E72" s="401">
        <f>élec!E73+élec!I73+élec!M73</f>
        <v>0</v>
      </c>
      <c r="F72" s="398">
        <f>+élec!N73+élec!R73+élec!V73</f>
        <v>472</v>
      </c>
      <c r="G72" s="399">
        <f>+élec!O73+élec!S73+élec!W73</f>
        <v>11</v>
      </c>
      <c r="H72" s="400">
        <f>+élec!P73+élec!T73+élec!X73</f>
        <v>483</v>
      </c>
      <c r="I72" s="401">
        <f>+élec!Q73+élec!U73+élec!Y73</f>
        <v>4</v>
      </c>
      <c r="J72" s="398">
        <f>+élec!Z73+élec!AD73+élec!AH73</f>
        <v>595</v>
      </c>
      <c r="K72" s="399">
        <f>+élec!AA73+élec!AE73+élec!AI73</f>
        <v>15</v>
      </c>
      <c r="L72" s="400">
        <f>+élec!AB73+élec!AF73+élec!AJ73</f>
        <v>610</v>
      </c>
      <c r="M72" s="401">
        <f>+élec!AC73+élec!AG73+élec!AK73</f>
        <v>2</v>
      </c>
      <c r="N72" s="398">
        <f>+élec!AL73+élec!AP73+élec!AT73</f>
        <v>0</v>
      </c>
      <c r="O72" s="399">
        <f>+élec!AM73+élec!AQ73+élec!AU73</f>
        <v>0</v>
      </c>
      <c r="P72" s="400">
        <f>+élec!AN73+élec!AR73+élec!AV73</f>
        <v>0</v>
      </c>
      <c r="Q72" s="401">
        <f>+élec!AO73+élec!AS73+élec!AW73</f>
        <v>0</v>
      </c>
      <c r="R72" s="812">
        <f t="shared" si="17"/>
        <v>1165</v>
      </c>
      <c r="S72" s="813">
        <f t="shared" si="18"/>
        <v>37</v>
      </c>
      <c r="T72" s="813">
        <f t="shared" si="19"/>
        <v>1202</v>
      </c>
      <c r="U72" s="814">
        <f t="shared" si="20"/>
        <v>6</v>
      </c>
    </row>
    <row r="73" spans="1:21">
      <c r="A73" s="397" t="s">
        <v>397</v>
      </c>
      <c r="B73" s="398">
        <f>élec!B74+élec!F74+élec!J74</f>
        <v>187</v>
      </c>
      <c r="C73" s="399">
        <f>élec!C74+élec!G74+élec!K74</f>
        <v>4</v>
      </c>
      <c r="D73" s="400">
        <f t="shared" si="21"/>
        <v>191</v>
      </c>
      <c r="E73" s="401">
        <f>élec!E74+élec!I74+élec!M74</f>
        <v>12</v>
      </c>
      <c r="F73" s="398">
        <f>+élec!N74+élec!R74+élec!V74</f>
        <v>369</v>
      </c>
      <c r="G73" s="399">
        <f>+élec!O74+élec!S74+élec!W74</f>
        <v>17</v>
      </c>
      <c r="H73" s="400">
        <f>+élec!P74+élec!T74+élec!X74</f>
        <v>386</v>
      </c>
      <c r="I73" s="401">
        <f>+élec!Q74+élec!U74+élec!Y74</f>
        <v>8</v>
      </c>
      <c r="J73" s="398">
        <f>+élec!Z74+élec!AD74+élec!AH74</f>
        <v>443</v>
      </c>
      <c r="K73" s="399">
        <f>+élec!AA74+élec!AE74+élec!AI74</f>
        <v>0</v>
      </c>
      <c r="L73" s="400">
        <f>+élec!AB74+élec!AF74+élec!AJ74</f>
        <v>443</v>
      </c>
      <c r="M73" s="401">
        <f>+élec!AC74+élec!AG74+élec!AK74</f>
        <v>2</v>
      </c>
      <c r="N73" s="398">
        <f>+élec!AL74+élec!AP74+élec!AT74</f>
        <v>0</v>
      </c>
      <c r="O73" s="399">
        <f>+élec!AM74+élec!AQ74+élec!AU74</f>
        <v>0</v>
      </c>
      <c r="P73" s="400">
        <f>+élec!AN74+élec!AR74+élec!AV74</f>
        <v>0</v>
      </c>
      <c r="Q73" s="401">
        <f>+élec!AO74+élec!AS74+élec!AW74</f>
        <v>0</v>
      </c>
      <c r="R73" s="812">
        <f t="shared" si="17"/>
        <v>999</v>
      </c>
      <c r="S73" s="813">
        <f t="shared" si="18"/>
        <v>21</v>
      </c>
      <c r="T73" s="813">
        <f t="shared" si="19"/>
        <v>1020</v>
      </c>
      <c r="U73" s="814">
        <f t="shared" si="20"/>
        <v>22</v>
      </c>
    </row>
    <row r="74" spans="1:21">
      <c r="A74" s="397" t="s">
        <v>399</v>
      </c>
      <c r="B74" s="398">
        <f>élec!B75+élec!F75+élec!J75</f>
        <v>349</v>
      </c>
      <c r="C74" s="399">
        <f>élec!C75+élec!G75+élec!K75</f>
        <v>12</v>
      </c>
      <c r="D74" s="400">
        <f t="shared" si="21"/>
        <v>361</v>
      </c>
      <c r="E74" s="401">
        <f>élec!E75+élec!I75+élec!M75</f>
        <v>3</v>
      </c>
      <c r="F74" s="398">
        <f>+élec!N75+élec!R75+élec!V75</f>
        <v>918</v>
      </c>
      <c r="G74" s="399">
        <f>+élec!O75+élec!S75+élec!W75</f>
        <v>4</v>
      </c>
      <c r="H74" s="400">
        <f>+élec!P75+élec!T75+élec!X75</f>
        <v>922</v>
      </c>
      <c r="I74" s="401">
        <f>+élec!Q75+élec!U75+élec!Y75</f>
        <v>7</v>
      </c>
      <c r="J74" s="398">
        <f>+élec!Z75+élec!AD75+élec!AH75</f>
        <v>584</v>
      </c>
      <c r="K74" s="399">
        <f>+élec!AA75+élec!AE75+élec!AI75</f>
        <v>4</v>
      </c>
      <c r="L74" s="400">
        <f>+élec!AB75+élec!AF75+élec!AJ75</f>
        <v>588</v>
      </c>
      <c r="M74" s="401">
        <f>+élec!AC75+élec!AG75+élec!AK75</f>
        <v>3</v>
      </c>
      <c r="N74" s="398">
        <f>+élec!AL75+élec!AP75+élec!AT75</f>
        <v>0</v>
      </c>
      <c r="O74" s="399">
        <f>+élec!AM75+élec!AQ75+élec!AU75</f>
        <v>0</v>
      </c>
      <c r="P74" s="400">
        <f>+élec!AN75+élec!AR75+élec!AV75</f>
        <v>0</v>
      </c>
      <c r="Q74" s="401">
        <f>+élec!AO75+élec!AS75+élec!AW75</f>
        <v>0</v>
      </c>
      <c r="R74" s="812">
        <f t="shared" si="17"/>
        <v>1851</v>
      </c>
      <c r="S74" s="813">
        <f t="shared" si="18"/>
        <v>20</v>
      </c>
      <c r="T74" s="813">
        <f t="shared" si="19"/>
        <v>1871</v>
      </c>
      <c r="U74" s="814">
        <f t="shared" si="20"/>
        <v>13</v>
      </c>
    </row>
    <row r="75" spans="1:21">
      <c r="A75" s="397" t="s">
        <v>883</v>
      </c>
      <c r="B75" s="398">
        <f>élec!B76+élec!F76+élec!J76</f>
        <v>535</v>
      </c>
      <c r="C75" s="399">
        <f>élec!C76+élec!G76+élec!K76</f>
        <v>41</v>
      </c>
      <c r="D75" s="400">
        <f t="shared" si="21"/>
        <v>576</v>
      </c>
      <c r="E75" s="401">
        <f>élec!E76+élec!I76+élec!M76</f>
        <v>4</v>
      </c>
      <c r="F75" s="398">
        <f>+élec!N76+élec!R76+élec!V76</f>
        <v>702</v>
      </c>
      <c r="G75" s="399">
        <f>+élec!O76+élec!S76+élec!W76</f>
        <v>19</v>
      </c>
      <c r="H75" s="400">
        <f>+élec!P76+élec!T76+élec!X76</f>
        <v>721</v>
      </c>
      <c r="I75" s="401">
        <f>+élec!Q76+élec!U76+élec!Y76</f>
        <v>4</v>
      </c>
      <c r="J75" s="398">
        <f>+élec!Z76+élec!AD76+élec!AH76</f>
        <v>285</v>
      </c>
      <c r="K75" s="399">
        <f>+élec!AA76+élec!AE76+élec!AI76</f>
        <v>0</v>
      </c>
      <c r="L75" s="400">
        <f>+élec!AB76+élec!AF76+élec!AJ76</f>
        <v>285</v>
      </c>
      <c r="M75" s="401">
        <f>+élec!AC76+élec!AG76+élec!AK76</f>
        <v>2</v>
      </c>
      <c r="N75" s="398">
        <f>+élec!AL76+élec!AP76+élec!AT76</f>
        <v>0</v>
      </c>
      <c r="O75" s="399">
        <f>+élec!AM76+élec!AQ76+élec!AU76</f>
        <v>0</v>
      </c>
      <c r="P75" s="400">
        <f>+élec!AN76+élec!AR76+élec!AV76</f>
        <v>0</v>
      </c>
      <c r="Q75" s="401">
        <f>+élec!AO76+élec!AS76+élec!AW76</f>
        <v>0</v>
      </c>
      <c r="R75" s="812">
        <f t="shared" si="17"/>
        <v>1522</v>
      </c>
      <c r="S75" s="813">
        <f t="shared" si="18"/>
        <v>60</v>
      </c>
      <c r="T75" s="813">
        <f t="shared" si="19"/>
        <v>1582</v>
      </c>
      <c r="U75" s="814">
        <f t="shared" si="20"/>
        <v>10</v>
      </c>
    </row>
    <row r="76" spans="1:21">
      <c r="A76" s="397" t="s">
        <v>884</v>
      </c>
      <c r="B76" s="398">
        <f>élec!B77+élec!F77+élec!J77</f>
        <v>550</v>
      </c>
      <c r="C76" s="399">
        <f>élec!C77+élec!G77+élec!K77</f>
        <v>22</v>
      </c>
      <c r="D76" s="400">
        <f t="shared" si="21"/>
        <v>572</v>
      </c>
      <c r="E76" s="401">
        <f>élec!E77+élec!I77+élec!M77</f>
        <v>5</v>
      </c>
      <c r="F76" s="398">
        <f>+élec!N77+élec!R77+élec!V77</f>
        <v>1233</v>
      </c>
      <c r="G76" s="399">
        <f>+élec!O77+élec!S77+élec!W77</f>
        <v>53</v>
      </c>
      <c r="H76" s="400">
        <f>+élec!P77+élec!T77+élec!X77</f>
        <v>1286</v>
      </c>
      <c r="I76" s="401">
        <f>+élec!Q77+élec!U77+élec!Y77</f>
        <v>4</v>
      </c>
      <c r="J76" s="398">
        <f>+élec!Z77+élec!AD77+élec!AH77</f>
        <v>738</v>
      </c>
      <c r="K76" s="399">
        <f>+élec!AA77+élec!AE77+élec!AI77</f>
        <v>7</v>
      </c>
      <c r="L76" s="400">
        <f>+élec!AB77+élec!AF77+élec!AJ77</f>
        <v>745</v>
      </c>
      <c r="M76" s="401">
        <f>+élec!AC77+élec!AG77+élec!AK77</f>
        <v>0</v>
      </c>
      <c r="N76" s="398">
        <f>+élec!AL77+élec!AP77+élec!AT77</f>
        <v>0</v>
      </c>
      <c r="O76" s="399">
        <f>+élec!AM77+élec!AQ77+élec!AU77</f>
        <v>0</v>
      </c>
      <c r="P76" s="400">
        <f>+élec!AN77+élec!AR77+élec!AV77</f>
        <v>0</v>
      </c>
      <c r="Q76" s="401">
        <f>+élec!AO77+élec!AS77+élec!AW77</f>
        <v>0</v>
      </c>
      <c r="R76" s="812">
        <f t="shared" si="17"/>
        <v>2521</v>
      </c>
      <c r="S76" s="813">
        <f t="shared" si="18"/>
        <v>82</v>
      </c>
      <c r="T76" s="813">
        <f t="shared" si="19"/>
        <v>2603</v>
      </c>
      <c r="U76" s="814">
        <f t="shared" si="20"/>
        <v>9</v>
      </c>
    </row>
    <row r="77" spans="1:21" ht="14.4" thickBot="1">
      <c r="A77" s="397" t="s">
        <v>885</v>
      </c>
      <c r="B77" s="398">
        <f>élec!B78+élec!F78+élec!J78</f>
        <v>352</v>
      </c>
      <c r="C77" s="399">
        <f>élec!C78+élec!G78+élec!K78</f>
        <v>10</v>
      </c>
      <c r="D77" s="400">
        <f t="shared" si="21"/>
        <v>362</v>
      </c>
      <c r="E77" s="401">
        <f>élec!E78+élec!I78+élec!M78</f>
        <v>2</v>
      </c>
      <c r="F77" s="398">
        <f>+élec!N78+élec!R78+élec!V78</f>
        <v>434</v>
      </c>
      <c r="G77" s="399">
        <f>+élec!O78+élec!S78+élec!W78</f>
        <v>2</v>
      </c>
      <c r="H77" s="400">
        <f>+élec!P78+élec!T78+élec!X78</f>
        <v>436</v>
      </c>
      <c r="I77" s="401">
        <f>+élec!Q78+élec!U78+élec!Y78</f>
        <v>1</v>
      </c>
      <c r="J77" s="398">
        <f>+élec!Z78+élec!AD78+élec!AH78</f>
        <v>451</v>
      </c>
      <c r="K77" s="399">
        <f>+élec!AA78+élec!AE78+élec!AI78</f>
        <v>6</v>
      </c>
      <c r="L77" s="400">
        <f>+élec!AB78+élec!AF78+élec!AJ78</f>
        <v>457</v>
      </c>
      <c r="M77" s="401">
        <f>+élec!AC78+élec!AG78+élec!AK78</f>
        <v>0</v>
      </c>
      <c r="N77" s="398">
        <f>+élec!AL78+élec!AP78+élec!AT78</f>
        <v>0</v>
      </c>
      <c r="O77" s="399">
        <f>+élec!AM78+élec!AQ78+élec!AU78</f>
        <v>0</v>
      </c>
      <c r="P77" s="400">
        <f>+élec!AN78+élec!AR78+élec!AV78</f>
        <v>0</v>
      </c>
      <c r="Q77" s="401">
        <f>+élec!AO78+élec!AS78+élec!AW78</f>
        <v>0</v>
      </c>
      <c r="R77" s="812">
        <f t="shared" si="17"/>
        <v>1237</v>
      </c>
      <c r="S77" s="813">
        <f t="shared" si="18"/>
        <v>18</v>
      </c>
      <c r="T77" s="813">
        <f t="shared" si="19"/>
        <v>1255</v>
      </c>
      <c r="U77" s="814">
        <f t="shared" si="20"/>
        <v>3</v>
      </c>
    </row>
    <row r="78" spans="1:21" ht="14.4" thickBot="1">
      <c r="A78" s="433" t="s">
        <v>16</v>
      </c>
      <c r="B78" s="417">
        <f>SUM(B68:B77)</f>
        <v>4608</v>
      </c>
      <c r="C78" s="419">
        <f>SUM(C68:C77)</f>
        <v>217</v>
      </c>
      <c r="D78" s="419">
        <f t="shared" si="21"/>
        <v>4825</v>
      </c>
      <c r="E78" s="420">
        <f t="shared" ref="E78:U78" si="22">SUM(E68:E77)</f>
        <v>39</v>
      </c>
      <c r="F78" s="417">
        <f t="shared" si="22"/>
        <v>8587</v>
      </c>
      <c r="G78" s="419">
        <f t="shared" si="22"/>
        <v>190</v>
      </c>
      <c r="H78" s="419">
        <f t="shared" si="22"/>
        <v>8777</v>
      </c>
      <c r="I78" s="420">
        <f t="shared" si="22"/>
        <v>49</v>
      </c>
      <c r="J78" s="417">
        <f t="shared" si="22"/>
        <v>7232</v>
      </c>
      <c r="K78" s="419">
        <f t="shared" si="22"/>
        <v>56</v>
      </c>
      <c r="L78" s="419">
        <f t="shared" si="22"/>
        <v>7288</v>
      </c>
      <c r="M78" s="420">
        <f t="shared" si="22"/>
        <v>17</v>
      </c>
      <c r="N78" s="417">
        <f t="shared" si="22"/>
        <v>0</v>
      </c>
      <c r="O78" s="419">
        <f t="shared" si="22"/>
        <v>0</v>
      </c>
      <c r="P78" s="419">
        <f t="shared" si="22"/>
        <v>0</v>
      </c>
      <c r="Q78" s="420">
        <f t="shared" si="22"/>
        <v>0</v>
      </c>
      <c r="R78" s="434">
        <f t="shared" si="22"/>
        <v>20427</v>
      </c>
      <c r="S78" s="434">
        <f t="shared" si="22"/>
        <v>463</v>
      </c>
      <c r="T78" s="434">
        <f t="shared" si="22"/>
        <v>20890</v>
      </c>
      <c r="U78" s="434">
        <f t="shared" si="22"/>
        <v>105</v>
      </c>
    </row>
    <row r="80" spans="1:21" ht="18.600000000000001" thickBot="1">
      <c r="A80" s="394">
        <f>A49</f>
        <v>2022</v>
      </c>
    </row>
    <row r="81" spans="1:21">
      <c r="A81" s="2815" t="s">
        <v>0</v>
      </c>
      <c r="B81" s="2827" t="s">
        <v>269</v>
      </c>
      <c r="C81" s="2828"/>
      <c r="D81" s="2828"/>
      <c r="E81" s="3091"/>
      <c r="F81" s="2829" t="s">
        <v>270</v>
      </c>
      <c r="G81" s="2830"/>
      <c r="H81" s="2830"/>
      <c r="I81" s="3095"/>
      <c r="J81" s="2817" t="s">
        <v>271</v>
      </c>
      <c r="K81" s="2818"/>
      <c r="L81" s="2818"/>
      <c r="M81" s="3094"/>
      <c r="N81" s="2819" t="s">
        <v>272</v>
      </c>
      <c r="O81" s="2820"/>
      <c r="P81" s="2820"/>
      <c r="Q81" s="3090"/>
      <c r="R81" s="3413" t="s">
        <v>83</v>
      </c>
      <c r="S81" s="3413"/>
      <c r="T81" s="3413"/>
      <c r="U81" s="3414"/>
    </row>
    <row r="82" spans="1:21" ht="14.4" thickBot="1">
      <c r="A82" s="2816"/>
      <c r="B82" s="402" t="s">
        <v>17</v>
      </c>
      <c r="C82" s="403" t="s">
        <v>18</v>
      </c>
      <c r="D82" s="403" t="s">
        <v>52</v>
      </c>
      <c r="E82" s="404" t="s">
        <v>19</v>
      </c>
      <c r="F82" s="402" t="s">
        <v>17</v>
      </c>
      <c r="G82" s="403" t="s">
        <v>18</v>
      </c>
      <c r="H82" s="403" t="s">
        <v>52</v>
      </c>
      <c r="I82" s="404" t="s">
        <v>19</v>
      </c>
      <c r="J82" s="402" t="s">
        <v>17</v>
      </c>
      <c r="K82" s="403" t="s">
        <v>18</v>
      </c>
      <c r="L82" s="403" t="s">
        <v>52</v>
      </c>
      <c r="M82" s="404" t="s">
        <v>19</v>
      </c>
      <c r="N82" s="402" t="s">
        <v>17</v>
      </c>
      <c r="O82" s="403" t="s">
        <v>18</v>
      </c>
      <c r="P82" s="403" t="s">
        <v>52</v>
      </c>
      <c r="Q82" s="404" t="s">
        <v>19</v>
      </c>
      <c r="R82" s="403" t="s">
        <v>17</v>
      </c>
      <c r="S82" s="403" t="s">
        <v>18</v>
      </c>
      <c r="T82" s="403" t="s">
        <v>52</v>
      </c>
      <c r="U82" s="431" t="s">
        <v>19</v>
      </c>
    </row>
    <row r="83" spans="1:21">
      <c r="A83" s="397" t="s">
        <v>68</v>
      </c>
      <c r="B83" s="398">
        <f>+élec!B84+élec!F84+élec!J84</f>
        <v>1792</v>
      </c>
      <c r="C83" s="399">
        <f>+élec!C84+élec!G84+élec!K84</f>
        <v>5</v>
      </c>
      <c r="D83" s="400">
        <f>+élec!D84+élec!H84+élec!L84</f>
        <v>1797</v>
      </c>
      <c r="E83" s="401">
        <f>+élec!E84+élec!I84+élec!M84</f>
        <v>1</v>
      </c>
      <c r="F83" s="398">
        <f>+élec!N84+élec!R84+élec!V84</f>
        <v>2363</v>
      </c>
      <c r="G83" s="399">
        <f>+élec!O84+élec!S84+élec!W84</f>
        <v>5</v>
      </c>
      <c r="H83" s="400">
        <f>+élec!P84+élec!T84+élec!X84</f>
        <v>2368</v>
      </c>
      <c r="I83" s="401">
        <f>+élec!Q84+élec!U84+élec!Y84</f>
        <v>0</v>
      </c>
      <c r="J83" s="398">
        <f>+élec!Z84+élec!AD84+élec!AH84</f>
        <v>808</v>
      </c>
      <c r="K83" s="399">
        <f>+élec!AA84+élec!AE84+élec!AI84</f>
        <v>1</v>
      </c>
      <c r="L83" s="400">
        <f>+élec!AB84+élec!AF84+élec!AJ84</f>
        <v>809</v>
      </c>
      <c r="M83" s="401">
        <f>+élec!AC84+élec!AG84+élec!AK84</f>
        <v>2</v>
      </c>
      <c r="N83" s="398">
        <f>+élec!AL84+élec!AP84+élec!AT84</f>
        <v>0</v>
      </c>
      <c r="O83" s="399">
        <f>+élec!AM84+élec!AQ84+élec!AU84</f>
        <v>0</v>
      </c>
      <c r="P83" s="400">
        <f>+élec!AN84+élec!AR84+élec!AV84</f>
        <v>0</v>
      </c>
      <c r="Q83" s="401">
        <f>+élec!AO84+élec!AS84+élec!AW84</f>
        <v>0</v>
      </c>
      <c r="R83" s="432">
        <f>B83+F83+J83+N83</f>
        <v>4963</v>
      </c>
      <c r="S83" s="810">
        <f t="shared" ref="S83:S92" si="23">C83+G83+K83+O83</f>
        <v>11</v>
      </c>
      <c r="T83" s="810">
        <f t="shared" ref="T83:T92" si="24">D83+H83+L83+P83</f>
        <v>4974</v>
      </c>
      <c r="U83" s="811">
        <f t="shared" ref="U83:U92" si="25">E83+I83+M83+Q83</f>
        <v>3</v>
      </c>
    </row>
    <row r="84" spans="1:21">
      <c r="A84" s="397" t="s">
        <v>7</v>
      </c>
      <c r="B84" s="398">
        <f>+élec!B85+élec!F85+élec!J85</f>
        <v>479</v>
      </c>
      <c r="C84" s="399">
        <f>+élec!C85+élec!G85+élec!K85</f>
        <v>148</v>
      </c>
      <c r="D84" s="400">
        <f>+élec!D85+élec!H85+élec!L85</f>
        <v>627</v>
      </c>
      <c r="E84" s="401">
        <f>+élec!E85+élec!I85+élec!M85</f>
        <v>0</v>
      </c>
      <c r="F84" s="398">
        <f>+élec!N85+élec!R85+élec!V85</f>
        <v>428</v>
      </c>
      <c r="G84" s="399">
        <f>+élec!O85+élec!S85+élec!W85</f>
        <v>8</v>
      </c>
      <c r="H84" s="400">
        <f>+élec!P85+élec!T85+élec!X85</f>
        <v>436</v>
      </c>
      <c r="I84" s="401">
        <f>+élec!Q85+élec!U85+élec!Y85</f>
        <v>0</v>
      </c>
      <c r="J84" s="398">
        <f>+élec!Z85+élec!AD85+élec!AH85</f>
        <v>198</v>
      </c>
      <c r="K84" s="399">
        <f>+élec!AA85+élec!AE85+élec!AI85</f>
        <v>4</v>
      </c>
      <c r="L84" s="400">
        <f>+élec!AB85+élec!AF85+élec!AJ85</f>
        <v>202</v>
      </c>
      <c r="M84" s="401">
        <f>+élec!AC85+élec!AG85+élec!AK85</f>
        <v>0</v>
      </c>
      <c r="N84" s="398">
        <f>+élec!AL85+élec!AP85+élec!AT85</f>
        <v>0</v>
      </c>
      <c r="O84" s="399">
        <f>+élec!AM85+élec!AQ85+élec!AU85</f>
        <v>0</v>
      </c>
      <c r="P84" s="400">
        <f>+élec!AN85+élec!AR85+élec!AV85</f>
        <v>0</v>
      </c>
      <c r="Q84" s="401">
        <f>+élec!AO85+élec!AS85+élec!AW85</f>
        <v>0</v>
      </c>
      <c r="R84" s="812">
        <f t="shared" ref="R84:R92" si="26">B84+F84+J84+N84</f>
        <v>1105</v>
      </c>
      <c r="S84" s="813">
        <f t="shared" si="23"/>
        <v>160</v>
      </c>
      <c r="T84" s="813">
        <f t="shared" si="24"/>
        <v>1265</v>
      </c>
      <c r="U84" s="814">
        <f t="shared" si="25"/>
        <v>0</v>
      </c>
    </row>
    <row r="85" spans="1:21">
      <c r="A85" s="397" t="s">
        <v>8</v>
      </c>
      <c r="B85" s="398">
        <f>+élec!B86+élec!F86+élec!J86</f>
        <v>313</v>
      </c>
      <c r="C85" s="399">
        <f>+élec!C86+élec!G86+élec!K86</f>
        <v>19</v>
      </c>
      <c r="D85" s="400">
        <f>+élec!D86+élec!H86+élec!L86</f>
        <v>332</v>
      </c>
      <c r="E85" s="401">
        <f>+élec!E86+élec!I86+élec!M86</f>
        <v>1</v>
      </c>
      <c r="F85" s="398">
        <f>+élec!N86+élec!R86+élec!V86</f>
        <v>1058</v>
      </c>
      <c r="G85" s="399">
        <f>+élec!O86+élec!S86+élec!W86</f>
        <v>80</v>
      </c>
      <c r="H85" s="400">
        <f>+élec!P86+élec!T86+élec!X86</f>
        <v>1138</v>
      </c>
      <c r="I85" s="401">
        <f>+élec!Q86+élec!U86+élec!Y86</f>
        <v>2</v>
      </c>
      <c r="J85" s="398">
        <f>+élec!Z86+élec!AD86+élec!AH86</f>
        <v>164</v>
      </c>
      <c r="K85" s="399">
        <f>+élec!AA86+élec!AE86+élec!AI86</f>
        <v>15</v>
      </c>
      <c r="L85" s="400">
        <f>+élec!AB86+élec!AF86+élec!AJ86</f>
        <v>179</v>
      </c>
      <c r="M85" s="401">
        <f>+élec!AC86+élec!AG86+élec!AK86</f>
        <v>1</v>
      </c>
      <c r="N85" s="398">
        <f>+élec!AL86+élec!AP86+élec!AT86</f>
        <v>0</v>
      </c>
      <c r="O85" s="399">
        <f>+élec!AM86+élec!AQ86+élec!AU86</f>
        <v>0</v>
      </c>
      <c r="P85" s="400">
        <f>+élec!AN86+élec!AR86+élec!AV86</f>
        <v>0</v>
      </c>
      <c r="Q85" s="401">
        <f>+élec!AO86+élec!AS86+élec!AW86</f>
        <v>0</v>
      </c>
      <c r="R85" s="812">
        <f t="shared" si="26"/>
        <v>1535</v>
      </c>
      <c r="S85" s="813">
        <f t="shared" si="23"/>
        <v>114</v>
      </c>
      <c r="T85" s="813">
        <f t="shared" si="24"/>
        <v>1649</v>
      </c>
      <c r="U85" s="814">
        <f t="shared" si="25"/>
        <v>4</v>
      </c>
    </row>
    <row r="86" spans="1:21">
      <c r="A86" s="397" t="s">
        <v>4</v>
      </c>
      <c r="B86" s="398">
        <f>+élec!B87+élec!F87+élec!J87</f>
        <v>1048</v>
      </c>
      <c r="C86" s="399">
        <f>+élec!C87+élec!G87+élec!K87</f>
        <v>8</v>
      </c>
      <c r="D86" s="400">
        <f>+élec!D87+élec!H87+élec!L87</f>
        <v>1056</v>
      </c>
      <c r="E86" s="401">
        <f>+élec!E87+élec!I87+élec!M87</f>
        <v>1</v>
      </c>
      <c r="F86" s="398">
        <f>+élec!N87+élec!R87+élec!V87</f>
        <v>1274</v>
      </c>
      <c r="G86" s="399">
        <f>+élec!O87+élec!S87+élec!W87</f>
        <v>22</v>
      </c>
      <c r="H86" s="400">
        <f>+élec!P87+élec!T87+élec!X87</f>
        <v>1296</v>
      </c>
      <c r="I86" s="401">
        <f>+élec!Q87+élec!U87+élec!Y87</f>
        <v>3</v>
      </c>
      <c r="J86" s="398">
        <f>+élec!Z87+élec!AD87+élec!AH87</f>
        <v>544</v>
      </c>
      <c r="K86" s="399">
        <f>+élec!AA87+élec!AE87+élec!AI87</f>
        <v>11</v>
      </c>
      <c r="L86" s="400">
        <f>+élec!AB87+élec!AF87+élec!AJ87</f>
        <v>555</v>
      </c>
      <c r="M86" s="401">
        <f>+élec!AC87+élec!AG87+élec!AK87</f>
        <v>3</v>
      </c>
      <c r="N86" s="398">
        <f>+élec!AL87+élec!AP87+élec!AT87</f>
        <v>0</v>
      </c>
      <c r="O86" s="399">
        <f>+élec!AM87+élec!AQ87+élec!AU87</f>
        <v>0</v>
      </c>
      <c r="P86" s="400">
        <f>+élec!AN87+élec!AR87+élec!AV87</f>
        <v>0</v>
      </c>
      <c r="Q86" s="401">
        <f>+élec!AO87+élec!AS87+élec!AW87</f>
        <v>0</v>
      </c>
      <c r="R86" s="812">
        <f t="shared" si="26"/>
        <v>2866</v>
      </c>
      <c r="S86" s="813">
        <f t="shared" si="23"/>
        <v>41</v>
      </c>
      <c r="T86" s="813">
        <f t="shared" si="24"/>
        <v>2907</v>
      </c>
      <c r="U86" s="814">
        <f t="shared" si="25"/>
        <v>7</v>
      </c>
    </row>
    <row r="87" spans="1:21">
      <c r="A87" s="397" t="s">
        <v>3</v>
      </c>
      <c r="B87" s="398">
        <f>+élec!B88+élec!F88+élec!J88</f>
        <v>187</v>
      </c>
      <c r="C87" s="399">
        <f>+élec!C88+élec!G88+élec!K88</f>
        <v>28</v>
      </c>
      <c r="D87" s="400">
        <f>+élec!D88+élec!H88+élec!L88</f>
        <v>215</v>
      </c>
      <c r="E87" s="401">
        <f>+élec!E88+élec!I88+élec!M88</f>
        <v>2</v>
      </c>
      <c r="F87" s="398">
        <f>+élec!N88+élec!R88+élec!V88</f>
        <v>118</v>
      </c>
      <c r="G87" s="399">
        <f>+élec!O88+élec!S88+élec!W88</f>
        <v>15</v>
      </c>
      <c r="H87" s="400">
        <f>+élec!P88+élec!T88+élec!X88</f>
        <v>133</v>
      </c>
      <c r="I87" s="401">
        <f>+élec!Q88+élec!U88+élec!Y88</f>
        <v>14</v>
      </c>
      <c r="J87" s="398">
        <f>+élec!Z88+élec!AD88+élec!AH88</f>
        <v>45</v>
      </c>
      <c r="K87" s="399">
        <f>+élec!AA88+élec!AE88+élec!AI88</f>
        <v>7</v>
      </c>
      <c r="L87" s="400">
        <f>+élec!AB88+élec!AF88+élec!AJ88</f>
        <v>52</v>
      </c>
      <c r="M87" s="401">
        <f>+élec!AC88+élec!AG88+élec!AK88</f>
        <v>2</v>
      </c>
      <c r="N87" s="398">
        <f>+élec!AL88+élec!AP88+élec!AT88</f>
        <v>0</v>
      </c>
      <c r="O87" s="399">
        <f>+élec!AM88+élec!AQ88+élec!AU88</f>
        <v>0</v>
      </c>
      <c r="P87" s="400">
        <f>+élec!AN88+élec!AR88+élec!AV88</f>
        <v>0</v>
      </c>
      <c r="Q87" s="401">
        <f>+élec!AO88+élec!AS88+élec!AW88</f>
        <v>0</v>
      </c>
      <c r="R87" s="812">
        <f t="shared" si="26"/>
        <v>350</v>
      </c>
      <c r="S87" s="813">
        <f t="shared" si="23"/>
        <v>50</v>
      </c>
      <c r="T87" s="813">
        <f t="shared" si="24"/>
        <v>400</v>
      </c>
      <c r="U87" s="814">
        <f t="shared" si="25"/>
        <v>18</v>
      </c>
    </row>
    <row r="88" spans="1:21">
      <c r="A88" s="397" t="s">
        <v>397</v>
      </c>
      <c r="B88" s="398">
        <f>+élec!B89+élec!F89+élec!J89</f>
        <v>304</v>
      </c>
      <c r="C88" s="399">
        <f>+élec!C89+élec!G89+élec!K89</f>
        <v>9</v>
      </c>
      <c r="D88" s="400">
        <f>+élec!D89+élec!H89+élec!L89</f>
        <v>313</v>
      </c>
      <c r="E88" s="401">
        <f>+élec!E89+élec!I89+élec!M89</f>
        <v>1</v>
      </c>
      <c r="F88" s="398">
        <f>+élec!N89+élec!R89+élec!V89</f>
        <v>1134</v>
      </c>
      <c r="G88" s="399">
        <f>+élec!O89+élec!S89+élec!W89</f>
        <v>90</v>
      </c>
      <c r="H88" s="400">
        <f>+élec!P89+élec!T89+élec!X89</f>
        <v>1224</v>
      </c>
      <c r="I88" s="401">
        <f>+élec!Q89+élec!U89+élec!Y89</f>
        <v>1</v>
      </c>
      <c r="J88" s="398">
        <f>+élec!Z89+élec!AD89+élec!AH89</f>
        <v>296</v>
      </c>
      <c r="K88" s="399">
        <f>+élec!AA89+élec!AE89+élec!AI89</f>
        <v>0</v>
      </c>
      <c r="L88" s="400">
        <f>+élec!AB89+élec!AF89+élec!AJ89</f>
        <v>296</v>
      </c>
      <c r="M88" s="401">
        <f>+élec!AC89+élec!AG89+élec!AK89</f>
        <v>0</v>
      </c>
      <c r="N88" s="398">
        <f>+élec!AL89+élec!AP89+élec!AT89</f>
        <v>0</v>
      </c>
      <c r="O88" s="399">
        <f>+élec!AM89+élec!AQ89+élec!AU89</f>
        <v>0</v>
      </c>
      <c r="P88" s="400">
        <f>+élec!AN89+élec!AR89+élec!AV89</f>
        <v>0</v>
      </c>
      <c r="Q88" s="401">
        <f>+élec!AO89+élec!AS89+élec!AW89</f>
        <v>0</v>
      </c>
      <c r="R88" s="812">
        <f t="shared" si="26"/>
        <v>1734</v>
      </c>
      <c r="S88" s="813">
        <f t="shared" si="23"/>
        <v>99</v>
      </c>
      <c r="T88" s="813">
        <f t="shared" si="24"/>
        <v>1833</v>
      </c>
      <c r="U88" s="814">
        <f t="shared" si="25"/>
        <v>2</v>
      </c>
    </row>
    <row r="89" spans="1:21">
      <c r="A89" s="397" t="s">
        <v>399</v>
      </c>
      <c r="B89" s="398">
        <f>+élec!B90+élec!F90+élec!J90</f>
        <v>549</v>
      </c>
      <c r="C89" s="399">
        <f>+élec!C90+élec!G90+élec!K90</f>
        <v>1</v>
      </c>
      <c r="D89" s="400">
        <f>+élec!D90+élec!H90+élec!L90</f>
        <v>550</v>
      </c>
      <c r="E89" s="401">
        <f>+élec!E90+élec!I90+élec!M90</f>
        <v>0</v>
      </c>
      <c r="F89" s="398">
        <f>+élec!N90+élec!R90+élec!V90</f>
        <v>850</v>
      </c>
      <c r="G89" s="399">
        <f>+élec!O90+élec!S90+élec!W90</f>
        <v>21</v>
      </c>
      <c r="H89" s="400">
        <f>+élec!P90+élec!T90+élec!X90</f>
        <v>871</v>
      </c>
      <c r="I89" s="401">
        <f>+élec!Q90+élec!U90+élec!Y90</f>
        <v>0</v>
      </c>
      <c r="J89" s="398">
        <f>+élec!Z90+élec!AD90+élec!AH90</f>
        <v>176</v>
      </c>
      <c r="K89" s="399">
        <f>+élec!AA90+élec!AE90+élec!AI90</f>
        <v>8</v>
      </c>
      <c r="L89" s="400">
        <f>+élec!AB90+élec!AF90+élec!AJ90</f>
        <v>184</v>
      </c>
      <c r="M89" s="401">
        <f>+élec!AC90+élec!AG90+élec!AK90</f>
        <v>0</v>
      </c>
      <c r="N89" s="398">
        <f>+élec!AL90+élec!AP90+élec!AT90</f>
        <v>0</v>
      </c>
      <c r="O89" s="399">
        <f>+élec!AM90+élec!AQ90+élec!AU90</f>
        <v>0</v>
      </c>
      <c r="P89" s="400">
        <f>+élec!AN90+élec!AR90+élec!AV90</f>
        <v>0</v>
      </c>
      <c r="Q89" s="401">
        <f>+élec!AO90+élec!AS90+élec!AW90</f>
        <v>0</v>
      </c>
      <c r="R89" s="812">
        <f t="shared" si="26"/>
        <v>1575</v>
      </c>
      <c r="S89" s="813">
        <f t="shared" si="23"/>
        <v>30</v>
      </c>
      <c r="T89" s="813">
        <f t="shared" si="24"/>
        <v>1605</v>
      </c>
      <c r="U89" s="814">
        <f t="shared" si="25"/>
        <v>0</v>
      </c>
    </row>
    <row r="90" spans="1:21">
      <c r="A90" s="397" t="s">
        <v>883</v>
      </c>
      <c r="B90" s="398">
        <f>+élec!B91+élec!F91+élec!J91</f>
        <v>329</v>
      </c>
      <c r="C90" s="399">
        <f>+élec!C91+élec!G91+élec!K91</f>
        <v>0</v>
      </c>
      <c r="D90" s="400">
        <f>+élec!D91+élec!H91+élec!L91</f>
        <v>329</v>
      </c>
      <c r="E90" s="401">
        <f>+élec!E91+élec!I91+élec!M91</f>
        <v>0</v>
      </c>
      <c r="F90" s="398">
        <f>+élec!N91+élec!R91+élec!V91</f>
        <v>411</v>
      </c>
      <c r="G90" s="399">
        <f>+élec!O91+élec!S91+élec!W91</f>
        <v>7</v>
      </c>
      <c r="H90" s="400">
        <f>+élec!P91+élec!T91+élec!X91</f>
        <v>418</v>
      </c>
      <c r="I90" s="401">
        <f>+élec!Q91+élec!U91+élec!Y91</f>
        <v>3</v>
      </c>
      <c r="J90" s="398">
        <f>+élec!Z91+élec!AD91+élec!AH91</f>
        <v>144</v>
      </c>
      <c r="K90" s="399">
        <f>+élec!AA91+élec!AE91+élec!AI91</f>
        <v>0</v>
      </c>
      <c r="L90" s="400">
        <f>+élec!AB91+élec!AF91+élec!AJ91</f>
        <v>144</v>
      </c>
      <c r="M90" s="401">
        <f>+élec!AC91+élec!AG91+élec!AK91</f>
        <v>0</v>
      </c>
      <c r="N90" s="398">
        <f>+élec!AL91+élec!AP91+élec!AT91</f>
        <v>0</v>
      </c>
      <c r="O90" s="399">
        <f>+élec!AM91+élec!AQ91+élec!AU91</f>
        <v>0</v>
      </c>
      <c r="P90" s="400">
        <f>+élec!AN91+élec!AR91+élec!AV91</f>
        <v>0</v>
      </c>
      <c r="Q90" s="401">
        <f>+élec!AO91+élec!AS91+élec!AW91</f>
        <v>0</v>
      </c>
      <c r="R90" s="812">
        <f t="shared" si="26"/>
        <v>884</v>
      </c>
      <c r="S90" s="813">
        <f t="shared" si="23"/>
        <v>7</v>
      </c>
      <c r="T90" s="813">
        <f t="shared" si="24"/>
        <v>891</v>
      </c>
      <c r="U90" s="814">
        <f t="shared" si="25"/>
        <v>3</v>
      </c>
    </row>
    <row r="91" spans="1:21">
      <c r="A91" s="397" t="s">
        <v>884</v>
      </c>
      <c r="B91" s="398">
        <f>+élec!B92+élec!F92+élec!J92</f>
        <v>696</v>
      </c>
      <c r="C91" s="399">
        <f>+élec!C92+élec!G92+élec!K92</f>
        <v>71</v>
      </c>
      <c r="D91" s="400">
        <f>+élec!D92+élec!H92+élec!L92</f>
        <v>767</v>
      </c>
      <c r="E91" s="401">
        <f>+élec!E92+élec!I92+élec!M92</f>
        <v>6</v>
      </c>
      <c r="F91" s="398">
        <f>+élec!N92+élec!R92+élec!V92</f>
        <v>822</v>
      </c>
      <c r="G91" s="399">
        <f>+élec!O92+élec!S92+élec!W92</f>
        <v>13</v>
      </c>
      <c r="H91" s="400">
        <f>+élec!P92+élec!T92+élec!X92</f>
        <v>835</v>
      </c>
      <c r="I91" s="401">
        <f>+élec!Q92+élec!U92+élec!Y92</f>
        <v>5</v>
      </c>
      <c r="J91" s="398">
        <f>+élec!Z92+élec!AD92+élec!AH92</f>
        <v>475</v>
      </c>
      <c r="K91" s="399">
        <f>+élec!AA92+élec!AE92+élec!AI92</f>
        <v>10</v>
      </c>
      <c r="L91" s="400">
        <f>+élec!AB92+élec!AF92+élec!AJ92</f>
        <v>485</v>
      </c>
      <c r="M91" s="401">
        <f>+élec!AC92+élec!AG92+élec!AK92</f>
        <v>4</v>
      </c>
      <c r="N91" s="398">
        <f>+élec!AL92+élec!AP92+élec!AT92</f>
        <v>0</v>
      </c>
      <c r="O91" s="399">
        <f>+élec!AM92+élec!AQ92+élec!AU92</f>
        <v>0</v>
      </c>
      <c r="P91" s="400">
        <f>+élec!AN92+élec!AR92+élec!AV92</f>
        <v>0</v>
      </c>
      <c r="Q91" s="401">
        <f>+élec!AO92+élec!AS92+élec!AW92</f>
        <v>0</v>
      </c>
      <c r="R91" s="812">
        <f t="shared" si="26"/>
        <v>1993</v>
      </c>
      <c r="S91" s="813">
        <f t="shared" si="23"/>
        <v>94</v>
      </c>
      <c r="T91" s="813">
        <f t="shared" si="24"/>
        <v>2087</v>
      </c>
      <c r="U91" s="814">
        <f t="shared" si="25"/>
        <v>15</v>
      </c>
    </row>
    <row r="92" spans="1:21" ht="14.4" thickBot="1">
      <c r="A92" s="397" t="s">
        <v>885</v>
      </c>
      <c r="B92" s="398">
        <f>+élec!B93+élec!F93+élec!J93</f>
        <v>778</v>
      </c>
      <c r="C92" s="399">
        <f>+élec!C93+élec!G93+élec!K93</f>
        <v>7</v>
      </c>
      <c r="D92" s="400">
        <f>+élec!D93+élec!H93+élec!L93</f>
        <v>785</v>
      </c>
      <c r="E92" s="401">
        <f>+élec!E93+élec!I93+élec!M93</f>
        <v>0</v>
      </c>
      <c r="F92" s="398">
        <f>+élec!N93+élec!R93+élec!V93</f>
        <v>304</v>
      </c>
      <c r="G92" s="399">
        <f>+élec!O93+élec!S93+élec!W93</f>
        <v>10</v>
      </c>
      <c r="H92" s="400">
        <f>+élec!P93+élec!T93+élec!X93</f>
        <v>314</v>
      </c>
      <c r="I92" s="401">
        <f>+élec!Q93+élec!U93+élec!Y93</f>
        <v>1</v>
      </c>
      <c r="J92" s="398">
        <f>+élec!Z93+élec!AD93+élec!AH93</f>
        <v>60</v>
      </c>
      <c r="K92" s="399">
        <f>+élec!AA93+élec!AE93+élec!AI93</f>
        <v>4</v>
      </c>
      <c r="L92" s="400">
        <f>+élec!AB93+élec!AF93+élec!AJ93</f>
        <v>64</v>
      </c>
      <c r="M92" s="401">
        <f>+élec!AC93+élec!AG93+élec!AK93</f>
        <v>2</v>
      </c>
      <c r="N92" s="398">
        <f>+élec!AL93+élec!AP93+élec!AT93</f>
        <v>0</v>
      </c>
      <c r="O92" s="399">
        <f>+élec!AM93+élec!AQ93+élec!AU93</f>
        <v>0</v>
      </c>
      <c r="P92" s="400">
        <f>+élec!AN93+élec!AR93+élec!AV93</f>
        <v>0</v>
      </c>
      <c r="Q92" s="401">
        <f>+élec!AO93+élec!AS93+élec!AW93</f>
        <v>0</v>
      </c>
      <c r="R92" s="812">
        <f t="shared" si="26"/>
        <v>1142</v>
      </c>
      <c r="S92" s="813">
        <f t="shared" si="23"/>
        <v>21</v>
      </c>
      <c r="T92" s="813">
        <f t="shared" si="24"/>
        <v>1163</v>
      </c>
      <c r="U92" s="814">
        <f t="shared" si="25"/>
        <v>3</v>
      </c>
    </row>
    <row r="93" spans="1:21" ht="14.4" thickBot="1">
      <c r="A93" s="433" t="s">
        <v>16</v>
      </c>
      <c r="B93" s="417">
        <f t="shared" ref="B93:U93" si="27">SUM(B83:B92)</f>
        <v>6475</v>
      </c>
      <c r="C93" s="419">
        <f t="shared" si="27"/>
        <v>296</v>
      </c>
      <c r="D93" s="419">
        <f t="shared" si="27"/>
        <v>6771</v>
      </c>
      <c r="E93" s="420">
        <f t="shared" si="27"/>
        <v>12</v>
      </c>
      <c r="F93" s="417">
        <f t="shared" si="27"/>
        <v>8762</v>
      </c>
      <c r="G93" s="419">
        <f t="shared" si="27"/>
        <v>271</v>
      </c>
      <c r="H93" s="419">
        <f t="shared" si="27"/>
        <v>9033</v>
      </c>
      <c r="I93" s="420">
        <f t="shared" si="27"/>
        <v>29</v>
      </c>
      <c r="J93" s="417">
        <f t="shared" si="27"/>
        <v>2910</v>
      </c>
      <c r="K93" s="419">
        <f t="shared" si="27"/>
        <v>60</v>
      </c>
      <c r="L93" s="419">
        <f t="shared" si="27"/>
        <v>2970</v>
      </c>
      <c r="M93" s="420">
        <f t="shared" si="27"/>
        <v>14</v>
      </c>
      <c r="N93" s="417">
        <f t="shared" si="27"/>
        <v>0</v>
      </c>
      <c r="O93" s="419">
        <f t="shared" si="27"/>
        <v>0</v>
      </c>
      <c r="P93" s="419">
        <f t="shared" si="27"/>
        <v>0</v>
      </c>
      <c r="Q93" s="420">
        <f t="shared" si="27"/>
        <v>0</v>
      </c>
      <c r="R93" s="434">
        <f t="shared" si="27"/>
        <v>18147</v>
      </c>
      <c r="S93" s="434">
        <f t="shared" si="27"/>
        <v>627</v>
      </c>
      <c r="T93" s="434">
        <f t="shared" si="27"/>
        <v>18774</v>
      </c>
      <c r="U93" s="434">
        <f t="shared" si="27"/>
        <v>55</v>
      </c>
    </row>
    <row r="95" spans="1:21" ht="18">
      <c r="A95" s="393" t="s">
        <v>869</v>
      </c>
    </row>
    <row r="96" spans="1:21" ht="18.600000000000001" thickBot="1">
      <c r="A96" s="394">
        <f>A65</f>
        <v>2021</v>
      </c>
    </row>
    <row r="97" spans="1:21">
      <c r="A97" s="2815" t="s">
        <v>0</v>
      </c>
      <c r="B97" s="2827" t="s">
        <v>269</v>
      </c>
      <c r="C97" s="2828"/>
      <c r="D97" s="2828"/>
      <c r="E97" s="3091"/>
      <c r="F97" s="2829" t="s">
        <v>270</v>
      </c>
      <c r="G97" s="2830"/>
      <c r="H97" s="2830"/>
      <c r="I97" s="3095"/>
      <c r="J97" s="2817" t="s">
        <v>271</v>
      </c>
      <c r="K97" s="2818"/>
      <c r="L97" s="2818"/>
      <c r="M97" s="3094"/>
      <c r="N97" s="2819" t="s">
        <v>272</v>
      </c>
      <c r="O97" s="2820"/>
      <c r="P97" s="2820"/>
      <c r="Q97" s="3090"/>
      <c r="R97" s="3413" t="s">
        <v>83</v>
      </c>
      <c r="S97" s="3413"/>
      <c r="T97" s="3413"/>
      <c r="U97" s="3414"/>
    </row>
    <row r="98" spans="1:21" ht="14.4" thickBot="1">
      <c r="A98" s="2816"/>
      <c r="B98" s="402" t="s">
        <v>17</v>
      </c>
      <c r="C98" s="403" t="s">
        <v>18</v>
      </c>
      <c r="D98" s="403" t="s">
        <v>52</v>
      </c>
      <c r="E98" s="404" t="s">
        <v>19</v>
      </c>
      <c r="F98" s="402" t="s">
        <v>17</v>
      </c>
      <c r="G98" s="403" t="s">
        <v>18</v>
      </c>
      <c r="H98" s="403" t="s">
        <v>52</v>
      </c>
      <c r="I98" s="404" t="s">
        <v>19</v>
      </c>
      <c r="J98" s="402" t="s">
        <v>17</v>
      </c>
      <c r="K98" s="403" t="s">
        <v>18</v>
      </c>
      <c r="L98" s="403" t="s">
        <v>52</v>
      </c>
      <c r="M98" s="404" t="s">
        <v>19</v>
      </c>
      <c r="N98" s="402" t="s">
        <v>17</v>
      </c>
      <c r="O98" s="403" t="s">
        <v>18</v>
      </c>
      <c r="P98" s="403" t="s">
        <v>52</v>
      </c>
      <c r="Q98" s="404" t="s">
        <v>19</v>
      </c>
      <c r="R98" s="403" t="s">
        <v>17</v>
      </c>
      <c r="S98" s="403" t="s">
        <v>18</v>
      </c>
      <c r="T98" s="403" t="s">
        <v>52</v>
      </c>
      <c r="U98" s="431" t="s">
        <v>19</v>
      </c>
    </row>
    <row r="99" spans="1:21">
      <c r="A99" s="397" t="s">
        <v>68</v>
      </c>
      <c r="B99" s="398">
        <f t="shared" ref="B99:Q99" si="28">+B37+B68</f>
        <v>5296</v>
      </c>
      <c r="C99" s="399">
        <f t="shared" si="28"/>
        <v>62</v>
      </c>
      <c r="D99" s="400">
        <f t="shared" si="28"/>
        <v>5358</v>
      </c>
      <c r="E99" s="401">
        <f t="shared" si="28"/>
        <v>14</v>
      </c>
      <c r="F99" s="398">
        <f t="shared" si="28"/>
        <v>6640</v>
      </c>
      <c r="G99" s="399">
        <f t="shared" si="28"/>
        <v>67</v>
      </c>
      <c r="H99" s="400">
        <f t="shared" si="28"/>
        <v>6707</v>
      </c>
      <c r="I99" s="401">
        <f t="shared" si="28"/>
        <v>21</v>
      </c>
      <c r="J99" s="398">
        <f t="shared" si="28"/>
        <v>3090</v>
      </c>
      <c r="K99" s="399">
        <f t="shared" si="28"/>
        <v>31</v>
      </c>
      <c r="L99" s="400">
        <f t="shared" si="28"/>
        <v>3121</v>
      </c>
      <c r="M99" s="401">
        <f t="shared" si="28"/>
        <v>16</v>
      </c>
      <c r="N99" s="398">
        <f t="shared" si="28"/>
        <v>0</v>
      </c>
      <c r="O99" s="399">
        <f t="shared" si="28"/>
        <v>0</v>
      </c>
      <c r="P99" s="400">
        <f t="shared" si="28"/>
        <v>0</v>
      </c>
      <c r="Q99" s="401">
        <f t="shared" si="28"/>
        <v>0</v>
      </c>
      <c r="R99" s="432">
        <f t="shared" ref="R99:R108" si="29">B99+F99+J99+N99</f>
        <v>15026</v>
      </c>
      <c r="S99" s="810">
        <f t="shared" ref="S99:S108" si="30">C99+G99+K99+O99</f>
        <v>160</v>
      </c>
      <c r="T99" s="810">
        <f t="shared" ref="T99:T108" si="31">D99+H99+L99+P99</f>
        <v>15186</v>
      </c>
      <c r="U99" s="811">
        <f t="shared" ref="U99:U108" si="32">E99+I99+M99+Q99</f>
        <v>51</v>
      </c>
    </row>
    <row r="100" spans="1:21">
      <c r="A100" s="397" t="s">
        <v>7</v>
      </c>
      <c r="B100" s="398">
        <f t="shared" ref="B100:Q100" si="33">+B38+B69</f>
        <v>3545</v>
      </c>
      <c r="C100" s="399">
        <f t="shared" si="33"/>
        <v>78</v>
      </c>
      <c r="D100" s="400">
        <f t="shared" si="33"/>
        <v>3623</v>
      </c>
      <c r="E100" s="401">
        <f t="shared" si="33"/>
        <v>18</v>
      </c>
      <c r="F100" s="398">
        <f t="shared" si="33"/>
        <v>3090</v>
      </c>
      <c r="G100" s="399">
        <f t="shared" si="33"/>
        <v>153</v>
      </c>
      <c r="H100" s="400">
        <f t="shared" si="33"/>
        <v>3243</v>
      </c>
      <c r="I100" s="401">
        <f t="shared" si="33"/>
        <v>3</v>
      </c>
      <c r="J100" s="398">
        <f t="shared" si="33"/>
        <v>2404</v>
      </c>
      <c r="K100" s="399">
        <f t="shared" si="33"/>
        <v>48</v>
      </c>
      <c r="L100" s="400">
        <f t="shared" si="33"/>
        <v>2452</v>
      </c>
      <c r="M100" s="401">
        <f t="shared" si="33"/>
        <v>12</v>
      </c>
      <c r="N100" s="398">
        <f t="shared" si="33"/>
        <v>0</v>
      </c>
      <c r="O100" s="399">
        <f t="shared" si="33"/>
        <v>0</v>
      </c>
      <c r="P100" s="400">
        <f t="shared" si="33"/>
        <v>0</v>
      </c>
      <c r="Q100" s="401">
        <f t="shared" si="33"/>
        <v>0</v>
      </c>
      <c r="R100" s="812">
        <f t="shared" si="29"/>
        <v>9039</v>
      </c>
      <c r="S100" s="813">
        <f t="shared" si="30"/>
        <v>279</v>
      </c>
      <c r="T100" s="813">
        <f t="shared" si="31"/>
        <v>9318</v>
      </c>
      <c r="U100" s="814">
        <f t="shared" si="32"/>
        <v>33</v>
      </c>
    </row>
    <row r="101" spans="1:21">
      <c r="A101" s="397" t="s">
        <v>8</v>
      </c>
      <c r="B101" s="398">
        <f t="shared" ref="B101:Q101" si="34">+B39+B70</f>
        <v>3420</v>
      </c>
      <c r="C101" s="399">
        <f t="shared" si="34"/>
        <v>110</v>
      </c>
      <c r="D101" s="400">
        <f t="shared" si="34"/>
        <v>3530</v>
      </c>
      <c r="E101" s="401">
        <f t="shared" si="34"/>
        <v>11</v>
      </c>
      <c r="F101" s="398">
        <f t="shared" si="34"/>
        <v>2464</v>
      </c>
      <c r="G101" s="399">
        <f t="shared" si="34"/>
        <v>86</v>
      </c>
      <c r="H101" s="400">
        <f t="shared" si="34"/>
        <v>2550</v>
      </c>
      <c r="I101" s="401">
        <f t="shared" si="34"/>
        <v>7</v>
      </c>
      <c r="J101" s="398">
        <f t="shared" si="34"/>
        <v>2104</v>
      </c>
      <c r="K101" s="399">
        <f t="shared" si="34"/>
        <v>58</v>
      </c>
      <c r="L101" s="400">
        <f t="shared" si="34"/>
        <v>2162</v>
      </c>
      <c r="M101" s="401">
        <f t="shared" si="34"/>
        <v>12</v>
      </c>
      <c r="N101" s="398">
        <f t="shared" si="34"/>
        <v>0</v>
      </c>
      <c r="O101" s="399">
        <f t="shared" si="34"/>
        <v>0</v>
      </c>
      <c r="P101" s="400">
        <f t="shared" si="34"/>
        <v>0</v>
      </c>
      <c r="Q101" s="401">
        <f t="shared" si="34"/>
        <v>0</v>
      </c>
      <c r="R101" s="812">
        <f t="shared" si="29"/>
        <v>7988</v>
      </c>
      <c r="S101" s="813">
        <f t="shared" si="30"/>
        <v>254</v>
      </c>
      <c r="T101" s="813">
        <f t="shared" si="31"/>
        <v>8242</v>
      </c>
      <c r="U101" s="814">
        <f t="shared" si="32"/>
        <v>30</v>
      </c>
    </row>
    <row r="102" spans="1:21">
      <c r="A102" s="397" t="s">
        <v>4</v>
      </c>
      <c r="B102" s="398">
        <f t="shared" ref="B102:Q102" si="35">+B40+B71</f>
        <v>4663</v>
      </c>
      <c r="C102" s="399">
        <f t="shared" si="35"/>
        <v>77</v>
      </c>
      <c r="D102" s="400">
        <f t="shared" si="35"/>
        <v>4740</v>
      </c>
      <c r="E102" s="401">
        <f t="shared" si="35"/>
        <v>12</v>
      </c>
      <c r="F102" s="398">
        <f t="shared" si="35"/>
        <v>4500</v>
      </c>
      <c r="G102" s="399">
        <f t="shared" si="35"/>
        <v>49</v>
      </c>
      <c r="H102" s="400">
        <f t="shared" si="35"/>
        <v>4549</v>
      </c>
      <c r="I102" s="401">
        <f t="shared" si="35"/>
        <v>21</v>
      </c>
      <c r="J102" s="398">
        <f t="shared" si="35"/>
        <v>4322</v>
      </c>
      <c r="K102" s="399">
        <f t="shared" si="35"/>
        <v>73</v>
      </c>
      <c r="L102" s="400">
        <f t="shared" si="35"/>
        <v>4395</v>
      </c>
      <c r="M102" s="401">
        <f t="shared" si="35"/>
        <v>10</v>
      </c>
      <c r="N102" s="398">
        <f t="shared" si="35"/>
        <v>0</v>
      </c>
      <c r="O102" s="399">
        <f t="shared" si="35"/>
        <v>0</v>
      </c>
      <c r="P102" s="400">
        <f t="shared" si="35"/>
        <v>0</v>
      </c>
      <c r="Q102" s="401">
        <f t="shared" si="35"/>
        <v>0</v>
      </c>
      <c r="R102" s="812">
        <f t="shared" si="29"/>
        <v>13485</v>
      </c>
      <c r="S102" s="813">
        <f t="shared" si="30"/>
        <v>199</v>
      </c>
      <c r="T102" s="813">
        <f t="shared" si="31"/>
        <v>13684</v>
      </c>
      <c r="U102" s="814">
        <f t="shared" si="32"/>
        <v>43</v>
      </c>
    </row>
    <row r="103" spans="1:21">
      <c r="A103" s="397" t="s">
        <v>3</v>
      </c>
      <c r="B103" s="398">
        <f t="shared" ref="B103:Q103" si="36">+B41+B72</f>
        <v>2244</v>
      </c>
      <c r="C103" s="399">
        <f t="shared" si="36"/>
        <v>34</v>
      </c>
      <c r="D103" s="400">
        <f t="shared" si="36"/>
        <v>2278</v>
      </c>
      <c r="E103" s="401">
        <f t="shared" si="36"/>
        <v>55</v>
      </c>
      <c r="F103" s="398">
        <f t="shared" si="36"/>
        <v>1711</v>
      </c>
      <c r="G103" s="399">
        <f t="shared" si="36"/>
        <v>36</v>
      </c>
      <c r="H103" s="400">
        <f t="shared" si="36"/>
        <v>1747</v>
      </c>
      <c r="I103" s="401">
        <f t="shared" si="36"/>
        <v>57</v>
      </c>
      <c r="J103" s="398">
        <f t="shared" si="36"/>
        <v>1412</v>
      </c>
      <c r="K103" s="399">
        <f t="shared" si="36"/>
        <v>26</v>
      </c>
      <c r="L103" s="400">
        <f t="shared" si="36"/>
        <v>1438</v>
      </c>
      <c r="M103" s="401">
        <f t="shared" si="36"/>
        <v>39</v>
      </c>
      <c r="N103" s="398">
        <f t="shared" si="36"/>
        <v>0</v>
      </c>
      <c r="O103" s="399">
        <f t="shared" si="36"/>
        <v>0</v>
      </c>
      <c r="P103" s="400">
        <f t="shared" si="36"/>
        <v>0</v>
      </c>
      <c r="Q103" s="401">
        <f t="shared" si="36"/>
        <v>0</v>
      </c>
      <c r="R103" s="812">
        <f t="shared" si="29"/>
        <v>5367</v>
      </c>
      <c r="S103" s="813">
        <f t="shared" si="30"/>
        <v>96</v>
      </c>
      <c r="T103" s="813">
        <f t="shared" si="31"/>
        <v>5463</v>
      </c>
      <c r="U103" s="814">
        <f t="shared" si="32"/>
        <v>151</v>
      </c>
    </row>
    <row r="104" spans="1:21">
      <c r="A104" s="397" t="s">
        <v>397</v>
      </c>
      <c r="B104" s="398">
        <f t="shared" ref="B104:Q104" si="37">+B42+B73</f>
        <v>3334</v>
      </c>
      <c r="C104" s="399">
        <f t="shared" si="37"/>
        <v>76</v>
      </c>
      <c r="D104" s="400">
        <f t="shared" si="37"/>
        <v>3410</v>
      </c>
      <c r="E104" s="401">
        <f t="shared" si="37"/>
        <v>8</v>
      </c>
      <c r="F104" s="398">
        <f t="shared" si="37"/>
        <v>3287</v>
      </c>
      <c r="G104" s="399">
        <f t="shared" si="37"/>
        <v>89</v>
      </c>
      <c r="H104" s="400">
        <f t="shared" si="37"/>
        <v>3376</v>
      </c>
      <c r="I104" s="401">
        <f t="shared" si="37"/>
        <v>8</v>
      </c>
      <c r="J104" s="398">
        <f t="shared" si="37"/>
        <v>2027</v>
      </c>
      <c r="K104" s="399">
        <f t="shared" si="37"/>
        <v>65</v>
      </c>
      <c r="L104" s="400">
        <f t="shared" si="37"/>
        <v>2092</v>
      </c>
      <c r="M104" s="401">
        <f t="shared" si="37"/>
        <v>8</v>
      </c>
      <c r="N104" s="398">
        <f t="shared" si="37"/>
        <v>0</v>
      </c>
      <c r="O104" s="399">
        <f t="shared" si="37"/>
        <v>0</v>
      </c>
      <c r="P104" s="400">
        <f t="shared" si="37"/>
        <v>0</v>
      </c>
      <c r="Q104" s="401">
        <f t="shared" si="37"/>
        <v>0</v>
      </c>
      <c r="R104" s="812">
        <f t="shared" si="29"/>
        <v>8648</v>
      </c>
      <c r="S104" s="813">
        <f t="shared" si="30"/>
        <v>230</v>
      </c>
      <c r="T104" s="813">
        <f t="shared" si="31"/>
        <v>8878</v>
      </c>
      <c r="U104" s="814">
        <f t="shared" si="32"/>
        <v>24</v>
      </c>
    </row>
    <row r="105" spans="1:21">
      <c r="A105" s="397" t="s">
        <v>399</v>
      </c>
      <c r="B105" s="398">
        <f t="shared" ref="B105:Q105" si="38">+B43+B74</f>
        <v>3260</v>
      </c>
      <c r="C105" s="399">
        <f t="shared" si="38"/>
        <v>74</v>
      </c>
      <c r="D105" s="400">
        <f t="shared" si="38"/>
        <v>3334</v>
      </c>
      <c r="E105" s="401">
        <f t="shared" si="38"/>
        <v>11</v>
      </c>
      <c r="F105" s="398">
        <f t="shared" si="38"/>
        <v>3811</v>
      </c>
      <c r="G105" s="399">
        <f t="shared" si="38"/>
        <v>68</v>
      </c>
      <c r="H105" s="400">
        <f t="shared" si="38"/>
        <v>3879</v>
      </c>
      <c r="I105" s="401">
        <f t="shared" si="38"/>
        <v>9</v>
      </c>
      <c r="J105" s="398">
        <f t="shared" si="38"/>
        <v>4024</v>
      </c>
      <c r="K105" s="399">
        <f t="shared" si="38"/>
        <v>30</v>
      </c>
      <c r="L105" s="400">
        <f t="shared" si="38"/>
        <v>4054</v>
      </c>
      <c r="M105" s="401">
        <f t="shared" si="38"/>
        <v>6</v>
      </c>
      <c r="N105" s="398">
        <f t="shared" si="38"/>
        <v>0</v>
      </c>
      <c r="O105" s="399">
        <f t="shared" si="38"/>
        <v>0</v>
      </c>
      <c r="P105" s="400">
        <f t="shared" si="38"/>
        <v>0</v>
      </c>
      <c r="Q105" s="401">
        <f t="shared" si="38"/>
        <v>0</v>
      </c>
      <c r="R105" s="812">
        <f t="shared" si="29"/>
        <v>11095</v>
      </c>
      <c r="S105" s="813">
        <f t="shared" si="30"/>
        <v>172</v>
      </c>
      <c r="T105" s="813">
        <f t="shared" si="31"/>
        <v>11267</v>
      </c>
      <c r="U105" s="814">
        <f t="shared" si="32"/>
        <v>26</v>
      </c>
    </row>
    <row r="106" spans="1:21">
      <c r="A106" s="397" t="s">
        <v>883</v>
      </c>
      <c r="B106" s="398">
        <f t="shared" ref="B106:Q106" si="39">+B44+B75</f>
        <v>2152</v>
      </c>
      <c r="C106" s="399">
        <f t="shared" si="39"/>
        <v>52</v>
      </c>
      <c r="D106" s="400">
        <f t="shared" si="39"/>
        <v>2204</v>
      </c>
      <c r="E106" s="401">
        <f t="shared" si="39"/>
        <v>18</v>
      </c>
      <c r="F106" s="398">
        <f t="shared" si="39"/>
        <v>3074</v>
      </c>
      <c r="G106" s="399">
        <f t="shared" si="39"/>
        <v>53</v>
      </c>
      <c r="H106" s="400">
        <f t="shared" si="39"/>
        <v>3127</v>
      </c>
      <c r="I106" s="401">
        <f t="shared" si="39"/>
        <v>25</v>
      </c>
      <c r="J106" s="398">
        <f t="shared" si="39"/>
        <v>1895</v>
      </c>
      <c r="K106" s="399">
        <f t="shared" si="39"/>
        <v>49</v>
      </c>
      <c r="L106" s="400">
        <f t="shared" si="39"/>
        <v>1944</v>
      </c>
      <c r="M106" s="401">
        <f t="shared" si="39"/>
        <v>13</v>
      </c>
      <c r="N106" s="398">
        <f t="shared" si="39"/>
        <v>0</v>
      </c>
      <c r="O106" s="399">
        <f t="shared" si="39"/>
        <v>0</v>
      </c>
      <c r="P106" s="400">
        <f t="shared" si="39"/>
        <v>0</v>
      </c>
      <c r="Q106" s="401">
        <f t="shared" si="39"/>
        <v>0</v>
      </c>
      <c r="R106" s="812">
        <f t="shared" si="29"/>
        <v>7121</v>
      </c>
      <c r="S106" s="813">
        <f t="shared" si="30"/>
        <v>154</v>
      </c>
      <c r="T106" s="813">
        <f t="shared" si="31"/>
        <v>7275</v>
      </c>
      <c r="U106" s="814">
        <f t="shared" si="32"/>
        <v>56</v>
      </c>
    </row>
    <row r="107" spans="1:21">
      <c r="A107" s="397" t="s">
        <v>884</v>
      </c>
      <c r="B107" s="398">
        <f t="shared" ref="B107:Q107" si="40">+B45+B76</f>
        <v>3992</v>
      </c>
      <c r="C107" s="399">
        <f t="shared" si="40"/>
        <v>55</v>
      </c>
      <c r="D107" s="400">
        <f t="shared" si="40"/>
        <v>4047</v>
      </c>
      <c r="E107" s="401">
        <f t="shared" si="40"/>
        <v>20</v>
      </c>
      <c r="F107" s="398">
        <f t="shared" si="40"/>
        <v>5149</v>
      </c>
      <c r="G107" s="399">
        <f t="shared" si="40"/>
        <v>222</v>
      </c>
      <c r="H107" s="400">
        <f t="shared" si="40"/>
        <v>5371</v>
      </c>
      <c r="I107" s="401">
        <f t="shared" si="40"/>
        <v>17</v>
      </c>
      <c r="J107" s="398">
        <f t="shared" si="40"/>
        <v>2084</v>
      </c>
      <c r="K107" s="399">
        <f t="shared" si="40"/>
        <v>73</v>
      </c>
      <c r="L107" s="400">
        <f t="shared" si="40"/>
        <v>2157</v>
      </c>
      <c r="M107" s="401">
        <f t="shared" si="40"/>
        <v>13</v>
      </c>
      <c r="N107" s="398">
        <f t="shared" si="40"/>
        <v>0</v>
      </c>
      <c r="O107" s="399">
        <f t="shared" si="40"/>
        <v>0</v>
      </c>
      <c r="P107" s="400">
        <f t="shared" si="40"/>
        <v>0</v>
      </c>
      <c r="Q107" s="401">
        <f t="shared" si="40"/>
        <v>0</v>
      </c>
      <c r="R107" s="812">
        <f t="shared" si="29"/>
        <v>11225</v>
      </c>
      <c r="S107" s="813">
        <f t="shared" si="30"/>
        <v>350</v>
      </c>
      <c r="T107" s="813">
        <f t="shared" si="31"/>
        <v>11575</v>
      </c>
      <c r="U107" s="814">
        <f t="shared" si="32"/>
        <v>50</v>
      </c>
    </row>
    <row r="108" spans="1:21" ht="14.4" thickBot="1">
      <c r="A108" s="397" t="s">
        <v>885</v>
      </c>
      <c r="B108" s="398">
        <f t="shared" ref="B108:Q108" si="41">+B46+B77</f>
        <v>1796</v>
      </c>
      <c r="C108" s="399">
        <f t="shared" si="41"/>
        <v>104</v>
      </c>
      <c r="D108" s="400">
        <f t="shared" si="41"/>
        <v>1900</v>
      </c>
      <c r="E108" s="401">
        <f t="shared" si="41"/>
        <v>3</v>
      </c>
      <c r="F108" s="398">
        <f t="shared" si="41"/>
        <v>2245</v>
      </c>
      <c r="G108" s="399">
        <f t="shared" si="41"/>
        <v>24</v>
      </c>
      <c r="H108" s="400">
        <f t="shared" si="41"/>
        <v>2269</v>
      </c>
      <c r="I108" s="401">
        <f t="shared" si="41"/>
        <v>4</v>
      </c>
      <c r="J108" s="398">
        <f t="shared" si="41"/>
        <v>581</v>
      </c>
      <c r="K108" s="399">
        <f t="shared" si="41"/>
        <v>21</v>
      </c>
      <c r="L108" s="400">
        <f t="shared" si="41"/>
        <v>602</v>
      </c>
      <c r="M108" s="401">
        <f t="shared" si="41"/>
        <v>0</v>
      </c>
      <c r="N108" s="398">
        <f t="shared" si="41"/>
        <v>0</v>
      </c>
      <c r="O108" s="399">
        <f t="shared" si="41"/>
        <v>0</v>
      </c>
      <c r="P108" s="400">
        <f t="shared" si="41"/>
        <v>0</v>
      </c>
      <c r="Q108" s="401">
        <f t="shared" si="41"/>
        <v>0</v>
      </c>
      <c r="R108" s="812">
        <f t="shared" si="29"/>
        <v>4622</v>
      </c>
      <c r="S108" s="813">
        <f t="shared" si="30"/>
        <v>149</v>
      </c>
      <c r="T108" s="813">
        <f t="shared" si="31"/>
        <v>4771</v>
      </c>
      <c r="U108" s="814">
        <f t="shared" si="32"/>
        <v>7</v>
      </c>
    </row>
    <row r="109" spans="1:21" ht="14.4" thickBot="1">
      <c r="A109" s="433" t="s">
        <v>16</v>
      </c>
      <c r="B109" s="417">
        <f t="shared" ref="B109:U109" si="42">SUM(B99:B108)</f>
        <v>33702</v>
      </c>
      <c r="C109" s="419">
        <f t="shared" si="42"/>
        <v>722</v>
      </c>
      <c r="D109" s="419">
        <f t="shared" si="42"/>
        <v>34424</v>
      </c>
      <c r="E109" s="420">
        <f t="shared" si="42"/>
        <v>170</v>
      </c>
      <c r="F109" s="417">
        <f t="shared" si="42"/>
        <v>35971</v>
      </c>
      <c r="G109" s="419">
        <f t="shared" si="42"/>
        <v>847</v>
      </c>
      <c r="H109" s="419">
        <f t="shared" si="42"/>
        <v>36818</v>
      </c>
      <c r="I109" s="420">
        <f t="shared" si="42"/>
        <v>172</v>
      </c>
      <c r="J109" s="417">
        <f t="shared" si="42"/>
        <v>23943</v>
      </c>
      <c r="K109" s="419">
        <f t="shared" si="42"/>
        <v>474</v>
      </c>
      <c r="L109" s="419">
        <f t="shared" si="42"/>
        <v>24417</v>
      </c>
      <c r="M109" s="420">
        <f t="shared" si="42"/>
        <v>129</v>
      </c>
      <c r="N109" s="417">
        <f t="shared" si="42"/>
        <v>0</v>
      </c>
      <c r="O109" s="419">
        <f t="shared" si="42"/>
        <v>0</v>
      </c>
      <c r="P109" s="419">
        <f t="shared" si="42"/>
        <v>0</v>
      </c>
      <c r="Q109" s="420">
        <f t="shared" si="42"/>
        <v>0</v>
      </c>
      <c r="R109" s="434">
        <f t="shared" si="42"/>
        <v>93616</v>
      </c>
      <c r="S109" s="434">
        <f t="shared" si="42"/>
        <v>2043</v>
      </c>
      <c r="T109" s="434">
        <f t="shared" si="42"/>
        <v>95659</v>
      </c>
      <c r="U109" s="434">
        <f t="shared" si="42"/>
        <v>471</v>
      </c>
    </row>
    <row r="111" spans="1:21" ht="18.600000000000001" thickBot="1">
      <c r="A111" s="394">
        <f>A80</f>
        <v>2022</v>
      </c>
    </row>
    <row r="112" spans="1:21">
      <c r="A112" s="2815" t="s">
        <v>0</v>
      </c>
      <c r="B112" s="2827" t="s">
        <v>269</v>
      </c>
      <c r="C112" s="2828"/>
      <c r="D112" s="2828"/>
      <c r="E112" s="3091"/>
      <c r="F112" s="2829" t="s">
        <v>270</v>
      </c>
      <c r="G112" s="2830"/>
      <c r="H112" s="2830"/>
      <c r="I112" s="3095"/>
      <c r="J112" s="2817" t="s">
        <v>271</v>
      </c>
      <c r="K112" s="2818"/>
      <c r="L112" s="2818"/>
      <c r="M112" s="3094"/>
      <c r="N112" s="2819" t="s">
        <v>272</v>
      </c>
      <c r="O112" s="2820"/>
      <c r="P112" s="2820"/>
      <c r="Q112" s="3090"/>
      <c r="R112" s="3413" t="s">
        <v>83</v>
      </c>
      <c r="S112" s="3413"/>
      <c r="T112" s="3413"/>
      <c r="U112" s="3414"/>
    </row>
    <row r="113" spans="1:21" ht="14.4" thickBot="1">
      <c r="A113" s="2816"/>
      <c r="B113" s="402" t="s">
        <v>17</v>
      </c>
      <c r="C113" s="403" t="s">
        <v>18</v>
      </c>
      <c r="D113" s="403" t="s">
        <v>52</v>
      </c>
      <c r="E113" s="404" t="s">
        <v>19</v>
      </c>
      <c r="F113" s="402" t="s">
        <v>17</v>
      </c>
      <c r="G113" s="403" t="s">
        <v>18</v>
      </c>
      <c r="H113" s="403" t="s">
        <v>52</v>
      </c>
      <c r="I113" s="404" t="s">
        <v>19</v>
      </c>
      <c r="J113" s="402" t="s">
        <v>17</v>
      </c>
      <c r="K113" s="403" t="s">
        <v>18</v>
      </c>
      <c r="L113" s="403" t="s">
        <v>52</v>
      </c>
      <c r="M113" s="404" t="s">
        <v>19</v>
      </c>
      <c r="N113" s="402" t="s">
        <v>17</v>
      </c>
      <c r="O113" s="403" t="s">
        <v>18</v>
      </c>
      <c r="P113" s="403" t="s">
        <v>52</v>
      </c>
      <c r="Q113" s="404" t="s">
        <v>19</v>
      </c>
      <c r="R113" s="403" t="s">
        <v>17</v>
      </c>
      <c r="S113" s="403" t="s">
        <v>18</v>
      </c>
      <c r="T113" s="403" t="s">
        <v>52</v>
      </c>
      <c r="U113" s="431" t="s">
        <v>19</v>
      </c>
    </row>
    <row r="114" spans="1:21">
      <c r="A114" s="397" t="s">
        <v>68</v>
      </c>
      <c r="B114" s="398">
        <f t="shared" ref="B114:Q114" si="43">+B52+B83</f>
        <v>7662</v>
      </c>
      <c r="C114" s="399">
        <f t="shared" si="43"/>
        <v>250</v>
      </c>
      <c r="D114" s="400">
        <f t="shared" si="43"/>
        <v>7912</v>
      </c>
      <c r="E114" s="401">
        <f t="shared" si="43"/>
        <v>29</v>
      </c>
      <c r="F114" s="398">
        <f t="shared" si="43"/>
        <v>5978</v>
      </c>
      <c r="G114" s="399">
        <f t="shared" si="43"/>
        <v>272</v>
      </c>
      <c r="H114" s="400">
        <f t="shared" si="43"/>
        <v>6250</v>
      </c>
      <c r="I114" s="401">
        <f t="shared" si="43"/>
        <v>25</v>
      </c>
      <c r="J114" s="398">
        <f t="shared" si="43"/>
        <v>3376</v>
      </c>
      <c r="K114" s="399">
        <f t="shared" si="43"/>
        <v>27</v>
      </c>
      <c r="L114" s="400">
        <f t="shared" si="43"/>
        <v>3403</v>
      </c>
      <c r="M114" s="401">
        <f t="shared" si="43"/>
        <v>11</v>
      </c>
      <c r="N114" s="398">
        <f t="shared" si="43"/>
        <v>0</v>
      </c>
      <c r="O114" s="399">
        <f t="shared" si="43"/>
        <v>0</v>
      </c>
      <c r="P114" s="400">
        <f t="shared" si="43"/>
        <v>0</v>
      </c>
      <c r="Q114" s="401">
        <f t="shared" si="43"/>
        <v>0</v>
      </c>
      <c r="R114" s="432">
        <f>B114+F114+J114+N114</f>
        <v>17016</v>
      </c>
      <c r="S114" s="810">
        <f t="shared" ref="S114:S123" si="44">C114+G114+K114+O114</f>
        <v>549</v>
      </c>
      <c r="T114" s="810">
        <f t="shared" ref="T114:T123" si="45">D114+H114+L114+P114</f>
        <v>17565</v>
      </c>
      <c r="U114" s="811">
        <f t="shared" ref="U114:U123" si="46">E114+I114+M114+Q114</f>
        <v>65</v>
      </c>
    </row>
    <row r="115" spans="1:21">
      <c r="A115" s="397" t="s">
        <v>7</v>
      </c>
      <c r="B115" s="398">
        <f t="shared" ref="B115:Q115" si="47">+B53+B84</f>
        <v>3696</v>
      </c>
      <c r="C115" s="399">
        <f t="shared" si="47"/>
        <v>86</v>
      </c>
      <c r="D115" s="400">
        <f t="shared" si="47"/>
        <v>3782</v>
      </c>
      <c r="E115" s="401">
        <f t="shared" si="47"/>
        <v>15</v>
      </c>
      <c r="F115" s="398">
        <f t="shared" si="47"/>
        <v>3108</v>
      </c>
      <c r="G115" s="399">
        <f t="shared" si="47"/>
        <v>64</v>
      </c>
      <c r="H115" s="400">
        <f t="shared" si="47"/>
        <v>3172</v>
      </c>
      <c r="I115" s="401">
        <f t="shared" si="47"/>
        <v>28</v>
      </c>
      <c r="J115" s="398">
        <f t="shared" si="47"/>
        <v>2070</v>
      </c>
      <c r="K115" s="399">
        <f t="shared" si="47"/>
        <v>103</v>
      </c>
      <c r="L115" s="400">
        <f t="shared" si="47"/>
        <v>2173</v>
      </c>
      <c r="M115" s="401">
        <f t="shared" si="47"/>
        <v>14</v>
      </c>
      <c r="N115" s="398">
        <f t="shared" si="47"/>
        <v>0</v>
      </c>
      <c r="O115" s="399">
        <f t="shared" si="47"/>
        <v>0</v>
      </c>
      <c r="P115" s="400">
        <f t="shared" si="47"/>
        <v>0</v>
      </c>
      <c r="Q115" s="401">
        <f t="shared" si="47"/>
        <v>0</v>
      </c>
      <c r="R115" s="812">
        <f t="shared" ref="R115:R123" si="48">B115+F115+J115+N115</f>
        <v>8874</v>
      </c>
      <c r="S115" s="813">
        <f t="shared" si="44"/>
        <v>253</v>
      </c>
      <c r="T115" s="813">
        <f t="shared" si="45"/>
        <v>9127</v>
      </c>
      <c r="U115" s="814">
        <f t="shared" si="46"/>
        <v>57</v>
      </c>
    </row>
    <row r="116" spans="1:21">
      <c r="A116" s="397" t="s">
        <v>8</v>
      </c>
      <c r="B116" s="398">
        <f t="shared" ref="B116:Q116" si="49">+B54+B85</f>
        <v>3331</v>
      </c>
      <c r="C116" s="399">
        <f t="shared" si="49"/>
        <v>136</v>
      </c>
      <c r="D116" s="400">
        <f t="shared" si="49"/>
        <v>3467</v>
      </c>
      <c r="E116" s="401">
        <f t="shared" si="49"/>
        <v>14</v>
      </c>
      <c r="F116" s="398">
        <f t="shared" si="49"/>
        <v>2800</v>
      </c>
      <c r="G116" s="399">
        <f t="shared" si="49"/>
        <v>180</v>
      </c>
      <c r="H116" s="400">
        <f t="shared" si="49"/>
        <v>2980</v>
      </c>
      <c r="I116" s="401">
        <f t="shared" si="49"/>
        <v>21</v>
      </c>
      <c r="J116" s="398">
        <f t="shared" si="49"/>
        <v>2090</v>
      </c>
      <c r="K116" s="399">
        <f t="shared" si="49"/>
        <v>123</v>
      </c>
      <c r="L116" s="400">
        <f t="shared" si="49"/>
        <v>2213</v>
      </c>
      <c r="M116" s="401">
        <f t="shared" si="49"/>
        <v>12</v>
      </c>
      <c r="N116" s="398">
        <f t="shared" si="49"/>
        <v>0</v>
      </c>
      <c r="O116" s="399">
        <f t="shared" si="49"/>
        <v>0</v>
      </c>
      <c r="P116" s="400">
        <f t="shared" si="49"/>
        <v>0</v>
      </c>
      <c r="Q116" s="401">
        <f t="shared" si="49"/>
        <v>0</v>
      </c>
      <c r="R116" s="812">
        <f t="shared" si="48"/>
        <v>8221</v>
      </c>
      <c r="S116" s="813">
        <f t="shared" si="44"/>
        <v>439</v>
      </c>
      <c r="T116" s="813">
        <f t="shared" si="45"/>
        <v>8660</v>
      </c>
      <c r="U116" s="814">
        <f t="shared" si="46"/>
        <v>47</v>
      </c>
    </row>
    <row r="117" spans="1:21">
      <c r="A117" s="397" t="s">
        <v>4</v>
      </c>
      <c r="B117" s="398">
        <f t="shared" ref="B117:Q117" si="50">+B55+B86</f>
        <v>4877</v>
      </c>
      <c r="C117" s="399">
        <f t="shared" si="50"/>
        <v>121</v>
      </c>
      <c r="D117" s="400">
        <f t="shared" si="50"/>
        <v>4998</v>
      </c>
      <c r="E117" s="401">
        <f t="shared" si="50"/>
        <v>11</v>
      </c>
      <c r="F117" s="398">
        <f t="shared" si="50"/>
        <v>6738</v>
      </c>
      <c r="G117" s="399">
        <f t="shared" si="50"/>
        <v>172</v>
      </c>
      <c r="H117" s="400">
        <f t="shared" si="50"/>
        <v>6910</v>
      </c>
      <c r="I117" s="401">
        <f t="shared" si="50"/>
        <v>7</v>
      </c>
      <c r="J117" s="398">
        <f t="shared" si="50"/>
        <v>3603</v>
      </c>
      <c r="K117" s="399">
        <f t="shared" si="50"/>
        <v>57</v>
      </c>
      <c r="L117" s="400">
        <f t="shared" si="50"/>
        <v>3660</v>
      </c>
      <c r="M117" s="401">
        <f t="shared" si="50"/>
        <v>7</v>
      </c>
      <c r="N117" s="398">
        <f t="shared" si="50"/>
        <v>0</v>
      </c>
      <c r="O117" s="399">
        <f t="shared" si="50"/>
        <v>0</v>
      </c>
      <c r="P117" s="400">
        <f t="shared" si="50"/>
        <v>0</v>
      </c>
      <c r="Q117" s="401">
        <f t="shared" si="50"/>
        <v>0</v>
      </c>
      <c r="R117" s="812">
        <f t="shared" si="48"/>
        <v>15218</v>
      </c>
      <c r="S117" s="813">
        <f t="shared" si="44"/>
        <v>350</v>
      </c>
      <c r="T117" s="813">
        <f t="shared" si="45"/>
        <v>15568</v>
      </c>
      <c r="U117" s="814">
        <f t="shared" si="46"/>
        <v>25</v>
      </c>
    </row>
    <row r="118" spans="1:21">
      <c r="A118" s="397" t="s">
        <v>3</v>
      </c>
      <c r="B118" s="398">
        <f t="shared" ref="B118:Q118" si="51">+B56+B87</f>
        <v>1688</v>
      </c>
      <c r="C118" s="399">
        <f t="shared" si="51"/>
        <v>94</v>
      </c>
      <c r="D118" s="400">
        <f t="shared" si="51"/>
        <v>1782</v>
      </c>
      <c r="E118" s="401">
        <f t="shared" si="51"/>
        <v>93</v>
      </c>
      <c r="F118" s="398">
        <f t="shared" si="51"/>
        <v>2101</v>
      </c>
      <c r="G118" s="399">
        <f t="shared" si="51"/>
        <v>64</v>
      </c>
      <c r="H118" s="400">
        <f t="shared" si="51"/>
        <v>2165</v>
      </c>
      <c r="I118" s="401">
        <f t="shared" si="51"/>
        <v>68</v>
      </c>
      <c r="J118" s="398">
        <f t="shared" si="51"/>
        <v>1545</v>
      </c>
      <c r="K118" s="399">
        <f t="shared" si="51"/>
        <v>167</v>
      </c>
      <c r="L118" s="400">
        <f t="shared" si="51"/>
        <v>1712</v>
      </c>
      <c r="M118" s="401">
        <f t="shared" si="51"/>
        <v>40</v>
      </c>
      <c r="N118" s="398">
        <f t="shared" si="51"/>
        <v>0</v>
      </c>
      <c r="O118" s="399">
        <f t="shared" si="51"/>
        <v>0</v>
      </c>
      <c r="P118" s="400">
        <f t="shared" si="51"/>
        <v>0</v>
      </c>
      <c r="Q118" s="401">
        <f t="shared" si="51"/>
        <v>0</v>
      </c>
      <c r="R118" s="812">
        <f t="shared" si="48"/>
        <v>5334</v>
      </c>
      <c r="S118" s="813">
        <f t="shared" si="44"/>
        <v>325</v>
      </c>
      <c r="T118" s="813">
        <f t="shared" si="45"/>
        <v>5659</v>
      </c>
      <c r="U118" s="814">
        <f t="shared" si="46"/>
        <v>201</v>
      </c>
    </row>
    <row r="119" spans="1:21">
      <c r="A119" s="397" t="s">
        <v>397</v>
      </c>
      <c r="B119" s="398">
        <f t="shared" ref="B119:Q119" si="52">+B57+B88</f>
        <v>2035</v>
      </c>
      <c r="C119" s="399">
        <f t="shared" si="52"/>
        <v>123</v>
      </c>
      <c r="D119" s="400">
        <f t="shared" si="52"/>
        <v>2158</v>
      </c>
      <c r="E119" s="401">
        <f t="shared" si="52"/>
        <v>11</v>
      </c>
      <c r="F119" s="398">
        <f t="shared" si="52"/>
        <v>2477</v>
      </c>
      <c r="G119" s="399">
        <f t="shared" si="52"/>
        <v>80</v>
      </c>
      <c r="H119" s="400">
        <f t="shared" si="52"/>
        <v>2557</v>
      </c>
      <c r="I119" s="401">
        <f t="shared" si="52"/>
        <v>23</v>
      </c>
      <c r="J119" s="398">
        <f t="shared" si="52"/>
        <v>1600</v>
      </c>
      <c r="K119" s="399">
        <f t="shared" si="52"/>
        <v>89</v>
      </c>
      <c r="L119" s="400">
        <f t="shared" si="52"/>
        <v>1689</v>
      </c>
      <c r="M119" s="401">
        <f t="shared" si="52"/>
        <v>11</v>
      </c>
      <c r="N119" s="398">
        <f t="shared" si="52"/>
        <v>0</v>
      </c>
      <c r="O119" s="399">
        <f t="shared" si="52"/>
        <v>0</v>
      </c>
      <c r="P119" s="400">
        <f t="shared" si="52"/>
        <v>0</v>
      </c>
      <c r="Q119" s="401">
        <f t="shared" si="52"/>
        <v>0</v>
      </c>
      <c r="R119" s="812">
        <f t="shared" si="48"/>
        <v>6112</v>
      </c>
      <c r="S119" s="813">
        <f t="shared" si="44"/>
        <v>292</v>
      </c>
      <c r="T119" s="813">
        <f t="shared" si="45"/>
        <v>6404</v>
      </c>
      <c r="U119" s="814">
        <f t="shared" si="46"/>
        <v>45</v>
      </c>
    </row>
    <row r="120" spans="1:21">
      <c r="A120" s="397" t="s">
        <v>399</v>
      </c>
      <c r="B120" s="398">
        <f t="shared" ref="B120:Q120" si="53">+B58+B89</f>
        <v>4793</v>
      </c>
      <c r="C120" s="399">
        <f t="shared" si="53"/>
        <v>114</v>
      </c>
      <c r="D120" s="400">
        <f t="shared" si="53"/>
        <v>4907</v>
      </c>
      <c r="E120" s="401">
        <f t="shared" si="53"/>
        <v>10</v>
      </c>
      <c r="F120" s="398">
        <f t="shared" si="53"/>
        <v>5336</v>
      </c>
      <c r="G120" s="399">
        <f t="shared" si="53"/>
        <v>87</v>
      </c>
      <c r="H120" s="400">
        <f t="shared" si="53"/>
        <v>5423</v>
      </c>
      <c r="I120" s="401">
        <f t="shared" si="53"/>
        <v>12</v>
      </c>
      <c r="J120" s="398">
        <f t="shared" si="53"/>
        <v>2509</v>
      </c>
      <c r="K120" s="399">
        <f t="shared" si="53"/>
        <v>95</v>
      </c>
      <c r="L120" s="400">
        <f t="shared" si="53"/>
        <v>2604</v>
      </c>
      <c r="M120" s="401">
        <f t="shared" si="53"/>
        <v>14</v>
      </c>
      <c r="N120" s="398">
        <f t="shared" si="53"/>
        <v>0</v>
      </c>
      <c r="O120" s="399">
        <f t="shared" si="53"/>
        <v>0</v>
      </c>
      <c r="P120" s="400">
        <f t="shared" si="53"/>
        <v>0</v>
      </c>
      <c r="Q120" s="401">
        <f t="shared" si="53"/>
        <v>0</v>
      </c>
      <c r="R120" s="812">
        <f t="shared" si="48"/>
        <v>12638</v>
      </c>
      <c r="S120" s="813">
        <f t="shared" si="44"/>
        <v>296</v>
      </c>
      <c r="T120" s="813">
        <f t="shared" si="45"/>
        <v>12934</v>
      </c>
      <c r="U120" s="814">
        <f t="shared" si="46"/>
        <v>36</v>
      </c>
    </row>
    <row r="121" spans="1:21">
      <c r="A121" s="397" t="s">
        <v>883</v>
      </c>
      <c r="B121" s="398">
        <f t="shared" ref="B121:Q121" si="54">+B59+B90</f>
        <v>2071</v>
      </c>
      <c r="C121" s="399">
        <f t="shared" si="54"/>
        <v>61</v>
      </c>
      <c r="D121" s="400">
        <f t="shared" si="54"/>
        <v>2132</v>
      </c>
      <c r="E121" s="401">
        <f t="shared" si="54"/>
        <v>19</v>
      </c>
      <c r="F121" s="398">
        <f t="shared" si="54"/>
        <v>2339</v>
      </c>
      <c r="G121" s="399">
        <f t="shared" si="54"/>
        <v>55</v>
      </c>
      <c r="H121" s="400">
        <f t="shared" si="54"/>
        <v>2394</v>
      </c>
      <c r="I121" s="401">
        <f t="shared" si="54"/>
        <v>26</v>
      </c>
      <c r="J121" s="398">
        <f t="shared" si="54"/>
        <v>1466</v>
      </c>
      <c r="K121" s="399">
        <f t="shared" si="54"/>
        <v>70</v>
      </c>
      <c r="L121" s="400">
        <f t="shared" si="54"/>
        <v>1536</v>
      </c>
      <c r="M121" s="401">
        <f t="shared" si="54"/>
        <v>21</v>
      </c>
      <c r="N121" s="398">
        <f t="shared" si="54"/>
        <v>0</v>
      </c>
      <c r="O121" s="399">
        <f t="shared" si="54"/>
        <v>0</v>
      </c>
      <c r="P121" s="400">
        <f t="shared" si="54"/>
        <v>0</v>
      </c>
      <c r="Q121" s="401">
        <f t="shared" si="54"/>
        <v>0</v>
      </c>
      <c r="R121" s="812">
        <f t="shared" si="48"/>
        <v>5876</v>
      </c>
      <c r="S121" s="813">
        <f t="shared" si="44"/>
        <v>186</v>
      </c>
      <c r="T121" s="813">
        <f t="shared" si="45"/>
        <v>6062</v>
      </c>
      <c r="U121" s="814">
        <f t="shared" si="46"/>
        <v>66</v>
      </c>
    </row>
    <row r="122" spans="1:21">
      <c r="A122" s="397" t="s">
        <v>884</v>
      </c>
      <c r="B122" s="398">
        <f t="shared" ref="B122:Q122" si="55">+B60+B91</f>
        <v>3525</v>
      </c>
      <c r="C122" s="399">
        <f t="shared" si="55"/>
        <v>151</v>
      </c>
      <c r="D122" s="400">
        <f t="shared" si="55"/>
        <v>3676</v>
      </c>
      <c r="E122" s="401">
        <f t="shared" si="55"/>
        <v>16</v>
      </c>
      <c r="F122" s="398">
        <f t="shared" si="55"/>
        <v>2948</v>
      </c>
      <c r="G122" s="399">
        <f t="shared" si="55"/>
        <v>88</v>
      </c>
      <c r="H122" s="400">
        <f t="shared" si="55"/>
        <v>3036</v>
      </c>
      <c r="I122" s="401">
        <f t="shared" si="55"/>
        <v>26</v>
      </c>
      <c r="J122" s="398">
        <f t="shared" si="55"/>
        <v>2825</v>
      </c>
      <c r="K122" s="399">
        <f t="shared" si="55"/>
        <v>66</v>
      </c>
      <c r="L122" s="400">
        <f t="shared" si="55"/>
        <v>2891</v>
      </c>
      <c r="M122" s="401">
        <f t="shared" si="55"/>
        <v>14</v>
      </c>
      <c r="N122" s="398">
        <f t="shared" si="55"/>
        <v>0</v>
      </c>
      <c r="O122" s="399">
        <f t="shared" si="55"/>
        <v>0</v>
      </c>
      <c r="P122" s="400">
        <f t="shared" si="55"/>
        <v>0</v>
      </c>
      <c r="Q122" s="401">
        <f t="shared" si="55"/>
        <v>0</v>
      </c>
      <c r="R122" s="812">
        <f t="shared" si="48"/>
        <v>9298</v>
      </c>
      <c r="S122" s="813">
        <f t="shared" si="44"/>
        <v>305</v>
      </c>
      <c r="T122" s="813">
        <f t="shared" si="45"/>
        <v>9603</v>
      </c>
      <c r="U122" s="814">
        <f t="shared" si="46"/>
        <v>56</v>
      </c>
    </row>
    <row r="123" spans="1:21" ht="14.4" thickBot="1">
      <c r="A123" s="397" t="s">
        <v>885</v>
      </c>
      <c r="B123" s="398">
        <f t="shared" ref="B123:Q123" si="56">+B61+B92</f>
        <v>2291</v>
      </c>
      <c r="C123" s="399">
        <f t="shared" si="56"/>
        <v>94</v>
      </c>
      <c r="D123" s="400">
        <f t="shared" si="56"/>
        <v>2385</v>
      </c>
      <c r="E123" s="401">
        <f t="shared" si="56"/>
        <v>1</v>
      </c>
      <c r="F123" s="398">
        <f t="shared" si="56"/>
        <v>2295</v>
      </c>
      <c r="G123" s="399">
        <f t="shared" si="56"/>
        <v>70</v>
      </c>
      <c r="H123" s="400">
        <f t="shared" si="56"/>
        <v>2365</v>
      </c>
      <c r="I123" s="401">
        <f t="shared" si="56"/>
        <v>2</v>
      </c>
      <c r="J123" s="398">
        <f t="shared" si="56"/>
        <v>586</v>
      </c>
      <c r="K123" s="399">
        <f t="shared" si="56"/>
        <v>32</v>
      </c>
      <c r="L123" s="400">
        <f t="shared" si="56"/>
        <v>618</v>
      </c>
      <c r="M123" s="401">
        <f t="shared" si="56"/>
        <v>1</v>
      </c>
      <c r="N123" s="398">
        <f t="shared" si="56"/>
        <v>0</v>
      </c>
      <c r="O123" s="399">
        <f t="shared" si="56"/>
        <v>0</v>
      </c>
      <c r="P123" s="400">
        <f t="shared" si="56"/>
        <v>0</v>
      </c>
      <c r="Q123" s="401">
        <f t="shared" si="56"/>
        <v>0</v>
      </c>
      <c r="R123" s="812">
        <f t="shared" si="48"/>
        <v>5172</v>
      </c>
      <c r="S123" s="813">
        <f t="shared" si="44"/>
        <v>196</v>
      </c>
      <c r="T123" s="813">
        <f t="shared" si="45"/>
        <v>5368</v>
      </c>
      <c r="U123" s="814">
        <f t="shared" si="46"/>
        <v>4</v>
      </c>
    </row>
    <row r="124" spans="1:21" ht="14.4" thickBot="1">
      <c r="A124" s="433" t="s">
        <v>16</v>
      </c>
      <c r="B124" s="417">
        <f t="shared" ref="B124:U124" si="57">SUM(B114:B123)</f>
        <v>35969</v>
      </c>
      <c r="C124" s="419">
        <f t="shared" si="57"/>
        <v>1230</v>
      </c>
      <c r="D124" s="419">
        <f t="shared" si="57"/>
        <v>37199</v>
      </c>
      <c r="E124" s="420">
        <f t="shared" si="57"/>
        <v>219</v>
      </c>
      <c r="F124" s="417">
        <f t="shared" si="57"/>
        <v>36120</v>
      </c>
      <c r="G124" s="419">
        <f t="shared" si="57"/>
        <v>1132</v>
      </c>
      <c r="H124" s="419">
        <f t="shared" si="57"/>
        <v>37252</v>
      </c>
      <c r="I124" s="420">
        <f t="shared" si="57"/>
        <v>238</v>
      </c>
      <c r="J124" s="417">
        <f t="shared" si="57"/>
        <v>21670</v>
      </c>
      <c r="K124" s="419">
        <f t="shared" si="57"/>
        <v>829</v>
      </c>
      <c r="L124" s="419">
        <f t="shared" si="57"/>
        <v>22499</v>
      </c>
      <c r="M124" s="420">
        <f t="shared" si="57"/>
        <v>145</v>
      </c>
      <c r="N124" s="417">
        <f t="shared" si="57"/>
        <v>0</v>
      </c>
      <c r="O124" s="419">
        <f t="shared" si="57"/>
        <v>0</v>
      </c>
      <c r="P124" s="419">
        <f t="shared" si="57"/>
        <v>0</v>
      </c>
      <c r="Q124" s="420">
        <f t="shared" si="57"/>
        <v>0</v>
      </c>
      <c r="R124" s="434">
        <f t="shared" si="57"/>
        <v>93759</v>
      </c>
      <c r="S124" s="434">
        <f t="shared" si="57"/>
        <v>3191</v>
      </c>
      <c r="T124" s="434">
        <f t="shared" si="57"/>
        <v>96950</v>
      </c>
      <c r="U124" s="434">
        <f t="shared" si="57"/>
        <v>602</v>
      </c>
    </row>
    <row r="126" spans="1:21" ht="18">
      <c r="A126" s="393" t="s">
        <v>863</v>
      </c>
    </row>
    <row r="127" spans="1:21" ht="18.600000000000001" thickBot="1">
      <c r="A127" s="394">
        <f>A96</f>
        <v>2021</v>
      </c>
    </row>
    <row r="128" spans="1:21">
      <c r="A128" s="2815" t="s">
        <v>0</v>
      </c>
      <c r="B128" s="2827" t="s">
        <v>269</v>
      </c>
      <c r="C128" s="2828"/>
      <c r="D128" s="2828"/>
      <c r="E128" s="3091"/>
      <c r="F128" s="2829" t="s">
        <v>270</v>
      </c>
      <c r="G128" s="2830"/>
      <c r="H128" s="2830"/>
      <c r="I128" s="3095"/>
      <c r="J128" s="2817" t="s">
        <v>271</v>
      </c>
      <c r="K128" s="2818"/>
      <c r="L128" s="2818"/>
      <c r="M128" s="3094"/>
      <c r="N128" s="2819" t="s">
        <v>272</v>
      </c>
      <c r="O128" s="2820"/>
      <c r="P128" s="2820"/>
      <c r="Q128" s="3090"/>
      <c r="R128" s="3413" t="s">
        <v>83</v>
      </c>
      <c r="S128" s="3413"/>
      <c r="T128" s="3413"/>
      <c r="U128" s="3414"/>
    </row>
    <row r="129" spans="1:21" ht="14.4" thickBot="1">
      <c r="A129" s="2816"/>
      <c r="B129" s="402" t="s">
        <v>17</v>
      </c>
      <c r="C129" s="403" t="s">
        <v>18</v>
      </c>
      <c r="D129" s="403" t="s">
        <v>52</v>
      </c>
      <c r="E129" s="404" t="s">
        <v>19</v>
      </c>
      <c r="F129" s="402" t="s">
        <v>17</v>
      </c>
      <c r="G129" s="403" t="s">
        <v>18</v>
      </c>
      <c r="H129" s="403" t="s">
        <v>52</v>
      </c>
      <c r="I129" s="404" t="s">
        <v>19</v>
      </c>
      <c r="J129" s="402" t="s">
        <v>17</v>
      </c>
      <c r="K129" s="403" t="s">
        <v>18</v>
      </c>
      <c r="L129" s="403" t="s">
        <v>52</v>
      </c>
      <c r="M129" s="404" t="s">
        <v>19</v>
      </c>
      <c r="N129" s="402" t="s">
        <v>17</v>
      </c>
      <c r="O129" s="403" t="s">
        <v>18</v>
      </c>
      <c r="P129" s="403" t="s">
        <v>52</v>
      </c>
      <c r="Q129" s="404" t="s">
        <v>19</v>
      </c>
      <c r="R129" s="403" t="s">
        <v>17</v>
      </c>
      <c r="S129" s="403" t="s">
        <v>18</v>
      </c>
      <c r="T129" s="403" t="s">
        <v>52</v>
      </c>
      <c r="U129" s="431" t="s">
        <v>19</v>
      </c>
    </row>
    <row r="130" spans="1:21">
      <c r="A130" s="397" t="s">
        <v>68</v>
      </c>
      <c r="B130" s="398">
        <f>+élec!B131+élec!F131+élec!J131</f>
        <v>0</v>
      </c>
      <c r="C130" s="399">
        <f>+élec!C131+élec!G131+élec!K131</f>
        <v>0</v>
      </c>
      <c r="D130" s="400">
        <f>+élec!D131+élec!H131+élec!L131</f>
        <v>0</v>
      </c>
      <c r="E130" s="401">
        <f>+élec!E131+élec!I131+élec!M131</f>
        <v>0</v>
      </c>
      <c r="F130" s="398">
        <f>+élec!J131+élec!N131+élec!R131</f>
        <v>0</v>
      </c>
      <c r="G130" s="399">
        <f>+élec!K131+élec!O131+élec!S131</f>
        <v>0</v>
      </c>
      <c r="H130" s="400">
        <f>+élec!L131+élec!P131+élec!T131</f>
        <v>0</v>
      </c>
      <c r="I130" s="401">
        <f>+élec!M131+élec!Q131+élec!U131</f>
        <v>0</v>
      </c>
      <c r="J130" s="398">
        <f>+élec!V131+élec!Z131+élec!AD131</f>
        <v>0</v>
      </c>
      <c r="K130" s="399">
        <f>+élec!W131+élec!AA131+élec!AE131</f>
        <v>0</v>
      </c>
      <c r="L130" s="400">
        <f>+élec!X131+élec!AB131+élec!AF131</f>
        <v>0</v>
      </c>
      <c r="M130" s="401">
        <f>+élec!Y131+élec!AC131+élec!AG131</f>
        <v>0</v>
      </c>
      <c r="N130" s="398">
        <f>+élec!AH131+élec!AL131+élec!AP131</f>
        <v>0</v>
      </c>
      <c r="O130" s="399">
        <f>+élec!AI131+élec!AM131+élec!AQ131</f>
        <v>0</v>
      </c>
      <c r="P130" s="400">
        <f>+élec!AJ131+élec!AN131+élec!AR131</f>
        <v>0</v>
      </c>
      <c r="Q130" s="401">
        <f>+élec!AK131+élec!AO131+élec!AS131</f>
        <v>0</v>
      </c>
      <c r="R130" s="432">
        <f t="shared" ref="R130:R139" si="58">B130+F130+J130+N130</f>
        <v>0</v>
      </c>
      <c r="S130" s="810">
        <f t="shared" ref="S130:S139" si="59">C130+G130+K130+O130</f>
        <v>0</v>
      </c>
      <c r="T130" s="810">
        <f t="shared" ref="T130:T139" si="60">D130+H130+L130+P130</f>
        <v>0</v>
      </c>
      <c r="U130" s="811">
        <f t="shared" ref="U130:U139" si="61">E130+I130+M130+Q130</f>
        <v>0</v>
      </c>
    </row>
    <row r="131" spans="1:21">
      <c r="A131" s="397" t="s">
        <v>7</v>
      </c>
      <c r="B131" s="398">
        <f>+élec!B132+élec!F132+élec!J132</f>
        <v>21</v>
      </c>
      <c r="C131" s="399">
        <f>+élec!C132+élec!G132+élec!K132</f>
        <v>0</v>
      </c>
      <c r="D131" s="400">
        <f>+élec!D132+élec!H132+élec!L132</f>
        <v>21</v>
      </c>
      <c r="E131" s="401">
        <f>+élec!E132+élec!I132+élec!M132</f>
        <v>0</v>
      </c>
      <c r="F131" s="398">
        <f>+élec!J132+élec!N132+élec!R132</f>
        <v>10</v>
      </c>
      <c r="G131" s="399">
        <f>+élec!K132+élec!O132+élec!S132</f>
        <v>0</v>
      </c>
      <c r="H131" s="400">
        <f>+élec!L132+élec!P132+élec!T132</f>
        <v>10</v>
      </c>
      <c r="I131" s="401">
        <f>+élec!M132+élec!Q132+élec!U132</f>
        <v>0</v>
      </c>
      <c r="J131" s="398">
        <f>+élec!V132+élec!Z132+élec!AD132</f>
        <v>137</v>
      </c>
      <c r="K131" s="399">
        <f>+élec!W132+élec!AA132+élec!AE132</f>
        <v>1</v>
      </c>
      <c r="L131" s="400">
        <f>+élec!X132+élec!AB132+élec!AF132</f>
        <v>138</v>
      </c>
      <c r="M131" s="401">
        <f>+élec!Y132+élec!AC132+élec!AG132</f>
        <v>0</v>
      </c>
      <c r="N131" s="398">
        <f>+élec!AH132+élec!AL132+élec!AP132</f>
        <v>0</v>
      </c>
      <c r="O131" s="399">
        <f>+élec!AI132+élec!AM132+élec!AQ132</f>
        <v>0</v>
      </c>
      <c r="P131" s="400">
        <f>+élec!AJ132+élec!AN132+élec!AR132</f>
        <v>0</v>
      </c>
      <c r="Q131" s="401">
        <f>+élec!AK132+élec!AO132+élec!AS132</f>
        <v>0</v>
      </c>
      <c r="R131" s="812">
        <f t="shared" si="58"/>
        <v>168</v>
      </c>
      <c r="S131" s="813">
        <f t="shared" si="59"/>
        <v>1</v>
      </c>
      <c r="T131" s="813">
        <f t="shared" si="60"/>
        <v>169</v>
      </c>
      <c r="U131" s="814">
        <f t="shared" si="61"/>
        <v>0</v>
      </c>
    </row>
    <row r="132" spans="1:21">
      <c r="A132" s="397" t="s">
        <v>8</v>
      </c>
      <c r="B132" s="398">
        <f>+élec!B133+élec!F133+élec!J133</f>
        <v>0</v>
      </c>
      <c r="C132" s="399">
        <f>+élec!C133+élec!G133+élec!K133</f>
        <v>0</v>
      </c>
      <c r="D132" s="400">
        <f>+élec!D133+élec!H133+élec!L133</f>
        <v>0</v>
      </c>
      <c r="E132" s="401">
        <f>+élec!E133+élec!I133+élec!M133</f>
        <v>0</v>
      </c>
      <c r="F132" s="398">
        <f>+élec!J133+élec!N133+élec!R133</f>
        <v>0</v>
      </c>
      <c r="G132" s="399">
        <f>+élec!K133+élec!O133+élec!S133</f>
        <v>0</v>
      </c>
      <c r="H132" s="400">
        <f>+élec!L133+élec!P133+élec!T133</f>
        <v>0</v>
      </c>
      <c r="I132" s="401">
        <f>+élec!M133+élec!Q133+élec!U133</f>
        <v>0</v>
      </c>
      <c r="J132" s="398">
        <f>+élec!V133+élec!Z133+élec!AD133</f>
        <v>0</v>
      </c>
      <c r="K132" s="399">
        <f>+élec!W133+élec!AA133+élec!AE133</f>
        <v>0</v>
      </c>
      <c r="L132" s="400">
        <f>+élec!X133+élec!AB133+élec!AF133</f>
        <v>0</v>
      </c>
      <c r="M132" s="401">
        <f>+élec!Y133+élec!AC133+élec!AG133</f>
        <v>0</v>
      </c>
      <c r="N132" s="398">
        <f>+élec!AH133+élec!AL133+élec!AP133</f>
        <v>0</v>
      </c>
      <c r="O132" s="399">
        <f>+élec!AI133+élec!AM133+élec!AQ133</f>
        <v>0</v>
      </c>
      <c r="P132" s="400">
        <f>+élec!AJ133+élec!AN133+élec!AR133</f>
        <v>0</v>
      </c>
      <c r="Q132" s="401">
        <f>+élec!AK133+élec!AO133+élec!AS133</f>
        <v>0</v>
      </c>
      <c r="R132" s="812">
        <f t="shared" si="58"/>
        <v>0</v>
      </c>
      <c r="S132" s="813">
        <f t="shared" si="59"/>
        <v>0</v>
      </c>
      <c r="T132" s="813">
        <f t="shared" si="60"/>
        <v>0</v>
      </c>
      <c r="U132" s="814">
        <f t="shared" si="61"/>
        <v>0</v>
      </c>
    </row>
    <row r="133" spans="1:21">
      <c r="A133" s="397" t="s">
        <v>4</v>
      </c>
      <c r="B133" s="398">
        <f>+élec!B134+élec!F134+élec!J134</f>
        <v>0</v>
      </c>
      <c r="C133" s="399">
        <f>+élec!C134+élec!G134+élec!K134</f>
        <v>0</v>
      </c>
      <c r="D133" s="400">
        <f>+élec!D134+élec!H134+élec!L134</f>
        <v>0</v>
      </c>
      <c r="E133" s="401">
        <f>+élec!E134+élec!I134+élec!M134</f>
        <v>0</v>
      </c>
      <c r="F133" s="398">
        <f>+élec!J134+élec!N134+élec!R134</f>
        <v>0</v>
      </c>
      <c r="G133" s="399">
        <f>+élec!K134+élec!O134+élec!S134</f>
        <v>0</v>
      </c>
      <c r="H133" s="400">
        <f>+élec!L134+élec!P134+élec!T134</f>
        <v>0</v>
      </c>
      <c r="I133" s="401">
        <f>+élec!M134+élec!Q134+élec!U134</f>
        <v>0</v>
      </c>
      <c r="J133" s="398">
        <f>+élec!V134+élec!Z134+élec!AD134</f>
        <v>0</v>
      </c>
      <c r="K133" s="399">
        <f>+élec!W134+élec!AA134+élec!AE134</f>
        <v>0</v>
      </c>
      <c r="L133" s="400">
        <f>+élec!X134+élec!AB134+élec!AF134</f>
        <v>0</v>
      </c>
      <c r="M133" s="401">
        <f>+élec!Y134+élec!AC134+élec!AG134</f>
        <v>0</v>
      </c>
      <c r="N133" s="398">
        <f>+élec!AH134+élec!AL134+élec!AP134</f>
        <v>0</v>
      </c>
      <c r="O133" s="399">
        <f>+élec!AI134+élec!AM134+élec!AQ134</f>
        <v>0</v>
      </c>
      <c r="P133" s="400">
        <f>+élec!AJ134+élec!AN134+élec!AR134</f>
        <v>0</v>
      </c>
      <c r="Q133" s="401">
        <f>+élec!AK134+élec!AO134+élec!AS134</f>
        <v>0</v>
      </c>
      <c r="R133" s="812">
        <f t="shared" si="58"/>
        <v>0</v>
      </c>
      <c r="S133" s="813">
        <f t="shared" si="59"/>
        <v>0</v>
      </c>
      <c r="T133" s="813">
        <f t="shared" si="60"/>
        <v>0</v>
      </c>
      <c r="U133" s="814">
        <f t="shared" si="61"/>
        <v>0</v>
      </c>
    </row>
    <row r="134" spans="1:21">
      <c r="A134" s="397" t="s">
        <v>3</v>
      </c>
      <c r="B134" s="398">
        <f>+élec!B135+élec!F135+élec!J135</f>
        <v>10</v>
      </c>
      <c r="C134" s="399">
        <f>+élec!C135+élec!G135+élec!K135</f>
        <v>0</v>
      </c>
      <c r="D134" s="400">
        <f>+élec!D135+élec!H135+élec!L135</f>
        <v>10</v>
      </c>
      <c r="E134" s="401">
        <f>+élec!E135+élec!I135+élec!M135</f>
        <v>0</v>
      </c>
      <c r="F134" s="398">
        <f>+élec!J135+élec!N135+élec!R135</f>
        <v>19</v>
      </c>
      <c r="G134" s="399">
        <f>+élec!K135+élec!O135+élec!S135</f>
        <v>0</v>
      </c>
      <c r="H134" s="400">
        <f>+élec!L135+élec!P135+élec!T135</f>
        <v>19</v>
      </c>
      <c r="I134" s="401">
        <f>+élec!M135+élec!Q135+élec!U135</f>
        <v>0</v>
      </c>
      <c r="J134" s="398">
        <f>+élec!V135+élec!Z135+élec!AD135</f>
        <v>24</v>
      </c>
      <c r="K134" s="399">
        <f>+élec!W135+élec!AA135+élec!AE135</f>
        <v>0</v>
      </c>
      <c r="L134" s="400">
        <f>+élec!X135+élec!AB135+élec!AF135</f>
        <v>24</v>
      </c>
      <c r="M134" s="401">
        <f>+élec!Y135+élec!AC135+élec!AG135</f>
        <v>0</v>
      </c>
      <c r="N134" s="398">
        <f>+élec!AH135+élec!AL135+élec!AP135</f>
        <v>0</v>
      </c>
      <c r="O134" s="399">
        <f>+élec!AI135+élec!AM135+élec!AQ135</f>
        <v>0</v>
      </c>
      <c r="P134" s="400">
        <f>+élec!AJ135+élec!AN135+élec!AR135</f>
        <v>0</v>
      </c>
      <c r="Q134" s="401">
        <f>+élec!AK135+élec!AO135+élec!AS135</f>
        <v>0</v>
      </c>
      <c r="R134" s="812">
        <f t="shared" si="58"/>
        <v>53</v>
      </c>
      <c r="S134" s="813">
        <f t="shared" si="59"/>
        <v>0</v>
      </c>
      <c r="T134" s="813">
        <f t="shared" si="60"/>
        <v>53</v>
      </c>
      <c r="U134" s="814">
        <f t="shared" si="61"/>
        <v>0</v>
      </c>
    </row>
    <row r="135" spans="1:21">
      <c r="A135" s="397" t="s">
        <v>397</v>
      </c>
      <c r="B135" s="398">
        <f>+élec!B136+élec!F136+élec!J136</f>
        <v>0</v>
      </c>
      <c r="C135" s="399">
        <f>+élec!C136+élec!G136+élec!K136</f>
        <v>0</v>
      </c>
      <c r="D135" s="400">
        <f>+élec!D136+élec!H136+élec!L136</f>
        <v>0</v>
      </c>
      <c r="E135" s="401">
        <f>+élec!E136+élec!I136+élec!M136</f>
        <v>0</v>
      </c>
      <c r="F135" s="398">
        <f>+élec!J136+élec!N136+élec!R136</f>
        <v>0</v>
      </c>
      <c r="G135" s="399">
        <f>+élec!K136+élec!O136+élec!S136</f>
        <v>0</v>
      </c>
      <c r="H135" s="400">
        <f>+élec!L136+élec!P136+élec!T136</f>
        <v>0</v>
      </c>
      <c r="I135" s="401">
        <f>+élec!M136+élec!Q136+élec!U136</f>
        <v>0</v>
      </c>
      <c r="J135" s="398">
        <f>+élec!V136+élec!Z136+élec!AD136</f>
        <v>0</v>
      </c>
      <c r="K135" s="399">
        <f>+élec!W136+élec!AA136+élec!AE136</f>
        <v>0</v>
      </c>
      <c r="L135" s="400">
        <f>+élec!X136+élec!AB136+élec!AF136</f>
        <v>0</v>
      </c>
      <c r="M135" s="401">
        <f>+élec!Y136+élec!AC136+élec!AG136</f>
        <v>0</v>
      </c>
      <c r="N135" s="398">
        <f>+élec!AH136+élec!AL136+élec!AP136</f>
        <v>0</v>
      </c>
      <c r="O135" s="399">
        <f>+élec!AI136+élec!AM136+élec!AQ136</f>
        <v>0</v>
      </c>
      <c r="P135" s="400">
        <f>+élec!AJ136+élec!AN136+élec!AR136</f>
        <v>0</v>
      </c>
      <c r="Q135" s="401">
        <f>+élec!AK136+élec!AO136+élec!AS136</f>
        <v>0</v>
      </c>
      <c r="R135" s="812">
        <f t="shared" si="58"/>
        <v>0</v>
      </c>
      <c r="S135" s="813">
        <f t="shared" si="59"/>
        <v>0</v>
      </c>
      <c r="T135" s="813">
        <f t="shared" si="60"/>
        <v>0</v>
      </c>
      <c r="U135" s="814">
        <f t="shared" si="61"/>
        <v>0</v>
      </c>
    </row>
    <row r="136" spans="1:21">
      <c r="A136" s="397" t="s">
        <v>399</v>
      </c>
      <c r="B136" s="398">
        <f>+élec!B137+élec!F137+élec!J137</f>
        <v>0</v>
      </c>
      <c r="C136" s="399">
        <f>+élec!C137+élec!G137+élec!K137</f>
        <v>0</v>
      </c>
      <c r="D136" s="400">
        <f>+élec!D137+élec!H137+élec!L137</f>
        <v>0</v>
      </c>
      <c r="E136" s="401">
        <f>+élec!E137+élec!I137+élec!M137</f>
        <v>0</v>
      </c>
      <c r="F136" s="398">
        <f>+élec!J137+élec!N137+élec!R137</f>
        <v>0</v>
      </c>
      <c r="G136" s="399">
        <f>+élec!K137+élec!O137+élec!S137</f>
        <v>0</v>
      </c>
      <c r="H136" s="400">
        <f>+élec!L137+élec!P137+élec!T137</f>
        <v>0</v>
      </c>
      <c r="I136" s="401">
        <f>+élec!M137+élec!Q137+élec!U137</f>
        <v>0</v>
      </c>
      <c r="J136" s="398">
        <f>+élec!V137+élec!Z137+élec!AD137</f>
        <v>0</v>
      </c>
      <c r="K136" s="399">
        <f>+élec!W137+élec!AA137+élec!AE137</f>
        <v>0</v>
      </c>
      <c r="L136" s="400">
        <f>+élec!X137+élec!AB137+élec!AF137</f>
        <v>0</v>
      </c>
      <c r="M136" s="401">
        <f>+élec!Y137+élec!AC137+élec!AG137</f>
        <v>0</v>
      </c>
      <c r="N136" s="398">
        <f>+élec!AH137+élec!AL137+élec!AP137</f>
        <v>0</v>
      </c>
      <c r="O136" s="399">
        <f>+élec!AI137+élec!AM137+élec!AQ137</f>
        <v>0</v>
      </c>
      <c r="P136" s="400">
        <f>+élec!AJ137+élec!AN137+élec!AR137</f>
        <v>0</v>
      </c>
      <c r="Q136" s="401">
        <f>+élec!AK137+élec!AO137+élec!AS137</f>
        <v>0</v>
      </c>
      <c r="R136" s="812">
        <f t="shared" si="58"/>
        <v>0</v>
      </c>
      <c r="S136" s="813">
        <f t="shared" si="59"/>
        <v>0</v>
      </c>
      <c r="T136" s="813">
        <f t="shared" si="60"/>
        <v>0</v>
      </c>
      <c r="U136" s="814">
        <f t="shared" si="61"/>
        <v>0</v>
      </c>
    </row>
    <row r="137" spans="1:21">
      <c r="A137" s="397" t="s">
        <v>883</v>
      </c>
      <c r="B137" s="398">
        <f>+élec!B138+élec!F138+élec!J138</f>
        <v>30</v>
      </c>
      <c r="C137" s="399">
        <f>+élec!C138+élec!G138+élec!K138</f>
        <v>0</v>
      </c>
      <c r="D137" s="400">
        <f>+élec!D138+élec!H138+élec!L138</f>
        <v>30</v>
      </c>
      <c r="E137" s="401">
        <f>+élec!E138+élec!I138+élec!M138</f>
        <v>0</v>
      </c>
      <c r="F137" s="398">
        <f>+élec!J138+élec!N138+élec!R138</f>
        <v>29</v>
      </c>
      <c r="G137" s="399">
        <f>+élec!K138+élec!O138+élec!S138</f>
        <v>0</v>
      </c>
      <c r="H137" s="400">
        <f>+élec!L138+élec!P138+élec!T138</f>
        <v>29</v>
      </c>
      <c r="I137" s="401">
        <f>+élec!M138+élec!Q138+élec!U138</f>
        <v>0</v>
      </c>
      <c r="J137" s="398">
        <f>+élec!V138+élec!Z138+élec!AD138</f>
        <v>55</v>
      </c>
      <c r="K137" s="399">
        <f>+élec!W138+élec!AA138+élec!AE138</f>
        <v>0</v>
      </c>
      <c r="L137" s="400">
        <f>+élec!X138+élec!AB138+élec!AF138</f>
        <v>55</v>
      </c>
      <c r="M137" s="401">
        <f>+élec!Y138+élec!AC138+élec!AG138</f>
        <v>0</v>
      </c>
      <c r="N137" s="398">
        <f>+élec!AH138+élec!AL138+élec!AP138</f>
        <v>0</v>
      </c>
      <c r="O137" s="399">
        <f>+élec!AI138+élec!AM138+élec!AQ138</f>
        <v>0</v>
      </c>
      <c r="P137" s="400">
        <f>+élec!AJ138+élec!AN138+élec!AR138</f>
        <v>0</v>
      </c>
      <c r="Q137" s="401">
        <f>+élec!AK138+élec!AO138+élec!AS138</f>
        <v>0</v>
      </c>
      <c r="R137" s="812">
        <f t="shared" si="58"/>
        <v>114</v>
      </c>
      <c r="S137" s="813">
        <f t="shared" si="59"/>
        <v>0</v>
      </c>
      <c r="T137" s="813">
        <f t="shared" si="60"/>
        <v>114</v>
      </c>
      <c r="U137" s="814">
        <f t="shared" si="61"/>
        <v>0</v>
      </c>
    </row>
    <row r="138" spans="1:21">
      <c r="A138" s="397" t="s">
        <v>884</v>
      </c>
      <c r="B138" s="398">
        <f>+élec!B139+élec!F139+élec!J139</f>
        <v>76</v>
      </c>
      <c r="C138" s="399">
        <f>+élec!C139+élec!G139+élec!K139</f>
        <v>1</v>
      </c>
      <c r="D138" s="400">
        <f>+élec!D139+élec!H139+élec!L139</f>
        <v>77</v>
      </c>
      <c r="E138" s="401">
        <f>+élec!E139+élec!I139+élec!M139</f>
        <v>0</v>
      </c>
      <c r="F138" s="398">
        <f>+élec!J139+élec!N139+élec!R139</f>
        <v>106</v>
      </c>
      <c r="G138" s="399">
        <f>+élec!K139+élec!O139+élec!S139</f>
        <v>2</v>
      </c>
      <c r="H138" s="400">
        <f>+élec!L139+élec!P139+élec!T139</f>
        <v>108</v>
      </c>
      <c r="I138" s="401">
        <f>+élec!M139+élec!Q139+élec!U139</f>
        <v>0</v>
      </c>
      <c r="J138" s="398">
        <f>+élec!V139+élec!Z139+élec!AD139</f>
        <v>199</v>
      </c>
      <c r="K138" s="399">
        <f>+élec!W139+élec!AA139+élec!AE139</f>
        <v>1</v>
      </c>
      <c r="L138" s="400">
        <f>+élec!X139+élec!AB139+élec!AF139</f>
        <v>200</v>
      </c>
      <c r="M138" s="401">
        <f>+élec!Y139+élec!AC139+élec!AG139</f>
        <v>0</v>
      </c>
      <c r="N138" s="398">
        <f>+élec!AH139+élec!AL139+élec!AP139</f>
        <v>0</v>
      </c>
      <c r="O138" s="399">
        <f>+élec!AI139+élec!AM139+élec!AQ139</f>
        <v>0</v>
      </c>
      <c r="P138" s="400">
        <f>+élec!AJ139+élec!AN139+élec!AR139</f>
        <v>0</v>
      </c>
      <c r="Q138" s="401">
        <f>+élec!AK139+élec!AO139+élec!AS139</f>
        <v>0</v>
      </c>
      <c r="R138" s="812">
        <f t="shared" si="58"/>
        <v>381</v>
      </c>
      <c r="S138" s="813">
        <f t="shared" si="59"/>
        <v>4</v>
      </c>
      <c r="T138" s="813">
        <f t="shared" si="60"/>
        <v>385</v>
      </c>
      <c r="U138" s="814">
        <f t="shared" si="61"/>
        <v>0</v>
      </c>
    </row>
    <row r="139" spans="1:21" ht="14.4" thickBot="1">
      <c r="A139" s="397" t="s">
        <v>885</v>
      </c>
      <c r="B139" s="398">
        <f>+élec!B140+élec!F140+élec!J140</f>
        <v>48</v>
      </c>
      <c r="C139" s="399">
        <f>+élec!C140+élec!G140+élec!K140</f>
        <v>0</v>
      </c>
      <c r="D139" s="400">
        <f>+élec!D140+élec!H140+élec!L140</f>
        <v>48</v>
      </c>
      <c r="E139" s="401">
        <f>+élec!E140+élec!I140+élec!M140</f>
        <v>0</v>
      </c>
      <c r="F139" s="398">
        <f>+élec!J140+élec!N140+élec!R140</f>
        <v>59</v>
      </c>
      <c r="G139" s="399">
        <f>+élec!K140+élec!O140+élec!S140</f>
        <v>0</v>
      </c>
      <c r="H139" s="400">
        <f>+élec!L140+élec!P140+élec!T140</f>
        <v>59</v>
      </c>
      <c r="I139" s="401">
        <f>+élec!M140+élec!Q140+élec!U140</f>
        <v>0</v>
      </c>
      <c r="J139" s="398">
        <f>+élec!V140+élec!Z140+élec!AD140</f>
        <v>62</v>
      </c>
      <c r="K139" s="399">
        <f>+élec!W140+élec!AA140+élec!AE140</f>
        <v>0</v>
      </c>
      <c r="L139" s="400">
        <f>+élec!X140+élec!AB140+élec!AF140</f>
        <v>62</v>
      </c>
      <c r="M139" s="401">
        <f>+élec!Y140+élec!AC140+élec!AG140</f>
        <v>0</v>
      </c>
      <c r="N139" s="398">
        <f>+élec!AH140+élec!AL140+élec!AP140</f>
        <v>0</v>
      </c>
      <c r="O139" s="399">
        <f>+élec!AI140+élec!AM140+élec!AQ140</f>
        <v>0</v>
      </c>
      <c r="P139" s="400">
        <f>+élec!AJ140+élec!AN140+élec!AR140</f>
        <v>0</v>
      </c>
      <c r="Q139" s="401">
        <f>+élec!AK140+élec!AO140+élec!AS140</f>
        <v>0</v>
      </c>
      <c r="R139" s="812">
        <f t="shared" si="58"/>
        <v>169</v>
      </c>
      <c r="S139" s="813">
        <f t="shared" si="59"/>
        <v>0</v>
      </c>
      <c r="T139" s="813">
        <f t="shared" si="60"/>
        <v>169</v>
      </c>
      <c r="U139" s="814">
        <f t="shared" si="61"/>
        <v>0</v>
      </c>
    </row>
    <row r="140" spans="1:21" ht="14.4" thickBot="1">
      <c r="A140" s="433" t="s">
        <v>16</v>
      </c>
      <c r="B140" s="417">
        <f t="shared" ref="B140:U140" si="62">SUM(B130:B139)</f>
        <v>185</v>
      </c>
      <c r="C140" s="419">
        <f t="shared" si="62"/>
        <v>1</v>
      </c>
      <c r="D140" s="419">
        <f t="shared" si="62"/>
        <v>186</v>
      </c>
      <c r="E140" s="420">
        <f t="shared" si="62"/>
        <v>0</v>
      </c>
      <c r="F140" s="417">
        <f t="shared" si="62"/>
        <v>223</v>
      </c>
      <c r="G140" s="419">
        <f t="shared" si="62"/>
        <v>2</v>
      </c>
      <c r="H140" s="419">
        <f t="shared" si="62"/>
        <v>225</v>
      </c>
      <c r="I140" s="420">
        <f t="shared" si="62"/>
        <v>0</v>
      </c>
      <c r="J140" s="417">
        <f t="shared" si="62"/>
        <v>477</v>
      </c>
      <c r="K140" s="419">
        <f t="shared" si="62"/>
        <v>2</v>
      </c>
      <c r="L140" s="419">
        <f t="shared" si="62"/>
        <v>479</v>
      </c>
      <c r="M140" s="420">
        <f t="shared" si="62"/>
        <v>0</v>
      </c>
      <c r="N140" s="417">
        <f t="shared" si="62"/>
        <v>0</v>
      </c>
      <c r="O140" s="419">
        <f t="shared" si="62"/>
        <v>0</v>
      </c>
      <c r="P140" s="419">
        <f t="shared" si="62"/>
        <v>0</v>
      </c>
      <c r="Q140" s="420">
        <f t="shared" si="62"/>
        <v>0</v>
      </c>
      <c r="R140" s="434">
        <f t="shared" si="62"/>
        <v>885</v>
      </c>
      <c r="S140" s="434">
        <f t="shared" si="62"/>
        <v>5</v>
      </c>
      <c r="T140" s="434">
        <f t="shared" si="62"/>
        <v>890</v>
      </c>
      <c r="U140" s="434">
        <f t="shared" si="62"/>
        <v>0</v>
      </c>
    </row>
    <row r="142" spans="1:21" ht="18.600000000000001" thickBot="1">
      <c r="A142" s="394">
        <f>A111</f>
        <v>2022</v>
      </c>
    </row>
    <row r="143" spans="1:21">
      <c r="A143" s="2815" t="s">
        <v>0</v>
      </c>
      <c r="B143" s="2827" t="s">
        <v>269</v>
      </c>
      <c r="C143" s="2828"/>
      <c r="D143" s="2828"/>
      <c r="E143" s="3091"/>
      <c r="F143" s="2829" t="s">
        <v>270</v>
      </c>
      <c r="G143" s="2830"/>
      <c r="H143" s="2830"/>
      <c r="I143" s="3095"/>
      <c r="J143" s="2817" t="s">
        <v>271</v>
      </c>
      <c r="K143" s="2818"/>
      <c r="L143" s="2818"/>
      <c r="M143" s="3094"/>
      <c r="N143" s="2819" t="s">
        <v>272</v>
      </c>
      <c r="O143" s="2820"/>
      <c r="P143" s="2820"/>
      <c r="Q143" s="3090"/>
      <c r="R143" s="3413" t="s">
        <v>83</v>
      </c>
      <c r="S143" s="3413"/>
      <c r="T143" s="3413"/>
      <c r="U143" s="3414"/>
    </row>
    <row r="144" spans="1:21" ht="14.4" thickBot="1">
      <c r="A144" s="2816"/>
      <c r="B144" s="402" t="s">
        <v>17</v>
      </c>
      <c r="C144" s="403" t="s">
        <v>18</v>
      </c>
      <c r="D144" s="403" t="s">
        <v>52</v>
      </c>
      <c r="E144" s="404" t="s">
        <v>19</v>
      </c>
      <c r="F144" s="402" t="s">
        <v>17</v>
      </c>
      <c r="G144" s="403" t="s">
        <v>18</v>
      </c>
      <c r="H144" s="403" t="s">
        <v>52</v>
      </c>
      <c r="I144" s="404" t="s">
        <v>19</v>
      </c>
      <c r="J144" s="402" t="s">
        <v>17</v>
      </c>
      <c r="K144" s="403" t="s">
        <v>18</v>
      </c>
      <c r="L144" s="403" t="s">
        <v>52</v>
      </c>
      <c r="M144" s="404" t="s">
        <v>19</v>
      </c>
      <c r="N144" s="402" t="s">
        <v>17</v>
      </c>
      <c r="O144" s="403" t="s">
        <v>18</v>
      </c>
      <c r="P144" s="403" t="s">
        <v>52</v>
      </c>
      <c r="Q144" s="404" t="s">
        <v>19</v>
      </c>
      <c r="R144" s="403" t="s">
        <v>17</v>
      </c>
      <c r="S144" s="403" t="s">
        <v>18</v>
      </c>
      <c r="T144" s="403" t="s">
        <v>52</v>
      </c>
      <c r="U144" s="431" t="s">
        <v>19</v>
      </c>
    </row>
    <row r="145" spans="1:21">
      <c r="A145" s="397" t="s">
        <v>68</v>
      </c>
      <c r="B145" s="398">
        <f>+élec!B146+élec!F146+élec!J146</f>
        <v>0</v>
      </c>
      <c r="C145" s="399">
        <f>+élec!C146+élec!G146+élec!K146</f>
        <v>0</v>
      </c>
      <c r="D145" s="400">
        <f>+élec!D146+élec!H146+élec!L146</f>
        <v>0</v>
      </c>
      <c r="E145" s="401">
        <f>+élec!E146+élec!I146+élec!M146</f>
        <v>0</v>
      </c>
      <c r="F145" s="398">
        <f>+élec!N146+élec!R146+élec!V146</f>
        <v>0</v>
      </c>
      <c r="G145" s="399">
        <f>+élec!O146+élec!S146+élec!W146</f>
        <v>0</v>
      </c>
      <c r="H145" s="400">
        <f>+élec!P146+élec!T146+élec!X146</f>
        <v>0</v>
      </c>
      <c r="I145" s="401">
        <f>+élec!Q146+élec!U146+élec!Y146</f>
        <v>0</v>
      </c>
      <c r="J145" s="398">
        <f>+élec!Z146+élec!AD146+élec!AH146</f>
        <v>0</v>
      </c>
      <c r="K145" s="399">
        <f>+élec!AA146+élec!AE146+élec!AI146</f>
        <v>0</v>
      </c>
      <c r="L145" s="400">
        <f>+élec!AB146+élec!AF146+élec!AJ146</f>
        <v>0</v>
      </c>
      <c r="M145" s="401">
        <f>+élec!AC146+élec!AG146+élec!AK146</f>
        <v>0</v>
      </c>
      <c r="N145" s="398">
        <f>+élec!AL146+élec!AP146+élec!AT146</f>
        <v>0</v>
      </c>
      <c r="O145" s="399">
        <f>+élec!AM146+élec!AQ146+élec!AU146</f>
        <v>0</v>
      </c>
      <c r="P145" s="400">
        <f>+élec!AN146+élec!AR146+élec!AV146</f>
        <v>0</v>
      </c>
      <c r="Q145" s="401">
        <f>+élec!AO146+élec!AS146+élec!AW146</f>
        <v>0</v>
      </c>
      <c r="R145" s="432">
        <f>B145+F145+J145+N145</f>
        <v>0</v>
      </c>
      <c r="S145" s="810">
        <f t="shared" ref="S145:S154" si="63">C145+G145+K145+O145</f>
        <v>0</v>
      </c>
      <c r="T145" s="810">
        <f t="shared" ref="T145:T154" si="64">D145+H145+L145+P145</f>
        <v>0</v>
      </c>
      <c r="U145" s="811">
        <f t="shared" ref="U145:U154" si="65">E145+I145+M145+Q145</f>
        <v>0</v>
      </c>
    </row>
    <row r="146" spans="1:21">
      <c r="A146" s="397" t="s">
        <v>7</v>
      </c>
      <c r="B146" s="398">
        <f>+élec!B147+élec!F147+élec!J147</f>
        <v>201</v>
      </c>
      <c r="C146" s="399">
        <f>+élec!C147+élec!G147+élec!K147</f>
        <v>1</v>
      </c>
      <c r="D146" s="400">
        <f>+élec!D147+élec!H147+élec!L147</f>
        <v>202</v>
      </c>
      <c r="E146" s="401">
        <f>+élec!E147+élec!I147+élec!M147</f>
        <v>0</v>
      </c>
      <c r="F146" s="398">
        <f>+élec!N147+élec!R147+élec!V147</f>
        <v>146</v>
      </c>
      <c r="G146" s="399">
        <f>+élec!O147+élec!S147+élec!W147</f>
        <v>2</v>
      </c>
      <c r="H146" s="400">
        <f>+élec!P147+élec!T147+élec!X147</f>
        <v>148</v>
      </c>
      <c r="I146" s="401">
        <f>+élec!Q147+élec!U147+élec!Y147</f>
        <v>0</v>
      </c>
      <c r="J146" s="398">
        <f>+élec!Z147+élec!AD147+élec!AH147</f>
        <v>74</v>
      </c>
      <c r="K146" s="399">
        <f>+élec!AA147+élec!AE147+élec!AI147</f>
        <v>0</v>
      </c>
      <c r="L146" s="400">
        <f>+élec!AB147+élec!AF147+élec!AJ147</f>
        <v>74</v>
      </c>
      <c r="M146" s="401">
        <f>+élec!AC147+élec!AG147+élec!AK147</f>
        <v>0</v>
      </c>
      <c r="N146" s="398">
        <f>+élec!AL147+élec!AP147+élec!AT147</f>
        <v>0</v>
      </c>
      <c r="O146" s="399">
        <f>+élec!AM147+élec!AQ147+élec!AU147</f>
        <v>0</v>
      </c>
      <c r="P146" s="400">
        <f>+élec!AN147+élec!AR147+élec!AV147</f>
        <v>0</v>
      </c>
      <c r="Q146" s="401">
        <f>+élec!AO147+élec!AS147+élec!AW147</f>
        <v>0</v>
      </c>
      <c r="R146" s="812">
        <f t="shared" ref="R146:R154" si="66">B146+F146+J146+N146</f>
        <v>421</v>
      </c>
      <c r="S146" s="813">
        <f t="shared" si="63"/>
        <v>3</v>
      </c>
      <c r="T146" s="813">
        <f t="shared" si="64"/>
        <v>424</v>
      </c>
      <c r="U146" s="814">
        <f t="shared" si="65"/>
        <v>0</v>
      </c>
    </row>
    <row r="147" spans="1:21">
      <c r="A147" s="397" t="s">
        <v>8</v>
      </c>
      <c r="B147" s="398">
        <f>+élec!B148+élec!F148+élec!J148</f>
        <v>0</v>
      </c>
      <c r="C147" s="399">
        <f>+élec!C148+élec!G148+élec!K148</f>
        <v>0</v>
      </c>
      <c r="D147" s="400">
        <f>+élec!D148+élec!H148+élec!L148</f>
        <v>0</v>
      </c>
      <c r="E147" s="401">
        <f>+élec!E148+élec!I148+élec!M148</f>
        <v>0</v>
      </c>
      <c r="F147" s="398">
        <f>+élec!N148+élec!R148+élec!V148</f>
        <v>0</v>
      </c>
      <c r="G147" s="399">
        <f>+élec!O148+élec!S148+élec!W148</f>
        <v>0</v>
      </c>
      <c r="H147" s="400">
        <f>+élec!P148+élec!T148+élec!X148</f>
        <v>0</v>
      </c>
      <c r="I147" s="401">
        <f>+élec!Q148+élec!U148+élec!Y148</f>
        <v>0</v>
      </c>
      <c r="J147" s="398">
        <f>+élec!Z148+élec!AD148+élec!AH148</f>
        <v>0</v>
      </c>
      <c r="K147" s="399">
        <f>+élec!AA148+élec!AE148+élec!AI148</f>
        <v>0</v>
      </c>
      <c r="L147" s="400">
        <f>+élec!AB148+élec!AF148+élec!AJ148</f>
        <v>0</v>
      </c>
      <c r="M147" s="401">
        <f>+élec!AC148+élec!AG148+élec!AK148</f>
        <v>0</v>
      </c>
      <c r="N147" s="398">
        <f>+élec!AL148+élec!AP148+élec!AT148</f>
        <v>0</v>
      </c>
      <c r="O147" s="399">
        <f>+élec!AM148+élec!AQ148+élec!AU148</f>
        <v>0</v>
      </c>
      <c r="P147" s="400">
        <f>+élec!AN148+élec!AR148+élec!AV148</f>
        <v>0</v>
      </c>
      <c r="Q147" s="401">
        <f>+élec!AO148+élec!AS148+élec!AW148</f>
        <v>0</v>
      </c>
      <c r="R147" s="812">
        <f t="shared" si="66"/>
        <v>0</v>
      </c>
      <c r="S147" s="813">
        <f t="shared" si="63"/>
        <v>0</v>
      </c>
      <c r="T147" s="813">
        <f t="shared" si="64"/>
        <v>0</v>
      </c>
      <c r="U147" s="814">
        <f t="shared" si="65"/>
        <v>0</v>
      </c>
    </row>
    <row r="148" spans="1:21">
      <c r="A148" s="397" t="s">
        <v>4</v>
      </c>
      <c r="B148" s="398">
        <f>+élec!B149+élec!F149+élec!J149</f>
        <v>0</v>
      </c>
      <c r="C148" s="399">
        <f>+élec!C149+élec!G149+élec!K149</f>
        <v>0</v>
      </c>
      <c r="D148" s="400">
        <f>+élec!D149+élec!H149+élec!L149</f>
        <v>0</v>
      </c>
      <c r="E148" s="401">
        <f>+élec!E149+élec!I149+élec!M149</f>
        <v>0</v>
      </c>
      <c r="F148" s="398">
        <f>+élec!N149+élec!R149+élec!V149</f>
        <v>0</v>
      </c>
      <c r="G148" s="399">
        <f>+élec!O149+élec!S149+élec!W149</f>
        <v>0</v>
      </c>
      <c r="H148" s="400">
        <f>+élec!P149+élec!T149+élec!X149</f>
        <v>0</v>
      </c>
      <c r="I148" s="401">
        <f>+élec!Q149+élec!U149+élec!Y149</f>
        <v>0</v>
      </c>
      <c r="J148" s="398">
        <f>+élec!Z149+élec!AD149+élec!AH149</f>
        <v>0</v>
      </c>
      <c r="K148" s="399">
        <f>+élec!AA149+élec!AE149+élec!AI149</f>
        <v>0</v>
      </c>
      <c r="L148" s="400">
        <f>+élec!AB149+élec!AF149+élec!AJ149</f>
        <v>0</v>
      </c>
      <c r="M148" s="401">
        <f>+élec!AC149+élec!AG149+élec!AK149</f>
        <v>0</v>
      </c>
      <c r="N148" s="398">
        <f>+élec!AL149+élec!AP149+élec!AT149</f>
        <v>0</v>
      </c>
      <c r="O148" s="399">
        <f>+élec!AM149+élec!AQ149+élec!AU149</f>
        <v>0</v>
      </c>
      <c r="P148" s="400">
        <f>+élec!AN149+élec!AR149+élec!AV149</f>
        <v>0</v>
      </c>
      <c r="Q148" s="401">
        <f>+élec!AO149+élec!AS149+élec!AW149</f>
        <v>0</v>
      </c>
      <c r="R148" s="812">
        <f t="shared" si="66"/>
        <v>0</v>
      </c>
      <c r="S148" s="813">
        <f t="shared" si="63"/>
        <v>0</v>
      </c>
      <c r="T148" s="813">
        <f t="shared" si="64"/>
        <v>0</v>
      </c>
      <c r="U148" s="814">
        <f t="shared" si="65"/>
        <v>0</v>
      </c>
    </row>
    <row r="149" spans="1:21">
      <c r="A149" s="397" t="s">
        <v>3</v>
      </c>
      <c r="B149" s="398">
        <f>+élec!B150+élec!F150+élec!J150</f>
        <v>74</v>
      </c>
      <c r="C149" s="399">
        <f>+élec!C150+élec!G150+élec!K150</f>
        <v>0</v>
      </c>
      <c r="D149" s="400">
        <f>+élec!D150+élec!H150+élec!L150</f>
        <v>74</v>
      </c>
      <c r="E149" s="401">
        <f>+élec!E150+élec!I150+élec!M150</f>
        <v>0</v>
      </c>
      <c r="F149" s="398">
        <f>+élec!N150+élec!R150+élec!V150</f>
        <v>42</v>
      </c>
      <c r="G149" s="399">
        <f>+élec!O150+élec!S150+élec!W150</f>
        <v>0</v>
      </c>
      <c r="H149" s="400">
        <f>+élec!P150+élec!T150+élec!X150</f>
        <v>42</v>
      </c>
      <c r="I149" s="401">
        <f>+élec!Q150+élec!U150+élec!Y150</f>
        <v>0</v>
      </c>
      <c r="J149" s="398">
        <f>+élec!Z150+élec!AD150+élec!AH150</f>
        <v>45</v>
      </c>
      <c r="K149" s="399">
        <f>+élec!AA150+élec!AE150+élec!AI150</f>
        <v>0</v>
      </c>
      <c r="L149" s="400">
        <f>+élec!AB150+élec!AF150+élec!AJ150</f>
        <v>45</v>
      </c>
      <c r="M149" s="401">
        <f>+élec!AC150+élec!AG150+élec!AK150</f>
        <v>0</v>
      </c>
      <c r="N149" s="398">
        <f>+élec!AL150+élec!AP150+élec!AT150</f>
        <v>0</v>
      </c>
      <c r="O149" s="399">
        <f>+élec!AM150+élec!AQ150+élec!AU150</f>
        <v>0</v>
      </c>
      <c r="P149" s="400">
        <f>+élec!AN150+élec!AR150+élec!AV150</f>
        <v>0</v>
      </c>
      <c r="Q149" s="401">
        <f>+élec!AO150+élec!AS150+élec!AW150</f>
        <v>0</v>
      </c>
      <c r="R149" s="812">
        <f t="shared" si="66"/>
        <v>161</v>
      </c>
      <c r="S149" s="813">
        <f t="shared" si="63"/>
        <v>0</v>
      </c>
      <c r="T149" s="813">
        <f t="shared" si="64"/>
        <v>161</v>
      </c>
      <c r="U149" s="814">
        <f t="shared" si="65"/>
        <v>0</v>
      </c>
    </row>
    <row r="150" spans="1:21">
      <c r="A150" s="397" t="s">
        <v>397</v>
      </c>
      <c r="B150" s="398">
        <f>+élec!B151+élec!F151+élec!J151</f>
        <v>0</v>
      </c>
      <c r="C150" s="399">
        <f>+élec!C151+élec!G151+élec!K151</f>
        <v>0</v>
      </c>
      <c r="D150" s="400">
        <f>+élec!D151+élec!H151+élec!L151</f>
        <v>0</v>
      </c>
      <c r="E150" s="401">
        <f>+élec!E151+élec!I151+élec!M151</f>
        <v>0</v>
      </c>
      <c r="F150" s="398">
        <f>+élec!N151+élec!R151+élec!V151</f>
        <v>0</v>
      </c>
      <c r="G150" s="399">
        <f>+élec!O151+élec!S151+élec!W151</f>
        <v>0</v>
      </c>
      <c r="H150" s="400">
        <f>+élec!P151+élec!T151+élec!X151</f>
        <v>0</v>
      </c>
      <c r="I150" s="401">
        <f>+élec!Q151+élec!U151+élec!Y151</f>
        <v>0</v>
      </c>
      <c r="J150" s="398">
        <f>+élec!Z151+élec!AD151+élec!AH151</f>
        <v>0</v>
      </c>
      <c r="K150" s="399">
        <f>+élec!AA151+élec!AE151+élec!AI151</f>
        <v>0</v>
      </c>
      <c r="L150" s="400">
        <f>+élec!AB151+élec!AF151+élec!AJ151</f>
        <v>0</v>
      </c>
      <c r="M150" s="401">
        <f>+élec!AC151+élec!AG151+élec!AK151</f>
        <v>0</v>
      </c>
      <c r="N150" s="398">
        <f>+élec!AL151+élec!AP151+élec!AT151</f>
        <v>0</v>
      </c>
      <c r="O150" s="399">
        <f>+élec!AM151+élec!AQ151+élec!AU151</f>
        <v>0</v>
      </c>
      <c r="P150" s="400">
        <f>+élec!AN151+élec!AR151+élec!AV151</f>
        <v>0</v>
      </c>
      <c r="Q150" s="401">
        <f>+élec!AO151+élec!AS151+élec!AW151</f>
        <v>0</v>
      </c>
      <c r="R150" s="812">
        <f t="shared" si="66"/>
        <v>0</v>
      </c>
      <c r="S150" s="813">
        <f t="shared" si="63"/>
        <v>0</v>
      </c>
      <c r="T150" s="813">
        <f t="shared" si="64"/>
        <v>0</v>
      </c>
      <c r="U150" s="814">
        <f t="shared" si="65"/>
        <v>0</v>
      </c>
    </row>
    <row r="151" spans="1:21">
      <c r="A151" s="397" t="s">
        <v>399</v>
      </c>
      <c r="B151" s="398">
        <f>+élec!B152+élec!F152+élec!J152</f>
        <v>0</v>
      </c>
      <c r="C151" s="399">
        <f>+élec!C152+élec!G152+élec!K152</f>
        <v>0</v>
      </c>
      <c r="D151" s="400">
        <f>+élec!D152+élec!H152+élec!L152</f>
        <v>0</v>
      </c>
      <c r="E151" s="401">
        <f>+élec!E152+élec!I152+élec!M152</f>
        <v>0</v>
      </c>
      <c r="F151" s="398">
        <f>+élec!N152+élec!R152+élec!V152</f>
        <v>0</v>
      </c>
      <c r="G151" s="399">
        <f>+élec!O152+élec!S152+élec!W152</f>
        <v>0</v>
      </c>
      <c r="H151" s="400">
        <f>+élec!P152+élec!T152+élec!X152</f>
        <v>0</v>
      </c>
      <c r="I151" s="401">
        <f>+élec!Q152+élec!U152+élec!Y152</f>
        <v>0</v>
      </c>
      <c r="J151" s="398">
        <f>+élec!Z152+élec!AD152+élec!AH152</f>
        <v>0</v>
      </c>
      <c r="K151" s="399">
        <f>+élec!AA152+élec!AE152+élec!AI152</f>
        <v>0</v>
      </c>
      <c r="L151" s="400">
        <f>+élec!AB152+élec!AF152+élec!AJ152</f>
        <v>0</v>
      </c>
      <c r="M151" s="401">
        <f>+élec!AC152+élec!AG152+élec!AK152</f>
        <v>0</v>
      </c>
      <c r="N151" s="398">
        <f>+élec!AL152+élec!AP152+élec!AT152</f>
        <v>0</v>
      </c>
      <c r="O151" s="399">
        <f>+élec!AM152+élec!AQ152+élec!AU152</f>
        <v>0</v>
      </c>
      <c r="P151" s="400">
        <f>+élec!AN152+élec!AR152+élec!AV152</f>
        <v>0</v>
      </c>
      <c r="Q151" s="401">
        <f>+élec!AO152+élec!AS152+élec!AW152</f>
        <v>0</v>
      </c>
      <c r="R151" s="812">
        <f t="shared" si="66"/>
        <v>0</v>
      </c>
      <c r="S151" s="813">
        <f t="shared" si="63"/>
        <v>0</v>
      </c>
      <c r="T151" s="813">
        <f t="shared" si="64"/>
        <v>0</v>
      </c>
      <c r="U151" s="814">
        <f t="shared" si="65"/>
        <v>0</v>
      </c>
    </row>
    <row r="152" spans="1:21">
      <c r="A152" s="397" t="s">
        <v>883</v>
      </c>
      <c r="B152" s="398">
        <f>+élec!B153+élec!F153+élec!J153</f>
        <v>66</v>
      </c>
      <c r="C152" s="399">
        <f>+élec!C153+élec!G153+élec!K153</f>
        <v>0</v>
      </c>
      <c r="D152" s="400">
        <f>+élec!D153+élec!H153+élec!L153</f>
        <v>66</v>
      </c>
      <c r="E152" s="401">
        <f>+élec!E153+élec!I153+élec!M153</f>
        <v>0</v>
      </c>
      <c r="F152" s="398">
        <f>+élec!N153+élec!R153+élec!V153</f>
        <v>67</v>
      </c>
      <c r="G152" s="399">
        <f>+élec!O153+élec!S153+élec!W153</f>
        <v>0</v>
      </c>
      <c r="H152" s="400">
        <f>+élec!P153+élec!T153+élec!X153</f>
        <v>67</v>
      </c>
      <c r="I152" s="401">
        <f>+élec!Q153+élec!U153+élec!Y153</f>
        <v>0</v>
      </c>
      <c r="J152" s="398">
        <f>+élec!Z153+élec!AD153+élec!AH153</f>
        <v>25</v>
      </c>
      <c r="K152" s="399">
        <f>+élec!AA153+élec!AE153+élec!AI153</f>
        <v>0</v>
      </c>
      <c r="L152" s="400">
        <f>+élec!AB153+élec!AF153+élec!AJ153</f>
        <v>25</v>
      </c>
      <c r="M152" s="401">
        <f>+élec!AC153+élec!AG153+élec!AK153</f>
        <v>0</v>
      </c>
      <c r="N152" s="398">
        <f>+élec!AL153+élec!AP153+élec!AT153</f>
        <v>0</v>
      </c>
      <c r="O152" s="399">
        <f>+élec!AM153+élec!AQ153+élec!AU153</f>
        <v>0</v>
      </c>
      <c r="P152" s="400">
        <f>+élec!AN153+élec!AR153+élec!AV153</f>
        <v>0</v>
      </c>
      <c r="Q152" s="401">
        <f>+élec!AO153+élec!AS153+élec!AW153</f>
        <v>0</v>
      </c>
      <c r="R152" s="812">
        <f t="shared" si="66"/>
        <v>158</v>
      </c>
      <c r="S152" s="813">
        <f t="shared" si="63"/>
        <v>0</v>
      </c>
      <c r="T152" s="813">
        <f t="shared" si="64"/>
        <v>158</v>
      </c>
      <c r="U152" s="814">
        <f t="shared" si="65"/>
        <v>0</v>
      </c>
    </row>
    <row r="153" spans="1:21">
      <c r="A153" s="397" t="s">
        <v>884</v>
      </c>
      <c r="B153" s="398">
        <f>+élec!B154+élec!F154+élec!J154</f>
        <v>263</v>
      </c>
      <c r="C153" s="399">
        <f>+élec!C154+élec!G154+élec!K154</f>
        <v>1</v>
      </c>
      <c r="D153" s="400">
        <f>+élec!D154+élec!H154+élec!L154</f>
        <v>264</v>
      </c>
      <c r="E153" s="401">
        <f>+élec!E154+élec!I154+élec!M154</f>
        <v>0</v>
      </c>
      <c r="F153" s="398">
        <f>+élec!N154+élec!R154+élec!V154</f>
        <v>266</v>
      </c>
      <c r="G153" s="399">
        <f>+élec!O154+élec!S154+élec!W154</f>
        <v>0</v>
      </c>
      <c r="H153" s="400">
        <f>+élec!P154+élec!T154+élec!X154</f>
        <v>266</v>
      </c>
      <c r="I153" s="401">
        <f>+élec!Q154+élec!U154+élec!Y154</f>
        <v>0</v>
      </c>
      <c r="J153" s="398">
        <f>+élec!Z154+élec!AD154+élec!AH154</f>
        <v>195</v>
      </c>
      <c r="K153" s="399">
        <f>+élec!AA154+élec!AE154+élec!AI154</f>
        <v>1</v>
      </c>
      <c r="L153" s="400">
        <f>+élec!AB154+élec!AF154+élec!AJ154</f>
        <v>196</v>
      </c>
      <c r="M153" s="401">
        <f>+élec!AC154+élec!AG154+élec!AK154</f>
        <v>0</v>
      </c>
      <c r="N153" s="398">
        <f>+élec!AL154+élec!AP154+élec!AT154</f>
        <v>0</v>
      </c>
      <c r="O153" s="399">
        <f>+élec!AM154+élec!AQ154+élec!AU154</f>
        <v>0</v>
      </c>
      <c r="P153" s="400">
        <f>+élec!AN154+élec!AR154+élec!AV154</f>
        <v>0</v>
      </c>
      <c r="Q153" s="401">
        <f>+élec!AO154+élec!AS154+élec!AW154</f>
        <v>0</v>
      </c>
      <c r="R153" s="812">
        <f t="shared" si="66"/>
        <v>724</v>
      </c>
      <c r="S153" s="813">
        <f t="shared" si="63"/>
        <v>2</v>
      </c>
      <c r="T153" s="813">
        <f t="shared" si="64"/>
        <v>726</v>
      </c>
      <c r="U153" s="814">
        <f t="shared" si="65"/>
        <v>0</v>
      </c>
    </row>
    <row r="154" spans="1:21" ht="14.4" thickBot="1">
      <c r="A154" s="397" t="s">
        <v>885</v>
      </c>
      <c r="B154" s="398">
        <f>+élec!B155+élec!F155+élec!J155</f>
        <v>72</v>
      </c>
      <c r="C154" s="399">
        <f>+élec!C155+élec!G155+élec!K155</f>
        <v>0</v>
      </c>
      <c r="D154" s="400">
        <f>+élec!D155+élec!H155+élec!L155</f>
        <v>72</v>
      </c>
      <c r="E154" s="401">
        <f>+élec!E155+élec!I155+élec!M155</f>
        <v>0</v>
      </c>
      <c r="F154" s="398">
        <f>+élec!N155+élec!R155+élec!V155</f>
        <v>109</v>
      </c>
      <c r="G154" s="399">
        <f>+élec!O155+élec!S155+élec!W155</f>
        <v>0</v>
      </c>
      <c r="H154" s="400">
        <f>+élec!P155+élec!T155+élec!X155</f>
        <v>109</v>
      </c>
      <c r="I154" s="401">
        <f>+élec!Q155+élec!U155+élec!Y155</f>
        <v>0</v>
      </c>
      <c r="J154" s="398">
        <f>+élec!Z155+élec!AD155+élec!AH155</f>
        <v>46</v>
      </c>
      <c r="K154" s="399">
        <f>+élec!AA155+élec!AE155+élec!AI155</f>
        <v>0</v>
      </c>
      <c r="L154" s="400">
        <f>+élec!AB155+élec!AF155+élec!AJ155</f>
        <v>46</v>
      </c>
      <c r="M154" s="401">
        <f>+élec!AC155+élec!AG155+élec!AK155</f>
        <v>0</v>
      </c>
      <c r="N154" s="398">
        <f>+élec!AL155+élec!AP155+élec!AT155</f>
        <v>0</v>
      </c>
      <c r="O154" s="399">
        <f>+élec!AM155+élec!AQ155+élec!AU155</f>
        <v>0</v>
      </c>
      <c r="P154" s="400">
        <f>+élec!AN155+élec!AR155+élec!AV155</f>
        <v>0</v>
      </c>
      <c r="Q154" s="401">
        <f>+élec!AO155+élec!AS155+élec!AW155</f>
        <v>0</v>
      </c>
      <c r="R154" s="812">
        <f t="shared" si="66"/>
        <v>227</v>
      </c>
      <c r="S154" s="813">
        <f t="shared" si="63"/>
        <v>0</v>
      </c>
      <c r="T154" s="813">
        <f t="shared" si="64"/>
        <v>227</v>
      </c>
      <c r="U154" s="814">
        <f t="shared" si="65"/>
        <v>0</v>
      </c>
    </row>
    <row r="155" spans="1:21" ht="14.4" thickBot="1">
      <c r="A155" s="433" t="s">
        <v>16</v>
      </c>
      <c r="B155" s="417">
        <f t="shared" ref="B155:U155" si="67">SUM(B145:B154)</f>
        <v>676</v>
      </c>
      <c r="C155" s="419">
        <f t="shared" si="67"/>
        <v>2</v>
      </c>
      <c r="D155" s="419">
        <f t="shared" si="67"/>
        <v>678</v>
      </c>
      <c r="E155" s="420">
        <f t="shared" si="67"/>
        <v>0</v>
      </c>
      <c r="F155" s="417">
        <f t="shared" si="67"/>
        <v>630</v>
      </c>
      <c r="G155" s="419">
        <f t="shared" si="67"/>
        <v>2</v>
      </c>
      <c r="H155" s="419">
        <f t="shared" si="67"/>
        <v>632</v>
      </c>
      <c r="I155" s="420">
        <f t="shared" si="67"/>
        <v>0</v>
      </c>
      <c r="J155" s="417">
        <f t="shared" si="67"/>
        <v>385</v>
      </c>
      <c r="K155" s="419">
        <f t="shared" si="67"/>
        <v>1</v>
      </c>
      <c r="L155" s="419">
        <f t="shared" si="67"/>
        <v>386</v>
      </c>
      <c r="M155" s="420">
        <f t="shared" si="67"/>
        <v>0</v>
      </c>
      <c r="N155" s="417">
        <f t="shared" si="67"/>
        <v>0</v>
      </c>
      <c r="O155" s="419">
        <f t="shared" si="67"/>
        <v>0</v>
      </c>
      <c r="P155" s="419">
        <f t="shared" si="67"/>
        <v>0</v>
      </c>
      <c r="Q155" s="420">
        <f t="shared" si="67"/>
        <v>0</v>
      </c>
      <c r="R155" s="434">
        <f t="shared" si="67"/>
        <v>1691</v>
      </c>
      <c r="S155" s="434">
        <f t="shared" si="67"/>
        <v>5</v>
      </c>
      <c r="T155" s="434">
        <f t="shared" si="67"/>
        <v>1696</v>
      </c>
      <c r="U155" s="434">
        <f t="shared" si="67"/>
        <v>0</v>
      </c>
    </row>
    <row r="157" spans="1:21" ht="18">
      <c r="A157" s="393" t="s">
        <v>867</v>
      </c>
    </row>
    <row r="158" spans="1:21" ht="18.600000000000001" thickBot="1">
      <c r="A158" s="394">
        <f>A127</f>
        <v>2021</v>
      </c>
    </row>
    <row r="159" spans="1:21">
      <c r="A159" s="2815" t="s">
        <v>0</v>
      </c>
      <c r="B159" s="2827" t="s">
        <v>269</v>
      </c>
      <c r="C159" s="2828"/>
      <c r="D159" s="2828"/>
      <c r="E159" s="3091"/>
      <c r="F159" s="2829" t="s">
        <v>270</v>
      </c>
      <c r="G159" s="2830"/>
      <c r="H159" s="2830"/>
      <c r="I159" s="3095"/>
      <c r="J159" s="2817" t="s">
        <v>271</v>
      </c>
      <c r="K159" s="2818"/>
      <c r="L159" s="2818"/>
      <c r="M159" s="3094"/>
      <c r="N159" s="2819" t="s">
        <v>272</v>
      </c>
      <c r="O159" s="2820"/>
      <c r="P159" s="2820"/>
      <c r="Q159" s="3090"/>
      <c r="R159" s="3413" t="s">
        <v>83</v>
      </c>
      <c r="S159" s="3413"/>
      <c r="T159" s="3413"/>
      <c r="U159" s="3414"/>
    </row>
    <row r="160" spans="1:21" ht="14.4" thickBot="1">
      <c r="A160" s="2816"/>
      <c r="B160" s="402" t="s">
        <v>17</v>
      </c>
      <c r="C160" s="403" t="s">
        <v>18</v>
      </c>
      <c r="D160" s="403" t="s">
        <v>52</v>
      </c>
      <c r="E160" s="404" t="s">
        <v>19</v>
      </c>
      <c r="F160" s="402" t="s">
        <v>17</v>
      </c>
      <c r="G160" s="403" t="s">
        <v>18</v>
      </c>
      <c r="H160" s="403" t="s">
        <v>52</v>
      </c>
      <c r="I160" s="404" t="s">
        <v>19</v>
      </c>
      <c r="J160" s="402" t="s">
        <v>17</v>
      </c>
      <c r="K160" s="403" t="s">
        <v>18</v>
      </c>
      <c r="L160" s="403" t="s">
        <v>52</v>
      </c>
      <c r="M160" s="404" t="s">
        <v>19</v>
      </c>
      <c r="N160" s="402" t="s">
        <v>17</v>
      </c>
      <c r="O160" s="403" t="s">
        <v>18</v>
      </c>
      <c r="P160" s="403" t="s">
        <v>52</v>
      </c>
      <c r="Q160" s="404" t="s">
        <v>19</v>
      </c>
      <c r="R160" s="403" t="s">
        <v>17</v>
      </c>
      <c r="S160" s="403" t="s">
        <v>18</v>
      </c>
      <c r="T160" s="403" t="s">
        <v>52</v>
      </c>
      <c r="U160" s="431" t="s">
        <v>19</v>
      </c>
    </row>
    <row r="161" spans="1:21">
      <c r="A161" s="397" t="s">
        <v>68</v>
      </c>
      <c r="B161" s="398">
        <f t="shared" ref="B161:Q161" si="68">+B99-B130</f>
        <v>5296</v>
      </c>
      <c r="C161" s="399">
        <f t="shared" si="68"/>
        <v>62</v>
      </c>
      <c r="D161" s="400">
        <f t="shared" si="68"/>
        <v>5358</v>
      </c>
      <c r="E161" s="401">
        <f t="shared" si="68"/>
        <v>14</v>
      </c>
      <c r="F161" s="398">
        <f t="shared" si="68"/>
        <v>6640</v>
      </c>
      <c r="G161" s="399">
        <f t="shared" si="68"/>
        <v>67</v>
      </c>
      <c r="H161" s="400">
        <f t="shared" si="68"/>
        <v>6707</v>
      </c>
      <c r="I161" s="401">
        <f t="shared" si="68"/>
        <v>21</v>
      </c>
      <c r="J161" s="398">
        <f t="shared" si="68"/>
        <v>3090</v>
      </c>
      <c r="K161" s="399">
        <f t="shared" si="68"/>
        <v>31</v>
      </c>
      <c r="L161" s="400">
        <f t="shared" si="68"/>
        <v>3121</v>
      </c>
      <c r="M161" s="401">
        <f t="shared" si="68"/>
        <v>16</v>
      </c>
      <c r="N161" s="398">
        <f t="shared" si="68"/>
        <v>0</v>
      </c>
      <c r="O161" s="399">
        <f t="shared" si="68"/>
        <v>0</v>
      </c>
      <c r="P161" s="400">
        <f t="shared" si="68"/>
        <v>0</v>
      </c>
      <c r="Q161" s="401">
        <f t="shared" si="68"/>
        <v>0</v>
      </c>
      <c r="R161" s="432">
        <f t="shared" ref="R161:R170" si="69">B161+F161+J161+N161</f>
        <v>15026</v>
      </c>
      <c r="S161" s="810">
        <f t="shared" ref="S161:S170" si="70">C161+G161+K161+O161</f>
        <v>160</v>
      </c>
      <c r="T161" s="810">
        <f t="shared" ref="T161:T170" si="71">D161+H161+L161+P161</f>
        <v>15186</v>
      </c>
      <c r="U161" s="811">
        <f t="shared" ref="U161:U170" si="72">E161+I161+M161+Q161</f>
        <v>51</v>
      </c>
    </row>
    <row r="162" spans="1:21">
      <c r="A162" s="397" t="s">
        <v>7</v>
      </c>
      <c r="B162" s="398">
        <f t="shared" ref="B162:Q162" si="73">+B100-B131</f>
        <v>3524</v>
      </c>
      <c r="C162" s="399">
        <f t="shared" si="73"/>
        <v>78</v>
      </c>
      <c r="D162" s="400">
        <f t="shared" si="73"/>
        <v>3602</v>
      </c>
      <c r="E162" s="401">
        <f t="shared" si="73"/>
        <v>18</v>
      </c>
      <c r="F162" s="398">
        <f t="shared" si="73"/>
        <v>3080</v>
      </c>
      <c r="G162" s="399">
        <f t="shared" si="73"/>
        <v>153</v>
      </c>
      <c r="H162" s="400">
        <f t="shared" si="73"/>
        <v>3233</v>
      </c>
      <c r="I162" s="401">
        <f t="shared" si="73"/>
        <v>3</v>
      </c>
      <c r="J162" s="398">
        <f t="shared" si="73"/>
        <v>2267</v>
      </c>
      <c r="K162" s="399">
        <f t="shared" si="73"/>
        <v>47</v>
      </c>
      <c r="L162" s="400">
        <f t="shared" si="73"/>
        <v>2314</v>
      </c>
      <c r="M162" s="401">
        <f t="shared" si="73"/>
        <v>12</v>
      </c>
      <c r="N162" s="398">
        <f t="shared" si="73"/>
        <v>0</v>
      </c>
      <c r="O162" s="399">
        <f t="shared" si="73"/>
        <v>0</v>
      </c>
      <c r="P162" s="400">
        <f t="shared" si="73"/>
        <v>0</v>
      </c>
      <c r="Q162" s="401">
        <f t="shared" si="73"/>
        <v>0</v>
      </c>
      <c r="R162" s="812">
        <f t="shared" si="69"/>
        <v>8871</v>
      </c>
      <c r="S162" s="813">
        <f t="shared" si="70"/>
        <v>278</v>
      </c>
      <c r="T162" s="813">
        <f t="shared" si="71"/>
        <v>9149</v>
      </c>
      <c r="U162" s="814">
        <f t="shared" si="72"/>
        <v>33</v>
      </c>
    </row>
    <row r="163" spans="1:21">
      <c r="A163" s="397" t="s">
        <v>8</v>
      </c>
      <c r="B163" s="398">
        <f t="shared" ref="B163:Q163" si="74">+B101-B132</f>
        <v>3420</v>
      </c>
      <c r="C163" s="399">
        <f t="shared" si="74"/>
        <v>110</v>
      </c>
      <c r="D163" s="400">
        <f t="shared" si="74"/>
        <v>3530</v>
      </c>
      <c r="E163" s="401">
        <f t="shared" si="74"/>
        <v>11</v>
      </c>
      <c r="F163" s="398">
        <f t="shared" si="74"/>
        <v>2464</v>
      </c>
      <c r="G163" s="399">
        <f t="shared" si="74"/>
        <v>86</v>
      </c>
      <c r="H163" s="400">
        <f t="shared" si="74"/>
        <v>2550</v>
      </c>
      <c r="I163" s="401">
        <f t="shared" si="74"/>
        <v>7</v>
      </c>
      <c r="J163" s="398">
        <f t="shared" si="74"/>
        <v>2104</v>
      </c>
      <c r="K163" s="399">
        <f t="shared" si="74"/>
        <v>58</v>
      </c>
      <c r="L163" s="400">
        <f t="shared" si="74"/>
        <v>2162</v>
      </c>
      <c r="M163" s="401">
        <f t="shared" si="74"/>
        <v>12</v>
      </c>
      <c r="N163" s="398">
        <f t="shared" si="74"/>
        <v>0</v>
      </c>
      <c r="O163" s="399">
        <f t="shared" si="74"/>
        <v>0</v>
      </c>
      <c r="P163" s="400">
        <f t="shared" si="74"/>
        <v>0</v>
      </c>
      <c r="Q163" s="401">
        <f t="shared" si="74"/>
        <v>0</v>
      </c>
      <c r="R163" s="812">
        <f t="shared" si="69"/>
        <v>7988</v>
      </c>
      <c r="S163" s="813">
        <f t="shared" si="70"/>
        <v>254</v>
      </c>
      <c r="T163" s="813">
        <f t="shared" si="71"/>
        <v>8242</v>
      </c>
      <c r="U163" s="814">
        <f t="shared" si="72"/>
        <v>30</v>
      </c>
    </row>
    <row r="164" spans="1:21">
      <c r="A164" s="397" t="s">
        <v>4</v>
      </c>
      <c r="B164" s="398">
        <f t="shared" ref="B164:Q164" si="75">+B102-B133</f>
        <v>4663</v>
      </c>
      <c r="C164" s="399">
        <f t="shared" si="75"/>
        <v>77</v>
      </c>
      <c r="D164" s="400">
        <f t="shared" si="75"/>
        <v>4740</v>
      </c>
      <c r="E164" s="401">
        <f t="shared" si="75"/>
        <v>12</v>
      </c>
      <c r="F164" s="398">
        <f t="shared" si="75"/>
        <v>4500</v>
      </c>
      <c r="G164" s="399">
        <f t="shared" si="75"/>
        <v>49</v>
      </c>
      <c r="H164" s="400">
        <f t="shared" si="75"/>
        <v>4549</v>
      </c>
      <c r="I164" s="401">
        <f t="shared" si="75"/>
        <v>21</v>
      </c>
      <c r="J164" s="398">
        <f t="shared" si="75"/>
        <v>4322</v>
      </c>
      <c r="K164" s="399">
        <f t="shared" si="75"/>
        <v>73</v>
      </c>
      <c r="L164" s="400">
        <f t="shared" si="75"/>
        <v>4395</v>
      </c>
      <c r="M164" s="401">
        <f t="shared" si="75"/>
        <v>10</v>
      </c>
      <c r="N164" s="398">
        <f t="shared" si="75"/>
        <v>0</v>
      </c>
      <c r="O164" s="399">
        <f t="shared" si="75"/>
        <v>0</v>
      </c>
      <c r="P164" s="400">
        <f t="shared" si="75"/>
        <v>0</v>
      </c>
      <c r="Q164" s="401">
        <f t="shared" si="75"/>
        <v>0</v>
      </c>
      <c r="R164" s="812">
        <f t="shared" si="69"/>
        <v>13485</v>
      </c>
      <c r="S164" s="813">
        <f t="shared" si="70"/>
        <v>199</v>
      </c>
      <c r="T164" s="813">
        <f t="shared" si="71"/>
        <v>13684</v>
      </c>
      <c r="U164" s="814">
        <f t="shared" si="72"/>
        <v>43</v>
      </c>
    </row>
    <row r="165" spans="1:21">
      <c r="A165" s="397" t="s">
        <v>3</v>
      </c>
      <c r="B165" s="398">
        <f t="shared" ref="B165:Q165" si="76">+B103-B134</f>
        <v>2234</v>
      </c>
      <c r="C165" s="399">
        <f t="shared" si="76"/>
        <v>34</v>
      </c>
      <c r="D165" s="400">
        <f t="shared" si="76"/>
        <v>2268</v>
      </c>
      <c r="E165" s="401">
        <f t="shared" si="76"/>
        <v>55</v>
      </c>
      <c r="F165" s="398">
        <f t="shared" si="76"/>
        <v>1692</v>
      </c>
      <c r="G165" s="399">
        <f t="shared" si="76"/>
        <v>36</v>
      </c>
      <c r="H165" s="400">
        <f t="shared" si="76"/>
        <v>1728</v>
      </c>
      <c r="I165" s="401">
        <f t="shared" si="76"/>
        <v>57</v>
      </c>
      <c r="J165" s="398">
        <f t="shared" si="76"/>
        <v>1388</v>
      </c>
      <c r="K165" s="399">
        <f t="shared" si="76"/>
        <v>26</v>
      </c>
      <c r="L165" s="400">
        <f t="shared" si="76"/>
        <v>1414</v>
      </c>
      <c r="M165" s="401">
        <f t="shared" si="76"/>
        <v>39</v>
      </c>
      <c r="N165" s="398">
        <f t="shared" si="76"/>
        <v>0</v>
      </c>
      <c r="O165" s="399">
        <f t="shared" si="76"/>
        <v>0</v>
      </c>
      <c r="P165" s="400">
        <f t="shared" si="76"/>
        <v>0</v>
      </c>
      <c r="Q165" s="401">
        <f t="shared" si="76"/>
        <v>0</v>
      </c>
      <c r="R165" s="812">
        <f t="shared" si="69"/>
        <v>5314</v>
      </c>
      <c r="S165" s="813">
        <f t="shared" si="70"/>
        <v>96</v>
      </c>
      <c r="T165" s="813">
        <f t="shared" si="71"/>
        <v>5410</v>
      </c>
      <c r="U165" s="814">
        <f t="shared" si="72"/>
        <v>151</v>
      </c>
    </row>
    <row r="166" spans="1:21">
      <c r="A166" s="397" t="s">
        <v>397</v>
      </c>
      <c r="B166" s="398">
        <f t="shared" ref="B166:Q166" si="77">+B104-B135</f>
        <v>3334</v>
      </c>
      <c r="C166" s="399">
        <f t="shared" si="77"/>
        <v>76</v>
      </c>
      <c r="D166" s="400">
        <f t="shared" si="77"/>
        <v>3410</v>
      </c>
      <c r="E166" s="401">
        <f t="shared" si="77"/>
        <v>8</v>
      </c>
      <c r="F166" s="398">
        <f t="shared" si="77"/>
        <v>3287</v>
      </c>
      <c r="G166" s="399">
        <f t="shared" si="77"/>
        <v>89</v>
      </c>
      <c r="H166" s="400">
        <f t="shared" si="77"/>
        <v>3376</v>
      </c>
      <c r="I166" s="401">
        <f t="shared" si="77"/>
        <v>8</v>
      </c>
      <c r="J166" s="398">
        <f t="shared" si="77"/>
        <v>2027</v>
      </c>
      <c r="K166" s="399">
        <f t="shared" si="77"/>
        <v>65</v>
      </c>
      <c r="L166" s="400">
        <f t="shared" si="77"/>
        <v>2092</v>
      </c>
      <c r="M166" s="401">
        <f t="shared" si="77"/>
        <v>8</v>
      </c>
      <c r="N166" s="398">
        <f t="shared" si="77"/>
        <v>0</v>
      </c>
      <c r="O166" s="399">
        <f t="shared" si="77"/>
        <v>0</v>
      </c>
      <c r="P166" s="400">
        <f t="shared" si="77"/>
        <v>0</v>
      </c>
      <c r="Q166" s="401">
        <f t="shared" si="77"/>
        <v>0</v>
      </c>
      <c r="R166" s="812">
        <f t="shared" si="69"/>
        <v>8648</v>
      </c>
      <c r="S166" s="813">
        <f t="shared" si="70"/>
        <v>230</v>
      </c>
      <c r="T166" s="813">
        <f t="shared" si="71"/>
        <v>8878</v>
      </c>
      <c r="U166" s="814">
        <f t="shared" si="72"/>
        <v>24</v>
      </c>
    </row>
    <row r="167" spans="1:21">
      <c r="A167" s="397" t="s">
        <v>399</v>
      </c>
      <c r="B167" s="398">
        <f t="shared" ref="B167:Q167" si="78">+B105-B136</f>
        <v>3260</v>
      </c>
      <c r="C167" s="399">
        <f t="shared" si="78"/>
        <v>74</v>
      </c>
      <c r="D167" s="400">
        <f t="shared" si="78"/>
        <v>3334</v>
      </c>
      <c r="E167" s="401">
        <f t="shared" si="78"/>
        <v>11</v>
      </c>
      <c r="F167" s="398">
        <f t="shared" si="78"/>
        <v>3811</v>
      </c>
      <c r="G167" s="399">
        <f t="shared" si="78"/>
        <v>68</v>
      </c>
      <c r="H167" s="400">
        <f t="shared" si="78"/>
        <v>3879</v>
      </c>
      <c r="I167" s="401">
        <f t="shared" si="78"/>
        <v>9</v>
      </c>
      <c r="J167" s="398">
        <f t="shared" si="78"/>
        <v>4024</v>
      </c>
      <c r="K167" s="399">
        <f t="shared" si="78"/>
        <v>30</v>
      </c>
      <c r="L167" s="400">
        <f t="shared" si="78"/>
        <v>4054</v>
      </c>
      <c r="M167" s="401">
        <f t="shared" si="78"/>
        <v>6</v>
      </c>
      <c r="N167" s="398">
        <f t="shared" si="78"/>
        <v>0</v>
      </c>
      <c r="O167" s="399">
        <f t="shared" si="78"/>
        <v>0</v>
      </c>
      <c r="P167" s="400">
        <f t="shared" si="78"/>
        <v>0</v>
      </c>
      <c r="Q167" s="401">
        <f t="shared" si="78"/>
        <v>0</v>
      </c>
      <c r="R167" s="812">
        <f t="shared" si="69"/>
        <v>11095</v>
      </c>
      <c r="S167" s="813">
        <f t="shared" si="70"/>
        <v>172</v>
      </c>
      <c r="T167" s="813">
        <f t="shared" si="71"/>
        <v>11267</v>
      </c>
      <c r="U167" s="814">
        <f t="shared" si="72"/>
        <v>26</v>
      </c>
    </row>
    <row r="168" spans="1:21">
      <c r="A168" s="397" t="s">
        <v>883</v>
      </c>
      <c r="B168" s="398">
        <f t="shared" ref="B168:Q168" si="79">+B106-B137</f>
        <v>2122</v>
      </c>
      <c r="C168" s="399">
        <f t="shared" si="79"/>
        <v>52</v>
      </c>
      <c r="D168" s="400">
        <f t="shared" si="79"/>
        <v>2174</v>
      </c>
      <c r="E168" s="401">
        <f t="shared" si="79"/>
        <v>18</v>
      </c>
      <c r="F168" s="398">
        <f t="shared" si="79"/>
        <v>3045</v>
      </c>
      <c r="G168" s="399">
        <f t="shared" si="79"/>
        <v>53</v>
      </c>
      <c r="H168" s="400">
        <f t="shared" si="79"/>
        <v>3098</v>
      </c>
      <c r="I168" s="401">
        <f t="shared" si="79"/>
        <v>25</v>
      </c>
      <c r="J168" s="398">
        <f t="shared" si="79"/>
        <v>1840</v>
      </c>
      <c r="K168" s="399">
        <f t="shared" si="79"/>
        <v>49</v>
      </c>
      <c r="L168" s="400">
        <f t="shared" si="79"/>
        <v>1889</v>
      </c>
      <c r="M168" s="401">
        <f t="shared" si="79"/>
        <v>13</v>
      </c>
      <c r="N168" s="398">
        <f t="shared" si="79"/>
        <v>0</v>
      </c>
      <c r="O168" s="399">
        <f t="shared" si="79"/>
        <v>0</v>
      </c>
      <c r="P168" s="400">
        <f t="shared" si="79"/>
        <v>0</v>
      </c>
      <c r="Q168" s="401">
        <f t="shared" si="79"/>
        <v>0</v>
      </c>
      <c r="R168" s="812">
        <f t="shared" si="69"/>
        <v>7007</v>
      </c>
      <c r="S168" s="813">
        <f t="shared" si="70"/>
        <v>154</v>
      </c>
      <c r="T168" s="813">
        <f t="shared" si="71"/>
        <v>7161</v>
      </c>
      <c r="U168" s="814">
        <f t="shared" si="72"/>
        <v>56</v>
      </c>
    </row>
    <row r="169" spans="1:21">
      <c r="A169" s="397" t="s">
        <v>884</v>
      </c>
      <c r="B169" s="398">
        <f t="shared" ref="B169:Q169" si="80">+B107-B138</f>
        <v>3916</v>
      </c>
      <c r="C169" s="399">
        <f t="shared" si="80"/>
        <v>54</v>
      </c>
      <c r="D169" s="400">
        <f t="shared" si="80"/>
        <v>3970</v>
      </c>
      <c r="E169" s="401">
        <f t="shared" si="80"/>
        <v>20</v>
      </c>
      <c r="F169" s="398">
        <f t="shared" si="80"/>
        <v>5043</v>
      </c>
      <c r="G169" s="399">
        <f t="shared" si="80"/>
        <v>220</v>
      </c>
      <c r="H169" s="400">
        <f t="shared" si="80"/>
        <v>5263</v>
      </c>
      <c r="I169" s="401">
        <f t="shared" si="80"/>
        <v>17</v>
      </c>
      <c r="J169" s="398">
        <f t="shared" si="80"/>
        <v>1885</v>
      </c>
      <c r="K169" s="399">
        <f t="shared" si="80"/>
        <v>72</v>
      </c>
      <c r="L169" s="400">
        <f t="shared" si="80"/>
        <v>1957</v>
      </c>
      <c r="M169" s="401">
        <f t="shared" si="80"/>
        <v>13</v>
      </c>
      <c r="N169" s="398">
        <f t="shared" si="80"/>
        <v>0</v>
      </c>
      <c r="O169" s="399">
        <f t="shared" si="80"/>
        <v>0</v>
      </c>
      <c r="P169" s="400">
        <f t="shared" si="80"/>
        <v>0</v>
      </c>
      <c r="Q169" s="401">
        <f t="shared" si="80"/>
        <v>0</v>
      </c>
      <c r="R169" s="812">
        <f t="shared" si="69"/>
        <v>10844</v>
      </c>
      <c r="S169" s="813">
        <f t="shared" si="70"/>
        <v>346</v>
      </c>
      <c r="T169" s="813">
        <f t="shared" si="71"/>
        <v>11190</v>
      </c>
      <c r="U169" s="814">
        <f t="shared" si="72"/>
        <v>50</v>
      </c>
    </row>
    <row r="170" spans="1:21" ht="14.4" thickBot="1">
      <c r="A170" s="397" t="s">
        <v>885</v>
      </c>
      <c r="B170" s="398">
        <f t="shared" ref="B170:Q170" si="81">+B108-B139</f>
        <v>1748</v>
      </c>
      <c r="C170" s="399">
        <f t="shared" si="81"/>
        <v>104</v>
      </c>
      <c r="D170" s="400">
        <f t="shared" si="81"/>
        <v>1852</v>
      </c>
      <c r="E170" s="401">
        <f t="shared" si="81"/>
        <v>3</v>
      </c>
      <c r="F170" s="398">
        <f t="shared" si="81"/>
        <v>2186</v>
      </c>
      <c r="G170" s="399">
        <f t="shared" si="81"/>
        <v>24</v>
      </c>
      <c r="H170" s="400">
        <f t="shared" si="81"/>
        <v>2210</v>
      </c>
      <c r="I170" s="401">
        <f t="shared" si="81"/>
        <v>4</v>
      </c>
      <c r="J170" s="398">
        <f t="shared" si="81"/>
        <v>519</v>
      </c>
      <c r="K170" s="399">
        <f t="shared" si="81"/>
        <v>21</v>
      </c>
      <c r="L170" s="400">
        <f t="shared" si="81"/>
        <v>540</v>
      </c>
      <c r="M170" s="401">
        <f t="shared" si="81"/>
        <v>0</v>
      </c>
      <c r="N170" s="398">
        <f t="shared" si="81"/>
        <v>0</v>
      </c>
      <c r="O170" s="399">
        <f t="shared" si="81"/>
        <v>0</v>
      </c>
      <c r="P170" s="400">
        <f t="shared" si="81"/>
        <v>0</v>
      </c>
      <c r="Q170" s="401">
        <f t="shared" si="81"/>
        <v>0</v>
      </c>
      <c r="R170" s="812">
        <f t="shared" si="69"/>
        <v>4453</v>
      </c>
      <c r="S170" s="813">
        <f t="shared" si="70"/>
        <v>149</v>
      </c>
      <c r="T170" s="813">
        <f t="shared" si="71"/>
        <v>4602</v>
      </c>
      <c r="U170" s="814">
        <f t="shared" si="72"/>
        <v>7</v>
      </c>
    </row>
    <row r="171" spans="1:21" ht="14.4" thickBot="1">
      <c r="A171" s="433" t="s">
        <v>16</v>
      </c>
      <c r="B171" s="417">
        <f t="shared" ref="B171:U171" si="82">SUM(B161:B170)</f>
        <v>33517</v>
      </c>
      <c r="C171" s="419">
        <f t="shared" si="82"/>
        <v>721</v>
      </c>
      <c r="D171" s="419">
        <f t="shared" si="82"/>
        <v>34238</v>
      </c>
      <c r="E171" s="420">
        <f t="shared" si="82"/>
        <v>170</v>
      </c>
      <c r="F171" s="417">
        <f t="shared" si="82"/>
        <v>35748</v>
      </c>
      <c r="G171" s="419">
        <f t="shared" si="82"/>
        <v>845</v>
      </c>
      <c r="H171" s="419">
        <f t="shared" si="82"/>
        <v>36593</v>
      </c>
      <c r="I171" s="420">
        <f t="shared" si="82"/>
        <v>172</v>
      </c>
      <c r="J171" s="417">
        <f t="shared" si="82"/>
        <v>23466</v>
      </c>
      <c r="K171" s="419">
        <f t="shared" si="82"/>
        <v>472</v>
      </c>
      <c r="L171" s="419">
        <f t="shared" si="82"/>
        <v>23938</v>
      </c>
      <c r="M171" s="420">
        <f t="shared" si="82"/>
        <v>129</v>
      </c>
      <c r="N171" s="417">
        <f t="shared" si="82"/>
        <v>0</v>
      </c>
      <c r="O171" s="419">
        <f t="shared" si="82"/>
        <v>0</v>
      </c>
      <c r="P171" s="419">
        <f t="shared" si="82"/>
        <v>0</v>
      </c>
      <c r="Q171" s="420">
        <f t="shared" si="82"/>
        <v>0</v>
      </c>
      <c r="R171" s="434">
        <f t="shared" si="82"/>
        <v>92731</v>
      </c>
      <c r="S171" s="434">
        <f t="shared" si="82"/>
        <v>2038</v>
      </c>
      <c r="T171" s="434">
        <f t="shared" si="82"/>
        <v>94769</v>
      </c>
      <c r="U171" s="434">
        <f t="shared" si="82"/>
        <v>471</v>
      </c>
    </row>
    <row r="173" spans="1:21" ht="18.600000000000001" thickBot="1">
      <c r="A173" s="394">
        <f>A142</f>
        <v>2022</v>
      </c>
    </row>
    <row r="174" spans="1:21">
      <c r="A174" s="2815" t="s">
        <v>0</v>
      </c>
      <c r="B174" s="2827" t="s">
        <v>269</v>
      </c>
      <c r="C174" s="2828"/>
      <c r="D174" s="2828"/>
      <c r="E174" s="3091"/>
      <c r="F174" s="2829" t="s">
        <v>270</v>
      </c>
      <c r="G174" s="2830"/>
      <c r="H174" s="2830"/>
      <c r="I174" s="3095"/>
      <c r="J174" s="2817" t="s">
        <v>271</v>
      </c>
      <c r="K174" s="2818"/>
      <c r="L174" s="2818"/>
      <c r="M174" s="3094"/>
      <c r="N174" s="2819" t="s">
        <v>272</v>
      </c>
      <c r="O174" s="2820"/>
      <c r="P174" s="2820"/>
      <c r="Q174" s="3090"/>
      <c r="R174" s="3413" t="s">
        <v>83</v>
      </c>
      <c r="S174" s="3413"/>
      <c r="T174" s="3413"/>
      <c r="U174" s="3414"/>
    </row>
    <row r="175" spans="1:21" ht="14.4" thickBot="1">
      <c r="A175" s="2816"/>
      <c r="B175" s="402" t="s">
        <v>17</v>
      </c>
      <c r="C175" s="403" t="s">
        <v>18</v>
      </c>
      <c r="D175" s="403" t="s">
        <v>52</v>
      </c>
      <c r="E175" s="404" t="s">
        <v>19</v>
      </c>
      <c r="F175" s="402" t="s">
        <v>17</v>
      </c>
      <c r="G175" s="403" t="s">
        <v>18</v>
      </c>
      <c r="H175" s="403" t="s">
        <v>52</v>
      </c>
      <c r="I175" s="404" t="s">
        <v>19</v>
      </c>
      <c r="J175" s="402" t="s">
        <v>17</v>
      </c>
      <c r="K175" s="403" t="s">
        <v>18</v>
      </c>
      <c r="L175" s="403" t="s">
        <v>52</v>
      </c>
      <c r="M175" s="404" t="s">
        <v>19</v>
      </c>
      <c r="N175" s="402" t="s">
        <v>17</v>
      </c>
      <c r="O175" s="403" t="s">
        <v>18</v>
      </c>
      <c r="P175" s="403" t="s">
        <v>52</v>
      </c>
      <c r="Q175" s="404" t="s">
        <v>19</v>
      </c>
      <c r="R175" s="403" t="s">
        <v>17</v>
      </c>
      <c r="S175" s="403" t="s">
        <v>18</v>
      </c>
      <c r="T175" s="403" t="s">
        <v>52</v>
      </c>
      <c r="U175" s="431" t="s">
        <v>19</v>
      </c>
    </row>
    <row r="176" spans="1:21">
      <c r="A176" s="397" t="s">
        <v>68</v>
      </c>
      <c r="B176" s="398">
        <f t="shared" ref="B176:Q176" si="83">+B114-B145</f>
        <v>7662</v>
      </c>
      <c r="C176" s="399">
        <f t="shared" si="83"/>
        <v>250</v>
      </c>
      <c r="D176" s="400">
        <f t="shared" si="83"/>
        <v>7912</v>
      </c>
      <c r="E176" s="401">
        <f t="shared" si="83"/>
        <v>29</v>
      </c>
      <c r="F176" s="398">
        <f t="shared" si="83"/>
        <v>5978</v>
      </c>
      <c r="G176" s="399">
        <f t="shared" si="83"/>
        <v>272</v>
      </c>
      <c r="H176" s="400">
        <f t="shared" si="83"/>
        <v>6250</v>
      </c>
      <c r="I176" s="401">
        <f t="shared" si="83"/>
        <v>25</v>
      </c>
      <c r="J176" s="398">
        <f t="shared" si="83"/>
        <v>3376</v>
      </c>
      <c r="K176" s="399">
        <f t="shared" si="83"/>
        <v>27</v>
      </c>
      <c r="L176" s="400">
        <f t="shared" si="83"/>
        <v>3403</v>
      </c>
      <c r="M176" s="401">
        <f t="shared" si="83"/>
        <v>11</v>
      </c>
      <c r="N176" s="398">
        <f t="shared" si="83"/>
        <v>0</v>
      </c>
      <c r="O176" s="399">
        <f t="shared" si="83"/>
        <v>0</v>
      </c>
      <c r="P176" s="400">
        <f t="shared" si="83"/>
        <v>0</v>
      </c>
      <c r="Q176" s="401">
        <f t="shared" si="83"/>
        <v>0</v>
      </c>
      <c r="R176" s="432">
        <f>B176+F176+J176+N176</f>
        <v>17016</v>
      </c>
      <c r="S176" s="810">
        <f t="shared" ref="S176:S185" si="84">C176+G176+K176+O176</f>
        <v>549</v>
      </c>
      <c r="T176" s="810">
        <f t="shared" ref="T176:T185" si="85">D176+H176+L176+P176</f>
        <v>17565</v>
      </c>
      <c r="U176" s="811">
        <f t="shared" ref="U176:U185" si="86">E176+I176+M176+Q176</f>
        <v>65</v>
      </c>
    </row>
    <row r="177" spans="1:21">
      <c r="A177" s="397" t="s">
        <v>7</v>
      </c>
      <c r="B177" s="398">
        <f t="shared" ref="B177:Q177" si="87">+B115-B146</f>
        <v>3495</v>
      </c>
      <c r="C177" s="399">
        <f t="shared" si="87"/>
        <v>85</v>
      </c>
      <c r="D177" s="400">
        <f t="shared" si="87"/>
        <v>3580</v>
      </c>
      <c r="E177" s="401">
        <f t="shared" si="87"/>
        <v>15</v>
      </c>
      <c r="F177" s="398">
        <f t="shared" si="87"/>
        <v>2962</v>
      </c>
      <c r="G177" s="399">
        <f t="shared" si="87"/>
        <v>62</v>
      </c>
      <c r="H177" s="400">
        <f t="shared" si="87"/>
        <v>3024</v>
      </c>
      <c r="I177" s="401">
        <f t="shared" si="87"/>
        <v>28</v>
      </c>
      <c r="J177" s="398">
        <f t="shared" si="87"/>
        <v>1996</v>
      </c>
      <c r="K177" s="399">
        <f t="shared" si="87"/>
        <v>103</v>
      </c>
      <c r="L177" s="400">
        <f t="shared" si="87"/>
        <v>2099</v>
      </c>
      <c r="M177" s="401">
        <f t="shared" si="87"/>
        <v>14</v>
      </c>
      <c r="N177" s="398">
        <f t="shared" si="87"/>
        <v>0</v>
      </c>
      <c r="O177" s="399">
        <f t="shared" si="87"/>
        <v>0</v>
      </c>
      <c r="P177" s="400">
        <f t="shared" si="87"/>
        <v>0</v>
      </c>
      <c r="Q177" s="401">
        <f t="shared" si="87"/>
        <v>0</v>
      </c>
      <c r="R177" s="812">
        <f t="shared" ref="R177:R185" si="88">B177+F177+J177+N177</f>
        <v>8453</v>
      </c>
      <c r="S177" s="813">
        <f t="shared" si="84"/>
        <v>250</v>
      </c>
      <c r="T177" s="813">
        <f t="shared" si="85"/>
        <v>8703</v>
      </c>
      <c r="U177" s="814">
        <f t="shared" si="86"/>
        <v>57</v>
      </c>
    </row>
    <row r="178" spans="1:21">
      <c r="A178" s="397" t="s">
        <v>8</v>
      </c>
      <c r="B178" s="398">
        <f t="shared" ref="B178:Q178" si="89">+B116-B147</f>
        <v>3331</v>
      </c>
      <c r="C178" s="399">
        <f t="shared" si="89"/>
        <v>136</v>
      </c>
      <c r="D178" s="400">
        <f t="shared" si="89"/>
        <v>3467</v>
      </c>
      <c r="E178" s="401">
        <f t="shared" si="89"/>
        <v>14</v>
      </c>
      <c r="F178" s="398">
        <f t="shared" si="89"/>
        <v>2800</v>
      </c>
      <c r="G178" s="399">
        <f t="shared" si="89"/>
        <v>180</v>
      </c>
      <c r="H178" s="400">
        <f t="shared" si="89"/>
        <v>2980</v>
      </c>
      <c r="I178" s="401">
        <f t="shared" si="89"/>
        <v>21</v>
      </c>
      <c r="J178" s="398">
        <f t="shared" si="89"/>
        <v>2090</v>
      </c>
      <c r="K178" s="399">
        <f t="shared" si="89"/>
        <v>123</v>
      </c>
      <c r="L178" s="400">
        <f t="shared" si="89"/>
        <v>2213</v>
      </c>
      <c r="M178" s="401">
        <f t="shared" si="89"/>
        <v>12</v>
      </c>
      <c r="N178" s="398">
        <f t="shared" si="89"/>
        <v>0</v>
      </c>
      <c r="O178" s="399">
        <f t="shared" si="89"/>
        <v>0</v>
      </c>
      <c r="P178" s="400">
        <f t="shared" si="89"/>
        <v>0</v>
      </c>
      <c r="Q178" s="401">
        <f t="shared" si="89"/>
        <v>0</v>
      </c>
      <c r="R178" s="812">
        <f t="shared" si="88"/>
        <v>8221</v>
      </c>
      <c r="S178" s="813">
        <f t="shared" si="84"/>
        <v>439</v>
      </c>
      <c r="T178" s="813">
        <f t="shared" si="85"/>
        <v>8660</v>
      </c>
      <c r="U178" s="814">
        <f t="shared" si="86"/>
        <v>47</v>
      </c>
    </row>
    <row r="179" spans="1:21">
      <c r="A179" s="397" t="s">
        <v>4</v>
      </c>
      <c r="B179" s="398">
        <f t="shared" ref="B179:Q179" si="90">+B117-B148</f>
        <v>4877</v>
      </c>
      <c r="C179" s="399">
        <f t="shared" si="90"/>
        <v>121</v>
      </c>
      <c r="D179" s="400">
        <f t="shared" si="90"/>
        <v>4998</v>
      </c>
      <c r="E179" s="401">
        <f t="shared" si="90"/>
        <v>11</v>
      </c>
      <c r="F179" s="398">
        <f t="shared" si="90"/>
        <v>6738</v>
      </c>
      <c r="G179" s="399">
        <f t="shared" si="90"/>
        <v>172</v>
      </c>
      <c r="H179" s="400">
        <f t="shared" si="90"/>
        <v>6910</v>
      </c>
      <c r="I179" s="401">
        <f t="shared" si="90"/>
        <v>7</v>
      </c>
      <c r="J179" s="398">
        <f t="shared" si="90"/>
        <v>3603</v>
      </c>
      <c r="K179" s="399">
        <f t="shared" si="90"/>
        <v>57</v>
      </c>
      <c r="L179" s="400">
        <f t="shared" si="90"/>
        <v>3660</v>
      </c>
      <c r="M179" s="401">
        <f t="shared" si="90"/>
        <v>7</v>
      </c>
      <c r="N179" s="398">
        <f t="shared" si="90"/>
        <v>0</v>
      </c>
      <c r="O179" s="399">
        <f t="shared" si="90"/>
        <v>0</v>
      </c>
      <c r="P179" s="400">
        <f t="shared" si="90"/>
        <v>0</v>
      </c>
      <c r="Q179" s="401">
        <f t="shared" si="90"/>
        <v>0</v>
      </c>
      <c r="R179" s="812">
        <f t="shared" si="88"/>
        <v>15218</v>
      </c>
      <c r="S179" s="813">
        <f t="shared" si="84"/>
        <v>350</v>
      </c>
      <c r="T179" s="813">
        <f t="shared" si="85"/>
        <v>15568</v>
      </c>
      <c r="U179" s="814">
        <f t="shared" si="86"/>
        <v>25</v>
      </c>
    </row>
    <row r="180" spans="1:21">
      <c r="A180" s="397" t="s">
        <v>3</v>
      </c>
      <c r="B180" s="398">
        <f t="shared" ref="B180:Q180" si="91">+B118-B149</f>
        <v>1614</v>
      </c>
      <c r="C180" s="399">
        <f t="shared" si="91"/>
        <v>94</v>
      </c>
      <c r="D180" s="400">
        <f t="shared" si="91"/>
        <v>1708</v>
      </c>
      <c r="E180" s="401">
        <f t="shared" si="91"/>
        <v>93</v>
      </c>
      <c r="F180" s="398">
        <f t="shared" si="91"/>
        <v>2059</v>
      </c>
      <c r="G180" s="399">
        <f t="shared" si="91"/>
        <v>64</v>
      </c>
      <c r="H180" s="400">
        <f t="shared" si="91"/>
        <v>2123</v>
      </c>
      <c r="I180" s="401">
        <f t="shared" si="91"/>
        <v>68</v>
      </c>
      <c r="J180" s="398">
        <f t="shared" si="91"/>
        <v>1500</v>
      </c>
      <c r="K180" s="399">
        <f t="shared" si="91"/>
        <v>167</v>
      </c>
      <c r="L180" s="400">
        <f t="shared" si="91"/>
        <v>1667</v>
      </c>
      <c r="M180" s="401">
        <f t="shared" si="91"/>
        <v>40</v>
      </c>
      <c r="N180" s="398">
        <f t="shared" si="91"/>
        <v>0</v>
      </c>
      <c r="O180" s="399">
        <f t="shared" si="91"/>
        <v>0</v>
      </c>
      <c r="P180" s="400">
        <f t="shared" si="91"/>
        <v>0</v>
      </c>
      <c r="Q180" s="401">
        <f t="shared" si="91"/>
        <v>0</v>
      </c>
      <c r="R180" s="812">
        <f t="shared" si="88"/>
        <v>5173</v>
      </c>
      <c r="S180" s="813">
        <f t="shared" si="84"/>
        <v>325</v>
      </c>
      <c r="T180" s="813">
        <f t="shared" si="85"/>
        <v>5498</v>
      </c>
      <c r="U180" s="814">
        <f t="shared" si="86"/>
        <v>201</v>
      </c>
    </row>
    <row r="181" spans="1:21">
      <c r="A181" s="397" t="s">
        <v>397</v>
      </c>
      <c r="B181" s="398">
        <f t="shared" ref="B181:Q181" si="92">+B119-B150</f>
        <v>2035</v>
      </c>
      <c r="C181" s="399">
        <f t="shared" si="92"/>
        <v>123</v>
      </c>
      <c r="D181" s="400">
        <f t="shared" si="92"/>
        <v>2158</v>
      </c>
      <c r="E181" s="401">
        <f t="shared" si="92"/>
        <v>11</v>
      </c>
      <c r="F181" s="398">
        <f t="shared" si="92"/>
        <v>2477</v>
      </c>
      <c r="G181" s="399">
        <f t="shared" si="92"/>
        <v>80</v>
      </c>
      <c r="H181" s="400">
        <f t="shared" si="92"/>
        <v>2557</v>
      </c>
      <c r="I181" s="401">
        <f t="shared" si="92"/>
        <v>23</v>
      </c>
      <c r="J181" s="398">
        <f t="shared" si="92"/>
        <v>1600</v>
      </c>
      <c r="K181" s="399">
        <f t="shared" si="92"/>
        <v>89</v>
      </c>
      <c r="L181" s="400">
        <f t="shared" si="92"/>
        <v>1689</v>
      </c>
      <c r="M181" s="401">
        <f t="shared" si="92"/>
        <v>11</v>
      </c>
      <c r="N181" s="398">
        <f t="shared" si="92"/>
        <v>0</v>
      </c>
      <c r="O181" s="399">
        <f t="shared" si="92"/>
        <v>0</v>
      </c>
      <c r="P181" s="400">
        <f t="shared" si="92"/>
        <v>0</v>
      </c>
      <c r="Q181" s="401">
        <f t="shared" si="92"/>
        <v>0</v>
      </c>
      <c r="R181" s="812">
        <f t="shared" si="88"/>
        <v>6112</v>
      </c>
      <c r="S181" s="813">
        <f t="shared" si="84"/>
        <v>292</v>
      </c>
      <c r="T181" s="813">
        <f t="shared" si="85"/>
        <v>6404</v>
      </c>
      <c r="U181" s="814">
        <f t="shared" si="86"/>
        <v>45</v>
      </c>
    </row>
    <row r="182" spans="1:21">
      <c r="A182" s="397" t="s">
        <v>399</v>
      </c>
      <c r="B182" s="398">
        <f t="shared" ref="B182:Q182" si="93">+B120-B151</f>
        <v>4793</v>
      </c>
      <c r="C182" s="399">
        <f t="shared" si="93"/>
        <v>114</v>
      </c>
      <c r="D182" s="400">
        <f t="shared" si="93"/>
        <v>4907</v>
      </c>
      <c r="E182" s="401">
        <f t="shared" si="93"/>
        <v>10</v>
      </c>
      <c r="F182" s="398">
        <f t="shared" si="93"/>
        <v>5336</v>
      </c>
      <c r="G182" s="399">
        <f t="shared" si="93"/>
        <v>87</v>
      </c>
      <c r="H182" s="400">
        <f t="shared" si="93"/>
        <v>5423</v>
      </c>
      <c r="I182" s="401">
        <f t="shared" si="93"/>
        <v>12</v>
      </c>
      <c r="J182" s="398">
        <f t="shared" si="93"/>
        <v>2509</v>
      </c>
      <c r="K182" s="399">
        <f t="shared" si="93"/>
        <v>95</v>
      </c>
      <c r="L182" s="400">
        <f t="shared" si="93"/>
        <v>2604</v>
      </c>
      <c r="M182" s="401">
        <f t="shared" si="93"/>
        <v>14</v>
      </c>
      <c r="N182" s="398">
        <f t="shared" si="93"/>
        <v>0</v>
      </c>
      <c r="O182" s="399">
        <f t="shared" si="93"/>
        <v>0</v>
      </c>
      <c r="P182" s="400">
        <f t="shared" si="93"/>
        <v>0</v>
      </c>
      <c r="Q182" s="401">
        <f t="shared" si="93"/>
        <v>0</v>
      </c>
      <c r="R182" s="812">
        <f t="shared" si="88"/>
        <v>12638</v>
      </c>
      <c r="S182" s="813">
        <f t="shared" si="84"/>
        <v>296</v>
      </c>
      <c r="T182" s="813">
        <f t="shared" si="85"/>
        <v>12934</v>
      </c>
      <c r="U182" s="814">
        <f t="shared" si="86"/>
        <v>36</v>
      </c>
    </row>
    <row r="183" spans="1:21">
      <c r="A183" s="397" t="s">
        <v>883</v>
      </c>
      <c r="B183" s="398">
        <f t="shared" ref="B183:Q183" si="94">+B121-B152</f>
        <v>2005</v>
      </c>
      <c r="C183" s="399">
        <f t="shared" si="94"/>
        <v>61</v>
      </c>
      <c r="D183" s="400">
        <f t="shared" si="94"/>
        <v>2066</v>
      </c>
      <c r="E183" s="401">
        <f t="shared" si="94"/>
        <v>19</v>
      </c>
      <c r="F183" s="398">
        <f t="shared" si="94"/>
        <v>2272</v>
      </c>
      <c r="G183" s="399">
        <f t="shared" si="94"/>
        <v>55</v>
      </c>
      <c r="H183" s="400">
        <f t="shared" si="94"/>
        <v>2327</v>
      </c>
      <c r="I183" s="401">
        <f t="shared" si="94"/>
        <v>26</v>
      </c>
      <c r="J183" s="398">
        <f t="shared" si="94"/>
        <v>1441</v>
      </c>
      <c r="K183" s="399">
        <f t="shared" si="94"/>
        <v>70</v>
      </c>
      <c r="L183" s="400">
        <f t="shared" si="94"/>
        <v>1511</v>
      </c>
      <c r="M183" s="401">
        <f t="shared" si="94"/>
        <v>21</v>
      </c>
      <c r="N183" s="398">
        <f t="shared" si="94"/>
        <v>0</v>
      </c>
      <c r="O183" s="399">
        <f t="shared" si="94"/>
        <v>0</v>
      </c>
      <c r="P183" s="400">
        <f t="shared" si="94"/>
        <v>0</v>
      </c>
      <c r="Q183" s="401">
        <f t="shared" si="94"/>
        <v>0</v>
      </c>
      <c r="R183" s="812">
        <f t="shared" si="88"/>
        <v>5718</v>
      </c>
      <c r="S183" s="813">
        <f t="shared" si="84"/>
        <v>186</v>
      </c>
      <c r="T183" s="813">
        <f t="shared" si="85"/>
        <v>5904</v>
      </c>
      <c r="U183" s="814">
        <f t="shared" si="86"/>
        <v>66</v>
      </c>
    </row>
    <row r="184" spans="1:21">
      <c r="A184" s="397" t="s">
        <v>884</v>
      </c>
      <c r="B184" s="398">
        <f t="shared" ref="B184:Q184" si="95">+B122-B153</f>
        <v>3262</v>
      </c>
      <c r="C184" s="399">
        <f t="shared" si="95"/>
        <v>150</v>
      </c>
      <c r="D184" s="400">
        <f t="shared" si="95"/>
        <v>3412</v>
      </c>
      <c r="E184" s="401">
        <f t="shared" si="95"/>
        <v>16</v>
      </c>
      <c r="F184" s="398">
        <f t="shared" si="95"/>
        <v>2682</v>
      </c>
      <c r="G184" s="399">
        <f t="shared" si="95"/>
        <v>88</v>
      </c>
      <c r="H184" s="400">
        <f t="shared" si="95"/>
        <v>2770</v>
      </c>
      <c r="I184" s="401">
        <f t="shared" si="95"/>
        <v>26</v>
      </c>
      <c r="J184" s="398">
        <f t="shared" si="95"/>
        <v>2630</v>
      </c>
      <c r="K184" s="399">
        <f t="shared" si="95"/>
        <v>65</v>
      </c>
      <c r="L184" s="400">
        <f t="shared" si="95"/>
        <v>2695</v>
      </c>
      <c r="M184" s="401">
        <f t="shared" si="95"/>
        <v>14</v>
      </c>
      <c r="N184" s="398">
        <f t="shared" si="95"/>
        <v>0</v>
      </c>
      <c r="O184" s="399">
        <f t="shared" si="95"/>
        <v>0</v>
      </c>
      <c r="P184" s="400">
        <f t="shared" si="95"/>
        <v>0</v>
      </c>
      <c r="Q184" s="401">
        <f t="shared" si="95"/>
        <v>0</v>
      </c>
      <c r="R184" s="812">
        <f t="shared" si="88"/>
        <v>8574</v>
      </c>
      <c r="S184" s="813">
        <f t="shared" si="84"/>
        <v>303</v>
      </c>
      <c r="T184" s="813">
        <f t="shared" si="85"/>
        <v>8877</v>
      </c>
      <c r="U184" s="814">
        <f t="shared" si="86"/>
        <v>56</v>
      </c>
    </row>
    <row r="185" spans="1:21" ht="14.4" thickBot="1">
      <c r="A185" s="397" t="s">
        <v>885</v>
      </c>
      <c r="B185" s="398">
        <f t="shared" ref="B185:Q185" si="96">+B123-B154</f>
        <v>2219</v>
      </c>
      <c r="C185" s="399">
        <f t="shared" si="96"/>
        <v>94</v>
      </c>
      <c r="D185" s="400">
        <f t="shared" si="96"/>
        <v>2313</v>
      </c>
      <c r="E185" s="401">
        <f t="shared" si="96"/>
        <v>1</v>
      </c>
      <c r="F185" s="398">
        <f t="shared" si="96"/>
        <v>2186</v>
      </c>
      <c r="G185" s="399">
        <f t="shared" si="96"/>
        <v>70</v>
      </c>
      <c r="H185" s="400">
        <f t="shared" si="96"/>
        <v>2256</v>
      </c>
      <c r="I185" s="401">
        <f t="shared" si="96"/>
        <v>2</v>
      </c>
      <c r="J185" s="398">
        <f t="shared" si="96"/>
        <v>540</v>
      </c>
      <c r="K185" s="399">
        <f t="shared" si="96"/>
        <v>32</v>
      </c>
      <c r="L185" s="400">
        <f t="shared" si="96"/>
        <v>572</v>
      </c>
      <c r="M185" s="401">
        <f t="shared" si="96"/>
        <v>1</v>
      </c>
      <c r="N185" s="398">
        <f t="shared" si="96"/>
        <v>0</v>
      </c>
      <c r="O185" s="399">
        <f t="shared" si="96"/>
        <v>0</v>
      </c>
      <c r="P185" s="400">
        <f t="shared" si="96"/>
        <v>0</v>
      </c>
      <c r="Q185" s="401">
        <f t="shared" si="96"/>
        <v>0</v>
      </c>
      <c r="R185" s="812">
        <f t="shared" si="88"/>
        <v>4945</v>
      </c>
      <c r="S185" s="813">
        <f t="shared" si="84"/>
        <v>196</v>
      </c>
      <c r="T185" s="813">
        <f t="shared" si="85"/>
        <v>5141</v>
      </c>
      <c r="U185" s="814">
        <f t="shared" si="86"/>
        <v>4</v>
      </c>
    </row>
    <row r="186" spans="1:21" ht="14.4" thickBot="1">
      <c r="A186" s="433" t="s">
        <v>16</v>
      </c>
      <c r="B186" s="417">
        <f t="shared" ref="B186:U186" si="97">SUM(B176:B185)</f>
        <v>35293</v>
      </c>
      <c r="C186" s="419">
        <f t="shared" si="97"/>
        <v>1228</v>
      </c>
      <c r="D186" s="419">
        <f t="shared" si="97"/>
        <v>36521</v>
      </c>
      <c r="E186" s="420">
        <f t="shared" si="97"/>
        <v>219</v>
      </c>
      <c r="F186" s="417">
        <f t="shared" si="97"/>
        <v>35490</v>
      </c>
      <c r="G186" s="419">
        <f t="shared" si="97"/>
        <v>1130</v>
      </c>
      <c r="H186" s="419">
        <f t="shared" si="97"/>
        <v>36620</v>
      </c>
      <c r="I186" s="420">
        <f t="shared" si="97"/>
        <v>238</v>
      </c>
      <c r="J186" s="417">
        <f t="shared" si="97"/>
        <v>21285</v>
      </c>
      <c r="K186" s="419">
        <f t="shared" si="97"/>
        <v>828</v>
      </c>
      <c r="L186" s="419">
        <f t="shared" si="97"/>
        <v>22113</v>
      </c>
      <c r="M186" s="420">
        <f t="shared" si="97"/>
        <v>145</v>
      </c>
      <c r="N186" s="417">
        <f t="shared" si="97"/>
        <v>0</v>
      </c>
      <c r="O186" s="419">
        <f t="shared" si="97"/>
        <v>0</v>
      </c>
      <c r="P186" s="419">
        <f t="shared" si="97"/>
        <v>0</v>
      </c>
      <c r="Q186" s="420">
        <f t="shared" si="97"/>
        <v>0</v>
      </c>
      <c r="R186" s="434">
        <f t="shared" si="97"/>
        <v>92068</v>
      </c>
      <c r="S186" s="434">
        <f t="shared" si="97"/>
        <v>3186</v>
      </c>
      <c r="T186" s="434">
        <f t="shared" si="97"/>
        <v>95254</v>
      </c>
      <c r="U186" s="434">
        <f t="shared" si="97"/>
        <v>602</v>
      </c>
    </row>
    <row r="189" spans="1:21" ht="18">
      <c r="A189" s="393" t="s">
        <v>85</v>
      </c>
    </row>
    <row r="190" spans="1:21" ht="18.600000000000001" thickBot="1">
      <c r="A190" s="394">
        <f>A34</f>
        <v>2021</v>
      </c>
    </row>
    <row r="191" spans="1:21">
      <c r="A191" s="2815" t="s">
        <v>0</v>
      </c>
      <c r="B191" s="2827" t="s">
        <v>269</v>
      </c>
      <c r="C191" s="2828"/>
      <c r="D191" s="2828"/>
      <c r="E191" s="3091"/>
      <c r="F191" s="2829" t="s">
        <v>270</v>
      </c>
      <c r="G191" s="2830"/>
      <c r="H191" s="2830"/>
      <c r="I191" s="3095"/>
      <c r="J191" s="2817" t="s">
        <v>271</v>
      </c>
      <c r="K191" s="2818"/>
      <c r="L191" s="2818"/>
      <c r="M191" s="3094"/>
      <c r="N191" s="2819" t="s">
        <v>272</v>
      </c>
      <c r="O191" s="2820"/>
      <c r="P191" s="2820"/>
      <c r="Q191" s="3090"/>
      <c r="R191" s="3413" t="s">
        <v>83</v>
      </c>
      <c r="S191" s="3413"/>
      <c r="T191" s="3413"/>
      <c r="U191" s="3414"/>
    </row>
    <row r="192" spans="1:21" ht="14.4" thickBot="1">
      <c r="A192" s="2816"/>
      <c r="B192" s="402" t="s">
        <v>17</v>
      </c>
      <c r="C192" s="403" t="s">
        <v>18</v>
      </c>
      <c r="D192" s="403" t="s">
        <v>52</v>
      </c>
      <c r="E192" s="404" t="s">
        <v>19</v>
      </c>
      <c r="F192" s="402" t="s">
        <v>17</v>
      </c>
      <c r="G192" s="403" t="s">
        <v>18</v>
      </c>
      <c r="H192" s="403" t="s">
        <v>52</v>
      </c>
      <c r="I192" s="404" t="s">
        <v>19</v>
      </c>
      <c r="J192" s="402" t="s">
        <v>17</v>
      </c>
      <c r="K192" s="403" t="s">
        <v>18</v>
      </c>
      <c r="L192" s="403" t="s">
        <v>52</v>
      </c>
      <c r="M192" s="404" t="s">
        <v>19</v>
      </c>
      <c r="N192" s="402" t="s">
        <v>17</v>
      </c>
      <c r="O192" s="403" t="s">
        <v>18</v>
      </c>
      <c r="P192" s="403" t="s">
        <v>52</v>
      </c>
      <c r="Q192" s="404" t="s">
        <v>19</v>
      </c>
      <c r="R192" s="403" t="s">
        <v>17</v>
      </c>
      <c r="S192" s="403" t="s">
        <v>18</v>
      </c>
      <c r="T192" s="403" t="s">
        <v>52</v>
      </c>
      <c r="U192" s="431" t="s">
        <v>19</v>
      </c>
    </row>
    <row r="193" spans="1:21">
      <c r="A193" s="397" t="s">
        <v>68</v>
      </c>
      <c r="B193" s="438">
        <f>élec!B194+élec!F194+élec!J194</f>
        <v>256.92942000000005</v>
      </c>
      <c r="C193" s="439">
        <f>élec!C194+élec!G194+élec!K194</f>
        <v>37.656181000000004</v>
      </c>
      <c r="D193" s="439">
        <f>élec!D194+élec!H194+élec!L194</f>
        <v>294.585601</v>
      </c>
      <c r="E193" s="441">
        <f>élec!E194+élec!I194+élec!M194</f>
        <v>207.25177492</v>
      </c>
      <c r="F193" s="438">
        <f>élec!N194+élec!R194+élec!V194</f>
        <v>251.11173300000002</v>
      </c>
      <c r="G193" s="439">
        <f>élec!O194+élec!S194+élec!W194</f>
        <v>36.071080000000002</v>
      </c>
      <c r="H193" s="440">
        <f>élec!P194+élec!T194+élec!X194</f>
        <v>287.18281300000001</v>
      </c>
      <c r="I193" s="441">
        <f>élec!Q194+élec!U194+élec!Y194</f>
        <v>203.99737548000002</v>
      </c>
      <c r="J193" s="438">
        <f>élec!Z194+élec!AD194+élec!AH194</f>
        <v>324.76876500000003</v>
      </c>
      <c r="K193" s="439">
        <f>élec!AA194+élec!AE194+élec!AI194</f>
        <v>20.326809000000001</v>
      </c>
      <c r="L193" s="440">
        <f>élec!AB194+élec!AF194+élec!AJ194</f>
        <v>345.095574</v>
      </c>
      <c r="M193" s="441">
        <f>élec!AC194+élec!AG194+élec!AK194</f>
        <v>185.70213344999999</v>
      </c>
      <c r="N193" s="438">
        <f>élec!AL194+élec!AP194+élec!AT194</f>
        <v>0</v>
      </c>
      <c r="O193" s="439">
        <f>élec!AM194+élec!AQ194+élec!AU194</f>
        <v>0</v>
      </c>
      <c r="P193" s="440">
        <f t="shared" ref="P193:P202" si="98">+N193+O193</f>
        <v>0</v>
      </c>
      <c r="Q193" s="441">
        <f>élec!AO194+élec!AS194+élec!AW194</f>
        <v>0</v>
      </c>
      <c r="R193" s="815">
        <f>B193+F193+J193+N193</f>
        <v>832.80991800000015</v>
      </c>
      <c r="S193" s="442">
        <f t="shared" ref="S193:S199" si="99">C193+G193+K193+O193</f>
        <v>94.054069999999996</v>
      </c>
      <c r="T193" s="442">
        <f t="shared" ref="T193:T199" si="100">D193+H193+L193+P193</f>
        <v>926.86398800000006</v>
      </c>
      <c r="U193" s="475">
        <f t="shared" ref="U193:U199" si="101">E193+I193+M193+Q193</f>
        <v>596.95128384999998</v>
      </c>
    </row>
    <row r="194" spans="1:21">
      <c r="A194" s="397" t="s">
        <v>7</v>
      </c>
      <c r="B194" s="438">
        <f>élec!B195+élec!F195+élec!J195</f>
        <v>101.903577</v>
      </c>
      <c r="C194" s="439">
        <f>élec!C195+élec!G195+élec!K195</f>
        <v>25.450955</v>
      </c>
      <c r="D194" s="439">
        <f>élec!D195+élec!H195+élec!L195</f>
        <v>127.35453200000001</v>
      </c>
      <c r="E194" s="441">
        <f>élec!E195+élec!I195+élec!M195</f>
        <v>82.253240939999998</v>
      </c>
      <c r="F194" s="438">
        <f>élec!N195+élec!R195+élec!V195</f>
        <v>104.53501799999998</v>
      </c>
      <c r="G194" s="439">
        <f>élec!O195+élec!S195+élec!W195</f>
        <v>20.267222999999998</v>
      </c>
      <c r="H194" s="440">
        <f>élec!P195+élec!T195+élec!X195</f>
        <v>124.802241</v>
      </c>
      <c r="I194" s="441">
        <f>élec!Q195+élec!U195+élec!Y195</f>
        <v>78.284893539999999</v>
      </c>
      <c r="J194" s="438">
        <f>élec!Z195+élec!AD195+élec!AH195</f>
        <v>153.59306700000002</v>
      </c>
      <c r="K194" s="439">
        <f>élec!AA195+élec!AE195+élec!AI195</f>
        <v>9.9081659999999996</v>
      </c>
      <c r="L194" s="440">
        <f>élec!AB195+élec!AF195+élec!AJ195</f>
        <v>163.50123300000001</v>
      </c>
      <c r="M194" s="441">
        <f>élec!AC195+élec!AG195+élec!AK195</f>
        <v>63.771175483999997</v>
      </c>
      <c r="N194" s="438">
        <f>élec!AL195+élec!AP195+élec!AT195</f>
        <v>0</v>
      </c>
      <c r="O194" s="439">
        <f>élec!AM195+élec!AQ195+élec!AU195</f>
        <v>0</v>
      </c>
      <c r="P194" s="440">
        <f t="shared" si="98"/>
        <v>0</v>
      </c>
      <c r="Q194" s="441">
        <f>élec!AO195+élec!AS195+élec!AW195</f>
        <v>0</v>
      </c>
      <c r="R194" s="816">
        <f t="shared" ref="R194:R199" si="102">B194+F194+J194+N194</f>
        <v>360.03166199999998</v>
      </c>
      <c r="S194" s="447">
        <f t="shared" si="99"/>
        <v>55.626343999999996</v>
      </c>
      <c r="T194" s="447">
        <f t="shared" si="100"/>
        <v>415.658006</v>
      </c>
      <c r="U194" s="476">
        <f t="shared" si="101"/>
        <v>224.30930996399999</v>
      </c>
    </row>
    <row r="195" spans="1:21">
      <c r="A195" s="397" t="s">
        <v>8</v>
      </c>
      <c r="B195" s="438">
        <f>élec!B196+élec!F196+élec!J196</f>
        <v>106.046414</v>
      </c>
      <c r="C195" s="439">
        <f>élec!C196+élec!G196+élec!K196</f>
        <v>26.704498000000001</v>
      </c>
      <c r="D195" s="439">
        <f>élec!D196+élec!H196+élec!L196</f>
        <v>132.750912</v>
      </c>
      <c r="E195" s="441">
        <f>élec!E196+élec!I196+élec!M196</f>
        <v>57.227715799999999</v>
      </c>
      <c r="F195" s="438">
        <f>élec!N196+élec!R196+élec!V196</f>
        <v>117.59657999999995</v>
      </c>
      <c r="G195" s="439">
        <f>élec!O196+élec!S196+élec!W196</f>
        <v>25.910759000000002</v>
      </c>
      <c r="H195" s="440">
        <f>élec!P196+élec!T196+élec!X196</f>
        <v>143.50733899999994</v>
      </c>
      <c r="I195" s="441">
        <f>élec!Q196+élec!U196+élec!Y196</f>
        <v>47.351254879999999</v>
      </c>
      <c r="J195" s="438">
        <f>élec!Z196+élec!AD196+élec!AH196</f>
        <v>133.03623199999998</v>
      </c>
      <c r="K195" s="439">
        <f>élec!AA196+élec!AE196+élec!AI196</f>
        <v>16.394532999999999</v>
      </c>
      <c r="L195" s="440">
        <f>élec!AB196+élec!AF196+élec!AJ196</f>
        <v>149.43076499999995</v>
      </c>
      <c r="M195" s="441">
        <f>élec!AC196+élec!AG196+élec!AK196</f>
        <v>43.017994670000022</v>
      </c>
      <c r="N195" s="438">
        <f>élec!AL196+élec!AP196+élec!AT196</f>
        <v>0</v>
      </c>
      <c r="O195" s="439">
        <f>élec!AM196+élec!AQ196+élec!AU196</f>
        <v>0</v>
      </c>
      <c r="P195" s="440">
        <f t="shared" si="98"/>
        <v>0</v>
      </c>
      <c r="Q195" s="441">
        <f>élec!AO196+élec!AS196+élec!AW196</f>
        <v>0</v>
      </c>
      <c r="R195" s="816">
        <f t="shared" si="102"/>
        <v>356.67922599999991</v>
      </c>
      <c r="S195" s="447">
        <f t="shared" si="99"/>
        <v>69.009789999999995</v>
      </c>
      <c r="T195" s="447">
        <f t="shared" si="100"/>
        <v>425.68901599999992</v>
      </c>
      <c r="U195" s="476">
        <f t="shared" si="101"/>
        <v>147.59696535</v>
      </c>
    </row>
    <row r="196" spans="1:21">
      <c r="A196" s="397" t="s">
        <v>4</v>
      </c>
      <c r="B196" s="438">
        <f>élec!B197+élec!F197+élec!J197</f>
        <v>219.00022100000001</v>
      </c>
      <c r="C196" s="439">
        <f>élec!C197+élec!G197+élec!K197</f>
        <v>30.804624000000004</v>
      </c>
      <c r="D196" s="439">
        <f>élec!D197+élec!H197+élec!L197</f>
        <v>249.804845</v>
      </c>
      <c r="E196" s="441">
        <f>élec!E197+élec!I197+élec!M197</f>
        <v>109.81307243000001</v>
      </c>
      <c r="F196" s="438">
        <f>élec!N197+élec!R197+élec!V197</f>
        <v>202.64145499999998</v>
      </c>
      <c r="G196" s="439">
        <f>élec!O197+élec!S197+élec!W197</f>
        <v>26.727253999999995</v>
      </c>
      <c r="H196" s="440">
        <f>élec!P197+élec!T197+élec!X197</f>
        <v>229.36870899999997</v>
      </c>
      <c r="I196" s="441">
        <f>élec!Q197+élec!U197+élec!Y197</f>
        <v>115.44500149</v>
      </c>
      <c r="J196" s="438">
        <f>élec!Z197+élec!AD197+élec!AH197</f>
        <v>246.172348</v>
      </c>
      <c r="K196" s="439">
        <f>élec!AA197+élec!AE197+élec!AI197</f>
        <v>16.862617</v>
      </c>
      <c r="L196" s="440">
        <f>élec!AB197+élec!AF197+élec!AJ197</f>
        <v>263.034965</v>
      </c>
      <c r="M196" s="441">
        <f>élec!AC197+élec!AG197+élec!AK197</f>
        <v>82.922365069999998</v>
      </c>
      <c r="N196" s="438">
        <f>élec!AL197+élec!AP197+élec!AT197</f>
        <v>0</v>
      </c>
      <c r="O196" s="439">
        <f>élec!AM197+élec!AQ197+élec!AU197</f>
        <v>0</v>
      </c>
      <c r="P196" s="440">
        <f t="shared" si="98"/>
        <v>0</v>
      </c>
      <c r="Q196" s="441">
        <f>élec!AO197+élec!AS197+élec!AW197</f>
        <v>0</v>
      </c>
      <c r="R196" s="816">
        <f t="shared" si="102"/>
        <v>667.81402400000002</v>
      </c>
      <c r="S196" s="447">
        <f t="shared" si="99"/>
        <v>74.394495000000006</v>
      </c>
      <c r="T196" s="447">
        <f t="shared" si="100"/>
        <v>742.20851900000002</v>
      </c>
      <c r="U196" s="476">
        <f t="shared" si="101"/>
        <v>308.18043899000003</v>
      </c>
    </row>
    <row r="197" spans="1:21">
      <c r="A197" s="397" t="s">
        <v>3</v>
      </c>
      <c r="B197" s="438">
        <f>élec!B198+élec!F198+élec!J198</f>
        <v>147.70209699999998</v>
      </c>
      <c r="C197" s="439">
        <f>élec!C198+élec!G198+élec!K198</f>
        <v>36.778112999999998</v>
      </c>
      <c r="D197" s="439">
        <f>élec!D198+élec!H198+élec!L198</f>
        <v>184.48021</v>
      </c>
      <c r="E197" s="441">
        <f>élec!E198+élec!I198+élec!M198</f>
        <v>81.779437670000007</v>
      </c>
      <c r="F197" s="438">
        <f>élec!N198+élec!R198+élec!V198</f>
        <v>177.91812299999998</v>
      </c>
      <c r="G197" s="439">
        <f>élec!O198+élec!S198+élec!W198</f>
        <v>31.414208000000002</v>
      </c>
      <c r="H197" s="440">
        <f>élec!P198+élec!T198+élec!X198</f>
        <v>209.33233099999998</v>
      </c>
      <c r="I197" s="441">
        <f>élec!Q198+élec!U198+élec!Y198</f>
        <v>78.046769089999998</v>
      </c>
      <c r="J197" s="438">
        <f>élec!Z198+élec!AD198+élec!AH198</f>
        <v>160.38891799999999</v>
      </c>
      <c r="K197" s="439">
        <f>élec!AA198+élec!AE198+élec!AI198</f>
        <v>17.32422</v>
      </c>
      <c r="L197" s="440">
        <f>élec!AB198+élec!AF198+élec!AJ198</f>
        <v>177.71313800000001</v>
      </c>
      <c r="M197" s="441">
        <f>élec!AC198+élec!AG198+élec!AK198</f>
        <v>67.973193840000022</v>
      </c>
      <c r="N197" s="438">
        <f>élec!AL198+élec!AP198+élec!AT198</f>
        <v>0</v>
      </c>
      <c r="O197" s="439">
        <f>élec!AM198+élec!AQ198+élec!AU198</f>
        <v>0</v>
      </c>
      <c r="P197" s="440">
        <f t="shared" si="98"/>
        <v>0</v>
      </c>
      <c r="Q197" s="441">
        <f>élec!AO198+élec!AS198+élec!AW198</f>
        <v>0</v>
      </c>
      <c r="R197" s="816">
        <f t="shared" si="102"/>
        <v>486.00913799999995</v>
      </c>
      <c r="S197" s="447">
        <f t="shared" si="99"/>
        <v>85.516540999999989</v>
      </c>
      <c r="T197" s="447">
        <f t="shared" si="100"/>
        <v>571.52567900000008</v>
      </c>
      <c r="U197" s="476">
        <f t="shared" si="101"/>
        <v>227.79940060000001</v>
      </c>
    </row>
    <row r="198" spans="1:21">
      <c r="A198" s="397" t="s">
        <v>397</v>
      </c>
      <c r="B198" s="438">
        <f>élec!B199+élec!F199+élec!J199</f>
        <v>138.787577</v>
      </c>
      <c r="C198" s="439">
        <f>élec!C199+élec!G199+élec!K199</f>
        <v>22.818761000000002</v>
      </c>
      <c r="D198" s="439">
        <f>élec!D199+élec!H199+élec!L199</f>
        <v>161.60633799999999</v>
      </c>
      <c r="E198" s="441">
        <f>élec!E199+élec!I199+élec!M199</f>
        <v>68.685808039999998</v>
      </c>
      <c r="F198" s="438">
        <f>élec!N199+élec!R199+élec!V199</f>
        <v>128.50668884446165</v>
      </c>
      <c r="G198" s="439">
        <f>élec!O199+élec!S199+élec!W199</f>
        <v>20.730274155538357</v>
      </c>
      <c r="H198" s="440">
        <f>élec!P199+élec!T199+élec!X199</f>
        <v>149.236963</v>
      </c>
      <c r="I198" s="441">
        <f>élec!Q199+élec!U199+élec!Y199</f>
        <v>66.136066099999994</v>
      </c>
      <c r="J198" s="438">
        <f>élec!Z199+élec!AD199+élec!AH199</f>
        <v>133.93340799999999</v>
      </c>
      <c r="K198" s="439">
        <f>élec!AA199+élec!AE199+élec!AI199</f>
        <v>14.171967</v>
      </c>
      <c r="L198" s="440">
        <f>élec!AB199+élec!AF199+élec!AJ199</f>
        <v>148.10537499999998</v>
      </c>
      <c r="M198" s="441">
        <f>élec!AC199+élec!AG199+élec!AK199</f>
        <v>55.366708410000001</v>
      </c>
      <c r="N198" s="438">
        <f>élec!AL199+élec!AP199+élec!AT199</f>
        <v>0</v>
      </c>
      <c r="O198" s="439">
        <f>élec!AM199+élec!AQ199+élec!AU199</f>
        <v>0</v>
      </c>
      <c r="P198" s="440">
        <f t="shared" si="98"/>
        <v>0</v>
      </c>
      <c r="Q198" s="441">
        <f>élec!AO199+élec!AS199+élec!AW199</f>
        <v>0</v>
      </c>
      <c r="R198" s="816">
        <f t="shared" si="102"/>
        <v>401.22767384446161</v>
      </c>
      <c r="S198" s="447">
        <f t="shared" si="99"/>
        <v>57.721002155538365</v>
      </c>
      <c r="T198" s="447">
        <f t="shared" si="100"/>
        <v>458.94867599999998</v>
      </c>
      <c r="U198" s="476">
        <f t="shared" si="101"/>
        <v>190.18858254999998</v>
      </c>
    </row>
    <row r="199" spans="1:21">
      <c r="A199" s="397" t="s">
        <v>399</v>
      </c>
      <c r="B199" s="438">
        <f>élec!B200+élec!F200+élec!J200</f>
        <v>200.74604500000001</v>
      </c>
      <c r="C199" s="439">
        <f>élec!C200+élec!G200+élec!K200</f>
        <v>28.042173000000002</v>
      </c>
      <c r="D199" s="439">
        <f>élec!D200+élec!H200+élec!L200</f>
        <v>228.788218</v>
      </c>
      <c r="E199" s="441">
        <f>élec!E200+élec!I200+élec!M200</f>
        <v>172.02856656</v>
      </c>
      <c r="F199" s="438">
        <f>élec!N200+élec!R200+élec!V200</f>
        <v>181.282116</v>
      </c>
      <c r="G199" s="439">
        <f>élec!O200+élec!S200+élec!W200</f>
        <v>25.493034000000002</v>
      </c>
      <c r="H199" s="440">
        <f>élec!P200+élec!T200+élec!X200</f>
        <v>206.77515</v>
      </c>
      <c r="I199" s="441">
        <f>élec!Q200+élec!U200+élec!Y200</f>
        <v>158.28875646</v>
      </c>
      <c r="J199" s="438">
        <f>élec!Z200+élec!AD200+élec!AH200</f>
        <v>209.625676</v>
      </c>
      <c r="K199" s="439">
        <f>élec!AA200+élec!AE200+élec!AI200</f>
        <v>6.9754339999999999</v>
      </c>
      <c r="L199" s="440">
        <f>élec!AB200+élec!AF200+élec!AJ200</f>
        <v>216.60111000000001</v>
      </c>
      <c r="M199" s="441">
        <f>élec!AC200+élec!AG200+élec!AK200</f>
        <v>120.67071962</v>
      </c>
      <c r="N199" s="438">
        <f>élec!AL200+élec!AP200+élec!AT200</f>
        <v>0</v>
      </c>
      <c r="O199" s="439">
        <f>élec!AM200+élec!AQ200+élec!AU200</f>
        <v>0</v>
      </c>
      <c r="P199" s="440">
        <f t="shared" si="98"/>
        <v>0</v>
      </c>
      <c r="Q199" s="441">
        <f>élec!AO200+élec!AS200+élec!AW200</f>
        <v>0</v>
      </c>
      <c r="R199" s="816">
        <f t="shared" si="102"/>
        <v>591.65383700000007</v>
      </c>
      <c r="S199" s="447">
        <f t="shared" si="99"/>
        <v>60.510641</v>
      </c>
      <c r="T199" s="447">
        <f t="shared" si="100"/>
        <v>652.16447799999992</v>
      </c>
      <c r="U199" s="476">
        <f t="shared" si="101"/>
        <v>450.98804264</v>
      </c>
    </row>
    <row r="200" spans="1:21">
      <c r="A200" s="397" t="s">
        <v>883</v>
      </c>
      <c r="B200" s="438">
        <f>élec!B201+élec!F201+élec!J201</f>
        <v>108.13981699999999</v>
      </c>
      <c r="C200" s="439">
        <f>élec!C201+élec!G201+élec!K201</f>
        <v>24.707816999999999</v>
      </c>
      <c r="D200" s="439">
        <f>élec!D201+élec!H201+élec!L201</f>
        <v>132.847634</v>
      </c>
      <c r="E200" s="441">
        <f>élec!E201+élec!I201+élec!M201</f>
        <v>71.257266850000008</v>
      </c>
      <c r="F200" s="438">
        <f>élec!N201+élec!R201+élec!V201</f>
        <v>115.974389</v>
      </c>
      <c r="G200" s="439">
        <f>élec!O201+élec!S201+élec!W201</f>
        <v>22.816438000000002</v>
      </c>
      <c r="H200" s="440">
        <f>élec!P201+élec!T201+élec!X201</f>
        <v>138.79082699999998</v>
      </c>
      <c r="I200" s="441">
        <f>élec!Q201+élec!U201+élec!Y201</f>
        <v>79.243627570000001</v>
      </c>
      <c r="J200" s="438">
        <f>élec!Z201+élec!AD201+élec!AH201</f>
        <v>177.15074099999998</v>
      </c>
      <c r="K200" s="439">
        <f>élec!AA201+élec!AE201+élec!AI201</f>
        <v>16.723531999999999</v>
      </c>
      <c r="L200" s="440">
        <f>élec!AB201+élec!AF201+élec!AJ201</f>
        <v>193.87427300000002</v>
      </c>
      <c r="M200" s="441">
        <f>élec!AC201+élec!AG201+élec!AK201</f>
        <v>69.012351710000004</v>
      </c>
      <c r="N200" s="438">
        <f>élec!AL201+élec!AP201+élec!AT201</f>
        <v>0</v>
      </c>
      <c r="O200" s="439">
        <f>élec!AM201+élec!AQ201+élec!AU201</f>
        <v>0</v>
      </c>
      <c r="P200" s="440">
        <f t="shared" si="98"/>
        <v>0</v>
      </c>
      <c r="Q200" s="441">
        <f>élec!AO201+élec!AS201+élec!AW201</f>
        <v>0</v>
      </c>
      <c r="R200" s="816">
        <f t="shared" ref="R200:U202" si="103">B200+F200+J200+N200</f>
        <v>401.26494700000001</v>
      </c>
      <c r="S200" s="447">
        <f t="shared" si="103"/>
        <v>64.247786999999988</v>
      </c>
      <c r="T200" s="447">
        <f t="shared" si="103"/>
        <v>465.51273400000002</v>
      </c>
      <c r="U200" s="476">
        <f t="shared" si="103"/>
        <v>219.51324613000003</v>
      </c>
    </row>
    <row r="201" spans="1:21">
      <c r="A201" s="397" t="s">
        <v>884</v>
      </c>
      <c r="B201" s="438">
        <f>élec!B202+élec!F202+élec!J202</f>
        <v>152.05382100000003</v>
      </c>
      <c r="C201" s="439">
        <f>élec!C202+élec!G202+élec!K202</f>
        <v>31.253990999999999</v>
      </c>
      <c r="D201" s="439">
        <f>élec!D202+élec!H202+élec!L202</f>
        <v>183.30781200000001</v>
      </c>
      <c r="E201" s="441">
        <f>élec!E202+élec!I202+élec!M202</f>
        <v>69.865381490000004</v>
      </c>
      <c r="F201" s="438">
        <f>élec!N202+élec!R202+élec!V202</f>
        <v>156.92927</v>
      </c>
      <c r="G201" s="439">
        <f>élec!O202+élec!S202+élec!W202</f>
        <v>28.787887999999999</v>
      </c>
      <c r="H201" s="440">
        <f>élec!P202+élec!T202+élec!X202</f>
        <v>185.71715800000001</v>
      </c>
      <c r="I201" s="441">
        <f>élec!Q202+élec!U202+élec!Y202</f>
        <v>77.382783750000002</v>
      </c>
      <c r="J201" s="438">
        <f>élec!Z202+élec!AD202+élec!AH202</f>
        <v>244.98159399999997</v>
      </c>
      <c r="K201" s="439">
        <f>élec!AA202+élec!AE202+élec!AI202</f>
        <v>24.843475999999999</v>
      </c>
      <c r="L201" s="440">
        <f>élec!AB202+élec!AF202+élec!AJ202</f>
        <v>269.82506999999998</v>
      </c>
      <c r="M201" s="441">
        <f>élec!AC202+élec!AG202+élec!AK202</f>
        <v>69.749099940000008</v>
      </c>
      <c r="N201" s="438">
        <f>élec!AL202+élec!AP202+élec!AT202</f>
        <v>0</v>
      </c>
      <c r="O201" s="439">
        <f>élec!AM202+élec!AQ202+élec!AU202</f>
        <v>0</v>
      </c>
      <c r="P201" s="440">
        <f t="shared" si="98"/>
        <v>0</v>
      </c>
      <c r="Q201" s="441">
        <f>élec!AO202+élec!AS202+élec!AW202</f>
        <v>0</v>
      </c>
      <c r="R201" s="816">
        <f t="shared" si="103"/>
        <v>553.96468500000003</v>
      </c>
      <c r="S201" s="447">
        <f t="shared" si="103"/>
        <v>84.88535499999999</v>
      </c>
      <c r="T201" s="447">
        <f t="shared" si="103"/>
        <v>638.85004000000004</v>
      </c>
      <c r="U201" s="476">
        <f t="shared" si="103"/>
        <v>216.99726518</v>
      </c>
    </row>
    <row r="202" spans="1:21" ht="14.4" thickBot="1">
      <c r="A202" s="397" t="s">
        <v>885</v>
      </c>
      <c r="B202" s="438">
        <f>élec!B203+élec!F203+élec!J203</f>
        <v>31.712983000000001</v>
      </c>
      <c r="C202" s="439">
        <f>élec!C203+élec!G203+élec!K203</f>
        <v>11.434501000000001</v>
      </c>
      <c r="D202" s="439">
        <f>élec!D203+élec!H203+élec!L203</f>
        <v>43.147483999999999</v>
      </c>
      <c r="E202" s="441">
        <f>élec!E203+élec!I203+élec!M203</f>
        <v>18.927524979999998</v>
      </c>
      <c r="F202" s="438">
        <f>élec!N203+élec!R203+élec!V203</f>
        <v>31.620914999999997</v>
      </c>
      <c r="G202" s="439">
        <f>élec!O203+élec!S203+élec!W203</f>
        <v>8.9182290000000002</v>
      </c>
      <c r="H202" s="440">
        <f>élec!P203+élec!T203+élec!X203</f>
        <v>40.539144</v>
      </c>
      <c r="I202" s="441">
        <f>élec!Q203+élec!U203+élec!Y203</f>
        <v>17.907833619999998</v>
      </c>
      <c r="J202" s="438">
        <f>élec!Z203+élec!AD203+élec!AH203</f>
        <v>39.634212000000005</v>
      </c>
      <c r="K202" s="439">
        <f>élec!AA203+élec!AE203+élec!AI203</f>
        <v>5.9122769999999996</v>
      </c>
      <c r="L202" s="440">
        <f>élec!AB203+élec!AF203+élec!AJ203</f>
        <v>45.546489000000001</v>
      </c>
      <c r="M202" s="441">
        <f>élec!AC203+élec!AG203+élec!AK203</f>
        <v>13.20222231</v>
      </c>
      <c r="N202" s="438">
        <f>élec!AL203+élec!AP203+élec!AT203</f>
        <v>0</v>
      </c>
      <c r="O202" s="439">
        <f>élec!AM203+élec!AQ203+élec!AU203</f>
        <v>0</v>
      </c>
      <c r="P202" s="440">
        <f t="shared" si="98"/>
        <v>0</v>
      </c>
      <c r="Q202" s="441">
        <f>élec!AO203+élec!AS203+élec!AW203</f>
        <v>0</v>
      </c>
      <c r="R202" s="816">
        <f t="shared" si="103"/>
        <v>102.96811</v>
      </c>
      <c r="S202" s="447">
        <f t="shared" si="103"/>
        <v>26.265007000000001</v>
      </c>
      <c r="T202" s="447">
        <f t="shared" si="103"/>
        <v>129.23311699999999</v>
      </c>
      <c r="U202" s="476">
        <f t="shared" si="103"/>
        <v>50.037580909999988</v>
      </c>
    </row>
    <row r="203" spans="1:21" ht="14.4" thickBot="1">
      <c r="A203" s="433" t="s">
        <v>16</v>
      </c>
      <c r="B203" s="455">
        <f t="shared" ref="B203:U203" si="104">SUM(B193:B202)</f>
        <v>1463.021972</v>
      </c>
      <c r="C203" s="456">
        <f t="shared" si="104"/>
        <v>275.651614</v>
      </c>
      <c r="D203" s="456">
        <f t="shared" si="104"/>
        <v>1738.6735860000001</v>
      </c>
      <c r="E203" s="457">
        <f t="shared" si="104"/>
        <v>939.08978968000008</v>
      </c>
      <c r="F203" s="455">
        <f t="shared" si="104"/>
        <v>1468.1162878444618</v>
      </c>
      <c r="G203" s="456">
        <f t="shared" si="104"/>
        <v>247.13638715553836</v>
      </c>
      <c r="H203" s="456">
        <f t="shared" si="104"/>
        <v>1715.252675</v>
      </c>
      <c r="I203" s="457">
        <f t="shared" si="104"/>
        <v>922.08436198000004</v>
      </c>
      <c r="J203" s="455">
        <f t="shared" si="104"/>
        <v>1823.2849609999998</v>
      </c>
      <c r="K203" s="456">
        <f t="shared" si="104"/>
        <v>149.44303099999999</v>
      </c>
      <c r="L203" s="456">
        <f t="shared" si="104"/>
        <v>1972.7279919999999</v>
      </c>
      <c r="M203" s="457">
        <f t="shared" si="104"/>
        <v>771.38796450400014</v>
      </c>
      <c r="N203" s="455">
        <f t="shared" si="104"/>
        <v>0</v>
      </c>
      <c r="O203" s="456">
        <f t="shared" si="104"/>
        <v>0</v>
      </c>
      <c r="P203" s="456">
        <f t="shared" si="104"/>
        <v>0</v>
      </c>
      <c r="Q203" s="457">
        <f t="shared" si="104"/>
        <v>0</v>
      </c>
      <c r="R203" s="478">
        <f t="shared" si="104"/>
        <v>4754.423220844461</v>
      </c>
      <c r="S203" s="478">
        <f t="shared" si="104"/>
        <v>672.23103215553829</v>
      </c>
      <c r="T203" s="478">
        <f t="shared" si="104"/>
        <v>5426.6542529999997</v>
      </c>
      <c r="U203" s="478">
        <f t="shared" si="104"/>
        <v>2632.5621161639997</v>
      </c>
    </row>
    <row r="204" spans="1:21">
      <c r="E204" s="446"/>
      <c r="I204" s="446"/>
    </row>
    <row r="205" spans="1:21" ht="18.600000000000001" thickBot="1">
      <c r="A205" s="394">
        <f>A49</f>
        <v>2022</v>
      </c>
    </row>
    <row r="206" spans="1:21">
      <c r="A206" s="2815" t="s">
        <v>0</v>
      </c>
      <c r="B206" s="2827" t="s">
        <v>269</v>
      </c>
      <c r="C206" s="2828"/>
      <c r="D206" s="2828"/>
      <c r="E206" s="3091"/>
      <c r="F206" s="2829" t="s">
        <v>270</v>
      </c>
      <c r="G206" s="2830"/>
      <c r="H206" s="2830"/>
      <c r="I206" s="3095"/>
      <c r="J206" s="2817" t="s">
        <v>271</v>
      </c>
      <c r="K206" s="2818"/>
      <c r="L206" s="2818"/>
      <c r="M206" s="3094"/>
      <c r="N206" s="2819" t="s">
        <v>272</v>
      </c>
      <c r="O206" s="2820"/>
      <c r="P206" s="2820"/>
      <c r="Q206" s="3090"/>
      <c r="R206" s="3413" t="s">
        <v>83</v>
      </c>
      <c r="S206" s="3413"/>
      <c r="T206" s="3413"/>
      <c r="U206" s="3414"/>
    </row>
    <row r="207" spans="1:21" ht="14.4" thickBot="1">
      <c r="A207" s="2816"/>
      <c r="B207" s="402" t="s">
        <v>17</v>
      </c>
      <c r="C207" s="403" t="s">
        <v>18</v>
      </c>
      <c r="D207" s="403" t="s">
        <v>52</v>
      </c>
      <c r="E207" s="404" t="s">
        <v>19</v>
      </c>
      <c r="F207" s="402" t="s">
        <v>17</v>
      </c>
      <c r="G207" s="403" t="s">
        <v>18</v>
      </c>
      <c r="H207" s="403" t="s">
        <v>52</v>
      </c>
      <c r="I207" s="404" t="s">
        <v>19</v>
      </c>
      <c r="J207" s="402" t="s">
        <v>17</v>
      </c>
      <c r="K207" s="403" t="s">
        <v>18</v>
      </c>
      <c r="L207" s="403" t="s">
        <v>52</v>
      </c>
      <c r="M207" s="404" t="s">
        <v>19</v>
      </c>
      <c r="N207" s="402" t="s">
        <v>17</v>
      </c>
      <c r="O207" s="403" t="s">
        <v>18</v>
      </c>
      <c r="P207" s="403" t="s">
        <v>52</v>
      </c>
      <c r="Q207" s="404" t="s">
        <v>19</v>
      </c>
      <c r="R207" s="403" t="s">
        <v>17</v>
      </c>
      <c r="S207" s="403" t="s">
        <v>18</v>
      </c>
      <c r="T207" s="403" t="s">
        <v>52</v>
      </c>
      <c r="U207" s="431" t="s">
        <v>19</v>
      </c>
    </row>
    <row r="208" spans="1:21">
      <c r="A208" s="397" t="s">
        <v>68</v>
      </c>
      <c r="B208" s="438">
        <f>élec!B209+élec!F209+élec!J209</f>
        <v>263.04960700000004</v>
      </c>
      <c r="C208" s="439">
        <f>élec!C209+élec!G209+élec!K209</f>
        <v>39.187843000000001</v>
      </c>
      <c r="D208" s="439">
        <f>élec!D209+élec!H209+élec!L209</f>
        <v>302.23745000000002</v>
      </c>
      <c r="E208" s="441">
        <f>élec!E209+élec!I209+élec!M209</f>
        <v>223.81836378999998</v>
      </c>
      <c r="F208" s="438">
        <f>élec!N209+élec!R209+élec!V209</f>
        <v>269.07814400000001</v>
      </c>
      <c r="G208" s="439">
        <f>élec!O209+élec!S209+élec!W209</f>
        <v>45.861249000000001</v>
      </c>
      <c r="H208" s="440">
        <f>élec!P209+élec!T209+élec!X209</f>
        <v>314.939393</v>
      </c>
      <c r="I208" s="441">
        <f>élec!Q209+élec!U209+élec!Y209</f>
        <v>227.85628488</v>
      </c>
      <c r="J208" s="438">
        <f>élec!Z209+élec!AD209+élec!AH209</f>
        <v>340.66917999999998</v>
      </c>
      <c r="K208" s="439">
        <f>élec!AA209+élec!AE209+élec!AI209</f>
        <v>22.678387000000001</v>
      </c>
      <c r="L208" s="440">
        <f>élec!AB209+élec!AF209+élec!AJ209</f>
        <v>363.34756700000003</v>
      </c>
      <c r="M208" s="441">
        <f>élec!AC209+élec!AG209+élec!AK209</f>
        <v>189.67087043999999</v>
      </c>
      <c r="N208" s="438">
        <f>élec!AL209+élec!AP209+élec!AT209</f>
        <v>0</v>
      </c>
      <c r="O208" s="439">
        <f>élec!AM209+élec!AQ209+élec!AU209</f>
        <v>0</v>
      </c>
      <c r="P208" s="440">
        <f t="shared" ref="P208:P217" si="105">+N208+O208</f>
        <v>0</v>
      </c>
      <c r="Q208" s="441">
        <f>élec!AO209+élec!AS209+élec!AW209</f>
        <v>0</v>
      </c>
      <c r="R208" s="815">
        <f>B208+F208+J208+N208</f>
        <v>872.79693099999997</v>
      </c>
      <c r="S208" s="442">
        <f t="shared" ref="S208:S217" si="106">C208+G208+K208+O208</f>
        <v>107.727479</v>
      </c>
      <c r="T208" s="442">
        <f t="shared" ref="T208:T217" si="107">D208+H208+L208+P208</f>
        <v>980.52440999999999</v>
      </c>
      <c r="U208" s="475">
        <f t="shared" ref="U208:U217" si="108">E208+I208+M208+Q208</f>
        <v>641.34551910999994</v>
      </c>
    </row>
    <row r="209" spans="1:21">
      <c r="A209" s="397" t="s">
        <v>7</v>
      </c>
      <c r="B209" s="438">
        <f>élec!B210+élec!F210+élec!J210</f>
        <v>107.6483840012412</v>
      </c>
      <c r="C209" s="439">
        <f>élec!C210+élec!G210+élec!K210</f>
        <v>27.842789</v>
      </c>
      <c r="D209" s="439">
        <f>élec!D210+élec!H210+élec!L210</f>
        <v>135.49117300124118</v>
      </c>
      <c r="E209" s="441">
        <f>élec!E210+élec!I210+élec!M210</f>
        <v>86.899332939000004</v>
      </c>
      <c r="F209" s="438">
        <f>élec!N210+élec!R210+élec!V210</f>
        <v>115.07727700000001</v>
      </c>
      <c r="G209" s="439">
        <f>élec!O210+élec!S210+élec!W210</f>
        <v>23.802236000000001</v>
      </c>
      <c r="H209" s="440">
        <f>élec!P210+élec!T210+élec!X210</f>
        <v>138.87951300000003</v>
      </c>
      <c r="I209" s="441">
        <f>élec!Q210+élec!U210+élec!Y210</f>
        <v>87.267690467999984</v>
      </c>
      <c r="J209" s="438">
        <f>élec!Z210+élec!AD210+élec!AH210</f>
        <v>153.005787</v>
      </c>
      <c r="K209" s="439">
        <f>élec!AA210+élec!AE210+élec!AI210</f>
        <v>10.442575999999999</v>
      </c>
      <c r="L209" s="440">
        <f>élec!AB210+élec!AF210+élec!AJ210</f>
        <v>163.448363</v>
      </c>
      <c r="M209" s="441">
        <f>élec!AC210+élec!AG210+élec!AK210</f>
        <v>65.250744940000004</v>
      </c>
      <c r="N209" s="438">
        <f>élec!AL210+élec!AP210+élec!AT210</f>
        <v>0</v>
      </c>
      <c r="O209" s="439">
        <f>élec!AM210+élec!AQ210+élec!AU210</f>
        <v>0</v>
      </c>
      <c r="P209" s="440">
        <f t="shared" si="105"/>
        <v>0</v>
      </c>
      <c r="Q209" s="441">
        <f>élec!AO210+élec!AS210+élec!AW210</f>
        <v>0</v>
      </c>
      <c r="R209" s="816">
        <f t="shared" ref="R209:R217" si="109">B209+F209+J209+N209</f>
        <v>375.73144800124123</v>
      </c>
      <c r="S209" s="447">
        <f t="shared" si="106"/>
        <v>62.087601000000006</v>
      </c>
      <c r="T209" s="447">
        <f t="shared" si="107"/>
        <v>437.81904900124118</v>
      </c>
      <c r="U209" s="476">
        <f t="shared" si="108"/>
        <v>239.41776834699999</v>
      </c>
    </row>
    <row r="210" spans="1:21">
      <c r="A210" s="397" t="s">
        <v>8</v>
      </c>
      <c r="B210" s="438">
        <f>élec!B211+élec!F211+élec!J211</f>
        <v>113.54173600000001</v>
      </c>
      <c r="C210" s="439">
        <f>élec!C211+élec!G211+élec!K211</f>
        <v>31.155516000000002</v>
      </c>
      <c r="D210" s="439">
        <f>élec!D211+élec!H211+élec!L211</f>
        <v>144.69725199999999</v>
      </c>
      <c r="E210" s="441">
        <f>élec!E211+élec!I211+élec!M211</f>
        <v>55.69168423</v>
      </c>
      <c r="F210" s="438">
        <f>élec!N211+élec!R211+élec!V211</f>
        <v>124.88215399999994</v>
      </c>
      <c r="G210" s="439">
        <f>élec!O211+élec!S211+élec!W211</f>
        <v>30.848759999999999</v>
      </c>
      <c r="H210" s="440">
        <f>élec!P211+élec!T211+élec!X211</f>
        <v>155.73091399999993</v>
      </c>
      <c r="I210" s="441">
        <f>élec!Q211+élec!U211+élec!Y211</f>
        <v>50.962324129999999</v>
      </c>
      <c r="J210" s="438">
        <f>élec!Z211+élec!AD211+élec!AH211</f>
        <v>138.15072999999998</v>
      </c>
      <c r="K210" s="439">
        <f>élec!AA211+élec!AE211+élec!AI211</f>
        <v>17.563863000000001</v>
      </c>
      <c r="L210" s="440">
        <f>élec!AB211+élec!AF211+élec!AJ211</f>
        <v>155.71459299999998</v>
      </c>
      <c r="M210" s="441">
        <f>élec!AC211+élec!AG211+élec!AK211</f>
        <v>33.545703130000007</v>
      </c>
      <c r="N210" s="438">
        <f>élec!AL211+élec!AP211+élec!AT211</f>
        <v>0</v>
      </c>
      <c r="O210" s="439">
        <f>élec!AM211+élec!AQ211+élec!AU211</f>
        <v>0</v>
      </c>
      <c r="P210" s="440">
        <f t="shared" si="105"/>
        <v>0</v>
      </c>
      <c r="Q210" s="441">
        <f>élec!AO211+élec!AS211+élec!AW211</f>
        <v>0</v>
      </c>
      <c r="R210" s="816">
        <f t="shared" si="109"/>
        <v>376.57461999999998</v>
      </c>
      <c r="S210" s="447">
        <f t="shared" si="106"/>
        <v>79.568139000000002</v>
      </c>
      <c r="T210" s="447">
        <f t="shared" si="107"/>
        <v>456.1427589999999</v>
      </c>
      <c r="U210" s="476">
        <f t="shared" si="108"/>
        <v>140.19971149000003</v>
      </c>
    </row>
    <row r="211" spans="1:21">
      <c r="A211" s="397" t="s">
        <v>4</v>
      </c>
      <c r="B211" s="438">
        <f>élec!B212+élec!F212+élec!J212</f>
        <v>216.49823800000001</v>
      </c>
      <c r="C211" s="439">
        <f>élec!C212+élec!G212+élec!K212</f>
        <v>31.769289000000001</v>
      </c>
      <c r="D211" s="439">
        <f>élec!D212+élec!H212+élec!L212</f>
        <v>248.26752699999997</v>
      </c>
      <c r="E211" s="441">
        <f>élec!E212+élec!I212+élec!M212</f>
        <v>117.62804840999999</v>
      </c>
      <c r="F211" s="438">
        <f>élec!N212+élec!R212+élec!V212</f>
        <v>211.32613000000001</v>
      </c>
      <c r="G211" s="439">
        <f>élec!O212+élec!S212+élec!W212</f>
        <v>28.084541000000002</v>
      </c>
      <c r="H211" s="440">
        <f>élec!P212+élec!T212+élec!X212</f>
        <v>239.41067100000004</v>
      </c>
      <c r="I211" s="441">
        <f>élec!Q212+élec!U212+élec!Y212</f>
        <v>124.67605295000001</v>
      </c>
      <c r="J211" s="438">
        <f>élec!Z212+élec!AD212+élec!AH212</f>
        <v>244.44749400000001</v>
      </c>
      <c r="K211" s="439">
        <f>élec!AA212+élec!AE212+élec!AI212</f>
        <v>17.392639000000003</v>
      </c>
      <c r="L211" s="440">
        <f>élec!AB212+élec!AF212+élec!AJ212</f>
        <v>261.84013299999998</v>
      </c>
      <c r="M211" s="441">
        <f>élec!AC212+élec!AG212+élec!AK212</f>
        <v>85.791389900000013</v>
      </c>
      <c r="N211" s="438">
        <f>élec!AL212+élec!AP212+élec!AT212</f>
        <v>0</v>
      </c>
      <c r="O211" s="439">
        <f>élec!AM212+élec!AQ212+élec!AU212</f>
        <v>0</v>
      </c>
      <c r="P211" s="440">
        <f t="shared" si="105"/>
        <v>0</v>
      </c>
      <c r="Q211" s="441">
        <f>élec!AO212+élec!AS212+élec!AW212</f>
        <v>0</v>
      </c>
      <c r="R211" s="816">
        <f t="shared" si="109"/>
        <v>672.27186200000006</v>
      </c>
      <c r="S211" s="447">
        <f t="shared" si="106"/>
        <v>77.246469000000005</v>
      </c>
      <c r="T211" s="447">
        <f t="shared" si="107"/>
        <v>749.51833099999999</v>
      </c>
      <c r="U211" s="476">
        <f t="shared" si="108"/>
        <v>328.09549126000002</v>
      </c>
    </row>
    <row r="212" spans="1:21">
      <c r="A212" s="397" t="s">
        <v>3</v>
      </c>
      <c r="B212" s="438">
        <f>élec!B213+élec!F213+élec!J213</f>
        <v>167.49806899999999</v>
      </c>
      <c r="C212" s="439">
        <f>élec!C213+élec!G213+élec!K213</f>
        <v>36.759236000000001</v>
      </c>
      <c r="D212" s="439">
        <f>élec!D213+élec!H213+élec!L213</f>
        <v>204.25730499999997</v>
      </c>
      <c r="E212" s="441">
        <f>élec!E213+élec!I213+élec!M213</f>
        <v>87.995278229999997</v>
      </c>
      <c r="F212" s="438">
        <f>élec!N213+élec!R213+élec!V213</f>
        <v>211.83080899999999</v>
      </c>
      <c r="G212" s="439">
        <f>élec!O213+élec!S213+élec!W213</f>
        <v>40.190329000000006</v>
      </c>
      <c r="H212" s="440">
        <f>élec!P213+élec!T213+élec!X213</f>
        <v>252.02113800000001</v>
      </c>
      <c r="I212" s="441">
        <f>élec!Q213+élec!U213+élec!Y213</f>
        <v>95.904261219999995</v>
      </c>
      <c r="J212" s="438">
        <f>élec!Z213+élec!AD213+élec!AH213</f>
        <v>184.08203</v>
      </c>
      <c r="K212" s="439">
        <f>élec!AA213+élec!AE213+élec!AI213</f>
        <v>12.359401999999999</v>
      </c>
      <c r="L212" s="440">
        <f>élec!AB213+élec!AF213+élec!AJ213</f>
        <v>196.44143200000002</v>
      </c>
      <c r="M212" s="441">
        <f>élec!AC213+élec!AG213+élec!AK213</f>
        <v>76.904987269999992</v>
      </c>
      <c r="N212" s="438">
        <f>élec!AL213+élec!AP213+élec!AT213</f>
        <v>0</v>
      </c>
      <c r="O212" s="439">
        <f>élec!AM213+élec!AQ213+élec!AU213</f>
        <v>0</v>
      </c>
      <c r="P212" s="440">
        <f t="shared" si="105"/>
        <v>0</v>
      </c>
      <c r="Q212" s="441">
        <f>élec!AO213+élec!AS213+élec!AW213</f>
        <v>0</v>
      </c>
      <c r="R212" s="816">
        <f t="shared" si="109"/>
        <v>563.41090799999995</v>
      </c>
      <c r="S212" s="447">
        <f t="shared" si="106"/>
        <v>89.30896700000001</v>
      </c>
      <c r="T212" s="447">
        <f t="shared" si="107"/>
        <v>652.719875</v>
      </c>
      <c r="U212" s="476">
        <f t="shared" si="108"/>
        <v>260.80452672000001</v>
      </c>
    </row>
    <row r="213" spans="1:21">
      <c r="A213" s="397" t="s">
        <v>397</v>
      </c>
      <c r="B213" s="438">
        <f>élec!B214+élec!F214+élec!J214</f>
        <v>131.75541900000002</v>
      </c>
      <c r="C213" s="439">
        <f>élec!C214+élec!G214+élec!K214</f>
        <v>25.347750000000001</v>
      </c>
      <c r="D213" s="439">
        <f>élec!D214+élec!H214+élec!L214</f>
        <v>157.10316900000001</v>
      </c>
      <c r="E213" s="441">
        <f>élec!E214+élec!I214+élec!M214</f>
        <v>66.590723560000001</v>
      </c>
      <c r="F213" s="438">
        <f>élec!N214+élec!R214+élec!V214</f>
        <v>132.16181800000001</v>
      </c>
      <c r="G213" s="439">
        <f>élec!O214+élec!S214+élec!W214</f>
        <v>28.308912999999997</v>
      </c>
      <c r="H213" s="440">
        <f>élec!P214+élec!T214+élec!X214</f>
        <v>160.470731</v>
      </c>
      <c r="I213" s="441">
        <f>élec!Q214+élec!U214+élec!Y214</f>
        <v>70.738271900000001</v>
      </c>
      <c r="J213" s="438">
        <f>élec!Z214+élec!AD214+élec!AH214</f>
        <v>140.481765</v>
      </c>
      <c r="K213" s="439">
        <f>élec!AA214+élec!AE214+élec!AI214</f>
        <v>24.597856</v>
      </c>
      <c r="L213" s="440">
        <f>élec!AB214+élec!AF214+élec!AJ214</f>
        <v>165.079621</v>
      </c>
      <c r="M213" s="441">
        <f>élec!AC214+élec!AG214+élec!AK214</f>
        <v>60.006967110000005</v>
      </c>
      <c r="N213" s="438">
        <f>élec!AL214+élec!AP214+élec!AT214</f>
        <v>0</v>
      </c>
      <c r="O213" s="439">
        <f>élec!AM214+élec!AQ214+élec!AU214</f>
        <v>0</v>
      </c>
      <c r="P213" s="440">
        <f t="shared" si="105"/>
        <v>0</v>
      </c>
      <c r="Q213" s="441">
        <f>élec!AO214+élec!AS214+élec!AW214</f>
        <v>0</v>
      </c>
      <c r="R213" s="816">
        <f t="shared" si="109"/>
        <v>404.399002</v>
      </c>
      <c r="S213" s="447">
        <f t="shared" si="106"/>
        <v>78.254518999999988</v>
      </c>
      <c r="T213" s="447">
        <f t="shared" si="107"/>
        <v>482.65352099999996</v>
      </c>
      <c r="U213" s="476">
        <f t="shared" si="108"/>
        <v>197.33596256999999</v>
      </c>
    </row>
    <row r="214" spans="1:21">
      <c r="A214" s="397" t="s">
        <v>399</v>
      </c>
      <c r="B214" s="438">
        <f>élec!B215+élec!F215+élec!J215</f>
        <v>206.14935800000001</v>
      </c>
      <c r="C214" s="439">
        <f>élec!C215+élec!G215+élec!K215</f>
        <v>27.980152</v>
      </c>
      <c r="D214" s="439">
        <f>élec!D215+élec!H215+élec!L215</f>
        <v>234.12950999999998</v>
      </c>
      <c r="E214" s="441">
        <f>élec!E215+élec!I215+élec!M215</f>
        <v>165.61576629000001</v>
      </c>
      <c r="F214" s="438">
        <f>élec!N215+élec!R215+élec!V215</f>
        <v>193.235401</v>
      </c>
      <c r="G214" s="439">
        <f>élec!O215+élec!S215+élec!W215</f>
        <v>37.278156000000003</v>
      </c>
      <c r="H214" s="440">
        <f>élec!P215+élec!T215+élec!X215</f>
        <v>230.51355699999999</v>
      </c>
      <c r="I214" s="441">
        <f>élec!Q215+élec!U215+élec!Y215</f>
        <v>178.87812922999998</v>
      </c>
      <c r="J214" s="438">
        <f>élec!Z215+élec!AD215+élec!AH215</f>
        <v>228.65415300000001</v>
      </c>
      <c r="K214" s="439">
        <f>élec!AA215+élec!AE215+élec!AI215</f>
        <v>9.3728429999999996</v>
      </c>
      <c r="L214" s="440">
        <f>élec!AB215+élec!AF215+élec!AJ215</f>
        <v>238.026996</v>
      </c>
      <c r="M214" s="441">
        <f>élec!AC215+élec!AG215+élec!AK215</f>
        <v>122.56814501000001</v>
      </c>
      <c r="N214" s="438">
        <f>élec!AL215+élec!AP215+élec!AT215</f>
        <v>0</v>
      </c>
      <c r="O214" s="439">
        <f>élec!AM215+élec!AQ215+élec!AU215</f>
        <v>0</v>
      </c>
      <c r="P214" s="440">
        <f t="shared" si="105"/>
        <v>0</v>
      </c>
      <c r="Q214" s="441">
        <f>élec!AO215+élec!AS215+élec!AW215</f>
        <v>0</v>
      </c>
      <c r="R214" s="816">
        <f t="shared" si="109"/>
        <v>628.03891199999998</v>
      </c>
      <c r="S214" s="447">
        <f t="shared" si="106"/>
        <v>74.631151000000003</v>
      </c>
      <c r="T214" s="447">
        <f t="shared" si="107"/>
        <v>702.67006300000003</v>
      </c>
      <c r="U214" s="476">
        <f t="shared" si="108"/>
        <v>467.06204053000005</v>
      </c>
    </row>
    <row r="215" spans="1:21">
      <c r="A215" s="397" t="s">
        <v>883</v>
      </c>
      <c r="B215" s="438">
        <f>élec!B216+élec!F216+élec!J216</f>
        <v>113.786585</v>
      </c>
      <c r="C215" s="439">
        <f>élec!C216+élec!G216+élec!K216</f>
        <v>25.893669000000003</v>
      </c>
      <c r="D215" s="439">
        <f>élec!D216+élec!H216+élec!L216</f>
        <v>139.68025399999999</v>
      </c>
      <c r="E215" s="441">
        <f>élec!E216+élec!I216+élec!M216</f>
        <v>75.188886499999995</v>
      </c>
      <c r="F215" s="438">
        <f>élec!N216+élec!R216+élec!V216</f>
        <v>124.456633</v>
      </c>
      <c r="G215" s="439">
        <f>élec!O216+élec!S216+élec!W216</f>
        <v>25.222949999999997</v>
      </c>
      <c r="H215" s="440">
        <f>élec!P216+élec!T216+élec!X216</f>
        <v>149.67958300000001</v>
      </c>
      <c r="I215" s="441">
        <f>élec!Q216+élec!U216+élec!Y216</f>
        <v>91.224831279999989</v>
      </c>
      <c r="J215" s="438">
        <f>élec!Z216+élec!AD216+élec!AH216</f>
        <v>189.6234753</v>
      </c>
      <c r="K215" s="439">
        <f>élec!AA216+élec!AE216+élec!AI216</f>
        <v>18.251587499999999</v>
      </c>
      <c r="L215" s="440">
        <f>élec!AB216+élec!AF216+élec!AJ216</f>
        <v>207.87506279999999</v>
      </c>
      <c r="M215" s="441">
        <f>élec!AC216+élec!AG216+élec!AK216</f>
        <v>71.557022900000021</v>
      </c>
      <c r="N215" s="438">
        <f>élec!AL216+élec!AP216+élec!AT216</f>
        <v>0</v>
      </c>
      <c r="O215" s="439">
        <f>élec!AM216+élec!AQ216+élec!AU216</f>
        <v>0</v>
      </c>
      <c r="P215" s="440">
        <f t="shared" si="105"/>
        <v>0</v>
      </c>
      <c r="Q215" s="441">
        <f>élec!AO216+élec!AS216+élec!AW216</f>
        <v>0</v>
      </c>
      <c r="R215" s="816">
        <f t="shared" si="109"/>
        <v>427.86669330000001</v>
      </c>
      <c r="S215" s="447">
        <f t="shared" si="106"/>
        <v>69.368206499999999</v>
      </c>
      <c r="T215" s="447">
        <f t="shared" si="107"/>
        <v>497.23489979999999</v>
      </c>
      <c r="U215" s="476">
        <f t="shared" si="108"/>
        <v>237.97074068000001</v>
      </c>
    </row>
    <row r="216" spans="1:21">
      <c r="A216" s="397" t="s">
        <v>884</v>
      </c>
      <c r="B216" s="438">
        <f>élec!B217+élec!F217+élec!J217</f>
        <v>164.309719</v>
      </c>
      <c r="C216" s="439">
        <f>élec!C217+élec!G217+élec!K217</f>
        <v>33.125546999999997</v>
      </c>
      <c r="D216" s="439">
        <f>élec!D217+élec!H217+élec!L217</f>
        <v>197.43526600000001</v>
      </c>
      <c r="E216" s="441">
        <f>élec!E217+élec!I217+élec!M217</f>
        <v>68.126469240000006</v>
      </c>
      <c r="F216" s="438">
        <f>élec!N217+élec!R217+élec!V217</f>
        <v>170.95826300000002</v>
      </c>
      <c r="G216" s="439">
        <f>élec!O217+élec!S217+élec!W217</f>
        <v>36.098205</v>
      </c>
      <c r="H216" s="440">
        <f>élec!P217+élec!T217+élec!X217</f>
        <v>207.056468</v>
      </c>
      <c r="I216" s="441">
        <f>élec!Q217+élec!U217+élec!Y217</f>
        <v>83.919585820000009</v>
      </c>
      <c r="J216" s="438">
        <f>élec!Z217+élec!AD217+élec!AH217</f>
        <v>250.85907400000002</v>
      </c>
      <c r="K216" s="439">
        <f>élec!AA217+élec!AE217+élec!AI217</f>
        <v>27.517330000000001</v>
      </c>
      <c r="L216" s="440">
        <f>élec!AB217+élec!AF217+élec!AJ217</f>
        <v>278.37640399999998</v>
      </c>
      <c r="M216" s="441">
        <f>élec!AC217+élec!AG217+élec!AK217</f>
        <v>71.686421300000006</v>
      </c>
      <c r="N216" s="438">
        <f>élec!AL217+élec!AP217+élec!AT217</f>
        <v>0</v>
      </c>
      <c r="O216" s="439">
        <f>élec!AM217+élec!AQ217+élec!AU217</f>
        <v>0</v>
      </c>
      <c r="P216" s="440">
        <f t="shared" si="105"/>
        <v>0</v>
      </c>
      <c r="Q216" s="441">
        <f>élec!AO217+élec!AS217+élec!AW217</f>
        <v>0</v>
      </c>
      <c r="R216" s="816">
        <f t="shared" si="109"/>
        <v>586.12705600000004</v>
      </c>
      <c r="S216" s="447">
        <f t="shared" si="106"/>
        <v>96.741081999999992</v>
      </c>
      <c r="T216" s="447">
        <f t="shared" si="107"/>
        <v>682.86813800000004</v>
      </c>
      <c r="U216" s="476">
        <f t="shared" si="108"/>
        <v>223.73247636000002</v>
      </c>
    </row>
    <row r="217" spans="1:21" ht="14.4" thickBot="1">
      <c r="A217" s="397" t="s">
        <v>885</v>
      </c>
      <c r="B217" s="438">
        <f>élec!B218+élec!F218+élec!J218</f>
        <v>32.440968999999996</v>
      </c>
      <c r="C217" s="439">
        <f>élec!C218+élec!G218+élec!K218</f>
        <v>11.985082999999999</v>
      </c>
      <c r="D217" s="439">
        <f>élec!D218+élec!H218+élec!L218</f>
        <v>44.426051999999999</v>
      </c>
      <c r="E217" s="441">
        <f>élec!E218+élec!I218+élec!M218</f>
        <v>17.410602790000002</v>
      </c>
      <c r="F217" s="438">
        <f>élec!N218+élec!R218+élec!V218</f>
        <v>34.768444000000002</v>
      </c>
      <c r="G217" s="439">
        <f>élec!O218+élec!S218+élec!W218</f>
        <v>10.226379</v>
      </c>
      <c r="H217" s="440">
        <f>élec!P218+élec!T218+élec!X218</f>
        <v>44.994822999999997</v>
      </c>
      <c r="I217" s="441">
        <f>élec!Q218+élec!U218+élec!Y218</f>
        <v>18.284777419999998</v>
      </c>
      <c r="J217" s="438">
        <f>élec!Z218+élec!AD218+élec!AH218</f>
        <v>40.005927</v>
      </c>
      <c r="K217" s="439">
        <f>élec!AA218+élec!AE218+élec!AI218</f>
        <v>7.086131</v>
      </c>
      <c r="L217" s="440">
        <f>élec!AB218+élec!AF218+élec!AJ218</f>
        <v>47.092058000000002</v>
      </c>
      <c r="M217" s="441">
        <f>élec!AC218+élec!AG218+élec!AK218</f>
        <v>10.593245959999999</v>
      </c>
      <c r="N217" s="438">
        <f>élec!AL218+élec!AP218+élec!AT218</f>
        <v>0</v>
      </c>
      <c r="O217" s="439">
        <f>élec!AM218+élec!AQ218+élec!AU218</f>
        <v>0</v>
      </c>
      <c r="P217" s="440">
        <f t="shared" si="105"/>
        <v>0</v>
      </c>
      <c r="Q217" s="441">
        <f>élec!AO218+élec!AS218+élec!AW218</f>
        <v>0</v>
      </c>
      <c r="R217" s="816">
        <f t="shared" si="109"/>
        <v>107.21534</v>
      </c>
      <c r="S217" s="447">
        <f t="shared" si="106"/>
        <v>29.297592999999999</v>
      </c>
      <c r="T217" s="447">
        <f t="shared" si="107"/>
        <v>136.512933</v>
      </c>
      <c r="U217" s="476">
        <f t="shared" si="108"/>
        <v>46.288626169999993</v>
      </c>
    </row>
    <row r="218" spans="1:21" ht="14.4" thickBot="1">
      <c r="A218" s="433" t="s">
        <v>16</v>
      </c>
      <c r="B218" s="455">
        <f t="shared" ref="B218:U218" si="110">SUM(B208:B217)</f>
        <v>1516.6780840012414</v>
      </c>
      <c r="C218" s="456">
        <f t="shared" si="110"/>
        <v>291.04687399999995</v>
      </c>
      <c r="D218" s="456">
        <f t="shared" si="110"/>
        <v>1807.724958001241</v>
      </c>
      <c r="E218" s="457">
        <f t="shared" si="110"/>
        <v>964.96515597899986</v>
      </c>
      <c r="F218" s="455">
        <f t="shared" si="110"/>
        <v>1587.775073</v>
      </c>
      <c r="G218" s="456">
        <f t="shared" si="110"/>
        <v>305.921718</v>
      </c>
      <c r="H218" s="456">
        <f t="shared" si="110"/>
        <v>1893.6967910000003</v>
      </c>
      <c r="I218" s="457">
        <f t="shared" si="110"/>
        <v>1029.7122092979998</v>
      </c>
      <c r="J218" s="455">
        <f t="shared" si="110"/>
        <v>1909.9796153</v>
      </c>
      <c r="K218" s="456">
        <f t="shared" si="110"/>
        <v>167.26261450000001</v>
      </c>
      <c r="L218" s="456">
        <f t="shared" si="110"/>
        <v>2077.2422298000001</v>
      </c>
      <c r="M218" s="457">
        <f t="shared" si="110"/>
        <v>787.57549796000001</v>
      </c>
      <c r="N218" s="455">
        <f t="shared" si="110"/>
        <v>0</v>
      </c>
      <c r="O218" s="456">
        <f t="shared" si="110"/>
        <v>0</v>
      </c>
      <c r="P218" s="456">
        <f t="shared" si="110"/>
        <v>0</v>
      </c>
      <c r="Q218" s="457">
        <f t="shared" si="110"/>
        <v>0</v>
      </c>
      <c r="R218" s="478">
        <f t="shared" si="110"/>
        <v>5014.4327723012411</v>
      </c>
      <c r="S218" s="478">
        <f t="shared" si="110"/>
        <v>764.2312065000001</v>
      </c>
      <c r="T218" s="478">
        <f t="shared" si="110"/>
        <v>5778.6639788012399</v>
      </c>
      <c r="U218" s="478">
        <f t="shared" si="110"/>
        <v>2782.2528632369999</v>
      </c>
    </row>
    <row r="219" spans="1:21">
      <c r="H219" s="446" t="e">
        <f>#REF!+#REF!</f>
        <v>#REF!</v>
      </c>
    </row>
    <row r="221" spans="1:21" ht="18">
      <c r="A221" s="393" t="s">
        <v>88</v>
      </c>
    </row>
    <row r="222" spans="1:21" ht="18.600000000000001" thickBot="1">
      <c r="A222" s="394">
        <f>A190</f>
        <v>2021</v>
      </c>
    </row>
    <row r="223" spans="1:21">
      <c r="A223" s="2815" t="s">
        <v>0</v>
      </c>
      <c r="B223" s="2827" t="s">
        <v>269</v>
      </c>
      <c r="C223" s="2828"/>
      <c r="D223" s="2828"/>
      <c r="E223" s="3091"/>
      <c r="F223" s="2829" t="s">
        <v>270</v>
      </c>
      <c r="G223" s="2830"/>
      <c r="H223" s="2830"/>
      <c r="I223" s="3095"/>
      <c r="J223" s="2817" t="s">
        <v>271</v>
      </c>
      <c r="K223" s="2818"/>
      <c r="L223" s="2818"/>
      <c r="M223" s="3094"/>
      <c r="N223" s="2819" t="s">
        <v>272</v>
      </c>
      <c r="O223" s="2820"/>
      <c r="P223" s="2820"/>
      <c r="Q223" s="3090"/>
      <c r="R223" s="3413" t="s">
        <v>83</v>
      </c>
      <c r="S223" s="3413"/>
      <c r="T223" s="3413"/>
      <c r="U223" s="3414"/>
    </row>
    <row r="224" spans="1:21" ht="14.4" thickBot="1">
      <c r="A224" s="2816"/>
      <c r="B224" s="402" t="s">
        <v>24</v>
      </c>
      <c r="C224" s="403" t="s">
        <v>90</v>
      </c>
      <c r="D224" s="403" t="s">
        <v>89</v>
      </c>
      <c r="E224" s="404" t="s">
        <v>91</v>
      </c>
      <c r="F224" s="402" t="s">
        <v>24</v>
      </c>
      <c r="G224" s="403" t="s">
        <v>90</v>
      </c>
      <c r="H224" s="403" t="s">
        <v>89</v>
      </c>
      <c r="I224" s="404" t="s">
        <v>91</v>
      </c>
      <c r="J224" s="402" t="s">
        <v>24</v>
      </c>
      <c r="K224" s="403" t="s">
        <v>90</v>
      </c>
      <c r="L224" s="403" t="s">
        <v>89</v>
      </c>
      <c r="M224" s="404" t="s">
        <v>91</v>
      </c>
      <c r="N224" s="402" t="s">
        <v>24</v>
      </c>
      <c r="O224" s="403" t="s">
        <v>90</v>
      </c>
      <c r="P224" s="403" t="s">
        <v>89</v>
      </c>
      <c r="Q224" s="404" t="s">
        <v>91</v>
      </c>
      <c r="R224" s="402" t="s">
        <v>24</v>
      </c>
      <c r="S224" s="403" t="s">
        <v>90</v>
      </c>
      <c r="T224" s="403" t="s">
        <v>89</v>
      </c>
      <c r="U224" s="404" t="s">
        <v>91</v>
      </c>
    </row>
    <row r="225" spans="1:21">
      <c r="A225" s="397" t="s">
        <v>68</v>
      </c>
      <c r="B225" s="438">
        <f>élec!B226+élec!F226+élec!J226</f>
        <v>564.60767514000042</v>
      </c>
      <c r="C225" s="439">
        <f t="shared" ref="C225:C234" si="111">+D193+E193</f>
        <v>501.83737592</v>
      </c>
      <c r="D225" s="439">
        <f t="shared" ref="D225:D235" si="112">+B225-C225</f>
        <v>62.770299220000425</v>
      </c>
      <c r="E225" s="474">
        <f t="shared" ref="E225:E235" si="113">+D225/B225*100</f>
        <v>11.117507250399292</v>
      </c>
      <c r="F225" s="817">
        <f>élec!N226+élec!R226+élec!V226</f>
        <v>548.7602305099997</v>
      </c>
      <c r="G225" s="439">
        <f t="shared" ref="G225:G234" si="114">+H193+I193</f>
        <v>491.18018848000003</v>
      </c>
      <c r="H225" s="439">
        <f t="shared" ref="H225:H235" si="115">+F225-G225</f>
        <v>57.580042029999674</v>
      </c>
      <c r="I225" s="474">
        <f t="shared" ref="I225:I235" si="116">+H225/F225*100</f>
        <v>10.492750536329259</v>
      </c>
      <c r="J225" s="818">
        <f>élec!Z226+élec!AD226+élec!AH226</f>
        <v>716.47367340999995</v>
      </c>
      <c r="K225" s="439">
        <f t="shared" ref="K225:K234" si="117">+L193+M193</f>
        <v>530.79770744999996</v>
      </c>
      <c r="L225" s="439">
        <f t="shared" ref="L225:L235" si="118">+J225-K225</f>
        <v>185.67596595999998</v>
      </c>
      <c r="M225" s="474">
        <f t="shared" ref="M225:M235" si="119">+L225/J225*100</f>
        <v>25.9152531140872</v>
      </c>
      <c r="N225" s="817">
        <f>élec!AL226+élec!AP226+élec!AT226</f>
        <v>0</v>
      </c>
      <c r="O225" s="439">
        <f t="shared" ref="O225:O234" si="120">+P193+Q193</f>
        <v>0</v>
      </c>
      <c r="P225" s="439">
        <f t="shared" ref="P225:P235" si="121">+N225-O225</f>
        <v>0</v>
      </c>
      <c r="Q225" s="474" t="e">
        <f t="shared" ref="Q225:Q235" si="122">+P225/N225*100</f>
        <v>#DIV/0!</v>
      </c>
      <c r="R225" s="815">
        <f>N225+J225+F225+B225</f>
        <v>1829.8415790600002</v>
      </c>
      <c r="S225" s="442">
        <f t="shared" ref="S225:S234" si="123">+T193+U193</f>
        <v>1523.81527185</v>
      </c>
      <c r="T225" s="442">
        <f>+R225-S225</f>
        <v>306.02630721000014</v>
      </c>
      <c r="U225" s="475">
        <f>+T225/R225*100</f>
        <v>16.724196821847688</v>
      </c>
    </row>
    <row r="226" spans="1:21">
      <c r="A226" s="397" t="s">
        <v>7</v>
      </c>
      <c r="B226" s="438">
        <f>élec!B227+élec!F227+élec!J227</f>
        <v>229.92087679999986</v>
      </c>
      <c r="C226" s="439">
        <f t="shared" si="111"/>
        <v>209.60777294000002</v>
      </c>
      <c r="D226" s="439">
        <f t="shared" si="112"/>
        <v>20.313103859999842</v>
      </c>
      <c r="E226" s="474">
        <f t="shared" si="113"/>
        <v>8.8348235891904245</v>
      </c>
      <c r="F226" s="438">
        <f>élec!N227+élec!R227+élec!V227</f>
        <v>233.8070742000001</v>
      </c>
      <c r="G226" s="439">
        <f t="shared" si="114"/>
        <v>203.08713453999999</v>
      </c>
      <c r="H226" s="439">
        <f t="shared" si="115"/>
        <v>30.719939660000108</v>
      </c>
      <c r="I226" s="474">
        <f t="shared" si="116"/>
        <v>13.139012053040823</v>
      </c>
      <c r="J226" s="819">
        <f>élec!Z227+élec!AD227+élec!AH227</f>
        <v>294.25887599999999</v>
      </c>
      <c r="K226" s="439">
        <f t="shared" si="117"/>
        <v>227.27240848400001</v>
      </c>
      <c r="L226" s="439">
        <f t="shared" si="118"/>
        <v>66.986467515999976</v>
      </c>
      <c r="M226" s="474">
        <f t="shared" si="119"/>
        <v>22.764467949643084</v>
      </c>
      <c r="N226" s="438">
        <f>élec!AL227+élec!AP227+élec!AT227</f>
        <v>0</v>
      </c>
      <c r="O226" s="439">
        <f t="shared" si="120"/>
        <v>0</v>
      </c>
      <c r="P226" s="439">
        <f t="shared" si="121"/>
        <v>0</v>
      </c>
      <c r="Q226" s="474" t="e">
        <f t="shared" si="122"/>
        <v>#DIV/0!</v>
      </c>
      <c r="R226" s="816">
        <f>N226+J226+F226+B226</f>
        <v>757.98682699999995</v>
      </c>
      <c r="S226" s="447">
        <f t="shared" si="123"/>
        <v>639.96731596400002</v>
      </c>
      <c r="T226" s="447">
        <f>+R226-S226</f>
        <v>118.01951103599993</v>
      </c>
      <c r="U226" s="476">
        <f>+T226/R226*100</f>
        <v>15.570126924646402</v>
      </c>
    </row>
    <row r="227" spans="1:21">
      <c r="A227" s="397" t="s">
        <v>8</v>
      </c>
      <c r="B227" s="438">
        <f>élec!B228+élec!F228+élec!J228</f>
        <v>213.61552200000003</v>
      </c>
      <c r="C227" s="439">
        <f t="shared" si="111"/>
        <v>189.9786278</v>
      </c>
      <c r="D227" s="439">
        <f t="shared" si="112"/>
        <v>23.636894200000029</v>
      </c>
      <c r="E227" s="474">
        <f t="shared" si="113"/>
        <v>11.065157615278549</v>
      </c>
      <c r="F227" s="438">
        <f>élec!N228+élec!R228+élec!V228</f>
        <v>210.46237099999993</v>
      </c>
      <c r="G227" s="439">
        <f t="shared" si="114"/>
        <v>190.85859387999994</v>
      </c>
      <c r="H227" s="439">
        <f t="shared" si="115"/>
        <v>19.60377711999999</v>
      </c>
      <c r="I227" s="474">
        <f t="shared" si="116"/>
        <v>9.3146233347337883</v>
      </c>
      <c r="J227" s="819">
        <f>élec!Z228+élec!AD228+élec!AH228</f>
        <v>234.64144800000005</v>
      </c>
      <c r="K227" s="439">
        <f t="shared" si="117"/>
        <v>192.44875966999996</v>
      </c>
      <c r="L227" s="439">
        <f t="shared" si="118"/>
        <v>42.192688330000095</v>
      </c>
      <c r="M227" s="474">
        <f t="shared" si="119"/>
        <v>17.981771204378216</v>
      </c>
      <c r="N227" s="438">
        <f>élec!AL228+élec!AP228+élec!AT228</f>
        <v>0</v>
      </c>
      <c r="O227" s="439">
        <f t="shared" si="120"/>
        <v>0</v>
      </c>
      <c r="P227" s="439">
        <f t="shared" si="121"/>
        <v>0</v>
      </c>
      <c r="Q227" s="474" t="e">
        <f t="shared" si="122"/>
        <v>#DIV/0!</v>
      </c>
      <c r="R227" s="816">
        <f t="shared" ref="R227:R234" si="124">N227+J227+F227+B227</f>
        <v>658.71934099999999</v>
      </c>
      <c r="S227" s="447">
        <f t="shared" si="123"/>
        <v>573.28598134999993</v>
      </c>
      <c r="T227" s="447">
        <f t="shared" ref="T227:T235" si="125">+R227-S227</f>
        <v>85.433359650000057</v>
      </c>
      <c r="U227" s="476">
        <f t="shared" ref="U227:U235" si="126">+T227/R227*100</f>
        <v>12.969614573682309</v>
      </c>
    </row>
    <row r="228" spans="1:21">
      <c r="A228" s="397" t="s">
        <v>4</v>
      </c>
      <c r="B228" s="438">
        <f>élec!B229+élec!F229+élec!J229</f>
        <v>405.95573699999994</v>
      </c>
      <c r="C228" s="439">
        <f t="shared" si="111"/>
        <v>359.61791743000003</v>
      </c>
      <c r="D228" s="439">
        <f t="shared" si="112"/>
        <v>46.337819569999908</v>
      </c>
      <c r="E228" s="474">
        <f t="shared" si="113"/>
        <v>11.414500485307814</v>
      </c>
      <c r="F228" s="438">
        <f>élec!N229+élec!R229+élec!V229</f>
        <v>374.95062200000001</v>
      </c>
      <c r="G228" s="439">
        <f t="shared" si="114"/>
        <v>344.81371048999995</v>
      </c>
      <c r="H228" s="439">
        <f t="shared" si="115"/>
        <v>30.136911510000061</v>
      </c>
      <c r="I228" s="474">
        <f t="shared" si="116"/>
        <v>8.037568080097774</v>
      </c>
      <c r="J228" s="819">
        <f>élec!Z229+élec!AD229+élec!AH229</f>
        <v>468.70445000000001</v>
      </c>
      <c r="K228" s="439">
        <f t="shared" si="117"/>
        <v>345.95733007000001</v>
      </c>
      <c r="L228" s="439">
        <f t="shared" si="118"/>
        <v>122.74711993</v>
      </c>
      <c r="M228" s="474">
        <f t="shared" si="119"/>
        <v>26.188597085007402</v>
      </c>
      <c r="N228" s="438">
        <f>élec!AL229+élec!AP229+élec!AT229</f>
        <v>0</v>
      </c>
      <c r="O228" s="439">
        <f t="shared" si="120"/>
        <v>0</v>
      </c>
      <c r="P228" s="439">
        <f t="shared" si="121"/>
        <v>0</v>
      </c>
      <c r="Q228" s="474" t="e">
        <f t="shared" si="122"/>
        <v>#DIV/0!</v>
      </c>
      <c r="R228" s="816">
        <f t="shared" si="124"/>
        <v>1249.610809</v>
      </c>
      <c r="S228" s="447">
        <f t="shared" si="123"/>
        <v>1050.3889579900001</v>
      </c>
      <c r="T228" s="447">
        <f t="shared" si="125"/>
        <v>199.22185100999991</v>
      </c>
      <c r="U228" s="476">
        <f t="shared" si="126"/>
        <v>15.94271188878616</v>
      </c>
    </row>
    <row r="229" spans="1:21">
      <c r="A229" s="397" t="s">
        <v>3</v>
      </c>
      <c r="B229" s="438">
        <f>élec!B230+élec!F230+élec!J230</f>
        <v>311.01778300000001</v>
      </c>
      <c r="C229" s="439">
        <f t="shared" si="111"/>
        <v>266.25964766999999</v>
      </c>
      <c r="D229" s="439">
        <f t="shared" si="112"/>
        <v>44.758135330000016</v>
      </c>
      <c r="E229" s="474">
        <f t="shared" si="113"/>
        <v>14.390860515522361</v>
      </c>
      <c r="F229" s="438">
        <f>élec!N230+élec!R230+élec!V230</f>
        <v>334.83905099999998</v>
      </c>
      <c r="G229" s="439">
        <f t="shared" si="114"/>
        <v>287.37910008999995</v>
      </c>
      <c r="H229" s="439">
        <f t="shared" si="115"/>
        <v>47.459950910000032</v>
      </c>
      <c r="I229" s="474">
        <f t="shared" si="116"/>
        <v>14.173959330090216</v>
      </c>
      <c r="J229" s="819">
        <f>élec!Z230+élec!AD230+élec!AH230</f>
        <v>321.78047000000004</v>
      </c>
      <c r="K229" s="439">
        <f t="shared" si="117"/>
        <v>245.68633184000004</v>
      </c>
      <c r="L229" s="439">
        <f t="shared" si="118"/>
        <v>76.09413816</v>
      </c>
      <c r="M229" s="474">
        <f t="shared" si="119"/>
        <v>23.647842319330316</v>
      </c>
      <c r="N229" s="438">
        <f>élec!AL230+élec!AP230+élec!AT230</f>
        <v>0</v>
      </c>
      <c r="O229" s="439">
        <f t="shared" si="120"/>
        <v>0</v>
      </c>
      <c r="P229" s="439">
        <f t="shared" si="121"/>
        <v>0</v>
      </c>
      <c r="Q229" s="474" t="e">
        <f t="shared" si="122"/>
        <v>#DIV/0!</v>
      </c>
      <c r="R229" s="816">
        <f t="shared" si="124"/>
        <v>967.63730400000009</v>
      </c>
      <c r="S229" s="447">
        <f t="shared" si="123"/>
        <v>799.32507960000009</v>
      </c>
      <c r="T229" s="447">
        <f t="shared" si="125"/>
        <v>168.31222439999999</v>
      </c>
      <c r="U229" s="476">
        <f t="shared" si="126"/>
        <v>17.394143828915464</v>
      </c>
    </row>
    <row r="230" spans="1:21">
      <c r="A230" s="397" t="s">
        <v>397</v>
      </c>
      <c r="B230" s="438">
        <f>élec!B231+élec!F231+élec!J231</f>
        <v>271.19327794999992</v>
      </c>
      <c r="C230" s="439">
        <f t="shared" si="111"/>
        <v>230.29214603999998</v>
      </c>
      <c r="D230" s="439">
        <f t="shared" si="112"/>
        <v>40.901131909999947</v>
      </c>
      <c r="E230" s="474">
        <f t="shared" si="113"/>
        <v>15.081912139998144</v>
      </c>
      <c r="F230" s="438">
        <f>élec!N231+élec!R231+élec!V231</f>
        <v>239.12733091000007</v>
      </c>
      <c r="G230" s="439">
        <f t="shared" si="114"/>
        <v>215.3730291</v>
      </c>
      <c r="H230" s="439">
        <f t="shared" si="115"/>
        <v>23.754301810000072</v>
      </c>
      <c r="I230" s="474">
        <f t="shared" si="116"/>
        <v>9.9337460588896196</v>
      </c>
      <c r="J230" s="819">
        <f>élec!Z231+élec!AD231+élec!AH231</f>
        <v>298.71054403000005</v>
      </c>
      <c r="K230" s="439">
        <f t="shared" si="117"/>
        <v>203.47208340999998</v>
      </c>
      <c r="L230" s="439">
        <f t="shared" si="118"/>
        <v>95.238460620000069</v>
      </c>
      <c r="M230" s="474">
        <f t="shared" si="119"/>
        <v>31.883193453805596</v>
      </c>
      <c r="N230" s="438">
        <f>élec!AL231+élec!AP231+élec!AT231</f>
        <v>0</v>
      </c>
      <c r="O230" s="439">
        <f t="shared" si="120"/>
        <v>0</v>
      </c>
      <c r="P230" s="439">
        <f t="shared" si="121"/>
        <v>0</v>
      </c>
      <c r="Q230" s="474" t="e">
        <f t="shared" si="122"/>
        <v>#DIV/0!</v>
      </c>
      <c r="R230" s="816">
        <f t="shared" si="124"/>
        <v>809.03115289000004</v>
      </c>
      <c r="S230" s="447">
        <f t="shared" si="123"/>
        <v>649.13725854999996</v>
      </c>
      <c r="T230" s="447">
        <f t="shared" si="125"/>
        <v>159.89389434000009</v>
      </c>
      <c r="U230" s="476">
        <f t="shared" si="126"/>
        <v>19.763626378147649</v>
      </c>
    </row>
    <row r="231" spans="1:21">
      <c r="A231" s="397" t="s">
        <v>399</v>
      </c>
      <c r="B231" s="438">
        <f>élec!B232+élec!F232+élec!J232</f>
        <v>467.89522900000003</v>
      </c>
      <c r="C231" s="439">
        <f t="shared" si="111"/>
        <v>400.81678455999997</v>
      </c>
      <c r="D231" s="439">
        <f t="shared" si="112"/>
        <v>67.078444440000055</v>
      </c>
      <c r="E231" s="474">
        <f t="shared" si="113"/>
        <v>14.336210391236978</v>
      </c>
      <c r="F231" s="438">
        <f>élec!N232+élec!R232+élec!V232</f>
        <v>404.55184796999993</v>
      </c>
      <c r="G231" s="439">
        <f t="shared" si="114"/>
        <v>365.06390646</v>
      </c>
      <c r="H231" s="439">
        <f t="shared" si="115"/>
        <v>39.487941509999928</v>
      </c>
      <c r="I231" s="474">
        <f t="shared" si="116"/>
        <v>9.76090993234771</v>
      </c>
      <c r="J231" s="819">
        <f>élec!Z232+élec!AD232+élec!AH232</f>
        <v>506.01608947</v>
      </c>
      <c r="K231" s="439">
        <f t="shared" si="117"/>
        <v>337.27182962000001</v>
      </c>
      <c r="L231" s="439">
        <f t="shared" si="118"/>
        <v>168.74425984999999</v>
      </c>
      <c r="M231" s="474">
        <f t="shared" si="119"/>
        <v>33.347607588276951</v>
      </c>
      <c r="N231" s="438">
        <f>élec!AL232+élec!AP232+élec!AT232</f>
        <v>0</v>
      </c>
      <c r="O231" s="439">
        <f t="shared" si="120"/>
        <v>0</v>
      </c>
      <c r="P231" s="439">
        <f t="shared" si="121"/>
        <v>0</v>
      </c>
      <c r="Q231" s="474" t="e">
        <f t="shared" si="122"/>
        <v>#DIV/0!</v>
      </c>
      <c r="R231" s="816">
        <f t="shared" si="124"/>
        <v>1378.4631664399999</v>
      </c>
      <c r="S231" s="447">
        <f t="shared" si="123"/>
        <v>1103.1525206399999</v>
      </c>
      <c r="T231" s="447">
        <f t="shared" si="125"/>
        <v>275.31064579999997</v>
      </c>
      <c r="U231" s="476">
        <f t="shared" si="126"/>
        <v>19.972288886834278</v>
      </c>
    </row>
    <row r="232" spans="1:21">
      <c r="A232" s="397" t="s">
        <v>883</v>
      </c>
      <c r="B232" s="438">
        <f>élec!B233+élec!F233+élec!J233</f>
        <v>227.56079499999998</v>
      </c>
      <c r="C232" s="439">
        <f t="shared" si="111"/>
        <v>204.10490085000001</v>
      </c>
      <c r="D232" s="439">
        <f t="shared" si="112"/>
        <v>23.455894149999978</v>
      </c>
      <c r="E232" s="474">
        <f t="shared" si="113"/>
        <v>10.307528654046044</v>
      </c>
      <c r="F232" s="438">
        <f>élec!N233+élec!R233+élec!V233</f>
        <v>253.57940600000001</v>
      </c>
      <c r="G232" s="439">
        <f t="shared" si="114"/>
        <v>218.03445456999998</v>
      </c>
      <c r="H232" s="439">
        <f t="shared" si="115"/>
        <v>35.544951430000026</v>
      </c>
      <c r="I232" s="474">
        <f t="shared" si="116"/>
        <v>14.017286336730367</v>
      </c>
      <c r="J232" s="819">
        <f>élec!Z233+élec!AD233+élec!AH233</f>
        <v>346.93320800000004</v>
      </c>
      <c r="K232" s="439">
        <f t="shared" si="117"/>
        <v>262.88662471000004</v>
      </c>
      <c r="L232" s="439">
        <f t="shared" si="118"/>
        <v>84.046583290000001</v>
      </c>
      <c r="M232" s="474">
        <f t="shared" si="119"/>
        <v>24.225580414890693</v>
      </c>
      <c r="N232" s="438">
        <f>élec!AL233+élec!AP233+élec!AT233</f>
        <v>0</v>
      </c>
      <c r="O232" s="439">
        <f t="shared" si="120"/>
        <v>0</v>
      </c>
      <c r="P232" s="439">
        <f t="shared" si="121"/>
        <v>0</v>
      </c>
      <c r="Q232" s="474" t="e">
        <f t="shared" si="122"/>
        <v>#DIV/0!</v>
      </c>
      <c r="R232" s="816">
        <f t="shared" si="124"/>
        <v>828.07340899999997</v>
      </c>
      <c r="S232" s="447">
        <f t="shared" si="123"/>
        <v>685.02598013000011</v>
      </c>
      <c r="T232" s="447">
        <f t="shared" si="125"/>
        <v>143.04742886999986</v>
      </c>
      <c r="U232" s="476">
        <f t="shared" si="126"/>
        <v>17.274727978857229</v>
      </c>
    </row>
    <row r="233" spans="1:21">
      <c r="A233" s="397" t="s">
        <v>884</v>
      </c>
      <c r="B233" s="438">
        <f>élec!B234+élec!F234+élec!J234</f>
        <v>281.59263800000002</v>
      </c>
      <c r="C233" s="439">
        <f t="shared" si="111"/>
        <v>253.17319349000002</v>
      </c>
      <c r="D233" s="439">
        <f t="shared" si="112"/>
        <v>28.419444510000005</v>
      </c>
      <c r="E233" s="474">
        <f t="shared" si="113"/>
        <v>10.092396133594942</v>
      </c>
      <c r="F233" s="438">
        <f>élec!N234+élec!R234+élec!V234</f>
        <v>308.28437600000001</v>
      </c>
      <c r="G233" s="439">
        <f t="shared" si="114"/>
        <v>263.09994175000003</v>
      </c>
      <c r="H233" s="439">
        <f t="shared" si="115"/>
        <v>45.184434249999981</v>
      </c>
      <c r="I233" s="474">
        <f t="shared" si="116"/>
        <v>14.656738312939991</v>
      </c>
      <c r="J233" s="819">
        <f>élec!Z234+élec!AD234+élec!AH234</f>
        <v>435.49091199999998</v>
      </c>
      <c r="K233" s="439">
        <f t="shared" si="117"/>
        <v>339.57416993999999</v>
      </c>
      <c r="L233" s="439">
        <f t="shared" si="118"/>
        <v>95.91674205999999</v>
      </c>
      <c r="M233" s="474">
        <f t="shared" si="119"/>
        <v>22.024969848280094</v>
      </c>
      <c r="N233" s="438">
        <f>élec!AL234+élec!AP234+élec!AT234</f>
        <v>0</v>
      </c>
      <c r="O233" s="439">
        <f t="shared" si="120"/>
        <v>0</v>
      </c>
      <c r="P233" s="439">
        <f t="shared" si="121"/>
        <v>0</v>
      </c>
      <c r="Q233" s="474" t="e">
        <f t="shared" si="122"/>
        <v>#DIV/0!</v>
      </c>
      <c r="R233" s="816">
        <f t="shared" si="124"/>
        <v>1025.3679260000001</v>
      </c>
      <c r="S233" s="447">
        <f t="shared" si="123"/>
        <v>855.84730518000003</v>
      </c>
      <c r="T233" s="447">
        <f t="shared" si="125"/>
        <v>169.52062082000009</v>
      </c>
      <c r="U233" s="476">
        <f t="shared" si="126"/>
        <v>16.532662717597045</v>
      </c>
    </row>
    <row r="234" spans="1:21" ht="14.4" thickBot="1">
      <c r="A234" s="397" t="s">
        <v>885</v>
      </c>
      <c r="B234" s="438">
        <f>élec!B235+élec!F235+élec!J235</f>
        <v>68.130102999999991</v>
      </c>
      <c r="C234" s="439">
        <f t="shared" si="111"/>
        <v>62.075008979999993</v>
      </c>
      <c r="D234" s="439">
        <f t="shared" si="112"/>
        <v>6.0550940199999985</v>
      </c>
      <c r="E234" s="474">
        <f t="shared" si="113"/>
        <v>8.8875456712578274</v>
      </c>
      <c r="F234" s="438">
        <f>élec!N235+élec!R235+élec!V235</f>
        <v>65.330344999999994</v>
      </c>
      <c r="G234" s="439">
        <f t="shared" si="114"/>
        <v>58.446977619999998</v>
      </c>
      <c r="H234" s="439">
        <f t="shared" si="115"/>
        <v>6.8833673799999957</v>
      </c>
      <c r="I234" s="474">
        <f t="shared" si="116"/>
        <v>10.536248323807254</v>
      </c>
      <c r="J234" s="819">
        <f>élec!Z235+élec!AD235+élec!AH235</f>
        <v>68.044094000000001</v>
      </c>
      <c r="K234" s="439">
        <f t="shared" si="117"/>
        <v>58.748711310000004</v>
      </c>
      <c r="L234" s="439">
        <f t="shared" si="118"/>
        <v>9.2953826899999967</v>
      </c>
      <c r="M234" s="474">
        <f t="shared" si="119"/>
        <v>13.66082218686018</v>
      </c>
      <c r="N234" s="438">
        <f>élec!AL235+élec!AP235+élec!AT235</f>
        <v>0</v>
      </c>
      <c r="O234" s="439">
        <f t="shared" si="120"/>
        <v>0</v>
      </c>
      <c r="P234" s="439">
        <f t="shared" si="121"/>
        <v>0</v>
      </c>
      <c r="Q234" s="474" t="e">
        <f t="shared" si="122"/>
        <v>#DIV/0!</v>
      </c>
      <c r="R234" s="816">
        <f t="shared" si="124"/>
        <v>201.50454199999999</v>
      </c>
      <c r="S234" s="447">
        <f t="shared" si="123"/>
        <v>179.27069790999997</v>
      </c>
      <c r="T234" s="447">
        <f t="shared" si="125"/>
        <v>22.233844090000019</v>
      </c>
      <c r="U234" s="476">
        <f t="shared" si="126"/>
        <v>11.033917086593522</v>
      </c>
    </row>
    <row r="235" spans="1:21" ht="14.4" thickBot="1">
      <c r="A235" s="433" t="s">
        <v>16</v>
      </c>
      <c r="B235" s="455">
        <f>SUM(B225:B234)</f>
        <v>3041.4896368900004</v>
      </c>
      <c r="C235" s="456">
        <f>SUM(C225:C234)</f>
        <v>2677.7633756799996</v>
      </c>
      <c r="D235" s="456">
        <f t="shared" si="112"/>
        <v>363.72626121000076</v>
      </c>
      <c r="E235" s="457">
        <f t="shared" si="113"/>
        <v>11.95881967830474</v>
      </c>
      <c r="F235" s="455">
        <f>SUM(F225:F234)</f>
        <v>2973.6926545899996</v>
      </c>
      <c r="G235" s="456">
        <f>SUM(G225:G234)</f>
        <v>2637.3370369799995</v>
      </c>
      <c r="H235" s="456">
        <f t="shared" si="115"/>
        <v>336.35561761000008</v>
      </c>
      <c r="I235" s="457">
        <f t="shared" si="116"/>
        <v>11.311041747734867</v>
      </c>
      <c r="J235" s="455">
        <f>SUM(J225:J234)</f>
        <v>3691.0537649099997</v>
      </c>
      <c r="K235" s="456">
        <f>SUM(K225:K234)</f>
        <v>2744.1159565040002</v>
      </c>
      <c r="L235" s="456">
        <f t="shared" si="118"/>
        <v>946.93780840599948</v>
      </c>
      <c r="M235" s="457">
        <f t="shared" si="119"/>
        <v>25.654944867189954</v>
      </c>
      <c r="N235" s="455">
        <f>SUM(N225:N234)</f>
        <v>0</v>
      </c>
      <c r="O235" s="456">
        <f>SUM(O225:O234)</f>
        <v>0</v>
      </c>
      <c r="P235" s="456">
        <f t="shared" si="121"/>
        <v>0</v>
      </c>
      <c r="Q235" s="457" t="e">
        <f t="shared" si="122"/>
        <v>#DIV/0!</v>
      </c>
      <c r="R235" s="478">
        <f>SUM(R225:R234)</f>
        <v>9706.236056390002</v>
      </c>
      <c r="S235" s="478">
        <f>SUM(S225:S234)</f>
        <v>8059.2163691640008</v>
      </c>
      <c r="T235" s="478">
        <f t="shared" si="125"/>
        <v>1647.0196872260012</v>
      </c>
      <c r="U235" s="478">
        <f t="shared" si="126"/>
        <v>16.968675371764757</v>
      </c>
    </row>
    <row r="236" spans="1:21">
      <c r="F236" s="117">
        <v>3.3050000000000002</v>
      </c>
      <c r="J236" s="445">
        <v>4.5890000000000004</v>
      </c>
      <c r="N236" s="117">
        <v>1.845</v>
      </c>
    </row>
    <row r="237" spans="1:21" ht="18.600000000000001" thickBot="1">
      <c r="A237" s="394">
        <f>A205</f>
        <v>2022</v>
      </c>
      <c r="O237" s="446"/>
    </row>
    <row r="238" spans="1:21">
      <c r="A238" s="2815" t="s">
        <v>0</v>
      </c>
      <c r="B238" s="2827" t="s">
        <v>269</v>
      </c>
      <c r="C238" s="2828"/>
      <c r="D238" s="2828"/>
      <c r="E238" s="3091"/>
      <c r="F238" s="2829" t="s">
        <v>270</v>
      </c>
      <c r="G238" s="2830"/>
      <c r="H238" s="2830"/>
      <c r="I238" s="3095"/>
      <c r="J238" s="2817" t="s">
        <v>271</v>
      </c>
      <c r="K238" s="2818"/>
      <c r="L238" s="2818"/>
      <c r="M238" s="3094"/>
      <c r="N238" s="2819" t="s">
        <v>272</v>
      </c>
      <c r="O238" s="2820"/>
      <c r="P238" s="2820"/>
      <c r="Q238" s="3090"/>
      <c r="R238" s="3413" t="s">
        <v>83</v>
      </c>
      <c r="S238" s="3413"/>
      <c r="T238" s="3413"/>
      <c r="U238" s="3414"/>
    </row>
    <row r="239" spans="1:21" ht="14.4" thickBot="1">
      <c r="A239" s="2816"/>
      <c r="B239" s="402" t="s">
        <v>24</v>
      </c>
      <c r="C239" s="403" t="s">
        <v>90</v>
      </c>
      <c r="D239" s="403" t="s">
        <v>89</v>
      </c>
      <c r="E239" s="404" t="s">
        <v>91</v>
      </c>
      <c r="F239" s="402" t="s">
        <v>24</v>
      </c>
      <c r="G239" s="403" t="s">
        <v>90</v>
      </c>
      <c r="H239" s="403" t="s">
        <v>89</v>
      </c>
      <c r="I239" s="404" t="s">
        <v>91</v>
      </c>
      <c r="J239" s="402" t="s">
        <v>24</v>
      </c>
      <c r="K239" s="403" t="s">
        <v>90</v>
      </c>
      <c r="L239" s="403" t="s">
        <v>89</v>
      </c>
      <c r="M239" s="404" t="s">
        <v>91</v>
      </c>
      <c r="N239" s="402" t="s">
        <v>24</v>
      </c>
      <c r="O239" s="403" t="s">
        <v>90</v>
      </c>
      <c r="P239" s="403" t="s">
        <v>89</v>
      </c>
      <c r="Q239" s="404" t="s">
        <v>91</v>
      </c>
      <c r="R239" s="402" t="s">
        <v>24</v>
      </c>
      <c r="S239" s="403" t="s">
        <v>90</v>
      </c>
      <c r="T239" s="403" t="s">
        <v>89</v>
      </c>
      <c r="U239" s="404" t="s">
        <v>91</v>
      </c>
    </row>
    <row r="240" spans="1:21">
      <c r="A240" s="397" t="s">
        <v>68</v>
      </c>
      <c r="B240" s="438">
        <f>élec!B241+élec!F241+élec!J241</f>
        <v>587.25014879000014</v>
      </c>
      <c r="C240" s="439">
        <f t="shared" ref="C240:C249" si="127">+D208+E208</f>
        <v>526.05581379</v>
      </c>
      <c r="D240" s="439">
        <f t="shared" ref="D240:D250" si="128">+B240-C240</f>
        <v>61.194335000000137</v>
      </c>
      <c r="E240" s="474">
        <f t="shared" ref="E240:E250" si="129">+D240/B240*100</f>
        <v>10.420488632670088</v>
      </c>
      <c r="F240" s="817">
        <f>élec!N241+élec!R241+élec!V241</f>
        <v>611.02402320999977</v>
      </c>
      <c r="G240" s="439">
        <f t="shared" ref="G240:G249" si="130">+H208+I208</f>
        <v>542.79567787999997</v>
      </c>
      <c r="H240" s="439">
        <f t="shared" ref="H240:H250" si="131">+F240-G240</f>
        <v>68.228345329999797</v>
      </c>
      <c r="I240" s="474">
        <f t="shared" ref="I240:I250" si="132">+H240/F240*100</f>
        <v>11.166229597907435</v>
      </c>
      <c r="J240" s="818">
        <f>élec!Z241+élec!AD241+élec!AH241</f>
        <v>757.63870943000018</v>
      </c>
      <c r="K240" s="439">
        <f t="shared" ref="K240:K249" si="133">+L208+M208</f>
        <v>553.01843744000007</v>
      </c>
      <c r="L240" s="439">
        <f t="shared" ref="L240:L250" si="134">+J240-K240</f>
        <v>204.62027199000011</v>
      </c>
      <c r="M240" s="474">
        <f t="shared" ref="M240:M250" si="135">+L240/J240*100</f>
        <v>27.007631664430605</v>
      </c>
      <c r="N240" s="817">
        <f>élec!AL241+élec!AP241+élec!AT241</f>
        <v>0</v>
      </c>
      <c r="O240" s="439">
        <f t="shared" ref="O240:O249" si="136">+P208+Q208</f>
        <v>0</v>
      </c>
      <c r="P240" s="439">
        <f t="shared" ref="P240:P250" si="137">+N240-O240</f>
        <v>0</v>
      </c>
      <c r="Q240" s="474" t="e">
        <f t="shared" ref="Q240:Q250" si="138">+P240/N240*100</f>
        <v>#DIV/0!</v>
      </c>
      <c r="R240" s="815">
        <f>N240+J240+F240+B240</f>
        <v>1955.91288143</v>
      </c>
      <c r="S240" s="442">
        <f t="shared" ref="S240:S249" si="139">+T208+U208</f>
        <v>1621.8699291099999</v>
      </c>
      <c r="T240" s="442">
        <f>+R240-S240</f>
        <v>334.04295232000004</v>
      </c>
      <c r="U240" s="475">
        <f>+T240/R240*100</f>
        <v>17.07862121526475</v>
      </c>
    </row>
    <row r="241" spans="1:21">
      <c r="A241" s="397" t="s">
        <v>7</v>
      </c>
      <c r="B241" s="438">
        <f>élec!B242+élec!F242+élec!J242</f>
        <v>242.67280060000004</v>
      </c>
      <c r="C241" s="439">
        <f t="shared" si="127"/>
        <v>222.39050594024118</v>
      </c>
      <c r="D241" s="439">
        <f t="shared" si="128"/>
        <v>20.282294659758861</v>
      </c>
      <c r="E241" s="474">
        <f t="shared" si="129"/>
        <v>8.3578771949767727</v>
      </c>
      <c r="F241" s="438">
        <f>élec!N242+élec!R242+élec!V242</f>
        <v>258.70970160000019</v>
      </c>
      <c r="G241" s="439">
        <f t="shared" si="130"/>
        <v>226.14720346800001</v>
      </c>
      <c r="H241" s="439">
        <f t="shared" si="131"/>
        <v>32.562498132000172</v>
      </c>
      <c r="I241" s="474">
        <f t="shared" si="132"/>
        <v>12.586500595306685</v>
      </c>
      <c r="J241" s="819">
        <f>élec!Z242+élec!AD242+élec!AH242</f>
        <v>298.67323479999982</v>
      </c>
      <c r="K241" s="439">
        <f t="shared" si="133"/>
        <v>228.69910794</v>
      </c>
      <c r="L241" s="439">
        <f t="shared" si="134"/>
        <v>69.974126859999814</v>
      </c>
      <c r="M241" s="474">
        <f t="shared" si="135"/>
        <v>23.428321893944229</v>
      </c>
      <c r="N241" s="438">
        <f>élec!AL242+élec!AP242+élec!AT242</f>
        <v>0</v>
      </c>
      <c r="O241" s="439">
        <f t="shared" si="136"/>
        <v>0</v>
      </c>
      <c r="P241" s="439">
        <f t="shared" si="137"/>
        <v>0</v>
      </c>
      <c r="Q241" s="474" t="e">
        <f t="shared" si="138"/>
        <v>#DIV/0!</v>
      </c>
      <c r="R241" s="816">
        <f t="shared" ref="R241:R249" si="140">N241+J241+F241+B241</f>
        <v>800.05573700000014</v>
      </c>
      <c r="S241" s="447">
        <f t="shared" si="139"/>
        <v>677.23681734824117</v>
      </c>
      <c r="T241" s="447">
        <f t="shared" ref="T241:T250" si="141">+R241-S241</f>
        <v>122.81891965175896</v>
      </c>
      <c r="U241" s="476">
        <f t="shared" ref="U241:U250" si="142">+T241/R241*100</f>
        <v>15.351295412529357</v>
      </c>
    </row>
    <row r="242" spans="1:21">
      <c r="A242" s="397" t="s">
        <v>8</v>
      </c>
      <c r="B242" s="438">
        <f>élec!B243+élec!F243+élec!J243</f>
        <v>217.85850699999986</v>
      </c>
      <c r="C242" s="439">
        <f t="shared" si="127"/>
        <v>200.38893622999998</v>
      </c>
      <c r="D242" s="439">
        <f t="shared" si="128"/>
        <v>17.469570769999876</v>
      </c>
      <c r="E242" s="474">
        <f t="shared" si="129"/>
        <v>8.0187691591955552</v>
      </c>
      <c r="F242" s="438">
        <f>élec!N243+élec!R243+élec!V243</f>
        <v>222.11485300000015</v>
      </c>
      <c r="G242" s="439">
        <f t="shared" si="130"/>
        <v>206.69323812999994</v>
      </c>
      <c r="H242" s="439">
        <f t="shared" si="131"/>
        <v>15.421614870000212</v>
      </c>
      <c r="I242" s="474">
        <f t="shared" si="132"/>
        <v>6.9430813210858089</v>
      </c>
      <c r="J242" s="819">
        <f>élec!Z243+élec!AD243+élec!AH243</f>
        <v>237.33375699999993</v>
      </c>
      <c r="K242" s="439">
        <f t="shared" si="133"/>
        <v>189.26029612999997</v>
      </c>
      <c r="L242" s="439">
        <f t="shared" si="134"/>
        <v>48.073460869999963</v>
      </c>
      <c r="M242" s="474">
        <f t="shared" si="135"/>
        <v>20.255635556302249</v>
      </c>
      <c r="N242" s="438">
        <f>élec!AL243+élec!AP243+élec!AT243</f>
        <v>0</v>
      </c>
      <c r="O242" s="439">
        <f t="shared" si="136"/>
        <v>0</v>
      </c>
      <c r="P242" s="439">
        <f t="shared" si="137"/>
        <v>0</v>
      </c>
      <c r="Q242" s="474" t="e">
        <f t="shared" si="138"/>
        <v>#DIV/0!</v>
      </c>
      <c r="R242" s="816">
        <f t="shared" si="140"/>
        <v>677.30711699999995</v>
      </c>
      <c r="S242" s="447">
        <f t="shared" si="139"/>
        <v>596.34247048999987</v>
      </c>
      <c r="T242" s="447">
        <f t="shared" si="141"/>
        <v>80.96464651000008</v>
      </c>
      <c r="U242" s="476">
        <f t="shared" si="142"/>
        <v>11.953904584469335</v>
      </c>
    </row>
    <row r="243" spans="1:21">
      <c r="A243" s="397" t="s">
        <v>4</v>
      </c>
      <c r="B243" s="438">
        <f>élec!B244+élec!F244+élec!J244</f>
        <v>410.4974170000001</v>
      </c>
      <c r="C243" s="439">
        <f t="shared" si="127"/>
        <v>365.89557540999999</v>
      </c>
      <c r="D243" s="439">
        <f t="shared" si="128"/>
        <v>44.601841590000106</v>
      </c>
      <c r="E243" s="474">
        <f t="shared" si="129"/>
        <v>10.865316014887396</v>
      </c>
      <c r="F243" s="438">
        <f>élec!N244+élec!R244+élec!V244</f>
        <v>392.75520699999976</v>
      </c>
      <c r="G243" s="439">
        <f t="shared" si="130"/>
        <v>364.08672395000008</v>
      </c>
      <c r="H243" s="439">
        <f t="shared" si="131"/>
        <v>28.668483049999679</v>
      </c>
      <c r="I243" s="474">
        <f t="shared" si="132"/>
        <v>7.2993260277768117</v>
      </c>
      <c r="J243" s="819">
        <f>élec!Z244+élec!AD244+élec!AH244</f>
        <v>466.52287580000018</v>
      </c>
      <c r="K243" s="439">
        <f t="shared" si="133"/>
        <v>347.63152289999999</v>
      </c>
      <c r="L243" s="439">
        <f t="shared" si="134"/>
        <v>118.89135290000019</v>
      </c>
      <c r="M243" s="474">
        <f t="shared" si="135"/>
        <v>25.484570868282415</v>
      </c>
      <c r="N243" s="438">
        <f>élec!AL244+élec!AP244+élec!AT244</f>
        <v>0</v>
      </c>
      <c r="O243" s="439">
        <f t="shared" si="136"/>
        <v>0</v>
      </c>
      <c r="P243" s="439">
        <f t="shared" si="137"/>
        <v>0</v>
      </c>
      <c r="Q243" s="474" t="e">
        <f t="shared" si="138"/>
        <v>#DIV/0!</v>
      </c>
      <c r="R243" s="816">
        <f t="shared" si="140"/>
        <v>1269.7754998</v>
      </c>
      <c r="S243" s="447">
        <f t="shared" si="139"/>
        <v>1077.61382226</v>
      </c>
      <c r="T243" s="447">
        <f t="shared" si="141"/>
        <v>192.16167754000003</v>
      </c>
      <c r="U243" s="476">
        <f t="shared" si="142"/>
        <v>15.133515930199239</v>
      </c>
    </row>
    <row r="244" spans="1:21">
      <c r="A244" s="397" t="s">
        <v>3</v>
      </c>
      <c r="B244" s="438">
        <f>élec!B245+élec!F245+élec!J245</f>
        <v>349.687252</v>
      </c>
      <c r="C244" s="439">
        <f t="shared" si="127"/>
        <v>292.25258322999997</v>
      </c>
      <c r="D244" s="439">
        <f t="shared" si="128"/>
        <v>57.43466877000003</v>
      </c>
      <c r="E244" s="474">
        <f t="shared" si="129"/>
        <v>16.424581806030499</v>
      </c>
      <c r="F244" s="438">
        <f>élec!N245+élec!R245+élec!V245</f>
        <v>394.65937416000003</v>
      </c>
      <c r="G244" s="439">
        <f t="shared" si="130"/>
        <v>347.92539922000003</v>
      </c>
      <c r="H244" s="439">
        <f t="shared" si="131"/>
        <v>46.733974939999996</v>
      </c>
      <c r="I244" s="474">
        <f t="shared" si="132"/>
        <v>11.841597590192659</v>
      </c>
      <c r="J244" s="819">
        <f>élec!Z245+élec!AD245+élec!AH245</f>
        <v>352.49280699999997</v>
      </c>
      <c r="K244" s="439">
        <f t="shared" si="133"/>
        <v>273.34641927000001</v>
      </c>
      <c r="L244" s="439">
        <f t="shared" si="134"/>
        <v>79.146387729999958</v>
      </c>
      <c r="M244" s="474">
        <f t="shared" si="135"/>
        <v>22.453334127184039</v>
      </c>
      <c r="N244" s="438">
        <f>élec!AL245+élec!AP245+élec!AT245</f>
        <v>0</v>
      </c>
      <c r="O244" s="439">
        <f t="shared" si="136"/>
        <v>0</v>
      </c>
      <c r="P244" s="439">
        <f t="shared" si="137"/>
        <v>0</v>
      </c>
      <c r="Q244" s="474" t="e">
        <f t="shared" si="138"/>
        <v>#DIV/0!</v>
      </c>
      <c r="R244" s="816">
        <f t="shared" si="140"/>
        <v>1096.83943316</v>
      </c>
      <c r="S244" s="447">
        <f t="shared" si="139"/>
        <v>913.52440172000001</v>
      </c>
      <c r="T244" s="447">
        <f t="shared" si="141"/>
        <v>183.31503143999998</v>
      </c>
      <c r="U244" s="476">
        <f t="shared" si="142"/>
        <v>16.713023428768278</v>
      </c>
    </row>
    <row r="245" spans="1:21">
      <c r="A245" s="397" t="s">
        <v>397</v>
      </c>
      <c r="B245" s="438">
        <f>élec!B246+élec!F246+élec!J246</f>
        <v>262.56388080999983</v>
      </c>
      <c r="C245" s="439">
        <f t="shared" si="127"/>
        <v>223.69389255999999</v>
      </c>
      <c r="D245" s="439">
        <f t="shared" si="128"/>
        <v>38.869988249999835</v>
      </c>
      <c r="E245" s="474">
        <f t="shared" si="129"/>
        <v>14.804011934195731</v>
      </c>
      <c r="F245" s="438">
        <f>élec!N246+élec!R246+élec!V246</f>
        <v>258.19137826000019</v>
      </c>
      <c r="G245" s="439">
        <f t="shared" si="130"/>
        <v>231.2090029</v>
      </c>
      <c r="H245" s="439">
        <f t="shared" si="131"/>
        <v>26.982375360000191</v>
      </c>
      <c r="I245" s="474">
        <f t="shared" si="132"/>
        <v>10.450533066533611</v>
      </c>
      <c r="J245" s="819">
        <f>élec!Z246+élec!AD246+élec!AH246</f>
        <v>315.41909596999989</v>
      </c>
      <c r="K245" s="439">
        <f t="shared" si="133"/>
        <v>225.08658811000001</v>
      </c>
      <c r="L245" s="439">
        <f t="shared" si="134"/>
        <v>90.332507859999879</v>
      </c>
      <c r="M245" s="474">
        <f t="shared" si="135"/>
        <v>28.638883635818797</v>
      </c>
      <c r="N245" s="438">
        <f>élec!AL246+élec!AP246+élec!AT246</f>
        <v>0</v>
      </c>
      <c r="O245" s="439">
        <f t="shared" si="136"/>
        <v>0</v>
      </c>
      <c r="P245" s="439">
        <f t="shared" si="137"/>
        <v>0</v>
      </c>
      <c r="Q245" s="474" t="e">
        <f t="shared" si="138"/>
        <v>#DIV/0!</v>
      </c>
      <c r="R245" s="816">
        <f t="shared" si="140"/>
        <v>836.17435503999991</v>
      </c>
      <c r="S245" s="447">
        <f t="shared" si="139"/>
        <v>679.98948356999995</v>
      </c>
      <c r="T245" s="447">
        <f t="shared" si="141"/>
        <v>156.18487146999996</v>
      </c>
      <c r="U245" s="476">
        <f t="shared" si="142"/>
        <v>18.678505329492985</v>
      </c>
    </row>
    <row r="246" spans="1:21">
      <c r="A246" s="397" t="s">
        <v>399</v>
      </c>
      <c r="B246" s="438">
        <f>élec!B247+élec!F247+élec!J247</f>
        <v>473.56574049999995</v>
      </c>
      <c r="C246" s="439">
        <f t="shared" si="127"/>
        <v>399.74527628999999</v>
      </c>
      <c r="D246" s="439">
        <f t="shared" si="128"/>
        <v>73.820464209999955</v>
      </c>
      <c r="E246" s="474">
        <f t="shared" si="129"/>
        <v>15.588218888481856</v>
      </c>
      <c r="F246" s="438">
        <f>élec!N247+élec!R247+élec!V247</f>
        <v>447.63808559999995</v>
      </c>
      <c r="G246" s="439">
        <f t="shared" si="130"/>
        <v>409.39168623</v>
      </c>
      <c r="H246" s="439">
        <f t="shared" si="131"/>
        <v>38.246399369999949</v>
      </c>
      <c r="I246" s="474">
        <f t="shared" si="132"/>
        <v>8.544044977481235</v>
      </c>
      <c r="J246" s="819">
        <f>élec!Z247+élec!AD247+élec!AH247</f>
        <v>530.91729650000002</v>
      </c>
      <c r="K246" s="439">
        <f t="shared" si="133"/>
        <v>360.59514101000002</v>
      </c>
      <c r="L246" s="439">
        <f t="shared" si="134"/>
        <v>170.32215549</v>
      </c>
      <c r="M246" s="474">
        <f t="shared" si="135"/>
        <v>32.080732086301502</v>
      </c>
      <c r="N246" s="438">
        <f>élec!AL247+élec!AP247+élec!AT247</f>
        <v>0</v>
      </c>
      <c r="O246" s="439">
        <f t="shared" si="136"/>
        <v>0</v>
      </c>
      <c r="P246" s="439">
        <f t="shared" si="137"/>
        <v>0</v>
      </c>
      <c r="Q246" s="474" t="e">
        <f t="shared" si="138"/>
        <v>#DIV/0!</v>
      </c>
      <c r="R246" s="816">
        <f t="shared" si="140"/>
        <v>1452.1211226</v>
      </c>
      <c r="S246" s="447">
        <f t="shared" si="139"/>
        <v>1169.7321035300001</v>
      </c>
      <c r="T246" s="447">
        <f t="shared" si="141"/>
        <v>282.3890190699999</v>
      </c>
      <c r="U246" s="476">
        <f t="shared" si="142"/>
        <v>19.446657353512411</v>
      </c>
    </row>
    <row r="247" spans="1:21">
      <c r="A247" s="397" t="s">
        <v>883</v>
      </c>
      <c r="B247" s="438">
        <f>élec!B248+élec!F248+élec!J248</f>
        <v>235.35022499999994</v>
      </c>
      <c r="C247" s="439">
        <f t="shared" si="127"/>
        <v>214.86914049999999</v>
      </c>
      <c r="D247" s="439">
        <f t="shared" si="128"/>
        <v>20.481084499999952</v>
      </c>
      <c r="E247" s="474">
        <f t="shared" si="129"/>
        <v>8.7023857742222077</v>
      </c>
      <c r="F247" s="438">
        <f>élec!N248+élec!R248+élec!V248</f>
        <v>283.05067700000012</v>
      </c>
      <c r="G247" s="439">
        <f t="shared" si="130"/>
        <v>240.90441428</v>
      </c>
      <c r="H247" s="439">
        <f t="shared" si="131"/>
        <v>42.146262720000124</v>
      </c>
      <c r="I247" s="474">
        <f t="shared" si="132"/>
        <v>14.890005975855733</v>
      </c>
      <c r="J247" s="819">
        <f>élec!Z248+élec!AD248+élec!AH248</f>
        <v>363.24761099999984</v>
      </c>
      <c r="K247" s="439">
        <f t="shared" si="133"/>
        <v>279.43208570000002</v>
      </c>
      <c r="L247" s="439">
        <f t="shared" si="134"/>
        <v>83.81552529999982</v>
      </c>
      <c r="M247" s="474">
        <f t="shared" si="135"/>
        <v>23.073937105673039</v>
      </c>
      <c r="N247" s="438">
        <f>élec!AL248+élec!AP248+élec!AT248</f>
        <v>0</v>
      </c>
      <c r="O247" s="439">
        <f t="shared" si="136"/>
        <v>0</v>
      </c>
      <c r="P247" s="439">
        <f t="shared" si="137"/>
        <v>0</v>
      </c>
      <c r="Q247" s="474" t="e">
        <f t="shared" si="138"/>
        <v>#DIV/0!</v>
      </c>
      <c r="R247" s="816">
        <f t="shared" si="140"/>
        <v>881.64851299999987</v>
      </c>
      <c r="S247" s="447">
        <f t="shared" si="139"/>
        <v>735.20564048000006</v>
      </c>
      <c r="T247" s="447">
        <f t="shared" si="141"/>
        <v>146.44287251999981</v>
      </c>
      <c r="U247" s="476">
        <f t="shared" si="142"/>
        <v>16.610119606700888</v>
      </c>
    </row>
    <row r="248" spans="1:21">
      <c r="A248" s="397" t="s">
        <v>884</v>
      </c>
      <c r="B248" s="438">
        <f>élec!B249+élec!F249+élec!J249</f>
        <v>285.23186900000002</v>
      </c>
      <c r="C248" s="439">
        <f t="shared" si="127"/>
        <v>265.56173524000002</v>
      </c>
      <c r="D248" s="439">
        <f t="shared" si="128"/>
        <v>19.670133759999999</v>
      </c>
      <c r="E248" s="474">
        <f t="shared" si="129"/>
        <v>6.896190747885889</v>
      </c>
      <c r="F248" s="438">
        <f>élec!N249+élec!R249+élec!V249</f>
        <v>334.40392500000007</v>
      </c>
      <c r="G248" s="439">
        <f t="shared" si="130"/>
        <v>290.97605382</v>
      </c>
      <c r="H248" s="439">
        <f t="shared" si="131"/>
        <v>43.427871180000068</v>
      </c>
      <c r="I248" s="474">
        <f t="shared" si="132"/>
        <v>12.986651152494714</v>
      </c>
      <c r="J248" s="819">
        <f>élec!Z249+élec!AD249+élec!AH249</f>
        <v>456.46719000000002</v>
      </c>
      <c r="K248" s="439">
        <f t="shared" si="133"/>
        <v>350.06282529999999</v>
      </c>
      <c r="L248" s="439">
        <f t="shared" si="134"/>
        <v>106.40436470000003</v>
      </c>
      <c r="M248" s="474">
        <f t="shared" si="135"/>
        <v>23.31040807116937</v>
      </c>
      <c r="N248" s="438">
        <f>élec!AL249+élec!AP249+élec!AT249</f>
        <v>0</v>
      </c>
      <c r="O248" s="439">
        <f t="shared" si="136"/>
        <v>0</v>
      </c>
      <c r="P248" s="439">
        <f t="shared" si="137"/>
        <v>0</v>
      </c>
      <c r="Q248" s="474" t="e">
        <f t="shared" si="138"/>
        <v>#DIV/0!</v>
      </c>
      <c r="R248" s="816">
        <f t="shared" si="140"/>
        <v>1076.1029840000001</v>
      </c>
      <c r="S248" s="447">
        <f t="shared" si="139"/>
        <v>906.60061436000001</v>
      </c>
      <c r="T248" s="447">
        <f t="shared" si="141"/>
        <v>169.5023696400001</v>
      </c>
      <c r="U248" s="476">
        <f t="shared" si="142"/>
        <v>15.751500754132291</v>
      </c>
    </row>
    <row r="249" spans="1:21" ht="14.4" thickBot="1">
      <c r="A249" s="397" t="s">
        <v>885</v>
      </c>
      <c r="B249" s="438">
        <f>élec!B250+élec!F250+élec!J250</f>
        <v>67.815782999999996</v>
      </c>
      <c r="C249" s="439">
        <f t="shared" si="127"/>
        <v>61.836654789999997</v>
      </c>
      <c r="D249" s="439">
        <f t="shared" si="128"/>
        <v>5.9791282099999989</v>
      </c>
      <c r="E249" s="474">
        <f t="shared" si="129"/>
        <v>8.8167207477350793</v>
      </c>
      <c r="F249" s="438">
        <f>élec!N250+élec!R250+élec!V250</f>
        <v>68.414843999999988</v>
      </c>
      <c r="G249" s="439">
        <f t="shared" si="130"/>
        <v>63.279600419999994</v>
      </c>
      <c r="H249" s="439">
        <f t="shared" si="131"/>
        <v>5.1352435799999938</v>
      </c>
      <c r="I249" s="474">
        <f t="shared" si="132"/>
        <v>7.5060371108936454</v>
      </c>
      <c r="J249" s="819">
        <f>élec!Z250+élec!AD250+élec!AH250</f>
        <v>66.811765000000008</v>
      </c>
      <c r="K249" s="439">
        <f t="shared" si="133"/>
        <v>57.685303959999999</v>
      </c>
      <c r="L249" s="439">
        <f t="shared" si="134"/>
        <v>9.1264610400000095</v>
      </c>
      <c r="M249" s="474">
        <f t="shared" si="135"/>
        <v>13.659960996390394</v>
      </c>
      <c r="N249" s="438">
        <f>élec!AL250+élec!AP250+élec!AT250</f>
        <v>0</v>
      </c>
      <c r="O249" s="439">
        <f t="shared" si="136"/>
        <v>0</v>
      </c>
      <c r="P249" s="439">
        <f t="shared" si="137"/>
        <v>0</v>
      </c>
      <c r="Q249" s="474" t="e">
        <f t="shared" si="138"/>
        <v>#DIV/0!</v>
      </c>
      <c r="R249" s="816">
        <f t="shared" si="140"/>
        <v>203.04239200000001</v>
      </c>
      <c r="S249" s="447">
        <f t="shared" si="139"/>
        <v>182.80155916999999</v>
      </c>
      <c r="T249" s="447">
        <f t="shared" si="141"/>
        <v>20.240832830000016</v>
      </c>
      <c r="U249" s="476">
        <f t="shared" si="142"/>
        <v>9.9687718562732535</v>
      </c>
    </row>
    <row r="250" spans="1:21" ht="14.4" thickBot="1">
      <c r="A250" s="433" t="s">
        <v>16</v>
      </c>
      <c r="B250" s="455">
        <f>SUM(B240:B249)</f>
        <v>3132.4936237000002</v>
      </c>
      <c r="C250" s="456">
        <f>SUM(C240:C249)</f>
        <v>2772.6901139802412</v>
      </c>
      <c r="D250" s="456">
        <f t="shared" si="128"/>
        <v>359.80350971975895</v>
      </c>
      <c r="E250" s="457">
        <f t="shared" si="129"/>
        <v>11.486168942134052</v>
      </c>
      <c r="F250" s="455">
        <f>SUM(F240:F249)</f>
        <v>3270.9620688300001</v>
      </c>
      <c r="G250" s="456">
        <f>SUM(G240:G249)</f>
        <v>2923.4090002979997</v>
      </c>
      <c r="H250" s="456">
        <f t="shared" si="131"/>
        <v>347.55306853200045</v>
      </c>
      <c r="I250" s="457">
        <f t="shared" si="132"/>
        <v>10.625408097634031</v>
      </c>
      <c r="J250" s="455">
        <f>SUM(J240:J249)</f>
        <v>3845.5243424999999</v>
      </c>
      <c r="K250" s="456">
        <f>SUM(K240:K249)</f>
        <v>2864.8177277600003</v>
      </c>
      <c r="L250" s="456">
        <f t="shared" si="134"/>
        <v>980.70661473999962</v>
      </c>
      <c r="M250" s="457">
        <f t="shared" si="135"/>
        <v>25.502546009172733</v>
      </c>
      <c r="N250" s="455">
        <f>SUM(N240:N249)</f>
        <v>0</v>
      </c>
      <c r="O250" s="456">
        <f>SUM(O240:O249)</f>
        <v>0</v>
      </c>
      <c r="P250" s="456">
        <f t="shared" si="137"/>
        <v>0</v>
      </c>
      <c r="Q250" s="457" t="e">
        <f t="shared" si="138"/>
        <v>#DIV/0!</v>
      </c>
      <c r="R250" s="478">
        <f>SUM(R240:R249)</f>
        <v>10248.980035029999</v>
      </c>
      <c r="S250" s="478">
        <f>SUM(S240:S249)</f>
        <v>8560.916842038243</v>
      </c>
      <c r="T250" s="478">
        <f t="shared" si="141"/>
        <v>1688.0631929917563</v>
      </c>
      <c r="U250" s="478">
        <f t="shared" si="142"/>
        <v>16.470548164033136</v>
      </c>
    </row>
    <row r="251" spans="1:21" s="426" customFormat="1"/>
    <row r="252" spans="1:21">
      <c r="A252" s="424"/>
      <c r="B252" s="424"/>
      <c r="C252" s="424"/>
      <c r="D252" s="424"/>
      <c r="E252" s="424"/>
      <c r="F252" s="424"/>
      <c r="G252" s="424"/>
      <c r="H252" s="424"/>
      <c r="I252" s="424"/>
      <c r="J252" s="424"/>
      <c r="K252" s="424"/>
      <c r="L252" s="424"/>
      <c r="M252" s="424"/>
      <c r="N252" s="424"/>
      <c r="O252" s="424"/>
      <c r="P252" s="424"/>
      <c r="Q252" s="424"/>
    </row>
    <row r="253" spans="1:21" ht="18">
      <c r="A253" s="393" t="s">
        <v>86</v>
      </c>
    </row>
    <row r="254" spans="1:21" ht="18.600000000000001" thickBot="1">
      <c r="A254" s="394">
        <f>A222</f>
        <v>2021</v>
      </c>
    </row>
    <row r="255" spans="1:21">
      <c r="A255" s="2815" t="s">
        <v>0</v>
      </c>
      <c r="B255" s="2827" t="s">
        <v>269</v>
      </c>
      <c r="C255" s="2828"/>
      <c r="D255" s="2828"/>
      <c r="E255" s="3091"/>
      <c r="F255" s="2829" t="s">
        <v>270</v>
      </c>
      <c r="G255" s="2830"/>
      <c r="H255" s="2830"/>
      <c r="I255" s="3095"/>
      <c r="J255" s="2817" t="s">
        <v>271</v>
      </c>
      <c r="K255" s="2818"/>
      <c r="L255" s="2818"/>
      <c r="M255" s="3094"/>
      <c r="N255" s="2819" t="s">
        <v>272</v>
      </c>
      <c r="O255" s="2820"/>
      <c r="P255" s="2820"/>
      <c r="Q255" s="3090"/>
      <c r="R255" s="3413" t="s">
        <v>83</v>
      </c>
      <c r="S255" s="3413"/>
      <c r="T255" s="3413"/>
      <c r="U255" s="3414"/>
    </row>
    <row r="256" spans="1:21" ht="14.4" thickBot="1">
      <c r="A256" s="2816"/>
      <c r="B256" s="402" t="s">
        <v>17</v>
      </c>
      <c r="C256" s="403" t="s">
        <v>18</v>
      </c>
      <c r="D256" s="403" t="s">
        <v>52</v>
      </c>
      <c r="E256" s="404" t="s">
        <v>19</v>
      </c>
      <c r="F256" s="402" t="s">
        <v>17</v>
      </c>
      <c r="G256" s="403" t="s">
        <v>18</v>
      </c>
      <c r="H256" s="403" t="s">
        <v>52</v>
      </c>
      <c r="I256" s="404" t="s">
        <v>19</v>
      </c>
      <c r="J256" s="402" t="s">
        <v>17</v>
      </c>
      <c r="K256" s="403" t="s">
        <v>18</v>
      </c>
      <c r="L256" s="403" t="s">
        <v>52</v>
      </c>
      <c r="M256" s="404" t="s">
        <v>19</v>
      </c>
      <c r="N256" s="402" t="s">
        <v>17</v>
      </c>
      <c r="O256" s="403" t="s">
        <v>18</v>
      </c>
      <c r="P256" s="403" t="s">
        <v>52</v>
      </c>
      <c r="Q256" s="404" t="s">
        <v>19</v>
      </c>
      <c r="R256" s="403" t="s">
        <v>17</v>
      </c>
      <c r="S256" s="403" t="s">
        <v>18</v>
      </c>
      <c r="T256" s="403" t="s">
        <v>52</v>
      </c>
      <c r="U256" s="431" t="s">
        <v>19</v>
      </c>
    </row>
    <row r="257" spans="1:21">
      <c r="A257" s="397" t="s">
        <v>68</v>
      </c>
      <c r="B257" s="450">
        <f>élec!B258+élec!F258+élec!J258</f>
        <v>1196.9597089199929</v>
      </c>
      <c r="C257" s="451">
        <f>élec!C258+élec!G258+élec!K258</f>
        <v>156.09423869</v>
      </c>
      <c r="D257" s="453">
        <f>élec!D258+élec!H258+élec!L258</f>
        <v>1353.0539476099927</v>
      </c>
      <c r="E257" s="452">
        <f>élec!E258+élec!I258+élec!M258</f>
        <v>819.10305466999989</v>
      </c>
      <c r="F257" s="450">
        <f>élec!N258+élec!R258+élec!V258</f>
        <v>1156.1111978100002</v>
      </c>
      <c r="G257" s="451">
        <f>élec!O258+élec!S258+élec!W258</f>
        <v>142.84597674999998</v>
      </c>
      <c r="H257" s="453">
        <f>élec!P258+élec!T258+élec!X258</f>
        <v>1298.9571745600001</v>
      </c>
      <c r="I257" s="452">
        <f>élec!Q258+élec!U258+élec!Y258</f>
        <v>810.10531622000008</v>
      </c>
      <c r="J257" s="450">
        <f>élec!Z258+élec!AD258+élec!AH258</f>
        <v>1580.4246047500001</v>
      </c>
      <c r="K257" s="451">
        <f>élec!AA258+élec!AE258+élec!AI258</f>
        <v>83.474507100000011</v>
      </c>
      <c r="L257" s="453">
        <f>élec!AB258+élec!AF258+élec!AJ258</f>
        <v>1663.8991118499998</v>
      </c>
      <c r="M257" s="452">
        <f>élec!AC258+élec!AG258+élec!AK258</f>
        <v>694.40160727000011</v>
      </c>
      <c r="N257" s="450">
        <f>élec!AL258+élec!AP258+élec!AT258</f>
        <v>0</v>
      </c>
      <c r="O257" s="451">
        <f>élec!AM258+élec!AQ258+élec!AU258</f>
        <v>0</v>
      </c>
      <c r="P257" s="453">
        <f t="shared" ref="P257:P266" si="143">+N257+O257</f>
        <v>0</v>
      </c>
      <c r="Q257" s="452">
        <f>élec!AO258+élec!AS258+élec!AW258</f>
        <v>0</v>
      </c>
      <c r="R257" s="815">
        <f t="shared" ref="R257:U258" si="144">B257+F257+J257+N257</f>
        <v>3933.4955114799932</v>
      </c>
      <c r="S257" s="442">
        <f t="shared" si="144"/>
        <v>382.41472253999996</v>
      </c>
      <c r="T257" s="442">
        <f t="shared" si="144"/>
        <v>4315.9102340199925</v>
      </c>
      <c r="U257" s="475">
        <f t="shared" si="144"/>
        <v>2323.6099781600001</v>
      </c>
    </row>
    <row r="258" spans="1:21">
      <c r="A258" s="397" t="s">
        <v>7</v>
      </c>
      <c r="B258" s="450">
        <f>élec!B259+élec!F259+élec!J259</f>
        <v>446.72473721000006</v>
      </c>
      <c r="C258" s="451">
        <f>élec!C259+élec!G259+élec!K259</f>
        <v>126.88544707</v>
      </c>
      <c r="D258" s="453">
        <f>élec!D259+élec!H259+élec!L259</f>
        <v>573.61018428000011</v>
      </c>
      <c r="E258" s="452">
        <f>élec!E259+élec!I259+élec!M259</f>
        <v>315.18452687000001</v>
      </c>
      <c r="F258" s="450">
        <f>élec!N259+élec!R259+élec!V259</f>
        <v>456.79461443000002</v>
      </c>
      <c r="G258" s="451">
        <f>élec!O259+élec!S259+élec!W259</f>
        <v>100.15050389</v>
      </c>
      <c r="H258" s="453">
        <f>élec!P259+élec!T259+élec!X259</f>
        <v>556.94511832000001</v>
      </c>
      <c r="I258" s="452">
        <f>élec!Q259+élec!U259+élec!Y259</f>
        <v>303.89013016000001</v>
      </c>
      <c r="J258" s="450">
        <f>élec!Z259+élec!AD259+élec!AH259</f>
        <v>727.13226086000009</v>
      </c>
      <c r="K258" s="451">
        <f>élec!AA259+élec!AE259+élec!AI259</f>
        <v>45.977505800000003</v>
      </c>
      <c r="L258" s="453">
        <f>élec!AB259+élec!AF259+élec!AJ259</f>
        <v>773.1097666600001</v>
      </c>
      <c r="M258" s="452">
        <f>élec!AC259+élec!AG259+élec!AK259</f>
        <v>241.87324045</v>
      </c>
      <c r="N258" s="450">
        <f>élec!AL259+élec!AP259+élec!AT259</f>
        <v>0</v>
      </c>
      <c r="O258" s="451">
        <f>élec!AM259+élec!AQ259+élec!AU259</f>
        <v>0</v>
      </c>
      <c r="P258" s="453">
        <f t="shared" si="143"/>
        <v>0</v>
      </c>
      <c r="Q258" s="452">
        <f>élec!AO259+élec!AS259+élec!AW259</f>
        <v>0</v>
      </c>
      <c r="R258" s="816">
        <f t="shared" si="144"/>
        <v>1630.6516125000003</v>
      </c>
      <c r="S258" s="447">
        <f t="shared" si="144"/>
        <v>273.01345676</v>
      </c>
      <c r="T258" s="447">
        <f t="shared" si="144"/>
        <v>1903.6650692600003</v>
      </c>
      <c r="U258" s="476">
        <f t="shared" si="144"/>
        <v>860.94789748000005</v>
      </c>
    </row>
    <row r="259" spans="1:21">
      <c r="A259" s="397" t="s">
        <v>8</v>
      </c>
      <c r="B259" s="450">
        <f>élec!B260+élec!F260+élec!J260</f>
        <v>452.04365465000001</v>
      </c>
      <c r="C259" s="451">
        <f>élec!C260+élec!G260+élec!K260</f>
        <v>138.41856075000001</v>
      </c>
      <c r="D259" s="453">
        <f>élec!D260+élec!H260+élec!L260</f>
        <v>590.4622154000001</v>
      </c>
      <c r="E259" s="452">
        <f>élec!E260+élec!I260+élec!M260</f>
        <v>231.57128259000001</v>
      </c>
      <c r="F259" s="450">
        <f>élec!N260+élec!R260+élec!V260</f>
        <v>507.20711865999999</v>
      </c>
      <c r="G259" s="451">
        <f>élec!O260+élec!S260+élec!W260</f>
        <v>127.02596447000001</v>
      </c>
      <c r="H259" s="453">
        <f>élec!P260+élec!T260+élec!X260</f>
        <v>634.23308312999995</v>
      </c>
      <c r="I259" s="452">
        <f>élec!Q260+élec!U260+élec!Y260</f>
        <v>225.49703756000002</v>
      </c>
      <c r="J259" s="450">
        <f>élec!Z260+élec!AD260+élec!AH260</f>
        <v>602.70612347999997</v>
      </c>
      <c r="K259" s="451">
        <f>élec!AA260+élec!AE260+élec!AI260</f>
        <v>70.09522407</v>
      </c>
      <c r="L259" s="453">
        <f>élec!AB260+élec!AF260+élec!AJ260</f>
        <v>672.80134754999995</v>
      </c>
      <c r="M259" s="452">
        <f>élec!AC260+élec!AG260+élec!AK260</f>
        <v>172.09185000000002</v>
      </c>
      <c r="N259" s="450">
        <f>élec!AL260+élec!AP260+élec!AT260</f>
        <v>0</v>
      </c>
      <c r="O259" s="451">
        <f>élec!AM260+élec!AQ260+élec!AU260</f>
        <v>0</v>
      </c>
      <c r="P259" s="453">
        <f t="shared" si="143"/>
        <v>0</v>
      </c>
      <c r="Q259" s="452">
        <f>élec!AO260+élec!AS260+élec!AW260</f>
        <v>0</v>
      </c>
      <c r="R259" s="816">
        <f t="shared" ref="R259:R266" si="145">B259+F259+J259+N259</f>
        <v>1561.95689679</v>
      </c>
      <c r="S259" s="447">
        <f t="shared" ref="S259:S266" si="146">C259+G259+K259+O259</f>
        <v>335.53974929000003</v>
      </c>
      <c r="T259" s="447">
        <f t="shared" ref="T259:T266" si="147">D259+H259+L259+P259</f>
        <v>1897.4966460799999</v>
      </c>
      <c r="U259" s="476">
        <f t="shared" ref="U259:U266" si="148">E259+I259+M259+Q259</f>
        <v>629.16017015000011</v>
      </c>
    </row>
    <row r="260" spans="1:21">
      <c r="A260" s="397" t="s">
        <v>4</v>
      </c>
      <c r="B260" s="450">
        <f>élec!B261+élec!F261+élec!J261</f>
        <v>992.57414012000004</v>
      </c>
      <c r="C260" s="451">
        <f>élec!C261+élec!G261+élec!K261</f>
        <v>162.75906665000002</v>
      </c>
      <c r="D260" s="453">
        <f>élec!D261+élec!H261+élec!L261</f>
        <v>1155.3332067699998</v>
      </c>
      <c r="E260" s="452">
        <f>élec!E261+élec!I261+élec!M261</f>
        <v>420.71400883000001</v>
      </c>
      <c r="F260" s="450">
        <f>élec!N261+élec!R261+élec!V261</f>
        <v>904.24123502999987</v>
      </c>
      <c r="G260" s="451">
        <f>élec!O261+élec!S261+élec!W261</f>
        <v>140.36173249000001</v>
      </c>
      <c r="H260" s="453">
        <f>élec!P261+élec!T261+élec!X261</f>
        <v>1044.60296752</v>
      </c>
      <c r="I260" s="452">
        <f>élec!Q261+élec!U261+élec!Y261</f>
        <v>445.30096638999999</v>
      </c>
      <c r="J260" s="450">
        <f>élec!Z261+élec!AD261+élec!AH261</f>
        <v>1163.07247418</v>
      </c>
      <c r="K260" s="451">
        <f>élec!AA261+élec!AE261+élec!AI261</f>
        <v>88.539983019999994</v>
      </c>
      <c r="L260" s="453">
        <f>élec!AB261+élec!AF261+élec!AJ261</f>
        <v>1251.6124571999999</v>
      </c>
      <c r="M260" s="452">
        <f>élec!AC261+élec!AG261+élec!AK261</f>
        <v>317.17248293</v>
      </c>
      <c r="N260" s="450">
        <f>élec!AL261+élec!AP261+élec!AT261</f>
        <v>0</v>
      </c>
      <c r="O260" s="451">
        <f>élec!AM261+élec!AQ261+élec!AU261</f>
        <v>0</v>
      </c>
      <c r="P260" s="453">
        <f t="shared" si="143"/>
        <v>0</v>
      </c>
      <c r="Q260" s="452">
        <f>élec!AO261+élec!AS261+élec!AW261</f>
        <v>0</v>
      </c>
      <c r="R260" s="816">
        <f t="shared" si="145"/>
        <v>3059.8878493299999</v>
      </c>
      <c r="S260" s="447">
        <f t="shared" si="146"/>
        <v>391.66078216000005</v>
      </c>
      <c r="T260" s="447">
        <f t="shared" si="147"/>
        <v>3451.5486314899999</v>
      </c>
      <c r="U260" s="476">
        <f t="shared" si="148"/>
        <v>1183.1874581500001</v>
      </c>
    </row>
    <row r="261" spans="1:21">
      <c r="A261" s="397" t="s">
        <v>3</v>
      </c>
      <c r="B261" s="450">
        <f>élec!B262+élec!F262+élec!J262</f>
        <v>552.85443860000009</v>
      </c>
      <c r="C261" s="451">
        <f>élec!C262+élec!G262+élec!K262</f>
        <v>121.69074178000001</v>
      </c>
      <c r="D261" s="453">
        <f>élec!D262+élec!H262+élec!L262</f>
        <v>674.54518038000015</v>
      </c>
      <c r="E261" s="452">
        <f>élec!E262+élec!I262+élec!M262</f>
        <v>353.58194291999996</v>
      </c>
      <c r="F261" s="450">
        <f>élec!N262+élec!R262+élec!V262</f>
        <v>638.09908587999985</v>
      </c>
      <c r="G261" s="451">
        <f>élec!O262+élec!S262+élec!W262</f>
        <v>99.889201319999998</v>
      </c>
      <c r="H261" s="453">
        <f>élec!P262+élec!T262+élec!X262</f>
        <v>737.98828719999995</v>
      </c>
      <c r="I261" s="452">
        <f>élec!Q262+élec!U262+élec!Y262</f>
        <v>330.04096141000002</v>
      </c>
      <c r="J261" s="450">
        <f>élec!Z262+élec!AD262+élec!AH262</f>
        <v>635.28247816999999</v>
      </c>
      <c r="K261" s="451">
        <f>élec!AA262+élec!AE262+élec!AI262</f>
        <v>53.780057440000007</v>
      </c>
      <c r="L261" s="453">
        <f>élec!AB262+élec!AF262+élec!AJ262</f>
        <v>689.06253560999994</v>
      </c>
      <c r="M261" s="452">
        <f>élec!AC262+élec!AG262+élec!AK262</f>
        <v>272.33767236999995</v>
      </c>
      <c r="N261" s="450">
        <f>élec!AL262+élec!AP262+élec!AT262</f>
        <v>0</v>
      </c>
      <c r="O261" s="451">
        <f>élec!AM262+élec!AQ262+élec!AU262</f>
        <v>0</v>
      </c>
      <c r="P261" s="453">
        <f t="shared" si="143"/>
        <v>0</v>
      </c>
      <c r="Q261" s="452">
        <f>élec!AO262+élec!AS262+élec!AW262</f>
        <v>0</v>
      </c>
      <c r="R261" s="816">
        <f t="shared" si="145"/>
        <v>1826.23600265</v>
      </c>
      <c r="S261" s="447">
        <f t="shared" si="146"/>
        <v>275.36000053999999</v>
      </c>
      <c r="T261" s="447">
        <f t="shared" si="147"/>
        <v>2101.5960031899999</v>
      </c>
      <c r="U261" s="476">
        <f t="shared" si="148"/>
        <v>955.96057669999993</v>
      </c>
    </row>
    <row r="262" spans="1:21">
      <c r="A262" s="397" t="s">
        <v>397</v>
      </c>
      <c r="B262" s="450">
        <f>élec!B263+élec!F263+élec!J263</f>
        <v>622.03707139999995</v>
      </c>
      <c r="C262" s="451">
        <f>élec!C263+élec!G263+élec!K263</f>
        <v>111.24114692999999</v>
      </c>
      <c r="D262" s="453">
        <f>élec!D263+élec!H263+élec!L263</f>
        <v>733.27821832999996</v>
      </c>
      <c r="E262" s="452">
        <f>élec!E263+élec!I263+élec!M263</f>
        <v>232.60616764000002</v>
      </c>
      <c r="F262" s="450">
        <f>élec!N263+élec!R263+élec!V263</f>
        <v>582.83024751000005</v>
      </c>
      <c r="G262" s="451">
        <f>élec!O263+élec!S263+élec!W263</f>
        <v>96.02988363</v>
      </c>
      <c r="H262" s="453">
        <f>élec!P263+élec!T263+élec!X263</f>
        <v>678.86013114000002</v>
      </c>
      <c r="I262" s="452">
        <f>élec!Q263+élec!U263+élec!Y263</f>
        <v>251.55308515000007</v>
      </c>
      <c r="J262" s="450">
        <f>élec!Z263+élec!AD263+élec!AH263</f>
        <v>603.94323374000646</v>
      </c>
      <c r="K262" s="451">
        <f>élec!AA263+élec!AE263+élec!AI263</f>
        <v>74.206845440000023</v>
      </c>
      <c r="L262" s="453">
        <f>élec!AB263+élec!AF263+élec!AJ263</f>
        <v>678.15007918000651</v>
      </c>
      <c r="M262" s="452">
        <f>élec!AC263+élec!AG263+élec!AK263</f>
        <v>214.05038552000002</v>
      </c>
      <c r="N262" s="450">
        <f>élec!AL263+élec!AP263+élec!AT263</f>
        <v>0</v>
      </c>
      <c r="O262" s="451">
        <f>élec!AM263+élec!AQ263+élec!AU263</f>
        <v>0</v>
      </c>
      <c r="P262" s="453">
        <f t="shared" si="143"/>
        <v>0</v>
      </c>
      <c r="Q262" s="452">
        <f>élec!AO263+élec!AS263+élec!AW263</f>
        <v>0</v>
      </c>
      <c r="R262" s="816">
        <f t="shared" si="145"/>
        <v>1808.8105526500065</v>
      </c>
      <c r="S262" s="447">
        <f t="shared" si="146"/>
        <v>281.47787600000004</v>
      </c>
      <c r="T262" s="447">
        <f t="shared" si="147"/>
        <v>2090.2884286500066</v>
      </c>
      <c r="U262" s="476">
        <f t="shared" si="148"/>
        <v>698.20963831000017</v>
      </c>
    </row>
    <row r="263" spans="1:21">
      <c r="A263" s="397" t="s">
        <v>399</v>
      </c>
      <c r="B263" s="450">
        <f>élec!B264+élec!F264+élec!J264</f>
        <v>941.23359634000008</v>
      </c>
      <c r="C263" s="451">
        <f>élec!C264+élec!G264+élec!K264</f>
        <v>139.14031609</v>
      </c>
      <c r="D263" s="453">
        <f>élec!D264+élec!H264+élec!L264</f>
        <v>1080.37391243</v>
      </c>
      <c r="E263" s="452">
        <f>élec!E264+élec!I264+élec!M264</f>
        <v>631.37614221000001</v>
      </c>
      <c r="F263" s="450">
        <f>élec!N264+élec!R264+élec!V264</f>
        <v>835.35591072000011</v>
      </c>
      <c r="G263" s="451">
        <f>élec!O264+élec!S264+élec!W264</f>
        <v>118.62362501000001</v>
      </c>
      <c r="H263" s="453">
        <f>élec!P264+élec!T264+élec!X264</f>
        <v>953.97953573000007</v>
      </c>
      <c r="I263" s="452">
        <f>élec!Q264+élec!U264+élec!Y264</f>
        <v>707.54342079999992</v>
      </c>
      <c r="J263" s="450">
        <f>élec!Z264+élec!AD264+élec!AH264</f>
        <v>1004.4429402800001</v>
      </c>
      <c r="K263" s="451">
        <f>élec!AA264+élec!AE264+élec!AI264</f>
        <v>24.727292630000001</v>
      </c>
      <c r="L263" s="453">
        <f>élec!AB264+élec!AF264+élec!AJ264</f>
        <v>1029.1702329100001</v>
      </c>
      <c r="M263" s="452">
        <f>élec!AC264+élec!AG264+élec!AK264</f>
        <v>540.0473111</v>
      </c>
      <c r="N263" s="450">
        <f>élec!AL264+élec!AP264+élec!AT264</f>
        <v>0</v>
      </c>
      <c r="O263" s="451">
        <f>élec!AM264+élec!AQ264+élec!AU264</f>
        <v>0</v>
      </c>
      <c r="P263" s="453">
        <f t="shared" si="143"/>
        <v>0</v>
      </c>
      <c r="Q263" s="452">
        <f>élec!AO264+élec!AS264+élec!AW264</f>
        <v>0</v>
      </c>
      <c r="R263" s="816">
        <f t="shared" si="145"/>
        <v>2781.0324473400005</v>
      </c>
      <c r="S263" s="447">
        <f t="shared" si="146"/>
        <v>282.49123373000003</v>
      </c>
      <c r="T263" s="447">
        <f t="shared" si="147"/>
        <v>3063.5236810699998</v>
      </c>
      <c r="U263" s="476">
        <f t="shared" si="148"/>
        <v>1878.9668741099999</v>
      </c>
    </row>
    <row r="264" spans="1:21">
      <c r="A264" s="397" t="s">
        <v>883</v>
      </c>
      <c r="B264" s="450">
        <f>élec!B265+élec!F265+élec!J265</f>
        <v>480.86485968000005</v>
      </c>
      <c r="C264" s="451">
        <f>élec!C265+élec!G265+élec!K265</f>
        <v>132.62027866</v>
      </c>
      <c r="D264" s="453">
        <f>élec!D265+élec!H265+élec!L265</f>
        <v>613.48513834000005</v>
      </c>
      <c r="E264" s="452">
        <f>élec!E265+élec!I265+élec!M265</f>
        <v>304.95889259999996</v>
      </c>
      <c r="F264" s="450">
        <f>élec!N265+élec!R265+élec!V265</f>
        <v>661.43306966003001</v>
      </c>
      <c r="G264" s="451">
        <f>élec!O265+élec!S265+élec!W265</f>
        <v>131.12103266999989</v>
      </c>
      <c r="H264" s="453">
        <f>élec!P265+élec!T265+élec!X265</f>
        <v>792.55410233002999</v>
      </c>
      <c r="I264" s="452">
        <f>élec!Q265+élec!U265+élec!Y265</f>
        <v>351.42451793999987</v>
      </c>
      <c r="J264" s="450">
        <f>élec!Z265+élec!AD265+élec!AH265</f>
        <v>956.23728556000003</v>
      </c>
      <c r="K264" s="451">
        <f>élec!AA265+élec!AE265+élec!AI265</f>
        <v>97.239732959999998</v>
      </c>
      <c r="L264" s="453">
        <f>élec!AB265+élec!AF265+élec!AJ265</f>
        <v>1053.47701852</v>
      </c>
      <c r="M264" s="452">
        <f>élec!AC265+élec!AG265+élec!AK265</f>
        <v>332.42684420000001</v>
      </c>
      <c r="N264" s="450">
        <f>élec!AL265+élec!AP265+élec!AT265</f>
        <v>0</v>
      </c>
      <c r="O264" s="451">
        <f>élec!AM265+élec!AQ265+élec!AU265</f>
        <v>0</v>
      </c>
      <c r="P264" s="453">
        <f t="shared" si="143"/>
        <v>0</v>
      </c>
      <c r="Q264" s="452">
        <f>élec!AO265+élec!AS265+élec!AW265</f>
        <v>0</v>
      </c>
      <c r="R264" s="816">
        <f t="shared" si="145"/>
        <v>2098.53521490003</v>
      </c>
      <c r="S264" s="447">
        <f t="shared" si="146"/>
        <v>360.98104428999989</v>
      </c>
      <c r="T264" s="447">
        <f t="shared" si="147"/>
        <v>2459.5162591900298</v>
      </c>
      <c r="U264" s="476">
        <f t="shared" si="148"/>
        <v>988.81025473999989</v>
      </c>
    </row>
    <row r="265" spans="1:21">
      <c r="A265" s="397" t="s">
        <v>884</v>
      </c>
      <c r="B265" s="450">
        <f>élec!B266+élec!F266+élec!J266</f>
        <v>634.19519604999948</v>
      </c>
      <c r="C265" s="451">
        <f>élec!C266+élec!G266+élec!K266</f>
        <v>150.23891203999997</v>
      </c>
      <c r="D265" s="453">
        <f>élec!D266+élec!H266+élec!L266</f>
        <v>784.43410808999943</v>
      </c>
      <c r="E265" s="452">
        <f>élec!E266+élec!I266+élec!M266</f>
        <v>294.46734322999998</v>
      </c>
      <c r="F265" s="450">
        <f>élec!N266+élec!R266+élec!V266</f>
        <v>624.77337687999977</v>
      </c>
      <c r="G265" s="451">
        <f>élec!O266+élec!S266+élec!W266</f>
        <v>129.81209047999999</v>
      </c>
      <c r="H265" s="453">
        <f>élec!P266+élec!T266+élec!X266</f>
        <v>754.58546735999971</v>
      </c>
      <c r="I265" s="452">
        <f>élec!Q266+élec!U266+élec!Y266</f>
        <v>293.02620393999996</v>
      </c>
      <c r="J265" s="450">
        <f>élec!Z266+élec!AD266+élec!AH266</f>
        <v>1116.4905745699998</v>
      </c>
      <c r="K265" s="451">
        <f>élec!AA266+élec!AE266+élec!AI266</f>
        <v>107.61554369</v>
      </c>
      <c r="L265" s="453">
        <f>élec!AB266+élec!AF266+élec!AJ266</f>
        <v>1224.1061182599999</v>
      </c>
      <c r="M265" s="452">
        <f>élec!AC266+élec!AG266+élec!AK266</f>
        <v>275.7550354</v>
      </c>
      <c r="N265" s="450">
        <f>élec!AL266+élec!AP266+élec!AT266</f>
        <v>0</v>
      </c>
      <c r="O265" s="451">
        <f>élec!AM266+élec!AQ266+élec!AU266</f>
        <v>0</v>
      </c>
      <c r="P265" s="453">
        <f t="shared" si="143"/>
        <v>0</v>
      </c>
      <c r="Q265" s="452">
        <f>élec!AO266+élec!AS266+élec!AW266</f>
        <v>0</v>
      </c>
      <c r="R265" s="816">
        <f t="shared" si="145"/>
        <v>2375.4591474999988</v>
      </c>
      <c r="S265" s="447">
        <f t="shared" si="146"/>
        <v>387.66654620999998</v>
      </c>
      <c r="T265" s="447">
        <f t="shared" si="147"/>
        <v>2763.1256937099988</v>
      </c>
      <c r="U265" s="476">
        <f t="shared" si="148"/>
        <v>863.24858256999994</v>
      </c>
    </row>
    <row r="266" spans="1:21" ht="14.4" thickBot="1">
      <c r="A266" s="397" t="s">
        <v>885</v>
      </c>
      <c r="B266" s="450">
        <f>élec!B267+élec!F267+élec!J267</f>
        <v>133.02221409000001</v>
      </c>
      <c r="C266" s="451">
        <f>élec!C267+élec!G267+élec!K267</f>
        <v>61.375498979999989</v>
      </c>
      <c r="D266" s="453">
        <f>élec!D267+élec!H267+élec!L267</f>
        <v>194.39771307000001</v>
      </c>
      <c r="E266" s="452">
        <f>élec!E267+élec!I267+élec!M267</f>
        <v>71.346470100000005</v>
      </c>
      <c r="F266" s="450">
        <f>élec!N267+élec!R267+élec!V267</f>
        <v>131.92838687</v>
      </c>
      <c r="G266" s="451">
        <f>élec!O267+élec!S267+élec!W267</f>
        <v>47.646901800000009</v>
      </c>
      <c r="H266" s="453">
        <f>élec!P267+élec!T267+élec!X267</f>
        <v>179.57528867000002</v>
      </c>
      <c r="I266" s="452">
        <f>élec!Q267+élec!U267+élec!Y267</f>
        <v>68.599939360000008</v>
      </c>
      <c r="J266" s="450">
        <f>élec!Z267+élec!AD267+élec!AH267</f>
        <v>175.15815327000001</v>
      </c>
      <c r="K266" s="451">
        <f>élec!AA267+élec!AE267+élec!AI267</f>
        <v>31.561675209999997</v>
      </c>
      <c r="L266" s="453">
        <f>élec!AB267+élec!AF267+élec!AJ267</f>
        <v>206.71982848000002</v>
      </c>
      <c r="M266" s="452">
        <f>élec!AC267+élec!AG267+élec!AK267</f>
        <v>48.213199610000004</v>
      </c>
      <c r="N266" s="450">
        <f>élec!AL267+élec!AP267+élec!AT267</f>
        <v>0</v>
      </c>
      <c r="O266" s="451">
        <f>élec!AM267+élec!AQ267+élec!AU267</f>
        <v>0</v>
      </c>
      <c r="P266" s="453">
        <f t="shared" si="143"/>
        <v>0</v>
      </c>
      <c r="Q266" s="452">
        <f>élec!AO267+élec!AS267+élec!AW267</f>
        <v>0</v>
      </c>
      <c r="R266" s="816">
        <f t="shared" si="145"/>
        <v>440.10875422999999</v>
      </c>
      <c r="S266" s="447">
        <f t="shared" si="146"/>
        <v>140.58407599</v>
      </c>
      <c r="T266" s="447">
        <f t="shared" si="147"/>
        <v>580.69283022000002</v>
      </c>
      <c r="U266" s="476">
        <f t="shared" si="148"/>
        <v>188.15960907000002</v>
      </c>
    </row>
    <row r="267" spans="1:21" ht="14.4" thickBot="1">
      <c r="A267" s="433" t="s">
        <v>16</v>
      </c>
      <c r="B267" s="458">
        <f t="shared" ref="B267:U267" si="149">SUM(B257:B266)</f>
        <v>6452.5096170599927</v>
      </c>
      <c r="C267" s="477">
        <f t="shared" si="149"/>
        <v>1300.46420764</v>
      </c>
      <c r="D267" s="477">
        <f t="shared" si="149"/>
        <v>7752.9738246999914</v>
      </c>
      <c r="E267" s="499">
        <f t="shared" si="149"/>
        <v>3674.9098316599998</v>
      </c>
      <c r="F267" s="458">
        <f t="shared" si="149"/>
        <v>6498.7742434500296</v>
      </c>
      <c r="G267" s="477">
        <f t="shared" si="149"/>
        <v>1133.5069125099999</v>
      </c>
      <c r="H267" s="477">
        <f t="shared" si="149"/>
        <v>7632.2811559600295</v>
      </c>
      <c r="I267" s="499">
        <f t="shared" si="149"/>
        <v>3786.9815789300005</v>
      </c>
      <c r="J267" s="458">
        <f t="shared" si="149"/>
        <v>8564.8901288600064</v>
      </c>
      <c r="K267" s="477">
        <f t="shared" si="149"/>
        <v>677.21836736</v>
      </c>
      <c r="L267" s="477">
        <f t="shared" si="149"/>
        <v>9242.1084962200057</v>
      </c>
      <c r="M267" s="499">
        <f t="shared" si="149"/>
        <v>3108.3696288500005</v>
      </c>
      <c r="N267" s="458">
        <f t="shared" si="149"/>
        <v>0</v>
      </c>
      <c r="O267" s="477">
        <f t="shared" si="149"/>
        <v>0</v>
      </c>
      <c r="P267" s="477">
        <f t="shared" si="149"/>
        <v>0</v>
      </c>
      <c r="Q267" s="499">
        <f t="shared" si="149"/>
        <v>0</v>
      </c>
      <c r="R267" s="478">
        <f t="shared" si="149"/>
        <v>21516.173989370029</v>
      </c>
      <c r="S267" s="478">
        <f t="shared" si="149"/>
        <v>3111.1894875100002</v>
      </c>
      <c r="T267" s="478">
        <f t="shared" si="149"/>
        <v>24627.363476880029</v>
      </c>
      <c r="U267" s="478">
        <f t="shared" si="149"/>
        <v>10570.261039440002</v>
      </c>
    </row>
    <row r="268" spans="1:21">
      <c r="Q268" s="445"/>
    </row>
    <row r="269" spans="1:21" ht="18.600000000000001" thickBot="1">
      <c r="A269" s="394">
        <f>A237</f>
        <v>2022</v>
      </c>
      <c r="P269" s="445"/>
      <c r="Q269" s="445"/>
    </row>
    <row r="270" spans="1:21">
      <c r="A270" s="2815" t="s">
        <v>0</v>
      </c>
      <c r="B270" s="2827" t="s">
        <v>269</v>
      </c>
      <c r="C270" s="2828"/>
      <c r="D270" s="2828"/>
      <c r="E270" s="3091"/>
      <c r="F270" s="2829" t="s">
        <v>270</v>
      </c>
      <c r="G270" s="2830"/>
      <c r="H270" s="2830"/>
      <c r="I270" s="3095"/>
      <c r="J270" s="2817" t="s">
        <v>271</v>
      </c>
      <c r="K270" s="2818"/>
      <c r="L270" s="2818"/>
      <c r="M270" s="3094"/>
      <c r="N270" s="2819" t="s">
        <v>272</v>
      </c>
      <c r="O270" s="2820"/>
      <c r="P270" s="2820"/>
      <c r="Q270" s="3090"/>
      <c r="R270" s="3413" t="s">
        <v>83</v>
      </c>
      <c r="S270" s="3413"/>
      <c r="T270" s="3413"/>
      <c r="U270" s="3414"/>
    </row>
    <row r="271" spans="1:21" ht="14.4" thickBot="1">
      <c r="A271" s="2816"/>
      <c r="B271" s="402" t="s">
        <v>17</v>
      </c>
      <c r="C271" s="403" t="s">
        <v>18</v>
      </c>
      <c r="D271" s="403" t="s">
        <v>52</v>
      </c>
      <c r="E271" s="404" t="s">
        <v>19</v>
      </c>
      <c r="F271" s="402" t="s">
        <v>17</v>
      </c>
      <c r="G271" s="403" t="s">
        <v>18</v>
      </c>
      <c r="H271" s="403" t="s">
        <v>52</v>
      </c>
      <c r="I271" s="404" t="s">
        <v>19</v>
      </c>
      <c r="J271" s="402" t="s">
        <v>17</v>
      </c>
      <c r="K271" s="403" t="s">
        <v>18</v>
      </c>
      <c r="L271" s="403" t="s">
        <v>52</v>
      </c>
      <c r="M271" s="404" t="s">
        <v>19</v>
      </c>
      <c r="N271" s="402" t="s">
        <v>17</v>
      </c>
      <c r="O271" s="403" t="s">
        <v>18</v>
      </c>
      <c r="P271" s="403" t="s">
        <v>52</v>
      </c>
      <c r="Q271" s="404" t="s">
        <v>19</v>
      </c>
      <c r="R271" s="403" t="s">
        <v>17</v>
      </c>
      <c r="S271" s="403" t="s">
        <v>18</v>
      </c>
      <c r="T271" s="403" t="s">
        <v>52</v>
      </c>
      <c r="U271" s="431" t="s">
        <v>19</v>
      </c>
    </row>
    <row r="272" spans="1:21">
      <c r="A272" s="397" t="s">
        <v>68</v>
      </c>
      <c r="B272" s="450">
        <f>élec!B273+élec!F273+élec!J273</f>
        <v>1215.4990987900001</v>
      </c>
      <c r="C272" s="451">
        <f>élec!C273+élec!G273+élec!K273</f>
        <v>163.67348820999999</v>
      </c>
      <c r="D272" s="453">
        <f>élec!D273+élec!H273+élec!L273</f>
        <v>1379.172587</v>
      </c>
      <c r="E272" s="452">
        <f>élec!E273+élec!I273+élec!M273</f>
        <v>835.48347259999991</v>
      </c>
      <c r="F272" s="450">
        <f>élec!N273+élec!R273+élec!V273</f>
        <v>1239.9209985799998</v>
      </c>
      <c r="G272" s="451">
        <f>élec!O273+élec!S273+élec!W273</f>
        <v>160.85800817000001</v>
      </c>
      <c r="H272" s="453">
        <f>élec!P273+élec!T273+élec!X273</f>
        <v>1400.77900675</v>
      </c>
      <c r="I272" s="452">
        <f>élec!Q273+élec!U273+élec!Y273</f>
        <v>877.01609703999998</v>
      </c>
      <c r="J272" s="450">
        <f>élec!Z273+élec!AD273+élec!AH273</f>
        <v>1476.6833576399999</v>
      </c>
      <c r="K272" s="451">
        <f>élec!AA273+élec!AE273+élec!AI273</f>
        <v>66.901989490000005</v>
      </c>
      <c r="L272" s="453">
        <f>élec!AB273+élec!AF273+élec!AJ273</f>
        <v>1543.5853471299999</v>
      </c>
      <c r="M272" s="452">
        <f>élec!AC273+élec!AG273+élec!AK273</f>
        <v>703.82683721599983</v>
      </c>
      <c r="N272" s="450">
        <f>élec!AL273+élec!AP273+élec!AT273</f>
        <v>0</v>
      </c>
      <c r="O272" s="451">
        <f>élec!AM273+élec!AQ273+élec!AU273</f>
        <v>0</v>
      </c>
      <c r="P272" s="453">
        <f t="shared" ref="P272:P281" si="150">+N272+O272</f>
        <v>0</v>
      </c>
      <c r="Q272" s="452">
        <f>élec!AO273+élec!AS273+élec!AW273</f>
        <v>0</v>
      </c>
      <c r="R272" s="815">
        <f t="shared" ref="R272:U273" si="151">B272+F272+J272+N272</f>
        <v>3932.1034550099998</v>
      </c>
      <c r="S272" s="442">
        <f t="shared" si="151"/>
        <v>391.43348587000003</v>
      </c>
      <c r="T272" s="442">
        <f t="shared" si="151"/>
        <v>4323.5369408799997</v>
      </c>
      <c r="U272" s="475">
        <f t="shared" si="151"/>
        <v>2416.3264068559997</v>
      </c>
    </row>
    <row r="273" spans="1:21">
      <c r="A273" s="397" t="s">
        <v>7</v>
      </c>
      <c r="B273" s="450">
        <f>élec!B274+élec!F274+élec!J274</f>
        <v>471.53967471999999</v>
      </c>
      <c r="C273" s="451">
        <f>élec!C274+élec!G274+élec!K274</f>
        <v>133.48834915</v>
      </c>
      <c r="D273" s="453">
        <f>élec!D274+élec!H274+élec!L274</f>
        <v>605.02802386999997</v>
      </c>
      <c r="E273" s="452">
        <f>élec!E274+élec!I274+élec!M274</f>
        <v>336.29152374</v>
      </c>
      <c r="F273" s="450">
        <f>élec!N274+élec!R274+élec!V274</f>
        <v>500.56887949999998</v>
      </c>
      <c r="G273" s="451">
        <f>élec!O274+élec!S274+élec!W274</f>
        <v>111.76909988</v>
      </c>
      <c r="H273" s="453">
        <f>élec!P274+élec!T274+élec!X274</f>
        <v>612.33797937999998</v>
      </c>
      <c r="I273" s="452">
        <f>élec!Q274+élec!U274+élec!Y274</f>
        <v>340.54700250000002</v>
      </c>
      <c r="J273" s="450">
        <f>élec!Z274+élec!AD274+élec!AH274</f>
        <v>711.40395978400011</v>
      </c>
      <c r="K273" s="451">
        <f>élec!AA274+élec!AE274+élec!AI274</f>
        <v>45.112829815783996</v>
      </c>
      <c r="L273" s="453">
        <f>élec!AB274+élec!AF274+élec!AJ274</f>
        <v>756.51678959978403</v>
      </c>
      <c r="M273" s="452">
        <f>élec!AC274+élec!AG274+élec!AK274</f>
        <v>252.1270916</v>
      </c>
      <c r="N273" s="450">
        <f>élec!AL274+élec!AP274+élec!AT274</f>
        <v>0</v>
      </c>
      <c r="O273" s="451">
        <f>élec!AM274+élec!AQ274+élec!AU274</f>
        <v>0</v>
      </c>
      <c r="P273" s="453">
        <f t="shared" si="150"/>
        <v>0</v>
      </c>
      <c r="Q273" s="452">
        <f>élec!AO274+élec!AS274+élec!AW274</f>
        <v>0</v>
      </c>
      <c r="R273" s="816">
        <f t="shared" si="151"/>
        <v>1683.512514004</v>
      </c>
      <c r="S273" s="447">
        <f t="shared" si="151"/>
        <v>290.37027884578401</v>
      </c>
      <c r="T273" s="447">
        <f t="shared" si="151"/>
        <v>1973.882792849784</v>
      </c>
      <c r="U273" s="476">
        <f t="shared" si="151"/>
        <v>928.96561783999994</v>
      </c>
    </row>
    <row r="274" spans="1:21">
      <c r="A274" s="397" t="s">
        <v>8</v>
      </c>
      <c r="B274" s="450">
        <f>élec!B275+élec!F275+élec!J275</f>
        <v>481.72021338999997</v>
      </c>
      <c r="C274" s="451">
        <f>élec!C275+élec!G275+élec!K275</f>
        <v>151.82133582</v>
      </c>
      <c r="D274" s="453">
        <f>élec!D275+élec!H275+élec!L275</f>
        <v>633.54154921000008</v>
      </c>
      <c r="E274" s="452">
        <f>élec!E275+élec!I275+élec!M275</f>
        <v>208.93512022999997</v>
      </c>
      <c r="F274" s="450">
        <f>élec!N275+élec!R275+élec!V275</f>
        <v>534.26709473000005</v>
      </c>
      <c r="G274" s="451">
        <f>élec!O275+élec!S275+élec!W275</f>
        <v>138.5858819</v>
      </c>
      <c r="H274" s="453">
        <f>élec!P275+élec!T275+élec!X275</f>
        <v>672.85297662999994</v>
      </c>
      <c r="I274" s="452">
        <f>élec!Q275+élec!U275+élec!Y275</f>
        <v>254.55093499999998</v>
      </c>
      <c r="J274" s="450">
        <f>élec!Z275+élec!AD275+élec!AH275</f>
        <v>629.44000628000003</v>
      </c>
      <c r="K274" s="451">
        <f>élec!AA275+élec!AE275+élec!AI275</f>
        <v>72.399556619999998</v>
      </c>
      <c r="L274" s="453">
        <f>élec!AB275+élec!AF275+élec!AJ275</f>
        <v>701.83956290000003</v>
      </c>
      <c r="M274" s="452">
        <f>élec!AC275+élec!AG275+élec!AK275</f>
        <v>157.43493470999999</v>
      </c>
      <c r="N274" s="450">
        <f>élec!AL275+élec!AP275+élec!AT275</f>
        <v>0</v>
      </c>
      <c r="O274" s="451">
        <f>élec!AM275+élec!AQ275+élec!AU275</f>
        <v>0</v>
      </c>
      <c r="P274" s="453">
        <f t="shared" si="150"/>
        <v>0</v>
      </c>
      <c r="Q274" s="452">
        <f>élec!AO275+élec!AS275+élec!AW275</f>
        <v>0</v>
      </c>
      <c r="R274" s="816">
        <f t="shared" ref="R274:R281" si="152">B274+F274+J274+N274</f>
        <v>1645.4273144000001</v>
      </c>
      <c r="S274" s="447">
        <f t="shared" ref="S274:S281" si="153">C274+G274+K274+O274</f>
        <v>362.80677434</v>
      </c>
      <c r="T274" s="447">
        <f t="shared" ref="T274:T281" si="154">D274+H274+L274+P274</f>
        <v>2008.2340887400001</v>
      </c>
      <c r="U274" s="476">
        <f t="shared" ref="U274:U281" si="155">E274+I274+M274+Q274</f>
        <v>620.92098993999991</v>
      </c>
    </row>
    <row r="275" spans="1:21">
      <c r="A275" s="397" t="s">
        <v>4</v>
      </c>
      <c r="B275" s="450">
        <f>élec!B276+élec!F276+élec!J276</f>
        <v>977.89560510999991</v>
      </c>
      <c r="C275" s="451">
        <f>élec!C276+élec!G276+élec!K276</f>
        <v>167.98565418999999</v>
      </c>
      <c r="D275" s="453">
        <f>élec!D276+élec!H276+élec!L276</f>
        <v>1145.8812593</v>
      </c>
      <c r="E275" s="452">
        <f>élec!E276+élec!I276+élec!M276</f>
        <v>446.61472186999993</v>
      </c>
      <c r="F275" s="450">
        <f>élec!N276+élec!R276+élec!V276</f>
        <v>945.30097059000013</v>
      </c>
      <c r="G275" s="451">
        <f>élec!O276+élec!S276+élec!W276</f>
        <v>147.82616460999998</v>
      </c>
      <c r="H275" s="453">
        <f>élec!P276+élec!T276+élec!X276</f>
        <v>1093.1271352000001</v>
      </c>
      <c r="I275" s="452">
        <f>élec!Q276+élec!U276+élec!Y276</f>
        <v>474.70622157000003</v>
      </c>
      <c r="J275" s="450">
        <f>élec!Z276+élec!AD276+élec!AH276</f>
        <v>1151.7414243099886</v>
      </c>
      <c r="K275" s="451">
        <f>élec!AA276+élec!AE276+élec!AI276</f>
        <v>91.384679800000015</v>
      </c>
      <c r="L275" s="453">
        <f>élec!AB276+élec!AF276+élec!AJ276</f>
        <v>1243.1261041099885</v>
      </c>
      <c r="M275" s="452">
        <f>élec!AC276+élec!AG276+élec!AK276</f>
        <v>328.17109761999995</v>
      </c>
      <c r="N275" s="450">
        <f>élec!AL276+élec!AP276+élec!AT276</f>
        <v>0</v>
      </c>
      <c r="O275" s="451">
        <f>élec!AM276+élec!AQ276+élec!AU276</f>
        <v>0</v>
      </c>
      <c r="P275" s="453">
        <f t="shared" si="150"/>
        <v>0</v>
      </c>
      <c r="Q275" s="452">
        <f>élec!AO276+élec!AS276+élec!AW276</f>
        <v>0</v>
      </c>
      <c r="R275" s="816">
        <f t="shared" si="152"/>
        <v>3074.9380000099886</v>
      </c>
      <c r="S275" s="447">
        <f t="shared" si="153"/>
        <v>407.19649859999998</v>
      </c>
      <c r="T275" s="447">
        <f t="shared" si="154"/>
        <v>3482.1344986099884</v>
      </c>
      <c r="U275" s="476">
        <f t="shared" si="155"/>
        <v>1249.4920410599998</v>
      </c>
    </row>
    <row r="276" spans="1:21">
      <c r="A276" s="397" t="s">
        <v>3</v>
      </c>
      <c r="B276" s="450">
        <f>élec!B277+élec!F277+élec!J277</f>
        <v>603.46353842999997</v>
      </c>
      <c r="C276" s="451">
        <f>élec!C277+élec!G277+élec!K277</f>
        <v>127.00956616000002</v>
      </c>
      <c r="D276" s="453">
        <f>élec!D277+élec!H277+élec!L277</f>
        <v>730.47310459000005</v>
      </c>
      <c r="E276" s="452">
        <f>élec!E277+élec!I277+élec!M277</f>
        <v>364.57080665000001</v>
      </c>
      <c r="F276" s="450">
        <f>élec!N277+élec!R277+élec!V277</f>
        <v>740.83084525999993</v>
      </c>
      <c r="G276" s="451">
        <f>élec!O277+élec!S277+élec!W277</f>
        <v>121.16032533999999</v>
      </c>
      <c r="H276" s="453">
        <f>élec!P277+élec!T277+élec!X277</f>
        <v>861.99117059999992</v>
      </c>
      <c r="I276" s="452">
        <f>élec!Q277+élec!U277+élec!Y277</f>
        <v>392.69219612000006</v>
      </c>
      <c r="J276" s="450">
        <f>élec!Z277+élec!AD277+élec!AH277</f>
        <v>726.80198829000005</v>
      </c>
      <c r="K276" s="451">
        <f>élec!AA277+élec!AE277+élec!AI277</f>
        <v>37.792396699999998</v>
      </c>
      <c r="L276" s="453">
        <f>élec!AB277+élec!AF277+élec!AJ277</f>
        <v>764.59438498999998</v>
      </c>
      <c r="M276" s="452">
        <f>élec!AC277+élec!AG277+élec!AK277</f>
        <v>305.33491085000003</v>
      </c>
      <c r="N276" s="450">
        <f>élec!AL277+élec!AP277+élec!AT277</f>
        <v>0</v>
      </c>
      <c r="O276" s="451">
        <f>élec!AM277+élec!AQ277+élec!AU277</f>
        <v>0</v>
      </c>
      <c r="P276" s="453">
        <f t="shared" si="150"/>
        <v>0</v>
      </c>
      <c r="Q276" s="452">
        <f>élec!AO277+élec!AS277+élec!AW277</f>
        <v>0</v>
      </c>
      <c r="R276" s="816">
        <f t="shared" si="152"/>
        <v>2071.0963719800002</v>
      </c>
      <c r="S276" s="447">
        <f t="shared" si="153"/>
        <v>285.96228819999999</v>
      </c>
      <c r="T276" s="447">
        <f t="shared" si="154"/>
        <v>2357.0586601800001</v>
      </c>
      <c r="U276" s="476">
        <f t="shared" si="155"/>
        <v>1062.5979136200001</v>
      </c>
    </row>
    <row r="277" spans="1:21">
      <c r="A277" s="397" t="s">
        <v>397</v>
      </c>
      <c r="B277" s="450">
        <f>élec!B278+élec!F278+élec!J278</f>
        <v>600.3966662300229</v>
      </c>
      <c r="C277" s="451">
        <f>élec!C278+élec!G278+élec!K278</f>
        <v>105.27323878999997</v>
      </c>
      <c r="D277" s="453">
        <f>élec!D278+élec!H278+élec!L278</f>
        <v>705.66990502002295</v>
      </c>
      <c r="E277" s="452">
        <f>élec!E278+élec!I278+élec!M278</f>
        <v>281.00412774</v>
      </c>
      <c r="F277" s="450">
        <f>élec!N278+élec!R278+élec!V278</f>
        <v>599.78770517002317</v>
      </c>
      <c r="G277" s="451">
        <f>élec!O278+élec!S278+élec!W278</f>
        <v>100.60204201000003</v>
      </c>
      <c r="H277" s="453">
        <f>élec!P278+élec!T278+élec!X278</f>
        <v>700.38974718002328</v>
      </c>
      <c r="I277" s="452">
        <f>élec!Q278+élec!U278+élec!Y278</f>
        <v>299.37419219000003</v>
      </c>
      <c r="J277" s="450">
        <f>élec!Z278+élec!AD278+élec!AH278</f>
        <v>666.44866137001327</v>
      </c>
      <c r="K277" s="451">
        <f>élec!AA278+élec!AE278+élec!AI278</f>
        <v>82.40119138999998</v>
      </c>
      <c r="L277" s="453">
        <f>élec!AB278+élec!AF278+élec!AJ278</f>
        <v>748.84985276001316</v>
      </c>
      <c r="M277" s="452">
        <f>élec!AC278+élec!AG278+élec!AK278</f>
        <v>269.04989635000004</v>
      </c>
      <c r="N277" s="450">
        <f>élec!AL278+élec!AP278+élec!AT278</f>
        <v>0</v>
      </c>
      <c r="O277" s="451">
        <f>élec!AM278+élec!AQ278+élec!AU278</f>
        <v>0</v>
      </c>
      <c r="P277" s="453">
        <f t="shared" si="150"/>
        <v>0</v>
      </c>
      <c r="Q277" s="452">
        <f>élec!AO278+élec!AS278+élec!AW278</f>
        <v>0</v>
      </c>
      <c r="R277" s="816">
        <f t="shared" si="152"/>
        <v>1866.6330327700593</v>
      </c>
      <c r="S277" s="447">
        <f t="shared" si="153"/>
        <v>288.27647218999994</v>
      </c>
      <c r="T277" s="447">
        <f t="shared" si="154"/>
        <v>2154.9095049600592</v>
      </c>
      <c r="U277" s="476">
        <f t="shared" si="155"/>
        <v>849.42821628000013</v>
      </c>
    </row>
    <row r="278" spans="1:21">
      <c r="A278" s="397" t="s">
        <v>399</v>
      </c>
      <c r="B278" s="450">
        <f>élec!B279+élec!F279+élec!J279</f>
        <v>965.6082619199999</v>
      </c>
      <c r="C278" s="451">
        <f>élec!C279+élec!G279+élec!K279</f>
        <v>139.08615767999999</v>
      </c>
      <c r="D278" s="453">
        <f>élec!D279+élec!H279+élec!L279</f>
        <v>1104.6944195999999</v>
      </c>
      <c r="E278" s="452">
        <f>élec!E279+élec!I279+élec!M279</f>
        <v>628.61313138999992</v>
      </c>
      <c r="F278" s="450">
        <f>élec!N279+élec!R279+élec!V279</f>
        <v>890.22180748000005</v>
      </c>
      <c r="G278" s="451">
        <f>élec!O279+élec!S279+élec!W279</f>
        <v>134.78859370000004</v>
      </c>
      <c r="H278" s="453">
        <f>élec!P279+élec!T279+élec!X279</f>
        <v>1025.0104011799999</v>
      </c>
      <c r="I278" s="452">
        <f>élec!Q279+élec!U279+élec!Y279</f>
        <v>655.39716197000007</v>
      </c>
      <c r="J278" s="450">
        <f>élec!Z279+élec!AD279+élec!AH279</f>
        <v>1102.6970464199999</v>
      </c>
      <c r="K278" s="451">
        <f>élec!AA279+élec!AE279+élec!AI279</f>
        <v>29.564239239999999</v>
      </c>
      <c r="L278" s="453">
        <f>élec!AB279+élec!AF279+élec!AJ279</f>
        <v>1132.2612856599999</v>
      </c>
      <c r="M278" s="452">
        <f>élec!AC279+élec!AG279+élec!AK279</f>
        <v>526.59699515000011</v>
      </c>
      <c r="N278" s="450">
        <f>élec!AL279+élec!AP279+élec!AT279</f>
        <v>0</v>
      </c>
      <c r="O278" s="451">
        <f>élec!AM279+élec!AQ279+élec!AU279</f>
        <v>0</v>
      </c>
      <c r="P278" s="453">
        <f t="shared" si="150"/>
        <v>0</v>
      </c>
      <c r="Q278" s="452">
        <f>élec!AO279+élec!AS279+élec!AW279</f>
        <v>0</v>
      </c>
      <c r="R278" s="816">
        <f t="shared" si="152"/>
        <v>2958.5271158199998</v>
      </c>
      <c r="S278" s="447">
        <f t="shared" si="153"/>
        <v>303.43899062000003</v>
      </c>
      <c r="T278" s="447">
        <f t="shared" si="154"/>
        <v>3261.9661064399997</v>
      </c>
      <c r="U278" s="476">
        <f t="shared" si="155"/>
        <v>1810.6072885100002</v>
      </c>
    </row>
    <row r="279" spans="1:21">
      <c r="A279" s="397" t="s">
        <v>883</v>
      </c>
      <c r="B279" s="450">
        <f>élec!B280+élec!F280+élec!J280</f>
        <v>498.43156833</v>
      </c>
      <c r="C279" s="451">
        <f>élec!C280+élec!G280+élec!K280</f>
        <v>138.88981346</v>
      </c>
      <c r="D279" s="453">
        <f>élec!D280+élec!H280+élec!L280</f>
        <v>637.32138179000003</v>
      </c>
      <c r="E279" s="452">
        <f>élec!E280+élec!I280+élec!M280</f>
        <v>315.96100094999997</v>
      </c>
      <c r="F279" s="450">
        <f>élec!N280+élec!R280+élec!V280</f>
        <v>553.07758454999998</v>
      </c>
      <c r="G279" s="451">
        <f>élec!O280+élec!S280+élec!W280</f>
        <v>135.11613939</v>
      </c>
      <c r="H279" s="453">
        <f>élec!P280+élec!T280+élec!X280</f>
        <v>688.19372393999993</v>
      </c>
      <c r="I279" s="452">
        <f>élec!Q280+élec!U280+élec!Y280</f>
        <v>374.62077704000001</v>
      </c>
      <c r="J279" s="450">
        <f>élec!Z280+élec!AD280+élec!AH280</f>
        <v>870.26808929725621</v>
      </c>
      <c r="K279" s="451">
        <f>élec!AA280+élec!AE280+élec!AI280</f>
        <v>97.855672521731293</v>
      </c>
      <c r="L279" s="453">
        <f>élec!AB280+élec!AF280+élec!AJ280</f>
        <v>968.12376181898753</v>
      </c>
      <c r="M279" s="452">
        <f>élec!AC280+élec!AG280+élec!AK280</f>
        <v>291.51342537328748</v>
      </c>
      <c r="N279" s="450">
        <f>élec!AL280+élec!AP280+élec!AT280</f>
        <v>0</v>
      </c>
      <c r="O279" s="451">
        <f>élec!AM280+élec!AQ280+élec!AU280</f>
        <v>0</v>
      </c>
      <c r="P279" s="453">
        <f t="shared" si="150"/>
        <v>0</v>
      </c>
      <c r="Q279" s="452">
        <f>élec!AO280+élec!AS280+élec!AW280</f>
        <v>0</v>
      </c>
      <c r="R279" s="816">
        <f t="shared" si="152"/>
        <v>1921.7772421772561</v>
      </c>
      <c r="S279" s="447">
        <f t="shared" si="153"/>
        <v>371.86162537173129</v>
      </c>
      <c r="T279" s="447">
        <f t="shared" si="154"/>
        <v>2293.6388675489875</v>
      </c>
      <c r="U279" s="476">
        <f t="shared" si="155"/>
        <v>982.09520336328751</v>
      </c>
    </row>
    <row r="280" spans="1:21">
      <c r="A280" s="397" t="s">
        <v>884</v>
      </c>
      <c r="B280" s="450">
        <f>élec!B281+élec!F281+élec!J281</f>
        <v>716.32601220000004</v>
      </c>
      <c r="C280" s="451">
        <f>élec!C281+élec!G281+élec!K281</f>
        <v>159.93112306</v>
      </c>
      <c r="D280" s="453">
        <f>élec!D281+élec!H281+élec!L281</f>
        <v>876.25713526000004</v>
      </c>
      <c r="E280" s="452">
        <f>élec!E281+élec!I281+élec!M281</f>
        <v>290.41675932999999</v>
      </c>
      <c r="F280" s="450">
        <f>élec!N281+élec!R281+élec!V281</f>
        <v>721.89063224999995</v>
      </c>
      <c r="G280" s="451">
        <f>élec!O281+élec!S281+élec!W281</f>
        <v>154.33578088000002</v>
      </c>
      <c r="H280" s="453">
        <f>élec!P281+élec!T281+élec!X281</f>
        <v>876.22641312999997</v>
      </c>
      <c r="I280" s="452">
        <f>élec!Q281+élec!U281+élec!Y281</f>
        <v>345.71064810000001</v>
      </c>
      <c r="J280" s="450">
        <f>élec!Z281+élec!AD281+élec!AH281</f>
        <v>1153.2472149399912</v>
      </c>
      <c r="K280" s="451">
        <f>élec!AA281+élec!AE281+élec!AI281</f>
        <v>113.51739226000004</v>
      </c>
      <c r="L280" s="453">
        <f>élec!AB281+élec!AF281+élec!AJ281</f>
        <v>1266.7646071999911</v>
      </c>
      <c r="M280" s="452">
        <f>élec!AC281+élec!AG281+élec!AK281</f>
        <v>250.207449</v>
      </c>
      <c r="N280" s="450">
        <f>élec!AL281+élec!AP281+élec!AT281</f>
        <v>0</v>
      </c>
      <c r="O280" s="451">
        <f>élec!AM281+élec!AQ281+élec!AU281</f>
        <v>0</v>
      </c>
      <c r="P280" s="453">
        <f t="shared" si="150"/>
        <v>0</v>
      </c>
      <c r="Q280" s="452">
        <f>élec!AO281+élec!AS281+élec!AW281</f>
        <v>0</v>
      </c>
      <c r="R280" s="816">
        <f t="shared" si="152"/>
        <v>2591.4638593899908</v>
      </c>
      <c r="S280" s="447">
        <f t="shared" si="153"/>
        <v>427.78429620000009</v>
      </c>
      <c r="T280" s="447">
        <f t="shared" si="154"/>
        <v>3019.2481555899913</v>
      </c>
      <c r="U280" s="476">
        <f t="shared" si="155"/>
        <v>886.33485642999995</v>
      </c>
    </row>
    <row r="281" spans="1:21" ht="14.4" thickBot="1">
      <c r="A281" s="397" t="s">
        <v>885</v>
      </c>
      <c r="B281" s="450">
        <f>élec!B282+élec!F282+élec!J282</f>
        <v>134.12857832000032</v>
      </c>
      <c r="C281" s="451">
        <f>élec!C282+élec!G282+élec!K282</f>
        <v>64.360379860000009</v>
      </c>
      <c r="D281" s="453">
        <f>élec!D282+élec!H282+élec!L282</f>
        <v>198.48895818000034</v>
      </c>
      <c r="E281" s="452">
        <f>élec!E282+élec!I282+élec!M282</f>
        <v>67.910021639999997</v>
      </c>
      <c r="F281" s="450">
        <f>élec!N282+élec!R282+élec!V282</f>
        <v>144.85585052000002</v>
      </c>
      <c r="G281" s="451">
        <f>élec!O282+élec!S282+élec!W282</f>
        <v>54.640069190000006</v>
      </c>
      <c r="H281" s="453">
        <f>élec!P282+élec!T282+élec!X282</f>
        <v>199.49591971000001</v>
      </c>
      <c r="I281" s="452">
        <f>élec!Q282+élec!U282+élec!Y282</f>
        <v>71.875796039999997</v>
      </c>
      <c r="J281" s="450">
        <f>élec!Z282+élec!AD282+élec!AH282</f>
        <v>177.58345329999997</v>
      </c>
      <c r="K281" s="451">
        <f>élec!AA282+élec!AE282+élec!AI282</f>
        <v>37.540036550000011</v>
      </c>
      <c r="L281" s="453">
        <f>élec!AB282+élec!AF282+élec!AJ282</f>
        <v>215.12348985</v>
      </c>
      <c r="M281" s="452">
        <f>élec!AC282+élec!AG282+élec!AK282</f>
        <v>46.348134089999995</v>
      </c>
      <c r="N281" s="450">
        <f>élec!AL282+élec!AP282+élec!AT282</f>
        <v>0</v>
      </c>
      <c r="O281" s="451">
        <f>élec!AM282+élec!AQ282+élec!AU282</f>
        <v>0</v>
      </c>
      <c r="P281" s="453">
        <f t="shared" si="150"/>
        <v>0</v>
      </c>
      <c r="Q281" s="452">
        <f>élec!AO282+élec!AS282+élec!AW282</f>
        <v>0</v>
      </c>
      <c r="R281" s="816">
        <f t="shared" si="152"/>
        <v>456.56788214000028</v>
      </c>
      <c r="S281" s="447">
        <f t="shared" si="153"/>
        <v>156.54048560000001</v>
      </c>
      <c r="T281" s="447">
        <f t="shared" si="154"/>
        <v>613.1083677400004</v>
      </c>
      <c r="U281" s="476">
        <f t="shared" si="155"/>
        <v>186.13395176999998</v>
      </c>
    </row>
    <row r="282" spans="1:21" ht="14.4" thickBot="1">
      <c r="A282" s="433" t="s">
        <v>16</v>
      </c>
      <c r="B282" s="458">
        <f t="shared" ref="B282:U282" si="156">SUM(B272:B281)</f>
        <v>6665.0092174400224</v>
      </c>
      <c r="C282" s="477">
        <f t="shared" si="156"/>
        <v>1351.5191063799996</v>
      </c>
      <c r="D282" s="477">
        <f t="shared" si="156"/>
        <v>8016.5283238200227</v>
      </c>
      <c r="E282" s="499">
        <f t="shared" si="156"/>
        <v>3775.8006861399999</v>
      </c>
      <c r="F282" s="458">
        <f t="shared" si="156"/>
        <v>6870.7223686300231</v>
      </c>
      <c r="G282" s="477">
        <f t="shared" si="156"/>
        <v>1259.6821050700003</v>
      </c>
      <c r="H282" s="477">
        <f t="shared" si="156"/>
        <v>8130.4044737000222</v>
      </c>
      <c r="I282" s="499">
        <f t="shared" si="156"/>
        <v>4086.4910275700004</v>
      </c>
      <c r="J282" s="458">
        <f t="shared" si="156"/>
        <v>8666.3152016312488</v>
      </c>
      <c r="K282" s="477">
        <f t="shared" si="156"/>
        <v>674.4699843875153</v>
      </c>
      <c r="L282" s="477">
        <f t="shared" si="156"/>
        <v>9340.7851860187657</v>
      </c>
      <c r="M282" s="499">
        <f t="shared" si="156"/>
        <v>3130.6107719592874</v>
      </c>
      <c r="N282" s="458">
        <f t="shared" si="156"/>
        <v>0</v>
      </c>
      <c r="O282" s="477">
        <f t="shared" si="156"/>
        <v>0</v>
      </c>
      <c r="P282" s="477">
        <f t="shared" si="156"/>
        <v>0</v>
      </c>
      <c r="Q282" s="499">
        <f t="shared" si="156"/>
        <v>0</v>
      </c>
      <c r="R282" s="478">
        <f t="shared" si="156"/>
        <v>22202.046787701296</v>
      </c>
      <c r="S282" s="478">
        <f t="shared" si="156"/>
        <v>3285.6711958375154</v>
      </c>
      <c r="T282" s="478">
        <f t="shared" si="156"/>
        <v>25487.717983538809</v>
      </c>
      <c r="U282" s="478">
        <f t="shared" si="156"/>
        <v>10992.902485669287</v>
      </c>
    </row>
    <row r="284" spans="1:21">
      <c r="P284" s="445"/>
    </row>
    <row r="285" spans="1:21" ht="18">
      <c r="A285" s="393" t="s">
        <v>87</v>
      </c>
    </row>
    <row r="286" spans="1:21" ht="18.600000000000001" thickBot="1">
      <c r="A286" s="394">
        <f>A254</f>
        <v>2021</v>
      </c>
    </row>
    <row r="287" spans="1:21">
      <c r="A287" s="2815" t="s">
        <v>0</v>
      </c>
      <c r="B287" s="2827" t="s">
        <v>269</v>
      </c>
      <c r="C287" s="2828"/>
      <c r="D287" s="2828"/>
      <c r="E287" s="3091"/>
      <c r="F287" s="2829" t="s">
        <v>270</v>
      </c>
      <c r="G287" s="2830"/>
      <c r="H287" s="2830"/>
      <c r="I287" s="3095"/>
      <c r="J287" s="2817" t="s">
        <v>271</v>
      </c>
      <c r="K287" s="2818"/>
      <c r="L287" s="2818"/>
      <c r="M287" s="3094"/>
      <c r="N287" s="2819" t="s">
        <v>272</v>
      </c>
      <c r="O287" s="2820"/>
      <c r="P287" s="2820"/>
      <c r="Q287" s="3090"/>
      <c r="R287" s="3413" t="s">
        <v>83</v>
      </c>
      <c r="S287" s="3413"/>
      <c r="T287" s="3413"/>
      <c r="U287" s="3414"/>
    </row>
    <row r="288" spans="1:21" ht="14.4" thickBot="1">
      <c r="A288" s="2816"/>
      <c r="B288" s="402" t="s">
        <v>17</v>
      </c>
      <c r="C288" s="403" t="s">
        <v>18</v>
      </c>
      <c r="D288" s="403" t="s">
        <v>52</v>
      </c>
      <c r="E288" s="404" t="s">
        <v>19</v>
      </c>
      <c r="F288" s="402" t="s">
        <v>17</v>
      </c>
      <c r="G288" s="403" t="s">
        <v>18</v>
      </c>
      <c r="H288" s="403" t="s">
        <v>52</v>
      </c>
      <c r="I288" s="404" t="s">
        <v>19</v>
      </c>
      <c r="J288" s="402" t="s">
        <v>17</v>
      </c>
      <c r="K288" s="403" t="s">
        <v>18</v>
      </c>
      <c r="L288" s="403" t="s">
        <v>52</v>
      </c>
      <c r="M288" s="404" t="s">
        <v>19</v>
      </c>
      <c r="N288" s="402" t="s">
        <v>17</v>
      </c>
      <c r="O288" s="403" t="s">
        <v>18</v>
      </c>
      <c r="P288" s="403" t="s">
        <v>52</v>
      </c>
      <c r="Q288" s="404" t="s">
        <v>19</v>
      </c>
      <c r="R288" s="403" t="s">
        <v>17</v>
      </c>
      <c r="S288" s="403" t="s">
        <v>18</v>
      </c>
      <c r="T288" s="403" t="s">
        <v>52</v>
      </c>
      <c r="U288" s="431" t="s">
        <v>19</v>
      </c>
    </row>
    <row r="289" spans="1:21">
      <c r="A289" s="397" t="s">
        <v>68</v>
      </c>
      <c r="B289" s="438">
        <f t="shared" ref="B289:U289" si="157">+B257/B193*100</f>
        <v>465.8710197220671</v>
      </c>
      <c r="C289" s="439">
        <f t="shared" si="157"/>
        <v>414.52487890367848</v>
      </c>
      <c r="D289" s="440">
        <f t="shared" si="157"/>
        <v>459.30756391925371</v>
      </c>
      <c r="E289" s="441">
        <f t="shared" si="157"/>
        <v>395.22124960627087</v>
      </c>
      <c r="F289" s="438">
        <f t="shared" si="157"/>
        <v>460.3971244187145</v>
      </c>
      <c r="G289" s="439">
        <f t="shared" si="157"/>
        <v>396.01247522946352</v>
      </c>
      <c r="H289" s="440">
        <f t="shared" si="157"/>
        <v>452.31020651643246</v>
      </c>
      <c r="I289" s="441">
        <f t="shared" si="157"/>
        <v>397.11555813590513</v>
      </c>
      <c r="J289" s="438">
        <f t="shared" si="157"/>
        <v>486.63072778873914</v>
      </c>
      <c r="K289" s="439">
        <f t="shared" si="157"/>
        <v>410.66213147375964</v>
      </c>
      <c r="L289" s="440">
        <f t="shared" si="157"/>
        <v>482.15602783998611</v>
      </c>
      <c r="M289" s="441">
        <f t="shared" si="157"/>
        <v>373.93302616901093</v>
      </c>
      <c r="N289" s="438" t="e">
        <f t="shared" si="157"/>
        <v>#DIV/0!</v>
      </c>
      <c r="O289" s="439" t="e">
        <f t="shared" si="157"/>
        <v>#DIV/0!</v>
      </c>
      <c r="P289" s="440" t="e">
        <f t="shared" si="157"/>
        <v>#DIV/0!</v>
      </c>
      <c r="Q289" s="441" t="e">
        <f t="shared" si="157"/>
        <v>#DIV/0!</v>
      </c>
      <c r="R289" s="815">
        <f t="shared" si="157"/>
        <v>472.31612237835918</v>
      </c>
      <c r="S289" s="442">
        <f t="shared" si="157"/>
        <v>406.59029698555304</v>
      </c>
      <c r="T289" s="442">
        <f t="shared" si="157"/>
        <v>465.64655547066008</v>
      </c>
      <c r="U289" s="475">
        <f t="shared" si="157"/>
        <v>389.2461648082944</v>
      </c>
    </row>
    <row r="290" spans="1:21">
      <c r="A290" s="397" t="s">
        <v>7</v>
      </c>
      <c r="B290" s="438">
        <f t="shared" ref="B290:U290" si="158">+B258/B194*100</f>
        <v>438.37983941427308</v>
      </c>
      <c r="C290" s="439">
        <f t="shared" si="158"/>
        <v>498.54886415853548</v>
      </c>
      <c r="D290" s="440">
        <f t="shared" si="158"/>
        <v>450.40421826527546</v>
      </c>
      <c r="E290" s="441">
        <f t="shared" si="158"/>
        <v>383.18797322516787</v>
      </c>
      <c r="F290" s="438">
        <f t="shared" si="158"/>
        <v>436.97760154401095</v>
      </c>
      <c r="G290" s="439">
        <f t="shared" si="158"/>
        <v>494.15010576436646</v>
      </c>
      <c r="H290" s="440">
        <f t="shared" si="158"/>
        <v>446.26211345035063</v>
      </c>
      <c r="I290" s="441">
        <f t="shared" si="158"/>
        <v>388.18489291899726</v>
      </c>
      <c r="J290" s="438">
        <f t="shared" si="158"/>
        <v>473.41476738660344</v>
      </c>
      <c r="K290" s="439">
        <f t="shared" si="158"/>
        <v>464.03649070877498</v>
      </c>
      <c r="L290" s="440">
        <f t="shared" si="158"/>
        <v>472.84644432008662</v>
      </c>
      <c r="M290" s="441">
        <f t="shared" si="158"/>
        <v>379.28302028976287</v>
      </c>
      <c r="N290" s="438" t="e">
        <f t="shared" si="158"/>
        <v>#DIV/0!</v>
      </c>
      <c r="O290" s="439" t="e">
        <f t="shared" si="158"/>
        <v>#DIV/0!</v>
      </c>
      <c r="P290" s="440" t="e">
        <f t="shared" si="158"/>
        <v>#DIV/0!</v>
      </c>
      <c r="Q290" s="441" t="e">
        <f t="shared" si="158"/>
        <v>#DIV/0!</v>
      </c>
      <c r="R290" s="816">
        <f t="shared" si="158"/>
        <v>452.91894702860895</v>
      </c>
      <c r="S290" s="447">
        <f t="shared" si="158"/>
        <v>490.7988501994667</v>
      </c>
      <c r="T290" s="447">
        <f t="shared" si="158"/>
        <v>457.98830812367424</v>
      </c>
      <c r="U290" s="476">
        <f t="shared" si="158"/>
        <v>383.8217404432192</v>
      </c>
    </row>
    <row r="291" spans="1:21">
      <c r="A291" s="397" t="s">
        <v>8</v>
      </c>
      <c r="B291" s="438">
        <f t="shared" ref="B291:U291" si="159">+B259/B195*100</f>
        <v>426.26962817431996</v>
      </c>
      <c r="C291" s="439">
        <f t="shared" si="159"/>
        <v>518.33425496333984</v>
      </c>
      <c r="D291" s="440">
        <f t="shared" si="159"/>
        <v>444.78957357370177</v>
      </c>
      <c r="E291" s="441">
        <f t="shared" si="159"/>
        <v>404.64883029631596</v>
      </c>
      <c r="F291" s="438">
        <f t="shared" si="159"/>
        <v>431.31111352047844</v>
      </c>
      <c r="G291" s="439">
        <f t="shared" si="159"/>
        <v>490.24408922177844</v>
      </c>
      <c r="H291" s="440">
        <f t="shared" si="159"/>
        <v>441.95167128699956</v>
      </c>
      <c r="I291" s="441">
        <f t="shared" si="159"/>
        <v>476.22188288666541</v>
      </c>
      <c r="J291" s="438">
        <f t="shared" si="159"/>
        <v>453.03908147368458</v>
      </c>
      <c r="K291" s="439">
        <f t="shared" si="159"/>
        <v>427.55242903228776</v>
      </c>
      <c r="L291" s="440">
        <f t="shared" si="159"/>
        <v>450.2428583230502</v>
      </c>
      <c r="M291" s="441">
        <f t="shared" si="159"/>
        <v>400.04619304119677</v>
      </c>
      <c r="N291" s="438" t="e">
        <f t="shared" si="159"/>
        <v>#DIV/0!</v>
      </c>
      <c r="O291" s="439" t="e">
        <f t="shared" si="159"/>
        <v>#DIV/0!</v>
      </c>
      <c r="P291" s="440" t="e">
        <f t="shared" si="159"/>
        <v>#DIV/0!</v>
      </c>
      <c r="Q291" s="441" t="e">
        <f t="shared" si="159"/>
        <v>#DIV/0!</v>
      </c>
      <c r="R291" s="816">
        <f t="shared" si="159"/>
        <v>437.91641983376974</v>
      </c>
      <c r="S291" s="447">
        <f t="shared" si="159"/>
        <v>486.22050478634992</v>
      </c>
      <c r="T291" s="447">
        <f t="shared" si="159"/>
        <v>445.7471475092043</v>
      </c>
      <c r="U291" s="476">
        <f t="shared" si="159"/>
        <v>426.26904195357838</v>
      </c>
    </row>
    <row r="292" spans="1:21">
      <c r="A292" s="397" t="s">
        <v>4</v>
      </c>
      <c r="B292" s="438">
        <f t="shared" ref="B292:U292" si="160">+B260/B196*100</f>
        <v>453.22974359920852</v>
      </c>
      <c r="C292" s="439">
        <f t="shared" si="160"/>
        <v>528.35920558549913</v>
      </c>
      <c r="D292" s="440">
        <f t="shared" si="160"/>
        <v>462.49431502019098</v>
      </c>
      <c r="E292" s="441">
        <f t="shared" si="160"/>
        <v>383.11832964894307</v>
      </c>
      <c r="F292" s="438">
        <f t="shared" si="160"/>
        <v>446.22717253485968</v>
      </c>
      <c r="G292" s="439">
        <f t="shared" si="160"/>
        <v>525.16331266204907</v>
      </c>
      <c r="H292" s="440">
        <f t="shared" si="160"/>
        <v>455.42522869586372</v>
      </c>
      <c r="I292" s="441">
        <f t="shared" si="160"/>
        <v>385.72563614074926</v>
      </c>
      <c r="J292" s="438">
        <f t="shared" si="160"/>
        <v>472.46268056881837</v>
      </c>
      <c r="K292" s="439">
        <f t="shared" si="160"/>
        <v>525.06667867745557</v>
      </c>
      <c r="L292" s="440">
        <f t="shared" si="160"/>
        <v>475.83501197264775</v>
      </c>
      <c r="M292" s="441">
        <f t="shared" si="160"/>
        <v>382.49329075727002</v>
      </c>
      <c r="N292" s="438" t="e">
        <f t="shared" si="160"/>
        <v>#DIV/0!</v>
      </c>
      <c r="O292" s="439" t="e">
        <f t="shared" si="160"/>
        <v>#DIV/0!</v>
      </c>
      <c r="P292" s="440" t="e">
        <f t="shared" si="160"/>
        <v>#DIV/0!</v>
      </c>
      <c r="Q292" s="441" t="e">
        <f t="shared" si="160"/>
        <v>#DIV/0!</v>
      </c>
      <c r="R292" s="816">
        <f t="shared" si="160"/>
        <v>458.19460798415338</v>
      </c>
      <c r="S292" s="447">
        <f t="shared" si="160"/>
        <v>526.46473661794471</v>
      </c>
      <c r="T292" s="447">
        <f t="shared" si="160"/>
        <v>465.03759295842843</v>
      </c>
      <c r="U292" s="476">
        <f t="shared" si="160"/>
        <v>383.92685208303982</v>
      </c>
    </row>
    <row r="293" spans="1:21">
      <c r="A293" s="397" t="s">
        <v>3</v>
      </c>
      <c r="B293" s="438">
        <f t="shared" ref="B293:U293" si="161">+B261/B197*100</f>
        <v>374.30371662224957</v>
      </c>
      <c r="C293" s="439">
        <f t="shared" si="161"/>
        <v>330.87815511361345</v>
      </c>
      <c r="D293" s="440">
        <f t="shared" si="161"/>
        <v>365.64636411677986</v>
      </c>
      <c r="E293" s="441">
        <f t="shared" si="161"/>
        <v>432.36044780203724</v>
      </c>
      <c r="F293" s="438">
        <f t="shared" si="161"/>
        <v>358.64760437024165</v>
      </c>
      <c r="G293" s="439">
        <f t="shared" si="161"/>
        <v>317.97459709950346</v>
      </c>
      <c r="H293" s="440">
        <f t="shared" si="161"/>
        <v>352.54386347037814</v>
      </c>
      <c r="I293" s="441">
        <f t="shared" si="161"/>
        <v>422.87587975539606</v>
      </c>
      <c r="J293" s="438">
        <f t="shared" si="161"/>
        <v>396.08876105143378</v>
      </c>
      <c r="K293" s="439">
        <f t="shared" si="161"/>
        <v>310.43277815682325</v>
      </c>
      <c r="L293" s="440">
        <f t="shared" si="161"/>
        <v>387.73865757184473</v>
      </c>
      <c r="M293" s="441">
        <f t="shared" si="161"/>
        <v>400.65451832533734</v>
      </c>
      <c r="N293" s="438" t="e">
        <f t="shared" si="161"/>
        <v>#DIV/0!</v>
      </c>
      <c r="O293" s="439" t="e">
        <f t="shared" si="161"/>
        <v>#DIV/0!</v>
      </c>
      <c r="P293" s="440" t="e">
        <f t="shared" si="161"/>
        <v>#DIV/0!</v>
      </c>
      <c r="Q293" s="441" t="e">
        <f t="shared" si="161"/>
        <v>#DIV/0!</v>
      </c>
      <c r="R293" s="816">
        <f t="shared" si="161"/>
        <v>375.76165957809627</v>
      </c>
      <c r="S293" s="447">
        <f t="shared" si="161"/>
        <v>321.9961861413455</v>
      </c>
      <c r="T293" s="447">
        <f t="shared" si="161"/>
        <v>367.71681140682387</v>
      </c>
      <c r="U293" s="476">
        <f t="shared" si="161"/>
        <v>419.65017211726581</v>
      </c>
    </row>
    <row r="294" spans="1:21">
      <c r="A294" s="397" t="s">
        <v>397</v>
      </c>
      <c r="B294" s="438">
        <f t="shared" ref="B294:U294" si="162">+B262/B198*100</f>
        <v>448.19362427517558</v>
      </c>
      <c r="C294" s="439">
        <f t="shared" si="162"/>
        <v>487.49862856269874</v>
      </c>
      <c r="D294" s="440">
        <f t="shared" si="162"/>
        <v>453.74347776508614</v>
      </c>
      <c r="E294" s="441">
        <f t="shared" si="162"/>
        <v>338.65244404570308</v>
      </c>
      <c r="F294" s="438">
        <f t="shared" si="162"/>
        <v>453.54078667098008</v>
      </c>
      <c r="G294" s="439">
        <f t="shared" si="162"/>
        <v>463.23499105458961</v>
      </c>
      <c r="H294" s="440">
        <f t="shared" si="162"/>
        <v>454.88739350719703</v>
      </c>
      <c r="I294" s="441">
        <f t="shared" si="162"/>
        <v>380.3568914571411</v>
      </c>
      <c r="J294" s="438">
        <f t="shared" si="162"/>
        <v>450.92799679972791</v>
      </c>
      <c r="K294" s="439">
        <f t="shared" si="162"/>
        <v>523.61711991003097</v>
      </c>
      <c r="L294" s="440">
        <f t="shared" si="162"/>
        <v>457.883502999136</v>
      </c>
      <c r="M294" s="441">
        <f t="shared" si="162"/>
        <v>386.60485997274765</v>
      </c>
      <c r="N294" s="438" t="e">
        <f t="shared" si="162"/>
        <v>#DIV/0!</v>
      </c>
      <c r="O294" s="439" t="e">
        <f t="shared" si="162"/>
        <v>#DIV/0!</v>
      </c>
      <c r="P294" s="440" t="e">
        <f t="shared" si="162"/>
        <v>#DIV/0!</v>
      </c>
      <c r="Q294" s="441" t="e">
        <f t="shared" si="162"/>
        <v>#DIV/0!</v>
      </c>
      <c r="R294" s="816">
        <f t="shared" si="162"/>
        <v>450.81899145152261</v>
      </c>
      <c r="S294" s="447">
        <f t="shared" si="162"/>
        <v>487.65244103266508</v>
      </c>
      <c r="T294" s="447">
        <f t="shared" si="162"/>
        <v>455.45145633016421</v>
      </c>
      <c r="U294" s="476">
        <f t="shared" si="162"/>
        <v>367.11438139376378</v>
      </c>
    </row>
    <row r="295" spans="1:21">
      <c r="A295" s="397" t="s">
        <v>399</v>
      </c>
      <c r="B295" s="438">
        <f t="shared" ref="B295:U295" si="163">+B263/B199*100</f>
        <v>468.86781572209804</v>
      </c>
      <c r="C295" s="439">
        <f t="shared" si="163"/>
        <v>496.18236108164649</v>
      </c>
      <c r="D295" s="440">
        <f t="shared" si="163"/>
        <v>472.21571192534049</v>
      </c>
      <c r="E295" s="441">
        <f t="shared" si="163"/>
        <v>367.01819635856185</v>
      </c>
      <c r="F295" s="438">
        <f t="shared" si="163"/>
        <v>460.80436898695518</v>
      </c>
      <c r="G295" s="439">
        <f t="shared" si="163"/>
        <v>465.31780018808274</v>
      </c>
      <c r="H295" s="440">
        <f t="shared" si="163"/>
        <v>461.3608239336304</v>
      </c>
      <c r="I295" s="441">
        <f t="shared" si="163"/>
        <v>446.99537517612509</v>
      </c>
      <c r="J295" s="438">
        <f t="shared" si="163"/>
        <v>479.1602629250437</v>
      </c>
      <c r="K295" s="439">
        <f t="shared" si="163"/>
        <v>354.49109876174015</v>
      </c>
      <c r="L295" s="440">
        <f t="shared" si="163"/>
        <v>475.14541033977162</v>
      </c>
      <c r="M295" s="441">
        <f t="shared" si="163"/>
        <v>447.53798833772134</v>
      </c>
      <c r="N295" s="438" t="e">
        <f t="shared" si="163"/>
        <v>#DIV/0!</v>
      </c>
      <c r="O295" s="439" t="e">
        <f t="shared" si="163"/>
        <v>#DIV/0!</v>
      </c>
      <c r="P295" s="440" t="e">
        <f t="shared" si="163"/>
        <v>#DIV/0!</v>
      </c>
      <c r="Q295" s="441" t="e">
        <f t="shared" si="163"/>
        <v>#DIV/0!</v>
      </c>
      <c r="R295" s="816">
        <f t="shared" si="163"/>
        <v>470.04384547581327</v>
      </c>
      <c r="S295" s="447">
        <f t="shared" si="163"/>
        <v>466.84554825654561</v>
      </c>
      <c r="T295" s="447">
        <f t="shared" si="163"/>
        <v>469.74709362658666</v>
      </c>
      <c r="U295" s="476">
        <f t="shared" si="163"/>
        <v>416.63341296387324</v>
      </c>
    </row>
    <row r="296" spans="1:21">
      <c r="A296" s="397" t="s">
        <v>883</v>
      </c>
      <c r="B296" s="438">
        <f t="shared" ref="B296:U296" si="164">+B264/B200*100</f>
        <v>444.66957039514881</v>
      </c>
      <c r="C296" s="439">
        <f t="shared" si="164"/>
        <v>536.75433430642613</v>
      </c>
      <c r="D296" s="440">
        <f t="shared" si="164"/>
        <v>461.79605904008804</v>
      </c>
      <c r="E296" s="441">
        <f t="shared" si="164"/>
        <v>427.96883192552582</v>
      </c>
      <c r="F296" s="438">
        <f t="shared" si="164"/>
        <v>570.32684143740562</v>
      </c>
      <c r="G296" s="439">
        <f t="shared" si="164"/>
        <v>574.67792593217166</v>
      </c>
      <c r="H296" s="440">
        <f t="shared" si="164"/>
        <v>571.04213546478115</v>
      </c>
      <c r="I296" s="441">
        <f t="shared" si="164"/>
        <v>443.47353688417206</v>
      </c>
      <c r="J296" s="438">
        <f t="shared" si="164"/>
        <v>539.78734729650398</v>
      </c>
      <c r="K296" s="439">
        <f t="shared" si="164"/>
        <v>581.45452144917715</v>
      </c>
      <c r="L296" s="440">
        <f t="shared" si="164"/>
        <v>543.3815442443979</v>
      </c>
      <c r="M296" s="441">
        <f t="shared" si="164"/>
        <v>481.69180728242128</v>
      </c>
      <c r="N296" s="438" t="e">
        <f t="shared" si="164"/>
        <v>#DIV/0!</v>
      </c>
      <c r="O296" s="439" t="e">
        <f t="shared" si="164"/>
        <v>#DIV/0!</v>
      </c>
      <c r="P296" s="440" t="e">
        <f t="shared" si="164"/>
        <v>#DIV/0!</v>
      </c>
      <c r="Q296" s="441" t="e">
        <f t="shared" si="164"/>
        <v>#DIV/0!</v>
      </c>
      <c r="R296" s="816">
        <f t="shared" si="164"/>
        <v>522.97994893135535</v>
      </c>
      <c r="S296" s="447">
        <f t="shared" si="164"/>
        <v>561.85755361503732</v>
      </c>
      <c r="T296" s="447">
        <f t="shared" si="164"/>
        <v>528.34564546842876</v>
      </c>
      <c r="U296" s="476">
        <f t="shared" si="164"/>
        <v>450.45584818804383</v>
      </c>
    </row>
    <row r="297" spans="1:21">
      <c r="A297" s="397" t="s">
        <v>884</v>
      </c>
      <c r="B297" s="438">
        <f t="shared" ref="B297:U297" si="165">+B265/B201*100</f>
        <v>417.0859974968991</v>
      </c>
      <c r="C297" s="439">
        <f t="shared" si="165"/>
        <v>480.70312697024826</v>
      </c>
      <c r="D297" s="440">
        <f t="shared" si="165"/>
        <v>427.9327212143034</v>
      </c>
      <c r="E297" s="441">
        <f t="shared" si="165"/>
        <v>421.47818697898015</v>
      </c>
      <c r="F297" s="438">
        <f t="shared" si="165"/>
        <v>398.12418478719729</v>
      </c>
      <c r="G297" s="439">
        <f t="shared" si="165"/>
        <v>450.92606473944875</v>
      </c>
      <c r="H297" s="440">
        <f t="shared" si="165"/>
        <v>406.30896761838216</v>
      </c>
      <c r="I297" s="441">
        <f t="shared" si="165"/>
        <v>378.67105542064445</v>
      </c>
      <c r="J297" s="438">
        <f t="shared" si="165"/>
        <v>455.74467711643678</v>
      </c>
      <c r="K297" s="439">
        <f t="shared" si="165"/>
        <v>433.17426148418201</v>
      </c>
      <c r="L297" s="440">
        <f t="shared" si="165"/>
        <v>453.6665619173192</v>
      </c>
      <c r="M297" s="441">
        <f t="shared" si="165"/>
        <v>395.3528226704168</v>
      </c>
      <c r="N297" s="438" t="e">
        <f t="shared" si="165"/>
        <v>#DIV/0!</v>
      </c>
      <c r="O297" s="439" t="e">
        <f t="shared" si="165"/>
        <v>#DIV/0!</v>
      </c>
      <c r="P297" s="440" t="e">
        <f t="shared" si="165"/>
        <v>#DIV/0!</v>
      </c>
      <c r="Q297" s="441" t="e">
        <f t="shared" si="165"/>
        <v>#DIV/0!</v>
      </c>
      <c r="R297" s="816">
        <f t="shared" si="165"/>
        <v>428.8105743599881</v>
      </c>
      <c r="S297" s="447">
        <f t="shared" si="165"/>
        <v>456.69426276181565</v>
      </c>
      <c r="T297" s="447">
        <f t="shared" si="165"/>
        <v>432.51553896905114</v>
      </c>
      <c r="U297" s="476">
        <f t="shared" si="165"/>
        <v>397.81542032519724</v>
      </c>
    </row>
    <row r="298" spans="1:21" ht="14.4" thickBot="1">
      <c r="A298" s="397" t="s">
        <v>885</v>
      </c>
      <c r="B298" s="438">
        <f t="shared" ref="B298:U298" si="166">+B266/B202*100</f>
        <v>419.45664364024032</v>
      </c>
      <c r="C298" s="439">
        <f t="shared" si="166"/>
        <v>536.75712634945751</v>
      </c>
      <c r="D298" s="440">
        <f t="shared" si="166"/>
        <v>450.54240722355917</v>
      </c>
      <c r="E298" s="441">
        <f t="shared" si="166"/>
        <v>376.94558678638191</v>
      </c>
      <c r="F298" s="438">
        <f t="shared" si="166"/>
        <v>417.21875179766306</v>
      </c>
      <c r="G298" s="439">
        <f t="shared" si="166"/>
        <v>534.26416612535968</v>
      </c>
      <c r="H298" s="440">
        <f t="shared" si="166"/>
        <v>442.96763806852954</v>
      </c>
      <c r="I298" s="441">
        <f t="shared" si="166"/>
        <v>383.07223986817462</v>
      </c>
      <c r="J298" s="438">
        <f t="shared" si="166"/>
        <v>441.93676228506826</v>
      </c>
      <c r="K298" s="439">
        <f t="shared" si="166"/>
        <v>533.83282295467552</v>
      </c>
      <c r="L298" s="440">
        <f t="shared" si="166"/>
        <v>453.86556245861237</v>
      </c>
      <c r="M298" s="441">
        <f t="shared" si="166"/>
        <v>365.19002996549301</v>
      </c>
      <c r="N298" s="438" t="e">
        <f t="shared" si="166"/>
        <v>#DIV/0!</v>
      </c>
      <c r="O298" s="439" t="e">
        <f t="shared" si="166"/>
        <v>#DIV/0!</v>
      </c>
      <c r="P298" s="440" t="e">
        <f t="shared" si="166"/>
        <v>#DIV/0!</v>
      </c>
      <c r="Q298" s="441" t="e">
        <f t="shared" si="166"/>
        <v>#DIV/0!</v>
      </c>
      <c r="R298" s="816">
        <f t="shared" si="166"/>
        <v>427.42238760136513</v>
      </c>
      <c r="S298" s="447">
        <f t="shared" si="166"/>
        <v>535.25238348499204</v>
      </c>
      <c r="T298" s="447">
        <f t="shared" si="166"/>
        <v>449.33747920047466</v>
      </c>
      <c r="U298" s="476">
        <f t="shared" si="166"/>
        <v>376.03658220095213</v>
      </c>
    </row>
    <row r="299" spans="1:21" ht="14.4" thickBot="1">
      <c r="A299" s="433" t="s">
        <v>16</v>
      </c>
      <c r="B299" s="455">
        <f t="shared" ref="B299:U299" si="167">+B267/B203*100</f>
        <v>441.03982992403019</v>
      </c>
      <c r="C299" s="456">
        <f t="shared" si="167"/>
        <v>471.77819450025061</v>
      </c>
      <c r="D299" s="456">
        <f t="shared" si="167"/>
        <v>445.91313097109372</v>
      </c>
      <c r="E299" s="457">
        <f t="shared" si="167"/>
        <v>391.32677961627559</v>
      </c>
      <c r="F299" s="455">
        <f t="shared" si="167"/>
        <v>442.66072771331693</v>
      </c>
      <c r="G299" s="456">
        <f t="shared" si="167"/>
        <v>458.65642269691887</v>
      </c>
      <c r="H299" s="456">
        <f t="shared" si="167"/>
        <v>444.96541338785727</v>
      </c>
      <c r="I299" s="457">
        <f t="shared" si="167"/>
        <v>410.69795075996967</v>
      </c>
      <c r="J299" s="455">
        <f t="shared" si="167"/>
        <v>469.75049496171471</v>
      </c>
      <c r="K299" s="456">
        <f t="shared" si="167"/>
        <v>453.16155783805004</v>
      </c>
      <c r="L299" s="456">
        <f t="shared" si="167"/>
        <v>468.49380825433161</v>
      </c>
      <c r="M299" s="457">
        <f t="shared" si="167"/>
        <v>402.95801488796519</v>
      </c>
      <c r="N299" s="455" t="e">
        <f t="shared" si="167"/>
        <v>#DIV/0!</v>
      </c>
      <c r="O299" s="456" t="e">
        <f t="shared" si="167"/>
        <v>#DIV/0!</v>
      </c>
      <c r="P299" s="456" t="e">
        <f t="shared" si="167"/>
        <v>#DIV/0!</v>
      </c>
      <c r="Q299" s="457" t="e">
        <f t="shared" si="167"/>
        <v>#DIV/0!</v>
      </c>
      <c r="R299" s="478">
        <f t="shared" si="167"/>
        <v>452.55066681986324</v>
      </c>
      <c r="S299" s="478">
        <f t="shared" si="167"/>
        <v>462.81551113965014</v>
      </c>
      <c r="T299" s="478">
        <f t="shared" si="167"/>
        <v>453.82223242369577</v>
      </c>
      <c r="U299" s="478">
        <f t="shared" si="167"/>
        <v>401.51990999712126</v>
      </c>
    </row>
    <row r="301" spans="1:21" ht="18.600000000000001" thickBot="1">
      <c r="A301" s="394">
        <f>A269</f>
        <v>2022</v>
      </c>
    </row>
    <row r="302" spans="1:21">
      <c r="A302" s="2815" t="s">
        <v>0</v>
      </c>
      <c r="B302" s="2827" t="s">
        <v>269</v>
      </c>
      <c r="C302" s="2828"/>
      <c r="D302" s="2828"/>
      <c r="E302" s="3091"/>
      <c r="F302" s="2829" t="s">
        <v>270</v>
      </c>
      <c r="G302" s="2830"/>
      <c r="H302" s="2830"/>
      <c r="I302" s="3095"/>
      <c r="J302" s="2817" t="s">
        <v>271</v>
      </c>
      <c r="K302" s="2818"/>
      <c r="L302" s="2818"/>
      <c r="M302" s="3094"/>
      <c r="N302" s="2819" t="s">
        <v>272</v>
      </c>
      <c r="O302" s="2820"/>
      <c r="P302" s="2820"/>
      <c r="Q302" s="3090"/>
      <c r="R302" s="3413" t="s">
        <v>83</v>
      </c>
      <c r="S302" s="3413"/>
      <c r="T302" s="3413"/>
      <c r="U302" s="3414"/>
    </row>
    <row r="303" spans="1:21" ht="14.4" thickBot="1">
      <c r="A303" s="2816"/>
      <c r="B303" s="402" t="s">
        <v>17</v>
      </c>
      <c r="C303" s="403" t="s">
        <v>18</v>
      </c>
      <c r="D303" s="403" t="s">
        <v>52</v>
      </c>
      <c r="E303" s="404" t="s">
        <v>19</v>
      </c>
      <c r="F303" s="402" t="s">
        <v>17</v>
      </c>
      <c r="G303" s="403" t="s">
        <v>18</v>
      </c>
      <c r="H303" s="403" t="s">
        <v>52</v>
      </c>
      <c r="I303" s="404" t="s">
        <v>19</v>
      </c>
      <c r="J303" s="402" t="s">
        <v>17</v>
      </c>
      <c r="K303" s="403" t="s">
        <v>18</v>
      </c>
      <c r="L303" s="403" t="s">
        <v>52</v>
      </c>
      <c r="M303" s="404" t="s">
        <v>19</v>
      </c>
      <c r="N303" s="402" t="s">
        <v>17</v>
      </c>
      <c r="O303" s="403" t="s">
        <v>18</v>
      </c>
      <c r="P303" s="403" t="s">
        <v>52</v>
      </c>
      <c r="Q303" s="404" t="s">
        <v>19</v>
      </c>
      <c r="R303" s="403" t="s">
        <v>17</v>
      </c>
      <c r="S303" s="403" t="s">
        <v>18</v>
      </c>
      <c r="T303" s="403" t="s">
        <v>52</v>
      </c>
      <c r="U303" s="431" t="s">
        <v>19</v>
      </c>
    </row>
    <row r="304" spans="1:21">
      <c r="A304" s="397" t="s">
        <v>68</v>
      </c>
      <c r="B304" s="438">
        <f t="shared" ref="B304:U304" si="168">+B272/B208*100</f>
        <v>462.07980032830835</v>
      </c>
      <c r="C304" s="439">
        <f t="shared" si="168"/>
        <v>417.66393779315683</v>
      </c>
      <c r="D304" s="440">
        <f t="shared" si="168"/>
        <v>456.32087850132405</v>
      </c>
      <c r="E304" s="441">
        <f t="shared" si="168"/>
        <v>373.286382070017</v>
      </c>
      <c r="F304" s="438">
        <f t="shared" si="168"/>
        <v>460.80331168777491</v>
      </c>
      <c r="G304" s="439">
        <f t="shared" si="168"/>
        <v>350.7492963612919</v>
      </c>
      <c r="H304" s="440">
        <f t="shared" si="168"/>
        <v>444.7773247438754</v>
      </c>
      <c r="I304" s="441">
        <f t="shared" si="168"/>
        <v>384.89879596776473</v>
      </c>
      <c r="J304" s="438">
        <f t="shared" si="168"/>
        <v>433.46549800601275</v>
      </c>
      <c r="K304" s="439">
        <f t="shared" si="168"/>
        <v>295.00329758902171</v>
      </c>
      <c r="L304" s="440">
        <f t="shared" si="168"/>
        <v>424.82336124463433</v>
      </c>
      <c r="M304" s="441">
        <f t="shared" si="168"/>
        <v>371.07798133854544</v>
      </c>
      <c r="N304" s="438" t="e">
        <f t="shared" si="168"/>
        <v>#DIV/0!</v>
      </c>
      <c r="O304" s="439" t="e">
        <f t="shared" si="168"/>
        <v>#DIV/0!</v>
      </c>
      <c r="P304" s="440" t="e">
        <f t="shared" si="168"/>
        <v>#DIV/0!</v>
      </c>
      <c r="Q304" s="441" t="e">
        <f t="shared" si="168"/>
        <v>#DIV/0!</v>
      </c>
      <c r="R304" s="815">
        <f t="shared" si="168"/>
        <v>450.51756202955761</v>
      </c>
      <c r="S304" s="442">
        <f t="shared" si="168"/>
        <v>363.35528270368235</v>
      </c>
      <c r="T304" s="442">
        <f t="shared" si="168"/>
        <v>440.94128578400199</v>
      </c>
      <c r="U304" s="475">
        <f t="shared" si="168"/>
        <v>376.75891307530367</v>
      </c>
    </row>
    <row r="305" spans="1:21">
      <c r="A305" s="397" t="s">
        <v>7</v>
      </c>
      <c r="B305" s="438">
        <f t="shared" ref="B305:U305" si="169">+B273/B209*100</f>
        <v>438.03692837094809</v>
      </c>
      <c r="C305" s="439">
        <f t="shared" si="169"/>
        <v>479.43598304753164</v>
      </c>
      <c r="D305" s="440">
        <f t="shared" si="169"/>
        <v>446.54423640162707</v>
      </c>
      <c r="E305" s="441">
        <f t="shared" si="169"/>
        <v>386.98976432427133</v>
      </c>
      <c r="F305" s="438">
        <f t="shared" si="169"/>
        <v>434.98498795726624</v>
      </c>
      <c r="G305" s="439">
        <f t="shared" si="169"/>
        <v>469.57395044734449</v>
      </c>
      <c r="H305" s="440">
        <f t="shared" si="169"/>
        <v>440.91310961034253</v>
      </c>
      <c r="I305" s="441">
        <f t="shared" si="169"/>
        <v>390.23262867816413</v>
      </c>
      <c r="J305" s="438">
        <f t="shared" si="169"/>
        <v>464.95232221772119</v>
      </c>
      <c r="K305" s="439">
        <f t="shared" si="169"/>
        <v>432.0086328869811</v>
      </c>
      <c r="L305" s="440">
        <f t="shared" si="169"/>
        <v>462.84757810623285</v>
      </c>
      <c r="M305" s="441">
        <f t="shared" si="169"/>
        <v>386.39726156665085</v>
      </c>
      <c r="N305" s="438" t="e">
        <f t="shared" si="169"/>
        <v>#DIV/0!</v>
      </c>
      <c r="O305" s="439" t="e">
        <f t="shared" si="169"/>
        <v>#DIV/0!</v>
      </c>
      <c r="P305" s="440" t="e">
        <f t="shared" si="169"/>
        <v>#DIV/0!</v>
      </c>
      <c r="Q305" s="441" t="e">
        <f t="shared" si="169"/>
        <v>#DIV/0!</v>
      </c>
      <c r="R305" s="816">
        <f t="shared" si="169"/>
        <v>448.06271153497869</v>
      </c>
      <c r="S305" s="447">
        <f t="shared" si="169"/>
        <v>467.67836761124653</v>
      </c>
      <c r="T305" s="447">
        <f t="shared" si="169"/>
        <v>450.84442930307222</v>
      </c>
      <c r="U305" s="476">
        <f t="shared" si="169"/>
        <v>388.01030694330268</v>
      </c>
    </row>
    <row r="306" spans="1:21">
      <c r="A306" s="397" t="s">
        <v>8</v>
      </c>
      <c r="B306" s="438">
        <f t="shared" ref="B306:U306" si="170">+B274/B210*100</f>
        <v>424.26708482773233</v>
      </c>
      <c r="C306" s="439">
        <f t="shared" si="170"/>
        <v>487.30162524029447</v>
      </c>
      <c r="D306" s="440">
        <f t="shared" si="170"/>
        <v>437.83937873954937</v>
      </c>
      <c r="E306" s="441">
        <f t="shared" si="170"/>
        <v>375.16394614162306</v>
      </c>
      <c r="F306" s="438">
        <f t="shared" si="170"/>
        <v>427.81700796896916</v>
      </c>
      <c r="G306" s="439">
        <f t="shared" si="170"/>
        <v>449.24295790171146</v>
      </c>
      <c r="H306" s="440">
        <f t="shared" si="170"/>
        <v>432.06127758936822</v>
      </c>
      <c r="I306" s="441">
        <f t="shared" si="170"/>
        <v>499.48847378048333</v>
      </c>
      <c r="J306" s="438">
        <f t="shared" si="170"/>
        <v>455.61829914326194</v>
      </c>
      <c r="K306" s="439">
        <f t="shared" si="170"/>
        <v>412.20747747804677</v>
      </c>
      <c r="L306" s="440">
        <f t="shared" si="170"/>
        <v>450.7217656215434</v>
      </c>
      <c r="M306" s="441">
        <f t="shared" si="170"/>
        <v>469.31475575244548</v>
      </c>
      <c r="N306" s="438" t="e">
        <f t="shared" si="170"/>
        <v>#DIV/0!</v>
      </c>
      <c r="O306" s="439" t="e">
        <f t="shared" si="170"/>
        <v>#DIV/0!</v>
      </c>
      <c r="P306" s="440" t="e">
        <f t="shared" si="170"/>
        <v>#DIV/0!</v>
      </c>
      <c r="Q306" s="441" t="e">
        <f t="shared" si="170"/>
        <v>#DIV/0!</v>
      </c>
      <c r="R306" s="816">
        <f t="shared" si="170"/>
        <v>436.94588721884662</v>
      </c>
      <c r="S306" s="447">
        <f t="shared" si="170"/>
        <v>455.96991320860224</v>
      </c>
      <c r="T306" s="447">
        <f t="shared" si="170"/>
        <v>440.26437976186321</v>
      </c>
      <c r="U306" s="476">
        <f t="shared" si="170"/>
        <v>442.88321519426813</v>
      </c>
    </row>
    <row r="307" spans="1:21">
      <c r="A307" s="397" t="s">
        <v>4</v>
      </c>
      <c r="B307" s="438">
        <f t="shared" ref="B307:U307" si="171">+B275/B211*100</f>
        <v>451.68755835786516</v>
      </c>
      <c r="C307" s="439">
        <f t="shared" si="171"/>
        <v>528.7674338257932</v>
      </c>
      <c r="D307" s="440">
        <f t="shared" si="171"/>
        <v>461.55100231855943</v>
      </c>
      <c r="E307" s="441">
        <f t="shared" si="171"/>
        <v>379.68386614159925</v>
      </c>
      <c r="F307" s="438">
        <f t="shared" si="171"/>
        <v>447.31854531666295</v>
      </c>
      <c r="G307" s="439">
        <f t="shared" si="171"/>
        <v>526.36133383842719</v>
      </c>
      <c r="H307" s="440">
        <f t="shared" si="171"/>
        <v>456.59081553637179</v>
      </c>
      <c r="I307" s="441">
        <f t="shared" si="171"/>
        <v>380.75172443931621</v>
      </c>
      <c r="J307" s="438">
        <f t="shared" si="171"/>
        <v>471.16106836013978</v>
      </c>
      <c r="K307" s="439">
        <f t="shared" si="171"/>
        <v>525.4215866838839</v>
      </c>
      <c r="L307" s="440">
        <f t="shared" si="171"/>
        <v>474.76530425914063</v>
      </c>
      <c r="M307" s="441">
        <f t="shared" si="171"/>
        <v>382.5221831730691</v>
      </c>
      <c r="N307" s="438" t="e">
        <f t="shared" si="171"/>
        <v>#DIV/0!</v>
      </c>
      <c r="O307" s="439" t="e">
        <f t="shared" si="171"/>
        <v>#DIV/0!</v>
      </c>
      <c r="P307" s="440" t="e">
        <f t="shared" si="171"/>
        <v>#DIV/0!</v>
      </c>
      <c r="Q307" s="441" t="e">
        <f t="shared" si="171"/>
        <v>#DIV/0!</v>
      </c>
      <c r="R307" s="816">
        <f t="shared" si="171"/>
        <v>457.39501737616808</v>
      </c>
      <c r="S307" s="447">
        <f t="shared" si="171"/>
        <v>527.13930341592697</v>
      </c>
      <c r="T307" s="447">
        <f t="shared" si="171"/>
        <v>464.58296676535696</v>
      </c>
      <c r="U307" s="476">
        <f t="shared" si="171"/>
        <v>380.83182315658127</v>
      </c>
    </row>
    <row r="308" spans="1:21">
      <c r="A308" s="397" t="s">
        <v>3</v>
      </c>
      <c r="B308" s="438">
        <f t="shared" ref="B308:U308" si="172">+B276/B212*100</f>
        <v>360.28089280838219</v>
      </c>
      <c r="C308" s="439">
        <f t="shared" si="172"/>
        <v>345.51742631430102</v>
      </c>
      <c r="D308" s="440">
        <f t="shared" si="172"/>
        <v>357.62398049362309</v>
      </c>
      <c r="E308" s="441">
        <f t="shared" si="172"/>
        <v>414.30723782370842</v>
      </c>
      <c r="F308" s="438">
        <f t="shared" si="172"/>
        <v>349.72761930017458</v>
      </c>
      <c r="G308" s="439">
        <f t="shared" si="172"/>
        <v>301.46636853856052</v>
      </c>
      <c r="H308" s="440">
        <f t="shared" si="172"/>
        <v>342.03129842227753</v>
      </c>
      <c r="I308" s="441">
        <f t="shared" si="172"/>
        <v>409.46271951272541</v>
      </c>
      <c r="J308" s="438">
        <f t="shared" si="172"/>
        <v>394.8250615717352</v>
      </c>
      <c r="K308" s="439">
        <f t="shared" si="172"/>
        <v>305.77852148510101</v>
      </c>
      <c r="L308" s="440">
        <f t="shared" si="172"/>
        <v>389.22256736043335</v>
      </c>
      <c r="M308" s="441">
        <f t="shared" si="172"/>
        <v>397.02875156590613</v>
      </c>
      <c r="N308" s="438" t="e">
        <f t="shared" si="172"/>
        <v>#DIV/0!</v>
      </c>
      <c r="O308" s="439" t="e">
        <f t="shared" si="172"/>
        <v>#DIV/0!</v>
      </c>
      <c r="P308" s="440" t="e">
        <f t="shared" si="172"/>
        <v>#DIV/0!</v>
      </c>
      <c r="Q308" s="441" t="e">
        <f t="shared" si="172"/>
        <v>#DIV/0!</v>
      </c>
      <c r="R308" s="816">
        <f t="shared" si="172"/>
        <v>367.59962268604147</v>
      </c>
      <c r="S308" s="447">
        <f t="shared" si="172"/>
        <v>320.19437443498811</v>
      </c>
      <c r="T308" s="447">
        <f t="shared" si="172"/>
        <v>361.11335818907003</v>
      </c>
      <c r="U308" s="476">
        <f t="shared" si="172"/>
        <v>407.43077851589834</v>
      </c>
    </row>
    <row r="309" spans="1:21">
      <c r="A309" s="397" t="s">
        <v>397</v>
      </c>
      <c r="B309" s="438">
        <f t="shared" ref="B309:U309" si="173">+B277/B213*100</f>
        <v>455.69030161106525</v>
      </c>
      <c r="C309" s="439">
        <f t="shared" si="173"/>
        <v>415.3159108402125</v>
      </c>
      <c r="D309" s="440">
        <f t="shared" si="173"/>
        <v>449.17611115789964</v>
      </c>
      <c r="E309" s="441">
        <f t="shared" si="173"/>
        <v>421.9868965484477</v>
      </c>
      <c r="F309" s="438">
        <f t="shared" si="173"/>
        <v>453.82827979108396</v>
      </c>
      <c r="G309" s="439">
        <f t="shared" si="173"/>
        <v>355.37232393910728</v>
      </c>
      <c r="H309" s="440">
        <f t="shared" si="173"/>
        <v>436.45949813740384</v>
      </c>
      <c r="I309" s="441">
        <f t="shared" si="173"/>
        <v>423.21388994802408</v>
      </c>
      <c r="J309" s="438">
        <f t="shared" si="173"/>
        <v>474.40225524644666</v>
      </c>
      <c r="K309" s="439">
        <f t="shared" si="173"/>
        <v>334.99338881404941</v>
      </c>
      <c r="L309" s="440">
        <f t="shared" si="173"/>
        <v>453.62949601151143</v>
      </c>
      <c r="M309" s="441">
        <f t="shared" si="173"/>
        <v>448.36443051154237</v>
      </c>
      <c r="N309" s="438" t="e">
        <f t="shared" si="173"/>
        <v>#DIV/0!</v>
      </c>
      <c r="O309" s="439" t="e">
        <f t="shared" si="173"/>
        <v>#DIV/0!</v>
      </c>
      <c r="P309" s="440" t="e">
        <f t="shared" si="173"/>
        <v>#DIV/0!</v>
      </c>
      <c r="Q309" s="441" t="e">
        <f t="shared" si="173"/>
        <v>#DIV/0!</v>
      </c>
      <c r="R309" s="816">
        <f t="shared" si="173"/>
        <v>461.58200775432664</v>
      </c>
      <c r="S309" s="447">
        <f t="shared" si="173"/>
        <v>368.38316288162218</v>
      </c>
      <c r="T309" s="447">
        <f t="shared" si="173"/>
        <v>446.4713114482924</v>
      </c>
      <c r="U309" s="476">
        <f t="shared" si="173"/>
        <v>430.44775276512854</v>
      </c>
    </row>
    <row r="310" spans="1:21">
      <c r="A310" s="397" t="s">
        <v>399</v>
      </c>
      <c r="B310" s="438">
        <f t="shared" ref="B310:U310" si="174">+B278/B214*100</f>
        <v>468.40226488602497</v>
      </c>
      <c r="C310" s="439">
        <f t="shared" si="174"/>
        <v>497.08864226327279</v>
      </c>
      <c r="D310" s="440">
        <f t="shared" si="174"/>
        <v>471.83049227754339</v>
      </c>
      <c r="E310" s="441">
        <f t="shared" si="174"/>
        <v>379.56116465945189</v>
      </c>
      <c r="F310" s="438">
        <f t="shared" si="174"/>
        <v>460.69291800212125</v>
      </c>
      <c r="G310" s="439">
        <f t="shared" si="174"/>
        <v>361.57527131975098</v>
      </c>
      <c r="H310" s="440">
        <f t="shared" si="174"/>
        <v>444.66382564215081</v>
      </c>
      <c r="I310" s="441">
        <f t="shared" si="174"/>
        <v>366.3931218373242</v>
      </c>
      <c r="J310" s="438">
        <f t="shared" si="174"/>
        <v>482.25542022847048</v>
      </c>
      <c r="K310" s="439">
        <f t="shared" si="174"/>
        <v>315.42445808598308</v>
      </c>
      <c r="L310" s="440">
        <f t="shared" si="174"/>
        <v>475.68607959913925</v>
      </c>
      <c r="M310" s="441">
        <f t="shared" si="174"/>
        <v>429.6360976231112</v>
      </c>
      <c r="N310" s="438" t="e">
        <f t="shared" si="174"/>
        <v>#DIV/0!</v>
      </c>
      <c r="O310" s="439" t="e">
        <f t="shared" si="174"/>
        <v>#DIV/0!</v>
      </c>
      <c r="P310" s="440" t="e">
        <f t="shared" si="174"/>
        <v>#DIV/0!</v>
      </c>
      <c r="Q310" s="441" t="e">
        <f t="shared" si="174"/>
        <v>#DIV/0!</v>
      </c>
      <c r="R310" s="816">
        <f t="shared" si="174"/>
        <v>471.07385534417335</v>
      </c>
      <c r="S310" s="447">
        <f t="shared" si="174"/>
        <v>406.58489994345661</v>
      </c>
      <c r="T310" s="447">
        <f t="shared" si="174"/>
        <v>464.22443166473704</v>
      </c>
      <c r="U310" s="476">
        <f t="shared" si="174"/>
        <v>387.65884002378101</v>
      </c>
    </row>
    <row r="311" spans="1:21">
      <c r="A311" s="397" t="s">
        <v>883</v>
      </c>
      <c r="B311" s="438">
        <f t="shared" ref="B311:U311" si="175">+B279/B215*100</f>
        <v>438.04071308581769</v>
      </c>
      <c r="C311" s="439">
        <f t="shared" si="175"/>
        <v>536.38522010920883</v>
      </c>
      <c r="D311" s="440">
        <f t="shared" si="175"/>
        <v>456.27163721366088</v>
      </c>
      <c r="E311" s="441">
        <f t="shared" si="175"/>
        <v>420.22300855592533</v>
      </c>
      <c r="F311" s="438">
        <f t="shared" si="175"/>
        <v>444.3938191305561</v>
      </c>
      <c r="G311" s="439">
        <f t="shared" si="175"/>
        <v>535.68729823434614</v>
      </c>
      <c r="H311" s="440">
        <f t="shared" si="175"/>
        <v>459.77795377743666</v>
      </c>
      <c r="I311" s="441">
        <f t="shared" si="175"/>
        <v>410.65658525600514</v>
      </c>
      <c r="J311" s="438">
        <f t="shared" si="175"/>
        <v>458.94533254409578</v>
      </c>
      <c r="K311" s="439">
        <f t="shared" si="175"/>
        <v>536.14882826894541</v>
      </c>
      <c r="L311" s="440">
        <f t="shared" si="175"/>
        <v>465.72385777241368</v>
      </c>
      <c r="M311" s="441">
        <f t="shared" si="175"/>
        <v>407.38618455476211</v>
      </c>
      <c r="N311" s="438" t="e">
        <f t="shared" si="175"/>
        <v>#DIV/0!</v>
      </c>
      <c r="O311" s="439" t="e">
        <f t="shared" si="175"/>
        <v>#DIV/0!</v>
      </c>
      <c r="P311" s="440" t="e">
        <f t="shared" si="175"/>
        <v>#DIV/0!</v>
      </c>
      <c r="Q311" s="441" t="e">
        <f t="shared" si="175"/>
        <v>#DIV/0!</v>
      </c>
      <c r="R311" s="816">
        <f t="shared" si="175"/>
        <v>449.15326952775831</v>
      </c>
      <c r="S311" s="447">
        <f t="shared" si="175"/>
        <v>536.069251511831</v>
      </c>
      <c r="T311" s="447">
        <f t="shared" si="175"/>
        <v>461.27873736769988</v>
      </c>
      <c r="U311" s="476">
        <f t="shared" si="175"/>
        <v>412.69577955548493</v>
      </c>
    </row>
    <row r="312" spans="1:21">
      <c r="A312" s="397" t="s">
        <v>884</v>
      </c>
      <c r="B312" s="438">
        <f t="shared" ref="B312:U312" si="176">+B280/B216*100</f>
        <v>435.96082846444403</v>
      </c>
      <c r="C312" s="439">
        <f t="shared" si="176"/>
        <v>482.80296491405863</v>
      </c>
      <c r="D312" s="440">
        <f t="shared" si="176"/>
        <v>443.81996844474577</v>
      </c>
      <c r="E312" s="441">
        <f t="shared" si="176"/>
        <v>426.29063647332498</v>
      </c>
      <c r="F312" s="438">
        <f t="shared" si="176"/>
        <v>422.26132833953739</v>
      </c>
      <c r="G312" s="439">
        <f t="shared" si="176"/>
        <v>427.54419750234121</v>
      </c>
      <c r="H312" s="440">
        <f t="shared" si="176"/>
        <v>423.18234324850937</v>
      </c>
      <c r="I312" s="441">
        <f t="shared" si="176"/>
        <v>411.95466436347579</v>
      </c>
      <c r="J312" s="438">
        <f t="shared" si="176"/>
        <v>459.71915488294883</v>
      </c>
      <c r="K312" s="439">
        <f t="shared" si="176"/>
        <v>412.53054805826014</v>
      </c>
      <c r="L312" s="440">
        <f t="shared" si="176"/>
        <v>455.05459119300616</v>
      </c>
      <c r="M312" s="441">
        <f t="shared" si="176"/>
        <v>349.03046415569918</v>
      </c>
      <c r="N312" s="438" t="e">
        <f t="shared" si="176"/>
        <v>#DIV/0!</v>
      </c>
      <c r="O312" s="439" t="e">
        <f t="shared" si="176"/>
        <v>#DIV/0!</v>
      </c>
      <c r="P312" s="440" t="e">
        <f t="shared" si="176"/>
        <v>#DIV/0!</v>
      </c>
      <c r="Q312" s="441" t="e">
        <f t="shared" si="176"/>
        <v>#DIV/0!</v>
      </c>
      <c r="R312" s="816">
        <f t="shared" si="176"/>
        <v>442.13346455550601</v>
      </c>
      <c r="S312" s="447">
        <f t="shared" si="176"/>
        <v>442.19507096271684</v>
      </c>
      <c r="T312" s="447">
        <f t="shared" si="176"/>
        <v>442.14219225879168</v>
      </c>
      <c r="U312" s="476">
        <f t="shared" si="176"/>
        <v>396.15833644277461</v>
      </c>
    </row>
    <row r="313" spans="1:21" ht="14.4" thickBot="1">
      <c r="A313" s="397" t="s">
        <v>885</v>
      </c>
      <c r="B313" s="438">
        <f t="shared" ref="B313:U313" si="177">+B281/B217*100</f>
        <v>413.45429083823097</v>
      </c>
      <c r="C313" s="439">
        <f t="shared" si="177"/>
        <v>537.00403960489894</v>
      </c>
      <c r="D313" s="440">
        <f t="shared" si="177"/>
        <v>446.78504896181266</v>
      </c>
      <c r="E313" s="441">
        <f t="shared" si="177"/>
        <v>390.04980160138376</v>
      </c>
      <c r="F313" s="438">
        <f t="shared" si="177"/>
        <v>416.63023665942609</v>
      </c>
      <c r="G313" s="439">
        <f t="shared" si="177"/>
        <v>534.30514544786581</v>
      </c>
      <c r="H313" s="440">
        <f t="shared" si="177"/>
        <v>443.37527388428668</v>
      </c>
      <c r="I313" s="441">
        <f t="shared" si="177"/>
        <v>393.09089954456778</v>
      </c>
      <c r="J313" s="438">
        <f t="shared" si="177"/>
        <v>443.8928594255546</v>
      </c>
      <c r="K313" s="439">
        <f t="shared" si="177"/>
        <v>529.76774702584544</v>
      </c>
      <c r="L313" s="440">
        <f t="shared" si="177"/>
        <v>456.81479847408661</v>
      </c>
      <c r="M313" s="441">
        <f t="shared" si="177"/>
        <v>437.52532760034211</v>
      </c>
      <c r="N313" s="438" t="e">
        <f t="shared" si="177"/>
        <v>#DIV/0!</v>
      </c>
      <c r="O313" s="439" t="e">
        <f t="shared" si="177"/>
        <v>#DIV/0!</v>
      </c>
      <c r="P313" s="440" t="e">
        <f t="shared" si="177"/>
        <v>#DIV/0!</v>
      </c>
      <c r="Q313" s="441" t="e">
        <f t="shared" si="177"/>
        <v>#DIV/0!</v>
      </c>
      <c r="R313" s="816">
        <f t="shared" si="177"/>
        <v>425.84193842037934</v>
      </c>
      <c r="S313" s="447">
        <f t="shared" si="177"/>
        <v>534.31176274446852</v>
      </c>
      <c r="T313" s="447">
        <f t="shared" si="177"/>
        <v>449.12108638087824</v>
      </c>
      <c r="U313" s="476">
        <f t="shared" si="177"/>
        <v>402.11595627488032</v>
      </c>
    </row>
    <row r="314" spans="1:21" ht="14.4" thickBot="1">
      <c r="A314" s="433" t="s">
        <v>16</v>
      </c>
      <c r="B314" s="455">
        <f t="shared" ref="B314:U314" si="178">+B282/B218*100</f>
        <v>439.44784906871297</v>
      </c>
      <c r="C314" s="456">
        <f t="shared" si="178"/>
        <v>464.36475602895496</v>
      </c>
      <c r="D314" s="456">
        <f t="shared" si="178"/>
        <v>443.45951458698175</v>
      </c>
      <c r="E314" s="457">
        <f t="shared" si="178"/>
        <v>391.28881107725419</v>
      </c>
      <c r="F314" s="455">
        <f t="shared" si="178"/>
        <v>432.72642866525359</v>
      </c>
      <c r="G314" s="456">
        <f t="shared" si="178"/>
        <v>411.76615812219001</v>
      </c>
      <c r="H314" s="456">
        <f t="shared" si="178"/>
        <v>429.34035228557457</v>
      </c>
      <c r="I314" s="457">
        <f t="shared" si="178"/>
        <v>396.85758706852096</v>
      </c>
      <c r="J314" s="455">
        <f t="shared" si="178"/>
        <v>453.73862276902014</v>
      </c>
      <c r="K314" s="456">
        <f t="shared" si="178"/>
        <v>403.24013014128468</v>
      </c>
      <c r="L314" s="456">
        <f t="shared" si="178"/>
        <v>449.67240950604543</v>
      </c>
      <c r="M314" s="457">
        <f t="shared" si="178"/>
        <v>397.49976733256466</v>
      </c>
      <c r="N314" s="455" t="e">
        <f t="shared" si="178"/>
        <v>#DIV/0!</v>
      </c>
      <c r="O314" s="456" t="e">
        <f t="shared" si="178"/>
        <v>#DIV/0!</v>
      </c>
      <c r="P314" s="456" t="e">
        <f t="shared" si="178"/>
        <v>#DIV/0!</v>
      </c>
      <c r="Q314" s="457" t="e">
        <f t="shared" si="178"/>
        <v>#DIV/0!</v>
      </c>
      <c r="R314" s="478">
        <f t="shared" si="178"/>
        <v>442.76287659775033</v>
      </c>
      <c r="S314" s="478">
        <f t="shared" si="178"/>
        <v>429.93156624486977</v>
      </c>
      <c r="T314" s="478">
        <f t="shared" si="178"/>
        <v>441.06592937466712</v>
      </c>
      <c r="U314" s="478">
        <f t="shared" si="178"/>
        <v>395.1079584074771</v>
      </c>
    </row>
  </sheetData>
  <mergeCells count="118">
    <mergeCell ref="R174:U174"/>
    <mergeCell ref="A174:A175"/>
    <mergeCell ref="B174:E174"/>
    <mergeCell ref="F174:I174"/>
    <mergeCell ref="J174:M174"/>
    <mergeCell ref="N174:Q174"/>
    <mergeCell ref="A159:A160"/>
    <mergeCell ref="B159:E159"/>
    <mergeCell ref="F159:I159"/>
    <mergeCell ref="J159:M159"/>
    <mergeCell ref="N159:Q159"/>
    <mergeCell ref="N206:Q206"/>
    <mergeCell ref="J35:M35"/>
    <mergeCell ref="N3:Q3"/>
    <mergeCell ref="N18:Q18"/>
    <mergeCell ref="A50:A51"/>
    <mergeCell ref="B50:E50"/>
    <mergeCell ref="F50:I50"/>
    <mergeCell ref="F206:I206"/>
    <mergeCell ref="B35:E35"/>
    <mergeCell ref="A3:A4"/>
    <mergeCell ref="B3:E3"/>
    <mergeCell ref="F3:I3"/>
    <mergeCell ref="A18:A19"/>
    <mergeCell ref="B18:E18"/>
    <mergeCell ref="F18:I18"/>
    <mergeCell ref="A35:A36"/>
    <mergeCell ref="F35:I35"/>
    <mergeCell ref="J3:M3"/>
    <mergeCell ref="A66:A67"/>
    <mergeCell ref="A112:A113"/>
    <mergeCell ref="B112:E112"/>
    <mergeCell ref="F112:I112"/>
    <mergeCell ref="J112:M112"/>
    <mergeCell ref="N112:Q112"/>
    <mergeCell ref="R112:U112"/>
    <mergeCell ref="R128:U128"/>
    <mergeCell ref="R143:U143"/>
    <mergeCell ref="R159:U159"/>
    <mergeCell ref="A81:A82"/>
    <mergeCell ref="B81:E81"/>
    <mergeCell ref="F81:I81"/>
    <mergeCell ref="J81:M81"/>
    <mergeCell ref="N81:Q81"/>
    <mergeCell ref="A97:A98"/>
    <mergeCell ref="B97:E97"/>
    <mergeCell ref="F97:I97"/>
    <mergeCell ref="J97:M97"/>
    <mergeCell ref="N97:Q97"/>
    <mergeCell ref="A143:A144"/>
    <mergeCell ref="B143:E143"/>
    <mergeCell ref="F143:I143"/>
    <mergeCell ref="J143:M143"/>
    <mergeCell ref="N143:Q143"/>
    <mergeCell ref="A128:A129"/>
    <mergeCell ref="B128:E128"/>
    <mergeCell ref="F128:I128"/>
    <mergeCell ref="J128:M128"/>
    <mergeCell ref="N128:Q128"/>
    <mergeCell ref="N238:Q238"/>
    <mergeCell ref="J18:M18"/>
    <mergeCell ref="N35:Q35"/>
    <mergeCell ref="R270:U270"/>
    <mergeCell ref="N255:Q255"/>
    <mergeCell ref="N270:Q270"/>
    <mergeCell ref="R50:U50"/>
    <mergeCell ref="R206:U206"/>
    <mergeCell ref="J50:M50"/>
    <mergeCell ref="R238:U238"/>
    <mergeCell ref="R255:U255"/>
    <mergeCell ref="J255:M255"/>
    <mergeCell ref="N191:Q191"/>
    <mergeCell ref="J191:M191"/>
    <mergeCell ref="R223:U223"/>
    <mergeCell ref="N223:Q223"/>
    <mergeCell ref="R35:U35"/>
    <mergeCell ref="N50:Q50"/>
    <mergeCell ref="R191:U191"/>
    <mergeCell ref="J66:M66"/>
    <mergeCell ref="N66:Q66"/>
    <mergeCell ref="R66:U66"/>
    <mergeCell ref="R81:U81"/>
    <mergeCell ref="R97:U97"/>
    <mergeCell ref="R302:U302"/>
    <mergeCell ref="N287:Q287"/>
    <mergeCell ref="N302:Q302"/>
    <mergeCell ref="J302:M302"/>
    <mergeCell ref="A302:A303"/>
    <mergeCell ref="B302:E302"/>
    <mergeCell ref="F302:I302"/>
    <mergeCell ref="A287:A288"/>
    <mergeCell ref="J287:M287"/>
    <mergeCell ref="R287:U287"/>
    <mergeCell ref="B287:E287"/>
    <mergeCell ref="F287:I287"/>
    <mergeCell ref="A238:A239"/>
    <mergeCell ref="A270:A271"/>
    <mergeCell ref="A255:A256"/>
    <mergeCell ref="B238:E238"/>
    <mergeCell ref="B255:E255"/>
    <mergeCell ref="B270:E270"/>
    <mergeCell ref="F255:I255"/>
    <mergeCell ref="J270:M270"/>
    <mergeCell ref="F270:I270"/>
    <mergeCell ref="F238:I238"/>
    <mergeCell ref="J238:M238"/>
    <mergeCell ref="B66:E66"/>
    <mergeCell ref="F66:I66"/>
    <mergeCell ref="F223:I223"/>
    <mergeCell ref="A206:A207"/>
    <mergeCell ref="B206:E206"/>
    <mergeCell ref="A191:A192"/>
    <mergeCell ref="B191:E191"/>
    <mergeCell ref="A223:A224"/>
    <mergeCell ref="J223:M223"/>
    <mergeCell ref="B223:E223"/>
    <mergeCell ref="F191:I191"/>
    <mergeCell ref="J206:M206"/>
  </mergeCells>
  <phoneticPr fontId="28" type="noConversion"/>
  <pageMargins left="0.17" right="0.17" top="0.984251969" bottom="0.984251969" header="0.4921259845" footer="0.4921259845"/>
  <pageSetup paperSize="9" scale="60" orientation="landscape" r:id="rId1"/>
  <headerFooter alignWithMargins="0"/>
</worksheet>
</file>

<file path=xl/worksheets/sheet3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600-000000000000}">
  <sheetPr codeName="Feuil23">
    <tabColor indexed="11"/>
  </sheetPr>
  <dimension ref="A1:U314"/>
  <sheetViews>
    <sheetView showGridLines="0" topLeftCell="A49" zoomScale="85" zoomScaleNormal="85" workbookViewId="0">
      <selection activeCell="A52" sqref="A52:A61"/>
    </sheetView>
  </sheetViews>
  <sheetFormatPr baseColWidth="10" defaultColWidth="11.44140625" defaultRowHeight="13.2"/>
  <cols>
    <col min="1" max="1" width="12.109375" style="1" customWidth="1"/>
    <col min="2" max="2" width="11.44140625" style="1"/>
    <col min="3" max="3" width="12.109375" style="1" customWidth="1"/>
    <col min="4" max="4" width="11.88671875" style="1" customWidth="1"/>
    <col min="5" max="6" width="11.44140625" style="1"/>
    <col min="7" max="7" width="12.109375" style="1" customWidth="1"/>
    <col min="8" max="8" width="11.88671875" style="1" customWidth="1"/>
    <col min="9" max="9" width="11.44140625" style="1"/>
    <col min="10" max="10" width="11.5546875" style="1" customWidth="1"/>
    <col min="11" max="16384" width="11.44140625" style="1"/>
  </cols>
  <sheetData>
    <row r="1" spans="1:17" ht="17.399999999999999">
      <c r="A1" s="15" t="s">
        <v>84</v>
      </c>
    </row>
    <row r="2" spans="1:17" ht="18" thickBot="1">
      <c r="A2" s="2">
        <f>trim_elec!A2</f>
        <v>2021</v>
      </c>
    </row>
    <row r="3" spans="1:17">
      <c r="A3" s="3429" t="s">
        <v>0</v>
      </c>
      <c r="B3" s="3423" t="s">
        <v>269</v>
      </c>
      <c r="C3" s="3424"/>
      <c r="D3" s="3424"/>
      <c r="E3" s="3425"/>
      <c r="F3" s="3426" t="s">
        <v>270</v>
      </c>
      <c r="G3" s="3427"/>
      <c r="H3" s="3427"/>
      <c r="I3" s="3428"/>
      <c r="J3" s="3420" t="s">
        <v>271</v>
      </c>
      <c r="K3" s="3421"/>
      <c r="L3" s="3421"/>
      <c r="M3" s="3422"/>
      <c r="N3" s="3415" t="s">
        <v>272</v>
      </c>
      <c r="O3" s="3416"/>
      <c r="P3" s="3416"/>
      <c r="Q3" s="3417"/>
    </row>
    <row r="4" spans="1:17">
      <c r="A4" s="3430"/>
      <c r="B4" s="3" t="s">
        <v>17</v>
      </c>
      <c r="C4" s="4" t="s">
        <v>18</v>
      </c>
      <c r="D4" s="4" t="s">
        <v>56</v>
      </c>
      <c r="E4" s="5" t="s">
        <v>21</v>
      </c>
      <c r="F4" s="3" t="s">
        <v>17</v>
      </c>
      <c r="G4" s="4" t="s">
        <v>18</v>
      </c>
      <c r="H4" s="4" t="s">
        <v>56</v>
      </c>
      <c r="I4" s="5" t="s">
        <v>21</v>
      </c>
      <c r="J4" s="3" t="s">
        <v>17</v>
      </c>
      <c r="K4" s="4" t="s">
        <v>18</v>
      </c>
      <c r="L4" s="4" t="s">
        <v>56</v>
      </c>
      <c r="M4" s="5" t="s">
        <v>21</v>
      </c>
      <c r="N4" s="3" t="s">
        <v>17</v>
      </c>
      <c r="O4" s="4" t="s">
        <v>18</v>
      </c>
      <c r="P4" s="4" t="s">
        <v>56</v>
      </c>
      <c r="Q4" s="5" t="s">
        <v>21</v>
      </c>
    </row>
    <row r="5" spans="1:17">
      <c r="A5" s="16" t="s">
        <v>68</v>
      </c>
      <c r="B5" s="21">
        <f>gaz!J5</f>
        <v>227031</v>
      </c>
      <c r="C5" s="25">
        <f>gaz!K5</f>
        <v>2135</v>
      </c>
      <c r="D5" s="23">
        <f t="shared" ref="D5:D14" si="0">+B5+C5</f>
        <v>229166</v>
      </c>
      <c r="E5" s="26">
        <f>gaz!M5</f>
        <v>388</v>
      </c>
      <c r="F5" s="21">
        <f>gaz!V5</f>
        <v>230476</v>
      </c>
      <c r="G5" s="25">
        <f>gaz!W5</f>
        <v>2150</v>
      </c>
      <c r="H5" s="23">
        <f t="shared" ref="H5:H14" si="1">+F5+G5</f>
        <v>232626</v>
      </c>
      <c r="I5" s="26">
        <f>gaz!Y5</f>
        <v>390</v>
      </c>
      <c r="J5" s="21">
        <f>gaz!AH5</f>
        <v>0</v>
      </c>
      <c r="K5" s="25">
        <f>gaz!AI5</f>
        <v>0</v>
      </c>
      <c r="L5" s="23">
        <f t="shared" ref="L5:L14" si="2">+J5+K5</f>
        <v>0</v>
      </c>
      <c r="M5" s="26">
        <f>gaz!AK5</f>
        <v>0</v>
      </c>
      <c r="N5" s="21">
        <f>gaz!AT5</f>
        <v>0</v>
      </c>
      <c r="O5" s="25">
        <f>gaz!AU5</f>
        <v>0</v>
      </c>
      <c r="P5" s="23">
        <f t="shared" ref="P5:P14" si="3">+N5+O5</f>
        <v>0</v>
      </c>
      <c r="Q5" s="26">
        <f>gaz!AW5</f>
        <v>0</v>
      </c>
    </row>
    <row r="6" spans="1:17">
      <c r="A6" s="16" t="s">
        <v>7</v>
      </c>
      <c r="B6" s="21">
        <f>gaz!J6</f>
        <v>158771</v>
      </c>
      <c r="C6" s="25">
        <f>gaz!K6</f>
        <v>2422</v>
      </c>
      <c r="D6" s="23">
        <f t="shared" si="0"/>
        <v>161193</v>
      </c>
      <c r="E6" s="26">
        <f>gaz!M6</f>
        <v>223</v>
      </c>
      <c r="F6" s="21">
        <f>gaz!V6</f>
        <v>160196</v>
      </c>
      <c r="G6" s="25">
        <f>gaz!W6</f>
        <v>2444</v>
      </c>
      <c r="H6" s="23">
        <f t="shared" si="1"/>
        <v>162640</v>
      </c>
      <c r="I6" s="26">
        <f>gaz!Y6</f>
        <v>231</v>
      </c>
      <c r="J6" s="21">
        <f>gaz!AH6</f>
        <v>0</v>
      </c>
      <c r="K6" s="25">
        <f>gaz!AI6</f>
        <v>0</v>
      </c>
      <c r="L6" s="23">
        <f t="shared" si="2"/>
        <v>0</v>
      </c>
      <c r="M6" s="26">
        <f>gaz!AK6</f>
        <v>0</v>
      </c>
      <c r="N6" s="21">
        <f>gaz!AT6</f>
        <v>0</v>
      </c>
      <c r="O6" s="25">
        <f>gaz!AU6</f>
        <v>0</v>
      </c>
      <c r="P6" s="23">
        <f t="shared" si="3"/>
        <v>0</v>
      </c>
      <c r="Q6" s="26">
        <f>gaz!AW6</f>
        <v>0</v>
      </c>
    </row>
    <row r="7" spans="1:17">
      <c r="A7" s="16" t="s">
        <v>8</v>
      </c>
      <c r="B7" s="21">
        <f>gaz!J7</f>
        <v>141847</v>
      </c>
      <c r="C7" s="25">
        <f>gaz!K7</f>
        <v>1907</v>
      </c>
      <c r="D7" s="23">
        <f t="shared" si="0"/>
        <v>143754</v>
      </c>
      <c r="E7" s="26">
        <f>gaz!M7</f>
        <v>167</v>
      </c>
      <c r="F7" s="21">
        <f>gaz!V7</f>
        <v>144593</v>
      </c>
      <c r="G7" s="25">
        <f>gaz!W7</f>
        <v>1930</v>
      </c>
      <c r="H7" s="23">
        <f t="shared" si="1"/>
        <v>146523</v>
      </c>
      <c r="I7" s="26">
        <f>gaz!Y7</f>
        <v>167</v>
      </c>
      <c r="J7" s="21">
        <f>gaz!AH7</f>
        <v>0</v>
      </c>
      <c r="K7" s="25">
        <f>gaz!AI7</f>
        <v>0</v>
      </c>
      <c r="L7" s="23">
        <f t="shared" si="2"/>
        <v>0</v>
      </c>
      <c r="M7" s="26">
        <f>gaz!AK7</f>
        <v>0</v>
      </c>
      <c r="N7" s="21">
        <f>gaz!AT7</f>
        <v>0</v>
      </c>
      <c r="O7" s="25">
        <f>gaz!AU7</f>
        <v>0</v>
      </c>
      <c r="P7" s="23">
        <f t="shared" si="3"/>
        <v>0</v>
      </c>
      <c r="Q7" s="26">
        <f>gaz!AW7</f>
        <v>0</v>
      </c>
    </row>
    <row r="8" spans="1:17">
      <c r="A8" s="16" t="s">
        <v>4</v>
      </c>
      <c r="B8" s="21">
        <f>gaz!J8</f>
        <v>299732</v>
      </c>
      <c r="C8" s="25">
        <f>gaz!K8</f>
        <v>2964</v>
      </c>
      <c r="D8" s="23">
        <f t="shared" si="0"/>
        <v>302696</v>
      </c>
      <c r="E8" s="26">
        <f>gaz!M8</f>
        <v>262</v>
      </c>
      <c r="F8" s="21">
        <f>gaz!V8</f>
        <v>302256</v>
      </c>
      <c r="G8" s="25">
        <f>gaz!W8</f>
        <v>2976</v>
      </c>
      <c r="H8" s="23">
        <f t="shared" si="1"/>
        <v>305232</v>
      </c>
      <c r="I8" s="26">
        <f>gaz!Y8</f>
        <v>262</v>
      </c>
      <c r="J8" s="21">
        <f>gaz!AH8</f>
        <v>0</v>
      </c>
      <c r="K8" s="25">
        <f>gaz!AI8</f>
        <v>0</v>
      </c>
      <c r="L8" s="23">
        <f t="shared" si="2"/>
        <v>0</v>
      </c>
      <c r="M8" s="26">
        <f>gaz!AK8</f>
        <v>0</v>
      </c>
      <c r="N8" s="21">
        <f>gaz!AT8</f>
        <v>0</v>
      </c>
      <c r="O8" s="25">
        <f>gaz!AU8</f>
        <v>0</v>
      </c>
      <c r="P8" s="23">
        <f t="shared" si="3"/>
        <v>0</v>
      </c>
      <c r="Q8" s="26">
        <f>gaz!AW8</f>
        <v>0</v>
      </c>
    </row>
    <row r="9" spans="1:17">
      <c r="A9" s="16" t="s">
        <v>3</v>
      </c>
      <c r="B9" s="21">
        <f>gaz!J9</f>
        <v>188656</v>
      </c>
      <c r="C9" s="25">
        <f>gaz!K9</f>
        <v>2879</v>
      </c>
      <c r="D9" s="23">
        <f t="shared" si="0"/>
        <v>191535</v>
      </c>
      <c r="E9" s="26">
        <f>gaz!M9</f>
        <v>175</v>
      </c>
      <c r="F9" s="21">
        <f>gaz!V9</f>
        <v>189546</v>
      </c>
      <c r="G9" s="25">
        <f>gaz!W9</f>
        <v>2887</v>
      </c>
      <c r="H9" s="23">
        <f t="shared" si="1"/>
        <v>192433</v>
      </c>
      <c r="I9" s="26">
        <f>gaz!Y9</f>
        <v>176</v>
      </c>
      <c r="J9" s="21">
        <f>gaz!AH9</f>
        <v>0</v>
      </c>
      <c r="K9" s="25">
        <f>gaz!AI9</f>
        <v>0</v>
      </c>
      <c r="L9" s="23">
        <f t="shared" si="2"/>
        <v>0</v>
      </c>
      <c r="M9" s="26">
        <f>gaz!AK9</f>
        <v>0</v>
      </c>
      <c r="N9" s="21">
        <f>gaz!AT9</f>
        <v>0</v>
      </c>
      <c r="O9" s="25">
        <f>gaz!AU9</f>
        <v>0</v>
      </c>
      <c r="P9" s="23">
        <f t="shared" si="3"/>
        <v>0</v>
      </c>
      <c r="Q9" s="26">
        <f>gaz!AW9</f>
        <v>0</v>
      </c>
    </row>
    <row r="10" spans="1:17">
      <c r="A10" s="16" t="s">
        <v>397</v>
      </c>
      <c r="B10" s="21">
        <f>gaz!J10</f>
        <v>116043</v>
      </c>
      <c r="C10" s="25">
        <f>gaz!K10</f>
        <v>1021</v>
      </c>
      <c r="D10" s="23">
        <f t="shared" si="0"/>
        <v>117064</v>
      </c>
      <c r="E10" s="26">
        <f>gaz!M10</f>
        <v>119</v>
      </c>
      <c r="F10" s="21">
        <f>gaz!V10</f>
        <v>119112</v>
      </c>
      <c r="G10" s="25">
        <f>gaz!W10</f>
        <v>1041</v>
      </c>
      <c r="H10" s="23">
        <f t="shared" si="1"/>
        <v>120153</v>
      </c>
      <c r="I10" s="26">
        <f>gaz!Y10</f>
        <v>121</v>
      </c>
      <c r="J10" s="21">
        <f>gaz!AH10</f>
        <v>0</v>
      </c>
      <c r="K10" s="25">
        <f>gaz!AI10</f>
        <v>0</v>
      </c>
      <c r="L10" s="23">
        <f t="shared" si="2"/>
        <v>0</v>
      </c>
      <c r="M10" s="26">
        <f>gaz!AK10</f>
        <v>0</v>
      </c>
      <c r="N10" s="21">
        <f>gaz!AT10</f>
        <v>0</v>
      </c>
      <c r="O10" s="25">
        <f>gaz!AU10</f>
        <v>0</v>
      </c>
      <c r="P10" s="23">
        <f t="shared" si="3"/>
        <v>0</v>
      </c>
      <c r="Q10" s="26">
        <f>gaz!AW10</f>
        <v>0</v>
      </c>
    </row>
    <row r="11" spans="1:17">
      <c r="A11" s="16" t="s">
        <v>399</v>
      </c>
      <c r="B11" s="21">
        <f>gaz!J11</f>
        <v>166215</v>
      </c>
      <c r="C11" s="25">
        <f>gaz!K11</f>
        <v>1490</v>
      </c>
      <c r="D11" s="23">
        <f t="shared" si="0"/>
        <v>167705</v>
      </c>
      <c r="E11" s="26">
        <f>gaz!M11</f>
        <v>252</v>
      </c>
      <c r="F11" s="21">
        <f>gaz!V11</f>
        <v>169409</v>
      </c>
      <c r="G11" s="25">
        <f>gaz!W11</f>
        <v>1501</v>
      </c>
      <c r="H11" s="23">
        <f t="shared" si="1"/>
        <v>170910</v>
      </c>
      <c r="I11" s="26">
        <f>gaz!Y11</f>
        <v>254</v>
      </c>
      <c r="J11" s="21">
        <f>gaz!AH11</f>
        <v>0</v>
      </c>
      <c r="K11" s="25">
        <f>gaz!AI11</f>
        <v>0</v>
      </c>
      <c r="L11" s="23">
        <f t="shared" si="2"/>
        <v>0</v>
      </c>
      <c r="M11" s="26">
        <f>gaz!AK11</f>
        <v>0</v>
      </c>
      <c r="N11" s="21">
        <f>gaz!AT11</f>
        <v>0</v>
      </c>
      <c r="O11" s="25">
        <f>gaz!AU11</f>
        <v>0</v>
      </c>
      <c r="P11" s="23">
        <f t="shared" si="3"/>
        <v>0</v>
      </c>
      <c r="Q11" s="26">
        <f>gaz!AW11</f>
        <v>0</v>
      </c>
    </row>
    <row r="12" spans="1:17">
      <c r="A12" s="16" t="s">
        <v>883</v>
      </c>
      <c r="B12" s="21">
        <f>gaz!J12</f>
        <v>117680</v>
      </c>
      <c r="C12" s="25">
        <f>gaz!K12</f>
        <v>1354</v>
      </c>
      <c r="D12" s="23">
        <f t="shared" si="0"/>
        <v>119034</v>
      </c>
      <c r="E12" s="26">
        <f>gaz!M12</f>
        <v>135</v>
      </c>
      <c r="F12" s="21">
        <f>gaz!V12</f>
        <v>119238</v>
      </c>
      <c r="G12" s="25">
        <f>gaz!W12</f>
        <v>1361</v>
      </c>
      <c r="H12" s="23">
        <f t="shared" si="1"/>
        <v>120599</v>
      </c>
      <c r="I12" s="26">
        <f>gaz!Y12</f>
        <v>137</v>
      </c>
      <c r="J12" s="21">
        <f>gaz!AH12</f>
        <v>0</v>
      </c>
      <c r="K12" s="25">
        <f>gaz!AI12</f>
        <v>0</v>
      </c>
      <c r="L12" s="23">
        <f t="shared" si="2"/>
        <v>0</v>
      </c>
      <c r="M12" s="26">
        <f>gaz!AK12</f>
        <v>0</v>
      </c>
      <c r="N12" s="21">
        <f>gaz!AT12</f>
        <v>0</v>
      </c>
      <c r="O12" s="25">
        <f>gaz!AU12</f>
        <v>0</v>
      </c>
      <c r="P12" s="23">
        <f t="shared" si="3"/>
        <v>0</v>
      </c>
      <c r="Q12" s="26">
        <f>gaz!AW12</f>
        <v>0</v>
      </c>
    </row>
    <row r="13" spans="1:17">
      <c r="A13" s="16" t="s">
        <v>884</v>
      </c>
      <c r="B13" s="21">
        <f>gaz!J13</f>
        <v>147989</v>
      </c>
      <c r="C13" s="25">
        <f>gaz!K13</f>
        <v>1378</v>
      </c>
      <c r="D13" s="23">
        <f t="shared" si="0"/>
        <v>149367</v>
      </c>
      <c r="E13" s="26">
        <f>gaz!M13</f>
        <v>162</v>
      </c>
      <c r="F13" s="21">
        <f>gaz!V13</f>
        <v>151137</v>
      </c>
      <c r="G13" s="25">
        <f>gaz!W13</f>
        <v>1396</v>
      </c>
      <c r="H13" s="23">
        <f t="shared" si="1"/>
        <v>152533</v>
      </c>
      <c r="I13" s="26">
        <f>gaz!Y13</f>
        <v>163</v>
      </c>
      <c r="J13" s="21">
        <f>gaz!AH13</f>
        <v>0</v>
      </c>
      <c r="K13" s="25">
        <f>gaz!AI13</f>
        <v>0</v>
      </c>
      <c r="L13" s="23">
        <f t="shared" si="2"/>
        <v>0</v>
      </c>
      <c r="M13" s="26">
        <f>gaz!AK13</f>
        <v>0</v>
      </c>
      <c r="N13" s="21">
        <f>gaz!AT13</f>
        <v>0</v>
      </c>
      <c r="O13" s="25">
        <f>gaz!AU13</f>
        <v>0</v>
      </c>
      <c r="P13" s="23">
        <f t="shared" si="3"/>
        <v>0</v>
      </c>
      <c r="Q13" s="26">
        <f>gaz!AW13</f>
        <v>0</v>
      </c>
    </row>
    <row r="14" spans="1:17" ht="13.8" thickBot="1">
      <c r="A14" s="16" t="s">
        <v>885</v>
      </c>
      <c r="B14" s="21">
        <f>gaz!J14</f>
        <v>60337</v>
      </c>
      <c r="C14" s="25">
        <f>gaz!K14</f>
        <v>1250</v>
      </c>
      <c r="D14" s="23">
        <f t="shared" si="0"/>
        <v>61587</v>
      </c>
      <c r="E14" s="26">
        <f>gaz!M14</f>
        <v>33</v>
      </c>
      <c r="F14" s="21">
        <f>gaz!V14</f>
        <v>62614</v>
      </c>
      <c r="G14" s="25">
        <f>gaz!W14</f>
        <v>1263</v>
      </c>
      <c r="H14" s="23">
        <f t="shared" si="1"/>
        <v>63877</v>
      </c>
      <c r="I14" s="26">
        <f>gaz!Y14</f>
        <v>33</v>
      </c>
      <c r="J14" s="21">
        <f>gaz!AH14</f>
        <v>0</v>
      </c>
      <c r="K14" s="25">
        <f>gaz!AI14</f>
        <v>0</v>
      </c>
      <c r="L14" s="23">
        <f t="shared" si="2"/>
        <v>0</v>
      </c>
      <c r="M14" s="26">
        <f>gaz!AK14</f>
        <v>0</v>
      </c>
      <c r="N14" s="21">
        <f>gaz!AT14</f>
        <v>0</v>
      </c>
      <c r="O14" s="25">
        <f>gaz!AU14</f>
        <v>0</v>
      </c>
      <c r="P14" s="23">
        <f t="shared" si="3"/>
        <v>0</v>
      </c>
      <c r="Q14" s="26">
        <f>gaz!AW14</f>
        <v>0</v>
      </c>
    </row>
    <row r="15" spans="1:17" ht="13.8" thickBot="1">
      <c r="A15" s="11" t="s">
        <v>16</v>
      </c>
      <c r="B15" s="22">
        <f t="shared" ref="B15:Q15" si="4">SUM(B5:B14)</f>
        <v>1624301</v>
      </c>
      <c r="C15" s="24">
        <f t="shared" si="4"/>
        <v>18800</v>
      </c>
      <c r="D15" s="24">
        <f t="shared" si="4"/>
        <v>1643101</v>
      </c>
      <c r="E15" s="27">
        <f t="shared" si="4"/>
        <v>1916</v>
      </c>
      <c r="F15" s="22">
        <f t="shared" si="4"/>
        <v>1648577</v>
      </c>
      <c r="G15" s="24">
        <f t="shared" si="4"/>
        <v>18949</v>
      </c>
      <c r="H15" s="24">
        <f t="shared" si="4"/>
        <v>1667526</v>
      </c>
      <c r="I15" s="27">
        <f t="shared" si="4"/>
        <v>1934</v>
      </c>
      <c r="J15" s="54">
        <f t="shared" si="4"/>
        <v>0</v>
      </c>
      <c r="K15" s="24">
        <f t="shared" si="4"/>
        <v>0</v>
      </c>
      <c r="L15" s="24">
        <f t="shared" si="4"/>
        <v>0</v>
      </c>
      <c r="M15" s="27">
        <f t="shared" si="4"/>
        <v>0</v>
      </c>
      <c r="N15" s="54">
        <f t="shared" si="4"/>
        <v>0</v>
      </c>
      <c r="O15" s="24">
        <f t="shared" si="4"/>
        <v>0</v>
      </c>
      <c r="P15" s="24">
        <f t="shared" si="4"/>
        <v>0</v>
      </c>
      <c r="Q15" s="27">
        <f t="shared" si="4"/>
        <v>0</v>
      </c>
    </row>
    <row r="17" spans="1:17" ht="18" thickBot="1">
      <c r="A17" s="2">
        <f>trim_elec!A17</f>
        <v>2022</v>
      </c>
    </row>
    <row r="18" spans="1:17">
      <c r="A18" s="3429" t="s">
        <v>0</v>
      </c>
      <c r="B18" s="3423" t="s">
        <v>269</v>
      </c>
      <c r="C18" s="3424"/>
      <c r="D18" s="3424"/>
      <c r="E18" s="3425"/>
      <c r="F18" s="3426" t="s">
        <v>270</v>
      </c>
      <c r="G18" s="3427"/>
      <c r="H18" s="3427"/>
      <c r="I18" s="3428"/>
      <c r="J18" s="3420" t="s">
        <v>271</v>
      </c>
      <c r="K18" s="3421"/>
      <c r="L18" s="3421"/>
      <c r="M18" s="3422"/>
      <c r="N18" s="3415" t="s">
        <v>272</v>
      </c>
      <c r="O18" s="3416"/>
      <c r="P18" s="3416"/>
      <c r="Q18" s="3417"/>
    </row>
    <row r="19" spans="1:17">
      <c r="A19" s="3430"/>
      <c r="B19" s="3" t="s">
        <v>17</v>
      </c>
      <c r="C19" s="4" t="s">
        <v>18</v>
      </c>
      <c r="D19" s="4" t="s">
        <v>56</v>
      </c>
      <c r="E19" s="5" t="s">
        <v>21</v>
      </c>
      <c r="F19" s="3" t="s">
        <v>17</v>
      </c>
      <c r="G19" s="4" t="s">
        <v>18</v>
      </c>
      <c r="H19" s="4" t="s">
        <v>56</v>
      </c>
      <c r="I19" s="5" t="s">
        <v>21</v>
      </c>
      <c r="J19" s="3" t="s">
        <v>17</v>
      </c>
      <c r="K19" s="4" t="s">
        <v>18</v>
      </c>
      <c r="L19" s="4" t="s">
        <v>56</v>
      </c>
      <c r="M19" s="5" t="s">
        <v>21</v>
      </c>
      <c r="N19" s="3" t="s">
        <v>17</v>
      </c>
      <c r="O19" s="4" t="s">
        <v>18</v>
      </c>
      <c r="P19" s="4" t="s">
        <v>56</v>
      </c>
      <c r="Q19" s="5" t="s">
        <v>21</v>
      </c>
    </row>
    <row r="20" spans="1:17">
      <c r="A20" s="16" t="s">
        <v>68</v>
      </c>
      <c r="B20" s="21">
        <f>gaz!J20</f>
        <v>243060</v>
      </c>
      <c r="C20" s="25">
        <f>gaz!K20</f>
        <v>2189</v>
      </c>
      <c r="D20" s="23">
        <f t="shared" ref="D20:D29" si="5">+B20+C20</f>
        <v>245249</v>
      </c>
      <c r="E20" s="26">
        <f>gaz!M20</f>
        <v>383</v>
      </c>
      <c r="F20" s="21">
        <f>gaz!V20</f>
        <v>246873</v>
      </c>
      <c r="G20" s="25">
        <f>gaz!W20</f>
        <v>2196</v>
      </c>
      <c r="H20" s="23">
        <f t="shared" ref="H20:H29" si="6">+F20+G20</f>
        <v>249069</v>
      </c>
      <c r="I20" s="26">
        <f>gaz!Y20</f>
        <v>384</v>
      </c>
      <c r="J20" s="7">
        <f>gaz!AH20</f>
        <v>0</v>
      </c>
      <c r="K20" s="8">
        <f>gaz!AI20</f>
        <v>0</v>
      </c>
      <c r="L20" s="9">
        <f t="shared" ref="L20:L29" si="7">+J20+K20</f>
        <v>0</v>
      </c>
      <c r="M20" s="10">
        <f>gaz!AK20</f>
        <v>0</v>
      </c>
      <c r="N20" s="7">
        <f>gaz!AT20</f>
        <v>0</v>
      </c>
      <c r="O20" s="8">
        <f>gaz!AU20</f>
        <v>0</v>
      </c>
      <c r="P20" s="9">
        <f t="shared" ref="P20:P29" si="8">+N20+O20</f>
        <v>0</v>
      </c>
      <c r="Q20" s="26">
        <f>gaz!AW20</f>
        <v>0</v>
      </c>
    </row>
    <row r="21" spans="1:17">
      <c r="A21" s="16" t="s">
        <v>7</v>
      </c>
      <c r="B21" s="21">
        <f>gaz!J21</f>
        <v>167266</v>
      </c>
      <c r="C21" s="25">
        <f>gaz!K21</f>
        <v>2563</v>
      </c>
      <c r="D21" s="23">
        <f t="shared" si="5"/>
        <v>169829</v>
      </c>
      <c r="E21" s="26">
        <f>gaz!M21</f>
        <v>239</v>
      </c>
      <c r="F21" s="21">
        <f>gaz!V21</f>
        <v>168684</v>
      </c>
      <c r="G21" s="25">
        <f>gaz!W21</f>
        <v>2598</v>
      </c>
      <c r="H21" s="23">
        <f t="shared" si="6"/>
        <v>171282</v>
      </c>
      <c r="I21" s="26">
        <f>gaz!Y21</f>
        <v>241</v>
      </c>
      <c r="J21" s="7">
        <f>gaz!AH21</f>
        <v>0</v>
      </c>
      <c r="K21" s="8">
        <f>gaz!AI21</f>
        <v>0</v>
      </c>
      <c r="L21" s="9">
        <f t="shared" si="7"/>
        <v>0</v>
      </c>
      <c r="M21" s="10">
        <f>gaz!AK21</f>
        <v>0</v>
      </c>
      <c r="N21" s="7">
        <f>gaz!AT21</f>
        <v>0</v>
      </c>
      <c r="O21" s="8">
        <f>gaz!AU21</f>
        <v>0</v>
      </c>
      <c r="P21" s="9">
        <f t="shared" si="8"/>
        <v>0</v>
      </c>
      <c r="Q21" s="26">
        <f>gaz!AW21</f>
        <v>0</v>
      </c>
    </row>
    <row r="22" spans="1:17">
      <c r="A22" s="16" t="s">
        <v>8</v>
      </c>
      <c r="B22" s="21">
        <f>gaz!J22</f>
        <v>157306</v>
      </c>
      <c r="C22" s="25">
        <f>gaz!K22</f>
        <v>2060</v>
      </c>
      <c r="D22" s="23">
        <f t="shared" si="5"/>
        <v>159366</v>
      </c>
      <c r="E22" s="26">
        <f>gaz!M22</f>
        <v>179</v>
      </c>
      <c r="F22" s="21">
        <f>gaz!V22</f>
        <v>159251</v>
      </c>
      <c r="G22" s="25">
        <f>gaz!W22</f>
        <v>2077</v>
      </c>
      <c r="H22" s="23">
        <f t="shared" si="6"/>
        <v>161328</v>
      </c>
      <c r="I22" s="26">
        <f>gaz!Y22</f>
        <v>179</v>
      </c>
      <c r="J22" s="7">
        <f>gaz!AH22</f>
        <v>0</v>
      </c>
      <c r="K22" s="8">
        <f>gaz!AI22</f>
        <v>0</v>
      </c>
      <c r="L22" s="9">
        <f t="shared" si="7"/>
        <v>0</v>
      </c>
      <c r="M22" s="10">
        <f>gaz!AK22</f>
        <v>0</v>
      </c>
      <c r="N22" s="7">
        <f>gaz!AT22</f>
        <v>0</v>
      </c>
      <c r="O22" s="8">
        <f>gaz!AU22</f>
        <v>0</v>
      </c>
      <c r="P22" s="9">
        <f t="shared" si="8"/>
        <v>0</v>
      </c>
      <c r="Q22" s="26">
        <f>gaz!AW22</f>
        <v>0</v>
      </c>
    </row>
    <row r="23" spans="1:17">
      <c r="A23" s="16" t="s">
        <v>4</v>
      </c>
      <c r="B23" s="21">
        <f>gaz!J23</f>
        <v>313872</v>
      </c>
      <c r="C23" s="25">
        <f>gaz!K23</f>
        <v>3083</v>
      </c>
      <c r="D23" s="23">
        <f t="shared" si="5"/>
        <v>316955</v>
      </c>
      <c r="E23" s="26">
        <f>gaz!M23</f>
        <v>274</v>
      </c>
      <c r="F23" s="21">
        <f>gaz!V23</f>
        <v>317240</v>
      </c>
      <c r="G23" s="25">
        <f>gaz!W23</f>
        <v>3113</v>
      </c>
      <c r="H23" s="23">
        <f t="shared" si="6"/>
        <v>320353</v>
      </c>
      <c r="I23" s="26">
        <f>gaz!Y23</f>
        <v>277</v>
      </c>
      <c r="J23" s="7">
        <f>gaz!AH23</f>
        <v>0</v>
      </c>
      <c r="K23" s="8">
        <f>gaz!AI23</f>
        <v>0</v>
      </c>
      <c r="L23" s="9">
        <f t="shared" si="7"/>
        <v>0</v>
      </c>
      <c r="M23" s="10">
        <f>gaz!AK23</f>
        <v>0</v>
      </c>
      <c r="N23" s="7">
        <f>gaz!AT23</f>
        <v>0</v>
      </c>
      <c r="O23" s="8">
        <f>gaz!AU23</f>
        <v>0</v>
      </c>
      <c r="P23" s="9">
        <f t="shared" si="8"/>
        <v>0</v>
      </c>
      <c r="Q23" s="26">
        <f>gaz!AW23</f>
        <v>0</v>
      </c>
    </row>
    <row r="24" spans="1:17">
      <c r="A24" s="16" t="s">
        <v>3</v>
      </c>
      <c r="B24" s="21">
        <f>gaz!J24</f>
        <v>194498</v>
      </c>
      <c r="C24" s="25">
        <f>gaz!K24</f>
        <v>2943</v>
      </c>
      <c r="D24" s="23">
        <f t="shared" si="5"/>
        <v>197441</v>
      </c>
      <c r="E24" s="26">
        <f>gaz!M24</f>
        <v>180</v>
      </c>
      <c r="F24" s="21">
        <f>gaz!V24</f>
        <v>195478</v>
      </c>
      <c r="G24" s="25">
        <f>gaz!W24</f>
        <v>2956</v>
      </c>
      <c r="H24" s="23">
        <f t="shared" si="6"/>
        <v>198434</v>
      </c>
      <c r="I24" s="26">
        <f>gaz!Y24</f>
        <v>182</v>
      </c>
      <c r="J24" s="7">
        <f>gaz!AH24</f>
        <v>0</v>
      </c>
      <c r="K24" s="8">
        <f>gaz!AI24</f>
        <v>0</v>
      </c>
      <c r="L24" s="9">
        <f t="shared" si="7"/>
        <v>0</v>
      </c>
      <c r="M24" s="10">
        <f>gaz!AK24</f>
        <v>0</v>
      </c>
      <c r="N24" s="7">
        <f>gaz!AT24</f>
        <v>0</v>
      </c>
      <c r="O24" s="8">
        <f>gaz!AU24</f>
        <v>0</v>
      </c>
      <c r="P24" s="9">
        <f t="shared" si="8"/>
        <v>0</v>
      </c>
      <c r="Q24" s="26">
        <f>gaz!AW24</f>
        <v>0</v>
      </c>
    </row>
    <row r="25" spans="1:17">
      <c r="A25" s="16" t="s">
        <v>397</v>
      </c>
      <c r="B25" s="21">
        <f>gaz!J25</f>
        <v>126353</v>
      </c>
      <c r="C25" s="25">
        <f>gaz!K25</f>
        <v>1088</v>
      </c>
      <c r="D25" s="23">
        <f t="shared" si="5"/>
        <v>127441</v>
      </c>
      <c r="E25" s="26">
        <f>gaz!M25</f>
        <v>127</v>
      </c>
      <c r="F25" s="21">
        <f>gaz!V25</f>
        <v>128222</v>
      </c>
      <c r="G25" s="25">
        <f>gaz!W25</f>
        <v>1097</v>
      </c>
      <c r="H25" s="23">
        <f t="shared" si="6"/>
        <v>129319</v>
      </c>
      <c r="I25" s="26">
        <f>gaz!Y25</f>
        <v>129</v>
      </c>
      <c r="J25" s="7">
        <f>gaz!AH25</f>
        <v>0</v>
      </c>
      <c r="K25" s="8">
        <f>gaz!AI25</f>
        <v>0</v>
      </c>
      <c r="L25" s="9">
        <f t="shared" si="7"/>
        <v>0</v>
      </c>
      <c r="M25" s="10">
        <f>gaz!AK25</f>
        <v>0</v>
      </c>
      <c r="N25" s="7">
        <f>gaz!AT25</f>
        <v>0</v>
      </c>
      <c r="O25" s="8">
        <f>gaz!AU25</f>
        <v>0</v>
      </c>
      <c r="P25" s="9">
        <f t="shared" si="8"/>
        <v>0</v>
      </c>
      <c r="Q25" s="26">
        <f>gaz!AW25</f>
        <v>0</v>
      </c>
    </row>
    <row r="26" spans="1:17">
      <c r="A26" s="16" t="s">
        <v>399</v>
      </c>
      <c r="B26" s="21">
        <f>gaz!J26</f>
        <v>181317</v>
      </c>
      <c r="C26" s="25">
        <f>gaz!K26</f>
        <v>1538</v>
      </c>
      <c r="D26" s="23">
        <f t="shared" si="5"/>
        <v>182855</v>
      </c>
      <c r="E26" s="26">
        <f>gaz!M26</f>
        <v>261</v>
      </c>
      <c r="F26" s="21">
        <f>gaz!V26</f>
        <v>184962</v>
      </c>
      <c r="G26" s="25">
        <f>gaz!W26</f>
        <v>1552</v>
      </c>
      <c r="H26" s="23">
        <f t="shared" si="6"/>
        <v>186514</v>
      </c>
      <c r="I26" s="26">
        <f>gaz!Y26</f>
        <v>265</v>
      </c>
      <c r="J26" s="7">
        <f>gaz!AH26</f>
        <v>0</v>
      </c>
      <c r="K26" s="8">
        <f>gaz!AI26</f>
        <v>0</v>
      </c>
      <c r="L26" s="9">
        <f t="shared" si="7"/>
        <v>0</v>
      </c>
      <c r="M26" s="10">
        <f>gaz!AK26</f>
        <v>0</v>
      </c>
      <c r="N26" s="7">
        <f>gaz!AT26</f>
        <v>0</v>
      </c>
      <c r="O26" s="8">
        <f>gaz!AU26</f>
        <v>0</v>
      </c>
      <c r="P26" s="9">
        <f t="shared" si="8"/>
        <v>0</v>
      </c>
      <c r="Q26" s="26">
        <f>gaz!AW26</f>
        <v>0</v>
      </c>
    </row>
    <row r="27" spans="1:17">
      <c r="A27" s="16" t="s">
        <v>883</v>
      </c>
      <c r="B27" s="21">
        <f>gaz!J27</f>
        <v>125688</v>
      </c>
      <c r="C27" s="25">
        <f>gaz!K27</f>
        <v>1411</v>
      </c>
      <c r="D27" s="23">
        <f t="shared" si="5"/>
        <v>127099</v>
      </c>
      <c r="E27" s="26">
        <f>gaz!M27</f>
        <v>145</v>
      </c>
      <c r="F27" s="21">
        <f>gaz!V27</f>
        <v>127279</v>
      </c>
      <c r="G27" s="25">
        <f>gaz!W27</f>
        <v>1417</v>
      </c>
      <c r="H27" s="23">
        <f t="shared" si="6"/>
        <v>128696</v>
      </c>
      <c r="I27" s="26">
        <f>gaz!Y27</f>
        <v>148</v>
      </c>
      <c r="J27" s="7">
        <f>gaz!AH27</f>
        <v>0</v>
      </c>
      <c r="K27" s="8">
        <f>gaz!AI27</f>
        <v>0</v>
      </c>
      <c r="L27" s="9">
        <f t="shared" si="7"/>
        <v>0</v>
      </c>
      <c r="M27" s="10">
        <f>gaz!AK27</f>
        <v>0</v>
      </c>
      <c r="N27" s="7">
        <f>gaz!AT27</f>
        <v>0</v>
      </c>
      <c r="O27" s="8">
        <f>gaz!AU27</f>
        <v>0</v>
      </c>
      <c r="P27" s="9">
        <f t="shared" si="8"/>
        <v>0</v>
      </c>
      <c r="Q27" s="26">
        <f>gaz!AW27</f>
        <v>0</v>
      </c>
    </row>
    <row r="28" spans="1:17">
      <c r="A28" s="16" t="s">
        <v>884</v>
      </c>
      <c r="B28" s="21">
        <f>gaz!J28</f>
        <v>160234</v>
      </c>
      <c r="C28" s="25">
        <f>gaz!K28</f>
        <v>1528</v>
      </c>
      <c r="D28" s="23">
        <f t="shared" si="5"/>
        <v>161762</v>
      </c>
      <c r="E28" s="26">
        <f>gaz!M28</f>
        <v>167</v>
      </c>
      <c r="F28" s="21">
        <f>gaz!V28</f>
        <v>162324</v>
      </c>
      <c r="G28" s="25">
        <f>gaz!W28</f>
        <v>1565</v>
      </c>
      <c r="H28" s="23">
        <f t="shared" si="6"/>
        <v>163889</v>
      </c>
      <c r="I28" s="26">
        <f>gaz!Y28</f>
        <v>168</v>
      </c>
      <c r="J28" s="7">
        <f>gaz!AH28</f>
        <v>0</v>
      </c>
      <c r="K28" s="8">
        <f>gaz!AI28</f>
        <v>0</v>
      </c>
      <c r="L28" s="9">
        <f t="shared" si="7"/>
        <v>0</v>
      </c>
      <c r="M28" s="10">
        <f>gaz!AK28</f>
        <v>0</v>
      </c>
      <c r="N28" s="7">
        <f>gaz!AT28</f>
        <v>0</v>
      </c>
      <c r="O28" s="8">
        <f>gaz!AU28</f>
        <v>0</v>
      </c>
      <c r="P28" s="9">
        <f t="shared" si="8"/>
        <v>0</v>
      </c>
      <c r="Q28" s="26">
        <f>gaz!AW28</f>
        <v>0</v>
      </c>
    </row>
    <row r="29" spans="1:17" ht="13.8" thickBot="1">
      <c r="A29" s="16" t="s">
        <v>885</v>
      </c>
      <c r="B29" s="21">
        <f>gaz!J29</f>
        <v>66694</v>
      </c>
      <c r="C29" s="25">
        <f>gaz!K29</f>
        <v>1307</v>
      </c>
      <c r="D29" s="23">
        <f t="shared" si="5"/>
        <v>68001</v>
      </c>
      <c r="E29" s="26">
        <f>gaz!M29</f>
        <v>34</v>
      </c>
      <c r="F29" s="21">
        <f>gaz!V29</f>
        <v>68679</v>
      </c>
      <c r="G29" s="25">
        <f>gaz!W29</f>
        <v>1315</v>
      </c>
      <c r="H29" s="23">
        <f t="shared" si="6"/>
        <v>69994</v>
      </c>
      <c r="I29" s="26">
        <f>gaz!Y29</f>
        <v>35</v>
      </c>
      <c r="J29" s="7">
        <f>gaz!AH29</f>
        <v>0</v>
      </c>
      <c r="K29" s="8">
        <f>gaz!AI29</f>
        <v>0</v>
      </c>
      <c r="L29" s="9">
        <f t="shared" si="7"/>
        <v>0</v>
      </c>
      <c r="M29" s="10">
        <f>gaz!AK29</f>
        <v>0</v>
      </c>
      <c r="N29" s="7">
        <f>gaz!AT29</f>
        <v>0</v>
      </c>
      <c r="O29" s="8">
        <f>gaz!AU29</f>
        <v>0</v>
      </c>
      <c r="P29" s="9">
        <f t="shared" si="8"/>
        <v>0</v>
      </c>
      <c r="Q29" s="26">
        <f>gaz!AW29</f>
        <v>0</v>
      </c>
    </row>
    <row r="30" spans="1:17" ht="13.8" thickBot="1">
      <c r="A30" s="11" t="s">
        <v>16</v>
      </c>
      <c r="B30" s="22">
        <f t="shared" ref="B30:Q30" si="9">SUM(B20:B29)</f>
        <v>1736288</v>
      </c>
      <c r="C30" s="24">
        <f t="shared" si="9"/>
        <v>19710</v>
      </c>
      <c r="D30" s="24">
        <f t="shared" si="9"/>
        <v>1755998</v>
      </c>
      <c r="E30" s="27">
        <f t="shared" si="9"/>
        <v>1989</v>
      </c>
      <c r="F30" s="22">
        <f t="shared" si="9"/>
        <v>1758992</v>
      </c>
      <c r="G30" s="24">
        <f t="shared" si="9"/>
        <v>19886</v>
      </c>
      <c r="H30" s="24">
        <f t="shared" si="9"/>
        <v>1778878</v>
      </c>
      <c r="I30" s="27">
        <f t="shared" si="9"/>
        <v>2008</v>
      </c>
      <c r="J30" s="12">
        <f t="shared" si="9"/>
        <v>0</v>
      </c>
      <c r="K30" s="13">
        <f t="shared" si="9"/>
        <v>0</v>
      </c>
      <c r="L30" s="13">
        <f t="shared" si="9"/>
        <v>0</v>
      </c>
      <c r="M30" s="14">
        <f t="shared" si="9"/>
        <v>0</v>
      </c>
      <c r="N30" s="12">
        <f t="shared" si="9"/>
        <v>0</v>
      </c>
      <c r="O30" s="13">
        <f t="shared" si="9"/>
        <v>0</v>
      </c>
      <c r="P30" s="13">
        <f t="shared" si="9"/>
        <v>0</v>
      </c>
      <c r="Q30" s="27">
        <f t="shared" si="9"/>
        <v>0</v>
      </c>
    </row>
    <row r="31" spans="1:17">
      <c r="A31" s="17"/>
      <c r="B31" s="17"/>
      <c r="C31" s="17"/>
      <c r="D31" s="17"/>
      <c r="E31" s="17"/>
      <c r="F31" s="17"/>
      <c r="G31" s="17"/>
      <c r="H31" s="17"/>
      <c r="I31" s="17"/>
      <c r="J31" s="17"/>
      <c r="K31" s="17"/>
      <c r="L31" s="17"/>
      <c r="M31" s="17"/>
      <c r="N31" s="17"/>
      <c r="O31" s="17"/>
      <c r="P31" s="17"/>
      <c r="Q31" s="17"/>
    </row>
    <row r="32" spans="1:17">
      <c r="A32" s="17"/>
      <c r="B32" s="17"/>
      <c r="C32" s="17"/>
      <c r="D32" s="17"/>
      <c r="E32" s="17"/>
      <c r="F32" s="17"/>
      <c r="G32" s="17"/>
      <c r="H32" s="17"/>
      <c r="I32" s="17"/>
      <c r="J32" s="17"/>
      <c r="K32" s="17"/>
      <c r="L32" s="17"/>
      <c r="M32" s="17"/>
      <c r="N32" s="17"/>
      <c r="O32" s="17"/>
      <c r="P32" s="17"/>
      <c r="Q32" s="17"/>
    </row>
    <row r="33" spans="1:21" ht="17.399999999999999">
      <c r="A33" s="15" t="s">
        <v>870</v>
      </c>
    </row>
    <row r="34" spans="1:21" ht="18" thickBot="1">
      <c r="A34" s="2">
        <f>trim_elec!A34</f>
        <v>2021</v>
      </c>
    </row>
    <row r="35" spans="1:21">
      <c r="A35" s="3429" t="s">
        <v>0</v>
      </c>
      <c r="B35" s="3423" t="s">
        <v>269</v>
      </c>
      <c r="C35" s="3424"/>
      <c r="D35" s="3424"/>
      <c r="E35" s="3425"/>
      <c r="F35" s="3426" t="s">
        <v>270</v>
      </c>
      <c r="G35" s="3427"/>
      <c r="H35" s="3427"/>
      <c r="I35" s="3428"/>
      <c r="J35" s="3420" t="s">
        <v>271</v>
      </c>
      <c r="K35" s="3421"/>
      <c r="L35" s="3421"/>
      <c r="M35" s="3422"/>
      <c r="N35" s="3415" t="s">
        <v>272</v>
      </c>
      <c r="O35" s="3416"/>
      <c r="P35" s="3416"/>
      <c r="Q35" s="3417"/>
      <c r="R35" s="3418" t="s">
        <v>83</v>
      </c>
      <c r="S35" s="3418"/>
      <c r="T35" s="3418"/>
      <c r="U35" s="3419"/>
    </row>
    <row r="36" spans="1:21" ht="13.8" thickBot="1">
      <c r="A36" s="3430"/>
      <c r="B36" s="3" t="s">
        <v>17</v>
      </c>
      <c r="C36" s="4" t="s">
        <v>18</v>
      </c>
      <c r="D36" s="4" t="s">
        <v>56</v>
      </c>
      <c r="E36" s="5" t="s">
        <v>21</v>
      </c>
      <c r="F36" s="3" t="s">
        <v>17</v>
      </c>
      <c r="G36" s="4" t="s">
        <v>18</v>
      </c>
      <c r="H36" s="4" t="s">
        <v>56</v>
      </c>
      <c r="I36" s="5" t="s">
        <v>21</v>
      </c>
      <c r="J36" s="3" t="s">
        <v>17</v>
      </c>
      <c r="K36" s="4" t="s">
        <v>18</v>
      </c>
      <c r="L36" s="4" t="s">
        <v>56</v>
      </c>
      <c r="M36" s="5" t="s">
        <v>21</v>
      </c>
      <c r="N36" s="3" t="s">
        <v>17</v>
      </c>
      <c r="O36" s="4" t="s">
        <v>18</v>
      </c>
      <c r="P36" s="4" t="s">
        <v>56</v>
      </c>
      <c r="Q36" s="5" t="s">
        <v>21</v>
      </c>
      <c r="R36" s="4" t="s">
        <v>17</v>
      </c>
      <c r="S36" s="4" t="s">
        <v>18</v>
      </c>
      <c r="T36" s="4" t="s">
        <v>56</v>
      </c>
      <c r="U36" s="6" t="s">
        <v>21</v>
      </c>
    </row>
    <row r="37" spans="1:21">
      <c r="A37" s="16" t="s">
        <v>68</v>
      </c>
      <c r="B37" s="21">
        <f>gaz!B37+gaz!F37+gaz!J37</f>
        <v>5400</v>
      </c>
      <c r="C37" s="25">
        <f>gaz!C37+gaz!G37+gaz!K37</f>
        <v>16</v>
      </c>
      <c r="D37" s="23">
        <f t="shared" ref="D37:D46" si="10">+B37+C37</f>
        <v>5416</v>
      </c>
      <c r="E37" s="26">
        <f>gaz!E37+gaz!I37+gaz!M37</f>
        <v>2</v>
      </c>
      <c r="F37" s="21">
        <f>gaz!N37+gaz!R37+gaz!V37</f>
        <v>3445</v>
      </c>
      <c r="G37" s="25">
        <f>gaz!O37+gaz!S37+gaz!W37</f>
        <v>15</v>
      </c>
      <c r="H37" s="23">
        <f t="shared" ref="H37:H46" si="11">+F37+G37</f>
        <v>3460</v>
      </c>
      <c r="I37" s="26">
        <f>gaz!Q37+gaz!U37+gaz!Y37</f>
        <v>2</v>
      </c>
      <c r="J37" s="21">
        <f>gaz!Z37+gaz!AD37+gaz!AH37</f>
        <v>1497</v>
      </c>
      <c r="K37" s="25">
        <f>gaz!AA37+gaz!AE37+gaz!AI37</f>
        <v>1</v>
      </c>
      <c r="L37" s="23">
        <f t="shared" ref="L37:L46" si="12">+J37+K37</f>
        <v>1498</v>
      </c>
      <c r="M37" s="26">
        <f>gaz!AC37+gaz!AG37+gaz!AK37</f>
        <v>0</v>
      </c>
      <c r="N37" s="21">
        <f>gaz!AL37+gaz!AP37+gaz!AT37</f>
        <v>0</v>
      </c>
      <c r="O37" s="25">
        <f>gaz!AM37+gaz!AQ37+gaz!AU37</f>
        <v>0</v>
      </c>
      <c r="P37" s="23">
        <f t="shared" ref="P37:P46" si="13">+N37+O37</f>
        <v>0</v>
      </c>
      <c r="Q37" s="26">
        <f>gaz!AO37+gaz!AS37+gaz!AW37</f>
        <v>0</v>
      </c>
      <c r="R37" s="33">
        <f t="shared" ref="R37:R46" si="14">B37+F37+J37+N37</f>
        <v>10342</v>
      </c>
      <c r="S37" s="34">
        <f t="shared" ref="S37:S46" si="15">C37+G37+K37+O37</f>
        <v>32</v>
      </c>
      <c r="T37" s="34">
        <f t="shared" ref="T37:T46" si="16">D37+H37+L37+P37</f>
        <v>10374</v>
      </c>
      <c r="U37" s="35">
        <f t="shared" ref="U37:U46" si="17">E37+I37+M37+Q37</f>
        <v>4</v>
      </c>
    </row>
    <row r="38" spans="1:21">
      <c r="A38" s="16" t="s">
        <v>7</v>
      </c>
      <c r="B38" s="21">
        <f>gaz!B38+gaz!F38+gaz!J38</f>
        <v>3556</v>
      </c>
      <c r="C38" s="25">
        <f>gaz!C38+gaz!G38+gaz!K38</f>
        <v>80</v>
      </c>
      <c r="D38" s="23">
        <f t="shared" si="10"/>
        <v>3636</v>
      </c>
      <c r="E38" s="26">
        <f>gaz!E38+gaz!I38+gaz!M38</f>
        <v>0</v>
      </c>
      <c r="F38" s="21">
        <f>gaz!N38+gaz!R38+gaz!V38</f>
        <v>1425</v>
      </c>
      <c r="G38" s="25">
        <f>gaz!O38+gaz!S38+gaz!W38</f>
        <v>22</v>
      </c>
      <c r="H38" s="23">
        <f t="shared" si="11"/>
        <v>1447</v>
      </c>
      <c r="I38" s="26">
        <f>gaz!Q38+gaz!U38+gaz!Y38</f>
        <v>8</v>
      </c>
      <c r="J38" s="21">
        <f>gaz!Z38+gaz!AD38+gaz!AH38</f>
        <v>575</v>
      </c>
      <c r="K38" s="25">
        <f>gaz!AA38+gaz!AE38+gaz!AI38</f>
        <v>7</v>
      </c>
      <c r="L38" s="23">
        <f t="shared" si="12"/>
        <v>582</v>
      </c>
      <c r="M38" s="26">
        <f>gaz!AC38+gaz!AG38+gaz!AK38</f>
        <v>1</v>
      </c>
      <c r="N38" s="21">
        <f>gaz!AL38+gaz!AP38+gaz!AT38</f>
        <v>0</v>
      </c>
      <c r="O38" s="25">
        <f>gaz!AM38+gaz!AQ38+gaz!AU38</f>
        <v>0</v>
      </c>
      <c r="P38" s="23">
        <f t="shared" si="13"/>
        <v>0</v>
      </c>
      <c r="Q38" s="26">
        <f>gaz!AO38+gaz!AS38+gaz!AW38</f>
        <v>0</v>
      </c>
      <c r="R38" s="36">
        <f t="shared" si="14"/>
        <v>5556</v>
      </c>
      <c r="S38" s="37">
        <f t="shared" si="15"/>
        <v>109</v>
      </c>
      <c r="T38" s="37">
        <f t="shared" si="16"/>
        <v>5665</v>
      </c>
      <c r="U38" s="38">
        <f t="shared" si="17"/>
        <v>9</v>
      </c>
    </row>
    <row r="39" spans="1:21">
      <c r="A39" s="16" t="s">
        <v>8</v>
      </c>
      <c r="B39" s="21">
        <f>gaz!B39+gaz!F39+gaz!J39</f>
        <v>6093</v>
      </c>
      <c r="C39" s="25">
        <f>gaz!C39+gaz!G39+gaz!K39</f>
        <v>53</v>
      </c>
      <c r="D39" s="23">
        <f t="shared" si="10"/>
        <v>6146</v>
      </c>
      <c r="E39" s="26">
        <f>gaz!E39+gaz!I39+gaz!M39</f>
        <v>0</v>
      </c>
      <c r="F39" s="21">
        <f>gaz!N39+gaz!R39+gaz!V39</f>
        <v>2746</v>
      </c>
      <c r="G39" s="25">
        <f>gaz!O39+gaz!S39+gaz!W39</f>
        <v>23</v>
      </c>
      <c r="H39" s="23">
        <f t="shared" si="11"/>
        <v>2769</v>
      </c>
      <c r="I39" s="26">
        <f>gaz!Q39+gaz!U39+gaz!Y39</f>
        <v>0</v>
      </c>
      <c r="J39" s="21">
        <f>gaz!Z39+gaz!AD39+gaz!AH39</f>
        <v>1948</v>
      </c>
      <c r="K39" s="25">
        <f>gaz!AA39+gaz!AE39+gaz!AI39</f>
        <v>7</v>
      </c>
      <c r="L39" s="23">
        <f t="shared" si="12"/>
        <v>1955</v>
      </c>
      <c r="M39" s="26">
        <f>gaz!AC39+gaz!AG39+gaz!AK39</f>
        <v>0</v>
      </c>
      <c r="N39" s="21">
        <f>gaz!AL39+gaz!AP39+gaz!AT39</f>
        <v>0</v>
      </c>
      <c r="O39" s="25">
        <f>gaz!AM39+gaz!AQ39+gaz!AU39</f>
        <v>0</v>
      </c>
      <c r="P39" s="23">
        <f t="shared" si="13"/>
        <v>0</v>
      </c>
      <c r="Q39" s="26">
        <f>gaz!AO39+gaz!AS39+gaz!AW39</f>
        <v>0</v>
      </c>
      <c r="R39" s="36">
        <f t="shared" si="14"/>
        <v>10787</v>
      </c>
      <c r="S39" s="37">
        <f t="shared" si="15"/>
        <v>83</v>
      </c>
      <c r="T39" s="37">
        <f t="shared" si="16"/>
        <v>10870</v>
      </c>
      <c r="U39" s="38">
        <f t="shared" si="17"/>
        <v>0</v>
      </c>
    </row>
    <row r="40" spans="1:21">
      <c r="A40" s="16" t="s">
        <v>4</v>
      </c>
      <c r="B40" s="21">
        <f>gaz!B40+gaz!F40+gaz!J40</f>
        <v>3923</v>
      </c>
      <c r="C40" s="25">
        <f>gaz!C40+gaz!G40+gaz!K40</f>
        <v>55</v>
      </c>
      <c r="D40" s="23">
        <f t="shared" si="10"/>
        <v>3978</v>
      </c>
      <c r="E40" s="26">
        <f>gaz!E40+gaz!I40+gaz!M40</f>
        <v>1</v>
      </c>
      <c r="F40" s="21">
        <f>gaz!N40+gaz!R40+gaz!V40</f>
        <v>2524</v>
      </c>
      <c r="G40" s="25">
        <f>gaz!O40+gaz!S40+gaz!W40</f>
        <v>12</v>
      </c>
      <c r="H40" s="23">
        <f t="shared" si="11"/>
        <v>2536</v>
      </c>
      <c r="I40" s="26">
        <f>gaz!Q40+gaz!U40+gaz!Y40</f>
        <v>0</v>
      </c>
      <c r="J40" s="21">
        <f>gaz!Z40+gaz!AD40+gaz!AH40</f>
        <v>1721</v>
      </c>
      <c r="K40" s="25">
        <f>gaz!AA40+gaz!AE40+gaz!AI40</f>
        <v>5</v>
      </c>
      <c r="L40" s="23">
        <f t="shared" si="12"/>
        <v>1726</v>
      </c>
      <c r="M40" s="26">
        <f>gaz!AC40+gaz!AG40+gaz!AK40</f>
        <v>0</v>
      </c>
      <c r="N40" s="21">
        <f>gaz!AL40+gaz!AP40+gaz!AT40</f>
        <v>0</v>
      </c>
      <c r="O40" s="25">
        <f>gaz!AM40+gaz!AQ40+gaz!AU40</f>
        <v>0</v>
      </c>
      <c r="P40" s="23">
        <f t="shared" si="13"/>
        <v>0</v>
      </c>
      <c r="Q40" s="26">
        <f>gaz!AO40+gaz!AS40+gaz!AW40</f>
        <v>0</v>
      </c>
      <c r="R40" s="36">
        <f t="shared" si="14"/>
        <v>8168</v>
      </c>
      <c r="S40" s="37">
        <f t="shared" si="15"/>
        <v>72</v>
      </c>
      <c r="T40" s="37">
        <f t="shared" si="16"/>
        <v>8240</v>
      </c>
      <c r="U40" s="38">
        <f t="shared" si="17"/>
        <v>1</v>
      </c>
    </row>
    <row r="41" spans="1:21">
      <c r="A41" s="16" t="s">
        <v>3</v>
      </c>
      <c r="B41" s="21">
        <f>gaz!B41+gaz!F41+gaz!J41</f>
        <v>2193</v>
      </c>
      <c r="C41" s="25">
        <f>gaz!C41+gaz!G41+gaz!K41</f>
        <v>24</v>
      </c>
      <c r="D41" s="23">
        <f t="shared" si="10"/>
        <v>2217</v>
      </c>
      <c r="E41" s="26">
        <f>gaz!E41+gaz!I41+gaz!M41</f>
        <v>1</v>
      </c>
      <c r="F41" s="21">
        <f>gaz!N41+gaz!R41+gaz!V41</f>
        <v>890</v>
      </c>
      <c r="G41" s="25">
        <f>gaz!O41+gaz!S41+gaz!W41</f>
        <v>8</v>
      </c>
      <c r="H41" s="23">
        <f t="shared" si="11"/>
        <v>898</v>
      </c>
      <c r="I41" s="26">
        <f>gaz!Q41+gaz!U41+gaz!Y41</f>
        <v>1</v>
      </c>
      <c r="J41" s="21">
        <f>gaz!Z41+gaz!AD41+gaz!AH41</f>
        <v>656</v>
      </c>
      <c r="K41" s="25">
        <f>gaz!AA41+gaz!AE41+gaz!AI41</f>
        <v>0</v>
      </c>
      <c r="L41" s="23">
        <f t="shared" si="12"/>
        <v>656</v>
      </c>
      <c r="M41" s="26">
        <f>gaz!AC41+gaz!AG41+gaz!AK41</f>
        <v>0</v>
      </c>
      <c r="N41" s="21">
        <f>gaz!AL41+gaz!AP41+gaz!AT41</f>
        <v>0</v>
      </c>
      <c r="O41" s="25">
        <f>gaz!AM41+gaz!AQ41+gaz!AU41</f>
        <v>0</v>
      </c>
      <c r="P41" s="23">
        <f t="shared" si="13"/>
        <v>0</v>
      </c>
      <c r="Q41" s="26">
        <f>gaz!AO41+gaz!AS41+gaz!AW41</f>
        <v>0</v>
      </c>
      <c r="R41" s="36">
        <f t="shared" si="14"/>
        <v>3739</v>
      </c>
      <c r="S41" s="37">
        <f t="shared" si="15"/>
        <v>32</v>
      </c>
      <c r="T41" s="37">
        <f t="shared" si="16"/>
        <v>3771</v>
      </c>
      <c r="U41" s="38">
        <f t="shared" si="17"/>
        <v>2</v>
      </c>
    </row>
    <row r="42" spans="1:21">
      <c r="A42" s="16" t="s">
        <v>397</v>
      </c>
      <c r="B42" s="21">
        <f>gaz!B42+gaz!F42+gaz!J42</f>
        <v>3188</v>
      </c>
      <c r="C42" s="25">
        <f>gaz!C42+gaz!G42+gaz!K42</f>
        <v>9</v>
      </c>
      <c r="D42" s="23">
        <f t="shared" si="10"/>
        <v>3197</v>
      </c>
      <c r="E42" s="26">
        <f>gaz!E42+gaz!I42+gaz!M42</f>
        <v>-2</v>
      </c>
      <c r="F42" s="21">
        <f>gaz!N42+gaz!R42+gaz!V42</f>
        <v>3069</v>
      </c>
      <c r="G42" s="25">
        <f>gaz!O42+gaz!S42+gaz!W42</f>
        <v>20</v>
      </c>
      <c r="H42" s="23">
        <f t="shared" si="11"/>
        <v>3089</v>
      </c>
      <c r="I42" s="26">
        <f>gaz!Q42+gaz!U42+gaz!Y42</f>
        <v>2</v>
      </c>
      <c r="J42" s="21">
        <f>gaz!Z42+gaz!AD42+gaz!AH42</f>
        <v>1168</v>
      </c>
      <c r="K42" s="25">
        <f>gaz!AA42+gaz!AE42+gaz!AI42</f>
        <v>22</v>
      </c>
      <c r="L42" s="23">
        <f t="shared" si="12"/>
        <v>1190</v>
      </c>
      <c r="M42" s="26">
        <f>gaz!AC42+gaz!AG42+gaz!AK42</f>
        <v>0</v>
      </c>
      <c r="N42" s="21">
        <f>gaz!AL42+gaz!AP42+gaz!AT42</f>
        <v>0</v>
      </c>
      <c r="O42" s="25">
        <f>gaz!AM42+gaz!AQ42+gaz!AU42</f>
        <v>0</v>
      </c>
      <c r="P42" s="23">
        <f t="shared" si="13"/>
        <v>0</v>
      </c>
      <c r="Q42" s="26">
        <f>gaz!AO42+gaz!AS42+gaz!AW42</f>
        <v>0</v>
      </c>
      <c r="R42" s="36">
        <f t="shared" si="14"/>
        <v>7425</v>
      </c>
      <c r="S42" s="37">
        <f t="shared" si="15"/>
        <v>51</v>
      </c>
      <c r="T42" s="37">
        <f t="shared" si="16"/>
        <v>7476</v>
      </c>
      <c r="U42" s="38">
        <f t="shared" si="17"/>
        <v>0</v>
      </c>
    </row>
    <row r="43" spans="1:21">
      <c r="A43" s="16" t="s">
        <v>399</v>
      </c>
      <c r="B43" s="21">
        <f>gaz!B43+gaz!F43+gaz!J43</f>
        <v>5021</v>
      </c>
      <c r="C43" s="25">
        <f>gaz!C43+gaz!G43+gaz!K43</f>
        <v>52</v>
      </c>
      <c r="D43" s="23">
        <f t="shared" si="10"/>
        <v>5073</v>
      </c>
      <c r="E43" s="26">
        <f>gaz!E43+gaz!I43+gaz!M43</f>
        <v>1</v>
      </c>
      <c r="F43" s="21">
        <f>gaz!N43+gaz!R43+gaz!V43</f>
        <v>3194</v>
      </c>
      <c r="G43" s="25">
        <f>gaz!O43+gaz!S43+gaz!W43</f>
        <v>11</v>
      </c>
      <c r="H43" s="23">
        <f t="shared" si="11"/>
        <v>3205</v>
      </c>
      <c r="I43" s="26">
        <f>gaz!Q43+gaz!U43+gaz!Y43</f>
        <v>2</v>
      </c>
      <c r="J43" s="21">
        <f>gaz!Z43+gaz!AD43+gaz!AH43</f>
        <v>1411</v>
      </c>
      <c r="K43" s="25">
        <f>gaz!AA43+gaz!AE43+gaz!AI43</f>
        <v>1</v>
      </c>
      <c r="L43" s="23">
        <f t="shared" si="12"/>
        <v>1412</v>
      </c>
      <c r="M43" s="26">
        <f>gaz!AC43+gaz!AG43+gaz!AK43</f>
        <v>0</v>
      </c>
      <c r="N43" s="21">
        <f>gaz!AL43+gaz!AP43+gaz!AT43</f>
        <v>0</v>
      </c>
      <c r="O43" s="25">
        <f>gaz!AM43+gaz!AQ43+gaz!AU43</f>
        <v>0</v>
      </c>
      <c r="P43" s="23">
        <f t="shared" si="13"/>
        <v>0</v>
      </c>
      <c r="Q43" s="26">
        <f>gaz!AO43+gaz!AS43+gaz!AW43</f>
        <v>0</v>
      </c>
      <c r="R43" s="36">
        <f t="shared" si="14"/>
        <v>9626</v>
      </c>
      <c r="S43" s="37">
        <f t="shared" si="15"/>
        <v>64</v>
      </c>
      <c r="T43" s="37">
        <f t="shared" si="16"/>
        <v>9690</v>
      </c>
      <c r="U43" s="38">
        <f t="shared" si="17"/>
        <v>3</v>
      </c>
    </row>
    <row r="44" spans="1:21">
      <c r="A44" s="16" t="s">
        <v>883</v>
      </c>
      <c r="B44" s="21">
        <f>gaz!B44+gaz!F44+gaz!J44</f>
        <v>3819</v>
      </c>
      <c r="C44" s="25">
        <f>gaz!C44+gaz!G44+gaz!K44</f>
        <v>18</v>
      </c>
      <c r="D44" s="23">
        <f t="shared" si="10"/>
        <v>3837</v>
      </c>
      <c r="E44" s="26">
        <f>gaz!E44+gaz!I44+gaz!M44</f>
        <v>5</v>
      </c>
      <c r="F44" s="21">
        <f>gaz!N44+gaz!R44+gaz!V44</f>
        <v>1558</v>
      </c>
      <c r="G44" s="25">
        <f>gaz!O44+gaz!S44+gaz!W44</f>
        <v>7</v>
      </c>
      <c r="H44" s="23">
        <f t="shared" si="11"/>
        <v>1565</v>
      </c>
      <c r="I44" s="26">
        <f>gaz!Q44+gaz!U44+gaz!Y44</f>
        <v>2</v>
      </c>
      <c r="J44" s="21">
        <f>gaz!Z44+gaz!AD44+gaz!AH44</f>
        <v>672</v>
      </c>
      <c r="K44" s="25">
        <f>gaz!AA44+gaz!AE44+gaz!AI44</f>
        <v>1</v>
      </c>
      <c r="L44" s="23">
        <f t="shared" si="12"/>
        <v>673</v>
      </c>
      <c r="M44" s="26">
        <f>gaz!AC44+gaz!AG44+gaz!AK44</f>
        <v>0</v>
      </c>
      <c r="N44" s="21">
        <f>gaz!AL44+gaz!AP44+gaz!AT44</f>
        <v>0</v>
      </c>
      <c r="O44" s="25">
        <f>gaz!AM44+gaz!AQ44+gaz!AU44</f>
        <v>0</v>
      </c>
      <c r="P44" s="23">
        <f t="shared" si="13"/>
        <v>0</v>
      </c>
      <c r="Q44" s="26">
        <f>gaz!AO44+gaz!AS44+gaz!AW44</f>
        <v>0</v>
      </c>
      <c r="R44" s="36">
        <f t="shared" si="14"/>
        <v>6049</v>
      </c>
      <c r="S44" s="37">
        <f t="shared" si="15"/>
        <v>26</v>
      </c>
      <c r="T44" s="37">
        <f t="shared" si="16"/>
        <v>6075</v>
      </c>
      <c r="U44" s="38">
        <f t="shared" si="17"/>
        <v>7</v>
      </c>
    </row>
    <row r="45" spans="1:21">
      <c r="A45" s="16" t="s">
        <v>884</v>
      </c>
      <c r="B45" s="21">
        <f>gaz!B45+gaz!F45+gaz!J45</f>
        <v>7225</v>
      </c>
      <c r="C45" s="25">
        <f>gaz!C45+gaz!G45+gaz!K45</f>
        <v>52</v>
      </c>
      <c r="D45" s="23">
        <f t="shared" si="10"/>
        <v>7277</v>
      </c>
      <c r="E45" s="26">
        <f>gaz!E45+gaz!I45+gaz!M45</f>
        <v>1</v>
      </c>
      <c r="F45" s="21">
        <f>gaz!N45+gaz!R45+gaz!V45</f>
        <v>3148</v>
      </c>
      <c r="G45" s="25">
        <f>gaz!O45+gaz!S45+gaz!W45</f>
        <v>18</v>
      </c>
      <c r="H45" s="23">
        <f t="shared" si="11"/>
        <v>3166</v>
      </c>
      <c r="I45" s="26">
        <f>gaz!Q45+gaz!U45+gaz!Y45</f>
        <v>1</v>
      </c>
      <c r="J45" s="21">
        <f>gaz!Z45+gaz!AD45+gaz!AH45</f>
        <v>872</v>
      </c>
      <c r="K45" s="25">
        <f>gaz!AA45+gaz!AE45+gaz!AI45</f>
        <v>12</v>
      </c>
      <c r="L45" s="23">
        <f t="shared" si="12"/>
        <v>884</v>
      </c>
      <c r="M45" s="26">
        <f>gaz!AC45+gaz!AG45+gaz!AK45</f>
        <v>1</v>
      </c>
      <c r="N45" s="21">
        <f>gaz!AL45+gaz!AP45+gaz!AT45</f>
        <v>0</v>
      </c>
      <c r="O45" s="25">
        <f>gaz!AM45+gaz!AQ45+gaz!AU45</f>
        <v>0</v>
      </c>
      <c r="P45" s="23">
        <f t="shared" si="13"/>
        <v>0</v>
      </c>
      <c r="Q45" s="26">
        <f>gaz!AO45+gaz!AS45+gaz!AW45</f>
        <v>0</v>
      </c>
      <c r="R45" s="36">
        <f t="shared" si="14"/>
        <v>11245</v>
      </c>
      <c r="S45" s="37">
        <f t="shared" si="15"/>
        <v>82</v>
      </c>
      <c r="T45" s="37">
        <f t="shared" si="16"/>
        <v>11327</v>
      </c>
      <c r="U45" s="38">
        <f t="shared" si="17"/>
        <v>3</v>
      </c>
    </row>
    <row r="46" spans="1:21" ht="13.8" thickBot="1">
      <c r="A46" s="16" t="s">
        <v>885</v>
      </c>
      <c r="B46" s="21">
        <f>gaz!B46+gaz!F46+gaz!J46</f>
        <v>2664</v>
      </c>
      <c r="C46" s="25">
        <f>gaz!C46+gaz!G46+gaz!K46</f>
        <v>21</v>
      </c>
      <c r="D46" s="23">
        <f t="shared" si="10"/>
        <v>2685</v>
      </c>
      <c r="E46" s="26">
        <f>gaz!E46+gaz!I46+gaz!M46</f>
        <v>0</v>
      </c>
      <c r="F46" s="21">
        <f>gaz!N46+gaz!R46+gaz!V46</f>
        <v>2277</v>
      </c>
      <c r="G46" s="25">
        <f>gaz!O46+gaz!S46+gaz!W46</f>
        <v>13</v>
      </c>
      <c r="H46" s="23">
        <f t="shared" si="11"/>
        <v>2290</v>
      </c>
      <c r="I46" s="26">
        <f>gaz!Q46+gaz!U46+gaz!Y46</f>
        <v>0</v>
      </c>
      <c r="J46" s="21">
        <f>gaz!Z46+gaz!AD46+gaz!AH46</f>
        <v>548</v>
      </c>
      <c r="K46" s="25">
        <f>gaz!AA46+gaz!AE46+gaz!AI46</f>
        <v>4</v>
      </c>
      <c r="L46" s="23">
        <f t="shared" si="12"/>
        <v>552</v>
      </c>
      <c r="M46" s="26">
        <f>gaz!AC46+gaz!AG46+gaz!AK46</f>
        <v>0</v>
      </c>
      <c r="N46" s="21">
        <f>gaz!AL46+gaz!AP46+gaz!AT46</f>
        <v>0</v>
      </c>
      <c r="O46" s="25">
        <f>gaz!AM46+gaz!AQ46+gaz!AU46</f>
        <v>0</v>
      </c>
      <c r="P46" s="23">
        <f t="shared" si="13"/>
        <v>0</v>
      </c>
      <c r="Q46" s="26">
        <f>gaz!AO46+gaz!AS46+gaz!AW46</f>
        <v>0</v>
      </c>
      <c r="R46" s="36">
        <f t="shared" si="14"/>
        <v>5489</v>
      </c>
      <c r="S46" s="37">
        <f t="shared" si="15"/>
        <v>38</v>
      </c>
      <c r="T46" s="37">
        <f t="shared" si="16"/>
        <v>5527</v>
      </c>
      <c r="U46" s="38">
        <f t="shared" si="17"/>
        <v>0</v>
      </c>
    </row>
    <row r="47" spans="1:21" ht="13.8" thickBot="1">
      <c r="A47" s="11" t="s">
        <v>16</v>
      </c>
      <c r="B47" s="22">
        <f t="shared" ref="B47:U47" si="18">SUM(B37:B46)</f>
        <v>43082</v>
      </c>
      <c r="C47" s="24">
        <f t="shared" si="18"/>
        <v>380</v>
      </c>
      <c r="D47" s="24">
        <f t="shared" si="18"/>
        <v>43462</v>
      </c>
      <c r="E47" s="27">
        <f t="shared" si="18"/>
        <v>9</v>
      </c>
      <c r="F47" s="22">
        <f t="shared" si="18"/>
        <v>24276</v>
      </c>
      <c r="G47" s="24">
        <f t="shared" si="18"/>
        <v>149</v>
      </c>
      <c r="H47" s="24">
        <f t="shared" si="18"/>
        <v>24425</v>
      </c>
      <c r="I47" s="27">
        <f t="shared" si="18"/>
        <v>18</v>
      </c>
      <c r="J47" s="22">
        <f t="shared" si="18"/>
        <v>11068</v>
      </c>
      <c r="K47" s="24">
        <f t="shared" si="18"/>
        <v>60</v>
      </c>
      <c r="L47" s="24">
        <f t="shared" si="18"/>
        <v>11128</v>
      </c>
      <c r="M47" s="27">
        <f t="shared" si="18"/>
        <v>2</v>
      </c>
      <c r="N47" s="22">
        <f t="shared" si="18"/>
        <v>0</v>
      </c>
      <c r="O47" s="24">
        <f t="shared" si="18"/>
        <v>0</v>
      </c>
      <c r="P47" s="24">
        <f t="shared" si="18"/>
        <v>0</v>
      </c>
      <c r="Q47" s="27">
        <f t="shared" si="18"/>
        <v>0</v>
      </c>
      <c r="R47" s="39">
        <f t="shared" si="18"/>
        <v>78426</v>
      </c>
      <c r="S47" s="39">
        <f t="shared" si="18"/>
        <v>589</v>
      </c>
      <c r="T47" s="39">
        <f t="shared" si="18"/>
        <v>79015</v>
      </c>
      <c r="U47" s="39">
        <f t="shared" si="18"/>
        <v>29</v>
      </c>
    </row>
    <row r="49" spans="1:21" ht="18" thickBot="1">
      <c r="A49" s="2">
        <f>trim_elec!A49</f>
        <v>2022</v>
      </c>
    </row>
    <row r="50" spans="1:21">
      <c r="A50" s="3429" t="s">
        <v>0</v>
      </c>
      <c r="B50" s="3423" t="s">
        <v>269</v>
      </c>
      <c r="C50" s="3424"/>
      <c r="D50" s="3424"/>
      <c r="E50" s="3425"/>
      <c r="F50" s="3426" t="s">
        <v>270</v>
      </c>
      <c r="G50" s="3427"/>
      <c r="H50" s="3427"/>
      <c r="I50" s="3428"/>
      <c r="J50" s="3420" t="s">
        <v>271</v>
      </c>
      <c r="K50" s="3421"/>
      <c r="L50" s="3421"/>
      <c r="M50" s="3422"/>
      <c r="N50" s="3415" t="s">
        <v>272</v>
      </c>
      <c r="O50" s="3416"/>
      <c r="P50" s="3416"/>
      <c r="Q50" s="3417"/>
      <c r="R50" s="3418" t="s">
        <v>83</v>
      </c>
      <c r="S50" s="3418"/>
      <c r="T50" s="3418"/>
      <c r="U50" s="3419"/>
    </row>
    <row r="51" spans="1:21" ht="13.8" thickBot="1">
      <c r="A51" s="3430"/>
      <c r="B51" s="3" t="s">
        <v>17</v>
      </c>
      <c r="C51" s="4" t="s">
        <v>18</v>
      </c>
      <c r="D51" s="4" t="s">
        <v>56</v>
      </c>
      <c r="E51" s="5" t="s">
        <v>21</v>
      </c>
      <c r="F51" s="3" t="s">
        <v>17</v>
      </c>
      <c r="G51" s="4" t="s">
        <v>18</v>
      </c>
      <c r="H51" s="4" t="s">
        <v>56</v>
      </c>
      <c r="I51" s="5" t="s">
        <v>21</v>
      </c>
      <c r="J51" s="3" t="s">
        <v>17</v>
      </c>
      <c r="K51" s="4" t="s">
        <v>18</v>
      </c>
      <c r="L51" s="4" t="s">
        <v>56</v>
      </c>
      <c r="M51" s="5" t="s">
        <v>21</v>
      </c>
      <c r="N51" s="3" t="s">
        <v>17</v>
      </c>
      <c r="O51" s="4" t="s">
        <v>18</v>
      </c>
      <c r="P51" s="4" t="s">
        <v>56</v>
      </c>
      <c r="Q51" s="5" t="s">
        <v>21</v>
      </c>
      <c r="R51" s="4" t="s">
        <v>17</v>
      </c>
      <c r="S51" s="4" t="s">
        <v>18</v>
      </c>
      <c r="T51" s="4" t="s">
        <v>56</v>
      </c>
      <c r="U51" s="6" t="s">
        <v>21</v>
      </c>
    </row>
    <row r="52" spans="1:21">
      <c r="A52" s="16" t="s">
        <v>68</v>
      </c>
      <c r="B52" s="21">
        <f>gaz!B52+gaz!F52+gaz!J52</f>
        <v>6082</v>
      </c>
      <c r="C52" s="25">
        <f>gaz!C52+gaz!G52+gaz!K52</f>
        <v>22</v>
      </c>
      <c r="D52" s="23">
        <f t="shared" ref="D52:D61" si="19">+B52+C52</f>
        <v>6104</v>
      </c>
      <c r="E52" s="26">
        <f>gaz!E52+gaz!I52+gaz!M52</f>
        <v>-7</v>
      </c>
      <c r="F52" s="21">
        <f>gaz!N52+gaz!R52+gaz!V52</f>
        <v>3813</v>
      </c>
      <c r="G52" s="25">
        <f>gaz!O52+gaz!S52+gaz!W52</f>
        <v>7</v>
      </c>
      <c r="H52" s="23">
        <f t="shared" ref="H52:H61" si="20">+F52+G52</f>
        <v>3820</v>
      </c>
      <c r="I52" s="26">
        <f>gaz!Q52+gaz!U52+gaz!Y52</f>
        <v>1</v>
      </c>
      <c r="J52" s="21">
        <f>gaz!Z52+gaz!AD52+gaz!AH52</f>
        <v>2119</v>
      </c>
      <c r="K52" s="25">
        <f>gaz!AA52+gaz!AE52+gaz!AI52</f>
        <v>2</v>
      </c>
      <c r="L52" s="23">
        <f t="shared" ref="L52:L61" si="21">+J52+K52</f>
        <v>2121</v>
      </c>
      <c r="M52" s="26">
        <f>gaz!AC52+gaz!AG52+gaz!AK52</f>
        <v>2</v>
      </c>
      <c r="N52" s="21">
        <f>gaz!AL52+gaz!AP52+gaz!AT52</f>
        <v>0</v>
      </c>
      <c r="O52" s="25">
        <f>gaz!AM52+gaz!AQ52+gaz!AU52</f>
        <v>0</v>
      </c>
      <c r="P52" s="23">
        <f t="shared" ref="P52:P61" si="22">+N52+O52</f>
        <v>0</v>
      </c>
      <c r="Q52" s="26">
        <f>gaz!AO52+gaz!AS52+gaz!AW52</f>
        <v>0</v>
      </c>
      <c r="R52" s="33">
        <f t="shared" ref="R52:R61" si="23">B52+F52+J52+N52</f>
        <v>12014</v>
      </c>
      <c r="S52" s="34">
        <f t="shared" ref="S52:S61" si="24">C52+G52+K52+O52</f>
        <v>31</v>
      </c>
      <c r="T52" s="34">
        <f t="shared" ref="T52:T61" si="25">D52+H52+L52+P52</f>
        <v>12045</v>
      </c>
      <c r="U52" s="35">
        <f t="shared" ref="U52:U61" si="26">E52+I52+M52+Q52</f>
        <v>-4</v>
      </c>
    </row>
    <row r="53" spans="1:21">
      <c r="A53" s="16" t="s">
        <v>7</v>
      </c>
      <c r="B53" s="21">
        <f>gaz!B53+gaz!F53+gaz!J53</f>
        <v>2855</v>
      </c>
      <c r="C53" s="25">
        <f>gaz!C53+gaz!G53+gaz!K53</f>
        <v>46</v>
      </c>
      <c r="D53" s="23">
        <f t="shared" si="19"/>
        <v>2901</v>
      </c>
      <c r="E53" s="26">
        <f>gaz!E53+gaz!I53+gaz!M53</f>
        <v>3</v>
      </c>
      <c r="F53" s="21">
        <f>gaz!N53+gaz!R53+gaz!V53</f>
        <v>1418</v>
      </c>
      <c r="G53" s="25">
        <f>gaz!O53+gaz!S53+gaz!W53</f>
        <v>35</v>
      </c>
      <c r="H53" s="23">
        <f t="shared" si="20"/>
        <v>1453</v>
      </c>
      <c r="I53" s="26">
        <f>gaz!Q53+gaz!U53+gaz!Y53</f>
        <v>2</v>
      </c>
      <c r="J53" s="21">
        <f>gaz!Z53+gaz!AD53+gaz!AH53</f>
        <v>681</v>
      </c>
      <c r="K53" s="25">
        <f>gaz!AA53+gaz!AE53+gaz!AI53</f>
        <v>8</v>
      </c>
      <c r="L53" s="23">
        <f t="shared" si="21"/>
        <v>689</v>
      </c>
      <c r="M53" s="26">
        <f>gaz!AC53+gaz!AG53+gaz!AK53</f>
        <v>0</v>
      </c>
      <c r="N53" s="21">
        <f>gaz!AL53+gaz!AP53+gaz!AT53</f>
        <v>0</v>
      </c>
      <c r="O53" s="25">
        <f>gaz!AM53+gaz!AQ53+gaz!AU53</f>
        <v>0</v>
      </c>
      <c r="P53" s="23">
        <f t="shared" si="22"/>
        <v>0</v>
      </c>
      <c r="Q53" s="26">
        <f>gaz!AO53+gaz!AS53+gaz!AW53</f>
        <v>0</v>
      </c>
      <c r="R53" s="36">
        <f t="shared" si="23"/>
        <v>4954</v>
      </c>
      <c r="S53" s="37">
        <f t="shared" si="24"/>
        <v>89</v>
      </c>
      <c r="T53" s="37">
        <f t="shared" si="25"/>
        <v>5043</v>
      </c>
      <c r="U53" s="38">
        <f t="shared" si="26"/>
        <v>5</v>
      </c>
    </row>
    <row r="54" spans="1:21">
      <c r="A54" s="16" t="s">
        <v>8</v>
      </c>
      <c r="B54" s="21">
        <f>gaz!B54+gaz!F54+gaz!J54</f>
        <v>4248</v>
      </c>
      <c r="C54" s="25">
        <f>gaz!C54+gaz!G54+gaz!K54</f>
        <v>61</v>
      </c>
      <c r="D54" s="23">
        <f t="shared" si="19"/>
        <v>4309</v>
      </c>
      <c r="E54" s="26">
        <f>gaz!E54+gaz!I54+gaz!M54</f>
        <v>9</v>
      </c>
      <c r="F54" s="21">
        <f>gaz!N54+gaz!R54+gaz!V54</f>
        <v>1945</v>
      </c>
      <c r="G54" s="25">
        <f>gaz!O54+gaz!S54+gaz!W54</f>
        <v>17</v>
      </c>
      <c r="H54" s="23">
        <f t="shared" si="20"/>
        <v>1962</v>
      </c>
      <c r="I54" s="26">
        <f>gaz!Q54+gaz!U54+gaz!Y54</f>
        <v>0</v>
      </c>
      <c r="J54" s="21">
        <f>gaz!Z54+gaz!AD54+gaz!AH54</f>
        <v>1413</v>
      </c>
      <c r="K54" s="25">
        <f>gaz!AA54+gaz!AE54+gaz!AI54</f>
        <v>10</v>
      </c>
      <c r="L54" s="23">
        <f t="shared" si="21"/>
        <v>1423</v>
      </c>
      <c r="M54" s="26">
        <f>gaz!AC54+gaz!AG54+gaz!AK54</f>
        <v>0</v>
      </c>
      <c r="N54" s="21">
        <f>gaz!AL54+gaz!AP54+gaz!AT54</f>
        <v>0</v>
      </c>
      <c r="O54" s="25">
        <f>gaz!AM54+gaz!AQ54+gaz!AU54</f>
        <v>0</v>
      </c>
      <c r="P54" s="23">
        <f t="shared" si="22"/>
        <v>0</v>
      </c>
      <c r="Q54" s="26">
        <f>gaz!AO54+gaz!AS54+gaz!AW54</f>
        <v>0</v>
      </c>
      <c r="R54" s="36">
        <f t="shared" si="23"/>
        <v>7606</v>
      </c>
      <c r="S54" s="37">
        <f t="shared" si="24"/>
        <v>88</v>
      </c>
      <c r="T54" s="37">
        <f t="shared" si="25"/>
        <v>7694</v>
      </c>
      <c r="U54" s="38">
        <f t="shared" si="26"/>
        <v>9</v>
      </c>
    </row>
    <row r="55" spans="1:21">
      <c r="A55" s="16" t="s">
        <v>4</v>
      </c>
      <c r="B55" s="21">
        <f>gaz!B55+gaz!F55+gaz!J55</f>
        <v>4900</v>
      </c>
      <c r="C55" s="25">
        <f>gaz!C55+gaz!G55+gaz!K55</f>
        <v>48</v>
      </c>
      <c r="D55" s="23">
        <f t="shared" si="19"/>
        <v>4948</v>
      </c>
      <c r="E55" s="26">
        <f>gaz!E55+gaz!I55+gaz!M55</f>
        <v>1</v>
      </c>
      <c r="F55" s="21">
        <f>gaz!N55+gaz!R55+gaz!V55</f>
        <v>3368</v>
      </c>
      <c r="G55" s="25">
        <f>gaz!O55+gaz!S55+gaz!W55</f>
        <v>30</v>
      </c>
      <c r="H55" s="23">
        <f t="shared" si="20"/>
        <v>3398</v>
      </c>
      <c r="I55" s="26">
        <f>gaz!Q55+gaz!U55+gaz!Y55</f>
        <v>3</v>
      </c>
      <c r="J55" s="21">
        <f>gaz!Z55+gaz!AD55+gaz!AH55</f>
        <v>2063</v>
      </c>
      <c r="K55" s="25">
        <f>gaz!AA55+gaz!AE55+gaz!AI55</f>
        <v>3</v>
      </c>
      <c r="L55" s="23">
        <f t="shared" si="21"/>
        <v>2066</v>
      </c>
      <c r="M55" s="26">
        <f>gaz!AC55+gaz!AG55+gaz!AK55</f>
        <v>3</v>
      </c>
      <c r="N55" s="21">
        <f>gaz!AL55+gaz!AP55+gaz!AT55</f>
        <v>0</v>
      </c>
      <c r="O55" s="25">
        <f>gaz!AM55+gaz!AQ55+gaz!AU55</f>
        <v>0</v>
      </c>
      <c r="P55" s="23">
        <f t="shared" si="22"/>
        <v>0</v>
      </c>
      <c r="Q55" s="26">
        <f>gaz!AO55+gaz!AS55+gaz!AW55</f>
        <v>0</v>
      </c>
      <c r="R55" s="36">
        <f t="shared" si="23"/>
        <v>10331</v>
      </c>
      <c r="S55" s="37">
        <f t="shared" si="24"/>
        <v>81</v>
      </c>
      <c r="T55" s="37">
        <f t="shared" si="25"/>
        <v>10412</v>
      </c>
      <c r="U55" s="38">
        <f t="shared" si="26"/>
        <v>7</v>
      </c>
    </row>
    <row r="56" spans="1:21">
      <c r="A56" s="16" t="s">
        <v>3</v>
      </c>
      <c r="B56" s="21">
        <f>gaz!B56+gaz!F56+gaz!J56</f>
        <v>1594</v>
      </c>
      <c r="C56" s="25">
        <f>gaz!C56+gaz!G56+gaz!K56</f>
        <v>40</v>
      </c>
      <c r="D56" s="23">
        <f t="shared" si="19"/>
        <v>1634</v>
      </c>
      <c r="E56" s="26">
        <f>gaz!E56+gaz!I56+gaz!M56</f>
        <v>0</v>
      </c>
      <c r="F56" s="21">
        <f>gaz!N56+gaz!R56+gaz!V56</f>
        <v>980</v>
      </c>
      <c r="G56" s="25">
        <f>gaz!O56+gaz!S56+gaz!W56</f>
        <v>13</v>
      </c>
      <c r="H56" s="23">
        <f t="shared" si="20"/>
        <v>993</v>
      </c>
      <c r="I56" s="26">
        <f>gaz!Q56+gaz!U56+gaz!Y56</f>
        <v>2</v>
      </c>
      <c r="J56" s="21">
        <f>gaz!Z56+gaz!AD56+gaz!AH56</f>
        <v>847</v>
      </c>
      <c r="K56" s="25">
        <f>gaz!AA56+gaz!AE56+gaz!AI56</f>
        <v>6</v>
      </c>
      <c r="L56" s="23">
        <f t="shared" si="21"/>
        <v>853</v>
      </c>
      <c r="M56" s="26">
        <f>gaz!AC56+gaz!AG56+gaz!AK56</f>
        <v>0</v>
      </c>
      <c r="N56" s="21">
        <f>gaz!AL56+gaz!AP56+gaz!AT56</f>
        <v>0</v>
      </c>
      <c r="O56" s="25">
        <f>gaz!AM56+gaz!AQ56+gaz!AU56</f>
        <v>0</v>
      </c>
      <c r="P56" s="23">
        <f t="shared" si="22"/>
        <v>0</v>
      </c>
      <c r="Q56" s="26">
        <f>gaz!AO56+gaz!AS56+gaz!AW56</f>
        <v>0</v>
      </c>
      <c r="R56" s="36">
        <f t="shared" si="23"/>
        <v>3421</v>
      </c>
      <c r="S56" s="37">
        <f t="shared" si="24"/>
        <v>59</v>
      </c>
      <c r="T56" s="37">
        <f t="shared" si="25"/>
        <v>3480</v>
      </c>
      <c r="U56" s="38">
        <f t="shared" si="26"/>
        <v>2</v>
      </c>
    </row>
    <row r="57" spans="1:21">
      <c r="A57" s="16" t="s">
        <v>397</v>
      </c>
      <c r="B57" s="21">
        <f>gaz!B57+gaz!F57+gaz!J57</f>
        <v>2751</v>
      </c>
      <c r="C57" s="25">
        <f>gaz!C57+gaz!G57+gaz!K57</f>
        <v>14</v>
      </c>
      <c r="D57" s="23">
        <f t="shared" si="19"/>
        <v>2765</v>
      </c>
      <c r="E57" s="26">
        <f>gaz!E57+gaz!I57+gaz!M57</f>
        <v>1</v>
      </c>
      <c r="F57" s="21">
        <f>gaz!N57+gaz!R57+gaz!V57</f>
        <v>1869</v>
      </c>
      <c r="G57" s="25">
        <f>gaz!O57+gaz!S57+gaz!W57</f>
        <v>9</v>
      </c>
      <c r="H57" s="23">
        <f t="shared" si="20"/>
        <v>1878</v>
      </c>
      <c r="I57" s="26">
        <f>gaz!Q57+gaz!U57+gaz!Y57</f>
        <v>2</v>
      </c>
      <c r="J57" s="21">
        <f>gaz!Z57+gaz!AD57+gaz!AH57</f>
        <v>1151</v>
      </c>
      <c r="K57" s="25">
        <f>gaz!AA57+gaz!AE57+gaz!AI57</f>
        <v>3</v>
      </c>
      <c r="L57" s="23">
        <f t="shared" si="21"/>
        <v>1154</v>
      </c>
      <c r="M57" s="26">
        <f>gaz!AC57+gaz!AG57+gaz!AK57</f>
        <v>1</v>
      </c>
      <c r="N57" s="21">
        <f>gaz!AL57+gaz!AP57+gaz!AT57</f>
        <v>0</v>
      </c>
      <c r="O57" s="25">
        <f>gaz!AM57+gaz!AQ57+gaz!AU57</f>
        <v>0</v>
      </c>
      <c r="P57" s="23">
        <f t="shared" si="22"/>
        <v>0</v>
      </c>
      <c r="Q57" s="26">
        <f>gaz!AO57+gaz!AS57+gaz!AW57</f>
        <v>0</v>
      </c>
      <c r="R57" s="36">
        <f t="shared" si="23"/>
        <v>5771</v>
      </c>
      <c r="S57" s="37">
        <f t="shared" si="24"/>
        <v>26</v>
      </c>
      <c r="T57" s="37">
        <f t="shared" si="25"/>
        <v>5797</v>
      </c>
      <c r="U57" s="38">
        <f t="shared" si="26"/>
        <v>4</v>
      </c>
    </row>
    <row r="58" spans="1:21">
      <c r="A58" s="16" t="s">
        <v>399</v>
      </c>
      <c r="B58" s="21">
        <f>gaz!B58+gaz!F58+gaz!J58</f>
        <v>4469</v>
      </c>
      <c r="C58" s="25">
        <f>gaz!C58+gaz!G58+gaz!K58</f>
        <v>28</v>
      </c>
      <c r="D58" s="23">
        <f t="shared" si="19"/>
        <v>4497</v>
      </c>
      <c r="E58" s="26">
        <f>gaz!E58+gaz!I58+gaz!M58</f>
        <v>1</v>
      </c>
      <c r="F58" s="21">
        <f>gaz!N58+gaz!R58+gaz!V58</f>
        <v>3645</v>
      </c>
      <c r="G58" s="25">
        <f>gaz!O58+gaz!S58+gaz!W58</f>
        <v>14</v>
      </c>
      <c r="H58" s="23">
        <f t="shared" si="20"/>
        <v>3659</v>
      </c>
      <c r="I58" s="26">
        <f>gaz!Q58+gaz!U58+gaz!Y58</f>
        <v>4</v>
      </c>
      <c r="J58" s="21">
        <f>gaz!Z58+gaz!AD58+gaz!AH58</f>
        <v>2170</v>
      </c>
      <c r="K58" s="25">
        <f>gaz!AA58+gaz!AE58+gaz!AI58</f>
        <v>2</v>
      </c>
      <c r="L58" s="23">
        <f t="shared" si="21"/>
        <v>2172</v>
      </c>
      <c r="M58" s="26">
        <f>gaz!AC58+gaz!AG58+gaz!AK58</f>
        <v>4</v>
      </c>
      <c r="N58" s="21">
        <f>gaz!AL58+gaz!AP58+gaz!AT58</f>
        <v>0</v>
      </c>
      <c r="O58" s="25">
        <f>gaz!AM58+gaz!AQ58+gaz!AU58</f>
        <v>0</v>
      </c>
      <c r="P58" s="23">
        <f t="shared" si="22"/>
        <v>0</v>
      </c>
      <c r="Q58" s="26">
        <f>gaz!AO58+gaz!AS58+gaz!AW58</f>
        <v>0</v>
      </c>
      <c r="R58" s="36">
        <f t="shared" si="23"/>
        <v>10284</v>
      </c>
      <c r="S58" s="37">
        <f t="shared" si="24"/>
        <v>44</v>
      </c>
      <c r="T58" s="37">
        <f t="shared" si="25"/>
        <v>10328</v>
      </c>
      <c r="U58" s="38">
        <f t="shared" si="26"/>
        <v>9</v>
      </c>
    </row>
    <row r="59" spans="1:21">
      <c r="A59" s="16" t="s">
        <v>883</v>
      </c>
      <c r="B59" s="21">
        <f>gaz!B59+gaz!F59+gaz!J59</f>
        <v>2131</v>
      </c>
      <c r="C59" s="25">
        <f>gaz!C59+gaz!G59+gaz!K59</f>
        <v>14</v>
      </c>
      <c r="D59" s="23">
        <f t="shared" si="19"/>
        <v>2145</v>
      </c>
      <c r="E59" s="26">
        <f>gaz!E59+gaz!I59+gaz!M59</f>
        <v>1</v>
      </c>
      <c r="F59" s="21">
        <f>gaz!N59+gaz!R59+gaz!V59</f>
        <v>1591</v>
      </c>
      <c r="G59" s="25">
        <f>gaz!O59+gaz!S59+gaz!W59</f>
        <v>6</v>
      </c>
      <c r="H59" s="23">
        <f t="shared" si="20"/>
        <v>1597</v>
      </c>
      <c r="I59" s="26">
        <f>gaz!Q59+gaz!U59+gaz!Y59</f>
        <v>3</v>
      </c>
      <c r="J59" s="21">
        <f>gaz!Z59+gaz!AD59+gaz!AH59</f>
        <v>806</v>
      </c>
      <c r="K59" s="25">
        <f>gaz!AA59+gaz!AE59+gaz!AI59</f>
        <v>5</v>
      </c>
      <c r="L59" s="23">
        <f t="shared" si="21"/>
        <v>811</v>
      </c>
      <c r="M59" s="26">
        <f>gaz!AC59+gaz!AG59+gaz!AK59</f>
        <v>0</v>
      </c>
      <c r="N59" s="21">
        <f>gaz!AL59+gaz!AP59+gaz!AT59</f>
        <v>0</v>
      </c>
      <c r="O59" s="25">
        <f>gaz!AM59+gaz!AQ59+gaz!AU59</f>
        <v>0</v>
      </c>
      <c r="P59" s="23">
        <f t="shared" si="22"/>
        <v>0</v>
      </c>
      <c r="Q59" s="26">
        <f>gaz!AO59+gaz!AS59+gaz!AW59</f>
        <v>0</v>
      </c>
      <c r="R59" s="36">
        <f t="shared" si="23"/>
        <v>4528</v>
      </c>
      <c r="S59" s="37">
        <f t="shared" si="24"/>
        <v>25</v>
      </c>
      <c r="T59" s="37">
        <f t="shared" si="25"/>
        <v>4553</v>
      </c>
      <c r="U59" s="38">
        <f t="shared" si="26"/>
        <v>4</v>
      </c>
    </row>
    <row r="60" spans="1:21">
      <c r="A60" s="16" t="s">
        <v>884</v>
      </c>
      <c r="B60" s="21">
        <f>gaz!B60+gaz!F60+gaz!J60</f>
        <v>4428</v>
      </c>
      <c r="C60" s="25">
        <f>gaz!C60+gaz!G60+gaz!K60</f>
        <v>53</v>
      </c>
      <c r="D60" s="23">
        <f t="shared" si="19"/>
        <v>4481</v>
      </c>
      <c r="E60" s="26">
        <f>gaz!E60+gaz!I60+gaz!M60</f>
        <v>1</v>
      </c>
      <c r="F60" s="21">
        <f>gaz!N60+gaz!R60+gaz!V60</f>
        <v>2090</v>
      </c>
      <c r="G60" s="25">
        <f>gaz!O60+gaz!S60+gaz!W60</f>
        <v>37</v>
      </c>
      <c r="H60" s="23">
        <f t="shared" si="20"/>
        <v>2127</v>
      </c>
      <c r="I60" s="26">
        <f>gaz!Q60+gaz!U60+gaz!Y60</f>
        <v>1</v>
      </c>
      <c r="J60" s="21">
        <f>gaz!Z60+gaz!AD60+gaz!AH60</f>
        <v>1789</v>
      </c>
      <c r="K60" s="25">
        <f>gaz!AA60+gaz!AE60+gaz!AI60</f>
        <v>9</v>
      </c>
      <c r="L60" s="23">
        <f t="shared" si="21"/>
        <v>1798</v>
      </c>
      <c r="M60" s="26">
        <f>gaz!AC60+gaz!AG60+gaz!AK60</f>
        <v>3</v>
      </c>
      <c r="N60" s="21">
        <f>gaz!AL60+gaz!AP60+gaz!AT60</f>
        <v>0</v>
      </c>
      <c r="O60" s="25">
        <f>gaz!AM60+gaz!AQ60+gaz!AU60</f>
        <v>0</v>
      </c>
      <c r="P60" s="23">
        <f t="shared" si="22"/>
        <v>0</v>
      </c>
      <c r="Q60" s="26">
        <f>gaz!AO60+gaz!AS60+gaz!AW60</f>
        <v>0</v>
      </c>
      <c r="R60" s="36">
        <f t="shared" si="23"/>
        <v>8307</v>
      </c>
      <c r="S60" s="37">
        <f t="shared" si="24"/>
        <v>99</v>
      </c>
      <c r="T60" s="37">
        <f t="shared" si="25"/>
        <v>8406</v>
      </c>
      <c r="U60" s="38">
        <f t="shared" si="26"/>
        <v>5</v>
      </c>
    </row>
    <row r="61" spans="1:21" ht="13.8" thickBot="1">
      <c r="A61" s="16" t="s">
        <v>885</v>
      </c>
      <c r="B61" s="21">
        <f>gaz!B61+gaz!F61+gaz!J61</f>
        <v>1762</v>
      </c>
      <c r="C61" s="25">
        <f>gaz!C61+gaz!G61+gaz!K61</f>
        <v>17</v>
      </c>
      <c r="D61" s="23">
        <f t="shared" si="19"/>
        <v>1779</v>
      </c>
      <c r="E61" s="26">
        <f>gaz!E61+gaz!I61+gaz!M61</f>
        <v>0</v>
      </c>
      <c r="F61" s="21">
        <f>gaz!N61+gaz!R61+gaz!V61</f>
        <v>1985</v>
      </c>
      <c r="G61" s="25">
        <f>gaz!O61+gaz!S61+gaz!W61</f>
        <v>8</v>
      </c>
      <c r="H61" s="23">
        <f t="shared" si="20"/>
        <v>1993</v>
      </c>
      <c r="I61" s="26">
        <f>gaz!Q61+gaz!U61+gaz!Y61</f>
        <v>1</v>
      </c>
      <c r="J61" s="21">
        <f>gaz!Z61+gaz!AD61+gaz!AH61</f>
        <v>387</v>
      </c>
      <c r="K61" s="25">
        <f>gaz!AA61+gaz!AE61+gaz!AI61</f>
        <v>2</v>
      </c>
      <c r="L61" s="23">
        <f t="shared" si="21"/>
        <v>389</v>
      </c>
      <c r="M61" s="26">
        <f>gaz!AC61+gaz!AG61+gaz!AK61</f>
        <v>0</v>
      </c>
      <c r="N61" s="21">
        <f>gaz!AL61+gaz!AP61+gaz!AT61</f>
        <v>0</v>
      </c>
      <c r="O61" s="25">
        <f>gaz!AM61+gaz!AQ61+gaz!AU61</f>
        <v>0</v>
      </c>
      <c r="P61" s="23">
        <f t="shared" si="22"/>
        <v>0</v>
      </c>
      <c r="Q61" s="26">
        <f>gaz!AO61+gaz!AS61+gaz!AW61</f>
        <v>0</v>
      </c>
      <c r="R61" s="36">
        <f t="shared" si="23"/>
        <v>4134</v>
      </c>
      <c r="S61" s="37">
        <f t="shared" si="24"/>
        <v>27</v>
      </c>
      <c r="T61" s="37">
        <f t="shared" si="25"/>
        <v>4161</v>
      </c>
      <c r="U61" s="38">
        <f t="shared" si="26"/>
        <v>1</v>
      </c>
    </row>
    <row r="62" spans="1:21" ht="13.8" thickBot="1">
      <c r="A62" s="11" t="s">
        <v>16</v>
      </c>
      <c r="B62" s="22">
        <f t="shared" ref="B62:U62" si="27">SUM(B52:B61)</f>
        <v>35220</v>
      </c>
      <c r="C62" s="24">
        <f t="shared" si="27"/>
        <v>343</v>
      </c>
      <c r="D62" s="24">
        <f t="shared" si="27"/>
        <v>35563</v>
      </c>
      <c r="E62" s="27">
        <f t="shared" si="27"/>
        <v>10</v>
      </c>
      <c r="F62" s="22">
        <f t="shared" si="27"/>
        <v>22704</v>
      </c>
      <c r="G62" s="24">
        <f t="shared" si="27"/>
        <v>176</v>
      </c>
      <c r="H62" s="24">
        <f t="shared" si="27"/>
        <v>22880</v>
      </c>
      <c r="I62" s="27">
        <f t="shared" si="27"/>
        <v>19</v>
      </c>
      <c r="J62" s="22">
        <f t="shared" si="27"/>
        <v>13426</v>
      </c>
      <c r="K62" s="24">
        <f t="shared" si="27"/>
        <v>50</v>
      </c>
      <c r="L62" s="24">
        <f t="shared" si="27"/>
        <v>13476</v>
      </c>
      <c r="M62" s="27">
        <f t="shared" si="27"/>
        <v>13</v>
      </c>
      <c r="N62" s="22">
        <f t="shared" si="27"/>
        <v>0</v>
      </c>
      <c r="O62" s="24">
        <f t="shared" si="27"/>
        <v>0</v>
      </c>
      <c r="P62" s="24">
        <f t="shared" si="27"/>
        <v>0</v>
      </c>
      <c r="Q62" s="27">
        <f t="shared" si="27"/>
        <v>0</v>
      </c>
      <c r="R62" s="39">
        <f t="shared" si="27"/>
        <v>71350</v>
      </c>
      <c r="S62" s="39">
        <f t="shared" si="27"/>
        <v>569</v>
      </c>
      <c r="T62" s="39">
        <f t="shared" si="27"/>
        <v>71919</v>
      </c>
      <c r="U62" s="39">
        <f t="shared" si="27"/>
        <v>42</v>
      </c>
    </row>
    <row r="65" spans="1:21" ht="17.399999999999999">
      <c r="A65" s="15" t="s">
        <v>871</v>
      </c>
    </row>
    <row r="66" spans="1:21" ht="18" thickBot="1">
      <c r="A66" s="2">
        <f>A34</f>
        <v>2021</v>
      </c>
    </row>
    <row r="67" spans="1:21">
      <c r="A67" s="3429" t="s">
        <v>0</v>
      </c>
      <c r="B67" s="3423" t="s">
        <v>269</v>
      </c>
      <c r="C67" s="3424"/>
      <c r="D67" s="3424"/>
      <c r="E67" s="3425"/>
      <c r="F67" s="3426" t="s">
        <v>270</v>
      </c>
      <c r="G67" s="3427"/>
      <c r="H67" s="3427"/>
      <c r="I67" s="3428"/>
      <c r="J67" s="3420" t="s">
        <v>271</v>
      </c>
      <c r="K67" s="3421"/>
      <c r="L67" s="3421"/>
      <c r="M67" s="3422"/>
      <c r="N67" s="3415" t="s">
        <v>272</v>
      </c>
      <c r="O67" s="3416"/>
      <c r="P67" s="3416"/>
      <c r="Q67" s="3417"/>
      <c r="R67" s="3418" t="s">
        <v>83</v>
      </c>
      <c r="S67" s="3418"/>
      <c r="T67" s="3418"/>
      <c r="U67" s="3419"/>
    </row>
    <row r="68" spans="1:21" ht="13.8" thickBot="1">
      <c r="A68" s="3430"/>
      <c r="B68" s="3" t="s">
        <v>17</v>
      </c>
      <c r="C68" s="4" t="s">
        <v>18</v>
      </c>
      <c r="D68" s="4" t="s">
        <v>56</v>
      </c>
      <c r="E68" s="5" t="s">
        <v>21</v>
      </c>
      <c r="F68" s="3" t="s">
        <v>17</v>
      </c>
      <c r="G68" s="4" t="s">
        <v>18</v>
      </c>
      <c r="H68" s="4" t="s">
        <v>56</v>
      </c>
      <c r="I68" s="5" t="s">
        <v>21</v>
      </c>
      <c r="J68" s="3" t="s">
        <v>17</v>
      </c>
      <c r="K68" s="4" t="s">
        <v>18</v>
      </c>
      <c r="L68" s="4" t="s">
        <v>56</v>
      </c>
      <c r="M68" s="5" t="s">
        <v>21</v>
      </c>
      <c r="N68" s="3" t="s">
        <v>17</v>
      </c>
      <c r="O68" s="4" t="s">
        <v>18</v>
      </c>
      <c r="P68" s="4" t="s">
        <v>56</v>
      </c>
      <c r="Q68" s="5" t="s">
        <v>21</v>
      </c>
      <c r="R68" s="4" t="s">
        <v>17</v>
      </c>
      <c r="S68" s="4" t="s">
        <v>18</v>
      </c>
      <c r="T68" s="4" t="s">
        <v>56</v>
      </c>
      <c r="U68" s="6" t="s">
        <v>21</v>
      </c>
    </row>
    <row r="69" spans="1:21">
      <c r="A69" s="16" t="s">
        <v>68</v>
      </c>
      <c r="B69" s="21">
        <f>gaz!B69+gaz!F69+gaz!J69</f>
        <v>147</v>
      </c>
      <c r="C69" s="25">
        <f>gaz!C69+gaz!G69+gaz!K69</f>
        <v>0</v>
      </c>
      <c r="D69" s="23">
        <f>gaz!D69+gaz!H69+gaz!L69</f>
        <v>147</v>
      </c>
      <c r="E69" s="26">
        <f>gaz!E69+gaz!I69+gaz!M69</f>
        <v>3</v>
      </c>
      <c r="F69" s="21">
        <f>gaz!N69+gaz!R69+gaz!V69</f>
        <v>339</v>
      </c>
      <c r="G69" s="25">
        <f>gaz!O69+gaz!S69+gaz!W69</f>
        <v>0</v>
      </c>
      <c r="H69" s="23">
        <f>gaz!P69+gaz!T69+gaz!X69</f>
        <v>339</v>
      </c>
      <c r="I69" s="26">
        <f>gaz!Q69+gaz!U69+gaz!Y69</f>
        <v>0</v>
      </c>
      <c r="J69" s="21">
        <f>gaz!Z69+gaz!AD69+gaz!AH69</f>
        <v>289</v>
      </c>
      <c r="K69" s="25">
        <f>gaz!AA69+gaz!AE69+gaz!AI69</f>
        <v>0</v>
      </c>
      <c r="L69" s="23">
        <f>gaz!AB69+gaz!AF69+gaz!AJ69</f>
        <v>289</v>
      </c>
      <c r="M69" s="26">
        <f>gaz!AC69+gaz!AG69+gaz!AK69</f>
        <v>0</v>
      </c>
      <c r="N69" s="21">
        <f>gaz!AL69+gaz!AP69+gaz!AT69</f>
        <v>0</v>
      </c>
      <c r="O69" s="25">
        <f>gaz!AM69+gaz!AQ69+gaz!AU69</f>
        <v>0</v>
      </c>
      <c r="P69" s="23">
        <f>gaz!AN69+gaz!AR69+gaz!AV69</f>
        <v>0</v>
      </c>
      <c r="Q69" s="26">
        <f>gaz!AO69+gaz!AS69+gaz!AW69</f>
        <v>0</v>
      </c>
      <c r="R69" s="33">
        <f t="shared" ref="R69:R78" si="28">B69+F69+J69+N69</f>
        <v>775</v>
      </c>
      <c r="S69" s="34">
        <f t="shared" ref="S69:S78" si="29">C69+G69+K69+O69</f>
        <v>0</v>
      </c>
      <c r="T69" s="34">
        <f t="shared" ref="T69:T78" si="30">D69+H69+L69+P69</f>
        <v>775</v>
      </c>
      <c r="U69" s="35">
        <f t="shared" ref="U69:U78" si="31">E69+I69+M69+Q69</f>
        <v>3</v>
      </c>
    </row>
    <row r="70" spans="1:21">
      <c r="A70" s="16" t="s">
        <v>7</v>
      </c>
      <c r="B70" s="21">
        <f>gaz!B70+gaz!F70+gaz!J70</f>
        <v>279</v>
      </c>
      <c r="C70" s="25">
        <f>gaz!C70+gaz!G70+gaz!K70</f>
        <v>9</v>
      </c>
      <c r="D70" s="23">
        <f>gaz!D70+gaz!H70+gaz!L70</f>
        <v>288</v>
      </c>
      <c r="E70" s="26">
        <f>gaz!E70+gaz!I70+gaz!M70</f>
        <v>0</v>
      </c>
      <c r="F70" s="21">
        <f>gaz!N70+gaz!R70+gaz!V70</f>
        <v>253</v>
      </c>
      <c r="G70" s="25">
        <f>gaz!O70+gaz!S70+gaz!W70</f>
        <v>4</v>
      </c>
      <c r="H70" s="23">
        <f>gaz!P70+gaz!T70+gaz!X70</f>
        <v>257</v>
      </c>
      <c r="I70" s="26">
        <f>gaz!Q70+gaz!U70+gaz!Y70</f>
        <v>0</v>
      </c>
      <c r="J70" s="21">
        <f>gaz!Z70+gaz!AD70+gaz!AH70</f>
        <v>542</v>
      </c>
      <c r="K70" s="25">
        <f>gaz!AA70+gaz!AE70+gaz!AI70</f>
        <v>4</v>
      </c>
      <c r="L70" s="23">
        <f>gaz!AB70+gaz!AF70+gaz!AJ70</f>
        <v>546</v>
      </c>
      <c r="M70" s="26">
        <f>gaz!AC70+gaz!AG70+gaz!AK70</f>
        <v>0</v>
      </c>
      <c r="N70" s="21">
        <f>gaz!AL70+gaz!AP70+gaz!AT70</f>
        <v>0</v>
      </c>
      <c r="O70" s="25">
        <f>gaz!AM70+gaz!AQ70+gaz!AU70</f>
        <v>0</v>
      </c>
      <c r="P70" s="23">
        <f>gaz!AN70+gaz!AR70+gaz!AV70</f>
        <v>0</v>
      </c>
      <c r="Q70" s="26">
        <f>gaz!AO70+gaz!AS70+gaz!AW70</f>
        <v>0</v>
      </c>
      <c r="R70" s="36">
        <f t="shared" si="28"/>
        <v>1074</v>
      </c>
      <c r="S70" s="37">
        <f t="shared" si="29"/>
        <v>17</v>
      </c>
      <c r="T70" s="37">
        <f t="shared" si="30"/>
        <v>1091</v>
      </c>
      <c r="U70" s="38">
        <f t="shared" si="31"/>
        <v>0</v>
      </c>
    </row>
    <row r="71" spans="1:21">
      <c r="A71" s="16" t="s">
        <v>8</v>
      </c>
      <c r="B71" s="21">
        <f>gaz!B71+gaz!F71+gaz!J71</f>
        <v>129</v>
      </c>
      <c r="C71" s="25">
        <f>gaz!C71+gaz!G71+gaz!K71</f>
        <v>2</v>
      </c>
      <c r="D71" s="23">
        <f>gaz!D71+gaz!H71+gaz!L71</f>
        <v>131</v>
      </c>
      <c r="E71" s="26">
        <f>gaz!E71+gaz!I71+gaz!M71</f>
        <v>1</v>
      </c>
      <c r="F71" s="21">
        <f>gaz!N71+gaz!R71+gaz!V71</f>
        <v>175</v>
      </c>
      <c r="G71" s="25">
        <f>gaz!O71+gaz!S71+gaz!W71</f>
        <v>3</v>
      </c>
      <c r="H71" s="23">
        <f>gaz!P71+gaz!T71+gaz!X71</f>
        <v>178</v>
      </c>
      <c r="I71" s="26">
        <f>gaz!Q71+gaz!U71+gaz!Y71</f>
        <v>0</v>
      </c>
      <c r="J71" s="21">
        <f>gaz!Z71+gaz!AD71+gaz!AH71</f>
        <v>150</v>
      </c>
      <c r="K71" s="25">
        <f>gaz!AA71+gaz!AE71+gaz!AI71</f>
        <v>1</v>
      </c>
      <c r="L71" s="23">
        <f>gaz!AB71+gaz!AF71+gaz!AJ71</f>
        <v>151</v>
      </c>
      <c r="M71" s="26">
        <f>gaz!AC71+gaz!AG71+gaz!AK71</f>
        <v>1</v>
      </c>
      <c r="N71" s="21">
        <f>gaz!AL71+gaz!AP71+gaz!AT71</f>
        <v>0</v>
      </c>
      <c r="O71" s="25">
        <f>gaz!AM71+gaz!AQ71+gaz!AU71</f>
        <v>0</v>
      </c>
      <c r="P71" s="23">
        <f>gaz!AN71+gaz!AR71+gaz!AV71</f>
        <v>0</v>
      </c>
      <c r="Q71" s="26">
        <f>gaz!AO71+gaz!AS71+gaz!AW71</f>
        <v>0</v>
      </c>
      <c r="R71" s="36">
        <f t="shared" si="28"/>
        <v>454</v>
      </c>
      <c r="S71" s="37">
        <f t="shared" si="29"/>
        <v>6</v>
      </c>
      <c r="T71" s="37">
        <f t="shared" si="30"/>
        <v>460</v>
      </c>
      <c r="U71" s="38">
        <f t="shared" si="31"/>
        <v>2</v>
      </c>
    </row>
    <row r="72" spans="1:21">
      <c r="A72" s="16" t="s">
        <v>4</v>
      </c>
      <c r="B72" s="21">
        <f>gaz!B72+gaz!F72+gaz!J72</f>
        <v>450</v>
      </c>
      <c r="C72" s="25">
        <f>gaz!C72+gaz!G72+gaz!K72</f>
        <v>0</v>
      </c>
      <c r="D72" s="23">
        <f>gaz!D72+gaz!H72+gaz!L72</f>
        <v>450</v>
      </c>
      <c r="E72" s="26">
        <f>gaz!E72+gaz!I72+gaz!M72</f>
        <v>0</v>
      </c>
      <c r="F72" s="21">
        <f>gaz!N72+gaz!R72+gaz!V72</f>
        <v>478</v>
      </c>
      <c r="G72" s="25">
        <f>gaz!O72+gaz!S72+gaz!W72</f>
        <v>3</v>
      </c>
      <c r="H72" s="23">
        <f>gaz!P72+gaz!T72+gaz!X72</f>
        <v>481</v>
      </c>
      <c r="I72" s="26">
        <f>gaz!Q72+gaz!U72+gaz!Y72</f>
        <v>0</v>
      </c>
      <c r="J72" s="21">
        <f>gaz!Z72+gaz!AD72+gaz!AH72</f>
        <v>482</v>
      </c>
      <c r="K72" s="25">
        <f>gaz!AA72+gaz!AE72+gaz!AI72</f>
        <v>4</v>
      </c>
      <c r="L72" s="23">
        <f>gaz!AB72+gaz!AF72+gaz!AJ72</f>
        <v>486</v>
      </c>
      <c r="M72" s="26">
        <f>gaz!AC72+gaz!AG72+gaz!AK72</f>
        <v>0</v>
      </c>
      <c r="N72" s="21">
        <f>gaz!AL72+gaz!AP72+gaz!AT72</f>
        <v>0</v>
      </c>
      <c r="O72" s="25">
        <f>gaz!AM72+gaz!AQ72+gaz!AU72</f>
        <v>0</v>
      </c>
      <c r="P72" s="23">
        <f>gaz!AN72+gaz!AR72+gaz!AV72</f>
        <v>0</v>
      </c>
      <c r="Q72" s="26">
        <f>gaz!AO72+gaz!AS72+gaz!AW72</f>
        <v>0</v>
      </c>
      <c r="R72" s="36">
        <f t="shared" si="28"/>
        <v>1410</v>
      </c>
      <c r="S72" s="37">
        <f t="shared" si="29"/>
        <v>7</v>
      </c>
      <c r="T72" s="37">
        <f t="shared" si="30"/>
        <v>1417</v>
      </c>
      <c r="U72" s="38">
        <f t="shared" si="31"/>
        <v>0</v>
      </c>
    </row>
    <row r="73" spans="1:21">
      <c r="A73" s="16" t="s">
        <v>3</v>
      </c>
      <c r="B73" s="21">
        <f>gaz!B73+gaz!F73+gaz!J73</f>
        <v>41</v>
      </c>
      <c r="C73" s="25">
        <f>gaz!C73+gaz!G73+gaz!K73</f>
        <v>5</v>
      </c>
      <c r="D73" s="23">
        <f>gaz!D73+gaz!H73+gaz!L73</f>
        <v>46</v>
      </c>
      <c r="E73" s="26">
        <f>gaz!E73+gaz!I73+gaz!M73</f>
        <v>0</v>
      </c>
      <c r="F73" s="21">
        <f>gaz!N73+gaz!R73+gaz!V73</f>
        <v>169</v>
      </c>
      <c r="G73" s="25">
        <f>gaz!O73+gaz!S73+gaz!W73</f>
        <v>2</v>
      </c>
      <c r="H73" s="23">
        <f>gaz!P73+gaz!T73+gaz!X73</f>
        <v>171</v>
      </c>
      <c r="I73" s="26">
        <f>gaz!Q73+gaz!U73+gaz!Y73</f>
        <v>0</v>
      </c>
      <c r="J73" s="21">
        <f>gaz!Z73+gaz!AD73+gaz!AH73</f>
        <v>184</v>
      </c>
      <c r="K73" s="25">
        <f>gaz!AA73+gaz!AE73+gaz!AI73</f>
        <v>5</v>
      </c>
      <c r="L73" s="23">
        <f>gaz!AB73+gaz!AF73+gaz!AJ73</f>
        <v>189</v>
      </c>
      <c r="M73" s="26">
        <f>gaz!AC73+gaz!AG73+gaz!AK73</f>
        <v>0</v>
      </c>
      <c r="N73" s="21">
        <f>gaz!AL73+gaz!AP73+gaz!AT73</f>
        <v>0</v>
      </c>
      <c r="O73" s="25">
        <f>gaz!AM73+gaz!AQ73+gaz!AU73</f>
        <v>0</v>
      </c>
      <c r="P73" s="23">
        <f>gaz!AN73+gaz!AR73+gaz!AV73</f>
        <v>0</v>
      </c>
      <c r="Q73" s="26">
        <f>gaz!AO73+gaz!AS73+gaz!AW73</f>
        <v>0</v>
      </c>
      <c r="R73" s="36">
        <f t="shared" si="28"/>
        <v>394</v>
      </c>
      <c r="S73" s="37">
        <f t="shared" si="29"/>
        <v>12</v>
      </c>
      <c r="T73" s="37">
        <f t="shared" si="30"/>
        <v>406</v>
      </c>
      <c r="U73" s="38">
        <f t="shared" si="31"/>
        <v>0</v>
      </c>
    </row>
    <row r="74" spans="1:21">
      <c r="A74" s="16" t="s">
        <v>397</v>
      </c>
      <c r="B74" s="21">
        <f>gaz!B74+gaz!F74+gaz!J74</f>
        <v>59</v>
      </c>
      <c r="C74" s="25">
        <f>gaz!C74+gaz!G74+gaz!K74</f>
        <v>0</v>
      </c>
      <c r="D74" s="23">
        <f>gaz!D74+gaz!H74+gaz!L74</f>
        <v>59</v>
      </c>
      <c r="E74" s="26">
        <f>gaz!E74+gaz!I74+gaz!M74</f>
        <v>2</v>
      </c>
      <c r="F74" s="21">
        <f>gaz!N74+gaz!R74+gaz!V74</f>
        <v>66</v>
      </c>
      <c r="G74" s="25">
        <f>gaz!O74+gaz!S74+gaz!W74</f>
        <v>0</v>
      </c>
      <c r="H74" s="23">
        <f>gaz!P74+gaz!T74+gaz!X74</f>
        <v>66</v>
      </c>
      <c r="I74" s="26">
        <f>gaz!Q74+gaz!U74+gaz!Y74</f>
        <v>0</v>
      </c>
      <c r="J74" s="21">
        <f>gaz!Z74+gaz!AD74+gaz!AH74</f>
        <v>47</v>
      </c>
      <c r="K74" s="25">
        <f>gaz!AA74+gaz!AE74+gaz!AI74</f>
        <v>0</v>
      </c>
      <c r="L74" s="23">
        <f>gaz!AB74+gaz!AF74+gaz!AJ74</f>
        <v>47</v>
      </c>
      <c r="M74" s="26">
        <f>gaz!AC74+gaz!AG74+gaz!AK74</f>
        <v>0</v>
      </c>
      <c r="N74" s="21">
        <f>gaz!AL74+gaz!AP74+gaz!AT74</f>
        <v>0</v>
      </c>
      <c r="O74" s="25">
        <f>gaz!AM74+gaz!AQ74+gaz!AU74</f>
        <v>0</v>
      </c>
      <c r="P74" s="23">
        <f>gaz!AN74+gaz!AR74+gaz!AV74</f>
        <v>0</v>
      </c>
      <c r="Q74" s="26">
        <f>gaz!AO74+gaz!AS74+gaz!AW74</f>
        <v>0</v>
      </c>
      <c r="R74" s="36">
        <f t="shared" si="28"/>
        <v>172</v>
      </c>
      <c r="S74" s="37">
        <f t="shared" si="29"/>
        <v>0</v>
      </c>
      <c r="T74" s="37">
        <f t="shared" si="30"/>
        <v>172</v>
      </c>
      <c r="U74" s="38">
        <f t="shared" si="31"/>
        <v>2</v>
      </c>
    </row>
    <row r="75" spans="1:21">
      <c r="A75" s="16" t="s">
        <v>399</v>
      </c>
      <c r="B75" s="21">
        <f>gaz!B75+gaz!F75+gaz!J75</f>
        <v>82</v>
      </c>
      <c r="C75" s="25">
        <f>gaz!C75+gaz!G75+gaz!K75</f>
        <v>2</v>
      </c>
      <c r="D75" s="23">
        <f>gaz!D75+gaz!H75+gaz!L75</f>
        <v>84</v>
      </c>
      <c r="E75" s="26">
        <f>gaz!E75+gaz!I75+gaz!M75</f>
        <v>1</v>
      </c>
      <c r="F75" s="21">
        <f>gaz!N75+gaz!R75+gaz!V75</f>
        <v>130</v>
      </c>
      <c r="G75" s="25">
        <f>gaz!O75+gaz!S75+gaz!W75</f>
        <v>1</v>
      </c>
      <c r="H75" s="23">
        <f>gaz!P75+gaz!T75+gaz!X75</f>
        <v>131</v>
      </c>
      <c r="I75" s="26">
        <f>gaz!Q75+gaz!U75+gaz!Y75</f>
        <v>1</v>
      </c>
      <c r="J75" s="21">
        <f>gaz!Z75+gaz!AD75+gaz!AH75</f>
        <v>84</v>
      </c>
      <c r="K75" s="25">
        <f>gaz!AA75+gaz!AE75+gaz!AI75</f>
        <v>1</v>
      </c>
      <c r="L75" s="23">
        <f>gaz!AB75+gaz!AF75+gaz!AJ75</f>
        <v>85</v>
      </c>
      <c r="M75" s="26">
        <f>gaz!AC75+gaz!AG75+gaz!AK75</f>
        <v>1</v>
      </c>
      <c r="N75" s="21">
        <f>gaz!AL75+gaz!AP75+gaz!AT75</f>
        <v>0</v>
      </c>
      <c r="O75" s="25">
        <f>gaz!AM75+gaz!AQ75+gaz!AU75</f>
        <v>0</v>
      </c>
      <c r="P75" s="23">
        <f>gaz!AN75+gaz!AR75+gaz!AV75</f>
        <v>0</v>
      </c>
      <c r="Q75" s="26">
        <f>gaz!AO75+gaz!AS75+gaz!AW75</f>
        <v>0</v>
      </c>
      <c r="R75" s="36">
        <f t="shared" si="28"/>
        <v>296</v>
      </c>
      <c r="S75" s="37">
        <f t="shared" si="29"/>
        <v>4</v>
      </c>
      <c r="T75" s="37">
        <f t="shared" si="30"/>
        <v>300</v>
      </c>
      <c r="U75" s="38">
        <f t="shared" si="31"/>
        <v>3</v>
      </c>
    </row>
    <row r="76" spans="1:21">
      <c r="A76" s="16" t="s">
        <v>883</v>
      </c>
      <c r="B76" s="21">
        <f>gaz!B76+gaz!F76+gaz!J76</f>
        <v>57</v>
      </c>
      <c r="C76" s="25">
        <f>gaz!C76+gaz!G76+gaz!K76</f>
        <v>3</v>
      </c>
      <c r="D76" s="23">
        <f>gaz!D76+gaz!H76+gaz!L76</f>
        <v>60</v>
      </c>
      <c r="E76" s="26">
        <f>gaz!E76+gaz!I76+gaz!M76</f>
        <v>0</v>
      </c>
      <c r="F76" s="21">
        <f>gaz!N76+gaz!R76+gaz!V76</f>
        <v>110</v>
      </c>
      <c r="G76" s="25">
        <f>gaz!O76+gaz!S76+gaz!W76</f>
        <v>0</v>
      </c>
      <c r="H76" s="23">
        <f>gaz!P76+gaz!T76+gaz!X76</f>
        <v>110</v>
      </c>
      <c r="I76" s="26">
        <f>gaz!Q76+gaz!U76+gaz!Y76</f>
        <v>0</v>
      </c>
      <c r="J76" s="21">
        <f>gaz!Z76+gaz!AD76+gaz!AH76</f>
        <v>55</v>
      </c>
      <c r="K76" s="25">
        <f>gaz!AA76+gaz!AE76+gaz!AI76</f>
        <v>1</v>
      </c>
      <c r="L76" s="23">
        <f>gaz!AB76+gaz!AF76+gaz!AJ76</f>
        <v>56</v>
      </c>
      <c r="M76" s="26">
        <f>gaz!AC76+gaz!AG76+gaz!AK76</f>
        <v>0</v>
      </c>
      <c r="N76" s="21">
        <f>gaz!AL76+gaz!AP76+gaz!AT76</f>
        <v>0</v>
      </c>
      <c r="O76" s="25">
        <f>gaz!AM76+gaz!AQ76+gaz!AU76</f>
        <v>0</v>
      </c>
      <c r="P76" s="23">
        <f>gaz!AN76+gaz!AR76+gaz!AV76</f>
        <v>0</v>
      </c>
      <c r="Q76" s="26">
        <f>gaz!AO76+gaz!AS76+gaz!AW76</f>
        <v>0</v>
      </c>
      <c r="R76" s="36">
        <f t="shared" si="28"/>
        <v>222</v>
      </c>
      <c r="S76" s="37">
        <f t="shared" si="29"/>
        <v>4</v>
      </c>
      <c r="T76" s="37">
        <f t="shared" si="30"/>
        <v>226</v>
      </c>
      <c r="U76" s="38">
        <f t="shared" si="31"/>
        <v>0</v>
      </c>
    </row>
    <row r="77" spans="1:21">
      <c r="A77" s="16" t="s">
        <v>884</v>
      </c>
      <c r="B77" s="21">
        <f>gaz!B77+gaz!F77+gaz!J77</f>
        <v>132</v>
      </c>
      <c r="C77" s="25">
        <f>gaz!C77+gaz!G77+gaz!K77</f>
        <v>1</v>
      </c>
      <c r="D77" s="23">
        <f>gaz!D77+gaz!H77+gaz!L77</f>
        <v>133</v>
      </c>
      <c r="E77" s="26">
        <f>gaz!E77+gaz!I77+gaz!M77</f>
        <v>0</v>
      </c>
      <c r="F77" s="21">
        <f>gaz!N77+gaz!R77+gaz!V77</f>
        <v>202</v>
      </c>
      <c r="G77" s="25">
        <f>gaz!O77+gaz!S77+gaz!W77</f>
        <v>3</v>
      </c>
      <c r="H77" s="23">
        <f>gaz!P77+gaz!T77+gaz!X77</f>
        <v>205</v>
      </c>
      <c r="I77" s="26">
        <f>gaz!Q77+gaz!U77+gaz!Y77</f>
        <v>0</v>
      </c>
      <c r="J77" s="21">
        <f>gaz!Z77+gaz!AD77+gaz!AH77</f>
        <v>105</v>
      </c>
      <c r="K77" s="25">
        <f>gaz!AA77+gaz!AE77+gaz!AI77</f>
        <v>0</v>
      </c>
      <c r="L77" s="23">
        <f>gaz!AB77+gaz!AF77+gaz!AJ77</f>
        <v>105</v>
      </c>
      <c r="M77" s="26">
        <f>gaz!AC77+gaz!AG77+gaz!AK77</f>
        <v>0</v>
      </c>
      <c r="N77" s="21">
        <f>gaz!AL77+gaz!AP77+gaz!AT77</f>
        <v>0</v>
      </c>
      <c r="O77" s="25">
        <f>gaz!AM77+gaz!AQ77+gaz!AU77</f>
        <v>0</v>
      </c>
      <c r="P77" s="23">
        <f>gaz!AN77+gaz!AR77+gaz!AV77</f>
        <v>0</v>
      </c>
      <c r="Q77" s="26">
        <f>gaz!AO77+gaz!AS77+gaz!AW77</f>
        <v>0</v>
      </c>
      <c r="R77" s="36">
        <f t="shared" si="28"/>
        <v>439</v>
      </c>
      <c r="S77" s="37">
        <f t="shared" si="29"/>
        <v>4</v>
      </c>
      <c r="T77" s="37">
        <f t="shared" si="30"/>
        <v>443</v>
      </c>
      <c r="U77" s="38">
        <f t="shared" si="31"/>
        <v>0</v>
      </c>
    </row>
    <row r="78" spans="1:21" ht="13.8" thickBot="1">
      <c r="A78" s="16" t="s">
        <v>885</v>
      </c>
      <c r="B78" s="21">
        <f>gaz!B78+gaz!F78+gaz!J78</f>
        <v>94</v>
      </c>
      <c r="C78" s="25">
        <f>gaz!C78+gaz!G78+gaz!K78</f>
        <v>1</v>
      </c>
      <c r="D78" s="23">
        <f>gaz!D78+gaz!H78+gaz!L78</f>
        <v>95</v>
      </c>
      <c r="E78" s="26">
        <f>gaz!E78+gaz!I78+gaz!M78</f>
        <v>0</v>
      </c>
      <c r="F78" s="21">
        <f>gaz!N78+gaz!R78+gaz!V78</f>
        <v>122</v>
      </c>
      <c r="G78" s="25">
        <f>gaz!O78+gaz!S78+gaz!W78</f>
        <v>0</v>
      </c>
      <c r="H78" s="23">
        <f>gaz!P78+gaz!T78+gaz!X78</f>
        <v>122</v>
      </c>
      <c r="I78" s="26">
        <f>gaz!Q78+gaz!U78+gaz!Y78</f>
        <v>0</v>
      </c>
      <c r="J78" s="21">
        <f>gaz!Z78+gaz!AD78+gaz!AH78</f>
        <v>144</v>
      </c>
      <c r="K78" s="25">
        <f>gaz!AA78+gaz!AE78+gaz!AI78</f>
        <v>3</v>
      </c>
      <c r="L78" s="23">
        <f>gaz!AB78+gaz!AF78+gaz!AJ78</f>
        <v>147</v>
      </c>
      <c r="M78" s="26">
        <f>gaz!AC78+gaz!AG78+gaz!AK78</f>
        <v>0</v>
      </c>
      <c r="N78" s="21">
        <f>gaz!AL78+gaz!AP78+gaz!AT78</f>
        <v>0</v>
      </c>
      <c r="O78" s="25">
        <f>gaz!AM78+gaz!AQ78+gaz!AU78</f>
        <v>0</v>
      </c>
      <c r="P78" s="23">
        <f>gaz!AN78+gaz!AR78+gaz!AV78</f>
        <v>0</v>
      </c>
      <c r="Q78" s="26">
        <f>gaz!AO78+gaz!AS78+gaz!AW78</f>
        <v>0</v>
      </c>
      <c r="R78" s="36">
        <f t="shared" si="28"/>
        <v>360</v>
      </c>
      <c r="S78" s="37">
        <f t="shared" si="29"/>
        <v>4</v>
      </c>
      <c r="T78" s="37">
        <f t="shared" si="30"/>
        <v>364</v>
      </c>
      <c r="U78" s="38">
        <f t="shared" si="31"/>
        <v>0</v>
      </c>
    </row>
    <row r="79" spans="1:21" ht="13.8" thickBot="1">
      <c r="A79" s="11" t="s">
        <v>16</v>
      </c>
      <c r="B79" s="22">
        <f t="shared" ref="B79:U79" si="32">SUM(B69:B78)</f>
        <v>1470</v>
      </c>
      <c r="C79" s="24">
        <f t="shared" si="32"/>
        <v>23</v>
      </c>
      <c r="D79" s="24">
        <f t="shared" si="32"/>
        <v>1493</v>
      </c>
      <c r="E79" s="27">
        <f t="shared" si="32"/>
        <v>7</v>
      </c>
      <c r="F79" s="22">
        <f t="shared" si="32"/>
        <v>2044</v>
      </c>
      <c r="G79" s="24">
        <f t="shared" si="32"/>
        <v>16</v>
      </c>
      <c r="H79" s="24">
        <f t="shared" si="32"/>
        <v>2060</v>
      </c>
      <c r="I79" s="27">
        <f t="shared" si="32"/>
        <v>1</v>
      </c>
      <c r="J79" s="22">
        <f t="shared" si="32"/>
        <v>2082</v>
      </c>
      <c r="K79" s="24">
        <f t="shared" si="32"/>
        <v>19</v>
      </c>
      <c r="L79" s="24">
        <f t="shared" si="32"/>
        <v>2101</v>
      </c>
      <c r="M79" s="27">
        <f t="shared" si="32"/>
        <v>2</v>
      </c>
      <c r="N79" s="22">
        <f t="shared" si="32"/>
        <v>0</v>
      </c>
      <c r="O79" s="24">
        <f t="shared" si="32"/>
        <v>0</v>
      </c>
      <c r="P79" s="24">
        <f t="shared" si="32"/>
        <v>0</v>
      </c>
      <c r="Q79" s="27">
        <f t="shared" si="32"/>
        <v>0</v>
      </c>
      <c r="R79" s="39">
        <f t="shared" si="32"/>
        <v>5596</v>
      </c>
      <c r="S79" s="39">
        <f t="shared" si="32"/>
        <v>58</v>
      </c>
      <c r="T79" s="39">
        <f t="shared" si="32"/>
        <v>5654</v>
      </c>
      <c r="U79" s="39">
        <f t="shared" si="32"/>
        <v>10</v>
      </c>
    </row>
    <row r="81" spans="1:21" ht="18" thickBot="1">
      <c r="A81" s="2">
        <f>A49</f>
        <v>2022</v>
      </c>
    </row>
    <row r="82" spans="1:21">
      <c r="A82" s="3429" t="s">
        <v>0</v>
      </c>
      <c r="B82" s="3423" t="s">
        <v>269</v>
      </c>
      <c r="C82" s="3424"/>
      <c r="D82" s="3424"/>
      <c r="E82" s="3425"/>
      <c r="F82" s="3426" t="s">
        <v>270</v>
      </c>
      <c r="G82" s="3427"/>
      <c r="H82" s="3427"/>
      <c r="I82" s="3428"/>
      <c r="J82" s="3420" t="s">
        <v>271</v>
      </c>
      <c r="K82" s="3421"/>
      <c r="L82" s="3421"/>
      <c r="M82" s="3422"/>
      <c r="N82" s="3415" t="s">
        <v>272</v>
      </c>
      <c r="O82" s="3416"/>
      <c r="P82" s="3416"/>
      <c r="Q82" s="3417"/>
      <c r="R82" s="3418" t="s">
        <v>83</v>
      </c>
      <c r="S82" s="3418"/>
      <c r="T82" s="3418"/>
      <c r="U82" s="3419"/>
    </row>
    <row r="83" spans="1:21" ht="13.8" thickBot="1">
      <c r="A83" s="3430"/>
      <c r="B83" s="3" t="s">
        <v>17</v>
      </c>
      <c r="C83" s="4" t="s">
        <v>18</v>
      </c>
      <c r="D83" s="4" t="s">
        <v>56</v>
      </c>
      <c r="E83" s="5" t="s">
        <v>21</v>
      </c>
      <c r="F83" s="3" t="s">
        <v>17</v>
      </c>
      <c r="G83" s="4" t="s">
        <v>18</v>
      </c>
      <c r="H83" s="4" t="s">
        <v>56</v>
      </c>
      <c r="I83" s="5" t="s">
        <v>21</v>
      </c>
      <c r="J83" s="3" t="s">
        <v>17</v>
      </c>
      <c r="K83" s="4" t="s">
        <v>18</v>
      </c>
      <c r="L83" s="4" t="s">
        <v>56</v>
      </c>
      <c r="M83" s="5" t="s">
        <v>21</v>
      </c>
      <c r="N83" s="3" t="s">
        <v>17</v>
      </c>
      <c r="O83" s="4" t="s">
        <v>18</v>
      </c>
      <c r="P83" s="4" t="s">
        <v>56</v>
      </c>
      <c r="Q83" s="5" t="s">
        <v>21</v>
      </c>
      <c r="R83" s="4" t="s">
        <v>17</v>
      </c>
      <c r="S83" s="4" t="s">
        <v>18</v>
      </c>
      <c r="T83" s="4" t="s">
        <v>56</v>
      </c>
      <c r="U83" s="6" t="s">
        <v>21</v>
      </c>
    </row>
    <row r="84" spans="1:21">
      <c r="A84" s="16" t="s">
        <v>68</v>
      </c>
      <c r="B84" s="21">
        <f>gaz!B84+gaz!F84+gaz!J84</f>
        <v>428</v>
      </c>
      <c r="C84" s="25">
        <f>gaz!C84+gaz!G84+gaz!K84</f>
        <v>4</v>
      </c>
      <c r="D84" s="23">
        <f>gaz!D84+gaz!H84+gaz!L84</f>
        <v>432</v>
      </c>
      <c r="E84" s="26">
        <f>gaz!E84+gaz!I84+gaz!M84</f>
        <v>8</v>
      </c>
      <c r="F84" s="21">
        <f>gaz!N84+gaz!R84+gaz!V84</f>
        <v>628</v>
      </c>
      <c r="G84" s="25">
        <f>gaz!O84+gaz!S84+gaz!W84</f>
        <v>0</v>
      </c>
      <c r="H84" s="23">
        <f>gaz!P84+gaz!T84+gaz!X84</f>
        <v>628</v>
      </c>
      <c r="I84" s="26">
        <f>gaz!Q84+gaz!U84+gaz!Y84</f>
        <v>0</v>
      </c>
      <c r="J84" s="21">
        <f>gaz!Z84+gaz!AD84+gaz!AH84</f>
        <v>298</v>
      </c>
      <c r="K84" s="25">
        <f>gaz!AA84+gaz!AE84+gaz!AI84</f>
        <v>0</v>
      </c>
      <c r="L84" s="23">
        <f>gaz!AB84+gaz!AF84+gaz!AJ84</f>
        <v>298</v>
      </c>
      <c r="M84" s="26">
        <f>gaz!AC84+gaz!AG84+gaz!AK84</f>
        <v>0</v>
      </c>
      <c r="N84" s="21">
        <f>gaz!AL84+gaz!AP84+gaz!AT84</f>
        <v>0</v>
      </c>
      <c r="O84" s="25">
        <f>gaz!AM84+gaz!AQ84+gaz!AU84</f>
        <v>0</v>
      </c>
      <c r="P84" s="23">
        <f>gaz!AN84+gaz!AR84+gaz!AV84</f>
        <v>0</v>
      </c>
      <c r="Q84" s="26">
        <f>gaz!AO84+gaz!AS84+gaz!AW84</f>
        <v>0</v>
      </c>
      <c r="R84" s="33">
        <f t="shared" ref="R84:R93" si="33">B84+F84+J84+N84</f>
        <v>1354</v>
      </c>
      <c r="S84" s="34">
        <f t="shared" ref="S84:S93" si="34">C84+G84+K84+O84</f>
        <v>4</v>
      </c>
      <c r="T84" s="34">
        <f t="shared" ref="T84:T93" si="35">D84+H84+L84+P84</f>
        <v>1358</v>
      </c>
      <c r="U84" s="35">
        <f t="shared" ref="U84:U93" si="36">E84+I84+M84+Q84</f>
        <v>8</v>
      </c>
    </row>
    <row r="85" spans="1:21">
      <c r="A85" s="16" t="s">
        <v>7</v>
      </c>
      <c r="B85" s="21">
        <f>gaz!B85+gaz!F85+gaz!J85</f>
        <v>399</v>
      </c>
      <c r="C85" s="25">
        <f>gaz!C85+gaz!G85+gaz!K85</f>
        <v>2</v>
      </c>
      <c r="D85" s="23">
        <f>gaz!D85+gaz!H85+gaz!L85</f>
        <v>401</v>
      </c>
      <c r="E85" s="26">
        <f>gaz!E85+gaz!I85+gaz!M85</f>
        <v>0</v>
      </c>
      <c r="F85" s="21">
        <f>gaz!N85+gaz!R85+gaz!V85</f>
        <v>193</v>
      </c>
      <c r="G85" s="25">
        <f>gaz!O85+gaz!S85+gaz!W85</f>
        <v>5</v>
      </c>
      <c r="H85" s="23">
        <f>gaz!P85+gaz!T85+gaz!X85</f>
        <v>198</v>
      </c>
      <c r="I85" s="26">
        <f>gaz!Q85+gaz!U85+gaz!Y85</f>
        <v>0</v>
      </c>
      <c r="J85" s="21">
        <f>gaz!Z85+gaz!AD85+gaz!AH85</f>
        <v>126</v>
      </c>
      <c r="K85" s="25">
        <f>gaz!AA85+gaz!AE85+gaz!AI85</f>
        <v>2</v>
      </c>
      <c r="L85" s="23">
        <f>gaz!AB85+gaz!AF85+gaz!AJ85</f>
        <v>128</v>
      </c>
      <c r="M85" s="26">
        <f>gaz!AC85+gaz!AG85+gaz!AK85</f>
        <v>0</v>
      </c>
      <c r="N85" s="21">
        <f>gaz!AL85+gaz!AP85+gaz!AT85</f>
        <v>0</v>
      </c>
      <c r="O85" s="25">
        <f>gaz!AM85+gaz!AQ85+gaz!AU85</f>
        <v>0</v>
      </c>
      <c r="P85" s="23">
        <f>gaz!AN85+gaz!AR85+gaz!AV85</f>
        <v>0</v>
      </c>
      <c r="Q85" s="26">
        <f>gaz!AO85+gaz!AS85+gaz!AW85</f>
        <v>0</v>
      </c>
      <c r="R85" s="36">
        <f t="shared" si="33"/>
        <v>718</v>
      </c>
      <c r="S85" s="37">
        <f t="shared" si="34"/>
        <v>9</v>
      </c>
      <c r="T85" s="37">
        <f t="shared" si="35"/>
        <v>727</v>
      </c>
      <c r="U85" s="38">
        <f t="shared" si="36"/>
        <v>0</v>
      </c>
    </row>
    <row r="86" spans="1:21">
      <c r="A86" s="16" t="s">
        <v>8</v>
      </c>
      <c r="B86" s="21">
        <f>gaz!B86+gaz!F86+gaz!J86</f>
        <v>119</v>
      </c>
      <c r="C86" s="25">
        <f>gaz!C86+gaz!G86+gaz!K86</f>
        <v>1</v>
      </c>
      <c r="D86" s="23">
        <f>gaz!D86+gaz!H86+gaz!L86</f>
        <v>120</v>
      </c>
      <c r="E86" s="26">
        <f>gaz!E86+gaz!I86+gaz!M86</f>
        <v>0</v>
      </c>
      <c r="F86" s="21">
        <f>gaz!N86+gaz!R86+gaz!V86</f>
        <v>463</v>
      </c>
      <c r="G86" s="25">
        <f>gaz!O86+gaz!S86+gaz!W86</f>
        <v>2</v>
      </c>
      <c r="H86" s="23">
        <f>gaz!P86+gaz!T86+gaz!X86</f>
        <v>465</v>
      </c>
      <c r="I86" s="26">
        <f>gaz!Q86+gaz!U86+gaz!Y86</f>
        <v>0</v>
      </c>
      <c r="J86" s="21">
        <f>gaz!Z86+gaz!AD86+gaz!AH86</f>
        <v>73</v>
      </c>
      <c r="K86" s="25">
        <f>gaz!AA86+gaz!AE86+gaz!AI86</f>
        <v>3</v>
      </c>
      <c r="L86" s="23">
        <f>gaz!AB86+gaz!AF86+gaz!AJ86</f>
        <v>76</v>
      </c>
      <c r="M86" s="26">
        <f>gaz!AC86+gaz!AG86+gaz!AK86</f>
        <v>0</v>
      </c>
      <c r="N86" s="21">
        <f>gaz!AL86+gaz!AP86+gaz!AT86</f>
        <v>0</v>
      </c>
      <c r="O86" s="25">
        <f>gaz!AM86+gaz!AQ86+gaz!AU86</f>
        <v>0</v>
      </c>
      <c r="P86" s="23">
        <f>gaz!AN86+gaz!AR86+gaz!AV86</f>
        <v>0</v>
      </c>
      <c r="Q86" s="26">
        <f>gaz!AO86+gaz!AS86+gaz!AW86</f>
        <v>0</v>
      </c>
      <c r="R86" s="36">
        <f t="shared" si="33"/>
        <v>655</v>
      </c>
      <c r="S86" s="37">
        <f t="shared" si="34"/>
        <v>6</v>
      </c>
      <c r="T86" s="37">
        <f t="shared" si="35"/>
        <v>661</v>
      </c>
      <c r="U86" s="38">
        <f t="shared" si="36"/>
        <v>0</v>
      </c>
    </row>
    <row r="87" spans="1:21">
      <c r="A87" s="16" t="s">
        <v>4</v>
      </c>
      <c r="B87" s="21">
        <f>gaz!B87+gaz!F87+gaz!J87</f>
        <v>818</v>
      </c>
      <c r="C87" s="25">
        <f>gaz!C87+gaz!G87+gaz!K87</f>
        <v>15</v>
      </c>
      <c r="D87" s="23">
        <f>gaz!D87+gaz!H87+gaz!L87</f>
        <v>833</v>
      </c>
      <c r="E87" s="26">
        <f>gaz!E87+gaz!I87+gaz!M87</f>
        <v>0</v>
      </c>
      <c r="F87" s="21">
        <f>gaz!N87+gaz!R87+gaz!V87</f>
        <v>764</v>
      </c>
      <c r="G87" s="25">
        <f>gaz!O87+gaz!S87+gaz!W87</f>
        <v>7</v>
      </c>
      <c r="H87" s="23">
        <f>gaz!P87+gaz!T87+gaz!X87</f>
        <v>771</v>
      </c>
      <c r="I87" s="26">
        <f>gaz!Q87+gaz!U87+gaz!Y87</f>
        <v>0</v>
      </c>
      <c r="J87" s="21">
        <f>gaz!Z87+gaz!AD87+gaz!AH87</f>
        <v>280</v>
      </c>
      <c r="K87" s="25">
        <f>gaz!AA87+gaz!AE87+gaz!AI87</f>
        <v>5</v>
      </c>
      <c r="L87" s="23">
        <f>gaz!AB87+gaz!AF87+gaz!AJ87</f>
        <v>285</v>
      </c>
      <c r="M87" s="26">
        <f>gaz!AC87+gaz!AG87+gaz!AK87</f>
        <v>0</v>
      </c>
      <c r="N87" s="21">
        <f>gaz!AL87+gaz!AP87+gaz!AT87</f>
        <v>0</v>
      </c>
      <c r="O87" s="25">
        <f>gaz!AM87+gaz!AQ87+gaz!AU87</f>
        <v>0</v>
      </c>
      <c r="P87" s="23">
        <f>gaz!AN87+gaz!AR87+gaz!AV87</f>
        <v>0</v>
      </c>
      <c r="Q87" s="26">
        <f>gaz!AO87+gaz!AS87+gaz!AW87</f>
        <v>0</v>
      </c>
      <c r="R87" s="36">
        <f t="shared" si="33"/>
        <v>1862</v>
      </c>
      <c r="S87" s="37">
        <f t="shared" si="34"/>
        <v>27</v>
      </c>
      <c r="T87" s="37">
        <f t="shared" si="35"/>
        <v>1889</v>
      </c>
      <c r="U87" s="38">
        <f t="shared" si="36"/>
        <v>0</v>
      </c>
    </row>
    <row r="88" spans="1:21">
      <c r="A88" s="16" t="s">
        <v>3</v>
      </c>
      <c r="B88" s="21">
        <f>gaz!B88+gaz!F88+gaz!J88</f>
        <v>62</v>
      </c>
      <c r="C88" s="25">
        <f>gaz!C88+gaz!G88+gaz!K88</f>
        <v>1</v>
      </c>
      <c r="D88" s="23">
        <f>gaz!D88+gaz!H88+gaz!L88</f>
        <v>63</v>
      </c>
      <c r="E88" s="26">
        <f>gaz!E88+gaz!I88+gaz!M88</f>
        <v>0</v>
      </c>
      <c r="F88" s="21">
        <f>gaz!N88+gaz!R88+gaz!V88</f>
        <v>70</v>
      </c>
      <c r="G88" s="25">
        <f>gaz!O88+gaz!S88+gaz!W88</f>
        <v>1</v>
      </c>
      <c r="H88" s="23">
        <f>gaz!P88+gaz!T88+gaz!X88</f>
        <v>71</v>
      </c>
      <c r="I88" s="26">
        <f>gaz!Q88+gaz!U88+gaz!Y88</f>
        <v>0</v>
      </c>
      <c r="J88" s="21">
        <f>gaz!Z88+gaz!AD88+gaz!AH88</f>
        <v>22</v>
      </c>
      <c r="K88" s="25">
        <f>gaz!AA88+gaz!AE88+gaz!AI88</f>
        <v>0</v>
      </c>
      <c r="L88" s="23">
        <f>gaz!AB88+gaz!AF88+gaz!AJ88</f>
        <v>22</v>
      </c>
      <c r="M88" s="26">
        <f>gaz!AC88+gaz!AG88+gaz!AK88</f>
        <v>0</v>
      </c>
      <c r="N88" s="21">
        <f>gaz!AL88+gaz!AP88+gaz!AT88</f>
        <v>0</v>
      </c>
      <c r="O88" s="25">
        <f>gaz!AM88+gaz!AQ88+gaz!AU88</f>
        <v>0</v>
      </c>
      <c r="P88" s="23">
        <f>gaz!AN88+gaz!AR88+gaz!AV88</f>
        <v>0</v>
      </c>
      <c r="Q88" s="26">
        <f>gaz!AO88+gaz!AS88+gaz!AW88</f>
        <v>0</v>
      </c>
      <c r="R88" s="36">
        <f t="shared" si="33"/>
        <v>154</v>
      </c>
      <c r="S88" s="37">
        <f t="shared" si="34"/>
        <v>2</v>
      </c>
      <c r="T88" s="37">
        <f t="shared" si="35"/>
        <v>156</v>
      </c>
      <c r="U88" s="38">
        <f t="shared" si="36"/>
        <v>0</v>
      </c>
    </row>
    <row r="89" spans="1:21">
      <c r="A89" s="16" t="s">
        <v>397</v>
      </c>
      <c r="B89" s="21">
        <f>gaz!B89+gaz!F89+gaz!J89</f>
        <v>41</v>
      </c>
      <c r="C89" s="25">
        <f>gaz!C89+gaz!G89+gaz!K89</f>
        <v>1</v>
      </c>
      <c r="D89" s="23">
        <f>gaz!D89+gaz!H89+gaz!L89</f>
        <v>42</v>
      </c>
      <c r="E89" s="26">
        <f>gaz!E89+gaz!I89+gaz!M89</f>
        <v>0</v>
      </c>
      <c r="F89" s="21">
        <f>gaz!N89+gaz!R89+gaz!V89</f>
        <v>87</v>
      </c>
      <c r="G89" s="25">
        <f>gaz!O89+gaz!S89+gaz!W89</f>
        <v>1</v>
      </c>
      <c r="H89" s="23">
        <f>gaz!P89+gaz!T89+gaz!X89</f>
        <v>88</v>
      </c>
      <c r="I89" s="26">
        <f>gaz!Q89+gaz!U89+gaz!Y89</f>
        <v>0</v>
      </c>
      <c r="J89" s="21">
        <f>gaz!Z89+gaz!AD89+gaz!AH89</f>
        <v>80</v>
      </c>
      <c r="K89" s="25">
        <f>gaz!AA89+gaz!AE89+gaz!AI89</f>
        <v>0</v>
      </c>
      <c r="L89" s="23">
        <f>gaz!AB89+gaz!AF89+gaz!AJ89</f>
        <v>80</v>
      </c>
      <c r="M89" s="26">
        <f>gaz!AC89+gaz!AG89+gaz!AK89</f>
        <v>0</v>
      </c>
      <c r="N89" s="21">
        <f>gaz!AL89+gaz!AP89+gaz!AT89</f>
        <v>0</v>
      </c>
      <c r="O89" s="25">
        <f>gaz!AM89+gaz!AQ89+gaz!AU89</f>
        <v>0</v>
      </c>
      <c r="P89" s="23">
        <f>gaz!AN89+gaz!AR89+gaz!AV89</f>
        <v>0</v>
      </c>
      <c r="Q89" s="26">
        <f>gaz!AO89+gaz!AS89+gaz!AW89</f>
        <v>0</v>
      </c>
      <c r="R89" s="36">
        <f t="shared" si="33"/>
        <v>208</v>
      </c>
      <c r="S89" s="37">
        <f t="shared" si="34"/>
        <v>2</v>
      </c>
      <c r="T89" s="37">
        <f t="shared" si="35"/>
        <v>210</v>
      </c>
      <c r="U89" s="38">
        <f t="shared" si="36"/>
        <v>0</v>
      </c>
    </row>
    <row r="90" spans="1:21">
      <c r="A90" s="16" t="s">
        <v>399</v>
      </c>
      <c r="B90" s="21">
        <f>gaz!B90+gaz!F90+gaz!J90</f>
        <v>100</v>
      </c>
      <c r="C90" s="25">
        <f>gaz!C90+gaz!G90+gaz!K90</f>
        <v>0</v>
      </c>
      <c r="D90" s="23">
        <f>gaz!D90+gaz!H90+gaz!L90</f>
        <v>100</v>
      </c>
      <c r="E90" s="26">
        <f>gaz!E90+gaz!I90+gaz!M90</f>
        <v>0</v>
      </c>
      <c r="F90" s="21">
        <f>gaz!N90+gaz!R90+gaz!V90</f>
        <v>188</v>
      </c>
      <c r="G90" s="25">
        <f>gaz!O90+gaz!S90+gaz!W90</f>
        <v>1</v>
      </c>
      <c r="H90" s="23">
        <f>gaz!P90+gaz!T90+gaz!X90</f>
        <v>189</v>
      </c>
      <c r="I90" s="26">
        <f>gaz!Q90+gaz!U90+gaz!Y90</f>
        <v>0</v>
      </c>
      <c r="J90" s="21">
        <f>gaz!Z90+gaz!AD90+gaz!AH90</f>
        <v>62</v>
      </c>
      <c r="K90" s="25">
        <f>gaz!AA90+gaz!AE90+gaz!AI90</f>
        <v>0</v>
      </c>
      <c r="L90" s="23">
        <f>gaz!AB90+gaz!AF90+gaz!AJ90</f>
        <v>62</v>
      </c>
      <c r="M90" s="26">
        <f>gaz!AC90+gaz!AG90+gaz!AK90</f>
        <v>0</v>
      </c>
      <c r="N90" s="21">
        <f>gaz!AL90+gaz!AP90+gaz!AT90</f>
        <v>0</v>
      </c>
      <c r="O90" s="25">
        <f>gaz!AM90+gaz!AQ90+gaz!AU90</f>
        <v>0</v>
      </c>
      <c r="P90" s="23">
        <f>gaz!AN90+gaz!AR90+gaz!AV90</f>
        <v>0</v>
      </c>
      <c r="Q90" s="26">
        <f>gaz!AO90+gaz!AS90+gaz!AW90</f>
        <v>0</v>
      </c>
      <c r="R90" s="36">
        <f t="shared" si="33"/>
        <v>350</v>
      </c>
      <c r="S90" s="37">
        <f t="shared" si="34"/>
        <v>1</v>
      </c>
      <c r="T90" s="37">
        <f t="shared" si="35"/>
        <v>351</v>
      </c>
      <c r="U90" s="38">
        <f t="shared" si="36"/>
        <v>0</v>
      </c>
    </row>
    <row r="91" spans="1:21">
      <c r="A91" s="16" t="s">
        <v>883</v>
      </c>
      <c r="B91" s="21">
        <f>gaz!B91+gaz!F91+gaz!J91</f>
        <v>86</v>
      </c>
      <c r="C91" s="25">
        <f>gaz!C91+gaz!G91+gaz!K91</f>
        <v>0</v>
      </c>
      <c r="D91" s="23">
        <f>gaz!D91+gaz!H91+gaz!L91</f>
        <v>86</v>
      </c>
      <c r="E91" s="26">
        <f>gaz!E91+gaz!I91+gaz!M91</f>
        <v>0</v>
      </c>
      <c r="F91" s="21">
        <f>gaz!N91+gaz!R91+gaz!V91</f>
        <v>36</v>
      </c>
      <c r="G91" s="25">
        <f>gaz!O91+gaz!S91+gaz!W91</f>
        <v>2</v>
      </c>
      <c r="H91" s="23">
        <f>gaz!P91+gaz!T91+gaz!X91</f>
        <v>38</v>
      </c>
      <c r="I91" s="26">
        <f>gaz!Q91+gaz!U91+gaz!Y91</f>
        <v>0</v>
      </c>
      <c r="J91" s="21">
        <f>gaz!Z91+gaz!AD91+gaz!AH91</f>
        <v>14</v>
      </c>
      <c r="K91" s="25">
        <f>gaz!AA91+gaz!AE91+gaz!AI91</f>
        <v>0</v>
      </c>
      <c r="L91" s="23">
        <f>gaz!AB91+gaz!AF91+gaz!AJ91</f>
        <v>14</v>
      </c>
      <c r="M91" s="26">
        <f>gaz!AC91+gaz!AG91+gaz!AK91</f>
        <v>0</v>
      </c>
      <c r="N91" s="21">
        <f>gaz!AL91+gaz!AP91+gaz!AT91</f>
        <v>0</v>
      </c>
      <c r="O91" s="25">
        <f>gaz!AM91+gaz!AQ91+gaz!AU91</f>
        <v>0</v>
      </c>
      <c r="P91" s="23">
        <f>gaz!AN91+gaz!AR91+gaz!AV91</f>
        <v>0</v>
      </c>
      <c r="Q91" s="26">
        <f>gaz!AO91+gaz!AS91+gaz!AW91</f>
        <v>0</v>
      </c>
      <c r="R91" s="36">
        <f t="shared" si="33"/>
        <v>136</v>
      </c>
      <c r="S91" s="37">
        <f t="shared" si="34"/>
        <v>2</v>
      </c>
      <c r="T91" s="37">
        <f t="shared" si="35"/>
        <v>138</v>
      </c>
      <c r="U91" s="38">
        <f t="shared" si="36"/>
        <v>0</v>
      </c>
    </row>
    <row r="92" spans="1:21">
      <c r="A92" s="16" t="s">
        <v>884</v>
      </c>
      <c r="B92" s="21">
        <f>gaz!B92+gaz!F92+gaz!J92</f>
        <v>215</v>
      </c>
      <c r="C92" s="25">
        <f>gaz!C92+gaz!G92+gaz!K92</f>
        <v>4</v>
      </c>
      <c r="D92" s="23">
        <f>gaz!D92+gaz!H92+gaz!L92</f>
        <v>219</v>
      </c>
      <c r="E92" s="26">
        <f>gaz!E92+gaz!I92+gaz!M92</f>
        <v>0</v>
      </c>
      <c r="F92" s="21">
        <f>gaz!N92+gaz!R92+gaz!V92</f>
        <v>208</v>
      </c>
      <c r="G92" s="25">
        <f>gaz!O92+gaz!S92+gaz!W92</f>
        <v>0</v>
      </c>
      <c r="H92" s="23">
        <f>gaz!P92+gaz!T92+gaz!X92</f>
        <v>208</v>
      </c>
      <c r="I92" s="26">
        <f>gaz!Q92+gaz!U92+gaz!Y92</f>
        <v>0</v>
      </c>
      <c r="J92" s="21">
        <f>gaz!Z92+gaz!AD92+gaz!AH92</f>
        <v>165</v>
      </c>
      <c r="K92" s="25">
        <f>gaz!AA92+gaz!AE92+gaz!AI92</f>
        <v>0</v>
      </c>
      <c r="L92" s="23">
        <f>gaz!AB92+gaz!AF92+gaz!AJ92</f>
        <v>165</v>
      </c>
      <c r="M92" s="26">
        <f>gaz!AC92+gaz!AG92+gaz!AK92</f>
        <v>0</v>
      </c>
      <c r="N92" s="21">
        <f>gaz!AL92+gaz!AP92+gaz!AT92</f>
        <v>0</v>
      </c>
      <c r="O92" s="25">
        <f>gaz!AM92+gaz!AQ92+gaz!AU92</f>
        <v>0</v>
      </c>
      <c r="P92" s="23">
        <f>gaz!AN92+gaz!AR92+gaz!AV92</f>
        <v>0</v>
      </c>
      <c r="Q92" s="26">
        <f>gaz!AO92+gaz!AS92+gaz!AW92</f>
        <v>0</v>
      </c>
      <c r="R92" s="36">
        <f t="shared" si="33"/>
        <v>588</v>
      </c>
      <c r="S92" s="37">
        <f t="shared" si="34"/>
        <v>4</v>
      </c>
      <c r="T92" s="37">
        <f t="shared" si="35"/>
        <v>592</v>
      </c>
      <c r="U92" s="38">
        <f t="shared" si="36"/>
        <v>0</v>
      </c>
    </row>
    <row r="93" spans="1:21" ht="13.8" thickBot="1">
      <c r="A93" s="16" t="s">
        <v>885</v>
      </c>
      <c r="B93" s="21">
        <f>gaz!B93+gaz!F93+gaz!J93</f>
        <v>349</v>
      </c>
      <c r="C93" s="25">
        <f>gaz!C93+gaz!G93+gaz!K93</f>
        <v>0</v>
      </c>
      <c r="D93" s="23">
        <f>gaz!D93+gaz!H93+gaz!L93</f>
        <v>349</v>
      </c>
      <c r="E93" s="26">
        <f>gaz!E93+gaz!I93+gaz!M93</f>
        <v>0</v>
      </c>
      <c r="F93" s="21">
        <f>gaz!N93+gaz!R93+gaz!V93</f>
        <v>152</v>
      </c>
      <c r="G93" s="25">
        <f>gaz!O93+gaz!S93+gaz!W93</f>
        <v>1</v>
      </c>
      <c r="H93" s="23">
        <f>gaz!P93+gaz!T93+gaz!X93</f>
        <v>153</v>
      </c>
      <c r="I93" s="26">
        <f>gaz!Q93+gaz!U93+gaz!Y93</f>
        <v>0</v>
      </c>
      <c r="J93" s="21">
        <f>gaz!Z93+gaz!AD93+gaz!AH93</f>
        <v>19</v>
      </c>
      <c r="K93" s="25">
        <f>gaz!AA93+gaz!AE93+gaz!AI93</f>
        <v>0</v>
      </c>
      <c r="L93" s="23">
        <f>gaz!AB93+gaz!AF93+gaz!AJ93</f>
        <v>19</v>
      </c>
      <c r="M93" s="26">
        <f>gaz!AC93+gaz!AG93+gaz!AK93</f>
        <v>0</v>
      </c>
      <c r="N93" s="21">
        <f>gaz!AL93+gaz!AP93+gaz!AT93</f>
        <v>0</v>
      </c>
      <c r="O93" s="25">
        <f>gaz!AM93+gaz!AQ93+gaz!AU93</f>
        <v>0</v>
      </c>
      <c r="P93" s="23">
        <f>gaz!AN93+gaz!AR93+gaz!AV93</f>
        <v>0</v>
      </c>
      <c r="Q93" s="26">
        <f>gaz!AO93+gaz!AS93+gaz!AW93</f>
        <v>0</v>
      </c>
      <c r="R93" s="36">
        <f t="shared" si="33"/>
        <v>520</v>
      </c>
      <c r="S93" s="37">
        <f t="shared" si="34"/>
        <v>1</v>
      </c>
      <c r="T93" s="37">
        <f t="shared" si="35"/>
        <v>521</v>
      </c>
      <c r="U93" s="38">
        <f t="shared" si="36"/>
        <v>0</v>
      </c>
    </row>
    <row r="94" spans="1:21" ht="13.8" thickBot="1">
      <c r="A94" s="11" t="s">
        <v>16</v>
      </c>
      <c r="B94" s="22">
        <f t="shared" ref="B94:U94" si="37">SUM(B84:B93)</f>
        <v>2617</v>
      </c>
      <c r="C94" s="24">
        <f t="shared" si="37"/>
        <v>28</v>
      </c>
      <c r="D94" s="24">
        <f t="shared" si="37"/>
        <v>2645</v>
      </c>
      <c r="E94" s="27">
        <f t="shared" si="37"/>
        <v>8</v>
      </c>
      <c r="F94" s="22">
        <f t="shared" si="37"/>
        <v>2789</v>
      </c>
      <c r="G94" s="24">
        <f t="shared" si="37"/>
        <v>20</v>
      </c>
      <c r="H94" s="24">
        <f t="shared" si="37"/>
        <v>2809</v>
      </c>
      <c r="I94" s="27">
        <f t="shared" si="37"/>
        <v>0</v>
      </c>
      <c r="J94" s="22">
        <f t="shared" si="37"/>
        <v>1139</v>
      </c>
      <c r="K94" s="24">
        <f t="shared" si="37"/>
        <v>10</v>
      </c>
      <c r="L94" s="24">
        <f t="shared" si="37"/>
        <v>1149</v>
      </c>
      <c r="M94" s="27">
        <f t="shared" si="37"/>
        <v>0</v>
      </c>
      <c r="N94" s="22">
        <f t="shared" si="37"/>
        <v>0</v>
      </c>
      <c r="O94" s="24">
        <f t="shared" si="37"/>
        <v>0</v>
      </c>
      <c r="P94" s="24">
        <f t="shared" si="37"/>
        <v>0</v>
      </c>
      <c r="Q94" s="27">
        <f t="shared" si="37"/>
        <v>0</v>
      </c>
      <c r="R94" s="39">
        <f t="shared" si="37"/>
        <v>6545</v>
      </c>
      <c r="S94" s="39">
        <f t="shared" si="37"/>
        <v>58</v>
      </c>
      <c r="T94" s="39">
        <f t="shared" si="37"/>
        <v>6603</v>
      </c>
      <c r="U94" s="39">
        <f t="shared" si="37"/>
        <v>8</v>
      </c>
    </row>
    <row r="96" spans="1:21" ht="17.399999999999999">
      <c r="A96" s="15" t="s">
        <v>872</v>
      </c>
    </row>
    <row r="97" spans="1:21" ht="18" thickBot="1">
      <c r="A97" s="2">
        <f>A66</f>
        <v>2021</v>
      </c>
    </row>
    <row r="98" spans="1:21">
      <c r="A98" s="3429" t="s">
        <v>0</v>
      </c>
      <c r="B98" s="3423" t="s">
        <v>269</v>
      </c>
      <c r="C98" s="3424"/>
      <c r="D98" s="3424"/>
      <c r="E98" s="3425"/>
      <c r="F98" s="3426" t="s">
        <v>270</v>
      </c>
      <c r="G98" s="3427"/>
      <c r="H98" s="3427"/>
      <c r="I98" s="3428"/>
      <c r="J98" s="3420" t="s">
        <v>271</v>
      </c>
      <c r="K98" s="3421"/>
      <c r="L98" s="3421"/>
      <c r="M98" s="3422"/>
      <c r="N98" s="3415" t="s">
        <v>272</v>
      </c>
      <c r="O98" s="3416"/>
      <c r="P98" s="3416"/>
      <c r="Q98" s="3417"/>
      <c r="R98" s="3418" t="s">
        <v>83</v>
      </c>
      <c r="S98" s="3418"/>
      <c r="T98" s="3418"/>
      <c r="U98" s="3419"/>
    </row>
    <row r="99" spans="1:21" ht="13.8" thickBot="1">
      <c r="A99" s="3430"/>
      <c r="B99" s="3" t="s">
        <v>17</v>
      </c>
      <c r="C99" s="4" t="s">
        <v>18</v>
      </c>
      <c r="D99" s="4" t="s">
        <v>56</v>
      </c>
      <c r="E99" s="5" t="s">
        <v>21</v>
      </c>
      <c r="F99" s="3" t="s">
        <v>17</v>
      </c>
      <c r="G99" s="4" t="s">
        <v>18</v>
      </c>
      <c r="H99" s="4" t="s">
        <v>56</v>
      </c>
      <c r="I99" s="5" t="s">
        <v>21</v>
      </c>
      <c r="J99" s="3" t="s">
        <v>17</v>
      </c>
      <c r="K99" s="4" t="s">
        <v>18</v>
      </c>
      <c r="L99" s="4" t="s">
        <v>56</v>
      </c>
      <c r="M99" s="5" t="s">
        <v>21</v>
      </c>
      <c r="N99" s="3" t="s">
        <v>17</v>
      </c>
      <c r="O99" s="4" t="s">
        <v>18</v>
      </c>
      <c r="P99" s="4" t="s">
        <v>56</v>
      </c>
      <c r="Q99" s="5" t="s">
        <v>21</v>
      </c>
      <c r="R99" s="4" t="s">
        <v>17</v>
      </c>
      <c r="S99" s="4" t="s">
        <v>18</v>
      </c>
      <c r="T99" s="4" t="s">
        <v>56</v>
      </c>
      <c r="U99" s="6" t="s">
        <v>21</v>
      </c>
    </row>
    <row r="100" spans="1:21">
      <c r="A100" s="16" t="s">
        <v>68</v>
      </c>
      <c r="B100" s="21">
        <f t="shared" ref="B100:Q100" si="38">B37+B69</f>
        <v>5547</v>
      </c>
      <c r="C100" s="25">
        <f t="shared" si="38"/>
        <v>16</v>
      </c>
      <c r="D100" s="23">
        <f t="shared" si="38"/>
        <v>5563</v>
      </c>
      <c r="E100" s="26">
        <f t="shared" si="38"/>
        <v>5</v>
      </c>
      <c r="F100" s="21">
        <f t="shared" si="38"/>
        <v>3784</v>
      </c>
      <c r="G100" s="25">
        <f t="shared" si="38"/>
        <v>15</v>
      </c>
      <c r="H100" s="23">
        <f t="shared" si="38"/>
        <v>3799</v>
      </c>
      <c r="I100" s="26">
        <f t="shared" si="38"/>
        <v>2</v>
      </c>
      <c r="J100" s="21">
        <f t="shared" si="38"/>
        <v>1786</v>
      </c>
      <c r="K100" s="25">
        <f t="shared" si="38"/>
        <v>1</v>
      </c>
      <c r="L100" s="23">
        <f t="shared" si="38"/>
        <v>1787</v>
      </c>
      <c r="M100" s="26">
        <f t="shared" si="38"/>
        <v>0</v>
      </c>
      <c r="N100" s="21">
        <f t="shared" si="38"/>
        <v>0</v>
      </c>
      <c r="O100" s="25">
        <f t="shared" si="38"/>
        <v>0</v>
      </c>
      <c r="P100" s="23">
        <f t="shared" si="38"/>
        <v>0</v>
      </c>
      <c r="Q100" s="26">
        <f t="shared" si="38"/>
        <v>0</v>
      </c>
      <c r="R100" s="33">
        <f t="shared" ref="R100:R109" si="39">B100+F100+J100+N100</f>
        <v>11117</v>
      </c>
      <c r="S100" s="34">
        <f t="shared" ref="S100:S109" si="40">C100+G100+K100+O100</f>
        <v>32</v>
      </c>
      <c r="T100" s="34">
        <f t="shared" ref="T100:T109" si="41">D100+H100+L100+P100</f>
        <v>11149</v>
      </c>
      <c r="U100" s="35">
        <f t="shared" ref="U100:U109" si="42">E100+I100+M100+Q100</f>
        <v>7</v>
      </c>
    </row>
    <row r="101" spans="1:21">
      <c r="A101" s="16" t="s">
        <v>7</v>
      </c>
      <c r="B101" s="21">
        <f t="shared" ref="B101:Q101" si="43">B38+B70</f>
        <v>3835</v>
      </c>
      <c r="C101" s="25">
        <f t="shared" si="43"/>
        <v>89</v>
      </c>
      <c r="D101" s="23">
        <f t="shared" si="43"/>
        <v>3924</v>
      </c>
      <c r="E101" s="26">
        <f t="shared" si="43"/>
        <v>0</v>
      </c>
      <c r="F101" s="21">
        <f t="shared" si="43"/>
        <v>1678</v>
      </c>
      <c r="G101" s="25">
        <f t="shared" si="43"/>
        <v>26</v>
      </c>
      <c r="H101" s="23">
        <f t="shared" si="43"/>
        <v>1704</v>
      </c>
      <c r="I101" s="26">
        <f t="shared" si="43"/>
        <v>8</v>
      </c>
      <c r="J101" s="21">
        <f t="shared" si="43"/>
        <v>1117</v>
      </c>
      <c r="K101" s="25">
        <f t="shared" si="43"/>
        <v>11</v>
      </c>
      <c r="L101" s="23">
        <f t="shared" si="43"/>
        <v>1128</v>
      </c>
      <c r="M101" s="26">
        <f t="shared" si="43"/>
        <v>1</v>
      </c>
      <c r="N101" s="21">
        <f t="shared" si="43"/>
        <v>0</v>
      </c>
      <c r="O101" s="25">
        <f t="shared" si="43"/>
        <v>0</v>
      </c>
      <c r="P101" s="23">
        <f t="shared" si="43"/>
        <v>0</v>
      </c>
      <c r="Q101" s="26">
        <f t="shared" si="43"/>
        <v>0</v>
      </c>
      <c r="R101" s="36">
        <f t="shared" si="39"/>
        <v>6630</v>
      </c>
      <c r="S101" s="37">
        <f t="shared" si="40"/>
        <v>126</v>
      </c>
      <c r="T101" s="37">
        <f t="shared" si="41"/>
        <v>6756</v>
      </c>
      <c r="U101" s="38">
        <f t="shared" si="42"/>
        <v>9</v>
      </c>
    </row>
    <row r="102" spans="1:21">
      <c r="A102" s="16" t="s">
        <v>8</v>
      </c>
      <c r="B102" s="21">
        <f t="shared" ref="B102:Q102" si="44">B39+B71</f>
        <v>6222</v>
      </c>
      <c r="C102" s="25">
        <f t="shared" si="44"/>
        <v>55</v>
      </c>
      <c r="D102" s="23">
        <f t="shared" si="44"/>
        <v>6277</v>
      </c>
      <c r="E102" s="26">
        <f t="shared" si="44"/>
        <v>1</v>
      </c>
      <c r="F102" s="21">
        <f t="shared" si="44"/>
        <v>2921</v>
      </c>
      <c r="G102" s="25">
        <f t="shared" si="44"/>
        <v>26</v>
      </c>
      <c r="H102" s="23">
        <f t="shared" si="44"/>
        <v>2947</v>
      </c>
      <c r="I102" s="26">
        <f t="shared" si="44"/>
        <v>0</v>
      </c>
      <c r="J102" s="21">
        <f t="shared" si="44"/>
        <v>2098</v>
      </c>
      <c r="K102" s="25">
        <f t="shared" si="44"/>
        <v>8</v>
      </c>
      <c r="L102" s="23">
        <f t="shared" si="44"/>
        <v>2106</v>
      </c>
      <c r="M102" s="26">
        <f t="shared" si="44"/>
        <v>1</v>
      </c>
      <c r="N102" s="21">
        <f t="shared" si="44"/>
        <v>0</v>
      </c>
      <c r="O102" s="25">
        <f t="shared" si="44"/>
        <v>0</v>
      </c>
      <c r="P102" s="23">
        <f t="shared" si="44"/>
        <v>0</v>
      </c>
      <c r="Q102" s="26">
        <f t="shared" si="44"/>
        <v>0</v>
      </c>
      <c r="R102" s="36">
        <f t="shared" si="39"/>
        <v>11241</v>
      </c>
      <c r="S102" s="37">
        <f t="shared" si="40"/>
        <v>89</v>
      </c>
      <c r="T102" s="37">
        <f t="shared" si="41"/>
        <v>11330</v>
      </c>
      <c r="U102" s="38">
        <f t="shared" si="42"/>
        <v>2</v>
      </c>
    </row>
    <row r="103" spans="1:21">
      <c r="A103" s="16" t="s">
        <v>4</v>
      </c>
      <c r="B103" s="21">
        <f t="shared" ref="B103:Q103" si="45">B40+B72</f>
        <v>4373</v>
      </c>
      <c r="C103" s="25">
        <f t="shared" si="45"/>
        <v>55</v>
      </c>
      <c r="D103" s="23">
        <f t="shared" si="45"/>
        <v>4428</v>
      </c>
      <c r="E103" s="26">
        <f t="shared" si="45"/>
        <v>1</v>
      </c>
      <c r="F103" s="21">
        <f t="shared" si="45"/>
        <v>3002</v>
      </c>
      <c r="G103" s="25">
        <f t="shared" si="45"/>
        <v>15</v>
      </c>
      <c r="H103" s="23">
        <f t="shared" si="45"/>
        <v>3017</v>
      </c>
      <c r="I103" s="26">
        <f t="shared" si="45"/>
        <v>0</v>
      </c>
      <c r="J103" s="21">
        <f t="shared" si="45"/>
        <v>2203</v>
      </c>
      <c r="K103" s="25">
        <f t="shared" si="45"/>
        <v>9</v>
      </c>
      <c r="L103" s="23">
        <f t="shared" si="45"/>
        <v>2212</v>
      </c>
      <c r="M103" s="26">
        <f t="shared" si="45"/>
        <v>0</v>
      </c>
      <c r="N103" s="21">
        <f t="shared" si="45"/>
        <v>0</v>
      </c>
      <c r="O103" s="25">
        <f t="shared" si="45"/>
        <v>0</v>
      </c>
      <c r="P103" s="23">
        <f t="shared" si="45"/>
        <v>0</v>
      </c>
      <c r="Q103" s="26">
        <f t="shared" si="45"/>
        <v>0</v>
      </c>
      <c r="R103" s="36">
        <f t="shared" si="39"/>
        <v>9578</v>
      </c>
      <c r="S103" s="37">
        <f t="shared" si="40"/>
        <v>79</v>
      </c>
      <c r="T103" s="37">
        <f t="shared" si="41"/>
        <v>9657</v>
      </c>
      <c r="U103" s="38">
        <f t="shared" si="42"/>
        <v>1</v>
      </c>
    </row>
    <row r="104" spans="1:21">
      <c r="A104" s="16" t="s">
        <v>3</v>
      </c>
      <c r="B104" s="21">
        <f t="shared" ref="B104:Q104" si="46">B41+B73</f>
        <v>2234</v>
      </c>
      <c r="C104" s="25">
        <f t="shared" si="46"/>
        <v>29</v>
      </c>
      <c r="D104" s="23">
        <f t="shared" si="46"/>
        <v>2263</v>
      </c>
      <c r="E104" s="26">
        <f t="shared" si="46"/>
        <v>1</v>
      </c>
      <c r="F104" s="21">
        <f t="shared" si="46"/>
        <v>1059</v>
      </c>
      <c r="G104" s="25">
        <f t="shared" si="46"/>
        <v>10</v>
      </c>
      <c r="H104" s="23">
        <f t="shared" si="46"/>
        <v>1069</v>
      </c>
      <c r="I104" s="26">
        <f t="shared" si="46"/>
        <v>1</v>
      </c>
      <c r="J104" s="21">
        <f t="shared" si="46"/>
        <v>840</v>
      </c>
      <c r="K104" s="25">
        <f t="shared" si="46"/>
        <v>5</v>
      </c>
      <c r="L104" s="23">
        <f t="shared" si="46"/>
        <v>845</v>
      </c>
      <c r="M104" s="26">
        <f t="shared" si="46"/>
        <v>0</v>
      </c>
      <c r="N104" s="21">
        <f t="shared" si="46"/>
        <v>0</v>
      </c>
      <c r="O104" s="25">
        <f t="shared" si="46"/>
        <v>0</v>
      </c>
      <c r="P104" s="23">
        <f t="shared" si="46"/>
        <v>0</v>
      </c>
      <c r="Q104" s="26">
        <f t="shared" si="46"/>
        <v>0</v>
      </c>
      <c r="R104" s="36">
        <f t="shared" si="39"/>
        <v>4133</v>
      </c>
      <c r="S104" s="37">
        <f t="shared" si="40"/>
        <v>44</v>
      </c>
      <c r="T104" s="37">
        <f t="shared" si="41"/>
        <v>4177</v>
      </c>
      <c r="U104" s="38">
        <f t="shared" si="42"/>
        <v>2</v>
      </c>
    </row>
    <row r="105" spans="1:21">
      <c r="A105" s="16" t="s">
        <v>397</v>
      </c>
      <c r="B105" s="21">
        <f t="shared" ref="B105:Q105" si="47">B42+B74</f>
        <v>3247</v>
      </c>
      <c r="C105" s="25">
        <f t="shared" si="47"/>
        <v>9</v>
      </c>
      <c r="D105" s="23">
        <f t="shared" si="47"/>
        <v>3256</v>
      </c>
      <c r="E105" s="26">
        <f t="shared" si="47"/>
        <v>0</v>
      </c>
      <c r="F105" s="21">
        <f t="shared" si="47"/>
        <v>3135</v>
      </c>
      <c r="G105" s="25">
        <f t="shared" si="47"/>
        <v>20</v>
      </c>
      <c r="H105" s="23">
        <f t="shared" si="47"/>
        <v>3155</v>
      </c>
      <c r="I105" s="26">
        <f t="shared" si="47"/>
        <v>2</v>
      </c>
      <c r="J105" s="21">
        <f t="shared" si="47"/>
        <v>1215</v>
      </c>
      <c r="K105" s="25">
        <f t="shared" si="47"/>
        <v>22</v>
      </c>
      <c r="L105" s="23">
        <f t="shared" si="47"/>
        <v>1237</v>
      </c>
      <c r="M105" s="26">
        <f t="shared" si="47"/>
        <v>0</v>
      </c>
      <c r="N105" s="21">
        <f t="shared" si="47"/>
        <v>0</v>
      </c>
      <c r="O105" s="25">
        <f t="shared" si="47"/>
        <v>0</v>
      </c>
      <c r="P105" s="23">
        <f t="shared" si="47"/>
        <v>0</v>
      </c>
      <c r="Q105" s="26">
        <f t="shared" si="47"/>
        <v>0</v>
      </c>
      <c r="R105" s="36">
        <f t="shared" si="39"/>
        <v>7597</v>
      </c>
      <c r="S105" s="37">
        <f t="shared" si="40"/>
        <v>51</v>
      </c>
      <c r="T105" s="37">
        <f t="shared" si="41"/>
        <v>7648</v>
      </c>
      <c r="U105" s="38">
        <f t="shared" si="42"/>
        <v>2</v>
      </c>
    </row>
    <row r="106" spans="1:21">
      <c r="A106" s="16" t="s">
        <v>399</v>
      </c>
      <c r="B106" s="21">
        <f t="shared" ref="B106:Q106" si="48">B43+B75</f>
        <v>5103</v>
      </c>
      <c r="C106" s="25">
        <f t="shared" si="48"/>
        <v>54</v>
      </c>
      <c r="D106" s="23">
        <f t="shared" si="48"/>
        <v>5157</v>
      </c>
      <c r="E106" s="26">
        <f t="shared" si="48"/>
        <v>2</v>
      </c>
      <c r="F106" s="21">
        <f t="shared" si="48"/>
        <v>3324</v>
      </c>
      <c r="G106" s="25">
        <f t="shared" si="48"/>
        <v>12</v>
      </c>
      <c r="H106" s="23">
        <f t="shared" si="48"/>
        <v>3336</v>
      </c>
      <c r="I106" s="26">
        <f t="shared" si="48"/>
        <v>3</v>
      </c>
      <c r="J106" s="21">
        <f t="shared" si="48"/>
        <v>1495</v>
      </c>
      <c r="K106" s="25">
        <f t="shared" si="48"/>
        <v>2</v>
      </c>
      <c r="L106" s="23">
        <f t="shared" si="48"/>
        <v>1497</v>
      </c>
      <c r="M106" s="26">
        <f t="shared" si="48"/>
        <v>1</v>
      </c>
      <c r="N106" s="21">
        <f t="shared" si="48"/>
        <v>0</v>
      </c>
      <c r="O106" s="25">
        <f t="shared" si="48"/>
        <v>0</v>
      </c>
      <c r="P106" s="23">
        <f t="shared" si="48"/>
        <v>0</v>
      </c>
      <c r="Q106" s="26">
        <f t="shared" si="48"/>
        <v>0</v>
      </c>
      <c r="R106" s="36">
        <f t="shared" si="39"/>
        <v>9922</v>
      </c>
      <c r="S106" s="37">
        <f t="shared" si="40"/>
        <v>68</v>
      </c>
      <c r="T106" s="37">
        <f t="shared" si="41"/>
        <v>9990</v>
      </c>
      <c r="U106" s="38">
        <f t="shared" si="42"/>
        <v>6</v>
      </c>
    </row>
    <row r="107" spans="1:21">
      <c r="A107" s="16" t="s">
        <v>883</v>
      </c>
      <c r="B107" s="21">
        <f t="shared" ref="B107:Q107" si="49">B44+B76</f>
        <v>3876</v>
      </c>
      <c r="C107" s="25">
        <f t="shared" si="49"/>
        <v>21</v>
      </c>
      <c r="D107" s="23">
        <f t="shared" si="49"/>
        <v>3897</v>
      </c>
      <c r="E107" s="26">
        <f t="shared" si="49"/>
        <v>5</v>
      </c>
      <c r="F107" s="21">
        <f t="shared" si="49"/>
        <v>1668</v>
      </c>
      <c r="G107" s="25">
        <f t="shared" si="49"/>
        <v>7</v>
      </c>
      <c r="H107" s="23">
        <f t="shared" si="49"/>
        <v>1675</v>
      </c>
      <c r="I107" s="26">
        <f t="shared" si="49"/>
        <v>2</v>
      </c>
      <c r="J107" s="21">
        <f t="shared" si="49"/>
        <v>727</v>
      </c>
      <c r="K107" s="25">
        <f t="shared" si="49"/>
        <v>2</v>
      </c>
      <c r="L107" s="23">
        <f t="shared" si="49"/>
        <v>729</v>
      </c>
      <c r="M107" s="26">
        <f t="shared" si="49"/>
        <v>0</v>
      </c>
      <c r="N107" s="21">
        <f t="shared" si="49"/>
        <v>0</v>
      </c>
      <c r="O107" s="25">
        <f t="shared" si="49"/>
        <v>0</v>
      </c>
      <c r="P107" s="23">
        <f t="shared" si="49"/>
        <v>0</v>
      </c>
      <c r="Q107" s="26">
        <f t="shared" si="49"/>
        <v>0</v>
      </c>
      <c r="R107" s="36">
        <f t="shared" si="39"/>
        <v>6271</v>
      </c>
      <c r="S107" s="37">
        <f t="shared" si="40"/>
        <v>30</v>
      </c>
      <c r="T107" s="37">
        <f t="shared" si="41"/>
        <v>6301</v>
      </c>
      <c r="U107" s="38">
        <f t="shared" si="42"/>
        <v>7</v>
      </c>
    </row>
    <row r="108" spans="1:21">
      <c r="A108" s="16" t="s">
        <v>884</v>
      </c>
      <c r="B108" s="21">
        <f t="shared" ref="B108:Q108" si="50">B45+B77</f>
        <v>7357</v>
      </c>
      <c r="C108" s="25">
        <f t="shared" si="50"/>
        <v>53</v>
      </c>
      <c r="D108" s="23">
        <f t="shared" si="50"/>
        <v>7410</v>
      </c>
      <c r="E108" s="26">
        <f t="shared" si="50"/>
        <v>1</v>
      </c>
      <c r="F108" s="21">
        <f t="shared" si="50"/>
        <v>3350</v>
      </c>
      <c r="G108" s="25">
        <f t="shared" si="50"/>
        <v>21</v>
      </c>
      <c r="H108" s="23">
        <f t="shared" si="50"/>
        <v>3371</v>
      </c>
      <c r="I108" s="26">
        <f t="shared" si="50"/>
        <v>1</v>
      </c>
      <c r="J108" s="21">
        <f t="shared" si="50"/>
        <v>977</v>
      </c>
      <c r="K108" s="25">
        <f t="shared" si="50"/>
        <v>12</v>
      </c>
      <c r="L108" s="23">
        <f t="shared" si="50"/>
        <v>989</v>
      </c>
      <c r="M108" s="26">
        <f t="shared" si="50"/>
        <v>1</v>
      </c>
      <c r="N108" s="21">
        <f t="shared" si="50"/>
        <v>0</v>
      </c>
      <c r="O108" s="25">
        <f t="shared" si="50"/>
        <v>0</v>
      </c>
      <c r="P108" s="23">
        <f t="shared" si="50"/>
        <v>0</v>
      </c>
      <c r="Q108" s="26">
        <f t="shared" si="50"/>
        <v>0</v>
      </c>
      <c r="R108" s="36">
        <f t="shared" si="39"/>
        <v>11684</v>
      </c>
      <c r="S108" s="37">
        <f t="shared" si="40"/>
        <v>86</v>
      </c>
      <c r="T108" s="37">
        <f t="shared" si="41"/>
        <v>11770</v>
      </c>
      <c r="U108" s="38">
        <f t="shared" si="42"/>
        <v>3</v>
      </c>
    </row>
    <row r="109" spans="1:21" ht="13.8" thickBot="1">
      <c r="A109" s="16" t="s">
        <v>885</v>
      </c>
      <c r="B109" s="21">
        <f t="shared" ref="B109:Q109" si="51">B46+B78</f>
        <v>2758</v>
      </c>
      <c r="C109" s="25">
        <f t="shared" si="51"/>
        <v>22</v>
      </c>
      <c r="D109" s="23">
        <f t="shared" si="51"/>
        <v>2780</v>
      </c>
      <c r="E109" s="26">
        <f t="shared" si="51"/>
        <v>0</v>
      </c>
      <c r="F109" s="21">
        <f t="shared" si="51"/>
        <v>2399</v>
      </c>
      <c r="G109" s="25">
        <f t="shared" si="51"/>
        <v>13</v>
      </c>
      <c r="H109" s="23">
        <f t="shared" si="51"/>
        <v>2412</v>
      </c>
      <c r="I109" s="26">
        <f t="shared" si="51"/>
        <v>0</v>
      </c>
      <c r="J109" s="21">
        <f t="shared" si="51"/>
        <v>692</v>
      </c>
      <c r="K109" s="25">
        <f t="shared" si="51"/>
        <v>7</v>
      </c>
      <c r="L109" s="23">
        <f t="shared" si="51"/>
        <v>699</v>
      </c>
      <c r="M109" s="26">
        <f t="shared" si="51"/>
        <v>0</v>
      </c>
      <c r="N109" s="21">
        <f t="shared" si="51"/>
        <v>0</v>
      </c>
      <c r="O109" s="25">
        <f t="shared" si="51"/>
        <v>0</v>
      </c>
      <c r="P109" s="23">
        <f t="shared" si="51"/>
        <v>0</v>
      </c>
      <c r="Q109" s="26">
        <f t="shared" si="51"/>
        <v>0</v>
      </c>
      <c r="R109" s="36">
        <f t="shared" si="39"/>
        <v>5849</v>
      </c>
      <c r="S109" s="37">
        <f t="shared" si="40"/>
        <v>42</v>
      </c>
      <c r="T109" s="37">
        <f t="shared" si="41"/>
        <v>5891</v>
      </c>
      <c r="U109" s="38">
        <f t="shared" si="42"/>
        <v>0</v>
      </c>
    </row>
    <row r="110" spans="1:21" ht="13.8" thickBot="1">
      <c r="A110" s="11" t="s">
        <v>16</v>
      </c>
      <c r="B110" s="22">
        <f t="shared" ref="B110:U110" si="52">SUM(B100:B109)</f>
        <v>44552</v>
      </c>
      <c r="C110" s="24">
        <f t="shared" si="52"/>
        <v>403</v>
      </c>
      <c r="D110" s="24">
        <f t="shared" si="52"/>
        <v>44955</v>
      </c>
      <c r="E110" s="27">
        <f t="shared" si="52"/>
        <v>16</v>
      </c>
      <c r="F110" s="22">
        <f t="shared" si="52"/>
        <v>26320</v>
      </c>
      <c r="G110" s="24">
        <f t="shared" si="52"/>
        <v>165</v>
      </c>
      <c r="H110" s="24">
        <f t="shared" si="52"/>
        <v>26485</v>
      </c>
      <c r="I110" s="27">
        <f t="shared" si="52"/>
        <v>19</v>
      </c>
      <c r="J110" s="22">
        <f t="shared" si="52"/>
        <v>13150</v>
      </c>
      <c r="K110" s="24">
        <f t="shared" si="52"/>
        <v>79</v>
      </c>
      <c r="L110" s="24">
        <f t="shared" si="52"/>
        <v>13229</v>
      </c>
      <c r="M110" s="27">
        <f t="shared" si="52"/>
        <v>4</v>
      </c>
      <c r="N110" s="22">
        <f t="shared" si="52"/>
        <v>0</v>
      </c>
      <c r="O110" s="24">
        <f t="shared" si="52"/>
        <v>0</v>
      </c>
      <c r="P110" s="24">
        <f t="shared" si="52"/>
        <v>0</v>
      </c>
      <c r="Q110" s="27">
        <f t="shared" si="52"/>
        <v>0</v>
      </c>
      <c r="R110" s="39">
        <f t="shared" si="52"/>
        <v>84022</v>
      </c>
      <c r="S110" s="39">
        <f t="shared" si="52"/>
        <v>647</v>
      </c>
      <c r="T110" s="39">
        <f t="shared" si="52"/>
        <v>84669</v>
      </c>
      <c r="U110" s="39">
        <f t="shared" si="52"/>
        <v>39</v>
      </c>
    </row>
    <row r="112" spans="1:21" ht="18" thickBot="1">
      <c r="A112" s="2">
        <f>A81</f>
        <v>2022</v>
      </c>
    </row>
    <row r="113" spans="1:21">
      <c r="A113" s="3429" t="s">
        <v>0</v>
      </c>
      <c r="B113" s="3423" t="s">
        <v>269</v>
      </c>
      <c r="C113" s="3424"/>
      <c r="D113" s="3424"/>
      <c r="E113" s="3425"/>
      <c r="F113" s="3426" t="s">
        <v>270</v>
      </c>
      <c r="G113" s="3427"/>
      <c r="H113" s="3427"/>
      <c r="I113" s="3428"/>
      <c r="J113" s="3420" t="s">
        <v>271</v>
      </c>
      <c r="K113" s="3421"/>
      <c r="L113" s="3421"/>
      <c r="M113" s="3422"/>
      <c r="N113" s="3415" t="s">
        <v>272</v>
      </c>
      <c r="O113" s="3416"/>
      <c r="P113" s="3416"/>
      <c r="Q113" s="3417"/>
      <c r="R113" s="3418" t="s">
        <v>83</v>
      </c>
      <c r="S113" s="3418"/>
      <c r="T113" s="3418"/>
      <c r="U113" s="3419"/>
    </row>
    <row r="114" spans="1:21" ht="13.8" thickBot="1">
      <c r="A114" s="3430"/>
      <c r="B114" s="3" t="s">
        <v>17</v>
      </c>
      <c r="C114" s="4" t="s">
        <v>18</v>
      </c>
      <c r="D114" s="4" t="s">
        <v>56</v>
      </c>
      <c r="E114" s="5" t="s">
        <v>21</v>
      </c>
      <c r="F114" s="3" t="s">
        <v>17</v>
      </c>
      <c r="G114" s="4" t="s">
        <v>18</v>
      </c>
      <c r="H114" s="4" t="s">
        <v>56</v>
      </c>
      <c r="I114" s="5" t="s">
        <v>21</v>
      </c>
      <c r="J114" s="3" t="s">
        <v>17</v>
      </c>
      <c r="K114" s="4" t="s">
        <v>18</v>
      </c>
      <c r="L114" s="4" t="s">
        <v>56</v>
      </c>
      <c r="M114" s="5" t="s">
        <v>21</v>
      </c>
      <c r="N114" s="3" t="s">
        <v>17</v>
      </c>
      <c r="O114" s="4" t="s">
        <v>18</v>
      </c>
      <c r="P114" s="4" t="s">
        <v>56</v>
      </c>
      <c r="Q114" s="5" t="s">
        <v>21</v>
      </c>
      <c r="R114" s="4" t="s">
        <v>17</v>
      </c>
      <c r="S114" s="4" t="s">
        <v>18</v>
      </c>
      <c r="T114" s="4" t="s">
        <v>56</v>
      </c>
      <c r="U114" s="6" t="s">
        <v>21</v>
      </c>
    </row>
    <row r="115" spans="1:21">
      <c r="A115" s="16" t="s">
        <v>68</v>
      </c>
      <c r="B115" s="21">
        <f t="shared" ref="B115:Q115" si="53">B52+B84</f>
        <v>6510</v>
      </c>
      <c r="C115" s="25">
        <f t="shared" si="53"/>
        <v>26</v>
      </c>
      <c r="D115" s="23">
        <f t="shared" si="53"/>
        <v>6536</v>
      </c>
      <c r="E115" s="26">
        <f t="shared" si="53"/>
        <v>1</v>
      </c>
      <c r="F115" s="21">
        <f t="shared" si="53"/>
        <v>4441</v>
      </c>
      <c r="G115" s="25">
        <f t="shared" si="53"/>
        <v>7</v>
      </c>
      <c r="H115" s="23">
        <f t="shared" si="53"/>
        <v>4448</v>
      </c>
      <c r="I115" s="26">
        <f t="shared" si="53"/>
        <v>1</v>
      </c>
      <c r="J115" s="21">
        <f t="shared" si="53"/>
        <v>2417</v>
      </c>
      <c r="K115" s="25">
        <f t="shared" si="53"/>
        <v>2</v>
      </c>
      <c r="L115" s="23">
        <f t="shared" si="53"/>
        <v>2419</v>
      </c>
      <c r="M115" s="26">
        <f t="shared" si="53"/>
        <v>2</v>
      </c>
      <c r="N115" s="21">
        <f t="shared" si="53"/>
        <v>0</v>
      </c>
      <c r="O115" s="25">
        <f t="shared" si="53"/>
        <v>0</v>
      </c>
      <c r="P115" s="23">
        <f t="shared" si="53"/>
        <v>0</v>
      </c>
      <c r="Q115" s="26">
        <f t="shared" si="53"/>
        <v>0</v>
      </c>
      <c r="R115" s="33">
        <f t="shared" ref="R115:R124" si="54">B115+F115+J115+N115</f>
        <v>13368</v>
      </c>
      <c r="S115" s="34">
        <f t="shared" ref="S115:S124" si="55">C115+G115+K115+O115</f>
        <v>35</v>
      </c>
      <c r="T115" s="34">
        <f t="shared" ref="T115:T124" si="56">D115+H115+L115+P115</f>
        <v>13403</v>
      </c>
      <c r="U115" s="35">
        <f t="shared" ref="U115:U124" si="57">E115+I115+M115+Q115</f>
        <v>4</v>
      </c>
    </row>
    <row r="116" spans="1:21">
      <c r="A116" s="16" t="s">
        <v>7</v>
      </c>
      <c r="B116" s="21">
        <f t="shared" ref="B116:Q116" si="58">B53+B85</f>
        <v>3254</v>
      </c>
      <c r="C116" s="25">
        <f t="shared" si="58"/>
        <v>48</v>
      </c>
      <c r="D116" s="23">
        <f t="shared" si="58"/>
        <v>3302</v>
      </c>
      <c r="E116" s="26">
        <f t="shared" si="58"/>
        <v>3</v>
      </c>
      <c r="F116" s="21">
        <f t="shared" si="58"/>
        <v>1611</v>
      </c>
      <c r="G116" s="25">
        <f t="shared" si="58"/>
        <v>40</v>
      </c>
      <c r="H116" s="23">
        <f t="shared" si="58"/>
        <v>1651</v>
      </c>
      <c r="I116" s="26">
        <f t="shared" si="58"/>
        <v>2</v>
      </c>
      <c r="J116" s="21">
        <f t="shared" si="58"/>
        <v>807</v>
      </c>
      <c r="K116" s="25">
        <f t="shared" si="58"/>
        <v>10</v>
      </c>
      <c r="L116" s="23">
        <f t="shared" si="58"/>
        <v>817</v>
      </c>
      <c r="M116" s="26">
        <f t="shared" si="58"/>
        <v>0</v>
      </c>
      <c r="N116" s="21">
        <f t="shared" si="58"/>
        <v>0</v>
      </c>
      <c r="O116" s="25">
        <f t="shared" si="58"/>
        <v>0</v>
      </c>
      <c r="P116" s="23">
        <f t="shared" si="58"/>
        <v>0</v>
      </c>
      <c r="Q116" s="26">
        <f t="shared" si="58"/>
        <v>0</v>
      </c>
      <c r="R116" s="36">
        <f t="shared" si="54"/>
        <v>5672</v>
      </c>
      <c r="S116" s="37">
        <f t="shared" si="55"/>
        <v>98</v>
      </c>
      <c r="T116" s="37">
        <f t="shared" si="56"/>
        <v>5770</v>
      </c>
      <c r="U116" s="38">
        <f t="shared" si="57"/>
        <v>5</v>
      </c>
    </row>
    <row r="117" spans="1:21">
      <c r="A117" s="16" t="s">
        <v>8</v>
      </c>
      <c r="B117" s="21">
        <f t="shared" ref="B117:Q117" si="59">B54+B86</f>
        <v>4367</v>
      </c>
      <c r="C117" s="25">
        <f t="shared" si="59"/>
        <v>62</v>
      </c>
      <c r="D117" s="23">
        <f t="shared" si="59"/>
        <v>4429</v>
      </c>
      <c r="E117" s="26">
        <f t="shared" si="59"/>
        <v>9</v>
      </c>
      <c r="F117" s="21">
        <f t="shared" si="59"/>
        <v>2408</v>
      </c>
      <c r="G117" s="25">
        <f t="shared" si="59"/>
        <v>19</v>
      </c>
      <c r="H117" s="23">
        <f t="shared" si="59"/>
        <v>2427</v>
      </c>
      <c r="I117" s="26">
        <f t="shared" si="59"/>
        <v>0</v>
      </c>
      <c r="J117" s="21">
        <f t="shared" si="59"/>
        <v>1486</v>
      </c>
      <c r="K117" s="25">
        <f t="shared" si="59"/>
        <v>13</v>
      </c>
      <c r="L117" s="23">
        <f t="shared" si="59"/>
        <v>1499</v>
      </c>
      <c r="M117" s="26">
        <f t="shared" si="59"/>
        <v>0</v>
      </c>
      <c r="N117" s="21">
        <f t="shared" si="59"/>
        <v>0</v>
      </c>
      <c r="O117" s="25">
        <f t="shared" si="59"/>
        <v>0</v>
      </c>
      <c r="P117" s="23">
        <f t="shared" si="59"/>
        <v>0</v>
      </c>
      <c r="Q117" s="26">
        <f t="shared" si="59"/>
        <v>0</v>
      </c>
      <c r="R117" s="36">
        <f t="shared" si="54"/>
        <v>8261</v>
      </c>
      <c r="S117" s="37">
        <f t="shared" si="55"/>
        <v>94</v>
      </c>
      <c r="T117" s="37">
        <f t="shared" si="56"/>
        <v>8355</v>
      </c>
      <c r="U117" s="38">
        <f t="shared" si="57"/>
        <v>9</v>
      </c>
    </row>
    <row r="118" spans="1:21">
      <c r="A118" s="16" t="s">
        <v>4</v>
      </c>
      <c r="B118" s="21">
        <f t="shared" ref="B118:Q118" si="60">B55+B87</f>
        <v>5718</v>
      </c>
      <c r="C118" s="25">
        <f t="shared" si="60"/>
        <v>63</v>
      </c>
      <c r="D118" s="23">
        <f t="shared" si="60"/>
        <v>5781</v>
      </c>
      <c r="E118" s="26">
        <f t="shared" si="60"/>
        <v>1</v>
      </c>
      <c r="F118" s="21">
        <f t="shared" si="60"/>
        <v>4132</v>
      </c>
      <c r="G118" s="25">
        <f t="shared" si="60"/>
        <v>37</v>
      </c>
      <c r="H118" s="23">
        <f t="shared" si="60"/>
        <v>4169</v>
      </c>
      <c r="I118" s="26">
        <f t="shared" si="60"/>
        <v>3</v>
      </c>
      <c r="J118" s="21">
        <f t="shared" si="60"/>
        <v>2343</v>
      </c>
      <c r="K118" s="25">
        <f t="shared" si="60"/>
        <v>8</v>
      </c>
      <c r="L118" s="23">
        <f t="shared" si="60"/>
        <v>2351</v>
      </c>
      <c r="M118" s="26">
        <f t="shared" si="60"/>
        <v>3</v>
      </c>
      <c r="N118" s="21">
        <f t="shared" si="60"/>
        <v>0</v>
      </c>
      <c r="O118" s="25">
        <f t="shared" si="60"/>
        <v>0</v>
      </c>
      <c r="P118" s="23">
        <f t="shared" si="60"/>
        <v>0</v>
      </c>
      <c r="Q118" s="26">
        <f t="shared" si="60"/>
        <v>0</v>
      </c>
      <c r="R118" s="36">
        <f t="shared" si="54"/>
        <v>12193</v>
      </c>
      <c r="S118" s="37">
        <f t="shared" si="55"/>
        <v>108</v>
      </c>
      <c r="T118" s="37">
        <f t="shared" si="56"/>
        <v>12301</v>
      </c>
      <c r="U118" s="38">
        <f t="shared" si="57"/>
        <v>7</v>
      </c>
    </row>
    <row r="119" spans="1:21">
      <c r="A119" s="16" t="s">
        <v>3</v>
      </c>
      <c r="B119" s="21">
        <f t="shared" ref="B119:Q119" si="61">B56+B88</f>
        <v>1656</v>
      </c>
      <c r="C119" s="25">
        <f t="shared" si="61"/>
        <v>41</v>
      </c>
      <c r="D119" s="23">
        <f t="shared" si="61"/>
        <v>1697</v>
      </c>
      <c r="E119" s="26">
        <f t="shared" si="61"/>
        <v>0</v>
      </c>
      <c r="F119" s="21">
        <f t="shared" si="61"/>
        <v>1050</v>
      </c>
      <c r="G119" s="25">
        <f t="shared" si="61"/>
        <v>14</v>
      </c>
      <c r="H119" s="23">
        <f t="shared" si="61"/>
        <v>1064</v>
      </c>
      <c r="I119" s="26">
        <f t="shared" si="61"/>
        <v>2</v>
      </c>
      <c r="J119" s="21">
        <f t="shared" si="61"/>
        <v>869</v>
      </c>
      <c r="K119" s="25">
        <f t="shared" si="61"/>
        <v>6</v>
      </c>
      <c r="L119" s="23">
        <f t="shared" si="61"/>
        <v>875</v>
      </c>
      <c r="M119" s="26">
        <f t="shared" si="61"/>
        <v>0</v>
      </c>
      <c r="N119" s="21">
        <f t="shared" si="61"/>
        <v>0</v>
      </c>
      <c r="O119" s="25">
        <f t="shared" si="61"/>
        <v>0</v>
      </c>
      <c r="P119" s="23">
        <f t="shared" si="61"/>
        <v>0</v>
      </c>
      <c r="Q119" s="26">
        <f t="shared" si="61"/>
        <v>0</v>
      </c>
      <c r="R119" s="36">
        <f t="shared" si="54"/>
        <v>3575</v>
      </c>
      <c r="S119" s="37">
        <f t="shared" si="55"/>
        <v>61</v>
      </c>
      <c r="T119" s="37">
        <f t="shared" si="56"/>
        <v>3636</v>
      </c>
      <c r="U119" s="38">
        <f t="shared" si="57"/>
        <v>2</v>
      </c>
    </row>
    <row r="120" spans="1:21">
      <c r="A120" s="16" t="s">
        <v>397</v>
      </c>
      <c r="B120" s="21">
        <f t="shared" ref="B120:Q120" si="62">B57+B89</f>
        <v>2792</v>
      </c>
      <c r="C120" s="25">
        <f t="shared" si="62"/>
        <v>15</v>
      </c>
      <c r="D120" s="23">
        <f t="shared" si="62"/>
        <v>2807</v>
      </c>
      <c r="E120" s="26">
        <f t="shared" si="62"/>
        <v>1</v>
      </c>
      <c r="F120" s="21">
        <f t="shared" si="62"/>
        <v>1956</v>
      </c>
      <c r="G120" s="25">
        <f t="shared" si="62"/>
        <v>10</v>
      </c>
      <c r="H120" s="23">
        <f t="shared" si="62"/>
        <v>1966</v>
      </c>
      <c r="I120" s="26">
        <f t="shared" si="62"/>
        <v>2</v>
      </c>
      <c r="J120" s="21">
        <f t="shared" si="62"/>
        <v>1231</v>
      </c>
      <c r="K120" s="25">
        <f t="shared" si="62"/>
        <v>3</v>
      </c>
      <c r="L120" s="23">
        <f t="shared" si="62"/>
        <v>1234</v>
      </c>
      <c r="M120" s="26">
        <f t="shared" si="62"/>
        <v>1</v>
      </c>
      <c r="N120" s="21">
        <f t="shared" si="62"/>
        <v>0</v>
      </c>
      <c r="O120" s="25">
        <f t="shared" si="62"/>
        <v>0</v>
      </c>
      <c r="P120" s="23">
        <f t="shared" si="62"/>
        <v>0</v>
      </c>
      <c r="Q120" s="26">
        <f t="shared" si="62"/>
        <v>0</v>
      </c>
      <c r="R120" s="36">
        <f t="shared" si="54"/>
        <v>5979</v>
      </c>
      <c r="S120" s="37">
        <f t="shared" si="55"/>
        <v>28</v>
      </c>
      <c r="T120" s="37">
        <f t="shared" si="56"/>
        <v>6007</v>
      </c>
      <c r="U120" s="38">
        <f t="shared" si="57"/>
        <v>4</v>
      </c>
    </row>
    <row r="121" spans="1:21">
      <c r="A121" s="16" t="s">
        <v>399</v>
      </c>
      <c r="B121" s="21">
        <f t="shared" ref="B121:Q121" si="63">B58+B90</f>
        <v>4569</v>
      </c>
      <c r="C121" s="25">
        <f t="shared" si="63"/>
        <v>28</v>
      </c>
      <c r="D121" s="23">
        <f t="shared" si="63"/>
        <v>4597</v>
      </c>
      <c r="E121" s="26">
        <f t="shared" si="63"/>
        <v>1</v>
      </c>
      <c r="F121" s="21">
        <f t="shared" si="63"/>
        <v>3833</v>
      </c>
      <c r="G121" s="25">
        <f t="shared" si="63"/>
        <v>15</v>
      </c>
      <c r="H121" s="23">
        <f t="shared" si="63"/>
        <v>3848</v>
      </c>
      <c r="I121" s="26">
        <f t="shared" si="63"/>
        <v>4</v>
      </c>
      <c r="J121" s="21">
        <f t="shared" si="63"/>
        <v>2232</v>
      </c>
      <c r="K121" s="25">
        <f t="shared" si="63"/>
        <v>2</v>
      </c>
      <c r="L121" s="23">
        <f t="shared" si="63"/>
        <v>2234</v>
      </c>
      <c r="M121" s="26">
        <f t="shared" si="63"/>
        <v>4</v>
      </c>
      <c r="N121" s="21">
        <f t="shared" si="63"/>
        <v>0</v>
      </c>
      <c r="O121" s="25">
        <f t="shared" si="63"/>
        <v>0</v>
      </c>
      <c r="P121" s="23">
        <f t="shared" si="63"/>
        <v>0</v>
      </c>
      <c r="Q121" s="26">
        <f t="shared" si="63"/>
        <v>0</v>
      </c>
      <c r="R121" s="36">
        <f t="shared" si="54"/>
        <v>10634</v>
      </c>
      <c r="S121" s="37">
        <f t="shared" si="55"/>
        <v>45</v>
      </c>
      <c r="T121" s="37">
        <f t="shared" si="56"/>
        <v>10679</v>
      </c>
      <c r="U121" s="38">
        <f t="shared" si="57"/>
        <v>9</v>
      </c>
    </row>
    <row r="122" spans="1:21">
      <c r="A122" s="16" t="s">
        <v>883</v>
      </c>
      <c r="B122" s="21">
        <f t="shared" ref="B122:Q122" si="64">B59+B91</f>
        <v>2217</v>
      </c>
      <c r="C122" s="25">
        <f t="shared" si="64"/>
        <v>14</v>
      </c>
      <c r="D122" s="23">
        <f t="shared" si="64"/>
        <v>2231</v>
      </c>
      <c r="E122" s="26">
        <f t="shared" si="64"/>
        <v>1</v>
      </c>
      <c r="F122" s="21">
        <f t="shared" si="64"/>
        <v>1627</v>
      </c>
      <c r="G122" s="25">
        <f t="shared" si="64"/>
        <v>8</v>
      </c>
      <c r="H122" s="23">
        <f t="shared" si="64"/>
        <v>1635</v>
      </c>
      <c r="I122" s="26">
        <f t="shared" si="64"/>
        <v>3</v>
      </c>
      <c r="J122" s="21">
        <f t="shared" si="64"/>
        <v>820</v>
      </c>
      <c r="K122" s="25">
        <f t="shared" si="64"/>
        <v>5</v>
      </c>
      <c r="L122" s="23">
        <f t="shared" si="64"/>
        <v>825</v>
      </c>
      <c r="M122" s="26">
        <f t="shared" si="64"/>
        <v>0</v>
      </c>
      <c r="N122" s="21">
        <f t="shared" si="64"/>
        <v>0</v>
      </c>
      <c r="O122" s="25">
        <f t="shared" si="64"/>
        <v>0</v>
      </c>
      <c r="P122" s="23">
        <f t="shared" si="64"/>
        <v>0</v>
      </c>
      <c r="Q122" s="26">
        <f t="shared" si="64"/>
        <v>0</v>
      </c>
      <c r="R122" s="36">
        <f t="shared" si="54"/>
        <v>4664</v>
      </c>
      <c r="S122" s="37">
        <f t="shared" si="55"/>
        <v>27</v>
      </c>
      <c r="T122" s="37">
        <f t="shared" si="56"/>
        <v>4691</v>
      </c>
      <c r="U122" s="38">
        <f t="shared" si="57"/>
        <v>4</v>
      </c>
    </row>
    <row r="123" spans="1:21">
      <c r="A123" s="16" t="s">
        <v>884</v>
      </c>
      <c r="B123" s="21">
        <f t="shared" ref="B123:Q123" si="65">B60+B92</f>
        <v>4643</v>
      </c>
      <c r="C123" s="25">
        <f t="shared" si="65"/>
        <v>57</v>
      </c>
      <c r="D123" s="23">
        <f t="shared" si="65"/>
        <v>4700</v>
      </c>
      <c r="E123" s="26">
        <f t="shared" si="65"/>
        <v>1</v>
      </c>
      <c r="F123" s="21">
        <f t="shared" si="65"/>
        <v>2298</v>
      </c>
      <c r="G123" s="25">
        <f t="shared" si="65"/>
        <v>37</v>
      </c>
      <c r="H123" s="23">
        <f t="shared" si="65"/>
        <v>2335</v>
      </c>
      <c r="I123" s="26">
        <f t="shared" si="65"/>
        <v>1</v>
      </c>
      <c r="J123" s="21">
        <f t="shared" si="65"/>
        <v>1954</v>
      </c>
      <c r="K123" s="25">
        <f t="shared" si="65"/>
        <v>9</v>
      </c>
      <c r="L123" s="23">
        <f t="shared" si="65"/>
        <v>1963</v>
      </c>
      <c r="M123" s="26">
        <f t="shared" si="65"/>
        <v>3</v>
      </c>
      <c r="N123" s="21">
        <f t="shared" si="65"/>
        <v>0</v>
      </c>
      <c r="O123" s="25">
        <f t="shared" si="65"/>
        <v>0</v>
      </c>
      <c r="P123" s="23">
        <f t="shared" si="65"/>
        <v>0</v>
      </c>
      <c r="Q123" s="26">
        <f t="shared" si="65"/>
        <v>0</v>
      </c>
      <c r="R123" s="36">
        <f t="shared" si="54"/>
        <v>8895</v>
      </c>
      <c r="S123" s="37">
        <f t="shared" si="55"/>
        <v>103</v>
      </c>
      <c r="T123" s="37">
        <f t="shared" si="56"/>
        <v>8998</v>
      </c>
      <c r="U123" s="38">
        <f t="shared" si="57"/>
        <v>5</v>
      </c>
    </row>
    <row r="124" spans="1:21" ht="13.8" thickBot="1">
      <c r="A124" s="16" t="s">
        <v>885</v>
      </c>
      <c r="B124" s="21">
        <f t="shared" ref="B124:Q124" si="66">B61+B93</f>
        <v>2111</v>
      </c>
      <c r="C124" s="25">
        <f t="shared" si="66"/>
        <v>17</v>
      </c>
      <c r="D124" s="23">
        <f t="shared" si="66"/>
        <v>2128</v>
      </c>
      <c r="E124" s="26">
        <f t="shared" si="66"/>
        <v>0</v>
      </c>
      <c r="F124" s="21">
        <f t="shared" si="66"/>
        <v>2137</v>
      </c>
      <c r="G124" s="25">
        <f t="shared" si="66"/>
        <v>9</v>
      </c>
      <c r="H124" s="23">
        <f t="shared" si="66"/>
        <v>2146</v>
      </c>
      <c r="I124" s="26">
        <f t="shared" si="66"/>
        <v>1</v>
      </c>
      <c r="J124" s="21">
        <f t="shared" si="66"/>
        <v>406</v>
      </c>
      <c r="K124" s="25">
        <f t="shared" si="66"/>
        <v>2</v>
      </c>
      <c r="L124" s="23">
        <f t="shared" si="66"/>
        <v>408</v>
      </c>
      <c r="M124" s="26">
        <f t="shared" si="66"/>
        <v>0</v>
      </c>
      <c r="N124" s="21">
        <f t="shared" si="66"/>
        <v>0</v>
      </c>
      <c r="O124" s="25">
        <f t="shared" si="66"/>
        <v>0</v>
      </c>
      <c r="P124" s="23">
        <f t="shared" si="66"/>
        <v>0</v>
      </c>
      <c r="Q124" s="26">
        <f t="shared" si="66"/>
        <v>0</v>
      </c>
      <c r="R124" s="36">
        <f t="shared" si="54"/>
        <v>4654</v>
      </c>
      <c r="S124" s="37">
        <f t="shared" si="55"/>
        <v>28</v>
      </c>
      <c r="T124" s="37">
        <f t="shared" si="56"/>
        <v>4682</v>
      </c>
      <c r="U124" s="38">
        <f t="shared" si="57"/>
        <v>1</v>
      </c>
    </row>
    <row r="125" spans="1:21" ht="13.8" thickBot="1">
      <c r="A125" s="11" t="s">
        <v>16</v>
      </c>
      <c r="B125" s="22">
        <f t="shared" ref="B125:U125" si="67">SUM(B115:B124)</f>
        <v>37837</v>
      </c>
      <c r="C125" s="24">
        <f t="shared" si="67"/>
        <v>371</v>
      </c>
      <c r="D125" s="24">
        <f t="shared" si="67"/>
        <v>38208</v>
      </c>
      <c r="E125" s="27">
        <f t="shared" si="67"/>
        <v>18</v>
      </c>
      <c r="F125" s="22">
        <f t="shared" si="67"/>
        <v>25493</v>
      </c>
      <c r="G125" s="24">
        <f t="shared" si="67"/>
        <v>196</v>
      </c>
      <c r="H125" s="24">
        <f t="shared" si="67"/>
        <v>25689</v>
      </c>
      <c r="I125" s="27">
        <f t="shared" si="67"/>
        <v>19</v>
      </c>
      <c r="J125" s="22">
        <f t="shared" si="67"/>
        <v>14565</v>
      </c>
      <c r="K125" s="24">
        <f t="shared" si="67"/>
        <v>60</v>
      </c>
      <c r="L125" s="24">
        <f t="shared" si="67"/>
        <v>14625</v>
      </c>
      <c r="M125" s="27">
        <f t="shared" si="67"/>
        <v>13</v>
      </c>
      <c r="N125" s="22">
        <f t="shared" si="67"/>
        <v>0</v>
      </c>
      <c r="O125" s="24">
        <f t="shared" si="67"/>
        <v>0</v>
      </c>
      <c r="P125" s="24">
        <f t="shared" si="67"/>
        <v>0</v>
      </c>
      <c r="Q125" s="27">
        <f t="shared" si="67"/>
        <v>0</v>
      </c>
      <c r="R125" s="39">
        <f t="shared" si="67"/>
        <v>77895</v>
      </c>
      <c r="S125" s="39">
        <f t="shared" si="67"/>
        <v>627</v>
      </c>
      <c r="T125" s="39">
        <f t="shared" si="67"/>
        <v>78522</v>
      </c>
      <c r="U125" s="39">
        <f t="shared" si="67"/>
        <v>50</v>
      </c>
    </row>
    <row r="127" spans="1:21" ht="17.399999999999999">
      <c r="A127" s="15" t="s">
        <v>863</v>
      </c>
    </row>
    <row r="128" spans="1:21" ht="18" thickBot="1">
      <c r="A128" s="2">
        <f>A97</f>
        <v>2021</v>
      </c>
    </row>
    <row r="129" spans="1:21">
      <c r="A129" s="3429" t="s">
        <v>0</v>
      </c>
      <c r="B129" s="3423" t="s">
        <v>269</v>
      </c>
      <c r="C129" s="3424"/>
      <c r="D129" s="3424"/>
      <c r="E129" s="3425"/>
      <c r="F129" s="3426" t="s">
        <v>270</v>
      </c>
      <c r="G129" s="3427"/>
      <c r="H129" s="3427"/>
      <c r="I129" s="3428"/>
      <c r="J129" s="3420" t="s">
        <v>271</v>
      </c>
      <c r="K129" s="3421"/>
      <c r="L129" s="3421"/>
      <c r="M129" s="3422"/>
      <c r="N129" s="3415" t="s">
        <v>272</v>
      </c>
      <c r="O129" s="3416"/>
      <c r="P129" s="3416"/>
      <c r="Q129" s="3417"/>
      <c r="R129" s="3418" t="s">
        <v>83</v>
      </c>
      <c r="S129" s="3418"/>
      <c r="T129" s="3418"/>
      <c r="U129" s="3419"/>
    </row>
    <row r="130" spans="1:21" ht="13.8" thickBot="1">
      <c r="A130" s="3430"/>
      <c r="B130" s="3" t="s">
        <v>17</v>
      </c>
      <c r="C130" s="4" t="s">
        <v>18</v>
      </c>
      <c r="D130" s="4" t="s">
        <v>56</v>
      </c>
      <c r="E130" s="5" t="s">
        <v>21</v>
      </c>
      <c r="F130" s="3" t="s">
        <v>17</v>
      </c>
      <c r="G130" s="4" t="s">
        <v>18</v>
      </c>
      <c r="H130" s="4" t="s">
        <v>56</v>
      </c>
      <c r="I130" s="5" t="s">
        <v>21</v>
      </c>
      <c r="J130" s="3" t="s">
        <v>17</v>
      </c>
      <c r="K130" s="4" t="s">
        <v>18</v>
      </c>
      <c r="L130" s="4" t="s">
        <v>56</v>
      </c>
      <c r="M130" s="5" t="s">
        <v>21</v>
      </c>
      <c r="N130" s="3" t="s">
        <v>17</v>
      </c>
      <c r="O130" s="4" t="s">
        <v>18</v>
      </c>
      <c r="P130" s="4" t="s">
        <v>56</v>
      </c>
      <c r="Q130" s="5" t="s">
        <v>21</v>
      </c>
      <c r="R130" s="4" t="s">
        <v>17</v>
      </c>
      <c r="S130" s="4" t="s">
        <v>18</v>
      </c>
      <c r="T130" s="4" t="s">
        <v>56</v>
      </c>
      <c r="U130" s="6" t="s">
        <v>21</v>
      </c>
    </row>
    <row r="131" spans="1:21">
      <c r="A131" s="16" t="s">
        <v>68</v>
      </c>
      <c r="B131" s="21">
        <f>gaz!B133+gaz!F133+gaz!J133</f>
        <v>0</v>
      </c>
      <c r="C131" s="25">
        <f>gaz!C133+gaz!G133+gaz!K133</f>
        <v>0</v>
      </c>
      <c r="D131" s="23">
        <f>gaz!D133+gaz!H133+gaz!L133</f>
        <v>0</v>
      </c>
      <c r="E131" s="26">
        <f>gaz!E133+gaz!I133+gaz!M133</f>
        <v>0</v>
      </c>
      <c r="F131" s="21">
        <f>gaz!N133+gaz!R133+gaz!V133</f>
        <v>0</v>
      </c>
      <c r="G131" s="25">
        <f>gaz!O133+gaz!S133+gaz!W133</f>
        <v>0</v>
      </c>
      <c r="H131" s="23">
        <f>gaz!P133+gaz!T133+gaz!X133</f>
        <v>0</v>
      </c>
      <c r="I131" s="26">
        <f>gaz!Q133+gaz!U133+gaz!Y133</f>
        <v>0</v>
      </c>
      <c r="J131" s="21">
        <f>gaz!Z133+gaz!AD133+gaz!AH133</f>
        <v>0</v>
      </c>
      <c r="K131" s="25">
        <f>gaz!AA133+gaz!AE133+gaz!AI133</f>
        <v>0</v>
      </c>
      <c r="L131" s="23">
        <f>gaz!AB133+gaz!AF133+gaz!AJ133</f>
        <v>0</v>
      </c>
      <c r="M131" s="26">
        <f>gaz!AC133+gaz!AG133+gaz!AK133</f>
        <v>0</v>
      </c>
      <c r="N131" s="21">
        <f>gaz!AL133+gaz!AP133+gaz!AT133</f>
        <v>0</v>
      </c>
      <c r="O131" s="25">
        <f>gaz!AM133+gaz!AQ133+gaz!AU133</f>
        <v>0</v>
      </c>
      <c r="P131" s="23">
        <f>gaz!AN133+gaz!AR133+gaz!AV133</f>
        <v>0</v>
      </c>
      <c r="Q131" s="26">
        <f>gaz!AO133+gaz!AS133+gaz!AW133</f>
        <v>0</v>
      </c>
      <c r="R131" s="33">
        <f t="shared" ref="R131:R140" si="68">B131+F131+J131+N131</f>
        <v>0</v>
      </c>
      <c r="S131" s="34">
        <f t="shared" ref="S131:S140" si="69">C131+G131+K131+O131</f>
        <v>0</v>
      </c>
      <c r="T131" s="34">
        <f t="shared" ref="T131:T140" si="70">D131+H131+L131+P131</f>
        <v>0</v>
      </c>
      <c r="U131" s="35">
        <f t="shared" ref="U131:U140" si="71">E131+I131+M131+Q131</f>
        <v>0</v>
      </c>
    </row>
    <row r="132" spans="1:21">
      <c r="A132" s="16" t="s">
        <v>7</v>
      </c>
      <c r="B132" s="21">
        <f>gaz!B134+gaz!F134+gaz!J134</f>
        <v>21</v>
      </c>
      <c r="C132" s="25">
        <f>gaz!C134+gaz!G134+gaz!K134</f>
        <v>0</v>
      </c>
      <c r="D132" s="23">
        <f>gaz!D134+gaz!H134+gaz!L134</f>
        <v>21</v>
      </c>
      <c r="E132" s="26">
        <f>gaz!E134+gaz!I134+gaz!M134</f>
        <v>0</v>
      </c>
      <c r="F132" s="21">
        <f>gaz!N134+gaz!R134+gaz!V134</f>
        <v>12</v>
      </c>
      <c r="G132" s="25">
        <f>gaz!O134+gaz!S134+gaz!W134</f>
        <v>0</v>
      </c>
      <c r="H132" s="23">
        <f>gaz!P134+gaz!T134+gaz!X134</f>
        <v>12</v>
      </c>
      <c r="I132" s="26">
        <f>gaz!Q134+gaz!U134+gaz!Y134</f>
        <v>0</v>
      </c>
      <c r="J132" s="21">
        <f>gaz!Z134+gaz!AD134+gaz!AH134</f>
        <v>27</v>
      </c>
      <c r="K132" s="25">
        <f>gaz!AA134+gaz!AE134+gaz!AI134</f>
        <v>0</v>
      </c>
      <c r="L132" s="23">
        <f>gaz!AB134+gaz!AF134+gaz!AJ134</f>
        <v>27</v>
      </c>
      <c r="M132" s="26">
        <f>gaz!AC134+gaz!AG134+gaz!AK134</f>
        <v>0</v>
      </c>
      <c r="N132" s="21">
        <f>gaz!AL134+gaz!AP134+gaz!AT134</f>
        <v>0</v>
      </c>
      <c r="O132" s="25">
        <f>gaz!AM134+gaz!AQ134+gaz!AU134</f>
        <v>0</v>
      </c>
      <c r="P132" s="23">
        <f>gaz!AN134+gaz!AR134+gaz!AV134</f>
        <v>0</v>
      </c>
      <c r="Q132" s="26">
        <f>gaz!AO134+gaz!AS134+gaz!AW134</f>
        <v>0</v>
      </c>
      <c r="R132" s="36">
        <f t="shared" si="68"/>
        <v>60</v>
      </c>
      <c r="S132" s="37">
        <f t="shared" si="69"/>
        <v>0</v>
      </c>
      <c r="T132" s="37">
        <f t="shared" si="70"/>
        <v>60</v>
      </c>
      <c r="U132" s="38">
        <f t="shared" si="71"/>
        <v>0</v>
      </c>
    </row>
    <row r="133" spans="1:21">
      <c r="A133" s="16" t="s">
        <v>8</v>
      </c>
      <c r="B133" s="21">
        <f>gaz!B135+gaz!F135+gaz!J135</f>
        <v>0</v>
      </c>
      <c r="C133" s="25">
        <f>gaz!C135+gaz!G135+gaz!K135</f>
        <v>0</v>
      </c>
      <c r="D133" s="23">
        <f>gaz!D135+gaz!H135+gaz!L135</f>
        <v>0</v>
      </c>
      <c r="E133" s="26">
        <f>gaz!E135+gaz!I135+gaz!M135</f>
        <v>0</v>
      </c>
      <c r="F133" s="21">
        <f>gaz!N135+gaz!R135+gaz!V135</f>
        <v>0</v>
      </c>
      <c r="G133" s="25">
        <f>gaz!O135+gaz!S135+gaz!W135</f>
        <v>0</v>
      </c>
      <c r="H133" s="23">
        <f>gaz!P135+gaz!T135+gaz!X135</f>
        <v>0</v>
      </c>
      <c r="I133" s="26">
        <f>gaz!Q135+gaz!U135+gaz!Y135</f>
        <v>0</v>
      </c>
      <c r="J133" s="21">
        <f>gaz!Z135+gaz!AD135+gaz!AH135</f>
        <v>0</v>
      </c>
      <c r="K133" s="25">
        <f>gaz!AA135+gaz!AE135+gaz!AI135</f>
        <v>0</v>
      </c>
      <c r="L133" s="23">
        <f>gaz!AB135+gaz!AF135+gaz!AJ135</f>
        <v>0</v>
      </c>
      <c r="M133" s="26">
        <f>gaz!AC135+gaz!AG135+gaz!AK135</f>
        <v>0</v>
      </c>
      <c r="N133" s="21">
        <f>gaz!AL135+gaz!AP135+gaz!AT135</f>
        <v>0</v>
      </c>
      <c r="O133" s="25">
        <f>gaz!AM135+gaz!AQ135+gaz!AU135</f>
        <v>0</v>
      </c>
      <c r="P133" s="23">
        <f>gaz!AN135+gaz!AR135+gaz!AV135</f>
        <v>0</v>
      </c>
      <c r="Q133" s="26">
        <f>gaz!AO135+gaz!AS135+gaz!AW135</f>
        <v>0</v>
      </c>
      <c r="R133" s="36">
        <f t="shared" si="68"/>
        <v>0</v>
      </c>
      <c r="S133" s="37">
        <f t="shared" si="69"/>
        <v>0</v>
      </c>
      <c r="T133" s="37">
        <f t="shared" si="70"/>
        <v>0</v>
      </c>
      <c r="U133" s="38">
        <f t="shared" si="71"/>
        <v>0</v>
      </c>
    </row>
    <row r="134" spans="1:21">
      <c r="A134" s="16" t="s">
        <v>4</v>
      </c>
      <c r="B134" s="21">
        <f>gaz!B136+gaz!F136+gaz!J136</f>
        <v>0</v>
      </c>
      <c r="C134" s="25">
        <f>gaz!C136+gaz!G136+gaz!K136</f>
        <v>0</v>
      </c>
      <c r="D134" s="23">
        <f>gaz!D136+gaz!H136+gaz!L136</f>
        <v>0</v>
      </c>
      <c r="E134" s="26">
        <f>gaz!E136+gaz!I136+gaz!M136</f>
        <v>0</v>
      </c>
      <c r="F134" s="21">
        <f>gaz!N136+gaz!R136+gaz!V136</f>
        <v>0</v>
      </c>
      <c r="G134" s="25">
        <f>gaz!O136+gaz!S136+gaz!W136</f>
        <v>0</v>
      </c>
      <c r="H134" s="23">
        <f>gaz!P136+gaz!T136+gaz!X136</f>
        <v>0</v>
      </c>
      <c r="I134" s="26">
        <f>gaz!Q136+gaz!U136+gaz!Y136</f>
        <v>0</v>
      </c>
      <c r="J134" s="21">
        <f>gaz!Z136+gaz!AD136+gaz!AH136</f>
        <v>0</v>
      </c>
      <c r="K134" s="25">
        <f>gaz!AA136+gaz!AE136+gaz!AI136</f>
        <v>0</v>
      </c>
      <c r="L134" s="23">
        <f>gaz!AB136+gaz!AF136+gaz!AJ136</f>
        <v>0</v>
      </c>
      <c r="M134" s="26">
        <f>gaz!AC136+gaz!AG136+gaz!AK136</f>
        <v>0</v>
      </c>
      <c r="N134" s="21">
        <f>gaz!AL136+gaz!AP136+gaz!AT136</f>
        <v>0</v>
      </c>
      <c r="O134" s="25">
        <f>gaz!AM136+gaz!AQ136+gaz!AU136</f>
        <v>0</v>
      </c>
      <c r="P134" s="23">
        <f>gaz!AN136+gaz!AR136+gaz!AV136</f>
        <v>0</v>
      </c>
      <c r="Q134" s="26">
        <f>gaz!AO136+gaz!AS136+gaz!AW136</f>
        <v>0</v>
      </c>
      <c r="R134" s="36">
        <f t="shared" si="68"/>
        <v>0</v>
      </c>
      <c r="S134" s="37">
        <f t="shared" si="69"/>
        <v>0</v>
      </c>
      <c r="T134" s="37">
        <f t="shared" si="70"/>
        <v>0</v>
      </c>
      <c r="U134" s="38">
        <f t="shared" si="71"/>
        <v>0</v>
      </c>
    </row>
    <row r="135" spans="1:21">
      <c r="A135" s="16" t="s">
        <v>3</v>
      </c>
      <c r="B135" s="21">
        <f>gaz!B137+gaz!F137+gaz!J137</f>
        <v>14</v>
      </c>
      <c r="C135" s="25">
        <f>gaz!C137+gaz!G137+gaz!K137</f>
        <v>0</v>
      </c>
      <c r="D135" s="23">
        <f>gaz!D137+gaz!H137+gaz!L137</f>
        <v>14</v>
      </c>
      <c r="E135" s="26">
        <f>gaz!E137+gaz!I137+gaz!M137</f>
        <v>0</v>
      </c>
      <c r="F135" s="21">
        <f>gaz!N137+gaz!R137+gaz!V137</f>
        <v>9</v>
      </c>
      <c r="G135" s="25">
        <f>gaz!O137+gaz!S137+gaz!W137</f>
        <v>0</v>
      </c>
      <c r="H135" s="23">
        <f>gaz!P137+gaz!T137+gaz!X137</f>
        <v>9</v>
      </c>
      <c r="I135" s="26">
        <f>gaz!Q137+gaz!U137+gaz!Y137</f>
        <v>0</v>
      </c>
      <c r="J135" s="21">
        <f>gaz!Z137+gaz!AD137+gaz!AH137</f>
        <v>5</v>
      </c>
      <c r="K135" s="25">
        <f>gaz!AA137+gaz!AE137+gaz!AI137</f>
        <v>0</v>
      </c>
      <c r="L135" s="23">
        <f>gaz!AB137+gaz!AF137+gaz!AJ137</f>
        <v>5</v>
      </c>
      <c r="M135" s="26">
        <f>gaz!AC137+gaz!AG137+gaz!AK137</f>
        <v>0</v>
      </c>
      <c r="N135" s="21">
        <f>gaz!AL137+gaz!AP137+gaz!AT137</f>
        <v>0</v>
      </c>
      <c r="O135" s="25">
        <f>gaz!AM137+gaz!AQ137+gaz!AU137</f>
        <v>0</v>
      </c>
      <c r="P135" s="23">
        <f>gaz!AN137+gaz!AR137+gaz!AV137</f>
        <v>0</v>
      </c>
      <c r="Q135" s="26">
        <f>gaz!AO137+gaz!AS137+gaz!AW137</f>
        <v>0</v>
      </c>
      <c r="R135" s="36">
        <f t="shared" si="68"/>
        <v>28</v>
      </c>
      <c r="S135" s="37">
        <f t="shared" si="69"/>
        <v>0</v>
      </c>
      <c r="T135" s="37">
        <f t="shared" si="70"/>
        <v>28</v>
      </c>
      <c r="U135" s="38">
        <f t="shared" si="71"/>
        <v>0</v>
      </c>
    </row>
    <row r="136" spans="1:21">
      <c r="A136" s="16" t="s">
        <v>397</v>
      </c>
      <c r="B136" s="21">
        <f>gaz!B138+gaz!F138+gaz!J138</f>
        <v>0</v>
      </c>
      <c r="C136" s="25">
        <f>gaz!C138+gaz!G138+gaz!K138</f>
        <v>0</v>
      </c>
      <c r="D136" s="23">
        <f>gaz!D138+gaz!H138+gaz!L138</f>
        <v>0</v>
      </c>
      <c r="E136" s="26">
        <f>gaz!E138+gaz!I138+gaz!M138</f>
        <v>0</v>
      </c>
      <c r="F136" s="21">
        <f>gaz!N138+gaz!R138+gaz!V138</f>
        <v>0</v>
      </c>
      <c r="G136" s="25">
        <f>gaz!O138+gaz!S138+gaz!W138</f>
        <v>0</v>
      </c>
      <c r="H136" s="23">
        <f>gaz!P138+gaz!T138+gaz!X138</f>
        <v>0</v>
      </c>
      <c r="I136" s="26">
        <f>gaz!Q138+gaz!U138+gaz!Y138</f>
        <v>0</v>
      </c>
      <c r="J136" s="21">
        <f>gaz!Z138+gaz!AD138+gaz!AH138</f>
        <v>0</v>
      </c>
      <c r="K136" s="25">
        <f>gaz!AA138+gaz!AE138+gaz!AI138</f>
        <v>0</v>
      </c>
      <c r="L136" s="23">
        <f>gaz!AB138+gaz!AF138+gaz!AJ138</f>
        <v>0</v>
      </c>
      <c r="M136" s="26">
        <f>gaz!AC138+gaz!AG138+gaz!AK138</f>
        <v>0</v>
      </c>
      <c r="N136" s="21">
        <f>gaz!AL138+gaz!AP138+gaz!AT138</f>
        <v>0</v>
      </c>
      <c r="O136" s="25">
        <f>gaz!AM138+gaz!AQ138+gaz!AU138</f>
        <v>0</v>
      </c>
      <c r="P136" s="23">
        <f>gaz!AN138+gaz!AR138+gaz!AV138</f>
        <v>0</v>
      </c>
      <c r="Q136" s="26">
        <f>gaz!AO138+gaz!AS138+gaz!AW138</f>
        <v>0</v>
      </c>
      <c r="R136" s="36">
        <f t="shared" si="68"/>
        <v>0</v>
      </c>
      <c r="S136" s="37">
        <f t="shared" si="69"/>
        <v>0</v>
      </c>
      <c r="T136" s="37">
        <f t="shared" si="70"/>
        <v>0</v>
      </c>
      <c r="U136" s="38">
        <f t="shared" si="71"/>
        <v>0</v>
      </c>
    </row>
    <row r="137" spans="1:21">
      <c r="A137" s="16" t="s">
        <v>399</v>
      </c>
      <c r="B137" s="21">
        <f>gaz!B139+gaz!F139+gaz!J139</f>
        <v>0</v>
      </c>
      <c r="C137" s="25">
        <f>gaz!C139+gaz!G139+gaz!K139</f>
        <v>0</v>
      </c>
      <c r="D137" s="23">
        <f>gaz!D139+gaz!H139+gaz!L139</f>
        <v>0</v>
      </c>
      <c r="E137" s="26">
        <f>gaz!E139+gaz!I139+gaz!M139</f>
        <v>0</v>
      </c>
      <c r="F137" s="21">
        <f>gaz!N139+gaz!R139+gaz!V139</f>
        <v>0</v>
      </c>
      <c r="G137" s="25">
        <f>gaz!O139+gaz!S139+gaz!W139</f>
        <v>0</v>
      </c>
      <c r="H137" s="23">
        <f>gaz!P139+gaz!T139+gaz!X139</f>
        <v>0</v>
      </c>
      <c r="I137" s="26">
        <f>gaz!Q139+gaz!U139+gaz!Y139</f>
        <v>0</v>
      </c>
      <c r="J137" s="21">
        <f>gaz!Z139+gaz!AD139+gaz!AH139</f>
        <v>0</v>
      </c>
      <c r="K137" s="25">
        <f>gaz!AA139+gaz!AE139+gaz!AI139</f>
        <v>0</v>
      </c>
      <c r="L137" s="23">
        <f>gaz!AB139+gaz!AF139+gaz!AJ139</f>
        <v>0</v>
      </c>
      <c r="M137" s="26">
        <f>gaz!AC139+gaz!AG139+gaz!AK139</f>
        <v>0</v>
      </c>
      <c r="N137" s="21">
        <f>gaz!AL139+gaz!AP139+gaz!AT139</f>
        <v>0</v>
      </c>
      <c r="O137" s="25">
        <f>gaz!AM139+gaz!AQ139+gaz!AU139</f>
        <v>0</v>
      </c>
      <c r="P137" s="23">
        <f>gaz!AN139+gaz!AR139+gaz!AV139</f>
        <v>0</v>
      </c>
      <c r="Q137" s="26">
        <f>gaz!AO139+gaz!AS139+gaz!AW139</f>
        <v>0</v>
      </c>
      <c r="R137" s="36">
        <f t="shared" si="68"/>
        <v>0</v>
      </c>
      <c r="S137" s="37">
        <f t="shared" si="69"/>
        <v>0</v>
      </c>
      <c r="T137" s="37">
        <f t="shared" si="70"/>
        <v>0</v>
      </c>
      <c r="U137" s="38">
        <f t="shared" si="71"/>
        <v>0</v>
      </c>
    </row>
    <row r="138" spans="1:21">
      <c r="A138" s="16" t="s">
        <v>883</v>
      </c>
      <c r="B138" s="21">
        <f>gaz!B140+gaz!F140+gaz!J140</f>
        <v>0</v>
      </c>
      <c r="C138" s="25">
        <f>gaz!C140+gaz!G140+gaz!K140</f>
        <v>0</v>
      </c>
      <c r="D138" s="23">
        <f>gaz!D140+gaz!H140+gaz!L140</f>
        <v>0</v>
      </c>
      <c r="E138" s="26">
        <f>gaz!E140+gaz!I140+gaz!M140</f>
        <v>0</v>
      </c>
      <c r="F138" s="21">
        <f>gaz!N140+gaz!R140+gaz!V140</f>
        <v>0</v>
      </c>
      <c r="G138" s="25">
        <f>gaz!O140+gaz!S140+gaz!W140</f>
        <v>0</v>
      </c>
      <c r="H138" s="23">
        <f>gaz!P140+gaz!T140+gaz!X140</f>
        <v>0</v>
      </c>
      <c r="I138" s="26">
        <f>gaz!Q140+gaz!U140+gaz!Y140</f>
        <v>0</v>
      </c>
      <c r="J138" s="21">
        <f>gaz!Z140+gaz!AD140+gaz!AH140</f>
        <v>1</v>
      </c>
      <c r="K138" s="25">
        <f>gaz!AA140+gaz!AE140+gaz!AI140</f>
        <v>0</v>
      </c>
      <c r="L138" s="23">
        <f>gaz!AB140+gaz!AF140+gaz!AJ140</f>
        <v>1</v>
      </c>
      <c r="M138" s="26">
        <f>gaz!AC140+gaz!AG140+gaz!AK140</f>
        <v>0</v>
      </c>
      <c r="N138" s="21">
        <f>gaz!AL140+gaz!AP140+gaz!AT140</f>
        <v>0</v>
      </c>
      <c r="O138" s="25">
        <f>gaz!AM140+gaz!AQ140+gaz!AU140</f>
        <v>0</v>
      </c>
      <c r="P138" s="23">
        <f>gaz!AN140+gaz!AR140+gaz!AV140</f>
        <v>0</v>
      </c>
      <c r="Q138" s="26">
        <f>gaz!AO140+gaz!AS140+gaz!AW140</f>
        <v>0</v>
      </c>
      <c r="R138" s="36">
        <f t="shared" si="68"/>
        <v>1</v>
      </c>
      <c r="S138" s="37">
        <f t="shared" si="69"/>
        <v>0</v>
      </c>
      <c r="T138" s="37">
        <f t="shared" si="70"/>
        <v>1</v>
      </c>
      <c r="U138" s="38">
        <f t="shared" si="71"/>
        <v>0</v>
      </c>
    </row>
    <row r="139" spans="1:21">
      <c r="A139" s="16" t="s">
        <v>884</v>
      </c>
      <c r="B139" s="21">
        <f>gaz!B141+gaz!F141+gaz!J141</f>
        <v>2</v>
      </c>
      <c r="C139" s="25">
        <f>gaz!C141+gaz!G141+gaz!K141</f>
        <v>0</v>
      </c>
      <c r="D139" s="23">
        <f>gaz!D141+gaz!H141+gaz!L141</f>
        <v>2</v>
      </c>
      <c r="E139" s="26">
        <f>gaz!E141+gaz!I141+gaz!M141</f>
        <v>0</v>
      </c>
      <c r="F139" s="21">
        <f>gaz!N141+gaz!R141+gaz!V141</f>
        <v>2</v>
      </c>
      <c r="G139" s="25">
        <f>gaz!O141+gaz!S141+gaz!W141</f>
        <v>0</v>
      </c>
      <c r="H139" s="23">
        <f>gaz!P141+gaz!T141+gaz!X141</f>
        <v>2</v>
      </c>
      <c r="I139" s="26">
        <f>gaz!Q141+gaz!U141+gaz!Y141</f>
        <v>0</v>
      </c>
      <c r="J139" s="21">
        <f>gaz!Z141+gaz!AD141+gaz!AH141</f>
        <v>1</v>
      </c>
      <c r="K139" s="25">
        <f>gaz!AA141+gaz!AE141+gaz!AI141</f>
        <v>1</v>
      </c>
      <c r="L139" s="23">
        <f>gaz!AB141+gaz!AF141+gaz!AJ141</f>
        <v>2</v>
      </c>
      <c r="M139" s="26">
        <f>gaz!AC141+gaz!AG141+gaz!AK141</f>
        <v>0</v>
      </c>
      <c r="N139" s="21">
        <f>gaz!AL141+gaz!AP141+gaz!AT141</f>
        <v>0</v>
      </c>
      <c r="O139" s="25">
        <f>gaz!AM141+gaz!AQ141+gaz!AU141</f>
        <v>0</v>
      </c>
      <c r="P139" s="23">
        <f>gaz!AN141+gaz!AR141+gaz!AV141</f>
        <v>0</v>
      </c>
      <c r="Q139" s="26">
        <f>gaz!AO141+gaz!AS141+gaz!AW141</f>
        <v>0</v>
      </c>
      <c r="R139" s="36">
        <f t="shared" si="68"/>
        <v>5</v>
      </c>
      <c r="S139" s="37">
        <f t="shared" si="69"/>
        <v>1</v>
      </c>
      <c r="T139" s="37">
        <f t="shared" si="70"/>
        <v>6</v>
      </c>
      <c r="U139" s="38">
        <f t="shared" si="71"/>
        <v>0</v>
      </c>
    </row>
    <row r="140" spans="1:21" ht="13.8" thickBot="1">
      <c r="A140" s="16" t="s">
        <v>885</v>
      </c>
      <c r="B140" s="21">
        <f>gaz!B142+gaz!F142+gaz!J142</f>
        <v>23</v>
      </c>
      <c r="C140" s="25">
        <f>gaz!C142+gaz!G142+gaz!K142</f>
        <v>0</v>
      </c>
      <c r="D140" s="23">
        <f>gaz!D142+gaz!H142+gaz!L142</f>
        <v>23</v>
      </c>
      <c r="E140" s="26">
        <f>gaz!E142+gaz!I142+gaz!M142</f>
        <v>0</v>
      </c>
      <c r="F140" s="21">
        <f>gaz!N142+gaz!R142+gaz!V142</f>
        <v>20</v>
      </c>
      <c r="G140" s="25">
        <f>gaz!O142+gaz!S142+gaz!W142</f>
        <v>0</v>
      </c>
      <c r="H140" s="23">
        <f>gaz!P142+gaz!T142+gaz!X142</f>
        <v>20</v>
      </c>
      <c r="I140" s="26">
        <f>gaz!Q142+gaz!U142+gaz!Y142</f>
        <v>0</v>
      </c>
      <c r="J140" s="21">
        <f>gaz!Z142+gaz!AD142+gaz!AH142</f>
        <v>20</v>
      </c>
      <c r="K140" s="25">
        <f>gaz!AA142+gaz!AE142+gaz!AI142</f>
        <v>0</v>
      </c>
      <c r="L140" s="23">
        <f>gaz!AB142+gaz!AF142+gaz!AJ142</f>
        <v>20</v>
      </c>
      <c r="M140" s="26">
        <f>gaz!AC142+gaz!AG142+gaz!AK142</f>
        <v>0</v>
      </c>
      <c r="N140" s="21">
        <f>gaz!AL142+gaz!AP142+gaz!AT142</f>
        <v>0</v>
      </c>
      <c r="O140" s="25">
        <f>gaz!AM142+gaz!AQ142+gaz!AU142</f>
        <v>0</v>
      </c>
      <c r="P140" s="23">
        <f>gaz!AN142+gaz!AR142+gaz!AV142</f>
        <v>0</v>
      </c>
      <c r="Q140" s="26">
        <f>gaz!AO142+gaz!AS142+gaz!AW142</f>
        <v>0</v>
      </c>
      <c r="R140" s="36">
        <f t="shared" si="68"/>
        <v>63</v>
      </c>
      <c r="S140" s="37">
        <f t="shared" si="69"/>
        <v>0</v>
      </c>
      <c r="T140" s="37">
        <f t="shared" si="70"/>
        <v>63</v>
      </c>
      <c r="U140" s="38">
        <f t="shared" si="71"/>
        <v>0</v>
      </c>
    </row>
    <row r="141" spans="1:21" ht="13.8" thickBot="1">
      <c r="A141" s="11" t="s">
        <v>16</v>
      </c>
      <c r="B141" s="22">
        <f t="shared" ref="B141:U141" si="72">SUM(B131:B140)</f>
        <v>60</v>
      </c>
      <c r="C141" s="24">
        <f t="shared" si="72"/>
        <v>0</v>
      </c>
      <c r="D141" s="24">
        <f t="shared" si="72"/>
        <v>60</v>
      </c>
      <c r="E141" s="27">
        <f t="shared" si="72"/>
        <v>0</v>
      </c>
      <c r="F141" s="22">
        <f t="shared" si="72"/>
        <v>43</v>
      </c>
      <c r="G141" s="24">
        <f t="shared" si="72"/>
        <v>0</v>
      </c>
      <c r="H141" s="24">
        <f t="shared" si="72"/>
        <v>43</v>
      </c>
      <c r="I141" s="27">
        <f t="shared" si="72"/>
        <v>0</v>
      </c>
      <c r="J141" s="22">
        <f t="shared" si="72"/>
        <v>54</v>
      </c>
      <c r="K141" s="24">
        <f t="shared" si="72"/>
        <v>1</v>
      </c>
      <c r="L141" s="24">
        <f t="shared" si="72"/>
        <v>55</v>
      </c>
      <c r="M141" s="27">
        <f t="shared" si="72"/>
        <v>0</v>
      </c>
      <c r="N141" s="22">
        <f t="shared" si="72"/>
        <v>0</v>
      </c>
      <c r="O141" s="24">
        <f t="shared" si="72"/>
        <v>0</v>
      </c>
      <c r="P141" s="24">
        <f t="shared" si="72"/>
        <v>0</v>
      </c>
      <c r="Q141" s="27">
        <f t="shared" si="72"/>
        <v>0</v>
      </c>
      <c r="R141" s="39">
        <f t="shared" si="72"/>
        <v>157</v>
      </c>
      <c r="S141" s="39">
        <f t="shared" si="72"/>
        <v>1</v>
      </c>
      <c r="T141" s="39">
        <f t="shared" si="72"/>
        <v>158</v>
      </c>
      <c r="U141" s="39">
        <f t="shared" si="72"/>
        <v>0</v>
      </c>
    </row>
    <row r="143" spans="1:21" ht="18" thickBot="1">
      <c r="A143" s="2">
        <f>A112</f>
        <v>2022</v>
      </c>
    </row>
    <row r="144" spans="1:21">
      <c r="A144" s="3429" t="s">
        <v>0</v>
      </c>
      <c r="B144" s="3423" t="s">
        <v>269</v>
      </c>
      <c r="C144" s="3424"/>
      <c r="D144" s="3424"/>
      <c r="E144" s="3425"/>
      <c r="F144" s="3426" t="s">
        <v>270</v>
      </c>
      <c r="G144" s="3427"/>
      <c r="H144" s="3427"/>
      <c r="I144" s="3428"/>
      <c r="J144" s="3420" t="s">
        <v>271</v>
      </c>
      <c r="K144" s="3421"/>
      <c r="L144" s="3421"/>
      <c r="M144" s="3422"/>
      <c r="N144" s="3415" t="s">
        <v>272</v>
      </c>
      <c r="O144" s="3416"/>
      <c r="P144" s="3416"/>
      <c r="Q144" s="3417"/>
      <c r="R144" s="3418" t="s">
        <v>83</v>
      </c>
      <c r="S144" s="3418"/>
      <c r="T144" s="3418"/>
      <c r="U144" s="3419"/>
    </row>
    <row r="145" spans="1:21" ht="13.8" thickBot="1">
      <c r="A145" s="3430"/>
      <c r="B145" s="3" t="s">
        <v>17</v>
      </c>
      <c r="C145" s="4" t="s">
        <v>18</v>
      </c>
      <c r="D145" s="4" t="s">
        <v>56</v>
      </c>
      <c r="E145" s="5" t="s">
        <v>21</v>
      </c>
      <c r="F145" s="3" t="s">
        <v>17</v>
      </c>
      <c r="G145" s="4" t="s">
        <v>18</v>
      </c>
      <c r="H145" s="4" t="s">
        <v>56</v>
      </c>
      <c r="I145" s="5" t="s">
        <v>21</v>
      </c>
      <c r="J145" s="3" t="s">
        <v>17</v>
      </c>
      <c r="K145" s="4" t="s">
        <v>18</v>
      </c>
      <c r="L145" s="4" t="s">
        <v>56</v>
      </c>
      <c r="M145" s="5" t="s">
        <v>21</v>
      </c>
      <c r="N145" s="3" t="s">
        <v>17</v>
      </c>
      <c r="O145" s="4" t="s">
        <v>18</v>
      </c>
      <c r="P145" s="4" t="s">
        <v>56</v>
      </c>
      <c r="Q145" s="5" t="s">
        <v>21</v>
      </c>
      <c r="R145" s="4" t="s">
        <v>17</v>
      </c>
      <c r="S145" s="4" t="s">
        <v>18</v>
      </c>
      <c r="T145" s="4" t="s">
        <v>56</v>
      </c>
      <c r="U145" s="6" t="s">
        <v>21</v>
      </c>
    </row>
    <row r="146" spans="1:21">
      <c r="A146" s="16" t="s">
        <v>68</v>
      </c>
      <c r="B146" s="21">
        <f>gaz!B148+gaz!F148+gaz!J148</f>
        <v>0</v>
      </c>
      <c r="C146" s="25">
        <f>gaz!C148+gaz!G148+gaz!K148</f>
        <v>0</v>
      </c>
      <c r="D146" s="23">
        <f>gaz!D148+gaz!H148+gaz!L148</f>
        <v>0</v>
      </c>
      <c r="E146" s="26">
        <f>gaz!E148+gaz!I148+gaz!M148</f>
        <v>0</v>
      </c>
      <c r="F146" s="21">
        <f>gaz!N148+gaz!R148+gaz!V148</f>
        <v>0</v>
      </c>
      <c r="G146" s="25">
        <f>gaz!O148+gaz!S148+gaz!W148</f>
        <v>0</v>
      </c>
      <c r="H146" s="23">
        <f>gaz!P148+gaz!T148+gaz!X148</f>
        <v>0</v>
      </c>
      <c r="I146" s="26">
        <f>gaz!Q148+gaz!U148+gaz!Y148</f>
        <v>0</v>
      </c>
      <c r="J146" s="21">
        <f>gaz!Z148+gaz!AD148+gaz!AH148</f>
        <v>0</v>
      </c>
      <c r="K146" s="25">
        <f>gaz!AA148+gaz!AE148+gaz!AI148</f>
        <v>0</v>
      </c>
      <c r="L146" s="23">
        <f>gaz!AB148+gaz!AF148+gaz!AJ148</f>
        <v>0</v>
      </c>
      <c r="M146" s="26">
        <f>gaz!AC148+gaz!AG148+gaz!AK148</f>
        <v>0</v>
      </c>
      <c r="N146" s="21">
        <f>gaz!AL148+gaz!AP148+gaz!AT148</f>
        <v>0</v>
      </c>
      <c r="O146" s="25">
        <f>gaz!AM148+gaz!AQ148+gaz!AU148</f>
        <v>0</v>
      </c>
      <c r="P146" s="23">
        <f>gaz!AN148+gaz!AR148+gaz!AV148</f>
        <v>0</v>
      </c>
      <c r="Q146" s="26">
        <f>gaz!AO148+gaz!AS148+gaz!AW148</f>
        <v>0</v>
      </c>
      <c r="R146" s="33">
        <f t="shared" ref="R146:R155" si="73">B146+F146+J146+N146</f>
        <v>0</v>
      </c>
      <c r="S146" s="34">
        <f t="shared" ref="S146:S155" si="74">C146+G146+K146+O146</f>
        <v>0</v>
      </c>
      <c r="T146" s="34">
        <f t="shared" ref="T146:T155" si="75">D146+H146+L146+P146</f>
        <v>0</v>
      </c>
      <c r="U146" s="35">
        <f t="shared" ref="U146:U155" si="76">E146+I146+M146+Q146</f>
        <v>0</v>
      </c>
    </row>
    <row r="147" spans="1:21">
      <c r="A147" s="16" t="s">
        <v>7</v>
      </c>
      <c r="B147" s="21">
        <f>gaz!B149+gaz!F149+gaz!J149</f>
        <v>68</v>
      </c>
      <c r="C147" s="25">
        <f>gaz!C149+gaz!G149+gaz!K149</f>
        <v>0</v>
      </c>
      <c r="D147" s="23">
        <f>gaz!D149+gaz!H149+gaz!L149</f>
        <v>68</v>
      </c>
      <c r="E147" s="26">
        <f>gaz!E149+gaz!I149+gaz!M149</f>
        <v>0</v>
      </c>
      <c r="F147" s="21">
        <f>gaz!N149+gaz!R149+gaz!V149</f>
        <v>43</v>
      </c>
      <c r="G147" s="25">
        <f>gaz!O149+gaz!S149+gaz!W149</f>
        <v>0</v>
      </c>
      <c r="H147" s="23">
        <f>gaz!P149+gaz!T149+gaz!X149</f>
        <v>43</v>
      </c>
      <c r="I147" s="26">
        <f>gaz!Q149+gaz!U149+gaz!Y149</f>
        <v>0</v>
      </c>
      <c r="J147" s="21">
        <f>gaz!Z149+gaz!AD149+gaz!AH149</f>
        <v>25</v>
      </c>
      <c r="K147" s="25">
        <f>gaz!AA149+gaz!AE149+gaz!AI149</f>
        <v>0</v>
      </c>
      <c r="L147" s="23">
        <f>gaz!AB149+gaz!AF149+gaz!AJ149</f>
        <v>25</v>
      </c>
      <c r="M147" s="26">
        <f>gaz!AC149+gaz!AG149+gaz!AK149</f>
        <v>0</v>
      </c>
      <c r="N147" s="21">
        <f>gaz!AL149+gaz!AP149+gaz!AT149</f>
        <v>0</v>
      </c>
      <c r="O147" s="25">
        <f>gaz!AM149+gaz!AQ149+gaz!AU149</f>
        <v>0</v>
      </c>
      <c r="P147" s="23">
        <f>gaz!AN149+gaz!AR149+gaz!AV149</f>
        <v>0</v>
      </c>
      <c r="Q147" s="26">
        <f>gaz!AO149+gaz!AS149+gaz!AW149</f>
        <v>0</v>
      </c>
      <c r="R147" s="36">
        <f t="shared" si="73"/>
        <v>136</v>
      </c>
      <c r="S147" s="37">
        <f t="shared" si="74"/>
        <v>0</v>
      </c>
      <c r="T147" s="37">
        <f t="shared" si="75"/>
        <v>136</v>
      </c>
      <c r="U147" s="38">
        <f t="shared" si="76"/>
        <v>0</v>
      </c>
    </row>
    <row r="148" spans="1:21">
      <c r="A148" s="16" t="s">
        <v>8</v>
      </c>
      <c r="B148" s="21">
        <f>gaz!B150+gaz!F150+gaz!J150</f>
        <v>0</v>
      </c>
      <c r="C148" s="25">
        <f>gaz!C150+gaz!G150+gaz!K150</f>
        <v>0</v>
      </c>
      <c r="D148" s="23">
        <f>gaz!D150+gaz!H150+gaz!L150</f>
        <v>0</v>
      </c>
      <c r="E148" s="26">
        <f>gaz!E150+gaz!I150+gaz!M150</f>
        <v>0</v>
      </c>
      <c r="F148" s="21">
        <f>gaz!N150+gaz!R150+gaz!V150</f>
        <v>0</v>
      </c>
      <c r="G148" s="25">
        <f>gaz!O150+gaz!S150+gaz!W150</f>
        <v>0</v>
      </c>
      <c r="H148" s="23">
        <f>gaz!P150+gaz!T150+gaz!X150</f>
        <v>0</v>
      </c>
      <c r="I148" s="26">
        <f>gaz!Q150+gaz!U150+gaz!Y150</f>
        <v>0</v>
      </c>
      <c r="J148" s="21">
        <f>gaz!Z150+gaz!AD150+gaz!AH150</f>
        <v>0</v>
      </c>
      <c r="K148" s="25">
        <f>gaz!AA150+gaz!AE150+gaz!AI150</f>
        <v>0</v>
      </c>
      <c r="L148" s="23">
        <f>gaz!AB150+gaz!AF150+gaz!AJ150</f>
        <v>0</v>
      </c>
      <c r="M148" s="26">
        <f>gaz!AC150+gaz!AG150+gaz!AK150</f>
        <v>0</v>
      </c>
      <c r="N148" s="21">
        <f>gaz!AL150+gaz!AP150+gaz!AT150</f>
        <v>0</v>
      </c>
      <c r="O148" s="25">
        <f>gaz!AM150+gaz!AQ150+gaz!AU150</f>
        <v>0</v>
      </c>
      <c r="P148" s="23">
        <f>gaz!AN150+gaz!AR150+gaz!AV150</f>
        <v>0</v>
      </c>
      <c r="Q148" s="26">
        <f>gaz!AO150+gaz!AS150+gaz!AW150</f>
        <v>0</v>
      </c>
      <c r="R148" s="36">
        <f t="shared" si="73"/>
        <v>0</v>
      </c>
      <c r="S148" s="37">
        <f t="shared" si="74"/>
        <v>0</v>
      </c>
      <c r="T148" s="37">
        <f t="shared" si="75"/>
        <v>0</v>
      </c>
      <c r="U148" s="38">
        <f t="shared" si="76"/>
        <v>0</v>
      </c>
    </row>
    <row r="149" spans="1:21">
      <c r="A149" s="16" t="s">
        <v>4</v>
      </c>
      <c r="B149" s="21">
        <f>gaz!B151+gaz!F151+gaz!J151</f>
        <v>0</v>
      </c>
      <c r="C149" s="25">
        <f>gaz!C151+gaz!G151+gaz!K151</f>
        <v>0</v>
      </c>
      <c r="D149" s="23">
        <f>gaz!D151+gaz!H151+gaz!L151</f>
        <v>0</v>
      </c>
      <c r="E149" s="26">
        <f>gaz!E151+gaz!I151+gaz!M151</f>
        <v>0</v>
      </c>
      <c r="F149" s="21">
        <f>gaz!N151+gaz!R151+gaz!V151</f>
        <v>0</v>
      </c>
      <c r="G149" s="25">
        <f>gaz!O151+gaz!S151+gaz!W151</f>
        <v>0</v>
      </c>
      <c r="H149" s="23">
        <f>gaz!P151+gaz!T151+gaz!X151</f>
        <v>0</v>
      </c>
      <c r="I149" s="26">
        <f>gaz!Q151+gaz!U151+gaz!Y151</f>
        <v>0</v>
      </c>
      <c r="J149" s="21">
        <f>gaz!Z151+gaz!AD151+gaz!AH151</f>
        <v>0</v>
      </c>
      <c r="K149" s="25">
        <f>gaz!AA151+gaz!AE151+gaz!AI151</f>
        <v>0</v>
      </c>
      <c r="L149" s="23">
        <f>gaz!AB151+gaz!AF151+gaz!AJ151</f>
        <v>0</v>
      </c>
      <c r="M149" s="26">
        <f>gaz!AC151+gaz!AG151+gaz!AK151</f>
        <v>0</v>
      </c>
      <c r="N149" s="21">
        <f>gaz!AL151+gaz!AP151+gaz!AT151</f>
        <v>0</v>
      </c>
      <c r="O149" s="25">
        <f>gaz!AM151+gaz!AQ151+gaz!AU151</f>
        <v>0</v>
      </c>
      <c r="P149" s="23">
        <f>gaz!AN151+gaz!AR151+gaz!AV151</f>
        <v>0</v>
      </c>
      <c r="Q149" s="26">
        <f>gaz!AO151+gaz!AS151+gaz!AW151</f>
        <v>0</v>
      </c>
      <c r="R149" s="36">
        <f t="shared" si="73"/>
        <v>0</v>
      </c>
      <c r="S149" s="37">
        <f t="shared" si="74"/>
        <v>0</v>
      </c>
      <c r="T149" s="37">
        <f t="shared" si="75"/>
        <v>0</v>
      </c>
      <c r="U149" s="38">
        <f t="shared" si="76"/>
        <v>0</v>
      </c>
    </row>
    <row r="150" spans="1:21">
      <c r="A150" s="16" t="s">
        <v>3</v>
      </c>
      <c r="B150" s="21">
        <f>gaz!B152+gaz!F152+gaz!J152</f>
        <v>38</v>
      </c>
      <c r="C150" s="25">
        <f>gaz!C152+gaz!G152+gaz!K152</f>
        <v>0</v>
      </c>
      <c r="D150" s="23">
        <f>gaz!D152+gaz!H152+gaz!L152</f>
        <v>38</v>
      </c>
      <c r="E150" s="26">
        <f>gaz!E152+gaz!I152+gaz!M152</f>
        <v>0</v>
      </c>
      <c r="F150" s="21">
        <f>gaz!N152+gaz!R152+gaz!V152</f>
        <v>18</v>
      </c>
      <c r="G150" s="25">
        <f>gaz!O152+gaz!S152+gaz!W152</f>
        <v>0</v>
      </c>
      <c r="H150" s="23">
        <f>gaz!P152+gaz!T152+gaz!X152</f>
        <v>18</v>
      </c>
      <c r="I150" s="26">
        <f>gaz!Q152+gaz!U152+gaz!Y152</f>
        <v>0</v>
      </c>
      <c r="J150" s="21">
        <f>gaz!Z152+gaz!AD152+gaz!AH152</f>
        <v>15</v>
      </c>
      <c r="K150" s="25">
        <f>gaz!AA152+gaz!AE152+gaz!AI152</f>
        <v>0</v>
      </c>
      <c r="L150" s="23">
        <f>gaz!AB152+gaz!AF152+gaz!AJ152</f>
        <v>15</v>
      </c>
      <c r="M150" s="26">
        <f>gaz!AC152+gaz!AG152+gaz!AK152</f>
        <v>0</v>
      </c>
      <c r="N150" s="21">
        <f>gaz!AL152+gaz!AP152+gaz!AT152</f>
        <v>0</v>
      </c>
      <c r="O150" s="25">
        <f>gaz!AM152+gaz!AQ152+gaz!AU152</f>
        <v>0</v>
      </c>
      <c r="P150" s="23">
        <f>gaz!AN152+gaz!AR152+gaz!AV152</f>
        <v>0</v>
      </c>
      <c r="Q150" s="26">
        <f>gaz!AO152+gaz!AS152+gaz!AW152</f>
        <v>0</v>
      </c>
      <c r="R150" s="36">
        <f t="shared" si="73"/>
        <v>71</v>
      </c>
      <c r="S150" s="37">
        <f t="shared" si="74"/>
        <v>0</v>
      </c>
      <c r="T150" s="37">
        <f t="shared" si="75"/>
        <v>71</v>
      </c>
      <c r="U150" s="38">
        <f t="shared" si="76"/>
        <v>0</v>
      </c>
    </row>
    <row r="151" spans="1:21">
      <c r="A151" s="16" t="s">
        <v>397</v>
      </c>
      <c r="B151" s="21">
        <f>gaz!B153+gaz!F153+gaz!J153</f>
        <v>0</v>
      </c>
      <c r="C151" s="25">
        <f>gaz!C153+gaz!G153+gaz!K153</f>
        <v>0</v>
      </c>
      <c r="D151" s="23">
        <f>gaz!D153+gaz!H153+gaz!L153</f>
        <v>0</v>
      </c>
      <c r="E151" s="26">
        <f>gaz!E153+gaz!I153+gaz!M153</f>
        <v>0</v>
      </c>
      <c r="F151" s="21">
        <f>gaz!N153+gaz!R153+gaz!V153</f>
        <v>0</v>
      </c>
      <c r="G151" s="25">
        <f>gaz!O153+gaz!S153+gaz!W153</f>
        <v>0</v>
      </c>
      <c r="H151" s="23">
        <f>gaz!P153+gaz!T153+gaz!X153</f>
        <v>0</v>
      </c>
      <c r="I151" s="26">
        <f>gaz!Q153+gaz!U153+gaz!Y153</f>
        <v>0</v>
      </c>
      <c r="J151" s="21">
        <f>gaz!Z153+gaz!AD153+gaz!AH153</f>
        <v>0</v>
      </c>
      <c r="K151" s="25">
        <f>gaz!AA153+gaz!AE153+gaz!AI153</f>
        <v>0</v>
      </c>
      <c r="L151" s="23">
        <f>gaz!AB153+gaz!AF153+gaz!AJ153</f>
        <v>0</v>
      </c>
      <c r="M151" s="26">
        <f>gaz!AC153+gaz!AG153+gaz!AK153</f>
        <v>0</v>
      </c>
      <c r="N151" s="21">
        <f>gaz!AL153+gaz!AP153+gaz!AT153</f>
        <v>0</v>
      </c>
      <c r="O151" s="25">
        <f>gaz!AM153+gaz!AQ153+gaz!AU153</f>
        <v>0</v>
      </c>
      <c r="P151" s="23">
        <f>gaz!AN153+gaz!AR153+gaz!AV153</f>
        <v>0</v>
      </c>
      <c r="Q151" s="26">
        <f>gaz!AO153+gaz!AS153+gaz!AW153</f>
        <v>0</v>
      </c>
      <c r="R151" s="36">
        <f t="shared" si="73"/>
        <v>0</v>
      </c>
      <c r="S151" s="37">
        <f t="shared" si="74"/>
        <v>0</v>
      </c>
      <c r="T151" s="37">
        <f t="shared" si="75"/>
        <v>0</v>
      </c>
      <c r="U151" s="38">
        <f t="shared" si="76"/>
        <v>0</v>
      </c>
    </row>
    <row r="152" spans="1:21">
      <c r="A152" s="16" t="s">
        <v>399</v>
      </c>
      <c r="B152" s="21">
        <f>gaz!B154+gaz!F154+gaz!J154</f>
        <v>0</v>
      </c>
      <c r="C152" s="25">
        <f>gaz!C154+gaz!G154+gaz!K154</f>
        <v>0</v>
      </c>
      <c r="D152" s="23">
        <f>gaz!D154+gaz!H154+gaz!L154</f>
        <v>0</v>
      </c>
      <c r="E152" s="26">
        <f>gaz!E154+gaz!I154+gaz!M154</f>
        <v>0</v>
      </c>
      <c r="F152" s="21">
        <f>gaz!N154+gaz!R154+gaz!V154</f>
        <v>0</v>
      </c>
      <c r="G152" s="25">
        <f>gaz!O154+gaz!S154+gaz!W154</f>
        <v>0</v>
      </c>
      <c r="H152" s="23">
        <f>gaz!P154+gaz!T154+gaz!X154</f>
        <v>0</v>
      </c>
      <c r="I152" s="26">
        <f>gaz!Q154+gaz!U154+gaz!Y154</f>
        <v>0</v>
      </c>
      <c r="J152" s="21">
        <f>gaz!Z154+gaz!AD154+gaz!AH154</f>
        <v>0</v>
      </c>
      <c r="K152" s="25">
        <f>gaz!AA154+gaz!AE154+gaz!AI154</f>
        <v>0</v>
      </c>
      <c r="L152" s="23">
        <f>gaz!AB154+gaz!AF154+gaz!AJ154</f>
        <v>0</v>
      </c>
      <c r="M152" s="26">
        <f>gaz!AC154+gaz!AG154+gaz!AK154</f>
        <v>0</v>
      </c>
      <c r="N152" s="21">
        <f>gaz!AL154+gaz!AP154+gaz!AT154</f>
        <v>0</v>
      </c>
      <c r="O152" s="25">
        <f>gaz!AM154+gaz!AQ154+gaz!AU154</f>
        <v>0</v>
      </c>
      <c r="P152" s="23">
        <f>gaz!AN154+gaz!AR154+gaz!AV154</f>
        <v>0</v>
      </c>
      <c r="Q152" s="26">
        <f>gaz!AO154+gaz!AS154+gaz!AW154</f>
        <v>0</v>
      </c>
      <c r="R152" s="36">
        <f t="shared" si="73"/>
        <v>0</v>
      </c>
      <c r="S152" s="37">
        <f t="shared" si="74"/>
        <v>0</v>
      </c>
      <c r="T152" s="37">
        <f t="shared" si="75"/>
        <v>0</v>
      </c>
      <c r="U152" s="38">
        <f t="shared" si="76"/>
        <v>0</v>
      </c>
    </row>
    <row r="153" spans="1:21">
      <c r="A153" s="16" t="s">
        <v>883</v>
      </c>
      <c r="B153" s="21">
        <f>gaz!B155+gaz!F155+gaz!J155</f>
        <v>4</v>
      </c>
      <c r="C153" s="25">
        <f>gaz!C155+gaz!G155+gaz!K155</f>
        <v>0</v>
      </c>
      <c r="D153" s="23">
        <f>gaz!D155+gaz!H155+gaz!L155</f>
        <v>4</v>
      </c>
      <c r="E153" s="26">
        <f>gaz!E155+gaz!I155+gaz!M155</f>
        <v>0</v>
      </c>
      <c r="F153" s="21">
        <f>gaz!N155+gaz!R155+gaz!V155</f>
        <v>3</v>
      </c>
      <c r="G153" s="25">
        <f>gaz!O155+gaz!S155+gaz!W155</f>
        <v>0</v>
      </c>
      <c r="H153" s="23">
        <f>gaz!P155+gaz!T155+gaz!X155</f>
        <v>3</v>
      </c>
      <c r="I153" s="26">
        <f>gaz!Q155+gaz!U155+gaz!Y155</f>
        <v>0</v>
      </c>
      <c r="J153" s="21">
        <f>gaz!Z155+gaz!AD155+gaz!AH155</f>
        <v>0</v>
      </c>
      <c r="K153" s="25">
        <f>gaz!AA155+gaz!AE155+gaz!AI155</f>
        <v>0</v>
      </c>
      <c r="L153" s="23">
        <f>gaz!AB155+gaz!AF155+gaz!AJ155</f>
        <v>0</v>
      </c>
      <c r="M153" s="26">
        <f>gaz!AC155+gaz!AG155+gaz!AK155</f>
        <v>0</v>
      </c>
      <c r="N153" s="21">
        <f>gaz!AL155+gaz!AP155+gaz!AT155</f>
        <v>0</v>
      </c>
      <c r="O153" s="25">
        <f>gaz!AM155+gaz!AQ155+gaz!AU155</f>
        <v>0</v>
      </c>
      <c r="P153" s="23">
        <f>gaz!AN155+gaz!AR155+gaz!AV155</f>
        <v>0</v>
      </c>
      <c r="Q153" s="26">
        <f>gaz!AO155+gaz!AS155+gaz!AW155</f>
        <v>0</v>
      </c>
      <c r="R153" s="36">
        <f t="shared" si="73"/>
        <v>7</v>
      </c>
      <c r="S153" s="37">
        <f t="shared" si="74"/>
        <v>0</v>
      </c>
      <c r="T153" s="37">
        <f t="shared" si="75"/>
        <v>7</v>
      </c>
      <c r="U153" s="38">
        <f t="shared" si="76"/>
        <v>0</v>
      </c>
    </row>
    <row r="154" spans="1:21">
      <c r="A154" s="16" t="s">
        <v>884</v>
      </c>
      <c r="B154" s="21">
        <f>gaz!B156+gaz!F156+gaz!J156</f>
        <v>4</v>
      </c>
      <c r="C154" s="25">
        <f>gaz!C156+gaz!G156+gaz!K156</f>
        <v>0</v>
      </c>
      <c r="D154" s="23">
        <f>gaz!D156+gaz!H156+gaz!L156</f>
        <v>4</v>
      </c>
      <c r="E154" s="26">
        <f>gaz!E156+gaz!I156+gaz!M156</f>
        <v>0</v>
      </c>
      <c r="F154" s="21">
        <f>gaz!N156+gaz!R156+gaz!V156</f>
        <v>6</v>
      </c>
      <c r="G154" s="25">
        <f>gaz!O156+gaz!S156+gaz!W156</f>
        <v>0</v>
      </c>
      <c r="H154" s="23">
        <f>gaz!P156+gaz!T156+gaz!X156</f>
        <v>6</v>
      </c>
      <c r="I154" s="26">
        <f>gaz!Q156+gaz!U156+gaz!Y156</f>
        <v>0</v>
      </c>
      <c r="J154" s="21">
        <f>gaz!Z156+gaz!AD156+gaz!AH156</f>
        <v>54</v>
      </c>
      <c r="K154" s="25">
        <f>gaz!AA156+gaz!AE156+gaz!AI156</f>
        <v>2</v>
      </c>
      <c r="L154" s="23">
        <f>gaz!AB156+gaz!AF156+gaz!AJ156</f>
        <v>56</v>
      </c>
      <c r="M154" s="26">
        <f>gaz!AC156+gaz!AG156+gaz!AK156</f>
        <v>0</v>
      </c>
      <c r="N154" s="21">
        <f>gaz!AL156+gaz!AP156+gaz!AT156</f>
        <v>0</v>
      </c>
      <c r="O154" s="25">
        <f>gaz!AM156+gaz!AQ156+gaz!AU156</f>
        <v>0</v>
      </c>
      <c r="P154" s="23">
        <f>gaz!AN156+gaz!AR156+gaz!AV156</f>
        <v>0</v>
      </c>
      <c r="Q154" s="26">
        <f>gaz!AO156+gaz!AS156+gaz!AW156</f>
        <v>0</v>
      </c>
      <c r="R154" s="36">
        <f t="shared" si="73"/>
        <v>64</v>
      </c>
      <c r="S154" s="37">
        <f t="shared" si="74"/>
        <v>2</v>
      </c>
      <c r="T154" s="37">
        <f t="shared" si="75"/>
        <v>66</v>
      </c>
      <c r="U154" s="38">
        <f t="shared" si="76"/>
        <v>0</v>
      </c>
    </row>
    <row r="155" spans="1:21" ht="13.8" thickBot="1">
      <c r="A155" s="16" t="s">
        <v>885</v>
      </c>
      <c r="B155" s="21">
        <f>gaz!B157+gaz!F157+gaz!J157</f>
        <v>54</v>
      </c>
      <c r="C155" s="25">
        <f>gaz!C157+gaz!G157+gaz!K157</f>
        <v>0</v>
      </c>
      <c r="D155" s="23">
        <f>gaz!D157+gaz!H157+gaz!L157</f>
        <v>54</v>
      </c>
      <c r="E155" s="26">
        <f>gaz!E157+gaz!I157+gaz!M157</f>
        <v>0</v>
      </c>
      <c r="F155" s="21">
        <f>gaz!N157+gaz!R157+gaz!V157</f>
        <v>81</v>
      </c>
      <c r="G155" s="25">
        <f>gaz!O157+gaz!S157+gaz!W157</f>
        <v>0</v>
      </c>
      <c r="H155" s="23">
        <f>gaz!P157+gaz!T157+gaz!X157</f>
        <v>81</v>
      </c>
      <c r="I155" s="26">
        <f>gaz!Q157+gaz!U157+gaz!Y157</f>
        <v>0</v>
      </c>
      <c r="J155" s="21">
        <f>gaz!Z157+gaz!AD157+gaz!AH157</f>
        <v>31</v>
      </c>
      <c r="K155" s="25">
        <f>gaz!AA157+gaz!AE157+gaz!AI157</f>
        <v>0</v>
      </c>
      <c r="L155" s="23">
        <f>gaz!AB157+gaz!AF157+gaz!AJ157</f>
        <v>31</v>
      </c>
      <c r="M155" s="26">
        <f>gaz!AC157+gaz!AG157+gaz!AK157</f>
        <v>0</v>
      </c>
      <c r="N155" s="21">
        <f>gaz!AL157+gaz!AP157+gaz!AT157</f>
        <v>0</v>
      </c>
      <c r="O155" s="25">
        <f>gaz!AM157+gaz!AQ157+gaz!AU157</f>
        <v>0</v>
      </c>
      <c r="P155" s="23">
        <f>gaz!AN157+gaz!AR157+gaz!AV157</f>
        <v>0</v>
      </c>
      <c r="Q155" s="26">
        <f>gaz!AO157+gaz!AS157+gaz!AW157</f>
        <v>0</v>
      </c>
      <c r="R155" s="36">
        <f t="shared" si="73"/>
        <v>166</v>
      </c>
      <c r="S155" s="37">
        <f t="shared" si="74"/>
        <v>0</v>
      </c>
      <c r="T155" s="37">
        <f t="shared" si="75"/>
        <v>166</v>
      </c>
      <c r="U155" s="38">
        <f t="shared" si="76"/>
        <v>0</v>
      </c>
    </row>
    <row r="156" spans="1:21" ht="13.8" thickBot="1">
      <c r="A156" s="11" t="s">
        <v>16</v>
      </c>
      <c r="B156" s="22">
        <f t="shared" ref="B156:U156" si="77">SUM(B146:B155)</f>
        <v>168</v>
      </c>
      <c r="C156" s="24">
        <f t="shared" si="77"/>
        <v>0</v>
      </c>
      <c r="D156" s="24">
        <f t="shared" si="77"/>
        <v>168</v>
      </c>
      <c r="E156" s="27">
        <f t="shared" si="77"/>
        <v>0</v>
      </c>
      <c r="F156" s="22">
        <f t="shared" si="77"/>
        <v>151</v>
      </c>
      <c r="G156" s="24">
        <f t="shared" si="77"/>
        <v>0</v>
      </c>
      <c r="H156" s="24">
        <f t="shared" si="77"/>
        <v>151</v>
      </c>
      <c r="I156" s="27">
        <f t="shared" si="77"/>
        <v>0</v>
      </c>
      <c r="J156" s="22">
        <f t="shared" si="77"/>
        <v>125</v>
      </c>
      <c r="K156" s="24">
        <f t="shared" si="77"/>
        <v>2</v>
      </c>
      <c r="L156" s="24">
        <f t="shared" si="77"/>
        <v>127</v>
      </c>
      <c r="M156" s="27">
        <f t="shared" si="77"/>
        <v>0</v>
      </c>
      <c r="N156" s="22">
        <f t="shared" si="77"/>
        <v>0</v>
      </c>
      <c r="O156" s="24">
        <f t="shared" si="77"/>
        <v>0</v>
      </c>
      <c r="P156" s="24">
        <f t="shared" si="77"/>
        <v>0</v>
      </c>
      <c r="Q156" s="27">
        <f t="shared" si="77"/>
        <v>0</v>
      </c>
      <c r="R156" s="39">
        <f t="shared" si="77"/>
        <v>444</v>
      </c>
      <c r="S156" s="39">
        <f t="shared" si="77"/>
        <v>2</v>
      </c>
      <c r="T156" s="39">
        <f t="shared" si="77"/>
        <v>446</v>
      </c>
      <c r="U156" s="39">
        <f t="shared" si="77"/>
        <v>0</v>
      </c>
    </row>
    <row r="158" spans="1:21" ht="17.399999999999999">
      <c r="A158" s="15" t="s">
        <v>867</v>
      </c>
    </row>
    <row r="159" spans="1:21" ht="18" thickBot="1">
      <c r="A159" s="2">
        <f>A128</f>
        <v>2021</v>
      </c>
    </row>
    <row r="160" spans="1:21">
      <c r="A160" s="3429" t="s">
        <v>0</v>
      </c>
      <c r="B160" s="3423" t="s">
        <v>269</v>
      </c>
      <c r="C160" s="3424"/>
      <c r="D160" s="3424"/>
      <c r="E160" s="3425"/>
      <c r="F160" s="3426" t="s">
        <v>270</v>
      </c>
      <c r="G160" s="3427"/>
      <c r="H160" s="3427"/>
      <c r="I160" s="3428"/>
      <c r="J160" s="3420" t="s">
        <v>271</v>
      </c>
      <c r="K160" s="3421"/>
      <c r="L160" s="3421"/>
      <c r="M160" s="3422"/>
      <c r="N160" s="3415" t="s">
        <v>272</v>
      </c>
      <c r="O160" s="3416"/>
      <c r="P160" s="3416"/>
      <c r="Q160" s="3417"/>
      <c r="R160" s="3418" t="s">
        <v>83</v>
      </c>
      <c r="S160" s="3418"/>
      <c r="T160" s="3418"/>
      <c r="U160" s="3419"/>
    </row>
    <row r="161" spans="1:21" ht="13.8" thickBot="1">
      <c r="A161" s="3430"/>
      <c r="B161" s="3" t="s">
        <v>17</v>
      </c>
      <c r="C161" s="4" t="s">
        <v>18</v>
      </c>
      <c r="D161" s="4" t="s">
        <v>56</v>
      </c>
      <c r="E161" s="5" t="s">
        <v>21</v>
      </c>
      <c r="F161" s="3" t="s">
        <v>17</v>
      </c>
      <c r="G161" s="4" t="s">
        <v>18</v>
      </c>
      <c r="H161" s="4" t="s">
        <v>56</v>
      </c>
      <c r="I161" s="5" t="s">
        <v>21</v>
      </c>
      <c r="J161" s="3" t="s">
        <v>17</v>
      </c>
      <c r="K161" s="4" t="s">
        <v>18</v>
      </c>
      <c r="L161" s="4" t="s">
        <v>56</v>
      </c>
      <c r="M161" s="5" t="s">
        <v>21</v>
      </c>
      <c r="N161" s="3" t="s">
        <v>17</v>
      </c>
      <c r="O161" s="4" t="s">
        <v>18</v>
      </c>
      <c r="P161" s="4" t="s">
        <v>56</v>
      </c>
      <c r="Q161" s="5" t="s">
        <v>21</v>
      </c>
      <c r="R161" s="4" t="s">
        <v>17</v>
      </c>
      <c r="S161" s="4" t="s">
        <v>18</v>
      </c>
      <c r="T161" s="4" t="s">
        <v>56</v>
      </c>
      <c r="U161" s="6" t="s">
        <v>21</v>
      </c>
    </row>
    <row r="162" spans="1:21">
      <c r="A162" s="16" t="s">
        <v>68</v>
      </c>
      <c r="B162" s="21">
        <f t="shared" ref="B162:Q162" si="78">B100-B131</f>
        <v>5547</v>
      </c>
      <c r="C162" s="25">
        <f t="shared" si="78"/>
        <v>16</v>
      </c>
      <c r="D162" s="23">
        <f t="shared" si="78"/>
        <v>5563</v>
      </c>
      <c r="E162" s="26">
        <f t="shared" si="78"/>
        <v>5</v>
      </c>
      <c r="F162" s="21">
        <f t="shared" si="78"/>
        <v>3784</v>
      </c>
      <c r="G162" s="25">
        <f t="shared" si="78"/>
        <v>15</v>
      </c>
      <c r="H162" s="23">
        <f t="shared" si="78"/>
        <v>3799</v>
      </c>
      <c r="I162" s="26">
        <f t="shared" si="78"/>
        <v>2</v>
      </c>
      <c r="J162" s="21">
        <f t="shared" si="78"/>
        <v>1786</v>
      </c>
      <c r="K162" s="25">
        <f t="shared" si="78"/>
        <v>1</v>
      </c>
      <c r="L162" s="23">
        <f t="shared" si="78"/>
        <v>1787</v>
      </c>
      <c r="M162" s="26">
        <f t="shared" si="78"/>
        <v>0</v>
      </c>
      <c r="N162" s="21">
        <f t="shared" si="78"/>
        <v>0</v>
      </c>
      <c r="O162" s="25">
        <f t="shared" si="78"/>
        <v>0</v>
      </c>
      <c r="P162" s="23">
        <f t="shared" si="78"/>
        <v>0</v>
      </c>
      <c r="Q162" s="26">
        <f t="shared" si="78"/>
        <v>0</v>
      </c>
      <c r="R162" s="33">
        <f t="shared" ref="R162:R171" si="79">B162+F162+J162+N162</f>
        <v>11117</v>
      </c>
      <c r="S162" s="34">
        <f t="shared" ref="S162:S171" si="80">C162+G162+K162+O162</f>
        <v>32</v>
      </c>
      <c r="T162" s="34">
        <f t="shared" ref="T162:T171" si="81">D162+H162+L162+P162</f>
        <v>11149</v>
      </c>
      <c r="U162" s="35">
        <f t="shared" ref="U162:U171" si="82">E162+I162+M162+Q162</f>
        <v>7</v>
      </c>
    </row>
    <row r="163" spans="1:21">
      <c r="A163" s="16" t="s">
        <v>7</v>
      </c>
      <c r="B163" s="21">
        <f t="shared" ref="B163:Q163" si="83">B101-B132</f>
        <v>3814</v>
      </c>
      <c r="C163" s="25">
        <f t="shared" si="83"/>
        <v>89</v>
      </c>
      <c r="D163" s="23">
        <f t="shared" si="83"/>
        <v>3903</v>
      </c>
      <c r="E163" s="26">
        <f t="shared" si="83"/>
        <v>0</v>
      </c>
      <c r="F163" s="21">
        <f t="shared" si="83"/>
        <v>1666</v>
      </c>
      <c r="G163" s="25">
        <f t="shared" si="83"/>
        <v>26</v>
      </c>
      <c r="H163" s="23">
        <f t="shared" si="83"/>
        <v>1692</v>
      </c>
      <c r="I163" s="26">
        <f t="shared" si="83"/>
        <v>8</v>
      </c>
      <c r="J163" s="21">
        <f t="shared" si="83"/>
        <v>1090</v>
      </c>
      <c r="K163" s="25">
        <f t="shared" si="83"/>
        <v>11</v>
      </c>
      <c r="L163" s="23">
        <f t="shared" si="83"/>
        <v>1101</v>
      </c>
      <c r="M163" s="26">
        <f t="shared" si="83"/>
        <v>1</v>
      </c>
      <c r="N163" s="21">
        <f t="shared" si="83"/>
        <v>0</v>
      </c>
      <c r="O163" s="25">
        <f t="shared" si="83"/>
        <v>0</v>
      </c>
      <c r="P163" s="23">
        <f t="shared" si="83"/>
        <v>0</v>
      </c>
      <c r="Q163" s="26">
        <f t="shared" si="83"/>
        <v>0</v>
      </c>
      <c r="R163" s="36">
        <f t="shared" si="79"/>
        <v>6570</v>
      </c>
      <c r="S163" s="37">
        <f t="shared" si="80"/>
        <v>126</v>
      </c>
      <c r="T163" s="37">
        <f t="shared" si="81"/>
        <v>6696</v>
      </c>
      <c r="U163" s="38">
        <f t="shared" si="82"/>
        <v>9</v>
      </c>
    </row>
    <row r="164" spans="1:21">
      <c r="A164" s="16" t="s">
        <v>8</v>
      </c>
      <c r="B164" s="21">
        <f t="shared" ref="B164:Q164" si="84">B102-B133</f>
        <v>6222</v>
      </c>
      <c r="C164" s="25">
        <f t="shared" si="84"/>
        <v>55</v>
      </c>
      <c r="D164" s="23">
        <f t="shared" si="84"/>
        <v>6277</v>
      </c>
      <c r="E164" s="26">
        <f t="shared" si="84"/>
        <v>1</v>
      </c>
      <c r="F164" s="21">
        <f t="shared" si="84"/>
        <v>2921</v>
      </c>
      <c r="G164" s="25">
        <f t="shared" si="84"/>
        <v>26</v>
      </c>
      <c r="H164" s="23">
        <f t="shared" si="84"/>
        <v>2947</v>
      </c>
      <c r="I164" s="26">
        <f t="shared" si="84"/>
        <v>0</v>
      </c>
      <c r="J164" s="21">
        <f t="shared" si="84"/>
        <v>2098</v>
      </c>
      <c r="K164" s="25">
        <f t="shared" si="84"/>
        <v>8</v>
      </c>
      <c r="L164" s="23">
        <f t="shared" si="84"/>
        <v>2106</v>
      </c>
      <c r="M164" s="26">
        <f t="shared" si="84"/>
        <v>1</v>
      </c>
      <c r="N164" s="21">
        <f t="shared" si="84"/>
        <v>0</v>
      </c>
      <c r="O164" s="25">
        <f t="shared" si="84"/>
        <v>0</v>
      </c>
      <c r="P164" s="23">
        <f t="shared" si="84"/>
        <v>0</v>
      </c>
      <c r="Q164" s="26">
        <f t="shared" si="84"/>
        <v>0</v>
      </c>
      <c r="R164" s="36">
        <f t="shared" si="79"/>
        <v>11241</v>
      </c>
      <c r="S164" s="37">
        <f t="shared" si="80"/>
        <v>89</v>
      </c>
      <c r="T164" s="37">
        <f t="shared" si="81"/>
        <v>11330</v>
      </c>
      <c r="U164" s="38">
        <f t="shared" si="82"/>
        <v>2</v>
      </c>
    </row>
    <row r="165" spans="1:21">
      <c r="A165" s="16" t="s">
        <v>4</v>
      </c>
      <c r="B165" s="21">
        <f t="shared" ref="B165:Q165" si="85">B103-B134</f>
        <v>4373</v>
      </c>
      <c r="C165" s="25">
        <f t="shared" si="85"/>
        <v>55</v>
      </c>
      <c r="D165" s="23">
        <f t="shared" si="85"/>
        <v>4428</v>
      </c>
      <c r="E165" s="26">
        <f t="shared" si="85"/>
        <v>1</v>
      </c>
      <c r="F165" s="21">
        <f t="shared" si="85"/>
        <v>3002</v>
      </c>
      <c r="G165" s="25">
        <f t="shared" si="85"/>
        <v>15</v>
      </c>
      <c r="H165" s="23">
        <f t="shared" si="85"/>
        <v>3017</v>
      </c>
      <c r="I165" s="26">
        <f t="shared" si="85"/>
        <v>0</v>
      </c>
      <c r="J165" s="21">
        <f t="shared" si="85"/>
        <v>2203</v>
      </c>
      <c r="K165" s="25">
        <f t="shared" si="85"/>
        <v>9</v>
      </c>
      <c r="L165" s="23">
        <f t="shared" si="85"/>
        <v>2212</v>
      </c>
      <c r="M165" s="26">
        <f t="shared" si="85"/>
        <v>0</v>
      </c>
      <c r="N165" s="21">
        <f t="shared" si="85"/>
        <v>0</v>
      </c>
      <c r="O165" s="25">
        <f t="shared" si="85"/>
        <v>0</v>
      </c>
      <c r="P165" s="23">
        <f t="shared" si="85"/>
        <v>0</v>
      </c>
      <c r="Q165" s="26">
        <f t="shared" si="85"/>
        <v>0</v>
      </c>
      <c r="R165" s="36">
        <f t="shared" si="79"/>
        <v>9578</v>
      </c>
      <c r="S165" s="37">
        <f t="shared" si="80"/>
        <v>79</v>
      </c>
      <c r="T165" s="37">
        <f t="shared" si="81"/>
        <v>9657</v>
      </c>
      <c r="U165" s="38">
        <f t="shared" si="82"/>
        <v>1</v>
      </c>
    </row>
    <row r="166" spans="1:21">
      <c r="A166" s="16" t="s">
        <v>3</v>
      </c>
      <c r="B166" s="21">
        <f t="shared" ref="B166:Q166" si="86">B104-B135</f>
        <v>2220</v>
      </c>
      <c r="C166" s="25">
        <f t="shared" si="86"/>
        <v>29</v>
      </c>
      <c r="D166" s="23">
        <f t="shared" si="86"/>
        <v>2249</v>
      </c>
      <c r="E166" s="26">
        <f t="shared" si="86"/>
        <v>1</v>
      </c>
      <c r="F166" s="21">
        <f t="shared" si="86"/>
        <v>1050</v>
      </c>
      <c r="G166" s="25">
        <f t="shared" si="86"/>
        <v>10</v>
      </c>
      <c r="H166" s="23">
        <f t="shared" si="86"/>
        <v>1060</v>
      </c>
      <c r="I166" s="26">
        <f t="shared" si="86"/>
        <v>1</v>
      </c>
      <c r="J166" s="21">
        <f t="shared" si="86"/>
        <v>835</v>
      </c>
      <c r="K166" s="25">
        <f t="shared" si="86"/>
        <v>5</v>
      </c>
      <c r="L166" s="23">
        <f t="shared" si="86"/>
        <v>840</v>
      </c>
      <c r="M166" s="26">
        <f t="shared" si="86"/>
        <v>0</v>
      </c>
      <c r="N166" s="21">
        <f t="shared" si="86"/>
        <v>0</v>
      </c>
      <c r="O166" s="25">
        <f t="shared" si="86"/>
        <v>0</v>
      </c>
      <c r="P166" s="23">
        <f t="shared" si="86"/>
        <v>0</v>
      </c>
      <c r="Q166" s="26">
        <f t="shared" si="86"/>
        <v>0</v>
      </c>
      <c r="R166" s="36">
        <f t="shared" si="79"/>
        <v>4105</v>
      </c>
      <c r="S166" s="37">
        <f t="shared" si="80"/>
        <v>44</v>
      </c>
      <c r="T166" s="37">
        <f t="shared" si="81"/>
        <v>4149</v>
      </c>
      <c r="U166" s="38">
        <f t="shared" si="82"/>
        <v>2</v>
      </c>
    </row>
    <row r="167" spans="1:21">
      <c r="A167" s="16" t="s">
        <v>397</v>
      </c>
      <c r="B167" s="21">
        <f t="shared" ref="B167:Q167" si="87">B105-B136</f>
        <v>3247</v>
      </c>
      <c r="C167" s="25">
        <f t="shared" si="87"/>
        <v>9</v>
      </c>
      <c r="D167" s="23">
        <f t="shared" si="87"/>
        <v>3256</v>
      </c>
      <c r="E167" s="26">
        <f t="shared" si="87"/>
        <v>0</v>
      </c>
      <c r="F167" s="21">
        <f t="shared" si="87"/>
        <v>3135</v>
      </c>
      <c r="G167" s="25">
        <f t="shared" si="87"/>
        <v>20</v>
      </c>
      <c r="H167" s="23">
        <f t="shared" si="87"/>
        <v>3155</v>
      </c>
      <c r="I167" s="26">
        <f t="shared" si="87"/>
        <v>2</v>
      </c>
      <c r="J167" s="21">
        <f t="shared" si="87"/>
        <v>1215</v>
      </c>
      <c r="K167" s="25">
        <f t="shared" si="87"/>
        <v>22</v>
      </c>
      <c r="L167" s="23">
        <f t="shared" si="87"/>
        <v>1237</v>
      </c>
      <c r="M167" s="26">
        <f t="shared" si="87"/>
        <v>0</v>
      </c>
      <c r="N167" s="21">
        <f t="shared" si="87"/>
        <v>0</v>
      </c>
      <c r="O167" s="25">
        <f t="shared" si="87"/>
        <v>0</v>
      </c>
      <c r="P167" s="23">
        <f t="shared" si="87"/>
        <v>0</v>
      </c>
      <c r="Q167" s="26">
        <f t="shared" si="87"/>
        <v>0</v>
      </c>
      <c r="R167" s="36">
        <f t="shared" si="79"/>
        <v>7597</v>
      </c>
      <c r="S167" s="37">
        <f t="shared" si="80"/>
        <v>51</v>
      </c>
      <c r="T167" s="37">
        <f t="shared" si="81"/>
        <v>7648</v>
      </c>
      <c r="U167" s="38">
        <f t="shared" si="82"/>
        <v>2</v>
      </c>
    </row>
    <row r="168" spans="1:21">
      <c r="A168" s="16" t="s">
        <v>399</v>
      </c>
      <c r="B168" s="21">
        <f t="shared" ref="B168:Q168" si="88">B106-B137</f>
        <v>5103</v>
      </c>
      <c r="C168" s="25">
        <f t="shared" si="88"/>
        <v>54</v>
      </c>
      <c r="D168" s="23">
        <f t="shared" si="88"/>
        <v>5157</v>
      </c>
      <c r="E168" s="26">
        <f t="shared" si="88"/>
        <v>2</v>
      </c>
      <c r="F168" s="21">
        <f t="shared" si="88"/>
        <v>3324</v>
      </c>
      <c r="G168" s="25">
        <f t="shared" si="88"/>
        <v>12</v>
      </c>
      <c r="H168" s="23">
        <f t="shared" si="88"/>
        <v>3336</v>
      </c>
      <c r="I168" s="26">
        <f t="shared" si="88"/>
        <v>3</v>
      </c>
      <c r="J168" s="21">
        <f t="shared" si="88"/>
        <v>1495</v>
      </c>
      <c r="K168" s="25">
        <f t="shared" si="88"/>
        <v>2</v>
      </c>
      <c r="L168" s="23">
        <f t="shared" si="88"/>
        <v>1497</v>
      </c>
      <c r="M168" s="26">
        <f t="shared" si="88"/>
        <v>1</v>
      </c>
      <c r="N168" s="21">
        <f t="shared" si="88"/>
        <v>0</v>
      </c>
      <c r="O168" s="25">
        <f t="shared" si="88"/>
        <v>0</v>
      </c>
      <c r="P168" s="23">
        <f t="shared" si="88"/>
        <v>0</v>
      </c>
      <c r="Q168" s="26">
        <f t="shared" si="88"/>
        <v>0</v>
      </c>
      <c r="R168" s="36">
        <f t="shared" si="79"/>
        <v>9922</v>
      </c>
      <c r="S168" s="37">
        <f t="shared" si="80"/>
        <v>68</v>
      </c>
      <c r="T168" s="37">
        <f t="shared" si="81"/>
        <v>9990</v>
      </c>
      <c r="U168" s="38">
        <f t="shared" si="82"/>
        <v>6</v>
      </c>
    </row>
    <row r="169" spans="1:21">
      <c r="A169" s="16" t="s">
        <v>883</v>
      </c>
      <c r="B169" s="21">
        <f t="shared" ref="B169:Q169" si="89">B107-B138</f>
        <v>3876</v>
      </c>
      <c r="C169" s="25">
        <f t="shared" si="89"/>
        <v>21</v>
      </c>
      <c r="D169" s="23">
        <f t="shared" si="89"/>
        <v>3897</v>
      </c>
      <c r="E169" s="26">
        <f t="shared" si="89"/>
        <v>5</v>
      </c>
      <c r="F169" s="21">
        <f t="shared" si="89"/>
        <v>1668</v>
      </c>
      <c r="G169" s="25">
        <f t="shared" si="89"/>
        <v>7</v>
      </c>
      <c r="H169" s="23">
        <f t="shared" si="89"/>
        <v>1675</v>
      </c>
      <c r="I169" s="26">
        <f t="shared" si="89"/>
        <v>2</v>
      </c>
      <c r="J169" s="21">
        <f t="shared" si="89"/>
        <v>726</v>
      </c>
      <c r="K169" s="25">
        <f t="shared" si="89"/>
        <v>2</v>
      </c>
      <c r="L169" s="23">
        <f t="shared" si="89"/>
        <v>728</v>
      </c>
      <c r="M169" s="26">
        <f t="shared" si="89"/>
        <v>0</v>
      </c>
      <c r="N169" s="21">
        <f t="shared" si="89"/>
        <v>0</v>
      </c>
      <c r="O169" s="25">
        <f t="shared" si="89"/>
        <v>0</v>
      </c>
      <c r="P169" s="23">
        <f t="shared" si="89"/>
        <v>0</v>
      </c>
      <c r="Q169" s="26">
        <f t="shared" si="89"/>
        <v>0</v>
      </c>
      <c r="R169" s="36">
        <f t="shared" si="79"/>
        <v>6270</v>
      </c>
      <c r="S169" s="37">
        <f t="shared" si="80"/>
        <v>30</v>
      </c>
      <c r="T169" s="37">
        <f t="shared" si="81"/>
        <v>6300</v>
      </c>
      <c r="U169" s="38">
        <f t="shared" si="82"/>
        <v>7</v>
      </c>
    </row>
    <row r="170" spans="1:21">
      <c r="A170" s="16" t="s">
        <v>884</v>
      </c>
      <c r="B170" s="21">
        <f t="shared" ref="B170:Q170" si="90">B108-B139</f>
        <v>7355</v>
      </c>
      <c r="C170" s="25">
        <f t="shared" si="90"/>
        <v>53</v>
      </c>
      <c r="D170" s="23">
        <f t="shared" si="90"/>
        <v>7408</v>
      </c>
      <c r="E170" s="26">
        <f t="shared" si="90"/>
        <v>1</v>
      </c>
      <c r="F170" s="21">
        <f t="shared" si="90"/>
        <v>3348</v>
      </c>
      <c r="G170" s="25">
        <f t="shared" si="90"/>
        <v>21</v>
      </c>
      <c r="H170" s="23">
        <f t="shared" si="90"/>
        <v>3369</v>
      </c>
      <c r="I170" s="26">
        <f t="shared" si="90"/>
        <v>1</v>
      </c>
      <c r="J170" s="21">
        <f t="shared" si="90"/>
        <v>976</v>
      </c>
      <c r="K170" s="25">
        <f t="shared" si="90"/>
        <v>11</v>
      </c>
      <c r="L170" s="23">
        <f t="shared" si="90"/>
        <v>987</v>
      </c>
      <c r="M170" s="26">
        <f t="shared" si="90"/>
        <v>1</v>
      </c>
      <c r="N170" s="21">
        <f t="shared" si="90"/>
        <v>0</v>
      </c>
      <c r="O170" s="25">
        <f t="shared" si="90"/>
        <v>0</v>
      </c>
      <c r="P170" s="23">
        <f t="shared" si="90"/>
        <v>0</v>
      </c>
      <c r="Q170" s="26">
        <f t="shared" si="90"/>
        <v>0</v>
      </c>
      <c r="R170" s="36">
        <f t="shared" si="79"/>
        <v>11679</v>
      </c>
      <c r="S170" s="37">
        <f t="shared" si="80"/>
        <v>85</v>
      </c>
      <c r="T170" s="37">
        <f t="shared" si="81"/>
        <v>11764</v>
      </c>
      <c r="U170" s="38">
        <f t="shared" si="82"/>
        <v>3</v>
      </c>
    </row>
    <row r="171" spans="1:21" ht="13.8" thickBot="1">
      <c r="A171" s="16" t="s">
        <v>885</v>
      </c>
      <c r="B171" s="21">
        <f t="shared" ref="B171:Q171" si="91">B109-B140</f>
        <v>2735</v>
      </c>
      <c r="C171" s="25">
        <f t="shared" si="91"/>
        <v>22</v>
      </c>
      <c r="D171" s="23">
        <f t="shared" si="91"/>
        <v>2757</v>
      </c>
      <c r="E171" s="26">
        <f t="shared" si="91"/>
        <v>0</v>
      </c>
      <c r="F171" s="21">
        <f t="shared" si="91"/>
        <v>2379</v>
      </c>
      <c r="G171" s="25">
        <f t="shared" si="91"/>
        <v>13</v>
      </c>
      <c r="H171" s="23">
        <f t="shared" si="91"/>
        <v>2392</v>
      </c>
      <c r="I171" s="26">
        <f t="shared" si="91"/>
        <v>0</v>
      </c>
      <c r="J171" s="21">
        <f t="shared" si="91"/>
        <v>672</v>
      </c>
      <c r="K171" s="25">
        <f t="shared" si="91"/>
        <v>7</v>
      </c>
      <c r="L171" s="23">
        <f t="shared" si="91"/>
        <v>679</v>
      </c>
      <c r="M171" s="26">
        <f t="shared" si="91"/>
        <v>0</v>
      </c>
      <c r="N171" s="21">
        <f t="shared" si="91"/>
        <v>0</v>
      </c>
      <c r="O171" s="25">
        <f t="shared" si="91"/>
        <v>0</v>
      </c>
      <c r="P171" s="23">
        <f t="shared" si="91"/>
        <v>0</v>
      </c>
      <c r="Q171" s="26">
        <f t="shared" si="91"/>
        <v>0</v>
      </c>
      <c r="R171" s="36">
        <f t="shared" si="79"/>
        <v>5786</v>
      </c>
      <c r="S171" s="37">
        <f t="shared" si="80"/>
        <v>42</v>
      </c>
      <c r="T171" s="37">
        <f t="shared" si="81"/>
        <v>5828</v>
      </c>
      <c r="U171" s="38">
        <f t="shared" si="82"/>
        <v>0</v>
      </c>
    </row>
    <row r="172" spans="1:21" ht="13.8" thickBot="1">
      <c r="A172" s="11" t="s">
        <v>16</v>
      </c>
      <c r="B172" s="22">
        <f t="shared" ref="B172:U172" si="92">SUM(B162:B171)</f>
        <v>44492</v>
      </c>
      <c r="C172" s="24">
        <f t="shared" si="92"/>
        <v>403</v>
      </c>
      <c r="D172" s="24">
        <f t="shared" si="92"/>
        <v>44895</v>
      </c>
      <c r="E172" s="27">
        <f t="shared" si="92"/>
        <v>16</v>
      </c>
      <c r="F172" s="22">
        <f t="shared" si="92"/>
        <v>26277</v>
      </c>
      <c r="G172" s="24">
        <f t="shared" si="92"/>
        <v>165</v>
      </c>
      <c r="H172" s="24">
        <f t="shared" si="92"/>
        <v>26442</v>
      </c>
      <c r="I172" s="27">
        <f t="shared" si="92"/>
        <v>19</v>
      </c>
      <c r="J172" s="22">
        <f t="shared" si="92"/>
        <v>13096</v>
      </c>
      <c r="K172" s="24">
        <f t="shared" si="92"/>
        <v>78</v>
      </c>
      <c r="L172" s="24">
        <f t="shared" si="92"/>
        <v>13174</v>
      </c>
      <c r="M172" s="27">
        <f t="shared" si="92"/>
        <v>4</v>
      </c>
      <c r="N172" s="22">
        <f t="shared" si="92"/>
        <v>0</v>
      </c>
      <c r="O172" s="24">
        <f t="shared" si="92"/>
        <v>0</v>
      </c>
      <c r="P172" s="24">
        <f t="shared" si="92"/>
        <v>0</v>
      </c>
      <c r="Q172" s="27">
        <f t="shared" si="92"/>
        <v>0</v>
      </c>
      <c r="R172" s="39">
        <f t="shared" si="92"/>
        <v>83865</v>
      </c>
      <c r="S172" s="39">
        <f t="shared" si="92"/>
        <v>646</v>
      </c>
      <c r="T172" s="39">
        <f t="shared" si="92"/>
        <v>84511</v>
      </c>
      <c r="U172" s="39">
        <f t="shared" si="92"/>
        <v>39</v>
      </c>
    </row>
    <row r="174" spans="1:21" ht="18" thickBot="1">
      <c r="A174" s="2">
        <f>A143</f>
        <v>2022</v>
      </c>
    </row>
    <row r="175" spans="1:21">
      <c r="A175" s="3429" t="s">
        <v>0</v>
      </c>
      <c r="B175" s="3423" t="s">
        <v>269</v>
      </c>
      <c r="C175" s="3424"/>
      <c r="D175" s="3424"/>
      <c r="E175" s="3425"/>
      <c r="F175" s="3426" t="s">
        <v>270</v>
      </c>
      <c r="G175" s="3427"/>
      <c r="H175" s="3427"/>
      <c r="I175" s="3428"/>
      <c r="J175" s="3420" t="s">
        <v>271</v>
      </c>
      <c r="K175" s="3421"/>
      <c r="L175" s="3421"/>
      <c r="M175" s="3422"/>
      <c r="N175" s="3415" t="s">
        <v>272</v>
      </c>
      <c r="O175" s="3416"/>
      <c r="P175" s="3416"/>
      <c r="Q175" s="3417"/>
      <c r="R175" s="3418" t="s">
        <v>83</v>
      </c>
      <c r="S175" s="3418"/>
      <c r="T175" s="3418"/>
      <c r="U175" s="3419"/>
    </row>
    <row r="176" spans="1:21" ht="13.8" thickBot="1">
      <c r="A176" s="3430"/>
      <c r="B176" s="3" t="s">
        <v>17</v>
      </c>
      <c r="C176" s="4" t="s">
        <v>18</v>
      </c>
      <c r="D176" s="4" t="s">
        <v>56</v>
      </c>
      <c r="E176" s="5" t="s">
        <v>21</v>
      </c>
      <c r="F176" s="3" t="s">
        <v>17</v>
      </c>
      <c r="G176" s="4" t="s">
        <v>18</v>
      </c>
      <c r="H176" s="4" t="s">
        <v>56</v>
      </c>
      <c r="I176" s="5" t="s">
        <v>21</v>
      </c>
      <c r="J176" s="3" t="s">
        <v>17</v>
      </c>
      <c r="K176" s="4" t="s">
        <v>18</v>
      </c>
      <c r="L176" s="4" t="s">
        <v>56</v>
      </c>
      <c r="M176" s="5" t="s">
        <v>21</v>
      </c>
      <c r="N176" s="3" t="s">
        <v>17</v>
      </c>
      <c r="O176" s="4" t="s">
        <v>18</v>
      </c>
      <c r="P176" s="4" t="s">
        <v>56</v>
      </c>
      <c r="Q176" s="5" t="s">
        <v>21</v>
      </c>
      <c r="R176" s="4" t="s">
        <v>17</v>
      </c>
      <c r="S176" s="4" t="s">
        <v>18</v>
      </c>
      <c r="T176" s="4" t="s">
        <v>56</v>
      </c>
      <c r="U176" s="6" t="s">
        <v>21</v>
      </c>
    </row>
    <row r="177" spans="1:21">
      <c r="A177" s="16" t="s">
        <v>68</v>
      </c>
      <c r="B177" s="21">
        <f t="shared" ref="B177:Q177" si="93">B115-B146</f>
        <v>6510</v>
      </c>
      <c r="C177" s="25">
        <f t="shared" si="93"/>
        <v>26</v>
      </c>
      <c r="D177" s="23">
        <f t="shared" si="93"/>
        <v>6536</v>
      </c>
      <c r="E177" s="26">
        <f t="shared" si="93"/>
        <v>1</v>
      </c>
      <c r="F177" s="21">
        <f t="shared" si="93"/>
        <v>4441</v>
      </c>
      <c r="G177" s="25">
        <f t="shared" si="93"/>
        <v>7</v>
      </c>
      <c r="H177" s="23">
        <f t="shared" si="93"/>
        <v>4448</v>
      </c>
      <c r="I177" s="26">
        <f t="shared" si="93"/>
        <v>1</v>
      </c>
      <c r="J177" s="21">
        <f t="shared" si="93"/>
        <v>2417</v>
      </c>
      <c r="K177" s="25">
        <f t="shared" si="93"/>
        <v>2</v>
      </c>
      <c r="L177" s="23">
        <f t="shared" si="93"/>
        <v>2419</v>
      </c>
      <c r="M177" s="26">
        <f t="shared" si="93"/>
        <v>2</v>
      </c>
      <c r="N177" s="21">
        <f t="shared" si="93"/>
        <v>0</v>
      </c>
      <c r="O177" s="25">
        <f t="shared" si="93"/>
        <v>0</v>
      </c>
      <c r="P177" s="23">
        <f t="shared" si="93"/>
        <v>0</v>
      </c>
      <c r="Q177" s="26">
        <f t="shared" si="93"/>
        <v>0</v>
      </c>
      <c r="R177" s="33">
        <f t="shared" ref="R177:R186" si="94">B177+F177+J177+N177</f>
        <v>13368</v>
      </c>
      <c r="S177" s="34">
        <f t="shared" ref="S177:S186" si="95">C177+G177+K177+O177</f>
        <v>35</v>
      </c>
      <c r="T177" s="34">
        <f t="shared" ref="T177:T186" si="96">D177+H177+L177+P177</f>
        <v>13403</v>
      </c>
      <c r="U177" s="35">
        <f t="shared" ref="U177:U186" si="97">E177+I177+M177+Q177</f>
        <v>4</v>
      </c>
    </row>
    <row r="178" spans="1:21">
      <c r="A178" s="16" t="s">
        <v>7</v>
      </c>
      <c r="B178" s="21">
        <f t="shared" ref="B178:Q178" si="98">B116-B147</f>
        <v>3186</v>
      </c>
      <c r="C178" s="25">
        <f t="shared" si="98"/>
        <v>48</v>
      </c>
      <c r="D178" s="23">
        <f t="shared" si="98"/>
        <v>3234</v>
      </c>
      <c r="E178" s="26">
        <f t="shared" si="98"/>
        <v>3</v>
      </c>
      <c r="F178" s="21">
        <f t="shared" si="98"/>
        <v>1568</v>
      </c>
      <c r="G178" s="25">
        <f t="shared" si="98"/>
        <v>40</v>
      </c>
      <c r="H178" s="23">
        <f t="shared" si="98"/>
        <v>1608</v>
      </c>
      <c r="I178" s="26">
        <f t="shared" si="98"/>
        <v>2</v>
      </c>
      <c r="J178" s="21">
        <f t="shared" si="98"/>
        <v>782</v>
      </c>
      <c r="K178" s="25">
        <f t="shared" si="98"/>
        <v>10</v>
      </c>
      <c r="L178" s="23">
        <f t="shared" si="98"/>
        <v>792</v>
      </c>
      <c r="M178" s="26">
        <f t="shared" si="98"/>
        <v>0</v>
      </c>
      <c r="N178" s="21">
        <f t="shared" si="98"/>
        <v>0</v>
      </c>
      <c r="O178" s="25">
        <f t="shared" si="98"/>
        <v>0</v>
      </c>
      <c r="P178" s="23">
        <f t="shared" si="98"/>
        <v>0</v>
      </c>
      <c r="Q178" s="26">
        <f t="shared" si="98"/>
        <v>0</v>
      </c>
      <c r="R178" s="36">
        <f t="shared" si="94"/>
        <v>5536</v>
      </c>
      <c r="S178" s="37">
        <f t="shared" si="95"/>
        <v>98</v>
      </c>
      <c r="T178" s="37">
        <f t="shared" si="96"/>
        <v>5634</v>
      </c>
      <c r="U178" s="38">
        <f t="shared" si="97"/>
        <v>5</v>
      </c>
    </row>
    <row r="179" spans="1:21">
      <c r="A179" s="16" t="s">
        <v>8</v>
      </c>
      <c r="B179" s="21">
        <f t="shared" ref="B179:Q179" si="99">B117-B148</f>
        <v>4367</v>
      </c>
      <c r="C179" s="25">
        <f t="shared" si="99"/>
        <v>62</v>
      </c>
      <c r="D179" s="23">
        <f t="shared" si="99"/>
        <v>4429</v>
      </c>
      <c r="E179" s="26">
        <f t="shared" si="99"/>
        <v>9</v>
      </c>
      <c r="F179" s="21">
        <f t="shared" si="99"/>
        <v>2408</v>
      </c>
      <c r="G179" s="25">
        <f t="shared" si="99"/>
        <v>19</v>
      </c>
      <c r="H179" s="23">
        <f t="shared" si="99"/>
        <v>2427</v>
      </c>
      <c r="I179" s="26">
        <f t="shared" si="99"/>
        <v>0</v>
      </c>
      <c r="J179" s="21">
        <f t="shared" si="99"/>
        <v>1486</v>
      </c>
      <c r="K179" s="25">
        <f t="shared" si="99"/>
        <v>13</v>
      </c>
      <c r="L179" s="23">
        <f t="shared" si="99"/>
        <v>1499</v>
      </c>
      <c r="M179" s="26">
        <f t="shared" si="99"/>
        <v>0</v>
      </c>
      <c r="N179" s="21">
        <f t="shared" si="99"/>
        <v>0</v>
      </c>
      <c r="O179" s="25">
        <f t="shared" si="99"/>
        <v>0</v>
      </c>
      <c r="P179" s="23">
        <f t="shared" si="99"/>
        <v>0</v>
      </c>
      <c r="Q179" s="26">
        <f t="shared" si="99"/>
        <v>0</v>
      </c>
      <c r="R179" s="36">
        <f t="shared" si="94"/>
        <v>8261</v>
      </c>
      <c r="S179" s="37">
        <f t="shared" si="95"/>
        <v>94</v>
      </c>
      <c r="T179" s="37">
        <f t="shared" si="96"/>
        <v>8355</v>
      </c>
      <c r="U179" s="38">
        <f t="shared" si="97"/>
        <v>9</v>
      </c>
    </row>
    <row r="180" spans="1:21">
      <c r="A180" s="16" t="s">
        <v>4</v>
      </c>
      <c r="B180" s="21">
        <f t="shared" ref="B180:Q180" si="100">B118-B149</f>
        <v>5718</v>
      </c>
      <c r="C180" s="25">
        <f t="shared" si="100"/>
        <v>63</v>
      </c>
      <c r="D180" s="23">
        <f t="shared" si="100"/>
        <v>5781</v>
      </c>
      <c r="E180" s="26">
        <f t="shared" si="100"/>
        <v>1</v>
      </c>
      <c r="F180" s="21">
        <f t="shared" si="100"/>
        <v>4132</v>
      </c>
      <c r="G180" s="25">
        <f t="shared" si="100"/>
        <v>37</v>
      </c>
      <c r="H180" s="23">
        <f t="shared" si="100"/>
        <v>4169</v>
      </c>
      <c r="I180" s="26">
        <f t="shared" si="100"/>
        <v>3</v>
      </c>
      <c r="J180" s="21">
        <f t="shared" si="100"/>
        <v>2343</v>
      </c>
      <c r="K180" s="25">
        <f t="shared" si="100"/>
        <v>8</v>
      </c>
      <c r="L180" s="23">
        <f t="shared" si="100"/>
        <v>2351</v>
      </c>
      <c r="M180" s="26">
        <f t="shared" si="100"/>
        <v>3</v>
      </c>
      <c r="N180" s="21">
        <f t="shared" si="100"/>
        <v>0</v>
      </c>
      <c r="O180" s="25">
        <f t="shared" si="100"/>
        <v>0</v>
      </c>
      <c r="P180" s="23">
        <f t="shared" si="100"/>
        <v>0</v>
      </c>
      <c r="Q180" s="26">
        <f t="shared" si="100"/>
        <v>0</v>
      </c>
      <c r="R180" s="36">
        <f t="shared" si="94"/>
        <v>12193</v>
      </c>
      <c r="S180" s="37">
        <f t="shared" si="95"/>
        <v>108</v>
      </c>
      <c r="T180" s="37">
        <f t="shared" si="96"/>
        <v>12301</v>
      </c>
      <c r="U180" s="38">
        <f t="shared" si="97"/>
        <v>7</v>
      </c>
    </row>
    <row r="181" spans="1:21">
      <c r="A181" s="16" t="s">
        <v>3</v>
      </c>
      <c r="B181" s="21">
        <f t="shared" ref="B181:Q181" si="101">B119-B150</f>
        <v>1618</v>
      </c>
      <c r="C181" s="25">
        <f t="shared" si="101"/>
        <v>41</v>
      </c>
      <c r="D181" s="23">
        <f t="shared" si="101"/>
        <v>1659</v>
      </c>
      <c r="E181" s="26">
        <f t="shared" si="101"/>
        <v>0</v>
      </c>
      <c r="F181" s="21">
        <f t="shared" si="101"/>
        <v>1032</v>
      </c>
      <c r="G181" s="25">
        <f t="shared" si="101"/>
        <v>14</v>
      </c>
      <c r="H181" s="23">
        <f t="shared" si="101"/>
        <v>1046</v>
      </c>
      <c r="I181" s="26">
        <f t="shared" si="101"/>
        <v>2</v>
      </c>
      <c r="J181" s="21">
        <f t="shared" si="101"/>
        <v>854</v>
      </c>
      <c r="K181" s="25">
        <f t="shared" si="101"/>
        <v>6</v>
      </c>
      <c r="L181" s="23">
        <f t="shared" si="101"/>
        <v>860</v>
      </c>
      <c r="M181" s="26">
        <f t="shared" si="101"/>
        <v>0</v>
      </c>
      <c r="N181" s="21">
        <f t="shared" si="101"/>
        <v>0</v>
      </c>
      <c r="O181" s="25">
        <f t="shared" si="101"/>
        <v>0</v>
      </c>
      <c r="P181" s="23">
        <f t="shared" si="101"/>
        <v>0</v>
      </c>
      <c r="Q181" s="26">
        <f t="shared" si="101"/>
        <v>0</v>
      </c>
      <c r="R181" s="36">
        <f t="shared" si="94"/>
        <v>3504</v>
      </c>
      <c r="S181" s="37">
        <f t="shared" si="95"/>
        <v>61</v>
      </c>
      <c r="T181" s="37">
        <f t="shared" si="96"/>
        <v>3565</v>
      </c>
      <c r="U181" s="38">
        <f t="shared" si="97"/>
        <v>2</v>
      </c>
    </row>
    <row r="182" spans="1:21">
      <c r="A182" s="16" t="s">
        <v>397</v>
      </c>
      <c r="B182" s="21">
        <f t="shared" ref="B182:Q182" si="102">B120-B151</f>
        <v>2792</v>
      </c>
      <c r="C182" s="25">
        <f t="shared" si="102"/>
        <v>15</v>
      </c>
      <c r="D182" s="23">
        <f t="shared" si="102"/>
        <v>2807</v>
      </c>
      <c r="E182" s="26">
        <f t="shared" si="102"/>
        <v>1</v>
      </c>
      <c r="F182" s="21">
        <f t="shared" si="102"/>
        <v>1956</v>
      </c>
      <c r="G182" s="25">
        <f t="shared" si="102"/>
        <v>10</v>
      </c>
      <c r="H182" s="23">
        <f t="shared" si="102"/>
        <v>1966</v>
      </c>
      <c r="I182" s="26">
        <f t="shared" si="102"/>
        <v>2</v>
      </c>
      <c r="J182" s="21">
        <f t="shared" si="102"/>
        <v>1231</v>
      </c>
      <c r="K182" s="25">
        <f t="shared" si="102"/>
        <v>3</v>
      </c>
      <c r="L182" s="23">
        <f t="shared" si="102"/>
        <v>1234</v>
      </c>
      <c r="M182" s="26">
        <f t="shared" si="102"/>
        <v>1</v>
      </c>
      <c r="N182" s="21">
        <f t="shared" si="102"/>
        <v>0</v>
      </c>
      <c r="O182" s="25">
        <f t="shared" si="102"/>
        <v>0</v>
      </c>
      <c r="P182" s="23">
        <f t="shared" si="102"/>
        <v>0</v>
      </c>
      <c r="Q182" s="26">
        <f t="shared" si="102"/>
        <v>0</v>
      </c>
      <c r="R182" s="36">
        <f t="shared" si="94"/>
        <v>5979</v>
      </c>
      <c r="S182" s="37">
        <f t="shared" si="95"/>
        <v>28</v>
      </c>
      <c r="T182" s="37">
        <f t="shared" si="96"/>
        <v>6007</v>
      </c>
      <c r="U182" s="38">
        <f t="shared" si="97"/>
        <v>4</v>
      </c>
    </row>
    <row r="183" spans="1:21">
      <c r="A183" s="16" t="s">
        <v>399</v>
      </c>
      <c r="B183" s="21">
        <f t="shared" ref="B183:Q183" si="103">B121-B152</f>
        <v>4569</v>
      </c>
      <c r="C183" s="25">
        <f t="shared" si="103"/>
        <v>28</v>
      </c>
      <c r="D183" s="23">
        <f t="shared" si="103"/>
        <v>4597</v>
      </c>
      <c r="E183" s="26">
        <f t="shared" si="103"/>
        <v>1</v>
      </c>
      <c r="F183" s="21">
        <f t="shared" si="103"/>
        <v>3833</v>
      </c>
      <c r="G183" s="25">
        <f t="shared" si="103"/>
        <v>15</v>
      </c>
      <c r="H183" s="23">
        <f t="shared" si="103"/>
        <v>3848</v>
      </c>
      <c r="I183" s="26">
        <f t="shared" si="103"/>
        <v>4</v>
      </c>
      <c r="J183" s="21">
        <f t="shared" si="103"/>
        <v>2232</v>
      </c>
      <c r="K183" s="25">
        <f t="shared" si="103"/>
        <v>2</v>
      </c>
      <c r="L183" s="23">
        <f t="shared" si="103"/>
        <v>2234</v>
      </c>
      <c r="M183" s="26">
        <f t="shared" si="103"/>
        <v>4</v>
      </c>
      <c r="N183" s="21">
        <f t="shared" si="103"/>
        <v>0</v>
      </c>
      <c r="O183" s="25">
        <f t="shared" si="103"/>
        <v>0</v>
      </c>
      <c r="P183" s="23">
        <f t="shared" si="103"/>
        <v>0</v>
      </c>
      <c r="Q183" s="26">
        <f t="shared" si="103"/>
        <v>0</v>
      </c>
      <c r="R183" s="36">
        <f t="shared" si="94"/>
        <v>10634</v>
      </c>
      <c r="S183" s="37">
        <f t="shared" si="95"/>
        <v>45</v>
      </c>
      <c r="T183" s="37">
        <f t="shared" si="96"/>
        <v>10679</v>
      </c>
      <c r="U183" s="38">
        <f t="shared" si="97"/>
        <v>9</v>
      </c>
    </row>
    <row r="184" spans="1:21">
      <c r="A184" s="16" t="s">
        <v>883</v>
      </c>
      <c r="B184" s="21">
        <f t="shared" ref="B184:Q184" si="104">B122-B153</f>
        <v>2213</v>
      </c>
      <c r="C184" s="25">
        <f t="shared" si="104"/>
        <v>14</v>
      </c>
      <c r="D184" s="23">
        <f t="shared" si="104"/>
        <v>2227</v>
      </c>
      <c r="E184" s="26">
        <f t="shared" si="104"/>
        <v>1</v>
      </c>
      <c r="F184" s="21">
        <f t="shared" si="104"/>
        <v>1624</v>
      </c>
      <c r="G184" s="25">
        <f t="shared" si="104"/>
        <v>8</v>
      </c>
      <c r="H184" s="23">
        <f t="shared" si="104"/>
        <v>1632</v>
      </c>
      <c r="I184" s="26">
        <f t="shared" si="104"/>
        <v>3</v>
      </c>
      <c r="J184" s="21">
        <f t="shared" si="104"/>
        <v>820</v>
      </c>
      <c r="K184" s="25">
        <f t="shared" si="104"/>
        <v>5</v>
      </c>
      <c r="L184" s="23">
        <f t="shared" si="104"/>
        <v>825</v>
      </c>
      <c r="M184" s="26">
        <f t="shared" si="104"/>
        <v>0</v>
      </c>
      <c r="N184" s="21">
        <f t="shared" si="104"/>
        <v>0</v>
      </c>
      <c r="O184" s="25">
        <f t="shared" si="104"/>
        <v>0</v>
      </c>
      <c r="P184" s="23">
        <f t="shared" si="104"/>
        <v>0</v>
      </c>
      <c r="Q184" s="26">
        <f t="shared" si="104"/>
        <v>0</v>
      </c>
      <c r="R184" s="36">
        <f t="shared" si="94"/>
        <v>4657</v>
      </c>
      <c r="S184" s="37">
        <f t="shared" si="95"/>
        <v>27</v>
      </c>
      <c r="T184" s="37">
        <f t="shared" si="96"/>
        <v>4684</v>
      </c>
      <c r="U184" s="38">
        <f t="shared" si="97"/>
        <v>4</v>
      </c>
    </row>
    <row r="185" spans="1:21">
      <c r="A185" s="16" t="s">
        <v>884</v>
      </c>
      <c r="B185" s="21">
        <f t="shared" ref="B185:Q185" si="105">B123-B154</f>
        <v>4639</v>
      </c>
      <c r="C185" s="25">
        <f t="shared" si="105"/>
        <v>57</v>
      </c>
      <c r="D185" s="23">
        <f t="shared" si="105"/>
        <v>4696</v>
      </c>
      <c r="E185" s="26">
        <f t="shared" si="105"/>
        <v>1</v>
      </c>
      <c r="F185" s="21">
        <f t="shared" si="105"/>
        <v>2292</v>
      </c>
      <c r="G185" s="25">
        <f t="shared" si="105"/>
        <v>37</v>
      </c>
      <c r="H185" s="23">
        <f t="shared" si="105"/>
        <v>2329</v>
      </c>
      <c r="I185" s="26">
        <f t="shared" si="105"/>
        <v>1</v>
      </c>
      <c r="J185" s="21">
        <f t="shared" si="105"/>
        <v>1900</v>
      </c>
      <c r="K185" s="25">
        <f t="shared" si="105"/>
        <v>7</v>
      </c>
      <c r="L185" s="23">
        <f t="shared" si="105"/>
        <v>1907</v>
      </c>
      <c r="M185" s="26">
        <f t="shared" si="105"/>
        <v>3</v>
      </c>
      <c r="N185" s="21">
        <f t="shared" si="105"/>
        <v>0</v>
      </c>
      <c r="O185" s="25">
        <f t="shared" si="105"/>
        <v>0</v>
      </c>
      <c r="P185" s="23">
        <f t="shared" si="105"/>
        <v>0</v>
      </c>
      <c r="Q185" s="26">
        <f t="shared" si="105"/>
        <v>0</v>
      </c>
      <c r="R185" s="36">
        <f t="shared" si="94"/>
        <v>8831</v>
      </c>
      <c r="S185" s="37">
        <f t="shared" si="95"/>
        <v>101</v>
      </c>
      <c r="T185" s="37">
        <f t="shared" si="96"/>
        <v>8932</v>
      </c>
      <c r="U185" s="38">
        <f t="shared" si="97"/>
        <v>5</v>
      </c>
    </row>
    <row r="186" spans="1:21" ht="13.8" thickBot="1">
      <c r="A186" s="16" t="s">
        <v>885</v>
      </c>
      <c r="B186" s="21">
        <f t="shared" ref="B186:Q186" si="106">B124-B155</f>
        <v>2057</v>
      </c>
      <c r="C186" s="25">
        <f t="shared" si="106"/>
        <v>17</v>
      </c>
      <c r="D186" s="23">
        <f t="shared" si="106"/>
        <v>2074</v>
      </c>
      <c r="E186" s="26">
        <f t="shared" si="106"/>
        <v>0</v>
      </c>
      <c r="F186" s="21">
        <f t="shared" si="106"/>
        <v>2056</v>
      </c>
      <c r="G186" s="25">
        <f t="shared" si="106"/>
        <v>9</v>
      </c>
      <c r="H186" s="23">
        <f t="shared" si="106"/>
        <v>2065</v>
      </c>
      <c r="I186" s="26">
        <f t="shared" si="106"/>
        <v>1</v>
      </c>
      <c r="J186" s="21">
        <f t="shared" si="106"/>
        <v>375</v>
      </c>
      <c r="K186" s="25">
        <f t="shared" si="106"/>
        <v>2</v>
      </c>
      <c r="L186" s="23">
        <f t="shared" si="106"/>
        <v>377</v>
      </c>
      <c r="M186" s="26">
        <f t="shared" si="106"/>
        <v>0</v>
      </c>
      <c r="N186" s="21">
        <f t="shared" si="106"/>
        <v>0</v>
      </c>
      <c r="O186" s="25">
        <f t="shared" si="106"/>
        <v>0</v>
      </c>
      <c r="P186" s="23">
        <f t="shared" si="106"/>
        <v>0</v>
      </c>
      <c r="Q186" s="26">
        <f t="shared" si="106"/>
        <v>0</v>
      </c>
      <c r="R186" s="36">
        <f t="shared" si="94"/>
        <v>4488</v>
      </c>
      <c r="S186" s="37">
        <f t="shared" si="95"/>
        <v>28</v>
      </c>
      <c r="T186" s="37">
        <f t="shared" si="96"/>
        <v>4516</v>
      </c>
      <c r="U186" s="38">
        <f t="shared" si="97"/>
        <v>1</v>
      </c>
    </row>
    <row r="187" spans="1:21" ht="13.8" thickBot="1">
      <c r="A187" s="11" t="s">
        <v>16</v>
      </c>
      <c r="B187" s="22">
        <f t="shared" ref="B187:U187" si="107">SUM(B177:B186)</f>
        <v>37669</v>
      </c>
      <c r="C187" s="24">
        <f t="shared" si="107"/>
        <v>371</v>
      </c>
      <c r="D187" s="24">
        <f t="shared" si="107"/>
        <v>38040</v>
      </c>
      <c r="E187" s="27">
        <f t="shared" si="107"/>
        <v>18</v>
      </c>
      <c r="F187" s="22">
        <f t="shared" si="107"/>
        <v>25342</v>
      </c>
      <c r="G187" s="24">
        <f t="shared" si="107"/>
        <v>196</v>
      </c>
      <c r="H187" s="24">
        <f t="shared" si="107"/>
        <v>25538</v>
      </c>
      <c r="I187" s="27">
        <f t="shared" si="107"/>
        <v>19</v>
      </c>
      <c r="J187" s="22">
        <f t="shared" si="107"/>
        <v>14440</v>
      </c>
      <c r="K187" s="24">
        <f t="shared" si="107"/>
        <v>58</v>
      </c>
      <c r="L187" s="24">
        <f t="shared" si="107"/>
        <v>14498</v>
      </c>
      <c r="M187" s="27">
        <f t="shared" si="107"/>
        <v>13</v>
      </c>
      <c r="N187" s="22">
        <f t="shared" si="107"/>
        <v>0</v>
      </c>
      <c r="O187" s="24">
        <f t="shared" si="107"/>
        <v>0</v>
      </c>
      <c r="P187" s="24">
        <f t="shared" si="107"/>
        <v>0</v>
      </c>
      <c r="Q187" s="27">
        <f t="shared" si="107"/>
        <v>0</v>
      </c>
      <c r="R187" s="39">
        <f t="shared" si="107"/>
        <v>77451</v>
      </c>
      <c r="S187" s="39">
        <f t="shared" si="107"/>
        <v>625</v>
      </c>
      <c r="T187" s="39">
        <f t="shared" si="107"/>
        <v>78076</v>
      </c>
      <c r="U187" s="39">
        <f t="shared" si="107"/>
        <v>50</v>
      </c>
    </row>
    <row r="189" spans="1:21" ht="17.399999999999999">
      <c r="A189" s="15" t="s">
        <v>85</v>
      </c>
    </row>
    <row r="190" spans="1:21" ht="18" thickBot="1">
      <c r="A190" s="2">
        <f>trim_elec!A190</f>
        <v>2021</v>
      </c>
    </row>
    <row r="191" spans="1:21">
      <c r="A191" s="3429" t="s">
        <v>0</v>
      </c>
      <c r="B191" s="3423" t="s">
        <v>269</v>
      </c>
      <c r="C191" s="3424"/>
      <c r="D191" s="3424"/>
      <c r="E191" s="3425"/>
      <c r="F191" s="3426" t="s">
        <v>270</v>
      </c>
      <c r="G191" s="3427"/>
      <c r="H191" s="3427"/>
      <c r="I191" s="3428"/>
      <c r="J191" s="3420" t="s">
        <v>271</v>
      </c>
      <c r="K191" s="3421"/>
      <c r="L191" s="3421"/>
      <c r="M191" s="3422"/>
      <c r="N191" s="3415" t="s">
        <v>272</v>
      </c>
      <c r="O191" s="3416"/>
      <c r="P191" s="3416"/>
      <c r="Q191" s="3417"/>
      <c r="R191" s="3418" t="s">
        <v>83</v>
      </c>
      <c r="S191" s="3418"/>
      <c r="T191" s="3418"/>
      <c r="U191" s="3419"/>
    </row>
    <row r="192" spans="1:21" ht="13.8" thickBot="1">
      <c r="A192" s="3430"/>
      <c r="B192" s="3" t="s">
        <v>17</v>
      </c>
      <c r="C192" s="4" t="s">
        <v>18</v>
      </c>
      <c r="D192" s="4" t="s">
        <v>56</v>
      </c>
      <c r="E192" s="5" t="s">
        <v>21</v>
      </c>
      <c r="F192" s="3" t="s">
        <v>17</v>
      </c>
      <c r="G192" s="4" t="s">
        <v>18</v>
      </c>
      <c r="H192" s="4" t="s">
        <v>56</v>
      </c>
      <c r="I192" s="5" t="s">
        <v>21</v>
      </c>
      <c r="J192" s="3" t="s">
        <v>17</v>
      </c>
      <c r="K192" s="4" t="s">
        <v>18</v>
      </c>
      <c r="L192" s="4" t="s">
        <v>56</v>
      </c>
      <c r="M192" s="5" t="s">
        <v>21</v>
      </c>
      <c r="N192" s="3" t="s">
        <v>17</v>
      </c>
      <c r="O192" s="4" t="s">
        <v>18</v>
      </c>
      <c r="P192" s="4" t="s">
        <v>56</v>
      </c>
      <c r="Q192" s="5" t="s">
        <v>21</v>
      </c>
      <c r="R192" s="4" t="s">
        <v>17</v>
      </c>
      <c r="S192" s="4" t="s">
        <v>18</v>
      </c>
      <c r="T192" s="4" t="s">
        <v>56</v>
      </c>
      <c r="U192" s="6" t="s">
        <v>21</v>
      </c>
    </row>
    <row r="193" spans="1:21">
      <c r="A193" s="16" t="s">
        <v>68</v>
      </c>
      <c r="B193" s="28">
        <f>gaz!B196+gaz!F196+gaz!J196</f>
        <v>1310.7434578400002</v>
      </c>
      <c r="C193" s="32">
        <f>gaz!C196+gaz!G196+gaz!K196</f>
        <v>46.376650630000007</v>
      </c>
      <c r="D193" s="30">
        <f t="shared" ref="D193:D202" si="108">+B193+C193</f>
        <v>1357.1201084700003</v>
      </c>
      <c r="E193" s="20">
        <f>gaz!E196+gaz!I196+gaz!M196</f>
        <v>206.24588205000001</v>
      </c>
      <c r="F193" s="28">
        <f>gaz!N196+gaz!R196+gaz!V196</f>
        <v>819.29639638999993</v>
      </c>
      <c r="G193" s="32">
        <f>gaz!O196+gaz!S196+gaz!W196</f>
        <v>18.101540419999999</v>
      </c>
      <c r="H193" s="30">
        <f t="shared" ref="H193:H202" si="109">+F193+G193</f>
        <v>837.39793680999992</v>
      </c>
      <c r="I193" s="20">
        <f>gaz!Q196+gaz!U196+gaz!Y196</f>
        <v>168.32734252</v>
      </c>
      <c r="J193" s="28">
        <f>gaz!Z196+gaz!AD196+gaz!AH196</f>
        <v>320.84698059000004</v>
      </c>
      <c r="K193" s="32">
        <f>gaz!AA196+gaz!AE196+gaz!AI196</f>
        <v>12.394106110000001</v>
      </c>
      <c r="L193" s="30">
        <f t="shared" ref="L193:L202" si="110">+J193+K193</f>
        <v>333.24108670000004</v>
      </c>
      <c r="M193" s="20">
        <f>gaz!AC196+gaz!AG196+gaz!AK196</f>
        <v>151.18665751</v>
      </c>
      <c r="N193" s="28">
        <f>gaz!AL196+gaz!AP196+gaz!AT196</f>
        <v>0</v>
      </c>
      <c r="O193" s="32">
        <f>gaz!AM196+gaz!AQ196+gaz!AU196</f>
        <v>0</v>
      </c>
      <c r="P193" s="30">
        <f t="shared" ref="P193:P202" si="111">+N193+O193</f>
        <v>0</v>
      </c>
      <c r="Q193" s="20">
        <f>gaz!AO196+gaz!AS196+gaz!AW196</f>
        <v>0</v>
      </c>
      <c r="R193" s="40">
        <f>N193+J193+F193+B193</f>
        <v>2450.8868348200003</v>
      </c>
      <c r="S193" s="41">
        <f>O193+K193+G193+C193</f>
        <v>76.872297160000016</v>
      </c>
      <c r="T193" s="41">
        <f>R193+S193</f>
        <v>2527.7591319800003</v>
      </c>
      <c r="U193" s="42">
        <f>Q193+M193+I193+E193</f>
        <v>525.75988208000001</v>
      </c>
    </row>
    <row r="194" spans="1:21">
      <c r="A194" s="16" t="s">
        <v>7</v>
      </c>
      <c r="B194" s="28">
        <f>gaz!B197+gaz!F197+gaz!J197</f>
        <v>1324.7600241299997</v>
      </c>
      <c r="C194" s="32">
        <f>gaz!C197+gaz!G197+gaz!K197</f>
        <v>76.976082160000004</v>
      </c>
      <c r="D194" s="30">
        <f t="shared" si="108"/>
        <v>1401.7361062899997</v>
      </c>
      <c r="E194" s="20">
        <f>gaz!E197+gaz!I197+gaz!M197</f>
        <v>69.988461180000002</v>
      </c>
      <c r="F194" s="28">
        <f>gaz!N197+gaz!R197+gaz!V197</f>
        <v>833.30741421999983</v>
      </c>
      <c r="G194" s="32">
        <f>gaz!O197+gaz!S197+gaz!W197</f>
        <v>33.193172820000001</v>
      </c>
      <c r="H194" s="30">
        <f t="shared" si="109"/>
        <v>866.5005870399998</v>
      </c>
      <c r="I194" s="20">
        <f>gaz!Q197+gaz!U197+gaz!Y197</f>
        <v>32.461774059999996</v>
      </c>
      <c r="J194" s="28">
        <f>gaz!Z197+gaz!AD197+gaz!AH197</f>
        <v>190.82197567000009</v>
      </c>
      <c r="K194" s="32">
        <f>gaz!AA197+gaz!AE197+gaz!AI197</f>
        <v>10.229794829999999</v>
      </c>
      <c r="L194" s="30">
        <f t="shared" si="110"/>
        <v>201.05177050000009</v>
      </c>
      <c r="M194" s="20">
        <f>gaz!AC197+gaz!AG197+gaz!AK197</f>
        <v>12.587149220000001</v>
      </c>
      <c r="N194" s="28">
        <f>gaz!AL197+gaz!AP197+gaz!AT197</f>
        <v>0</v>
      </c>
      <c r="O194" s="32">
        <f>gaz!AM197+gaz!AQ197+gaz!AU197</f>
        <v>0</v>
      </c>
      <c r="P194" s="30">
        <f t="shared" si="111"/>
        <v>0</v>
      </c>
      <c r="Q194" s="20">
        <f>gaz!AO197+gaz!AS197+gaz!AW197</f>
        <v>0</v>
      </c>
      <c r="R194" s="43">
        <f t="shared" ref="R194:U202" si="112">N194+J194+F194+B194</f>
        <v>2348.8894140199995</v>
      </c>
      <c r="S194" s="44">
        <f t="shared" si="112"/>
        <v>120.39904981000001</v>
      </c>
      <c r="T194" s="44">
        <f t="shared" ref="T194:T202" si="113">R194+S194</f>
        <v>2469.2884638299997</v>
      </c>
      <c r="U194" s="45">
        <f t="shared" si="112"/>
        <v>115.03738446</v>
      </c>
    </row>
    <row r="195" spans="1:21">
      <c r="A195" s="16" t="s">
        <v>8</v>
      </c>
      <c r="B195" s="28">
        <f>gaz!B198+gaz!F198+gaz!J198</f>
        <v>1257.9396999599999</v>
      </c>
      <c r="C195" s="32">
        <f>gaz!C198+gaz!G198+gaz!K198</f>
        <v>79.679233490000001</v>
      </c>
      <c r="D195" s="30">
        <f t="shared" si="108"/>
        <v>1337.61893345</v>
      </c>
      <c r="E195" s="20">
        <f>gaz!E198+gaz!I198+gaz!M198</f>
        <v>58.489817220000006</v>
      </c>
      <c r="F195" s="28">
        <f>gaz!N198+gaz!R198+gaz!V198</f>
        <v>761.57053644000007</v>
      </c>
      <c r="G195" s="32">
        <f>gaz!O198+gaz!S198+gaz!W198</f>
        <v>41.008452790000007</v>
      </c>
      <c r="H195" s="30">
        <f t="shared" si="109"/>
        <v>802.57898923000005</v>
      </c>
      <c r="I195" s="20">
        <f>gaz!Q198+gaz!U198+gaz!Y198</f>
        <v>18.646170260000002</v>
      </c>
      <c r="J195" s="28">
        <f>gaz!Z198+gaz!AD198+gaz!AH198</f>
        <v>187.50220661999981</v>
      </c>
      <c r="K195" s="32">
        <f>gaz!AA198+gaz!AE198+gaz!AI198</f>
        <v>5.5870591899999997</v>
      </c>
      <c r="L195" s="30">
        <f t="shared" si="110"/>
        <v>193.0892658099998</v>
      </c>
      <c r="M195" s="20">
        <f>gaz!AC198+gaz!AG198+gaz!AK198</f>
        <v>2.7160818800000008</v>
      </c>
      <c r="N195" s="28">
        <f>gaz!AL198+gaz!AP198+gaz!AT198</f>
        <v>0</v>
      </c>
      <c r="O195" s="32">
        <f>gaz!AM198+gaz!AQ198+gaz!AU198</f>
        <v>0</v>
      </c>
      <c r="P195" s="30">
        <f t="shared" si="111"/>
        <v>0</v>
      </c>
      <c r="Q195" s="20">
        <f>gaz!AO198+gaz!AS198+gaz!AW198</f>
        <v>0</v>
      </c>
      <c r="R195" s="43">
        <f t="shared" si="112"/>
        <v>2207.0124430199999</v>
      </c>
      <c r="S195" s="44">
        <f t="shared" si="112"/>
        <v>126.27474547</v>
      </c>
      <c r="T195" s="44">
        <f t="shared" si="113"/>
        <v>2333.2871884900001</v>
      </c>
      <c r="U195" s="45">
        <f t="shared" si="112"/>
        <v>79.852069360000002</v>
      </c>
    </row>
    <row r="196" spans="1:21">
      <c r="A196" s="16" t="s">
        <v>4</v>
      </c>
      <c r="B196" s="28">
        <f>gaz!B199+gaz!F199+gaz!J199</f>
        <v>2156.7837147999999</v>
      </c>
      <c r="C196" s="32">
        <f>gaz!C199+gaz!G199+gaz!K199</f>
        <v>83.924933499999995</v>
      </c>
      <c r="D196" s="30">
        <f t="shared" si="108"/>
        <v>2240.7086482999998</v>
      </c>
      <c r="E196" s="20">
        <f>gaz!E199+gaz!I199+gaz!M199</f>
        <v>96.085367609999992</v>
      </c>
      <c r="F196" s="28">
        <f>gaz!N199+gaz!R199+gaz!V199</f>
        <v>1351.3567985</v>
      </c>
      <c r="G196" s="32">
        <f>gaz!O199+gaz!S199+gaz!W199</f>
        <v>51.449565</v>
      </c>
      <c r="H196" s="30">
        <f t="shared" si="109"/>
        <v>1402.8063634999999</v>
      </c>
      <c r="I196" s="20">
        <f>gaz!Q199+gaz!U199+gaz!Y199</f>
        <v>42.680937360000001</v>
      </c>
      <c r="J196" s="28">
        <f>gaz!Z199+gaz!AD199+gaz!AH199</f>
        <v>303.75840840000001</v>
      </c>
      <c r="K196" s="32">
        <f>gaz!AA199+gaz!AE199+gaz!AI199</f>
        <v>9.0408170999999999</v>
      </c>
      <c r="L196" s="30">
        <f t="shared" si="110"/>
        <v>312.79922550000003</v>
      </c>
      <c r="M196" s="20">
        <f>gaz!AC199+gaz!AG199+gaz!AK199</f>
        <v>19.379015579999997</v>
      </c>
      <c r="N196" s="28">
        <f>gaz!AL199+gaz!AP199+gaz!AT199</f>
        <v>0</v>
      </c>
      <c r="O196" s="32">
        <f>gaz!AM199+gaz!AQ199+gaz!AU199</f>
        <v>0</v>
      </c>
      <c r="P196" s="30">
        <f t="shared" si="111"/>
        <v>0</v>
      </c>
      <c r="Q196" s="20">
        <f>gaz!AO199+gaz!AS199+gaz!AW199</f>
        <v>0</v>
      </c>
      <c r="R196" s="43">
        <f t="shared" si="112"/>
        <v>3811.8989216999998</v>
      </c>
      <c r="S196" s="44">
        <f t="shared" si="112"/>
        <v>144.41531559999999</v>
      </c>
      <c r="T196" s="44">
        <f t="shared" si="113"/>
        <v>3956.3142373000001</v>
      </c>
      <c r="U196" s="45">
        <f t="shared" si="112"/>
        <v>158.14532055000001</v>
      </c>
    </row>
    <row r="197" spans="1:21">
      <c r="A197" s="16" t="s">
        <v>3</v>
      </c>
      <c r="B197" s="28">
        <f>gaz!B200+gaz!F200+gaz!J200</f>
        <v>2186.0432638799994</v>
      </c>
      <c r="C197" s="32">
        <f>gaz!C200+gaz!G200+gaz!K200</f>
        <v>136.14412705999999</v>
      </c>
      <c r="D197" s="30">
        <f t="shared" si="108"/>
        <v>2322.1873909399992</v>
      </c>
      <c r="E197" s="20">
        <f>gaz!E200+gaz!I200+gaz!M200</f>
        <v>103.87856632999998</v>
      </c>
      <c r="F197" s="28">
        <f>gaz!N200+gaz!R200+gaz!V200</f>
        <v>1247.1577048199997</v>
      </c>
      <c r="G197" s="32">
        <f>gaz!O200+gaz!S200+gaz!W200</f>
        <v>56.441109990000001</v>
      </c>
      <c r="H197" s="30">
        <f t="shared" si="109"/>
        <v>1303.5988148099998</v>
      </c>
      <c r="I197" s="20">
        <f>gaz!Q200+gaz!U200+gaz!Y200</f>
        <v>38.569291339999999</v>
      </c>
      <c r="J197" s="28">
        <f>gaz!Z200+gaz!AD200+gaz!AH200</f>
        <v>319.27324851999992</v>
      </c>
      <c r="K197" s="32">
        <f>gaz!AA200+gaz!AE200+gaz!AI200</f>
        <v>3.1849739399999999</v>
      </c>
      <c r="L197" s="30">
        <f t="shared" si="110"/>
        <v>322.45822245999994</v>
      </c>
      <c r="M197" s="20">
        <f>gaz!AC200+gaz!AG200+gaz!AK200</f>
        <v>16.62660266</v>
      </c>
      <c r="N197" s="28">
        <f>gaz!AL200+gaz!AP200+gaz!AT200</f>
        <v>0</v>
      </c>
      <c r="O197" s="32">
        <f>gaz!AM200+gaz!AQ200+gaz!AU200</f>
        <v>0</v>
      </c>
      <c r="P197" s="30">
        <f t="shared" si="111"/>
        <v>0</v>
      </c>
      <c r="Q197" s="20">
        <f>gaz!AO200+gaz!AS200+gaz!AW200</f>
        <v>0</v>
      </c>
      <c r="R197" s="43">
        <f t="shared" si="112"/>
        <v>3752.474217219999</v>
      </c>
      <c r="S197" s="44">
        <f t="shared" si="112"/>
        <v>195.77021098999998</v>
      </c>
      <c r="T197" s="44">
        <f t="shared" si="113"/>
        <v>3948.2444282099991</v>
      </c>
      <c r="U197" s="45">
        <f t="shared" si="112"/>
        <v>159.07446032999997</v>
      </c>
    </row>
    <row r="198" spans="1:21">
      <c r="A198" s="16" t="s">
        <v>397</v>
      </c>
      <c r="B198" s="28">
        <f>gaz!B201+gaz!F201+gaz!J201</f>
        <v>540.37513810000019</v>
      </c>
      <c r="C198" s="32">
        <f>gaz!C201+gaz!G201+gaz!K201</f>
        <v>20.843379399999996</v>
      </c>
      <c r="D198" s="30">
        <f t="shared" si="108"/>
        <v>561.21851750000019</v>
      </c>
      <c r="E198" s="20">
        <f>gaz!E201+gaz!I201+gaz!M201</f>
        <v>59.92090907</v>
      </c>
      <c r="F198" s="28">
        <f>gaz!N201+gaz!R201+gaz!V201</f>
        <v>376.78485661788062</v>
      </c>
      <c r="G198" s="32">
        <f>gaz!O201+gaz!S201+gaz!W201</f>
        <v>14.715889882119349</v>
      </c>
      <c r="H198" s="30">
        <f t="shared" si="109"/>
        <v>391.50074649999999</v>
      </c>
      <c r="I198" s="20">
        <f>gaz!Q201+gaz!U201+gaz!Y201</f>
        <v>33.284445930000004</v>
      </c>
      <c r="J198" s="28">
        <f>gaz!Z201+gaz!AD201+gaz!AH201</f>
        <v>110.06104790000064</v>
      </c>
      <c r="K198" s="32">
        <f>gaz!AA201+gaz!AE201+gaz!AI201</f>
        <v>3.6355142000000003</v>
      </c>
      <c r="L198" s="30">
        <f t="shared" si="110"/>
        <v>113.69656210000065</v>
      </c>
      <c r="M198" s="20">
        <f>gaz!AC201+gaz!AG201+gaz!AK201</f>
        <v>19.40939491</v>
      </c>
      <c r="N198" s="28">
        <f>gaz!AL201+gaz!AP201+gaz!AT201</f>
        <v>0</v>
      </c>
      <c r="O198" s="32">
        <f>gaz!AM201+gaz!AQ201+gaz!AU201</f>
        <v>0</v>
      </c>
      <c r="P198" s="30">
        <f t="shared" si="111"/>
        <v>0</v>
      </c>
      <c r="Q198" s="20">
        <f>gaz!AO201+gaz!AS201+gaz!AW201</f>
        <v>0</v>
      </c>
      <c r="R198" s="43">
        <f t="shared" si="112"/>
        <v>1027.2210426178815</v>
      </c>
      <c r="S198" s="44">
        <f t="shared" si="112"/>
        <v>39.194783482119348</v>
      </c>
      <c r="T198" s="44">
        <f t="shared" si="113"/>
        <v>1066.4158261000009</v>
      </c>
      <c r="U198" s="45">
        <f t="shared" si="112"/>
        <v>112.61474991</v>
      </c>
    </row>
    <row r="199" spans="1:21">
      <c r="A199" s="16" t="s">
        <v>399</v>
      </c>
      <c r="B199" s="28">
        <f>gaz!B202+gaz!F202+gaz!J202</f>
        <v>847.57362943999999</v>
      </c>
      <c r="C199" s="32">
        <f>gaz!C202+gaz!G202+gaz!K202</f>
        <v>28.498390799999996</v>
      </c>
      <c r="D199" s="30">
        <f t="shared" si="108"/>
        <v>876.07202024000003</v>
      </c>
      <c r="E199" s="20">
        <f>gaz!E202+gaz!I202+gaz!M202</f>
        <v>214.54415988</v>
      </c>
      <c r="F199" s="28">
        <f>gaz!N202+gaz!R202+gaz!V202</f>
        <v>528.24278923999964</v>
      </c>
      <c r="G199" s="32">
        <f>gaz!O202+gaz!S202+gaz!W202</f>
        <v>11.176017069999999</v>
      </c>
      <c r="H199" s="30">
        <f t="shared" si="109"/>
        <v>539.41880630999958</v>
      </c>
      <c r="I199" s="20">
        <f>gaz!Q202+gaz!U202+gaz!Y202</f>
        <v>198.20732233999999</v>
      </c>
      <c r="J199" s="28">
        <f>gaz!Z202+gaz!AD202+gaz!AH202</f>
        <v>154.97164599999999</v>
      </c>
      <c r="K199" s="32">
        <f>gaz!AA202+gaz!AE202+gaz!AI202</f>
        <v>1.8824572799999999</v>
      </c>
      <c r="L199" s="30">
        <f t="shared" si="110"/>
        <v>156.85410328</v>
      </c>
      <c r="M199" s="20">
        <f>gaz!AC202+gaz!AG202+gaz!AK202</f>
        <v>117.14024986000001</v>
      </c>
      <c r="N199" s="28">
        <f>gaz!AL202+gaz!AP202+gaz!AT202</f>
        <v>0</v>
      </c>
      <c r="O199" s="32">
        <f>gaz!AM202+gaz!AQ202+gaz!AU202</f>
        <v>0</v>
      </c>
      <c r="P199" s="30">
        <f t="shared" si="111"/>
        <v>0</v>
      </c>
      <c r="Q199" s="20">
        <f>gaz!AO202+gaz!AS202+gaz!AW202</f>
        <v>0</v>
      </c>
      <c r="R199" s="43">
        <f t="shared" si="112"/>
        <v>1530.7880646799995</v>
      </c>
      <c r="S199" s="44">
        <f t="shared" si="112"/>
        <v>41.556865149999993</v>
      </c>
      <c r="T199" s="44">
        <f t="shared" si="113"/>
        <v>1572.3449298299995</v>
      </c>
      <c r="U199" s="45">
        <f t="shared" si="112"/>
        <v>529.89173208</v>
      </c>
    </row>
    <row r="200" spans="1:21">
      <c r="A200" s="16" t="s">
        <v>883</v>
      </c>
      <c r="B200" s="28">
        <f>gaz!B203+gaz!F203+gaz!J203</f>
        <v>782.31609353000101</v>
      </c>
      <c r="C200" s="32">
        <f>gaz!C203+gaz!G203+gaz!K203</f>
        <v>37.503668140000002</v>
      </c>
      <c r="D200" s="30">
        <f t="shared" si="108"/>
        <v>819.81976167000107</v>
      </c>
      <c r="E200" s="20">
        <f>gaz!E203+gaz!I203+gaz!M203</f>
        <v>39.718642859999996</v>
      </c>
      <c r="F200" s="28">
        <f>gaz!N203+gaz!R203+gaz!V203</f>
        <v>441.543924</v>
      </c>
      <c r="G200" s="32">
        <f>gaz!O203+gaz!S203+gaz!W203</f>
        <v>17.12789399</v>
      </c>
      <c r="H200" s="30">
        <f t="shared" si="109"/>
        <v>458.67181799000002</v>
      </c>
      <c r="I200" s="20">
        <f>gaz!Q203+gaz!U203+gaz!Y203</f>
        <v>16.603120390000001</v>
      </c>
      <c r="J200" s="28">
        <f>gaz!Z203+gaz!AD203+gaz!AH203</f>
        <v>114.54918464999994</v>
      </c>
      <c r="K200" s="32">
        <f>gaz!AA203+gaz!AE203+gaz!AI203</f>
        <v>3.0142801199999996</v>
      </c>
      <c r="L200" s="30">
        <f t="shared" si="110"/>
        <v>117.56346476999994</v>
      </c>
      <c r="M200" s="20">
        <f>gaz!AC203+gaz!AG203+gaz!AK203</f>
        <v>6.3360577899999999</v>
      </c>
      <c r="N200" s="28">
        <f>gaz!AL203+gaz!AP203+gaz!AT203</f>
        <v>0</v>
      </c>
      <c r="O200" s="32">
        <f>gaz!AM203+gaz!AQ203+gaz!AU203</f>
        <v>0</v>
      </c>
      <c r="P200" s="30">
        <f t="shared" si="111"/>
        <v>0</v>
      </c>
      <c r="Q200" s="20">
        <f>gaz!AO203+gaz!AS203+gaz!AW203</f>
        <v>0</v>
      </c>
      <c r="R200" s="43">
        <f t="shared" si="112"/>
        <v>1338.4092021800011</v>
      </c>
      <c r="S200" s="44">
        <f t="shared" si="112"/>
        <v>57.645842250000001</v>
      </c>
      <c r="T200" s="44">
        <f t="shared" si="113"/>
        <v>1396.0550444300011</v>
      </c>
      <c r="U200" s="45">
        <f t="shared" si="112"/>
        <v>62.657821039999995</v>
      </c>
    </row>
    <row r="201" spans="1:21">
      <c r="A201" s="16" t="s">
        <v>884</v>
      </c>
      <c r="B201" s="28">
        <f>gaz!B204+gaz!F204+gaz!J204</f>
        <v>748.85839229999988</v>
      </c>
      <c r="C201" s="32">
        <f>gaz!C204+gaz!G204+gaz!K204</f>
        <v>33.9060202</v>
      </c>
      <c r="D201" s="30">
        <f t="shared" si="108"/>
        <v>782.76441249999993</v>
      </c>
      <c r="E201" s="20">
        <f>gaz!E204+gaz!I204+gaz!M204</f>
        <v>50.154749649999999</v>
      </c>
      <c r="F201" s="28">
        <f>gaz!N204+gaz!R204+gaz!V204</f>
        <v>483.95356500000003</v>
      </c>
      <c r="G201" s="32">
        <f>gaz!O204+gaz!S204+gaz!W204</f>
        <v>22.891902999999996</v>
      </c>
      <c r="H201" s="30">
        <f t="shared" si="109"/>
        <v>506.84546800000004</v>
      </c>
      <c r="I201" s="20">
        <f>gaz!Q204+gaz!U204+gaz!Y204</f>
        <v>29.616065649999999</v>
      </c>
      <c r="J201" s="28">
        <f>gaz!Z204+gaz!AD204+gaz!AH204</f>
        <v>152.57138070000002</v>
      </c>
      <c r="K201" s="32">
        <f>gaz!AA204+gaz!AE204+gaz!AI204</f>
        <v>3.6323881</v>
      </c>
      <c r="L201" s="30">
        <f t="shared" si="110"/>
        <v>156.20376880000003</v>
      </c>
      <c r="M201" s="20">
        <f>gaz!AC204+gaz!AG204+gaz!AK204</f>
        <v>26.737906120000002</v>
      </c>
      <c r="N201" s="28">
        <f>gaz!AL204+gaz!AP204+gaz!AT204</f>
        <v>0</v>
      </c>
      <c r="O201" s="32">
        <f>gaz!AM204+gaz!AQ204+gaz!AU204</f>
        <v>0</v>
      </c>
      <c r="P201" s="30">
        <f t="shared" si="111"/>
        <v>0</v>
      </c>
      <c r="Q201" s="20">
        <f>gaz!AO204+gaz!AS204+gaz!AW204</f>
        <v>0</v>
      </c>
      <c r="R201" s="43">
        <f t="shared" si="112"/>
        <v>1385.3833379999999</v>
      </c>
      <c r="S201" s="44">
        <f t="shared" si="112"/>
        <v>60.4303113</v>
      </c>
      <c r="T201" s="44">
        <f t="shared" si="113"/>
        <v>1445.8136493</v>
      </c>
      <c r="U201" s="45">
        <f t="shared" si="112"/>
        <v>106.50872142</v>
      </c>
    </row>
    <row r="202" spans="1:21" ht="13.8" thickBot="1">
      <c r="A202" s="16" t="s">
        <v>885</v>
      </c>
      <c r="B202" s="28">
        <f>gaz!B205+gaz!F205+gaz!J205</f>
        <v>500.82468992800034</v>
      </c>
      <c r="C202" s="32">
        <f>gaz!C205+gaz!G205+gaz!K205</f>
        <v>47.582733684000004</v>
      </c>
      <c r="D202" s="30">
        <f t="shared" si="108"/>
        <v>548.40742361200034</v>
      </c>
      <c r="E202" s="20">
        <f>gaz!E205+gaz!I205+gaz!M205</f>
        <v>15.158670100000002</v>
      </c>
      <c r="F202" s="28">
        <f>gaz!N205+gaz!R205+gaz!V205</f>
        <v>333.83845823799999</v>
      </c>
      <c r="G202" s="32">
        <f>gaz!O205+gaz!S205+gaz!W205</f>
        <v>24.364864472000001</v>
      </c>
      <c r="H202" s="30">
        <f t="shared" si="109"/>
        <v>358.20332271000001</v>
      </c>
      <c r="I202" s="20">
        <f>gaz!Q205+gaz!U205+gaz!Y205</f>
        <v>3.6117961300000005</v>
      </c>
      <c r="J202" s="28">
        <f>gaz!Z205+gaz!AD205+gaz!AH205</f>
        <v>78.057368866000004</v>
      </c>
      <c r="K202" s="32">
        <f>gaz!AA205+gaz!AE205+gaz!AI205</f>
        <v>4.6586993640000003</v>
      </c>
      <c r="L202" s="30">
        <f t="shared" si="110"/>
        <v>82.716068230000005</v>
      </c>
      <c r="M202" s="20">
        <f>gaz!AC205+gaz!AG205+gaz!AK205</f>
        <v>0.79149245000000001</v>
      </c>
      <c r="N202" s="28">
        <f>gaz!AL205+gaz!AP205+gaz!AT205</f>
        <v>0</v>
      </c>
      <c r="O202" s="32">
        <f>gaz!AM205+gaz!AQ205+gaz!AU205</f>
        <v>0</v>
      </c>
      <c r="P202" s="30">
        <f t="shared" si="111"/>
        <v>0</v>
      </c>
      <c r="Q202" s="20">
        <f>gaz!AO205+gaz!AS205+gaz!AW205</f>
        <v>0</v>
      </c>
      <c r="R202" s="43">
        <f t="shared" si="112"/>
        <v>912.72051703200032</v>
      </c>
      <c r="S202" s="44">
        <f t="shared" si="112"/>
        <v>76.606297519999998</v>
      </c>
      <c r="T202" s="44">
        <f t="shared" si="113"/>
        <v>989.32681455200031</v>
      </c>
      <c r="U202" s="45">
        <f t="shared" si="112"/>
        <v>19.561958680000004</v>
      </c>
    </row>
    <row r="203" spans="1:21" ht="13.8" thickBot="1">
      <c r="A203" s="11" t="s">
        <v>16</v>
      </c>
      <c r="B203" s="29">
        <f t="shared" ref="B203:U203" si="114">SUM(B193:B202)</f>
        <v>11656.218103907999</v>
      </c>
      <c r="C203" s="31">
        <f t="shared" si="114"/>
        <v>591.43521906399997</v>
      </c>
      <c r="D203" s="31">
        <f t="shared" si="114"/>
        <v>12247.653322972003</v>
      </c>
      <c r="E203" s="19">
        <f t="shared" si="114"/>
        <v>914.18522595000002</v>
      </c>
      <c r="F203" s="29">
        <f t="shared" si="114"/>
        <v>7177.0524434658801</v>
      </c>
      <c r="G203" s="31">
        <f t="shared" si="114"/>
        <v>290.47040943411935</v>
      </c>
      <c r="H203" s="31">
        <f t="shared" si="114"/>
        <v>7467.5228528999987</v>
      </c>
      <c r="I203" s="19">
        <f t="shared" si="114"/>
        <v>582.00826597999992</v>
      </c>
      <c r="J203" s="29">
        <f t="shared" si="114"/>
        <v>1932.4134479160002</v>
      </c>
      <c r="K203" s="31">
        <f t="shared" si="114"/>
        <v>57.260090233999996</v>
      </c>
      <c r="L203" s="31">
        <f t="shared" si="114"/>
        <v>1989.6735381500002</v>
      </c>
      <c r="M203" s="19">
        <f t="shared" si="114"/>
        <v>372.91060797999995</v>
      </c>
      <c r="N203" s="29">
        <f t="shared" si="114"/>
        <v>0</v>
      </c>
      <c r="O203" s="31">
        <f t="shared" si="114"/>
        <v>0</v>
      </c>
      <c r="P203" s="31">
        <f t="shared" si="114"/>
        <v>0</v>
      </c>
      <c r="Q203" s="19">
        <f t="shared" si="114"/>
        <v>0</v>
      </c>
      <c r="R203" s="46">
        <f t="shared" si="114"/>
        <v>20765.683995289881</v>
      </c>
      <c r="S203" s="46">
        <f t="shared" si="114"/>
        <v>939.16571873211933</v>
      </c>
      <c r="T203" s="46">
        <f t="shared" si="114"/>
        <v>21704.849714021999</v>
      </c>
      <c r="U203" s="46">
        <f t="shared" si="114"/>
        <v>1869.1040999100003</v>
      </c>
    </row>
    <row r="204" spans="1:21">
      <c r="E204" s="58"/>
      <c r="I204" s="58"/>
    </row>
    <row r="205" spans="1:21" ht="18" thickBot="1">
      <c r="A205" s="2">
        <f>trim_elec!A205</f>
        <v>2022</v>
      </c>
    </row>
    <row r="206" spans="1:21">
      <c r="A206" s="3429" t="s">
        <v>0</v>
      </c>
      <c r="B206" s="3423" t="s">
        <v>269</v>
      </c>
      <c r="C206" s="3424"/>
      <c r="D206" s="3424"/>
      <c r="E206" s="3425"/>
      <c r="F206" s="3426" t="s">
        <v>270</v>
      </c>
      <c r="G206" s="3427"/>
      <c r="H206" s="3427"/>
      <c r="I206" s="3428"/>
      <c r="J206" s="3420" t="s">
        <v>271</v>
      </c>
      <c r="K206" s="3421"/>
      <c r="L206" s="3421"/>
      <c r="M206" s="3422"/>
      <c r="N206" s="3415" t="s">
        <v>272</v>
      </c>
      <c r="O206" s="3416"/>
      <c r="P206" s="3416"/>
      <c r="Q206" s="3417"/>
      <c r="R206" s="3418" t="s">
        <v>83</v>
      </c>
      <c r="S206" s="3418"/>
      <c r="T206" s="3418"/>
      <c r="U206" s="3419"/>
    </row>
    <row r="207" spans="1:21" ht="13.8" thickBot="1">
      <c r="A207" s="3430"/>
      <c r="B207" s="3" t="s">
        <v>17</v>
      </c>
      <c r="C207" s="4" t="s">
        <v>18</v>
      </c>
      <c r="D207" s="4" t="s">
        <v>56</v>
      </c>
      <c r="E207" s="5" t="s">
        <v>21</v>
      </c>
      <c r="F207" s="3" t="s">
        <v>17</v>
      </c>
      <c r="G207" s="4" t="s">
        <v>18</v>
      </c>
      <c r="H207" s="4" t="s">
        <v>56</v>
      </c>
      <c r="I207" s="5" t="s">
        <v>21</v>
      </c>
      <c r="J207" s="3" t="s">
        <v>17</v>
      </c>
      <c r="K207" s="4" t="s">
        <v>18</v>
      </c>
      <c r="L207" s="4" t="s">
        <v>56</v>
      </c>
      <c r="M207" s="5" t="s">
        <v>21</v>
      </c>
      <c r="N207" s="3" t="s">
        <v>17</v>
      </c>
      <c r="O207" s="4" t="s">
        <v>18</v>
      </c>
      <c r="P207" s="4" t="s">
        <v>56</v>
      </c>
      <c r="Q207" s="5" t="s">
        <v>21</v>
      </c>
      <c r="R207" s="4" t="s">
        <v>17</v>
      </c>
      <c r="S207" s="4" t="s">
        <v>18</v>
      </c>
      <c r="T207" s="4" t="s">
        <v>56</v>
      </c>
      <c r="U207" s="6" t="s">
        <v>21</v>
      </c>
    </row>
    <row r="208" spans="1:21">
      <c r="A208" s="16" t="s">
        <v>68</v>
      </c>
      <c r="B208" s="28">
        <f>gaz!B211+gaz!F211+gaz!J211</f>
        <v>1369.2197823300007</v>
      </c>
      <c r="C208" s="32">
        <f>gaz!C211+gaz!G211+gaz!K211</f>
        <v>44.304079639999998</v>
      </c>
      <c r="D208" s="30">
        <f t="shared" ref="D208:D217" si="115">+B208+C208</f>
        <v>1413.5238619700008</v>
      </c>
      <c r="E208" s="20">
        <f>gaz!E211+gaz!I211+gaz!M211</f>
        <v>206.03553049999999</v>
      </c>
      <c r="F208" s="28">
        <f>gaz!N211+gaz!R211+gaz!V211</f>
        <v>804.07210907000024</v>
      </c>
      <c r="G208" s="32">
        <f>gaz!O211+gaz!S211+gaz!W211</f>
        <v>19.70901117</v>
      </c>
      <c r="H208" s="30">
        <f t="shared" ref="H208:H217" si="116">+F208+G208</f>
        <v>823.78112024000029</v>
      </c>
      <c r="I208" s="20">
        <f>gaz!Q211+gaz!U211+gaz!Y211</f>
        <v>180.22183082999999</v>
      </c>
      <c r="J208" s="28">
        <f>gaz!Z211+gaz!AD211+gaz!AH211</f>
        <v>230.87156905000001</v>
      </c>
      <c r="K208" s="32">
        <f>gaz!AA211+gaz!AE211+gaz!AI211</f>
        <v>2.5566088499999999</v>
      </c>
      <c r="L208" s="30">
        <f t="shared" ref="L208:L217" si="117">+J208+K208</f>
        <v>233.42817790000001</v>
      </c>
      <c r="M208" s="20">
        <f>gaz!AC211+gaz!AG211+gaz!AK211</f>
        <v>178.69534439999998</v>
      </c>
      <c r="N208" s="28">
        <f>gaz!AL211+gaz!AP211+gaz!AT211</f>
        <v>0</v>
      </c>
      <c r="O208" s="32">
        <f>gaz!AM211+gaz!AQ211+gaz!AU211</f>
        <v>0</v>
      </c>
      <c r="P208" s="30">
        <f t="shared" ref="P208:P217" si="118">+N208+O208</f>
        <v>0</v>
      </c>
      <c r="Q208" s="20">
        <f>gaz!AO211+gaz!AS211+gaz!AW211</f>
        <v>0</v>
      </c>
      <c r="R208" s="40">
        <f t="shared" ref="R208:R217" si="119">B208+F208+J208+N208</f>
        <v>2404.1634604500009</v>
      </c>
      <c r="S208" s="41">
        <f t="shared" ref="S208:S217" si="120">C208+G208+K208+O208</f>
        <v>66.569699659999998</v>
      </c>
      <c r="T208" s="41">
        <f t="shared" ref="T208:T217" si="121">D208+H208+L208+P208</f>
        <v>2470.7331601100009</v>
      </c>
      <c r="U208" s="42">
        <f t="shared" ref="U208:U217" si="122">E208+I208+M208+Q208</f>
        <v>564.95270572999993</v>
      </c>
    </row>
    <row r="209" spans="1:21">
      <c r="A209" s="16" t="s">
        <v>7</v>
      </c>
      <c r="B209" s="28">
        <f>gaz!B212+gaz!F212+gaz!J212</f>
        <v>1419.39103742</v>
      </c>
      <c r="C209" s="32">
        <f>gaz!C212+gaz!G212+gaz!K212</f>
        <v>81.582995699999998</v>
      </c>
      <c r="D209" s="30">
        <f t="shared" si="115"/>
        <v>1500.9740331200001</v>
      </c>
      <c r="E209" s="20">
        <f>gaz!E212+gaz!I212+gaz!M212</f>
        <v>76.926254540000002</v>
      </c>
      <c r="F209" s="28">
        <f>gaz!N212+gaz!R212+gaz!V212</f>
        <v>825.30395214000009</v>
      </c>
      <c r="G209" s="32">
        <f>gaz!O212+gaz!S212+gaz!W212</f>
        <v>34.300566939999996</v>
      </c>
      <c r="H209" s="30">
        <f t="shared" si="116"/>
        <v>859.60451908000005</v>
      </c>
      <c r="I209" s="20">
        <f>gaz!Q212+gaz!U212+gaz!Y212</f>
        <v>31.480824819999995</v>
      </c>
      <c r="J209" s="28">
        <f>gaz!Z212+gaz!AD212+gaz!AH212</f>
        <v>160.09516782</v>
      </c>
      <c r="K209" s="32">
        <f>gaz!AA212+gaz!AE212+gaz!AI212</f>
        <v>3.0827383700000004</v>
      </c>
      <c r="L209" s="30">
        <f t="shared" si="117"/>
        <v>163.17790618999999</v>
      </c>
      <c r="M209" s="20">
        <f>gaz!AC212+gaz!AG212+gaz!AK212</f>
        <v>17.75170829</v>
      </c>
      <c r="N209" s="28">
        <f>gaz!AL212+gaz!AP212+gaz!AT212</f>
        <v>0</v>
      </c>
      <c r="O209" s="32">
        <f>gaz!AM212+gaz!AQ212+gaz!AU212</f>
        <v>0</v>
      </c>
      <c r="P209" s="30">
        <f t="shared" si="118"/>
        <v>0</v>
      </c>
      <c r="Q209" s="20">
        <f>gaz!AO212+gaz!AS212+gaz!AW212</f>
        <v>0</v>
      </c>
      <c r="R209" s="43">
        <f t="shared" si="119"/>
        <v>2404.79015738</v>
      </c>
      <c r="S209" s="44">
        <f t="shared" si="120"/>
        <v>118.96630101</v>
      </c>
      <c r="T209" s="44">
        <f t="shared" si="121"/>
        <v>2523.7564583900003</v>
      </c>
      <c r="U209" s="45">
        <f t="shared" si="122"/>
        <v>126.15878764999999</v>
      </c>
    </row>
    <row r="210" spans="1:21">
      <c r="A210" s="16" t="s">
        <v>8</v>
      </c>
      <c r="B210" s="28">
        <f>gaz!B213+gaz!F213+gaz!J213</f>
        <v>1367.1051403299998</v>
      </c>
      <c r="C210" s="32">
        <f>gaz!C213+gaz!G213+gaz!K213</f>
        <v>85.352956169999999</v>
      </c>
      <c r="D210" s="30">
        <f t="shared" si="115"/>
        <v>1452.4580964999998</v>
      </c>
      <c r="E210" s="20">
        <f>gaz!E213+gaz!I213+gaz!M213</f>
        <v>57.41251948</v>
      </c>
      <c r="F210" s="28">
        <f>gaz!N213+gaz!R213+gaz!V213</f>
        <v>825.43241380999962</v>
      </c>
      <c r="G210" s="32">
        <f>gaz!O213+gaz!S213+gaz!W213</f>
        <v>43.216749509999993</v>
      </c>
      <c r="H210" s="30">
        <f t="shared" si="116"/>
        <v>868.64916331999962</v>
      </c>
      <c r="I210" s="20">
        <f>gaz!Q213+gaz!U213+gaz!Y213</f>
        <v>20.397438000000001</v>
      </c>
      <c r="J210" s="28">
        <f>gaz!Z213+gaz!AD213+gaz!AH213</f>
        <v>165.87778257999994</v>
      </c>
      <c r="K210" s="32">
        <f>gaz!AA213+gaz!AE213+gaz!AI213</f>
        <v>4.4756429699999991</v>
      </c>
      <c r="L210" s="30">
        <f t="shared" si="117"/>
        <v>170.35342554999994</v>
      </c>
      <c r="M210" s="20">
        <f>gaz!AC213+gaz!AG213+gaz!AK213</f>
        <v>3.17</v>
      </c>
      <c r="N210" s="28">
        <f>gaz!AL213+gaz!AP213+gaz!AT213</f>
        <v>0</v>
      </c>
      <c r="O210" s="32">
        <f>gaz!AM213+gaz!AQ213+gaz!AU213</f>
        <v>0</v>
      </c>
      <c r="P210" s="30">
        <f t="shared" si="118"/>
        <v>0</v>
      </c>
      <c r="Q210" s="20">
        <f>gaz!AO213+gaz!AS213+gaz!AW213</f>
        <v>0</v>
      </c>
      <c r="R210" s="43">
        <f t="shared" si="119"/>
        <v>2358.4153367199992</v>
      </c>
      <c r="S210" s="44">
        <f t="shared" si="120"/>
        <v>133.04534864999999</v>
      </c>
      <c r="T210" s="44">
        <f t="shared" si="121"/>
        <v>2491.4606853699993</v>
      </c>
      <c r="U210" s="45">
        <f t="shared" si="122"/>
        <v>80.97995748000001</v>
      </c>
    </row>
    <row r="211" spans="1:21">
      <c r="A211" s="16" t="s">
        <v>4</v>
      </c>
      <c r="B211" s="28">
        <f>gaz!B214+gaz!F214+gaz!J214</f>
        <v>2153.0346210999996</v>
      </c>
      <c r="C211" s="32">
        <f>gaz!C214+gaz!G214+gaz!K214</f>
        <v>85.353248799999989</v>
      </c>
      <c r="D211" s="30">
        <f t="shared" si="115"/>
        <v>2238.3878698999997</v>
      </c>
      <c r="E211" s="20">
        <f>gaz!E214+gaz!I214+gaz!M214</f>
        <v>96.683992029999999</v>
      </c>
      <c r="F211" s="28">
        <f>gaz!N214+gaz!R214+gaz!V214</f>
        <v>1285.8387021999997</v>
      </c>
      <c r="G211" s="32">
        <f>gaz!O214+gaz!S214+gaz!W214</f>
        <v>49.160696099999996</v>
      </c>
      <c r="H211" s="30">
        <f t="shared" si="116"/>
        <v>1334.9993982999997</v>
      </c>
      <c r="I211" s="20">
        <f>gaz!Q214+gaz!U214+gaz!Y214</f>
        <v>46.036339330000004</v>
      </c>
      <c r="J211" s="28">
        <f>gaz!Z214+gaz!AD214+gaz!AH214</f>
        <v>242.94414619999998</v>
      </c>
      <c r="K211" s="32">
        <f>gaz!AA214+gaz!AE214+gaz!AI214</f>
        <v>9.2205443999999996</v>
      </c>
      <c r="L211" s="30">
        <f t="shared" si="117"/>
        <v>252.16469059999997</v>
      </c>
      <c r="M211" s="20">
        <f>gaz!AC214+gaz!AG214+gaz!AK214</f>
        <v>30.90474197</v>
      </c>
      <c r="N211" s="28">
        <f>gaz!AL214+gaz!AP214+gaz!AT214</f>
        <v>0</v>
      </c>
      <c r="O211" s="32">
        <f>gaz!AM214+gaz!AQ214+gaz!AU214</f>
        <v>0</v>
      </c>
      <c r="P211" s="30">
        <f t="shared" si="118"/>
        <v>0</v>
      </c>
      <c r="Q211" s="20">
        <f>gaz!AO214+gaz!AS214+gaz!AW214</f>
        <v>0</v>
      </c>
      <c r="R211" s="43">
        <f t="shared" si="119"/>
        <v>3681.8174694999993</v>
      </c>
      <c r="S211" s="44">
        <f t="shared" si="120"/>
        <v>143.73448929999998</v>
      </c>
      <c r="T211" s="44">
        <f t="shared" si="121"/>
        <v>3825.5519587999993</v>
      </c>
      <c r="U211" s="45">
        <f t="shared" si="122"/>
        <v>173.62507332999999</v>
      </c>
    </row>
    <row r="212" spans="1:21">
      <c r="A212" s="16" t="s">
        <v>3</v>
      </c>
      <c r="B212" s="28">
        <f>gaz!B215+gaz!F215+gaz!J215</f>
        <v>2142.5595163799999</v>
      </c>
      <c r="C212" s="32">
        <f>gaz!C215+gaz!G215+gaz!K215</f>
        <v>134.33412600999998</v>
      </c>
      <c r="D212" s="30">
        <f t="shared" si="115"/>
        <v>2276.89364239</v>
      </c>
      <c r="E212" s="20">
        <f>gaz!E215+gaz!I215+gaz!M215</f>
        <v>98.006625070000013</v>
      </c>
      <c r="F212" s="28">
        <f>gaz!N215+gaz!R215+gaz!V215</f>
        <v>1301.6670568</v>
      </c>
      <c r="G212" s="32">
        <f>gaz!O215+gaz!S215+gaz!W215</f>
        <v>59.143609959999999</v>
      </c>
      <c r="H212" s="30">
        <f t="shared" si="116"/>
        <v>1360.81066676</v>
      </c>
      <c r="I212" s="20">
        <f>gaz!Q215+gaz!U215+gaz!Y215</f>
        <v>39.119322700000005</v>
      </c>
      <c r="J212" s="28">
        <f>gaz!Z215+gaz!AD215+gaz!AH215</f>
        <v>265.90966583999995</v>
      </c>
      <c r="K212" s="32">
        <f>gaz!AA215+gaz!AE215+gaz!AI215</f>
        <v>2.8075206699999997</v>
      </c>
      <c r="L212" s="30">
        <f t="shared" si="117"/>
        <v>268.71718650999992</v>
      </c>
      <c r="M212" s="20">
        <f>gaz!AC215+gaz!AG215+gaz!AK215</f>
        <v>15.653270299999999</v>
      </c>
      <c r="N212" s="28">
        <f>gaz!AL215+gaz!AP215+gaz!AT215</f>
        <v>0</v>
      </c>
      <c r="O212" s="32">
        <f>gaz!AM215+gaz!AQ215+gaz!AU215</f>
        <v>0</v>
      </c>
      <c r="P212" s="30">
        <f t="shared" si="118"/>
        <v>0</v>
      </c>
      <c r="Q212" s="20">
        <f>gaz!AO215+gaz!AS215+gaz!AW215</f>
        <v>0</v>
      </c>
      <c r="R212" s="43">
        <f t="shared" si="119"/>
        <v>3710.1362390199997</v>
      </c>
      <c r="S212" s="44">
        <f t="shared" si="120"/>
        <v>196.28525663999997</v>
      </c>
      <c r="T212" s="44">
        <f t="shared" si="121"/>
        <v>3906.4214956599999</v>
      </c>
      <c r="U212" s="45">
        <f t="shared" si="122"/>
        <v>152.77921807000001</v>
      </c>
    </row>
    <row r="213" spans="1:21">
      <c r="A213" s="16" t="s">
        <v>397</v>
      </c>
      <c r="B213" s="28">
        <f>gaz!B216+gaz!F216+gaz!J216</f>
        <v>549.95102389999943</v>
      </c>
      <c r="C213" s="32">
        <f>gaz!C216+gaz!G216+gaz!K216</f>
        <v>22.228384199999997</v>
      </c>
      <c r="D213" s="30">
        <f t="shared" si="115"/>
        <v>572.17940809999948</v>
      </c>
      <c r="E213" s="20">
        <f>gaz!E216+gaz!I216+gaz!M216</f>
        <v>52.225967859999997</v>
      </c>
      <c r="F213" s="28">
        <f>gaz!N216+gaz!R216+gaz!V216</f>
        <v>364.29689500000279</v>
      </c>
      <c r="G213" s="32">
        <f>gaz!O216+gaz!S216+gaz!W216</f>
        <v>14.489229499999997</v>
      </c>
      <c r="H213" s="30">
        <f t="shared" si="116"/>
        <v>378.78612450000281</v>
      </c>
      <c r="I213" s="20">
        <f>gaz!Q216+gaz!U216+gaz!Y216</f>
        <v>34.29147021</v>
      </c>
      <c r="J213" s="28">
        <f>gaz!Z216+gaz!AD216+gaz!AH216</f>
        <v>114.40031109999998</v>
      </c>
      <c r="K213" s="32">
        <f>gaz!AA216+gaz!AE216+gaz!AI216</f>
        <v>4.7167310999999996</v>
      </c>
      <c r="L213" s="30">
        <f t="shared" si="117"/>
        <v>119.11704219999999</v>
      </c>
      <c r="M213" s="20">
        <f>gaz!AC216+gaz!AG216+gaz!AK216</f>
        <v>16.815649150000002</v>
      </c>
      <c r="N213" s="28">
        <f>gaz!AL216+gaz!AP216+gaz!AT216</f>
        <v>0</v>
      </c>
      <c r="O213" s="32">
        <f>gaz!AM216+gaz!AQ216+gaz!AU216</f>
        <v>0</v>
      </c>
      <c r="P213" s="30">
        <f t="shared" si="118"/>
        <v>0</v>
      </c>
      <c r="Q213" s="20">
        <f>gaz!AO216+gaz!AS216+gaz!AW216</f>
        <v>0</v>
      </c>
      <c r="R213" s="43">
        <f t="shared" si="119"/>
        <v>1028.6482300000023</v>
      </c>
      <c r="S213" s="44">
        <f t="shared" si="120"/>
        <v>41.434344799999991</v>
      </c>
      <c r="T213" s="44">
        <f t="shared" si="121"/>
        <v>1070.0825748000022</v>
      </c>
      <c r="U213" s="45">
        <f t="shared" si="122"/>
        <v>103.33308722</v>
      </c>
    </row>
    <row r="214" spans="1:21">
      <c r="A214" s="16" t="s">
        <v>399</v>
      </c>
      <c r="B214" s="28">
        <f>gaz!B217+gaz!F217+gaz!J217</f>
        <v>909.25796385999979</v>
      </c>
      <c r="C214" s="32">
        <f>gaz!C217+gaz!G217+gaz!K217</f>
        <v>29.213261420000002</v>
      </c>
      <c r="D214" s="30">
        <f t="shared" si="115"/>
        <v>938.47122527999977</v>
      </c>
      <c r="E214" s="20">
        <f>gaz!E217+gaz!I217+gaz!M217</f>
        <v>233.6301249</v>
      </c>
      <c r="F214" s="28">
        <f>gaz!N217+gaz!R217+gaz!V217</f>
        <v>566.46624385000018</v>
      </c>
      <c r="G214" s="32">
        <f>gaz!O217+gaz!S217+gaz!W217</f>
        <v>10.05227133</v>
      </c>
      <c r="H214" s="30">
        <f t="shared" si="116"/>
        <v>576.51851518000024</v>
      </c>
      <c r="I214" s="20">
        <f>gaz!Q217+gaz!U217+gaz!Y217</f>
        <v>208.72806291000001</v>
      </c>
      <c r="J214" s="28">
        <f>gaz!Z217+gaz!AD217+gaz!AH217</f>
        <v>171.89311311999998</v>
      </c>
      <c r="K214" s="32">
        <f>gaz!AA217+gaz!AE217+gaz!AI217</f>
        <v>0.39859050000000001</v>
      </c>
      <c r="L214" s="30">
        <f t="shared" si="117"/>
        <v>172.29170361999999</v>
      </c>
      <c r="M214" s="20">
        <f>gaz!AC217+gaz!AG217+gaz!AK217</f>
        <v>135.62655046999998</v>
      </c>
      <c r="N214" s="28">
        <f>gaz!AL217+gaz!AP217+gaz!AT217</f>
        <v>0</v>
      </c>
      <c r="O214" s="32">
        <f>gaz!AM217+gaz!AQ217+gaz!AU217</f>
        <v>0</v>
      </c>
      <c r="P214" s="30">
        <f t="shared" si="118"/>
        <v>0</v>
      </c>
      <c r="Q214" s="20">
        <f>gaz!AO217+gaz!AS217+gaz!AW217</f>
        <v>0</v>
      </c>
      <c r="R214" s="43">
        <f t="shared" si="119"/>
        <v>1647.6173208299999</v>
      </c>
      <c r="S214" s="44">
        <f t="shared" si="120"/>
        <v>39.664123250000003</v>
      </c>
      <c r="T214" s="44">
        <f t="shared" si="121"/>
        <v>1687.28144408</v>
      </c>
      <c r="U214" s="45">
        <f t="shared" si="122"/>
        <v>577.98473827999999</v>
      </c>
    </row>
    <row r="215" spans="1:21">
      <c r="A215" s="16" t="s">
        <v>883</v>
      </c>
      <c r="B215" s="28">
        <f>gaz!B218+gaz!F218+gaz!J218</f>
        <v>876.25012390000074</v>
      </c>
      <c r="C215" s="32">
        <f>gaz!C218+gaz!G218+gaz!K218</f>
        <v>43.724859060000007</v>
      </c>
      <c r="D215" s="30">
        <f t="shared" si="115"/>
        <v>919.97498296000072</v>
      </c>
      <c r="E215" s="20">
        <f>gaz!E218+gaz!I218+gaz!M218</f>
        <v>36.130202070000003</v>
      </c>
      <c r="F215" s="28">
        <f>gaz!N218+gaz!R218+gaz!V218</f>
        <v>461.04099893999955</v>
      </c>
      <c r="G215" s="32">
        <f>gaz!O218+gaz!S218+gaz!W218</f>
        <v>19.181101169999998</v>
      </c>
      <c r="H215" s="30">
        <f t="shared" si="116"/>
        <v>480.22210010999953</v>
      </c>
      <c r="I215" s="20">
        <f>gaz!Q218+gaz!U218+gaz!Y218</f>
        <v>14.533173129999998</v>
      </c>
      <c r="J215" s="28">
        <f>gaz!Z218+gaz!AD218+gaz!AH218</f>
        <v>125.91323703299938</v>
      </c>
      <c r="K215" s="32">
        <f>gaz!AA218+gaz!AE218+gaz!AI218</f>
        <v>2.1740866490000013</v>
      </c>
      <c r="L215" s="30">
        <f t="shared" si="117"/>
        <v>128.08732368199938</v>
      </c>
      <c r="M215" s="20">
        <f>gaz!AC218+gaz!AG218+gaz!AK218</f>
        <v>4.2707816699999999</v>
      </c>
      <c r="N215" s="28">
        <f>gaz!AL218+gaz!AP218+gaz!AT218</f>
        <v>0</v>
      </c>
      <c r="O215" s="32">
        <f>gaz!AM218+gaz!AQ218+gaz!AU218</f>
        <v>0</v>
      </c>
      <c r="P215" s="30">
        <f t="shared" si="118"/>
        <v>0</v>
      </c>
      <c r="Q215" s="20">
        <f>gaz!AO218+gaz!AS218+gaz!AW218</f>
        <v>0</v>
      </c>
      <c r="R215" s="43">
        <f t="shared" si="119"/>
        <v>1463.2043598729997</v>
      </c>
      <c r="S215" s="44">
        <f t="shared" si="120"/>
        <v>65.080046879000008</v>
      </c>
      <c r="T215" s="44">
        <f t="shared" si="121"/>
        <v>1528.2844067519995</v>
      </c>
      <c r="U215" s="45">
        <f t="shared" si="122"/>
        <v>54.934156870000002</v>
      </c>
    </row>
    <row r="216" spans="1:21">
      <c r="A216" s="16" t="s">
        <v>884</v>
      </c>
      <c r="B216" s="28">
        <f>gaz!B219+gaz!F219+gaz!J219</f>
        <v>859.54283239999995</v>
      </c>
      <c r="C216" s="32">
        <f>gaz!C219+gaz!G219+gaz!K219</f>
        <v>42.485330099999999</v>
      </c>
      <c r="D216" s="30">
        <f t="shared" si="115"/>
        <v>902.02816250000001</v>
      </c>
      <c r="E216" s="20">
        <f>gaz!E219+gaz!I219+gaz!M219</f>
        <v>45.581759070000004</v>
      </c>
      <c r="F216" s="28">
        <f>gaz!N219+gaz!R219+gaz!V219</f>
        <v>522.22940879999999</v>
      </c>
      <c r="G216" s="32">
        <f>gaz!O219+gaz!S219+gaz!W219</f>
        <v>25.505511900000002</v>
      </c>
      <c r="H216" s="30">
        <f t="shared" si="116"/>
        <v>547.73492069999998</v>
      </c>
      <c r="I216" s="20">
        <f>gaz!Q219+gaz!U219+gaz!Y219</f>
        <v>30.263761929999998</v>
      </c>
      <c r="J216" s="28">
        <f>gaz!Z219+gaz!AD219+gaz!AH219</f>
        <v>163.6220313</v>
      </c>
      <c r="K216" s="32">
        <f>gaz!AA219+gaz!AE219+gaz!AI219</f>
        <v>6.4305470999999992</v>
      </c>
      <c r="L216" s="30">
        <f t="shared" si="117"/>
        <v>170.05257840000002</v>
      </c>
      <c r="M216" s="20">
        <f>gaz!AC219+gaz!AG219+gaz!AK219</f>
        <v>34.36640036</v>
      </c>
      <c r="N216" s="28">
        <f>gaz!AL219+gaz!AP219+gaz!AT219</f>
        <v>0</v>
      </c>
      <c r="O216" s="32">
        <f>gaz!AM219+gaz!AQ219+gaz!AU219</f>
        <v>0</v>
      </c>
      <c r="P216" s="30">
        <f t="shared" si="118"/>
        <v>0</v>
      </c>
      <c r="Q216" s="20">
        <f>gaz!AO219+gaz!AS219+gaz!AW219</f>
        <v>0</v>
      </c>
      <c r="R216" s="43">
        <f t="shared" si="119"/>
        <v>1545.3942724999997</v>
      </c>
      <c r="S216" s="44">
        <f t="shared" si="120"/>
        <v>74.421389099999999</v>
      </c>
      <c r="T216" s="44">
        <f t="shared" si="121"/>
        <v>1619.8156616000001</v>
      </c>
      <c r="U216" s="45">
        <f t="shared" si="122"/>
        <v>110.21192136000001</v>
      </c>
    </row>
    <row r="217" spans="1:21" ht="13.8" thickBot="1">
      <c r="A217" s="16" t="s">
        <v>885</v>
      </c>
      <c r="B217" s="28">
        <f>gaz!B220+gaz!F220+gaz!J220</f>
        <v>546.6948837179998</v>
      </c>
      <c r="C217" s="32">
        <f>gaz!C220+gaz!G220+gaz!K220</f>
        <v>50.291321155999995</v>
      </c>
      <c r="D217" s="30">
        <f t="shared" si="115"/>
        <v>596.98620487399978</v>
      </c>
      <c r="E217" s="20">
        <f>gaz!E220+gaz!I220+gaz!M220</f>
        <v>13.74351295</v>
      </c>
      <c r="F217" s="28">
        <f>gaz!N220+gaz!R220+gaz!V220</f>
        <v>368.97681457000022</v>
      </c>
      <c r="G217" s="32">
        <f>gaz!O220+gaz!S220+gaz!W220</f>
        <v>28.25644862</v>
      </c>
      <c r="H217" s="30">
        <f t="shared" si="116"/>
        <v>397.23326319000023</v>
      </c>
      <c r="I217" s="20">
        <f>gaz!Q220+gaz!U220+gaz!Y220</f>
        <v>3.74072768</v>
      </c>
      <c r="J217" s="28">
        <f>gaz!Z220+gaz!AD220+gaz!AH220</f>
        <v>74.610867130000017</v>
      </c>
      <c r="K217" s="32">
        <f>gaz!AA220+gaz!AE220+gaz!AI220</f>
        <v>3.2290067679999988</v>
      </c>
      <c r="L217" s="30">
        <f t="shared" si="117"/>
        <v>77.839873898000022</v>
      </c>
      <c r="M217" s="20">
        <f>gaz!AC220+gaz!AG220+gaz!AK220</f>
        <v>0.83577554999999992</v>
      </c>
      <c r="N217" s="28">
        <f>gaz!AL220+gaz!AP220+gaz!AT220</f>
        <v>0</v>
      </c>
      <c r="O217" s="32">
        <f>gaz!AM220+gaz!AQ220+gaz!AU220</f>
        <v>0</v>
      </c>
      <c r="P217" s="30">
        <f t="shared" si="118"/>
        <v>0</v>
      </c>
      <c r="Q217" s="20">
        <f>gaz!AO220+gaz!AS220+gaz!AW220</f>
        <v>0</v>
      </c>
      <c r="R217" s="43">
        <f t="shared" si="119"/>
        <v>990.28256541799999</v>
      </c>
      <c r="S217" s="44">
        <f t="shared" si="120"/>
        <v>81.776776544000001</v>
      </c>
      <c r="T217" s="44">
        <f t="shared" si="121"/>
        <v>1072.059341962</v>
      </c>
      <c r="U217" s="45">
        <f t="shared" si="122"/>
        <v>18.32001618</v>
      </c>
    </row>
    <row r="218" spans="1:21" ht="13.8" thickBot="1">
      <c r="A218" s="11" t="s">
        <v>16</v>
      </c>
      <c r="B218" s="29">
        <f t="shared" ref="B218:U218" si="123">SUM(B208:B217)</f>
        <v>12193.006925337999</v>
      </c>
      <c r="C218" s="31">
        <f t="shared" si="123"/>
        <v>618.87056225599997</v>
      </c>
      <c r="D218" s="31">
        <f t="shared" si="123"/>
        <v>12811.877487594</v>
      </c>
      <c r="E218" s="19">
        <f t="shared" si="123"/>
        <v>916.37648847000003</v>
      </c>
      <c r="F218" s="29">
        <f t="shared" si="123"/>
        <v>7325.3245951800018</v>
      </c>
      <c r="G218" s="31">
        <f t="shared" si="123"/>
        <v>303.01519619999999</v>
      </c>
      <c r="H218" s="31">
        <f t="shared" si="123"/>
        <v>7628.3397913800027</v>
      </c>
      <c r="I218" s="19">
        <f t="shared" si="123"/>
        <v>608.81295153999997</v>
      </c>
      <c r="J218" s="29">
        <f t="shared" si="123"/>
        <v>1716.1378911729992</v>
      </c>
      <c r="K218" s="31">
        <f t="shared" si="123"/>
        <v>39.092017376999998</v>
      </c>
      <c r="L218" s="31">
        <f t="shared" si="123"/>
        <v>1755.229908549999</v>
      </c>
      <c r="M218" s="19">
        <f t="shared" si="123"/>
        <v>438.09022216</v>
      </c>
      <c r="N218" s="29">
        <f t="shared" si="123"/>
        <v>0</v>
      </c>
      <c r="O218" s="31">
        <f t="shared" si="123"/>
        <v>0</v>
      </c>
      <c r="P218" s="31">
        <f t="shared" si="123"/>
        <v>0</v>
      </c>
      <c r="Q218" s="19">
        <f t="shared" si="123"/>
        <v>0</v>
      </c>
      <c r="R218" s="46">
        <f t="shared" si="123"/>
        <v>21234.469411691007</v>
      </c>
      <c r="S218" s="46">
        <f t="shared" si="123"/>
        <v>960.97777583299978</v>
      </c>
      <c r="T218" s="46">
        <f t="shared" si="123"/>
        <v>22195.447187523998</v>
      </c>
      <c r="U218" s="46">
        <f t="shared" si="123"/>
        <v>1963.2796621699997</v>
      </c>
    </row>
    <row r="221" spans="1:21" ht="17.399999999999999">
      <c r="A221" s="15" t="s">
        <v>88</v>
      </c>
    </row>
    <row r="222" spans="1:21" ht="18" thickBot="1">
      <c r="A222" s="2">
        <f>trim_elec!A222</f>
        <v>2021</v>
      </c>
    </row>
    <row r="223" spans="1:21">
      <c r="A223" s="3429" t="s">
        <v>0</v>
      </c>
      <c r="B223" s="3423" t="s">
        <v>269</v>
      </c>
      <c r="C223" s="3424"/>
      <c r="D223" s="3424"/>
      <c r="E223" s="3425"/>
      <c r="F223" s="3426" t="s">
        <v>270</v>
      </c>
      <c r="G223" s="3427"/>
      <c r="H223" s="3427"/>
      <c r="I223" s="3428"/>
      <c r="J223" s="3420" t="s">
        <v>271</v>
      </c>
      <c r="K223" s="3421"/>
      <c r="L223" s="3421"/>
      <c r="M223" s="3422"/>
      <c r="N223" s="3415" t="s">
        <v>272</v>
      </c>
      <c r="O223" s="3416"/>
      <c r="P223" s="3416"/>
      <c r="Q223" s="3417"/>
      <c r="R223" s="3418" t="s">
        <v>83</v>
      </c>
      <c r="S223" s="3418"/>
      <c r="T223" s="3418"/>
      <c r="U223" s="3419"/>
    </row>
    <row r="224" spans="1:21" ht="13.8" thickBot="1">
      <c r="A224" s="3430"/>
      <c r="B224" s="3" t="s">
        <v>24</v>
      </c>
      <c r="C224" s="4" t="s">
        <v>90</v>
      </c>
      <c r="D224" s="4" t="s">
        <v>89</v>
      </c>
      <c r="E224" s="5" t="s">
        <v>91</v>
      </c>
      <c r="F224" s="3" t="s">
        <v>24</v>
      </c>
      <c r="G224" s="4" t="s">
        <v>90</v>
      </c>
      <c r="H224" s="4" t="s">
        <v>89</v>
      </c>
      <c r="I224" s="5" t="s">
        <v>91</v>
      </c>
      <c r="J224" s="3" t="s">
        <v>24</v>
      </c>
      <c r="K224" s="4" t="s">
        <v>90</v>
      </c>
      <c r="L224" s="4" t="s">
        <v>89</v>
      </c>
      <c r="M224" s="5" t="s">
        <v>91</v>
      </c>
      <c r="N224" s="3" t="s">
        <v>24</v>
      </c>
      <c r="O224" s="4" t="s">
        <v>90</v>
      </c>
      <c r="P224" s="4" t="s">
        <v>89</v>
      </c>
      <c r="Q224" s="5" t="s">
        <v>91</v>
      </c>
      <c r="R224" s="3" t="s">
        <v>24</v>
      </c>
      <c r="S224" s="4" t="s">
        <v>90</v>
      </c>
      <c r="T224" s="4" t="s">
        <v>89</v>
      </c>
      <c r="U224" s="5" t="s">
        <v>91</v>
      </c>
    </row>
    <row r="225" spans="1:21">
      <c r="A225" s="16" t="s">
        <v>68</v>
      </c>
      <c r="B225" s="28">
        <f>gaz!B228+gaz!F228+gaz!J228</f>
        <v>1889.2244230000001</v>
      </c>
      <c r="C225" s="32">
        <f t="shared" ref="C225:C234" si="124">+D193+E193</f>
        <v>1563.3659905200004</v>
      </c>
      <c r="D225" s="32">
        <f t="shared" ref="D225:D235" si="125">+B225-C225</f>
        <v>325.85843247999969</v>
      </c>
      <c r="E225" s="18">
        <f t="shared" ref="E225:E235" si="126">+D225/B225*100</f>
        <v>17.248264870647382</v>
      </c>
      <c r="F225" s="60">
        <f>gaz!N228+gaz!R228+gaz!V228</f>
        <v>649.57478896999999</v>
      </c>
      <c r="G225" s="32">
        <f t="shared" ref="G225:G234" si="127">+H193+I193</f>
        <v>1005.7252793299999</v>
      </c>
      <c r="H225" s="32">
        <f t="shared" ref="H225:H234" si="128">+F225-G225</f>
        <v>-356.15049035999994</v>
      </c>
      <c r="I225" s="18">
        <f t="shared" ref="I225:I234" si="129">+H225/F225*100</f>
        <v>-54.828250173429751</v>
      </c>
      <c r="J225" s="61">
        <f>gaz!Z228+gaz!AD228+gaz!AH228</f>
        <v>299.29514727000003</v>
      </c>
      <c r="K225" s="32">
        <f t="shared" ref="K225:K234" si="130">+L193+M193</f>
        <v>484.42774421000001</v>
      </c>
      <c r="L225" s="32">
        <f t="shared" ref="L225:L234" si="131">+J225-K225</f>
        <v>-185.13259693999998</v>
      </c>
      <c r="M225" s="18">
        <f t="shared" ref="M225:M234" si="132">+L225/J225*100</f>
        <v>-61.856197345220643</v>
      </c>
      <c r="N225" s="60">
        <f>gaz!AL228+gaz!AP228+gaz!AT228</f>
        <v>0</v>
      </c>
      <c r="O225" s="32">
        <f t="shared" ref="O225:O234" si="133">+P193+Q193</f>
        <v>0</v>
      </c>
      <c r="P225" s="32">
        <f t="shared" ref="P225:P234" si="134">+N225-O225</f>
        <v>0</v>
      </c>
      <c r="Q225" s="18" t="e">
        <f t="shared" ref="Q225:Q234" si="135">+P225/N225*100</f>
        <v>#DIV/0!</v>
      </c>
      <c r="R225" s="40">
        <f t="shared" ref="R225:R234" si="136">N225+J225+F225+B225</f>
        <v>2838.0943592399999</v>
      </c>
      <c r="S225" s="41">
        <f t="shared" ref="S225:S234" si="137">+T193+U193</f>
        <v>3053.5190140600002</v>
      </c>
      <c r="T225" s="41">
        <f t="shared" ref="T225:T234" si="138">+R225-S225</f>
        <v>-215.42465482000034</v>
      </c>
      <c r="U225" s="42">
        <f t="shared" ref="U225:U234" si="139">+T225/R225*100</f>
        <v>-7.5904683760298912</v>
      </c>
    </row>
    <row r="226" spans="1:21">
      <c r="A226" s="16" t="s">
        <v>7</v>
      </c>
      <c r="B226" s="28">
        <f>gaz!B229+gaz!F229+gaz!J229</f>
        <v>1708.841825</v>
      </c>
      <c r="C226" s="32">
        <f t="shared" si="124"/>
        <v>1471.7245674699998</v>
      </c>
      <c r="D226" s="32">
        <f t="shared" si="125"/>
        <v>237.11725753000019</v>
      </c>
      <c r="E226" s="18">
        <f t="shared" si="126"/>
        <v>13.87590437341971</v>
      </c>
      <c r="F226" s="28">
        <f>gaz!N229+gaz!R229+gaz!V229</f>
        <v>438.30647599999998</v>
      </c>
      <c r="G226" s="32">
        <f t="shared" si="127"/>
        <v>898.96236109999984</v>
      </c>
      <c r="H226" s="32">
        <f t="shared" si="128"/>
        <v>-460.65588509999986</v>
      </c>
      <c r="I226" s="18">
        <f t="shared" si="129"/>
        <v>-105.09903693506</v>
      </c>
      <c r="J226" s="55">
        <f>gaz!Z229+gaz!AD229+gaz!AH229</f>
        <v>107.906452</v>
      </c>
      <c r="K226" s="32">
        <f t="shared" si="130"/>
        <v>213.6389197200001</v>
      </c>
      <c r="L226" s="32">
        <f t="shared" si="131"/>
        <v>-105.7324677200001</v>
      </c>
      <c r="M226" s="18">
        <f t="shared" si="132"/>
        <v>-97.985306494925908</v>
      </c>
      <c r="N226" s="28">
        <f>gaz!AL229+gaz!AP229+gaz!AT229</f>
        <v>0</v>
      </c>
      <c r="O226" s="32">
        <f t="shared" si="133"/>
        <v>0</v>
      </c>
      <c r="P226" s="32">
        <f t="shared" si="134"/>
        <v>0</v>
      </c>
      <c r="Q226" s="18" t="e">
        <f t="shared" si="135"/>
        <v>#DIV/0!</v>
      </c>
      <c r="R226" s="43">
        <f t="shared" si="136"/>
        <v>2255.0547529999999</v>
      </c>
      <c r="S226" s="44">
        <f t="shared" si="137"/>
        <v>2584.3258482899996</v>
      </c>
      <c r="T226" s="44">
        <f t="shared" si="138"/>
        <v>-329.27109528999972</v>
      </c>
      <c r="U226" s="45">
        <f t="shared" si="139"/>
        <v>-14.60146787353858</v>
      </c>
    </row>
    <row r="227" spans="1:21">
      <c r="A227" s="16" t="s">
        <v>8</v>
      </c>
      <c r="B227" s="28">
        <f>gaz!B230+gaz!F230+gaz!J230</f>
        <v>1535.267194</v>
      </c>
      <c r="C227" s="32">
        <f t="shared" si="124"/>
        <v>1396.1087506700001</v>
      </c>
      <c r="D227" s="32">
        <f t="shared" si="125"/>
        <v>139.15844332999995</v>
      </c>
      <c r="E227" s="18">
        <f t="shared" si="126"/>
        <v>9.0641188630778462</v>
      </c>
      <c r="F227" s="28">
        <f>gaz!N230+gaz!R230+gaz!V230</f>
        <v>454.84358499999996</v>
      </c>
      <c r="G227" s="32">
        <f t="shared" si="127"/>
        <v>821.22515949000001</v>
      </c>
      <c r="H227" s="32">
        <f t="shared" si="128"/>
        <v>-366.38157449000005</v>
      </c>
      <c r="I227" s="18">
        <f t="shared" si="129"/>
        <v>-80.55111395931857</v>
      </c>
      <c r="J227" s="55">
        <f>gaz!Z230+gaz!AD230+gaz!AH230</f>
        <v>93.742664999999988</v>
      </c>
      <c r="K227" s="32">
        <f t="shared" si="130"/>
        <v>195.80534768999979</v>
      </c>
      <c r="L227" s="32">
        <f t="shared" si="131"/>
        <v>-102.0626826899998</v>
      </c>
      <c r="M227" s="18">
        <f t="shared" si="132"/>
        <v>-108.87537994572676</v>
      </c>
      <c r="N227" s="28">
        <f>gaz!AL230+gaz!AP230+gaz!AT230</f>
        <v>0</v>
      </c>
      <c r="O227" s="32">
        <f t="shared" si="133"/>
        <v>0</v>
      </c>
      <c r="P227" s="32">
        <f t="shared" si="134"/>
        <v>0</v>
      </c>
      <c r="Q227" s="18" t="e">
        <f t="shared" si="135"/>
        <v>#DIV/0!</v>
      </c>
      <c r="R227" s="43">
        <f t="shared" si="136"/>
        <v>2083.8534439999999</v>
      </c>
      <c r="S227" s="44">
        <f t="shared" si="137"/>
        <v>2413.1392578499999</v>
      </c>
      <c r="T227" s="44">
        <f t="shared" si="138"/>
        <v>-329.28581385000007</v>
      </c>
      <c r="U227" s="45">
        <f t="shared" si="139"/>
        <v>-15.801774102593757</v>
      </c>
    </row>
    <row r="228" spans="1:21">
      <c r="A228" s="16" t="s">
        <v>4</v>
      </c>
      <c r="B228" s="28">
        <f>gaz!B231+gaz!F231+gaz!J231</f>
        <v>2624.3269789999999</v>
      </c>
      <c r="C228" s="32">
        <f t="shared" si="124"/>
        <v>2336.7940159099999</v>
      </c>
      <c r="D228" s="32">
        <f t="shared" si="125"/>
        <v>287.53296309000007</v>
      </c>
      <c r="E228" s="18">
        <f t="shared" si="126"/>
        <v>10.956445800803547</v>
      </c>
      <c r="F228" s="28">
        <f>gaz!N231+gaz!R231+gaz!V231</f>
        <v>723.52038500000003</v>
      </c>
      <c r="G228" s="32">
        <f t="shared" si="127"/>
        <v>1445.4873008599998</v>
      </c>
      <c r="H228" s="32">
        <f t="shared" si="128"/>
        <v>-721.96691585999974</v>
      </c>
      <c r="I228" s="18">
        <f t="shared" si="129"/>
        <v>-99.78529020436649</v>
      </c>
      <c r="J228" s="55">
        <f>gaz!Z231+gaz!AD231+gaz!AH231</f>
        <v>149.99378400000001</v>
      </c>
      <c r="K228" s="32">
        <f t="shared" si="130"/>
        <v>332.17824108000002</v>
      </c>
      <c r="L228" s="32">
        <f t="shared" si="131"/>
        <v>-182.18445708000002</v>
      </c>
      <c r="M228" s="18">
        <f t="shared" si="132"/>
        <v>-121.46133807784996</v>
      </c>
      <c r="N228" s="28">
        <f>gaz!AL231+gaz!AP231+gaz!AT231</f>
        <v>0</v>
      </c>
      <c r="O228" s="32">
        <f t="shared" si="133"/>
        <v>0</v>
      </c>
      <c r="P228" s="32">
        <f t="shared" si="134"/>
        <v>0</v>
      </c>
      <c r="Q228" s="18" t="e">
        <f t="shared" si="135"/>
        <v>#DIV/0!</v>
      </c>
      <c r="R228" s="43">
        <f t="shared" si="136"/>
        <v>3497.841148</v>
      </c>
      <c r="S228" s="44">
        <f t="shared" si="137"/>
        <v>4114.4595578500002</v>
      </c>
      <c r="T228" s="44">
        <f t="shared" si="138"/>
        <v>-616.61840985000026</v>
      </c>
      <c r="U228" s="45">
        <f t="shared" si="139"/>
        <v>-17.62854239971907</v>
      </c>
    </row>
    <row r="229" spans="1:21">
      <c r="A229" s="16" t="s">
        <v>3</v>
      </c>
      <c r="B229" s="28">
        <f>gaz!B232+gaz!F232+gaz!J232</f>
        <v>2742.8937999999998</v>
      </c>
      <c r="C229" s="32">
        <f t="shared" si="124"/>
        <v>2426.0659572699992</v>
      </c>
      <c r="D229" s="32">
        <f t="shared" si="125"/>
        <v>316.82784273000061</v>
      </c>
      <c r="E229" s="18">
        <f t="shared" si="126"/>
        <v>11.550860727090514</v>
      </c>
      <c r="F229" s="28">
        <f>gaz!N232+gaz!R232+gaz!V232</f>
        <v>780.25503500000002</v>
      </c>
      <c r="G229" s="32">
        <f t="shared" si="127"/>
        <v>1342.1681061499999</v>
      </c>
      <c r="H229" s="32">
        <f t="shared" si="128"/>
        <v>-561.91307114999984</v>
      </c>
      <c r="I229" s="18">
        <f t="shared" si="129"/>
        <v>-72.016590210148379</v>
      </c>
      <c r="J229" s="55">
        <f>gaz!Z232+gaz!AD232+gaz!AH232</f>
        <v>184.657679</v>
      </c>
      <c r="K229" s="32">
        <f t="shared" si="130"/>
        <v>339.08482511999995</v>
      </c>
      <c r="L229" s="32">
        <f t="shared" si="131"/>
        <v>-154.42714611999995</v>
      </c>
      <c r="M229" s="18">
        <f t="shared" si="132"/>
        <v>-83.62887855857862</v>
      </c>
      <c r="N229" s="28">
        <f>gaz!AL232+gaz!AP232+gaz!AT232</f>
        <v>0</v>
      </c>
      <c r="O229" s="32">
        <f t="shared" si="133"/>
        <v>0</v>
      </c>
      <c r="P229" s="32">
        <f t="shared" si="134"/>
        <v>0</v>
      </c>
      <c r="Q229" s="18" t="e">
        <f t="shared" si="135"/>
        <v>#DIV/0!</v>
      </c>
      <c r="R229" s="43">
        <f t="shared" si="136"/>
        <v>3707.8065139999999</v>
      </c>
      <c r="S229" s="44">
        <f t="shared" si="137"/>
        <v>4107.3188885399995</v>
      </c>
      <c r="T229" s="44">
        <f t="shared" si="138"/>
        <v>-399.51237453999966</v>
      </c>
      <c r="U229" s="45">
        <f t="shared" si="139"/>
        <v>-10.774898124578883</v>
      </c>
    </row>
    <row r="230" spans="1:21">
      <c r="A230" s="16" t="s">
        <v>397</v>
      </c>
      <c r="B230" s="28">
        <f>gaz!B233+gaz!F233+gaz!J233</f>
        <v>831.53370999999993</v>
      </c>
      <c r="C230" s="32">
        <f t="shared" si="124"/>
        <v>621.13942657000018</v>
      </c>
      <c r="D230" s="32">
        <f t="shared" si="125"/>
        <v>210.39428342999975</v>
      </c>
      <c r="E230" s="18">
        <f t="shared" si="126"/>
        <v>25.30195479747896</v>
      </c>
      <c r="F230" s="28">
        <f>gaz!N233+gaz!R233+gaz!V233</f>
        <v>246.03363572000001</v>
      </c>
      <c r="G230" s="32">
        <f t="shared" si="127"/>
        <v>424.78519243</v>
      </c>
      <c r="H230" s="32">
        <f t="shared" si="128"/>
        <v>-178.75155670999999</v>
      </c>
      <c r="I230" s="18">
        <f t="shared" si="129"/>
        <v>-72.653300507833492</v>
      </c>
      <c r="J230" s="55">
        <f>gaz!Z233+gaz!AD233+gaz!AH233</f>
        <v>97.27167369</v>
      </c>
      <c r="K230" s="32">
        <f t="shared" si="130"/>
        <v>133.10595701000065</v>
      </c>
      <c r="L230" s="32">
        <f t="shared" si="131"/>
        <v>-35.834283320000651</v>
      </c>
      <c r="M230" s="18">
        <f t="shared" si="132"/>
        <v>-36.839381867945171</v>
      </c>
      <c r="N230" s="28">
        <f>gaz!AL233+gaz!AP233+gaz!AT233</f>
        <v>0</v>
      </c>
      <c r="O230" s="32">
        <f t="shared" si="133"/>
        <v>0</v>
      </c>
      <c r="P230" s="32">
        <f t="shared" si="134"/>
        <v>0</v>
      </c>
      <c r="Q230" s="18" t="e">
        <f t="shared" si="135"/>
        <v>#DIV/0!</v>
      </c>
      <c r="R230" s="43">
        <f t="shared" si="136"/>
        <v>1174.83901941</v>
      </c>
      <c r="S230" s="44">
        <f t="shared" si="137"/>
        <v>1179.0305760100009</v>
      </c>
      <c r="T230" s="44">
        <f t="shared" si="138"/>
        <v>-4.1915566000009221</v>
      </c>
      <c r="U230" s="45">
        <f t="shared" si="139"/>
        <v>-0.35677710143691915</v>
      </c>
    </row>
    <row r="231" spans="1:21">
      <c r="A231" s="16" t="s">
        <v>399</v>
      </c>
      <c r="B231" s="28">
        <f>gaz!B234+gaz!F234+gaz!J234</f>
        <v>1354.80555383</v>
      </c>
      <c r="C231" s="32">
        <f t="shared" si="124"/>
        <v>1090.6161801200001</v>
      </c>
      <c r="D231" s="32">
        <f t="shared" si="125"/>
        <v>264.18937370999993</v>
      </c>
      <c r="E231" s="18">
        <f t="shared" si="126"/>
        <v>19.500169080584552</v>
      </c>
      <c r="F231" s="28">
        <f>gaz!N234+gaz!R234+gaz!V234</f>
        <v>511.98303365999999</v>
      </c>
      <c r="G231" s="32">
        <f t="shared" si="127"/>
        <v>737.6261286499996</v>
      </c>
      <c r="H231" s="32">
        <f t="shared" si="128"/>
        <v>-225.64309498999961</v>
      </c>
      <c r="I231" s="18">
        <f t="shared" si="129"/>
        <v>-44.072377433476774</v>
      </c>
      <c r="J231" s="55">
        <f>gaz!Z234+gaz!AD234+gaz!AH234</f>
        <v>210.76431230999998</v>
      </c>
      <c r="K231" s="32">
        <f t="shared" si="130"/>
        <v>273.99435314000004</v>
      </c>
      <c r="L231" s="32">
        <f t="shared" si="131"/>
        <v>-63.230040830000064</v>
      </c>
      <c r="M231" s="18">
        <f t="shared" si="132"/>
        <v>-30.000354489330704</v>
      </c>
      <c r="N231" s="28">
        <f>gaz!AL234+gaz!AP234+gaz!AT234</f>
        <v>0</v>
      </c>
      <c r="O231" s="32">
        <f t="shared" si="133"/>
        <v>0</v>
      </c>
      <c r="P231" s="32">
        <f t="shared" si="134"/>
        <v>0</v>
      </c>
      <c r="Q231" s="18" t="e">
        <f t="shared" si="135"/>
        <v>#DIV/0!</v>
      </c>
      <c r="R231" s="43">
        <f t="shared" si="136"/>
        <v>2077.5528998</v>
      </c>
      <c r="S231" s="44">
        <f t="shared" si="137"/>
        <v>2102.2366619099994</v>
      </c>
      <c r="T231" s="44">
        <f t="shared" si="138"/>
        <v>-24.683762109999407</v>
      </c>
      <c r="U231" s="45">
        <f t="shared" si="139"/>
        <v>-1.188117140717603</v>
      </c>
    </row>
    <row r="232" spans="1:21">
      <c r="A232" s="16" t="s">
        <v>883</v>
      </c>
      <c r="B232" s="28">
        <f>gaz!B235+gaz!F235+gaz!J235</f>
        <v>987.08574399999998</v>
      </c>
      <c r="C232" s="32">
        <f t="shared" si="124"/>
        <v>859.53840453000112</v>
      </c>
      <c r="D232" s="32">
        <f t="shared" si="125"/>
        <v>127.54733946999886</v>
      </c>
      <c r="E232" s="18">
        <f t="shared" si="126"/>
        <v>12.921606886260417</v>
      </c>
      <c r="F232" s="28">
        <f>gaz!N235+gaz!R235+gaz!V235</f>
        <v>242.52212799999998</v>
      </c>
      <c r="G232" s="32">
        <f t="shared" si="127"/>
        <v>475.27493838000004</v>
      </c>
      <c r="H232" s="32">
        <f t="shared" si="128"/>
        <v>-232.75281038000006</v>
      </c>
      <c r="I232" s="18">
        <f t="shared" si="129"/>
        <v>-95.971782987159031</v>
      </c>
      <c r="J232" s="55">
        <f>gaz!Z235+gaz!AD235+gaz!AH235</f>
        <v>81.91702699999999</v>
      </c>
      <c r="K232" s="32">
        <f t="shared" si="130"/>
        <v>123.89952255999994</v>
      </c>
      <c r="L232" s="32">
        <f t="shared" si="131"/>
        <v>-41.982495559999947</v>
      </c>
      <c r="M232" s="18">
        <f t="shared" si="132"/>
        <v>-51.250023465817371</v>
      </c>
      <c r="N232" s="28">
        <f>gaz!AL235+gaz!AP235+gaz!AT235</f>
        <v>0</v>
      </c>
      <c r="O232" s="32">
        <f t="shared" si="133"/>
        <v>0</v>
      </c>
      <c r="P232" s="32">
        <f t="shared" si="134"/>
        <v>0</v>
      </c>
      <c r="Q232" s="18" t="e">
        <f t="shared" si="135"/>
        <v>#DIV/0!</v>
      </c>
      <c r="R232" s="43">
        <f t="shared" si="136"/>
        <v>1311.524899</v>
      </c>
      <c r="S232" s="44">
        <f t="shared" si="137"/>
        <v>1458.7128654700011</v>
      </c>
      <c r="T232" s="44">
        <f t="shared" si="138"/>
        <v>-147.18796647000113</v>
      </c>
      <c r="U232" s="45">
        <f t="shared" si="139"/>
        <v>-11.222658950831029</v>
      </c>
    </row>
    <row r="233" spans="1:21">
      <c r="A233" s="16" t="s">
        <v>884</v>
      </c>
      <c r="B233" s="28">
        <f>gaz!B236+gaz!F236+gaz!J236</f>
        <v>1019.825533</v>
      </c>
      <c r="C233" s="32">
        <f t="shared" si="124"/>
        <v>832.91916214999992</v>
      </c>
      <c r="D233" s="32">
        <f t="shared" si="125"/>
        <v>186.90637085000003</v>
      </c>
      <c r="E233" s="18">
        <f t="shared" si="126"/>
        <v>18.327288815782182</v>
      </c>
      <c r="F233" s="28">
        <f>gaz!N236+gaz!R236+gaz!V236</f>
        <v>268.243065</v>
      </c>
      <c r="G233" s="32">
        <f t="shared" si="127"/>
        <v>536.46153365000009</v>
      </c>
      <c r="H233" s="32">
        <f t="shared" si="128"/>
        <v>-268.21846865000009</v>
      </c>
      <c r="I233" s="18">
        <f t="shared" si="129"/>
        <v>-99.990830573755957</v>
      </c>
      <c r="J233" s="55">
        <f>gaz!Z236+gaz!AD236+gaz!AH236</f>
        <v>124.58904899999999</v>
      </c>
      <c r="K233" s="32">
        <f t="shared" si="130"/>
        <v>182.94167492000003</v>
      </c>
      <c r="L233" s="32">
        <f t="shared" si="131"/>
        <v>-58.352625920000037</v>
      </c>
      <c r="M233" s="18">
        <f t="shared" si="132"/>
        <v>-46.836079405341671</v>
      </c>
      <c r="N233" s="28">
        <f>gaz!AL236+gaz!AP236+gaz!AT236</f>
        <v>0</v>
      </c>
      <c r="O233" s="32">
        <f t="shared" si="133"/>
        <v>0</v>
      </c>
      <c r="P233" s="32">
        <f t="shared" si="134"/>
        <v>0</v>
      </c>
      <c r="Q233" s="18" t="e">
        <f t="shared" si="135"/>
        <v>#DIV/0!</v>
      </c>
      <c r="R233" s="43">
        <f t="shared" si="136"/>
        <v>1412.657647</v>
      </c>
      <c r="S233" s="44">
        <f t="shared" si="137"/>
        <v>1552.32237072</v>
      </c>
      <c r="T233" s="44">
        <f t="shared" si="138"/>
        <v>-139.66472371999998</v>
      </c>
      <c r="U233" s="45">
        <f t="shared" si="139"/>
        <v>-9.8866646152094901</v>
      </c>
    </row>
    <row r="234" spans="1:21" ht="13.8" thickBot="1">
      <c r="A234" s="16" t="s">
        <v>885</v>
      </c>
      <c r="B234" s="28">
        <f>gaz!B237+gaz!F237+gaz!J237</f>
        <v>681.08149000000003</v>
      </c>
      <c r="C234" s="32">
        <f t="shared" si="124"/>
        <v>563.56609371200034</v>
      </c>
      <c r="D234" s="32">
        <f t="shared" si="125"/>
        <v>117.51539628799969</v>
      </c>
      <c r="E234" s="18">
        <f t="shared" si="126"/>
        <v>17.254234333691802</v>
      </c>
      <c r="F234" s="28">
        <f>gaz!N237+gaz!R237+gaz!V237</f>
        <v>175.21205700000002</v>
      </c>
      <c r="G234" s="32">
        <f t="shared" si="127"/>
        <v>361.81511884000003</v>
      </c>
      <c r="H234" s="32">
        <f t="shared" si="128"/>
        <v>-186.60306184000001</v>
      </c>
      <c r="I234" s="18">
        <f t="shared" si="129"/>
        <v>-106.50126768387862</v>
      </c>
      <c r="J234" s="55">
        <f>gaz!Z237+gaz!AD237+gaz!AH237</f>
        <v>36.329146999999999</v>
      </c>
      <c r="K234" s="32">
        <f t="shared" si="130"/>
        <v>83.507560680000012</v>
      </c>
      <c r="L234" s="32">
        <f t="shared" si="131"/>
        <v>-47.178413680000013</v>
      </c>
      <c r="M234" s="18">
        <f t="shared" si="132"/>
        <v>-129.8638079226028</v>
      </c>
      <c r="N234" s="28">
        <f>gaz!AL237+gaz!AP237+gaz!AT237</f>
        <v>0</v>
      </c>
      <c r="O234" s="32">
        <f t="shared" si="133"/>
        <v>0</v>
      </c>
      <c r="P234" s="32">
        <f t="shared" si="134"/>
        <v>0</v>
      </c>
      <c r="Q234" s="18" t="e">
        <f t="shared" si="135"/>
        <v>#DIV/0!</v>
      </c>
      <c r="R234" s="43">
        <f t="shared" si="136"/>
        <v>892.62269400000002</v>
      </c>
      <c r="S234" s="44">
        <f t="shared" si="137"/>
        <v>1008.8887732320003</v>
      </c>
      <c r="T234" s="44">
        <f t="shared" si="138"/>
        <v>-116.26607923200027</v>
      </c>
      <c r="U234" s="45">
        <f t="shared" si="139"/>
        <v>-13.025221071961706</v>
      </c>
    </row>
    <row r="235" spans="1:21" ht="13.8" thickBot="1">
      <c r="A235" s="11" t="s">
        <v>16</v>
      </c>
      <c r="B235" s="29">
        <f>SUM(B225:B234)</f>
        <v>15374.886251829999</v>
      </c>
      <c r="C235" s="31">
        <f>SUM(C225:C234)</f>
        <v>13161.838548922</v>
      </c>
      <c r="D235" s="31">
        <f t="shared" si="125"/>
        <v>2213.0477029079993</v>
      </c>
      <c r="E235" s="19">
        <f t="shared" si="126"/>
        <v>14.393912687611532</v>
      </c>
      <c r="F235" s="29">
        <f>SUM(F225:F234)</f>
        <v>4490.494189349999</v>
      </c>
      <c r="G235" s="31">
        <f>SUM(G225:G234)</f>
        <v>8049.5311188799997</v>
      </c>
      <c r="H235" s="31">
        <f>+F235-G235</f>
        <v>-3559.0369295300006</v>
      </c>
      <c r="I235" s="19">
        <f>+H235/F235*100</f>
        <v>-79.257132499378045</v>
      </c>
      <c r="J235" s="29">
        <f>SUM(J225:J234)</f>
        <v>1386.4669362699999</v>
      </c>
      <c r="K235" s="31">
        <f>SUM(K225:K234)</f>
        <v>2362.5841461300006</v>
      </c>
      <c r="L235" s="31">
        <f>+J235-K235</f>
        <v>-976.11720986000068</v>
      </c>
      <c r="M235" s="19">
        <f>+L235/J235*100</f>
        <v>-70.403208639510765</v>
      </c>
      <c r="N235" s="29">
        <f>SUM(N225:N234)</f>
        <v>0</v>
      </c>
      <c r="O235" s="31">
        <f>SUM(O225:O234)</f>
        <v>0</v>
      </c>
      <c r="P235" s="31">
        <f>+N235-O235</f>
        <v>0</v>
      </c>
      <c r="Q235" s="19" t="e">
        <f>+P235/N235*100</f>
        <v>#DIV/0!</v>
      </c>
      <c r="R235" s="46">
        <f>SUM(R225:R234)</f>
        <v>21251.847377450002</v>
      </c>
      <c r="S235" s="46">
        <f>SUM(S225:S234)</f>
        <v>23573.953813932003</v>
      </c>
      <c r="T235" s="46">
        <f>+R235-S235</f>
        <v>-2322.1064364820013</v>
      </c>
      <c r="U235" s="46">
        <f>+T235/R235*100</f>
        <v>-10.926609791796038</v>
      </c>
    </row>
    <row r="236" spans="1:21">
      <c r="F236" s="1">
        <v>3.3050000000000002</v>
      </c>
      <c r="J236" s="56">
        <v>4.5890000000000004</v>
      </c>
      <c r="N236" s="1">
        <v>1.845</v>
      </c>
    </row>
    <row r="237" spans="1:21" ht="18" thickBot="1">
      <c r="A237" s="2">
        <f>trim_elec!A237</f>
        <v>2022</v>
      </c>
      <c r="O237" s="58"/>
    </row>
    <row r="238" spans="1:21">
      <c r="A238" s="3429" t="s">
        <v>0</v>
      </c>
      <c r="B238" s="3423" t="s">
        <v>269</v>
      </c>
      <c r="C238" s="3424"/>
      <c r="D238" s="3424"/>
      <c r="E238" s="3425"/>
      <c r="F238" s="3426" t="s">
        <v>270</v>
      </c>
      <c r="G238" s="3427"/>
      <c r="H238" s="3427"/>
      <c r="I238" s="3428"/>
      <c r="J238" s="3420" t="s">
        <v>271</v>
      </c>
      <c r="K238" s="3421"/>
      <c r="L238" s="3421"/>
      <c r="M238" s="3422"/>
      <c r="N238" s="3415" t="s">
        <v>272</v>
      </c>
      <c r="O238" s="3416"/>
      <c r="P238" s="3416"/>
      <c r="Q238" s="3417"/>
      <c r="R238" s="3418" t="s">
        <v>83</v>
      </c>
      <c r="S238" s="3418"/>
      <c r="T238" s="3418"/>
      <c r="U238" s="3419"/>
    </row>
    <row r="239" spans="1:21" ht="13.8" thickBot="1">
      <c r="A239" s="3430"/>
      <c r="B239" s="3" t="s">
        <v>24</v>
      </c>
      <c r="C239" s="4" t="s">
        <v>96</v>
      </c>
      <c r="D239" s="4" t="s">
        <v>97</v>
      </c>
      <c r="E239" s="5" t="s">
        <v>91</v>
      </c>
      <c r="F239" s="3" t="s">
        <v>24</v>
      </c>
      <c r="G239" s="4" t="s">
        <v>96</v>
      </c>
      <c r="H239" s="4" t="s">
        <v>97</v>
      </c>
      <c r="I239" s="5" t="s">
        <v>91</v>
      </c>
      <c r="J239" s="3" t="s">
        <v>24</v>
      </c>
      <c r="K239" s="4" t="s">
        <v>96</v>
      </c>
      <c r="L239" s="4" t="s">
        <v>97</v>
      </c>
      <c r="M239" s="5" t="s">
        <v>91</v>
      </c>
      <c r="N239" s="3" t="s">
        <v>24</v>
      </c>
      <c r="O239" s="4" t="s">
        <v>96</v>
      </c>
      <c r="P239" s="4" t="s">
        <v>97</v>
      </c>
      <c r="Q239" s="5" t="s">
        <v>91</v>
      </c>
      <c r="R239" s="3" t="s">
        <v>24</v>
      </c>
      <c r="S239" s="4" t="s">
        <v>96</v>
      </c>
      <c r="T239" s="4" t="s">
        <v>97</v>
      </c>
      <c r="U239" s="5" t="s">
        <v>91</v>
      </c>
    </row>
    <row r="240" spans="1:21">
      <c r="A240" s="16" t="s">
        <v>68</v>
      </c>
      <c r="B240" s="28">
        <f>gaz!B243+gaz!F243+gaz!J243</f>
        <v>1808.6508573000003</v>
      </c>
      <c r="C240" s="32">
        <f t="shared" ref="C240:C249" si="140">+D208+E208</f>
        <v>1619.5593924700008</v>
      </c>
      <c r="D240" s="30">
        <f t="shared" ref="D240:D249" si="141">+B240-C240</f>
        <v>189.0914648299995</v>
      </c>
      <c r="E240" s="20">
        <f t="shared" ref="E240:E249" si="142">+D240/B240*100</f>
        <v>10.454835109097839</v>
      </c>
      <c r="F240" s="28">
        <f>gaz!N243+gaz!R243+gaz!V243</f>
        <v>654.42309997999996</v>
      </c>
      <c r="G240" s="32">
        <f t="shared" ref="G240:G249" si="143">+H208+I208</f>
        <v>1004.0029510700003</v>
      </c>
      <c r="H240" s="32">
        <f t="shared" ref="H240:H249" si="144">+F240-G240</f>
        <v>-349.57985109000037</v>
      </c>
      <c r="I240" s="18">
        <f>+H240/F240*100</f>
        <v>-53.418018266880253</v>
      </c>
      <c r="J240" s="28">
        <f>gaz!Z243+gaz!AD243+gaz!AH243</f>
        <v>341.66187549</v>
      </c>
      <c r="K240" s="32">
        <f t="shared" ref="K240:K249" si="145">+L208+M208</f>
        <v>412.12352229999999</v>
      </c>
      <c r="L240" s="32">
        <f t="shared" ref="L240:L249" si="146">+J240-K240</f>
        <v>-70.461646809999991</v>
      </c>
      <c r="M240" s="18">
        <f t="shared" ref="M240:M249" si="147">+L240/J240*100</f>
        <v>-20.623210215932421</v>
      </c>
      <c r="N240" s="59">
        <f>gaz!AL243+gaz!AP243+gaz!AT243</f>
        <v>0</v>
      </c>
      <c r="O240" s="32">
        <f t="shared" ref="O240:O249" si="148">+P208+Q208</f>
        <v>0</v>
      </c>
      <c r="P240" s="32">
        <f t="shared" ref="P240:P249" si="149">+N240-O240</f>
        <v>0</v>
      </c>
      <c r="Q240" s="18" t="e">
        <f t="shared" ref="Q240:Q249" si="150">+P240/N240*100</f>
        <v>#DIV/0!</v>
      </c>
      <c r="R240" s="40">
        <f>N240+J240+F240+B240</f>
        <v>2804.7358327700003</v>
      </c>
      <c r="S240" s="41">
        <f t="shared" ref="S240:S249" si="151">+T208+U208</f>
        <v>3035.6858658400006</v>
      </c>
      <c r="T240" s="41">
        <f t="shared" ref="T240:T249" si="152">+R240-S240</f>
        <v>-230.95003307000025</v>
      </c>
      <c r="U240" s="42">
        <f>+T240/R240*100</f>
        <v>-8.2342882481702553</v>
      </c>
    </row>
    <row r="241" spans="1:21">
      <c r="A241" s="16" t="s">
        <v>7</v>
      </c>
      <c r="B241" s="28">
        <f>gaz!B244+gaz!F244+gaz!J244</f>
        <v>1672.6078630000002</v>
      </c>
      <c r="C241" s="32">
        <f t="shared" si="140"/>
        <v>1577.90028766</v>
      </c>
      <c r="D241" s="30">
        <f t="shared" si="141"/>
        <v>94.707575340000176</v>
      </c>
      <c r="E241" s="20">
        <f t="shared" si="142"/>
        <v>5.6622701252959597</v>
      </c>
      <c r="F241" s="28">
        <f>gaz!N244+gaz!R244+gaz!V244</f>
        <v>457.09862500000003</v>
      </c>
      <c r="G241" s="32">
        <f t="shared" si="143"/>
        <v>891.0853439</v>
      </c>
      <c r="H241" s="32">
        <f t="shared" si="144"/>
        <v>-433.98671889999997</v>
      </c>
      <c r="I241" s="18">
        <f t="shared" ref="I241:I249" si="153">+H241/F241*100</f>
        <v>-94.943781311965211</v>
      </c>
      <c r="J241" s="28">
        <f>gaz!Z244+gaz!AD244+gaz!AH244</f>
        <v>121.00318799999999</v>
      </c>
      <c r="K241" s="32">
        <f t="shared" si="145"/>
        <v>180.92961448</v>
      </c>
      <c r="L241" s="32">
        <f t="shared" si="146"/>
        <v>-59.926426480000003</v>
      </c>
      <c r="M241" s="18">
        <f t="shared" si="147"/>
        <v>-49.524667465786116</v>
      </c>
      <c r="N241" s="59">
        <f>gaz!AL244+gaz!AP244+gaz!AT244</f>
        <v>0</v>
      </c>
      <c r="O241" s="32">
        <f t="shared" si="148"/>
        <v>0</v>
      </c>
      <c r="P241" s="32">
        <f t="shared" si="149"/>
        <v>0</v>
      </c>
      <c r="Q241" s="18" t="e">
        <f t="shared" si="150"/>
        <v>#DIV/0!</v>
      </c>
      <c r="R241" s="43">
        <f t="shared" ref="R241:R249" si="154">N241+J241+F241+B241</f>
        <v>2250.7096760000004</v>
      </c>
      <c r="S241" s="44">
        <f t="shared" si="151"/>
        <v>2649.9152460400001</v>
      </c>
      <c r="T241" s="44">
        <f t="shared" si="152"/>
        <v>-399.20557003999966</v>
      </c>
      <c r="U241" s="45">
        <f t="shared" ref="U241:U249" si="155">+T241/R241*100</f>
        <v>-17.73687536410625</v>
      </c>
    </row>
    <row r="242" spans="1:21">
      <c r="A242" s="16" t="s">
        <v>8</v>
      </c>
      <c r="B242" s="28">
        <f>gaz!B245+gaz!F245+gaz!J245</f>
        <v>1571.4052060000001</v>
      </c>
      <c r="C242" s="32">
        <f t="shared" si="140"/>
        <v>1509.8706159799997</v>
      </c>
      <c r="D242" s="30">
        <f t="shared" si="141"/>
        <v>61.534590020000451</v>
      </c>
      <c r="E242" s="20">
        <f t="shared" si="142"/>
        <v>3.915895771825542</v>
      </c>
      <c r="F242" s="28">
        <f>gaz!N245+gaz!R245+gaz!V245</f>
        <v>476.10181600000004</v>
      </c>
      <c r="G242" s="32">
        <f t="shared" si="143"/>
        <v>889.04660131999958</v>
      </c>
      <c r="H242" s="32">
        <f t="shared" si="144"/>
        <v>-412.94478531999954</v>
      </c>
      <c r="I242" s="18">
        <f t="shared" si="153"/>
        <v>-86.734553711511055</v>
      </c>
      <c r="J242" s="28">
        <f>gaz!Z245+gaz!AD245+gaz!AH245</f>
        <v>108.254738</v>
      </c>
      <c r="K242" s="32">
        <f t="shared" si="145"/>
        <v>173.52342554999993</v>
      </c>
      <c r="L242" s="32">
        <f t="shared" si="146"/>
        <v>-65.268687549999925</v>
      </c>
      <c r="M242" s="18">
        <f t="shared" si="147"/>
        <v>-60.291760671020164</v>
      </c>
      <c r="N242" s="59">
        <f>gaz!AL245+gaz!AP245+gaz!AT245</f>
        <v>0</v>
      </c>
      <c r="O242" s="32">
        <f t="shared" si="148"/>
        <v>0</v>
      </c>
      <c r="P242" s="32">
        <f t="shared" si="149"/>
        <v>0</v>
      </c>
      <c r="Q242" s="18" t="e">
        <f t="shared" si="150"/>
        <v>#DIV/0!</v>
      </c>
      <c r="R242" s="43">
        <f t="shared" si="154"/>
        <v>2155.7617600000003</v>
      </c>
      <c r="S242" s="44">
        <f t="shared" si="151"/>
        <v>2572.4406428499992</v>
      </c>
      <c r="T242" s="44">
        <f t="shared" si="152"/>
        <v>-416.6788828499989</v>
      </c>
      <c r="U242" s="45">
        <f t="shared" si="155"/>
        <v>-19.328614626228401</v>
      </c>
    </row>
    <row r="243" spans="1:21">
      <c r="A243" s="16" t="s">
        <v>4</v>
      </c>
      <c r="B243" s="28">
        <f>gaz!B246+gaz!F246+gaz!J246</f>
        <v>2390.1897690000001</v>
      </c>
      <c r="C243" s="32">
        <f t="shared" si="140"/>
        <v>2335.0718619299996</v>
      </c>
      <c r="D243" s="30">
        <f t="shared" si="141"/>
        <v>55.117907070000456</v>
      </c>
      <c r="E243" s="20">
        <f t="shared" si="142"/>
        <v>2.3060054806050196</v>
      </c>
      <c r="F243" s="28">
        <f>gaz!N246+gaz!R246+gaz!V246</f>
        <v>677.84176100000013</v>
      </c>
      <c r="G243" s="32">
        <f t="shared" si="143"/>
        <v>1381.0357376299996</v>
      </c>
      <c r="H243" s="32">
        <f t="shared" si="144"/>
        <v>-703.1939766299995</v>
      </c>
      <c r="I243" s="18">
        <f t="shared" si="153"/>
        <v>-103.74013775613322</v>
      </c>
      <c r="J243" s="28">
        <f>gaz!Z246+gaz!AD246+gaz!AH246</f>
        <v>165.65780799999999</v>
      </c>
      <c r="K243" s="32">
        <f t="shared" si="145"/>
        <v>283.06943256999995</v>
      </c>
      <c r="L243" s="32">
        <f t="shared" si="146"/>
        <v>-117.41162456999996</v>
      </c>
      <c r="M243" s="18">
        <f t="shared" si="147"/>
        <v>-70.875997930625743</v>
      </c>
      <c r="N243" s="59">
        <f>gaz!AL246+gaz!AP246+gaz!AT246</f>
        <v>0</v>
      </c>
      <c r="O243" s="32">
        <f t="shared" si="148"/>
        <v>0</v>
      </c>
      <c r="P243" s="32">
        <f t="shared" si="149"/>
        <v>0</v>
      </c>
      <c r="Q243" s="18" t="e">
        <f t="shared" si="150"/>
        <v>#DIV/0!</v>
      </c>
      <c r="R243" s="43">
        <f t="shared" si="154"/>
        <v>3233.6893380000001</v>
      </c>
      <c r="S243" s="44">
        <f t="shared" si="151"/>
        <v>3999.1770321299991</v>
      </c>
      <c r="T243" s="44">
        <f t="shared" si="152"/>
        <v>-765.487694129999</v>
      </c>
      <c r="U243" s="45">
        <f t="shared" si="155"/>
        <v>-23.67227071365626</v>
      </c>
    </row>
    <row r="244" spans="1:21">
      <c r="A244" s="16" t="s">
        <v>3</v>
      </c>
      <c r="B244" s="28">
        <f>gaz!B247+gaz!F247+gaz!J247</f>
        <v>2680.488445</v>
      </c>
      <c r="C244" s="32">
        <f t="shared" si="140"/>
        <v>2374.9002674600001</v>
      </c>
      <c r="D244" s="30">
        <f t="shared" si="141"/>
        <v>305.58817753999983</v>
      </c>
      <c r="E244" s="20">
        <f t="shared" si="142"/>
        <v>11.40046613929723</v>
      </c>
      <c r="F244" s="28">
        <f>gaz!N247+gaz!R247+gaz!V247</f>
        <v>772.813852</v>
      </c>
      <c r="G244" s="32">
        <f t="shared" si="143"/>
        <v>1399.9299894600001</v>
      </c>
      <c r="H244" s="32">
        <f t="shared" si="144"/>
        <v>-627.11613746000012</v>
      </c>
      <c r="I244" s="18">
        <f t="shared" si="153"/>
        <v>-81.147113996088166</v>
      </c>
      <c r="J244" s="28">
        <f>gaz!Z247+gaz!AD247+gaz!AH247</f>
        <v>197.91924799999998</v>
      </c>
      <c r="K244" s="32">
        <f t="shared" si="145"/>
        <v>284.37045680999989</v>
      </c>
      <c r="L244" s="32">
        <f t="shared" si="146"/>
        <v>-86.451208809999912</v>
      </c>
      <c r="M244" s="18">
        <f t="shared" si="147"/>
        <v>-43.680041069072736</v>
      </c>
      <c r="N244" s="59">
        <f>gaz!AL247+gaz!AP247+gaz!AT247</f>
        <v>0</v>
      </c>
      <c r="O244" s="32">
        <f t="shared" si="148"/>
        <v>0</v>
      </c>
      <c r="P244" s="32">
        <f t="shared" si="149"/>
        <v>0</v>
      </c>
      <c r="Q244" s="18" t="e">
        <f t="shared" si="150"/>
        <v>#DIV/0!</v>
      </c>
      <c r="R244" s="43">
        <f t="shared" si="154"/>
        <v>3651.2215449999999</v>
      </c>
      <c r="S244" s="44">
        <f t="shared" si="151"/>
        <v>4059.2007137299997</v>
      </c>
      <c r="T244" s="44">
        <f t="shared" si="152"/>
        <v>-407.97916872999986</v>
      </c>
      <c r="U244" s="45">
        <f t="shared" si="155"/>
        <v>-11.173771947327833</v>
      </c>
    </row>
    <row r="245" spans="1:21">
      <c r="A245" s="16" t="s">
        <v>397</v>
      </c>
      <c r="B245" s="28">
        <f>gaz!B248+gaz!F248+gaz!J248</f>
        <v>762.07834969999999</v>
      </c>
      <c r="C245" s="32">
        <f t="shared" si="140"/>
        <v>624.40537595999945</v>
      </c>
      <c r="D245" s="30">
        <f t="shared" si="141"/>
        <v>137.67297374000054</v>
      </c>
      <c r="E245" s="20">
        <f t="shared" si="142"/>
        <v>18.065461877272451</v>
      </c>
      <c r="F245" s="28">
        <f>gaz!N248+gaz!R248+gaz!V248</f>
        <v>256.71241001999999</v>
      </c>
      <c r="G245" s="32">
        <f t="shared" si="143"/>
        <v>413.07759471000281</v>
      </c>
      <c r="H245" s="32">
        <f t="shared" si="144"/>
        <v>-156.36518469000282</v>
      </c>
      <c r="I245" s="18">
        <f t="shared" si="153"/>
        <v>-60.910644981214858</v>
      </c>
      <c r="J245" s="28">
        <f>gaz!Z248+gaz!AD248+gaz!AH248</f>
        <v>114.47134750999999</v>
      </c>
      <c r="K245" s="32">
        <f t="shared" si="145"/>
        <v>135.93269135</v>
      </c>
      <c r="L245" s="32">
        <f t="shared" si="146"/>
        <v>-21.461343840000012</v>
      </c>
      <c r="M245" s="18">
        <f t="shared" si="147"/>
        <v>-18.748223295026026</v>
      </c>
      <c r="N245" s="59">
        <f>gaz!AL248+gaz!AP248+gaz!AT248</f>
        <v>0</v>
      </c>
      <c r="O245" s="32">
        <f t="shared" si="148"/>
        <v>0</v>
      </c>
      <c r="P245" s="32">
        <f t="shared" si="149"/>
        <v>0</v>
      </c>
      <c r="Q245" s="18" t="e">
        <f t="shared" si="150"/>
        <v>#DIV/0!</v>
      </c>
      <c r="R245" s="43">
        <f t="shared" si="154"/>
        <v>1133.2621072299999</v>
      </c>
      <c r="S245" s="44">
        <f t="shared" si="151"/>
        <v>1173.4156620200022</v>
      </c>
      <c r="T245" s="44">
        <f t="shared" si="152"/>
        <v>-40.153554790002318</v>
      </c>
      <c r="U245" s="45">
        <f t="shared" si="155"/>
        <v>-3.5431833936589037</v>
      </c>
    </row>
    <row r="246" spans="1:21">
      <c r="A246" s="16" t="s">
        <v>399</v>
      </c>
      <c r="B246" s="28">
        <f>gaz!B249+gaz!F249+gaz!J249</f>
        <v>1340.4136198000001</v>
      </c>
      <c r="C246" s="32">
        <f t="shared" si="140"/>
        <v>1172.1013501799998</v>
      </c>
      <c r="D246" s="30">
        <f t="shared" si="141"/>
        <v>168.31226962000028</v>
      </c>
      <c r="E246" s="20">
        <f t="shared" si="142"/>
        <v>12.556741227764737</v>
      </c>
      <c r="F246" s="28">
        <f>gaz!N249+gaz!R251+gaz!V249</f>
        <v>438.012269</v>
      </c>
      <c r="G246" s="32">
        <f t="shared" si="143"/>
        <v>785.24657809000018</v>
      </c>
      <c r="H246" s="32">
        <f t="shared" si="144"/>
        <v>-347.23430909000018</v>
      </c>
      <c r="I246" s="18">
        <f t="shared" si="153"/>
        <v>-79.275018912769355</v>
      </c>
      <c r="J246" s="28">
        <f>gaz!Z249+gaz!AD249+gaz!AH249</f>
        <v>246.61281099999999</v>
      </c>
      <c r="K246" s="32">
        <f t="shared" si="145"/>
        <v>307.91825409</v>
      </c>
      <c r="L246" s="32">
        <f t="shared" si="146"/>
        <v>-61.305443090000011</v>
      </c>
      <c r="M246" s="18">
        <f t="shared" si="147"/>
        <v>-24.858985565839081</v>
      </c>
      <c r="N246" s="59">
        <f>gaz!AL249+gaz!AP249+gaz!AT249</f>
        <v>0</v>
      </c>
      <c r="O246" s="32">
        <f t="shared" si="148"/>
        <v>0</v>
      </c>
      <c r="P246" s="32">
        <f t="shared" si="149"/>
        <v>0</v>
      </c>
      <c r="Q246" s="18" t="e">
        <f t="shared" si="150"/>
        <v>#DIV/0!</v>
      </c>
      <c r="R246" s="43">
        <f t="shared" si="154"/>
        <v>2025.0386998000001</v>
      </c>
      <c r="S246" s="44">
        <f t="shared" si="151"/>
        <v>2265.2661823600001</v>
      </c>
      <c r="T246" s="44">
        <f t="shared" si="152"/>
        <v>-240.22748256</v>
      </c>
      <c r="U246" s="45">
        <f t="shared" si="155"/>
        <v>-11.862858847276632</v>
      </c>
    </row>
    <row r="247" spans="1:21">
      <c r="A247" s="16" t="s">
        <v>883</v>
      </c>
      <c r="B247" s="28">
        <f>gaz!B250+gaz!F250+gaz!J250</f>
        <v>1010.53881</v>
      </c>
      <c r="C247" s="32">
        <f t="shared" si="140"/>
        <v>956.10518503000071</v>
      </c>
      <c r="D247" s="30">
        <f t="shared" si="141"/>
        <v>54.4336249699993</v>
      </c>
      <c r="E247" s="20">
        <f t="shared" si="142"/>
        <v>5.3865942041354451</v>
      </c>
      <c r="F247" s="28">
        <f>gaz!N250+gaz!R250+gaz!V250</f>
        <v>261.12597100000005</v>
      </c>
      <c r="G247" s="32">
        <f t="shared" si="143"/>
        <v>494.75527323999955</v>
      </c>
      <c r="H247" s="32">
        <f t="shared" si="144"/>
        <v>-233.6293022399995</v>
      </c>
      <c r="I247" s="18">
        <f t="shared" si="153"/>
        <v>-89.469960167232642</v>
      </c>
      <c r="J247" s="28">
        <f>gaz!Z250+gaz!AD250+gaz!AH250</f>
        <v>88.934467000000012</v>
      </c>
      <c r="K247" s="32">
        <f t="shared" si="145"/>
        <v>132.35810535199937</v>
      </c>
      <c r="L247" s="32">
        <f t="shared" si="146"/>
        <v>-43.423638351999358</v>
      </c>
      <c r="M247" s="18">
        <f t="shared" si="147"/>
        <v>-48.826557145723214</v>
      </c>
      <c r="N247" s="59">
        <f>gaz!AL250+gaz!AP250+gaz!AT250</f>
        <v>0</v>
      </c>
      <c r="O247" s="32">
        <f t="shared" si="148"/>
        <v>0</v>
      </c>
      <c r="P247" s="32">
        <f t="shared" si="149"/>
        <v>0</v>
      </c>
      <c r="Q247" s="18" t="e">
        <f t="shared" si="150"/>
        <v>#DIV/0!</v>
      </c>
      <c r="R247" s="43">
        <f t="shared" si="154"/>
        <v>1360.599248</v>
      </c>
      <c r="S247" s="44">
        <f t="shared" si="151"/>
        <v>1583.2185636219995</v>
      </c>
      <c r="T247" s="44">
        <f t="shared" si="152"/>
        <v>-222.61931562199948</v>
      </c>
      <c r="U247" s="45">
        <f t="shared" si="155"/>
        <v>-16.361857905568936</v>
      </c>
    </row>
    <row r="248" spans="1:21">
      <c r="A248" s="16" t="s">
        <v>884</v>
      </c>
      <c r="B248" s="28">
        <f>gaz!B251+gaz!F251+gaz!J251</f>
        <v>1040.3135600000001</v>
      </c>
      <c r="C248" s="32">
        <f t="shared" si="140"/>
        <v>947.60992156999998</v>
      </c>
      <c r="D248" s="30">
        <f t="shared" si="141"/>
        <v>92.703638430000069</v>
      </c>
      <c r="E248" s="20">
        <f t="shared" si="142"/>
        <v>8.9111246834079587</v>
      </c>
      <c r="F248" s="28">
        <f>gaz!N251+gaz!R251+gaz!V251</f>
        <v>289.67400900000001</v>
      </c>
      <c r="G248" s="32">
        <f t="shared" si="143"/>
        <v>577.99868262999996</v>
      </c>
      <c r="H248" s="32">
        <f t="shared" si="144"/>
        <v>-288.32467362999995</v>
      </c>
      <c r="I248" s="18">
        <f t="shared" si="153"/>
        <v>-99.534188319256472</v>
      </c>
      <c r="J248" s="28">
        <f>gaz!Z251+gaz!AD251+gaz!AH251</f>
        <v>144.28278599999999</v>
      </c>
      <c r="K248" s="32">
        <f t="shared" si="145"/>
        <v>204.41897876000002</v>
      </c>
      <c r="L248" s="32">
        <f t="shared" si="146"/>
        <v>-60.136192760000029</v>
      </c>
      <c r="M248" s="18">
        <f t="shared" si="147"/>
        <v>-41.6793953230152</v>
      </c>
      <c r="N248" s="59">
        <f>gaz!AL251+gaz!AP251+gaz!AT251</f>
        <v>0</v>
      </c>
      <c r="O248" s="32">
        <f t="shared" si="148"/>
        <v>0</v>
      </c>
      <c r="P248" s="32">
        <f t="shared" si="149"/>
        <v>0</v>
      </c>
      <c r="Q248" s="18" t="e">
        <f t="shared" si="150"/>
        <v>#DIV/0!</v>
      </c>
      <c r="R248" s="43">
        <f t="shared" si="154"/>
        <v>1474.2703550000001</v>
      </c>
      <c r="S248" s="44">
        <f t="shared" si="151"/>
        <v>1730.02758296</v>
      </c>
      <c r="T248" s="44">
        <f t="shared" si="152"/>
        <v>-255.75722795999991</v>
      </c>
      <c r="U248" s="45">
        <f t="shared" si="155"/>
        <v>-17.348054723653444</v>
      </c>
    </row>
    <row r="249" spans="1:21" ht="13.8" thickBot="1">
      <c r="A249" s="16" t="s">
        <v>885</v>
      </c>
      <c r="B249" s="28">
        <f>gaz!B252+gaz!F252+gaz!J252</f>
        <v>702.98619099999996</v>
      </c>
      <c r="C249" s="32">
        <f t="shared" si="140"/>
        <v>610.72971782399975</v>
      </c>
      <c r="D249" s="30">
        <f t="shared" si="141"/>
        <v>92.256473176000213</v>
      </c>
      <c r="E249" s="20">
        <f t="shared" si="142"/>
        <v>13.123511436940902</v>
      </c>
      <c r="F249" s="28">
        <f>gaz!N252+gaz!R252+gaz!V252</f>
        <v>191.35716400000001</v>
      </c>
      <c r="G249" s="32">
        <f t="shared" si="143"/>
        <v>400.97399087000025</v>
      </c>
      <c r="H249" s="32">
        <f t="shared" si="144"/>
        <v>-209.61682687000024</v>
      </c>
      <c r="I249" s="18">
        <f t="shared" si="153"/>
        <v>-109.54218932195307</v>
      </c>
      <c r="J249" s="28">
        <f>gaz!Z252+gaz!AD252+gaz!AH252</f>
        <v>41.788262000000003</v>
      </c>
      <c r="K249" s="32">
        <f t="shared" si="145"/>
        <v>78.675649448000016</v>
      </c>
      <c r="L249" s="32">
        <f t="shared" si="146"/>
        <v>-36.887387448000013</v>
      </c>
      <c r="M249" s="18">
        <f t="shared" si="147"/>
        <v>-88.27212638802736</v>
      </c>
      <c r="N249" s="59">
        <f>gaz!AL252+gaz!AP252+gaz!AT252</f>
        <v>0</v>
      </c>
      <c r="O249" s="32">
        <f t="shared" si="148"/>
        <v>0</v>
      </c>
      <c r="P249" s="32">
        <f t="shared" si="149"/>
        <v>0</v>
      </c>
      <c r="Q249" s="18" t="e">
        <f t="shared" si="150"/>
        <v>#DIV/0!</v>
      </c>
      <c r="R249" s="43">
        <f t="shared" si="154"/>
        <v>936.13161700000001</v>
      </c>
      <c r="S249" s="44">
        <f t="shared" si="151"/>
        <v>1090.379358142</v>
      </c>
      <c r="T249" s="44">
        <f t="shared" si="152"/>
        <v>-154.247741142</v>
      </c>
      <c r="U249" s="45">
        <f t="shared" si="155"/>
        <v>-16.47714256637483</v>
      </c>
    </row>
    <row r="250" spans="1:21" ht="13.8" thickBot="1">
      <c r="A250" s="11" t="s">
        <v>16</v>
      </c>
      <c r="B250" s="29">
        <f>SUM(B240:B249)</f>
        <v>14979.672670799999</v>
      </c>
      <c r="C250" s="31">
        <f>SUM(C240:C249)</f>
        <v>13728.253976063999</v>
      </c>
      <c r="D250" s="31">
        <f>+B250-C250</f>
        <v>1251.4186947359995</v>
      </c>
      <c r="E250" s="19">
        <f>+D250/B250*100</f>
        <v>8.3541124177926829</v>
      </c>
      <c r="F250" s="29">
        <f>SUM(F240:F249)</f>
        <v>4475.1609769999995</v>
      </c>
      <c r="G250" s="31">
        <f>SUM(G240:G249)</f>
        <v>8237.1527429200032</v>
      </c>
      <c r="H250" s="31">
        <f>+F250-G250</f>
        <v>-3761.9917659200037</v>
      </c>
      <c r="I250" s="19">
        <f>+H250/F250*100</f>
        <v>-84.063831117018694</v>
      </c>
      <c r="J250" s="29">
        <f>SUM(J240:J249)</f>
        <v>1570.5865309999999</v>
      </c>
      <c r="K250" s="31">
        <f>SUM(K240:K249)</f>
        <v>2193.3201307099989</v>
      </c>
      <c r="L250" s="31">
        <f>+J250-K250</f>
        <v>-622.733599709999</v>
      </c>
      <c r="M250" s="19">
        <f>+L250/J250*100</f>
        <v>-39.649747875623355</v>
      </c>
      <c r="N250" s="29">
        <f>SUM(N240:N249)</f>
        <v>0</v>
      </c>
      <c r="O250" s="31">
        <f>SUM(O240:O249)</f>
        <v>0</v>
      </c>
      <c r="P250" s="31">
        <f>+N250-O250</f>
        <v>0</v>
      </c>
      <c r="Q250" s="19" t="e">
        <f>+P250/N250*100</f>
        <v>#DIV/0!</v>
      </c>
      <c r="R250" s="46">
        <f>SUM(R240:R249)</f>
        <v>21025.420178799999</v>
      </c>
      <c r="S250" s="46">
        <f>SUM(S240:S249)</f>
        <v>24158.726849693998</v>
      </c>
      <c r="T250" s="46">
        <f>+R250-S250</f>
        <v>-3133.3066708939987</v>
      </c>
      <c r="U250" s="46">
        <f>+T250/R250*100</f>
        <v>-14.902468746157673</v>
      </c>
    </row>
    <row r="251" spans="1:21" s="57" customFormat="1"/>
    <row r="252" spans="1:21">
      <c r="A252" s="17"/>
      <c r="B252" s="17"/>
      <c r="C252" s="17"/>
      <c r="D252" s="17"/>
      <c r="E252" s="17"/>
      <c r="F252" s="17"/>
      <c r="G252" s="17"/>
      <c r="H252" s="17"/>
      <c r="I252" s="17"/>
      <c r="J252" s="17"/>
      <c r="K252" s="17"/>
      <c r="L252" s="17"/>
      <c r="M252" s="17"/>
      <c r="N252" s="17"/>
      <c r="O252" s="17"/>
      <c r="P252" s="17"/>
      <c r="Q252" s="17"/>
    </row>
    <row r="253" spans="1:21" ht="17.399999999999999">
      <c r="A253" s="15" t="s">
        <v>86</v>
      </c>
    </row>
    <row r="254" spans="1:21" ht="18" thickBot="1">
      <c r="A254" s="2">
        <f>trim_elec!A254</f>
        <v>2021</v>
      </c>
    </row>
    <row r="255" spans="1:21">
      <c r="A255" s="3429" t="s">
        <v>0</v>
      </c>
      <c r="B255" s="3423" t="s">
        <v>269</v>
      </c>
      <c r="C255" s="3424"/>
      <c r="D255" s="3424"/>
      <c r="E255" s="3425"/>
      <c r="F255" s="3426" t="s">
        <v>270</v>
      </c>
      <c r="G255" s="3427"/>
      <c r="H255" s="3427"/>
      <c r="I255" s="3428"/>
      <c r="J255" s="3420" t="s">
        <v>271</v>
      </c>
      <c r="K255" s="3421"/>
      <c r="L255" s="3421"/>
      <c r="M255" s="3422"/>
      <c r="N255" s="3415" t="s">
        <v>272</v>
      </c>
      <c r="O255" s="3416"/>
      <c r="P255" s="3416"/>
      <c r="Q255" s="3417"/>
      <c r="R255" s="3418" t="s">
        <v>83</v>
      </c>
      <c r="S255" s="3418"/>
      <c r="T255" s="3418"/>
      <c r="U255" s="3419"/>
    </row>
    <row r="256" spans="1:21" ht="13.8" thickBot="1">
      <c r="A256" s="3430"/>
      <c r="B256" s="3" t="s">
        <v>17</v>
      </c>
      <c r="C256" s="4" t="s">
        <v>18</v>
      </c>
      <c r="D256" s="4" t="s">
        <v>56</v>
      </c>
      <c r="E256" s="5" t="s">
        <v>21</v>
      </c>
      <c r="F256" s="3" t="s">
        <v>17</v>
      </c>
      <c r="G256" s="4" t="s">
        <v>18</v>
      </c>
      <c r="H256" s="4" t="s">
        <v>56</v>
      </c>
      <c r="I256" s="5" t="s">
        <v>21</v>
      </c>
      <c r="J256" s="3" t="s">
        <v>17</v>
      </c>
      <c r="K256" s="4" t="s">
        <v>18</v>
      </c>
      <c r="L256" s="4" t="s">
        <v>56</v>
      </c>
      <c r="M256" s="5" t="s">
        <v>21</v>
      </c>
      <c r="N256" s="3" t="s">
        <v>17</v>
      </c>
      <c r="O256" s="4" t="s">
        <v>18</v>
      </c>
      <c r="P256" s="4" t="s">
        <v>56</v>
      </c>
      <c r="Q256" s="5" t="s">
        <v>21</v>
      </c>
      <c r="R256" s="4" t="s">
        <v>17</v>
      </c>
      <c r="S256" s="4" t="s">
        <v>18</v>
      </c>
      <c r="T256" s="4" t="s">
        <v>56</v>
      </c>
      <c r="U256" s="6" t="s">
        <v>21</v>
      </c>
    </row>
    <row r="257" spans="1:21">
      <c r="A257" s="16" t="s">
        <v>68</v>
      </c>
      <c r="B257" s="47">
        <f>gaz!B350+gaz!F350+gaz!J350</f>
        <v>504.95056873999965</v>
      </c>
      <c r="C257" s="48">
        <f>gaz!C350+gaz!G350+gaz!K350</f>
        <v>20.46901214</v>
      </c>
      <c r="D257" s="49">
        <f t="shared" ref="D257:D266" si="156">+B257+C257</f>
        <v>525.41958087999967</v>
      </c>
      <c r="E257" s="50">
        <f>gaz!E350+gaz!I350+gaz!M350</f>
        <v>83.804602609999989</v>
      </c>
      <c r="F257" s="47">
        <f>gaz!N350+gaz!R350+gaz!V350</f>
        <v>300.45406382999994</v>
      </c>
      <c r="G257" s="48">
        <f>gaz!O350+gaz!S350+gaz!W350</f>
        <v>7.7400185999999991</v>
      </c>
      <c r="H257" s="49">
        <f t="shared" ref="H257:H266" si="157">+F257+G257</f>
        <v>308.19408242999992</v>
      </c>
      <c r="I257" s="50">
        <f>gaz!Q350+gaz!U350+gaz!Y350</f>
        <v>66.169777949999997</v>
      </c>
      <c r="J257" s="47">
        <f>gaz!Z350+gaz!AD350+gaz!AH350</f>
        <v>84.720450279999994</v>
      </c>
      <c r="K257" s="48">
        <f>gaz!AA350+gaz!AE350+gaz!AI350</f>
        <v>1.2052949800000001</v>
      </c>
      <c r="L257" s="49">
        <f t="shared" ref="L257:L266" si="158">+J257+K257</f>
        <v>85.925745259999999</v>
      </c>
      <c r="M257" s="50">
        <f>gaz!AC350+gaz!AG350+gaz!AK350</f>
        <v>54.940069370000003</v>
      </c>
      <c r="N257" s="47">
        <f>gaz!AL350+gaz!AP350+gaz!AT350</f>
        <v>0</v>
      </c>
      <c r="O257" s="48">
        <f>gaz!AM350+gaz!AQ350+gaz!AU350</f>
        <v>0</v>
      </c>
      <c r="P257" s="49">
        <f t="shared" ref="P257:P266" si="159">+N257+O257</f>
        <v>0</v>
      </c>
      <c r="Q257" s="50">
        <f>gaz!AO350+gaz!AS350+gaz!AW350</f>
        <v>0</v>
      </c>
      <c r="R257" s="40">
        <f t="shared" ref="R257:R266" si="160">B257+F257+J257+N257</f>
        <v>890.12508284999967</v>
      </c>
      <c r="S257" s="41">
        <f t="shared" ref="S257:S266" si="161">C257+G257+K257+O257</f>
        <v>29.414325720000001</v>
      </c>
      <c r="T257" s="41">
        <f t="shared" ref="T257:T266" si="162">D257+H257+L257+P257</f>
        <v>919.53940856999952</v>
      </c>
      <c r="U257" s="42">
        <f t="shared" ref="U257:U266" si="163">E257+I257+M257+Q257</f>
        <v>204.91444992999999</v>
      </c>
    </row>
    <row r="258" spans="1:21">
      <c r="A258" s="16" t="s">
        <v>7</v>
      </c>
      <c r="B258" s="47">
        <f>gaz!B351+gaz!F351+gaz!J351</f>
        <v>523.91560779000008</v>
      </c>
      <c r="C258" s="48">
        <f>gaz!C351+gaz!G351+gaz!K351</f>
        <v>34.344930980000001</v>
      </c>
      <c r="D258" s="49">
        <f t="shared" si="156"/>
        <v>558.26053877000004</v>
      </c>
      <c r="E258" s="50">
        <f>gaz!E351+gaz!I351+gaz!M351</f>
        <v>33.151891980000002</v>
      </c>
      <c r="F258" s="47">
        <f>gaz!N351+gaz!R351+gaz!V351</f>
        <v>311.79604233999999</v>
      </c>
      <c r="G258" s="48">
        <f>gaz!O351+gaz!S351+gaz!W351</f>
        <v>14.444981160000001</v>
      </c>
      <c r="H258" s="49">
        <f t="shared" si="157"/>
        <v>326.24102349999998</v>
      </c>
      <c r="I258" s="50">
        <f>gaz!Q351+gaz!U351+gaz!Y351</f>
        <v>20.414146590000001</v>
      </c>
      <c r="J258" s="47">
        <f>gaz!Z351+gaz!AD351+gaz!AH351</f>
        <v>62.565080909999999</v>
      </c>
      <c r="K258" s="48">
        <f>gaz!AA351+gaz!AE351+gaz!AI351</f>
        <v>1.21715851</v>
      </c>
      <c r="L258" s="49">
        <f t="shared" si="158"/>
        <v>63.782239419999996</v>
      </c>
      <c r="M258" s="50">
        <f>gaz!AC351+gaz!AG351+gaz!AK351</f>
        <v>9.04782449</v>
      </c>
      <c r="N258" s="47">
        <f>gaz!AL351+gaz!AP351+gaz!AT351</f>
        <v>0</v>
      </c>
      <c r="O258" s="48">
        <f>gaz!AM351+gaz!AQ351+gaz!AU351</f>
        <v>0</v>
      </c>
      <c r="P258" s="49">
        <f t="shared" si="159"/>
        <v>0</v>
      </c>
      <c r="Q258" s="50">
        <f>gaz!AO351+gaz!AS351+gaz!AW351</f>
        <v>0</v>
      </c>
      <c r="R258" s="43">
        <f t="shared" si="160"/>
        <v>898.27673104000007</v>
      </c>
      <c r="S258" s="44">
        <f t="shared" si="161"/>
        <v>50.007070649999996</v>
      </c>
      <c r="T258" s="44">
        <f t="shared" si="162"/>
        <v>948.28380169000002</v>
      </c>
      <c r="U258" s="45">
        <f t="shared" si="163"/>
        <v>62.61386306</v>
      </c>
    </row>
    <row r="259" spans="1:21">
      <c r="A259" s="16" t="s">
        <v>8</v>
      </c>
      <c r="B259" s="47">
        <f>gaz!B352+gaz!F352+gaz!J352</f>
        <v>500.29417078000006</v>
      </c>
      <c r="C259" s="48">
        <f>gaz!C352+gaz!G352+gaz!K352</f>
        <v>35.809916279999996</v>
      </c>
      <c r="D259" s="49">
        <f t="shared" si="156"/>
        <v>536.1040870600001</v>
      </c>
      <c r="E259" s="50">
        <f>gaz!E352+gaz!I352+gaz!M352</f>
        <v>26.965302039999997</v>
      </c>
      <c r="F259" s="47">
        <f>gaz!N352+gaz!R352+gaz!V352</f>
        <v>286.14114095000002</v>
      </c>
      <c r="G259" s="48">
        <f>gaz!O352+gaz!S352+gaz!W352</f>
        <v>18.15960381</v>
      </c>
      <c r="H259" s="49">
        <f t="shared" si="157"/>
        <v>304.30074476000004</v>
      </c>
      <c r="I259" s="50">
        <f>gaz!Q352+gaz!U352+gaz!Y352</f>
        <v>14.326699720000001</v>
      </c>
      <c r="J259" s="47">
        <f>gaz!Z352+gaz!AD352+gaz!AH352</f>
        <v>61.509317369999998</v>
      </c>
      <c r="K259" s="48">
        <f>gaz!AA352+gaz!AE352+gaz!AI352</f>
        <v>2.4009803000000001</v>
      </c>
      <c r="L259" s="49">
        <f t="shared" si="158"/>
        <v>63.910297669999999</v>
      </c>
      <c r="M259" s="50">
        <f>gaz!AC352+gaz!AG352+gaz!AK352</f>
        <v>5.9764683700000001</v>
      </c>
      <c r="N259" s="47">
        <f>gaz!AL352+gaz!AP352+gaz!AT352</f>
        <v>0</v>
      </c>
      <c r="O259" s="48">
        <f>gaz!AM352+gaz!AQ352+gaz!AU352</f>
        <v>0</v>
      </c>
      <c r="P259" s="49">
        <f t="shared" si="159"/>
        <v>0</v>
      </c>
      <c r="Q259" s="50">
        <f>gaz!AO352+gaz!AS352+gaz!AW352</f>
        <v>0</v>
      </c>
      <c r="R259" s="43">
        <f t="shared" si="160"/>
        <v>847.94462910000004</v>
      </c>
      <c r="S259" s="44">
        <f t="shared" si="161"/>
        <v>56.370500389999997</v>
      </c>
      <c r="T259" s="44">
        <f t="shared" si="162"/>
        <v>904.31512949000012</v>
      </c>
      <c r="U259" s="45">
        <f t="shared" si="163"/>
        <v>47.268470129999997</v>
      </c>
    </row>
    <row r="260" spans="1:21">
      <c r="A260" s="16" t="s">
        <v>4</v>
      </c>
      <c r="B260" s="47">
        <f>gaz!B353+gaz!F353+gaz!J353</f>
        <v>849.29700339999999</v>
      </c>
      <c r="C260" s="48">
        <f>gaz!C353+gaz!G353+gaz!K353</f>
        <v>37.321911229999998</v>
      </c>
      <c r="D260" s="49">
        <f t="shared" si="156"/>
        <v>886.61891462999995</v>
      </c>
      <c r="E260" s="50">
        <f>gaz!E353+gaz!I353+gaz!M353</f>
        <v>41.721945580000003</v>
      </c>
      <c r="F260" s="47">
        <f>gaz!N353+gaz!R353+gaz!V353</f>
        <v>506.14750134999997</v>
      </c>
      <c r="G260" s="48">
        <f>gaz!O353+gaz!S353+gaz!W353</f>
        <v>22.610545740000006</v>
      </c>
      <c r="H260" s="49">
        <f t="shared" si="157"/>
        <v>528.75804708999999</v>
      </c>
      <c r="I260" s="50">
        <f>gaz!Q353+gaz!U353+gaz!Y353</f>
        <v>23.614396119999999</v>
      </c>
      <c r="J260" s="47">
        <f>gaz!Z353+gaz!AD353+gaz!AH353</f>
        <v>103.43132378999999</v>
      </c>
      <c r="K260" s="48">
        <f>gaz!AA353+gaz!AE353+gaz!AI353</f>
        <v>3.8882248299999995</v>
      </c>
      <c r="L260" s="49">
        <f t="shared" si="158"/>
        <v>107.31954861999999</v>
      </c>
      <c r="M260" s="50">
        <f>gaz!AC353+gaz!AG353+gaz!AK353</f>
        <v>12.789854089999999</v>
      </c>
      <c r="N260" s="47">
        <f>gaz!AL353+gaz!AP353+gaz!AT353</f>
        <v>0</v>
      </c>
      <c r="O260" s="48">
        <f>gaz!AM353+gaz!AQ353+gaz!AU353</f>
        <v>0</v>
      </c>
      <c r="P260" s="49">
        <f t="shared" si="159"/>
        <v>0</v>
      </c>
      <c r="Q260" s="50">
        <f>gaz!AO353+gaz!AS353+gaz!AW353</f>
        <v>0</v>
      </c>
      <c r="R260" s="43">
        <f t="shared" si="160"/>
        <v>1458.8758285399999</v>
      </c>
      <c r="S260" s="44">
        <f t="shared" si="161"/>
        <v>63.820681800000003</v>
      </c>
      <c r="T260" s="44">
        <f t="shared" si="162"/>
        <v>1522.69651034</v>
      </c>
      <c r="U260" s="45">
        <f t="shared" si="163"/>
        <v>78.126195789999997</v>
      </c>
    </row>
    <row r="261" spans="1:21">
      <c r="A261" s="16" t="s">
        <v>3</v>
      </c>
      <c r="B261" s="47">
        <f>gaz!B354+gaz!F354+gaz!J354</f>
        <v>897.98685495999996</v>
      </c>
      <c r="C261" s="48">
        <f>gaz!C354+gaz!G354+gaz!K354</f>
        <v>61.400690839999996</v>
      </c>
      <c r="D261" s="49">
        <f t="shared" si="156"/>
        <v>959.3875458</v>
      </c>
      <c r="E261" s="50">
        <f>gaz!E354+gaz!I354+gaz!M354</f>
        <v>43.222716509999998</v>
      </c>
      <c r="F261" s="47">
        <f>gaz!N354+gaz!R354+gaz!V354</f>
        <v>483.39002367000006</v>
      </c>
      <c r="G261" s="48">
        <f>gaz!O354+gaz!S354+gaz!W354</f>
        <v>25.035187889999996</v>
      </c>
      <c r="H261" s="49">
        <f t="shared" si="157"/>
        <v>508.42521156000004</v>
      </c>
      <c r="I261" s="50">
        <f>gaz!Q354+gaz!U354+gaz!Y354</f>
        <v>17.04086689</v>
      </c>
      <c r="J261" s="47">
        <f>gaz!Z354+gaz!AD354+gaz!AH354</f>
        <v>110.67422614000002</v>
      </c>
      <c r="K261" s="48">
        <f>gaz!AA354+gaz!AE354+gaz!AI354</f>
        <v>1.3450846799999998</v>
      </c>
      <c r="L261" s="49">
        <f t="shared" si="158"/>
        <v>112.01931082000002</v>
      </c>
      <c r="M261" s="50">
        <f>gaz!AC354+gaz!AG354+gaz!AK354</f>
        <v>7.8928690800000005</v>
      </c>
      <c r="N261" s="47">
        <f>gaz!AL354+gaz!AP354+gaz!AT354</f>
        <v>0</v>
      </c>
      <c r="O261" s="48">
        <f>gaz!AM354+gaz!AQ354+gaz!AU354</f>
        <v>0</v>
      </c>
      <c r="P261" s="49">
        <f t="shared" si="159"/>
        <v>0</v>
      </c>
      <c r="Q261" s="50">
        <f>gaz!AO354+gaz!AS354+gaz!AW354</f>
        <v>0</v>
      </c>
      <c r="R261" s="43">
        <f t="shared" si="160"/>
        <v>1492.0511047699999</v>
      </c>
      <c r="S261" s="44">
        <f t="shared" si="161"/>
        <v>87.780963409999984</v>
      </c>
      <c r="T261" s="44">
        <f t="shared" si="162"/>
        <v>1579.8320681800001</v>
      </c>
      <c r="U261" s="45">
        <f t="shared" si="163"/>
        <v>68.156452479999999</v>
      </c>
    </row>
    <row r="262" spans="1:21">
      <c r="A262" s="16" t="s">
        <v>397</v>
      </c>
      <c r="B262" s="47">
        <f>gaz!B355+gaz!F355+gaz!J355</f>
        <v>198.61752005000008</v>
      </c>
      <c r="C262" s="48">
        <f>gaz!C355+gaz!G355+gaz!K355</f>
        <v>9.1785881200000006</v>
      </c>
      <c r="D262" s="49">
        <f t="shared" si="156"/>
        <v>207.79610817000008</v>
      </c>
      <c r="E262" s="50">
        <f>gaz!E355+gaz!I355+gaz!M355</f>
        <v>22.32502186</v>
      </c>
      <c r="F262" s="47">
        <f>gaz!N355+gaz!R355+gaz!V355</f>
        <v>138.94865211999999</v>
      </c>
      <c r="G262" s="48">
        <f>gaz!O355+gaz!S355+gaz!W355</f>
        <v>6.2867405099999996</v>
      </c>
      <c r="H262" s="49">
        <f t="shared" si="157"/>
        <v>145.23539262999998</v>
      </c>
      <c r="I262" s="50">
        <f>gaz!Q355+gaz!U355+gaz!Y355</f>
        <v>14.43383133</v>
      </c>
      <c r="J262" s="47">
        <f>gaz!Z355+gaz!AD355+gaz!AH355</f>
        <v>36.969452910000463</v>
      </c>
      <c r="K262" s="48">
        <f>gaz!AA355+gaz!AE355+gaz!AI355</f>
        <v>1.40673486</v>
      </c>
      <c r="L262" s="49">
        <f t="shared" si="158"/>
        <v>38.376187770000463</v>
      </c>
      <c r="M262" s="50">
        <f>gaz!AC355+gaz!AG355+gaz!AK355</f>
        <v>9.1168883100000002</v>
      </c>
      <c r="N262" s="47">
        <f>gaz!AL355+gaz!AP355+gaz!AT355</f>
        <v>0</v>
      </c>
      <c r="O262" s="48">
        <f>gaz!AM355+gaz!AQ355+gaz!AU355</f>
        <v>0</v>
      </c>
      <c r="P262" s="49">
        <f t="shared" si="159"/>
        <v>0</v>
      </c>
      <c r="Q262" s="50">
        <f>gaz!AO355+gaz!AS355+gaz!AW355</f>
        <v>0</v>
      </c>
      <c r="R262" s="43">
        <f t="shared" si="160"/>
        <v>374.53562508000056</v>
      </c>
      <c r="S262" s="44">
        <f t="shared" si="161"/>
        <v>16.872063489999999</v>
      </c>
      <c r="T262" s="44">
        <f t="shared" si="162"/>
        <v>391.40768857000052</v>
      </c>
      <c r="U262" s="45">
        <f t="shared" si="163"/>
        <v>45.875741499999997</v>
      </c>
    </row>
    <row r="263" spans="1:21">
      <c r="A263" s="16" t="s">
        <v>399</v>
      </c>
      <c r="B263" s="47">
        <f>gaz!B356+gaz!F356+gaz!J356</f>
        <v>323.13518019000003</v>
      </c>
      <c r="C263" s="48">
        <f>gaz!C356+gaz!G356+gaz!K356</f>
        <v>12.606365620000002</v>
      </c>
      <c r="D263" s="49">
        <f t="shared" si="156"/>
        <v>335.74154581000005</v>
      </c>
      <c r="E263" s="50">
        <f>gaz!E356+gaz!I356+gaz!M356</f>
        <v>72.298750679999998</v>
      </c>
      <c r="F263" s="47">
        <f>gaz!N356+gaz!R356+gaz!V356</f>
        <v>191.20993021000001</v>
      </c>
      <c r="G263" s="48">
        <f>gaz!O356+gaz!S356+gaz!W356</f>
        <v>4.8655606999999996</v>
      </c>
      <c r="H263" s="49">
        <f t="shared" si="157"/>
        <v>196.07549091000001</v>
      </c>
      <c r="I263" s="50">
        <f>gaz!Q356+gaz!U356+gaz!Y356</f>
        <v>118.91523992</v>
      </c>
      <c r="J263" s="47">
        <f>gaz!Z356+gaz!AD356+gaz!AH356</f>
        <v>54.259667639999996</v>
      </c>
      <c r="K263" s="48">
        <f>gaz!AA356+gaz!AE356+gaz!AI356</f>
        <v>0.84139036999999994</v>
      </c>
      <c r="L263" s="49">
        <f t="shared" si="158"/>
        <v>55.101058009999996</v>
      </c>
      <c r="M263" s="50">
        <f>gaz!AC356+gaz!AG356+gaz!AK356</f>
        <v>44.907428359999997</v>
      </c>
      <c r="N263" s="47">
        <f>gaz!AL356+gaz!AP356+gaz!AT356</f>
        <v>0</v>
      </c>
      <c r="O263" s="48">
        <f>gaz!AM356+gaz!AQ356+gaz!AU356</f>
        <v>0</v>
      </c>
      <c r="P263" s="49">
        <f t="shared" si="159"/>
        <v>0</v>
      </c>
      <c r="Q263" s="50">
        <f>gaz!AO356+gaz!AS356+gaz!AW356</f>
        <v>0</v>
      </c>
      <c r="R263" s="43">
        <f t="shared" si="160"/>
        <v>568.60477804000004</v>
      </c>
      <c r="S263" s="44">
        <f t="shared" si="161"/>
        <v>18.313316690000001</v>
      </c>
      <c r="T263" s="44">
        <f t="shared" si="162"/>
        <v>586.91809473000001</v>
      </c>
      <c r="U263" s="45">
        <f t="shared" si="163"/>
        <v>236.12141895999997</v>
      </c>
    </row>
    <row r="264" spans="1:21">
      <c r="A264" s="16" t="s">
        <v>883</v>
      </c>
      <c r="B264" s="47">
        <f>gaz!B357+gaz!F357+gaz!J357</f>
        <v>301.34163380000001</v>
      </c>
      <c r="C264" s="48">
        <f>gaz!C357+gaz!G357+gaz!K357</f>
        <v>16.706760689999996</v>
      </c>
      <c r="D264" s="49">
        <f t="shared" si="156"/>
        <v>318.04839449000002</v>
      </c>
      <c r="E264" s="50">
        <f>gaz!E357+gaz!I357+gaz!M357</f>
        <v>18.97930667</v>
      </c>
      <c r="F264" s="47">
        <f>gaz!N357+gaz!R357+gaz!V357</f>
        <v>281.50619698999441</v>
      </c>
      <c r="G264" s="48">
        <f>gaz!O357+gaz!S357+gaz!W357</f>
        <v>11.438119420000001</v>
      </c>
      <c r="H264" s="49">
        <f t="shared" si="157"/>
        <v>292.94431640999443</v>
      </c>
      <c r="I264" s="50">
        <f>gaz!Q357+gaz!U357+gaz!Y357</f>
        <v>11.023898320000001</v>
      </c>
      <c r="J264" s="47">
        <f>gaz!Z357+gaz!AD357+gaz!AH357</f>
        <v>38.008819850000002</v>
      </c>
      <c r="K264" s="48">
        <f>gaz!AA357+gaz!AE357+gaz!AI357</f>
        <v>1.3028356400000001</v>
      </c>
      <c r="L264" s="49">
        <f t="shared" si="158"/>
        <v>39.31165549</v>
      </c>
      <c r="M264" s="50">
        <f>gaz!AC357+gaz!AG357+gaz!AK357</f>
        <v>5.7506339999999998</v>
      </c>
      <c r="N264" s="47">
        <f>gaz!AL357+gaz!AP357+gaz!AT357</f>
        <v>0</v>
      </c>
      <c r="O264" s="48">
        <f>gaz!AM357+gaz!AQ357+gaz!AU357</f>
        <v>0</v>
      </c>
      <c r="P264" s="49">
        <f t="shared" si="159"/>
        <v>0</v>
      </c>
      <c r="Q264" s="50">
        <f>gaz!AO357+gaz!AS357+gaz!AW357</f>
        <v>0</v>
      </c>
      <c r="R264" s="43">
        <f t="shared" si="160"/>
        <v>620.85665063999443</v>
      </c>
      <c r="S264" s="44">
        <f t="shared" si="161"/>
        <v>29.447715749999997</v>
      </c>
      <c r="T264" s="44">
        <f t="shared" si="162"/>
        <v>650.30436638999447</v>
      </c>
      <c r="U264" s="45">
        <f t="shared" si="163"/>
        <v>35.753838989999998</v>
      </c>
    </row>
    <row r="265" spans="1:21">
      <c r="A265" s="16" t="s">
        <v>884</v>
      </c>
      <c r="B265" s="47">
        <f>gaz!B358+gaz!F358+gaz!J358</f>
        <v>308.46232566999998</v>
      </c>
      <c r="C265" s="48">
        <f>gaz!C358+gaz!G358+gaz!K358</f>
        <v>17.73259049</v>
      </c>
      <c r="D265" s="49">
        <f t="shared" si="156"/>
        <v>326.19491615999999</v>
      </c>
      <c r="E265" s="50">
        <f>gaz!E358+gaz!I358+gaz!M358</f>
        <v>22.308216380000005</v>
      </c>
      <c r="F265" s="47">
        <f>gaz!N358+gaz!R358+gaz!V358</f>
        <v>153.64022435999985</v>
      </c>
      <c r="G265" s="48">
        <f>gaz!O358+gaz!S358+gaz!W358</f>
        <v>9.3794415700000009</v>
      </c>
      <c r="H265" s="49">
        <f t="shared" si="157"/>
        <v>163.01966592999986</v>
      </c>
      <c r="I265" s="50">
        <f>gaz!Q358+gaz!U358+gaz!Y358</f>
        <v>14.32042105</v>
      </c>
      <c r="J265" s="47">
        <f>gaz!Z358+gaz!AD358+gaz!AH358</f>
        <v>51.01380632</v>
      </c>
      <c r="K265" s="48">
        <f>gaz!AA358+gaz!AE358+gaz!AI358</f>
        <v>1.5572703200000002</v>
      </c>
      <c r="L265" s="49">
        <f t="shared" si="158"/>
        <v>52.571076640000001</v>
      </c>
      <c r="M265" s="50">
        <f>gaz!AC358+gaz!AG358+gaz!AK358</f>
        <v>10.805323320000003</v>
      </c>
      <c r="N265" s="47">
        <f>gaz!AL358+gaz!AP358+gaz!AT358</f>
        <v>0</v>
      </c>
      <c r="O265" s="48">
        <f>gaz!AM358+gaz!AQ358+gaz!AU358</f>
        <v>0</v>
      </c>
      <c r="P265" s="49">
        <f t="shared" si="159"/>
        <v>0</v>
      </c>
      <c r="Q265" s="50">
        <f>gaz!AO358+gaz!AS358+gaz!AW358</f>
        <v>0</v>
      </c>
      <c r="R265" s="43">
        <f t="shared" si="160"/>
        <v>513.11635634999982</v>
      </c>
      <c r="S265" s="44">
        <f t="shared" si="161"/>
        <v>28.669302380000001</v>
      </c>
      <c r="T265" s="44">
        <f t="shared" si="162"/>
        <v>541.7856587299998</v>
      </c>
      <c r="U265" s="45">
        <f t="shared" si="163"/>
        <v>47.433960750000011</v>
      </c>
    </row>
    <row r="266" spans="1:21" ht="13.8" thickBot="1">
      <c r="A266" s="16" t="s">
        <v>885</v>
      </c>
      <c r="B266" s="47">
        <f>gaz!B359+gaz!F359+gaz!J359</f>
        <v>198.24610579</v>
      </c>
      <c r="C266" s="48">
        <f>gaz!C359+gaz!G359+gaz!K359</f>
        <v>21.3118686</v>
      </c>
      <c r="D266" s="49">
        <f t="shared" si="156"/>
        <v>219.55797439</v>
      </c>
      <c r="E266" s="50">
        <f>gaz!E359+gaz!I359+gaz!M359</f>
        <v>7.1471286700000007</v>
      </c>
      <c r="F266" s="47">
        <f>gaz!N359+gaz!R359+gaz!V359</f>
        <v>125.91313351000001</v>
      </c>
      <c r="G266" s="48">
        <f>gaz!O359+gaz!S359+gaz!W359</f>
        <v>10.716013029999999</v>
      </c>
      <c r="H266" s="49">
        <f t="shared" si="157"/>
        <v>136.62914654000002</v>
      </c>
      <c r="I266" s="50">
        <f>gaz!Q359+gaz!U359+gaz!Y359</f>
        <v>2.2157034400000004</v>
      </c>
      <c r="J266" s="47">
        <f>gaz!Z359+gaz!AD359+gaz!AH359</f>
        <v>25.73077318</v>
      </c>
      <c r="K266" s="48">
        <f>gaz!AA359+gaz!AE359+gaz!AI359</f>
        <v>2.01056737</v>
      </c>
      <c r="L266" s="49">
        <f t="shared" si="158"/>
        <v>27.74134055</v>
      </c>
      <c r="M266" s="50">
        <f>gaz!AC359+gaz!AG359+gaz!AK359</f>
        <v>0.78807642000000011</v>
      </c>
      <c r="N266" s="47">
        <f>gaz!AL359+gaz!AP359+gaz!AT359</f>
        <v>0</v>
      </c>
      <c r="O266" s="48">
        <f>gaz!AM359+gaz!AQ359+gaz!AU359</f>
        <v>0</v>
      </c>
      <c r="P266" s="49">
        <f t="shared" si="159"/>
        <v>0</v>
      </c>
      <c r="Q266" s="50">
        <f>gaz!AO359+gaz!AS359+gaz!AW359</f>
        <v>0</v>
      </c>
      <c r="R266" s="43">
        <f t="shared" si="160"/>
        <v>349.89001248</v>
      </c>
      <c r="S266" s="44">
        <f t="shared" si="161"/>
        <v>34.038448999999993</v>
      </c>
      <c r="T266" s="44">
        <f t="shared" si="162"/>
        <v>383.92846148000001</v>
      </c>
      <c r="U266" s="45">
        <f t="shared" si="163"/>
        <v>10.150908530000001</v>
      </c>
    </row>
    <row r="267" spans="1:21" ht="13.8" thickBot="1">
      <c r="A267" s="11" t="s">
        <v>16</v>
      </c>
      <c r="B267" s="51">
        <f t="shared" ref="B267:U267" si="164">SUM(B257:B266)</f>
        <v>4606.2469711699996</v>
      </c>
      <c r="C267" s="52">
        <f t="shared" si="164"/>
        <v>266.88263499000004</v>
      </c>
      <c r="D267" s="52">
        <f t="shared" si="164"/>
        <v>4873.1296061599987</v>
      </c>
      <c r="E267" s="53">
        <f t="shared" si="164"/>
        <v>371.92488298000001</v>
      </c>
      <c r="F267" s="51">
        <f t="shared" si="164"/>
        <v>2779.1469093299943</v>
      </c>
      <c r="G267" s="52">
        <f t="shared" si="164"/>
        <v>130.67621243000002</v>
      </c>
      <c r="H267" s="52">
        <f t="shared" si="164"/>
        <v>2909.8231217599941</v>
      </c>
      <c r="I267" s="53">
        <f t="shared" si="164"/>
        <v>302.47498133000005</v>
      </c>
      <c r="J267" s="51">
        <f t="shared" si="164"/>
        <v>628.88291839000044</v>
      </c>
      <c r="K267" s="52">
        <f t="shared" si="164"/>
        <v>17.175541859999999</v>
      </c>
      <c r="L267" s="52">
        <f t="shared" si="164"/>
        <v>646.05846025000051</v>
      </c>
      <c r="M267" s="53">
        <f t="shared" si="164"/>
        <v>162.01543581000001</v>
      </c>
      <c r="N267" s="51">
        <f t="shared" si="164"/>
        <v>0</v>
      </c>
      <c r="O267" s="52">
        <f t="shared" si="164"/>
        <v>0</v>
      </c>
      <c r="P267" s="52">
        <f t="shared" si="164"/>
        <v>0</v>
      </c>
      <c r="Q267" s="53">
        <f t="shared" si="164"/>
        <v>0</v>
      </c>
      <c r="R267" s="46">
        <f t="shared" si="164"/>
        <v>8014.276798889995</v>
      </c>
      <c r="S267" s="46">
        <f t="shared" si="164"/>
        <v>414.73438927999996</v>
      </c>
      <c r="T267" s="46">
        <f t="shared" si="164"/>
        <v>8429.0111881699941</v>
      </c>
      <c r="U267" s="46">
        <f t="shared" si="164"/>
        <v>836.41530011999987</v>
      </c>
    </row>
    <row r="268" spans="1:21">
      <c r="Q268" s="56"/>
    </row>
    <row r="269" spans="1:21" ht="18" thickBot="1">
      <c r="A269" s="2">
        <f>trim_elec!A269</f>
        <v>2022</v>
      </c>
      <c r="P269" s="56"/>
      <c r="Q269" s="56"/>
    </row>
    <row r="270" spans="1:21">
      <c r="A270" s="3429" t="s">
        <v>0</v>
      </c>
      <c r="B270" s="3423" t="s">
        <v>269</v>
      </c>
      <c r="C270" s="3424"/>
      <c r="D270" s="3424"/>
      <c r="E270" s="3425"/>
      <c r="F270" s="3426" t="s">
        <v>270</v>
      </c>
      <c r="G270" s="3427"/>
      <c r="H270" s="3427"/>
      <c r="I270" s="3428"/>
      <c r="J270" s="3420" t="s">
        <v>271</v>
      </c>
      <c r="K270" s="3421"/>
      <c r="L270" s="3421"/>
      <c r="M270" s="3422"/>
      <c r="N270" s="3415" t="s">
        <v>272</v>
      </c>
      <c r="O270" s="3416"/>
      <c r="P270" s="3416"/>
      <c r="Q270" s="3417"/>
      <c r="R270" s="3418" t="s">
        <v>83</v>
      </c>
      <c r="S270" s="3418"/>
      <c r="T270" s="3418"/>
      <c r="U270" s="3419"/>
    </row>
    <row r="271" spans="1:21" ht="13.8" thickBot="1">
      <c r="A271" s="3430"/>
      <c r="B271" s="3" t="s">
        <v>17</v>
      </c>
      <c r="C271" s="4" t="s">
        <v>18</v>
      </c>
      <c r="D271" s="4" t="s">
        <v>56</v>
      </c>
      <c r="E271" s="5" t="s">
        <v>21</v>
      </c>
      <c r="F271" s="3" t="s">
        <v>17</v>
      </c>
      <c r="G271" s="4" t="s">
        <v>18</v>
      </c>
      <c r="H271" s="4" t="s">
        <v>56</v>
      </c>
      <c r="I271" s="5" t="s">
        <v>21</v>
      </c>
      <c r="J271" s="3" t="s">
        <v>17</v>
      </c>
      <c r="K271" s="4" t="s">
        <v>18</v>
      </c>
      <c r="L271" s="4" t="s">
        <v>56</v>
      </c>
      <c r="M271" s="5" t="s">
        <v>21</v>
      </c>
      <c r="N271" s="3" t="s">
        <v>17</v>
      </c>
      <c r="O271" s="4" t="s">
        <v>18</v>
      </c>
      <c r="P271" s="4" t="s">
        <v>56</v>
      </c>
      <c r="Q271" s="5" t="s">
        <v>21</v>
      </c>
      <c r="R271" s="4" t="s">
        <v>17</v>
      </c>
      <c r="S271" s="4" t="s">
        <v>18</v>
      </c>
      <c r="T271" s="4" t="s">
        <v>56</v>
      </c>
      <c r="U271" s="6" t="s">
        <v>21</v>
      </c>
    </row>
    <row r="272" spans="1:21">
      <c r="A272" s="16" t="s">
        <v>68</v>
      </c>
      <c r="B272" s="47">
        <f>gaz!B365+gaz!F365+gaz!J365</f>
        <v>527.36378729</v>
      </c>
      <c r="C272" s="48">
        <f>gaz!C365+gaz!G365+gaz!K365</f>
        <v>19.545450110000001</v>
      </c>
      <c r="D272" s="49">
        <f t="shared" ref="D272:D281" si="165">+B272+C272</f>
        <v>546.90923740000005</v>
      </c>
      <c r="E272" s="50">
        <f>gaz!E365+gaz!I365+gaz!M365</f>
        <v>80.932061660000002</v>
      </c>
      <c r="F272" s="47">
        <f>gaz!N365+gaz!R365+gaz!V365</f>
        <v>291.85215209</v>
      </c>
      <c r="G272" s="48">
        <f>gaz!O365+gaz!S365+gaz!W365</f>
        <v>8.4596088799999993</v>
      </c>
      <c r="H272" s="49">
        <f t="shared" ref="H272:H281" si="166">+F272+G272</f>
        <v>300.31176097000002</v>
      </c>
      <c r="I272" s="50">
        <f>gaz!Q365+gaz!U365+gaz!Y365</f>
        <v>71.285626289999996</v>
      </c>
      <c r="J272" s="47">
        <f>gaz!Z365+gaz!AD365+gaz!AH365</f>
        <v>74.123964110000003</v>
      </c>
      <c r="K272" s="48">
        <f>gaz!AA365+gaz!AE365+gaz!AI365</f>
        <v>0.99551619999999996</v>
      </c>
      <c r="L272" s="49">
        <f t="shared" ref="L272:L281" si="167">+J272+K272</f>
        <v>75.11948031</v>
      </c>
      <c r="M272" s="50">
        <f>gaz!AC365+gaz!AG365+gaz!AK365</f>
        <v>64.963643640000001</v>
      </c>
      <c r="N272" s="47">
        <f>gaz!AL365+gaz!AP365+gaz!AT365</f>
        <v>0</v>
      </c>
      <c r="O272" s="48">
        <f>gaz!AM365+gaz!AQ365+gaz!AU365</f>
        <v>0</v>
      </c>
      <c r="P272" s="49">
        <f t="shared" ref="P272:P281" si="168">+N272+O272</f>
        <v>0</v>
      </c>
      <c r="Q272" s="50">
        <f>gaz!AO365+gaz!AS365+gaz!AW365</f>
        <v>0</v>
      </c>
      <c r="R272" s="40">
        <f t="shared" ref="R272:R281" si="169">B272+F272+J272+N272</f>
        <v>893.33990348999998</v>
      </c>
      <c r="S272" s="41">
        <f t="shared" ref="S272:S281" si="170">C272+G272+K272+O272</f>
        <v>29.000575190000003</v>
      </c>
      <c r="T272" s="41">
        <f t="shared" ref="T272:T281" si="171">D272+H272+L272+P272</f>
        <v>922.34047868000005</v>
      </c>
      <c r="U272" s="42">
        <f t="shared" ref="U272:U281" si="172">E272+I272+M272+Q272</f>
        <v>217.18133159000001</v>
      </c>
    </row>
    <row r="273" spans="1:21">
      <c r="A273" s="16" t="s">
        <v>7</v>
      </c>
      <c r="B273" s="47">
        <f>gaz!B366+gaz!F366+gaz!J366</f>
        <v>561.84207738000009</v>
      </c>
      <c r="C273" s="48">
        <f>gaz!C366+gaz!G366+gaz!K366</f>
        <v>36.345005199999996</v>
      </c>
      <c r="D273" s="49">
        <f t="shared" si="165"/>
        <v>598.18708258000004</v>
      </c>
      <c r="E273" s="50">
        <f>gaz!E366+gaz!I366+gaz!M366</f>
        <v>36.968039920000002</v>
      </c>
      <c r="F273" s="47">
        <f>gaz!N366+gaz!R366+gaz!V366</f>
        <v>306.79297227000001</v>
      </c>
      <c r="G273" s="48">
        <f>gaz!O366+gaz!S366+gaz!W366</f>
        <v>14.93522993</v>
      </c>
      <c r="H273" s="49">
        <f t="shared" si="166"/>
        <v>321.7282022</v>
      </c>
      <c r="I273" s="50">
        <f>gaz!Q366+gaz!U366+gaz!Y366</f>
        <v>18.761753419999998</v>
      </c>
      <c r="J273" s="47">
        <f>gaz!Z366+gaz!AD366+gaz!AH366</f>
        <v>59.418074232491335</v>
      </c>
      <c r="K273" s="48">
        <f>gaz!AA366+gaz!AE366+gaz!AI366</f>
        <v>1.199754657234227</v>
      </c>
      <c r="L273" s="49">
        <f t="shared" si="167"/>
        <v>60.617828889725565</v>
      </c>
      <c r="M273" s="50">
        <f>gaz!AC366+gaz!AG366+gaz!AK366</f>
        <v>11.482622339999999</v>
      </c>
      <c r="N273" s="47">
        <f>gaz!AL366+gaz!AP366+gaz!AT366</f>
        <v>0</v>
      </c>
      <c r="O273" s="48">
        <f>gaz!AM366+gaz!AQ366+gaz!AU366</f>
        <v>0</v>
      </c>
      <c r="P273" s="49">
        <f t="shared" si="168"/>
        <v>0</v>
      </c>
      <c r="Q273" s="50">
        <f>gaz!AO366+gaz!AS366+gaz!AW366</f>
        <v>0</v>
      </c>
      <c r="R273" s="43">
        <f t="shared" si="169"/>
        <v>928.05312388249149</v>
      </c>
      <c r="S273" s="44">
        <f t="shared" si="170"/>
        <v>52.479989787234224</v>
      </c>
      <c r="T273" s="44">
        <f t="shared" si="171"/>
        <v>980.53311366972571</v>
      </c>
      <c r="U273" s="45">
        <f t="shared" si="172"/>
        <v>67.212415679999992</v>
      </c>
    </row>
    <row r="274" spans="1:21">
      <c r="A274" s="16" t="s">
        <v>8</v>
      </c>
      <c r="B274" s="47">
        <f>gaz!B367+gaz!F367+gaz!J367</f>
        <v>542.36473708000005</v>
      </c>
      <c r="C274" s="48">
        <f>gaz!C367+gaz!G367+gaz!K367</f>
        <v>38.268157910000006</v>
      </c>
      <c r="D274" s="49">
        <f t="shared" si="165"/>
        <v>580.63289499000007</v>
      </c>
      <c r="E274" s="50">
        <f>gaz!E367+gaz!I367+gaz!M367</f>
        <v>24.881270749999999</v>
      </c>
      <c r="F274" s="47">
        <f>gaz!N367+gaz!R367+gaz!V367</f>
        <v>308.66238552999999</v>
      </c>
      <c r="G274" s="48">
        <f>gaz!O367+gaz!S367+gaz!W367</f>
        <v>19.08892007</v>
      </c>
      <c r="H274" s="49">
        <f t="shared" si="166"/>
        <v>327.75130560000002</v>
      </c>
      <c r="I274" s="50">
        <f>gaz!Q367+gaz!U367+gaz!Y367</f>
        <v>14.361371650000001</v>
      </c>
      <c r="J274" s="47">
        <f>gaz!Z367+gaz!AD367+gaz!AH367</f>
        <v>54.361009490000001</v>
      </c>
      <c r="K274" s="48">
        <f>gaz!AA367+gaz!AE367+gaz!AI367</f>
        <v>1.9211620399999998</v>
      </c>
      <c r="L274" s="49">
        <f t="shared" si="167"/>
        <v>56.282171529999999</v>
      </c>
      <c r="M274" s="50">
        <f>gaz!AC367+gaz!AG367+gaz!AK367</f>
        <v>4.1897934499999998</v>
      </c>
      <c r="N274" s="47">
        <f>gaz!AL367+gaz!AP367+gaz!AT367</f>
        <v>0</v>
      </c>
      <c r="O274" s="48">
        <f>gaz!AM367+gaz!AQ367+gaz!AU367</f>
        <v>0</v>
      </c>
      <c r="P274" s="49">
        <f t="shared" si="168"/>
        <v>0</v>
      </c>
      <c r="Q274" s="50">
        <f>gaz!AO367+gaz!AS367+gaz!AW367</f>
        <v>0</v>
      </c>
      <c r="R274" s="43">
        <f t="shared" si="169"/>
        <v>905.38813210000012</v>
      </c>
      <c r="S274" s="44">
        <f t="shared" si="170"/>
        <v>59.278240020000005</v>
      </c>
      <c r="T274" s="44">
        <f t="shared" si="171"/>
        <v>964.66637212000012</v>
      </c>
      <c r="U274" s="45">
        <f t="shared" si="172"/>
        <v>43.432435850000005</v>
      </c>
    </row>
    <row r="275" spans="1:21">
      <c r="A275" s="16" t="s">
        <v>4</v>
      </c>
      <c r="B275" s="47">
        <f>gaz!B368+gaz!F368+gaz!J368</f>
        <v>843.29723078000006</v>
      </c>
      <c r="C275" s="48">
        <f>gaz!C368+gaz!G368+gaz!K368</f>
        <v>37.967413229999998</v>
      </c>
      <c r="D275" s="49">
        <f t="shared" si="165"/>
        <v>881.2646440100001</v>
      </c>
      <c r="E275" s="50">
        <f>gaz!E368+gaz!I368+gaz!M368</f>
        <v>42.039434200000002</v>
      </c>
      <c r="F275" s="47">
        <f>gaz!N368+gaz!R368+gaz!V368</f>
        <v>476.23093283999998</v>
      </c>
      <c r="G275" s="48">
        <f>gaz!O368+gaz!S368+gaz!W368</f>
        <v>21.542848530000001</v>
      </c>
      <c r="H275" s="49">
        <f t="shared" si="166"/>
        <v>497.77378136999999</v>
      </c>
      <c r="I275" s="50">
        <f>gaz!Q368+gaz!U368+gaz!Y368</f>
        <v>25.24020247</v>
      </c>
      <c r="J275" s="47">
        <f>gaz!Z368+gaz!AD368+gaz!AH368</f>
        <v>84.626473509999954</v>
      </c>
      <c r="K275" s="48">
        <f>gaz!AA368+gaz!AE368+gaz!AI368</f>
        <v>4.0482331499999997</v>
      </c>
      <c r="L275" s="49">
        <f t="shared" si="167"/>
        <v>88.674706659999956</v>
      </c>
      <c r="M275" s="50">
        <f>gaz!AC368+gaz!AG368+gaz!AK368</f>
        <v>17.942207589999999</v>
      </c>
      <c r="N275" s="47">
        <f>gaz!AL368+gaz!AP368+gaz!AT368</f>
        <v>0</v>
      </c>
      <c r="O275" s="48">
        <f>gaz!AM368+gaz!AQ368+gaz!AU368</f>
        <v>0</v>
      </c>
      <c r="P275" s="49">
        <f t="shared" si="168"/>
        <v>0</v>
      </c>
      <c r="Q275" s="50">
        <f>gaz!AO368+gaz!AS368+gaz!AW368</f>
        <v>0</v>
      </c>
      <c r="R275" s="43">
        <f t="shared" si="169"/>
        <v>1404.1546371299999</v>
      </c>
      <c r="S275" s="44">
        <f t="shared" si="170"/>
        <v>63.55849491</v>
      </c>
      <c r="T275" s="44">
        <f t="shared" si="171"/>
        <v>1467.7131320399999</v>
      </c>
      <c r="U275" s="45">
        <f t="shared" si="172"/>
        <v>85.221844259999997</v>
      </c>
    </row>
    <row r="276" spans="1:21">
      <c r="A276" s="16" t="s">
        <v>3</v>
      </c>
      <c r="B276" s="47">
        <f>gaz!B369+gaz!F369+gaz!J369</f>
        <v>874.9096896599998</v>
      </c>
      <c r="C276" s="48">
        <f>gaz!C369+gaz!G369+gaz!K369</f>
        <v>60.516270170000006</v>
      </c>
      <c r="D276" s="49">
        <f t="shared" si="165"/>
        <v>935.42595982999978</v>
      </c>
      <c r="E276" s="50">
        <f>gaz!E369+gaz!I369+gaz!M369</f>
        <v>39.526531890000001</v>
      </c>
      <c r="F276" s="47">
        <f>gaz!N369+gaz!R369+gaz!V369</f>
        <v>505.36615169000004</v>
      </c>
      <c r="G276" s="48">
        <f>gaz!O369+gaz!S369+gaz!W369</f>
        <v>26.247855960000003</v>
      </c>
      <c r="H276" s="49">
        <f t="shared" si="166"/>
        <v>531.61400765000008</v>
      </c>
      <c r="I276" s="50">
        <f>gaz!Q369+gaz!U369+gaz!Y369</f>
        <v>18.510277260000002</v>
      </c>
      <c r="J276" s="47">
        <f>gaz!Z369+gaz!AD369+gaz!AH369</f>
        <v>90.375606239999996</v>
      </c>
      <c r="K276" s="48">
        <f>gaz!AA369+gaz!AE369+gaz!AI369</f>
        <v>1.2191499700000001</v>
      </c>
      <c r="L276" s="49">
        <f t="shared" si="167"/>
        <v>91.59475621</v>
      </c>
      <c r="M276" s="50">
        <f>gaz!AC369+gaz!AG369+gaz!AK369</f>
        <v>7.8612186799999995</v>
      </c>
      <c r="N276" s="47">
        <f>gaz!AL369+gaz!AP369+gaz!AT369</f>
        <v>0</v>
      </c>
      <c r="O276" s="48">
        <f>gaz!AM369+gaz!AQ369+gaz!AU369</f>
        <v>0</v>
      </c>
      <c r="P276" s="49">
        <f t="shared" si="168"/>
        <v>0</v>
      </c>
      <c r="Q276" s="50">
        <f>gaz!AO369+gaz!AS369+gaz!AW369</f>
        <v>0</v>
      </c>
      <c r="R276" s="43">
        <f t="shared" si="169"/>
        <v>1470.6514475899999</v>
      </c>
      <c r="S276" s="44">
        <f t="shared" si="170"/>
        <v>87.983276100000012</v>
      </c>
      <c r="T276" s="44">
        <f t="shared" si="171"/>
        <v>1558.6347236899999</v>
      </c>
      <c r="U276" s="45">
        <f t="shared" si="172"/>
        <v>65.898027830000004</v>
      </c>
    </row>
    <row r="277" spans="1:21">
      <c r="A277" s="16" t="s">
        <v>397</v>
      </c>
      <c r="B277" s="47">
        <f>gaz!B370+gaz!F370+gaz!J370</f>
        <v>207.12208404000077</v>
      </c>
      <c r="C277" s="48">
        <f>gaz!C370+gaz!G370+gaz!K370</f>
        <v>9.8453694000000009</v>
      </c>
      <c r="D277" s="49">
        <f t="shared" si="165"/>
        <v>216.96745344000078</v>
      </c>
      <c r="E277" s="50">
        <f>gaz!E370+gaz!I370+gaz!M370</f>
        <v>26.534850079999998</v>
      </c>
      <c r="F277" s="47">
        <f>gaz!N370+gaz!R370+gaz!V370</f>
        <v>131.75049608000185</v>
      </c>
      <c r="G277" s="48">
        <f>gaz!O370+gaz!S370+gaz!W370</f>
        <v>6.3476642699999974</v>
      </c>
      <c r="H277" s="49">
        <f t="shared" si="166"/>
        <v>138.09816035000185</v>
      </c>
      <c r="I277" s="50">
        <f>gaz!Q370+gaz!U370+gaz!Y370</f>
        <v>16.794794809999999</v>
      </c>
      <c r="J277" s="47">
        <f>gaz!Z370+gaz!AD370+gaz!AH370</f>
        <v>40.695266500000031</v>
      </c>
      <c r="K277" s="48">
        <f>gaz!AA370+gaz!AE370+gaz!AI370</f>
        <v>1.8836535200000009</v>
      </c>
      <c r="L277" s="49">
        <f t="shared" si="167"/>
        <v>42.578920020000034</v>
      </c>
      <c r="M277" s="50">
        <f>gaz!AC370+gaz!AG370+gaz!AK370</f>
        <v>9.5685877400000017</v>
      </c>
      <c r="N277" s="47">
        <f>gaz!AL370+gaz!AP370+gaz!AT370</f>
        <v>0</v>
      </c>
      <c r="O277" s="48">
        <f>gaz!AM370+gaz!AQ370+gaz!AU370</f>
        <v>0</v>
      </c>
      <c r="P277" s="49">
        <f t="shared" si="168"/>
        <v>0</v>
      </c>
      <c r="Q277" s="50">
        <f>gaz!AO370+gaz!AS370+gaz!AW370</f>
        <v>0</v>
      </c>
      <c r="R277" s="43">
        <f t="shared" si="169"/>
        <v>379.56784662000268</v>
      </c>
      <c r="S277" s="44">
        <f t="shared" si="170"/>
        <v>18.076687189999998</v>
      </c>
      <c r="T277" s="44">
        <f t="shared" si="171"/>
        <v>397.64453381000271</v>
      </c>
      <c r="U277" s="45">
        <f t="shared" si="172"/>
        <v>52.898232629999995</v>
      </c>
    </row>
    <row r="278" spans="1:21">
      <c r="A278" s="16" t="s">
        <v>399</v>
      </c>
      <c r="B278" s="47">
        <f>gaz!B371+gaz!F371+gaz!J371</f>
        <v>346.79695248000002</v>
      </c>
      <c r="C278" s="48">
        <f>gaz!C371+gaz!G371+gaz!K371</f>
        <v>12.920167519999998</v>
      </c>
      <c r="D278" s="49">
        <f t="shared" si="165"/>
        <v>359.71712000000002</v>
      </c>
      <c r="E278" s="50">
        <f>gaz!E371+gaz!I371+gaz!M371</f>
        <v>77.230136639999998</v>
      </c>
      <c r="F278" s="47">
        <f>gaz!N371+gaz!R371+gaz!V371</f>
        <v>205.14240131000003</v>
      </c>
      <c r="G278" s="48">
        <f>gaz!O371+gaz!S371+gaz!W371</f>
        <v>4.3606108600000004</v>
      </c>
      <c r="H278" s="49">
        <f t="shared" si="166"/>
        <v>209.50301217000003</v>
      </c>
      <c r="I278" s="50">
        <f>gaz!Q371+gaz!U371+gaz!Y371</f>
        <v>70.130204500000005</v>
      </c>
      <c r="J278" s="47">
        <f>gaz!Z371+gaz!AD371+gaz!AH371</f>
        <v>61.462151430000006</v>
      </c>
      <c r="K278" s="48">
        <f>gaz!AA371+gaz!AE371+gaz!AI371</f>
        <v>0.17380762999999999</v>
      </c>
      <c r="L278" s="49">
        <f t="shared" si="167"/>
        <v>61.635959060000005</v>
      </c>
      <c r="M278" s="50">
        <f>gaz!AC371+gaz!AG371+gaz!AK371</f>
        <v>49.841583049999997</v>
      </c>
      <c r="N278" s="47">
        <f>gaz!AL371+gaz!AP371+gaz!AT371</f>
        <v>0</v>
      </c>
      <c r="O278" s="48">
        <f>gaz!AM371+gaz!AQ371+gaz!AU371</f>
        <v>0</v>
      </c>
      <c r="P278" s="49">
        <f t="shared" si="168"/>
        <v>0</v>
      </c>
      <c r="Q278" s="50">
        <f>gaz!AO371+gaz!AS371+gaz!AW371</f>
        <v>0</v>
      </c>
      <c r="R278" s="43">
        <f t="shared" si="169"/>
        <v>613.40150521999999</v>
      </c>
      <c r="S278" s="44">
        <f t="shared" si="170"/>
        <v>17.454586009999996</v>
      </c>
      <c r="T278" s="44">
        <f t="shared" si="171"/>
        <v>630.85609123000006</v>
      </c>
      <c r="U278" s="45">
        <f t="shared" si="172"/>
        <v>197.20192419</v>
      </c>
    </row>
    <row r="279" spans="1:21">
      <c r="A279" s="16" t="s">
        <v>883</v>
      </c>
      <c r="B279" s="47">
        <f>gaz!B372+gaz!F372+gaz!J372</f>
        <v>339.77258182000003</v>
      </c>
      <c r="C279" s="48">
        <f>gaz!C372+gaz!G372+gaz!K372</f>
        <v>19.53272982</v>
      </c>
      <c r="D279" s="49">
        <f t="shared" si="165"/>
        <v>359.30531164000001</v>
      </c>
      <c r="E279" s="50">
        <f>gaz!E372+gaz!I372+gaz!M372</f>
        <v>17.688477900000002</v>
      </c>
      <c r="F279" s="47">
        <f>gaz!N372+gaz!R372+gaz!V372</f>
        <v>166.15404695999999</v>
      </c>
      <c r="G279" s="48">
        <f>gaz!O372+gaz!S372+gaz!W372</f>
        <v>8.4164708299999997</v>
      </c>
      <c r="H279" s="49">
        <f t="shared" si="166"/>
        <v>174.57051779</v>
      </c>
      <c r="I279" s="50">
        <f>gaz!Q372+gaz!U372+gaz!Y372</f>
        <v>9.1494978000000007</v>
      </c>
      <c r="J279" s="47">
        <f>gaz!Z372+gaz!AD372+gaz!AH372</f>
        <v>43.850497623777535</v>
      </c>
      <c r="K279" s="48">
        <f>gaz!AA372+gaz!AE372+gaz!AI372</f>
        <v>0.95617822200402514</v>
      </c>
      <c r="L279" s="49">
        <f t="shared" si="167"/>
        <v>44.806675845781562</v>
      </c>
      <c r="M279" s="50">
        <f>gaz!AC372+gaz!AG372+gaz!AK372</f>
        <v>3.4645977704898856</v>
      </c>
      <c r="N279" s="47">
        <f>gaz!AL372+gaz!AP372+gaz!AT372</f>
        <v>0</v>
      </c>
      <c r="O279" s="48">
        <f>gaz!AM372+gaz!AQ372+gaz!AU372</f>
        <v>0</v>
      </c>
      <c r="P279" s="49">
        <f t="shared" si="168"/>
        <v>0</v>
      </c>
      <c r="Q279" s="50">
        <f>gaz!AO372+gaz!AS372+gaz!AW372</f>
        <v>0</v>
      </c>
      <c r="R279" s="43">
        <f t="shared" si="169"/>
        <v>549.77712640377752</v>
      </c>
      <c r="S279" s="44">
        <f t="shared" si="170"/>
        <v>28.905378872004025</v>
      </c>
      <c r="T279" s="44">
        <f t="shared" si="171"/>
        <v>578.68250527578164</v>
      </c>
      <c r="U279" s="45">
        <f t="shared" si="172"/>
        <v>30.302573470489886</v>
      </c>
    </row>
    <row r="280" spans="1:21">
      <c r="A280" s="16" t="s">
        <v>884</v>
      </c>
      <c r="B280" s="47">
        <f>gaz!B373+gaz!F373+gaz!J373</f>
        <v>325.41700040000006</v>
      </c>
      <c r="C280" s="48">
        <f>gaz!C373+gaz!G373+gaz!K373</f>
        <v>18.895346150000002</v>
      </c>
      <c r="D280" s="49">
        <f t="shared" si="165"/>
        <v>344.31234655000009</v>
      </c>
      <c r="E280" s="50">
        <f>gaz!E373+gaz!I373+gaz!M373</f>
        <v>21.358450049999998</v>
      </c>
      <c r="F280" s="47">
        <f>gaz!N373+gaz!R373+gaz!V373</f>
        <v>186.16987308999998</v>
      </c>
      <c r="G280" s="48">
        <f>gaz!O373+gaz!S373+gaz!W373</f>
        <v>11.213178959999999</v>
      </c>
      <c r="H280" s="49">
        <f t="shared" si="166"/>
        <v>197.38305204999997</v>
      </c>
      <c r="I280" s="50">
        <f>gaz!Q373+gaz!U373+gaz!Y373</f>
        <v>15.815564720000001</v>
      </c>
      <c r="J280" s="47">
        <f>gaz!Z373+gaz!AD373+gaz!AH373</f>
        <v>54.922864369999985</v>
      </c>
      <c r="K280" s="48">
        <f>gaz!AA373+gaz!AE373+gaz!AI373</f>
        <v>2.8160324999999995</v>
      </c>
      <c r="L280" s="49">
        <f t="shared" si="167"/>
        <v>57.738896869999984</v>
      </c>
      <c r="M280" s="50">
        <f>gaz!AC373+gaz!AG373+gaz!AK373</f>
        <v>13.470431959999999</v>
      </c>
      <c r="N280" s="47">
        <f>gaz!AL373+gaz!AP373+gaz!AT373</f>
        <v>0</v>
      </c>
      <c r="O280" s="48">
        <f>gaz!AM373+gaz!AQ373+gaz!AU373</f>
        <v>0</v>
      </c>
      <c r="P280" s="49">
        <f t="shared" si="168"/>
        <v>0</v>
      </c>
      <c r="Q280" s="50">
        <f>gaz!AO373+gaz!AS373+gaz!AW373</f>
        <v>0</v>
      </c>
      <c r="R280" s="43">
        <f t="shared" si="169"/>
        <v>566.50973785999997</v>
      </c>
      <c r="S280" s="44">
        <f t="shared" si="170"/>
        <v>32.924557610000001</v>
      </c>
      <c r="T280" s="44">
        <f t="shared" si="171"/>
        <v>599.43429547000005</v>
      </c>
      <c r="U280" s="45">
        <f t="shared" si="172"/>
        <v>50.644446729999999</v>
      </c>
    </row>
    <row r="281" spans="1:21" ht="13.8" thickBot="1">
      <c r="A281" s="16" t="s">
        <v>885</v>
      </c>
      <c r="B281" s="47">
        <f>gaz!B374+gaz!F374+gaz!J374</f>
        <v>216.12836402999972</v>
      </c>
      <c r="C281" s="48">
        <f>gaz!C374+gaz!G374+gaz!K374</f>
        <v>22.53736825</v>
      </c>
      <c r="D281" s="49">
        <f t="shared" si="165"/>
        <v>238.6657322799997</v>
      </c>
      <c r="E281" s="50">
        <f>gaz!E374+gaz!I374+gaz!M374</f>
        <v>6.5462790200000001</v>
      </c>
      <c r="F281" s="47">
        <f>gaz!N374+gaz!R374+gaz!V374</f>
        <v>139.48607864000002</v>
      </c>
      <c r="G281" s="48">
        <f>gaz!O374+gaz!S374+gaz!W374</f>
        <v>12.47854581</v>
      </c>
      <c r="H281" s="49">
        <f t="shared" si="166"/>
        <v>151.96462445000003</v>
      </c>
      <c r="I281" s="50">
        <f>gaz!Q374+gaz!U374+gaz!Y374</f>
        <v>2.3201740000000002</v>
      </c>
      <c r="J281" s="47">
        <f>gaz!Z374+gaz!AD374+gaz!AH374</f>
        <v>24.93869552</v>
      </c>
      <c r="K281" s="48">
        <f>gaz!AA374+gaz!AE374+gaz!AI374</f>
        <v>1.39651218</v>
      </c>
      <c r="L281" s="49">
        <f t="shared" si="167"/>
        <v>26.335207699999998</v>
      </c>
      <c r="M281" s="50">
        <f>gaz!AC374+gaz!AG374+gaz!AK374</f>
        <v>0.82218720999999995</v>
      </c>
      <c r="N281" s="47">
        <f>gaz!AL374+gaz!AP374+gaz!AT374</f>
        <v>0</v>
      </c>
      <c r="O281" s="48">
        <f>gaz!AM374+gaz!AQ374+gaz!AU374</f>
        <v>0</v>
      </c>
      <c r="P281" s="49">
        <f t="shared" si="168"/>
        <v>0</v>
      </c>
      <c r="Q281" s="50">
        <f>gaz!AO374+gaz!AS374+gaz!AW374</f>
        <v>0</v>
      </c>
      <c r="R281" s="43">
        <f t="shared" si="169"/>
        <v>380.55313818999974</v>
      </c>
      <c r="S281" s="44">
        <f t="shared" si="170"/>
        <v>36.412426240000002</v>
      </c>
      <c r="T281" s="44">
        <f t="shared" si="171"/>
        <v>416.96556442999974</v>
      </c>
      <c r="U281" s="45">
        <f t="shared" si="172"/>
        <v>9.688640229999999</v>
      </c>
    </row>
    <row r="282" spans="1:21" ht="13.8" thickBot="1">
      <c r="A282" s="11" t="s">
        <v>16</v>
      </c>
      <c r="B282" s="51">
        <f t="shared" ref="B282:U282" si="173">SUM(B272:B281)</f>
        <v>4785.0145049600005</v>
      </c>
      <c r="C282" s="52">
        <f t="shared" si="173"/>
        <v>276.37327776000006</v>
      </c>
      <c r="D282" s="52">
        <f t="shared" si="173"/>
        <v>5061.3877827200013</v>
      </c>
      <c r="E282" s="53">
        <f t="shared" si="173"/>
        <v>373.70553211000004</v>
      </c>
      <c r="F282" s="51">
        <f t="shared" si="173"/>
        <v>2717.6074905000014</v>
      </c>
      <c r="G282" s="52">
        <f t="shared" si="173"/>
        <v>133.09093409999997</v>
      </c>
      <c r="H282" s="52">
        <f t="shared" si="173"/>
        <v>2850.698424600002</v>
      </c>
      <c r="I282" s="53">
        <f t="shared" si="173"/>
        <v>262.36946691999998</v>
      </c>
      <c r="J282" s="51">
        <f t="shared" si="173"/>
        <v>588.77460302626889</v>
      </c>
      <c r="K282" s="52">
        <f t="shared" si="173"/>
        <v>16.610000069238254</v>
      </c>
      <c r="L282" s="52">
        <f t="shared" si="173"/>
        <v>605.38460309550703</v>
      </c>
      <c r="M282" s="53">
        <f t="shared" si="173"/>
        <v>183.60687343048986</v>
      </c>
      <c r="N282" s="51">
        <f t="shared" si="173"/>
        <v>0</v>
      </c>
      <c r="O282" s="52">
        <f t="shared" si="173"/>
        <v>0</v>
      </c>
      <c r="P282" s="52">
        <f t="shared" si="173"/>
        <v>0</v>
      </c>
      <c r="Q282" s="53">
        <f t="shared" si="173"/>
        <v>0</v>
      </c>
      <c r="R282" s="46">
        <f t="shared" si="173"/>
        <v>8091.3965984862716</v>
      </c>
      <c r="S282" s="46">
        <f t="shared" si="173"/>
        <v>426.07421192923823</v>
      </c>
      <c r="T282" s="46">
        <f t="shared" si="173"/>
        <v>8517.4708104155106</v>
      </c>
      <c r="U282" s="46">
        <f t="shared" si="173"/>
        <v>819.6818724604899</v>
      </c>
    </row>
    <row r="284" spans="1:21">
      <c r="P284" s="56"/>
    </row>
    <row r="285" spans="1:21" ht="17.399999999999999">
      <c r="A285" s="15" t="s">
        <v>87</v>
      </c>
    </row>
    <row r="286" spans="1:21" ht="18" thickBot="1">
      <c r="A286" s="2">
        <f>trim_elec!A286</f>
        <v>2021</v>
      </c>
    </row>
    <row r="287" spans="1:21">
      <c r="A287" s="3429" t="s">
        <v>0</v>
      </c>
      <c r="B287" s="3423" t="s">
        <v>269</v>
      </c>
      <c r="C287" s="3424"/>
      <c r="D287" s="3424"/>
      <c r="E287" s="3425"/>
      <c r="F287" s="3426" t="s">
        <v>270</v>
      </c>
      <c r="G287" s="3427"/>
      <c r="H287" s="3427"/>
      <c r="I287" s="3428"/>
      <c r="J287" s="3420" t="s">
        <v>271</v>
      </c>
      <c r="K287" s="3421"/>
      <c r="L287" s="3421"/>
      <c r="M287" s="3422"/>
      <c r="N287" s="3415" t="s">
        <v>272</v>
      </c>
      <c r="O287" s="3416"/>
      <c r="P287" s="3416"/>
      <c r="Q287" s="3417"/>
      <c r="R287" s="3418" t="s">
        <v>83</v>
      </c>
      <c r="S287" s="3418"/>
      <c r="T287" s="3418"/>
      <c r="U287" s="3419"/>
    </row>
    <row r="288" spans="1:21" ht="13.8" thickBot="1">
      <c r="A288" s="3430"/>
      <c r="B288" s="3" t="s">
        <v>17</v>
      </c>
      <c r="C288" s="4" t="s">
        <v>18</v>
      </c>
      <c r="D288" s="4" t="s">
        <v>56</v>
      </c>
      <c r="E288" s="5" t="s">
        <v>21</v>
      </c>
      <c r="F288" s="3" t="s">
        <v>17</v>
      </c>
      <c r="G288" s="4" t="s">
        <v>18</v>
      </c>
      <c r="H288" s="4" t="s">
        <v>56</v>
      </c>
      <c r="I288" s="5" t="s">
        <v>21</v>
      </c>
      <c r="J288" s="3" t="s">
        <v>17</v>
      </c>
      <c r="K288" s="4" t="s">
        <v>18</v>
      </c>
      <c r="L288" s="4" t="s">
        <v>56</v>
      </c>
      <c r="M288" s="5" t="s">
        <v>21</v>
      </c>
      <c r="N288" s="3" t="s">
        <v>17</v>
      </c>
      <c r="O288" s="4" t="s">
        <v>18</v>
      </c>
      <c r="P288" s="4" t="s">
        <v>56</v>
      </c>
      <c r="Q288" s="5" t="s">
        <v>21</v>
      </c>
      <c r="R288" s="4" t="s">
        <v>17</v>
      </c>
      <c r="S288" s="4" t="s">
        <v>18</v>
      </c>
      <c r="T288" s="4" t="s">
        <v>56</v>
      </c>
      <c r="U288" s="6" t="s">
        <v>21</v>
      </c>
    </row>
    <row r="289" spans="1:21">
      <c r="A289" s="16" t="s">
        <v>68</v>
      </c>
      <c r="B289" s="28">
        <f t="shared" ref="B289:U289" si="174">+B257/B193*100</f>
        <v>38.523981616671009</v>
      </c>
      <c r="C289" s="32">
        <f t="shared" si="174"/>
        <v>44.136460615288719</v>
      </c>
      <c r="D289" s="30">
        <f t="shared" si="174"/>
        <v>38.715775973016193</v>
      </c>
      <c r="E289" s="20">
        <f t="shared" si="174"/>
        <v>40.633345876783764</v>
      </c>
      <c r="F289" s="28">
        <f t="shared" si="174"/>
        <v>36.672206194713738</v>
      </c>
      <c r="G289" s="32">
        <f t="shared" si="174"/>
        <v>42.758894659861213</v>
      </c>
      <c r="H289" s="30">
        <f t="shared" si="174"/>
        <v>36.803778571994158</v>
      </c>
      <c r="I289" s="20">
        <f t="shared" si="174"/>
        <v>39.310177989733283</v>
      </c>
      <c r="J289" s="28">
        <f t="shared" si="174"/>
        <v>26.405250915626198</v>
      </c>
      <c r="K289" s="32">
        <f t="shared" si="174"/>
        <v>9.7247431101749697</v>
      </c>
      <c r="L289" s="30">
        <f t="shared" si="174"/>
        <v>25.784859277377929</v>
      </c>
      <c r="M289" s="20">
        <f t="shared" si="174"/>
        <v>36.339231434074186</v>
      </c>
      <c r="N289" s="28" t="e">
        <f t="shared" si="174"/>
        <v>#DIV/0!</v>
      </c>
      <c r="O289" s="32" t="e">
        <f t="shared" si="174"/>
        <v>#DIV/0!</v>
      </c>
      <c r="P289" s="30" t="e">
        <f t="shared" si="174"/>
        <v>#DIV/0!</v>
      </c>
      <c r="Q289" s="20" t="e">
        <f t="shared" si="174"/>
        <v>#DIV/0!</v>
      </c>
      <c r="R289" s="40">
        <f t="shared" si="174"/>
        <v>36.318489707639756</v>
      </c>
      <c r="S289" s="41">
        <f t="shared" si="174"/>
        <v>38.263882837763759</v>
      </c>
      <c r="T289" s="41">
        <f t="shared" si="174"/>
        <v>36.377651530813452</v>
      </c>
      <c r="U289" s="42">
        <f t="shared" si="174"/>
        <v>38.974911725733399</v>
      </c>
    </row>
    <row r="290" spans="1:21">
      <c r="A290" s="16" t="s">
        <v>7</v>
      </c>
      <c r="B290" s="28">
        <f t="shared" ref="B290:U290" si="175">+B258/B194*100</f>
        <v>39.547963272372101</v>
      </c>
      <c r="C290" s="32">
        <f t="shared" si="175"/>
        <v>44.61766566478628</v>
      </c>
      <c r="D290" s="30">
        <f t="shared" si="175"/>
        <v>39.826365052945548</v>
      </c>
      <c r="E290" s="20">
        <f t="shared" si="175"/>
        <v>47.367653783297541</v>
      </c>
      <c r="F290" s="28">
        <f t="shared" si="175"/>
        <v>37.416688849678629</v>
      </c>
      <c r="G290" s="32">
        <f t="shared" si="175"/>
        <v>43.517928335240114</v>
      </c>
      <c r="H290" s="30">
        <f t="shared" si="175"/>
        <v>37.650409980038468</v>
      </c>
      <c r="I290" s="20">
        <f t="shared" si="175"/>
        <v>62.886725020844423</v>
      </c>
      <c r="J290" s="28">
        <f t="shared" si="175"/>
        <v>32.787146601079925</v>
      </c>
      <c r="K290" s="32">
        <f t="shared" si="175"/>
        <v>11.898171275444827</v>
      </c>
      <c r="L290" s="30">
        <f t="shared" si="175"/>
        <v>31.724286367326453</v>
      </c>
      <c r="M290" s="20">
        <f t="shared" si="175"/>
        <v>71.881442984911232</v>
      </c>
      <c r="N290" s="28" t="e">
        <f t="shared" si="175"/>
        <v>#DIV/0!</v>
      </c>
      <c r="O290" s="32" t="e">
        <f t="shared" si="175"/>
        <v>#DIV/0!</v>
      </c>
      <c r="P290" s="30" t="e">
        <f t="shared" si="175"/>
        <v>#DIV/0!</v>
      </c>
      <c r="Q290" s="20" t="e">
        <f t="shared" si="175"/>
        <v>#DIV/0!</v>
      </c>
      <c r="R290" s="43">
        <f t="shared" si="175"/>
        <v>38.242614815256339</v>
      </c>
      <c r="S290" s="44">
        <f t="shared" si="175"/>
        <v>41.534439622999876</v>
      </c>
      <c r="T290" s="44">
        <f t="shared" si="175"/>
        <v>38.403119586083541</v>
      </c>
      <c r="U290" s="45">
        <f t="shared" si="175"/>
        <v>54.429143494453889</v>
      </c>
    </row>
    <row r="291" spans="1:21">
      <c r="A291" s="16" t="s">
        <v>8</v>
      </c>
      <c r="B291" s="28">
        <f t="shared" ref="B291:U291" si="176">+B259/B195*100</f>
        <v>39.770918335426444</v>
      </c>
      <c r="C291" s="32">
        <f t="shared" si="176"/>
        <v>44.942596347258103</v>
      </c>
      <c r="D291" s="30">
        <f t="shared" si="176"/>
        <v>40.078984653519754</v>
      </c>
      <c r="E291" s="20">
        <f t="shared" si="176"/>
        <v>46.102558225775212</v>
      </c>
      <c r="F291" s="28">
        <f t="shared" si="176"/>
        <v>37.572506715869189</v>
      </c>
      <c r="G291" s="32">
        <f t="shared" si="176"/>
        <v>44.282587063192629</v>
      </c>
      <c r="H291" s="30">
        <f t="shared" si="176"/>
        <v>37.915363950898879</v>
      </c>
      <c r="I291" s="20">
        <f t="shared" si="176"/>
        <v>76.834543073618804</v>
      </c>
      <c r="J291" s="28">
        <f t="shared" si="176"/>
        <v>32.804583198670016</v>
      </c>
      <c r="K291" s="32">
        <f t="shared" si="176"/>
        <v>42.973954961805234</v>
      </c>
      <c r="L291" s="30">
        <f t="shared" si="176"/>
        <v>33.098835091582899</v>
      </c>
      <c r="M291" s="20">
        <f t="shared" si="176"/>
        <v>220.0400663178828</v>
      </c>
      <c r="N291" s="28" t="e">
        <f t="shared" si="176"/>
        <v>#DIV/0!</v>
      </c>
      <c r="O291" s="32" t="e">
        <f t="shared" si="176"/>
        <v>#DIV/0!</v>
      </c>
      <c r="P291" s="30" t="e">
        <f t="shared" si="176"/>
        <v>#DIV/0!</v>
      </c>
      <c r="Q291" s="20" t="e">
        <f t="shared" si="176"/>
        <v>#DIV/0!</v>
      </c>
      <c r="R291" s="43">
        <f t="shared" si="176"/>
        <v>38.420473422419938</v>
      </c>
      <c r="S291" s="44">
        <f t="shared" si="176"/>
        <v>44.641151467133497</v>
      </c>
      <c r="T291" s="44">
        <f t="shared" si="176"/>
        <v>38.757129167422924</v>
      </c>
      <c r="U291" s="45">
        <f t="shared" si="176"/>
        <v>59.195047177672791</v>
      </c>
    </row>
    <row r="292" spans="1:21">
      <c r="A292" s="16" t="s">
        <v>4</v>
      </c>
      <c r="B292" s="28">
        <f t="shared" ref="B292:U292" si="177">+B260/B196*100</f>
        <v>39.377940290074747</v>
      </c>
      <c r="C292" s="32">
        <f t="shared" si="177"/>
        <v>44.470587790218509</v>
      </c>
      <c r="D292" s="30">
        <f t="shared" si="177"/>
        <v>39.568683563687216</v>
      </c>
      <c r="E292" s="20">
        <f t="shared" si="177"/>
        <v>43.421747366721661</v>
      </c>
      <c r="F292" s="28">
        <f t="shared" si="177"/>
        <v>37.454764123865843</v>
      </c>
      <c r="G292" s="32">
        <f t="shared" si="177"/>
        <v>43.947010514083075</v>
      </c>
      <c r="H292" s="30">
        <f t="shared" si="177"/>
        <v>37.69287485770662</v>
      </c>
      <c r="I292" s="20">
        <f t="shared" si="177"/>
        <v>55.32773547314612</v>
      </c>
      <c r="J292" s="28">
        <f t="shared" si="177"/>
        <v>34.050522036511957</v>
      </c>
      <c r="K292" s="32">
        <f t="shared" si="177"/>
        <v>43.007449293493607</v>
      </c>
      <c r="L292" s="30">
        <f t="shared" si="177"/>
        <v>34.309403563404913</v>
      </c>
      <c r="M292" s="20">
        <f t="shared" si="177"/>
        <v>65.998471579741619</v>
      </c>
      <c r="N292" s="28" t="e">
        <f t="shared" si="177"/>
        <v>#DIV/0!</v>
      </c>
      <c r="O292" s="32" t="e">
        <f t="shared" si="177"/>
        <v>#DIV/0!</v>
      </c>
      <c r="P292" s="30" t="e">
        <f t="shared" si="177"/>
        <v>#DIV/0!</v>
      </c>
      <c r="Q292" s="20" t="e">
        <f t="shared" si="177"/>
        <v>#DIV/0!</v>
      </c>
      <c r="R292" s="43">
        <f t="shared" si="177"/>
        <v>38.271629403262935</v>
      </c>
      <c r="S292" s="44">
        <f t="shared" si="177"/>
        <v>44.192460844506172</v>
      </c>
      <c r="T292" s="44">
        <f t="shared" si="177"/>
        <v>38.487754485830969</v>
      </c>
      <c r="U292" s="45">
        <f t="shared" si="177"/>
        <v>49.401522294995274</v>
      </c>
    </row>
    <row r="293" spans="1:21">
      <c r="A293" s="16" t="s">
        <v>3</v>
      </c>
      <c r="B293" s="28">
        <f t="shared" ref="B293:U293" si="178">+B261/B197*100</f>
        <v>41.078183117298728</v>
      </c>
      <c r="C293" s="32">
        <f t="shared" si="178"/>
        <v>45.099771959270882</v>
      </c>
      <c r="D293" s="30">
        <f t="shared" si="178"/>
        <v>41.313958965716765</v>
      </c>
      <c r="E293" s="20">
        <f t="shared" si="178"/>
        <v>41.608888182660003</v>
      </c>
      <c r="F293" s="28">
        <f t="shared" si="178"/>
        <v>38.759334268777742</v>
      </c>
      <c r="G293" s="32">
        <f t="shared" si="178"/>
        <v>44.356299680207613</v>
      </c>
      <c r="H293" s="30">
        <f t="shared" si="178"/>
        <v>39.001662611522342</v>
      </c>
      <c r="I293" s="20">
        <f t="shared" si="178"/>
        <v>44.182473408130811</v>
      </c>
      <c r="J293" s="28">
        <f t="shared" si="178"/>
        <v>34.664421981181789</v>
      </c>
      <c r="K293" s="32">
        <f t="shared" si="178"/>
        <v>42.232203633038203</v>
      </c>
      <c r="L293" s="30">
        <f t="shared" si="178"/>
        <v>34.73917022968633</v>
      </c>
      <c r="M293" s="20">
        <f t="shared" si="178"/>
        <v>47.471327976030437</v>
      </c>
      <c r="N293" s="28" t="e">
        <f t="shared" si="178"/>
        <v>#DIV/0!</v>
      </c>
      <c r="O293" s="32" t="e">
        <f t="shared" si="178"/>
        <v>#DIV/0!</v>
      </c>
      <c r="P293" s="30" t="e">
        <f t="shared" si="178"/>
        <v>#DIV/0!</v>
      </c>
      <c r="Q293" s="20" t="e">
        <f t="shared" si="178"/>
        <v>#DIV/0!</v>
      </c>
      <c r="R293" s="43">
        <f t="shared" si="178"/>
        <v>39.761794975779424</v>
      </c>
      <c r="S293" s="44">
        <f t="shared" si="178"/>
        <v>44.838774482642748</v>
      </c>
      <c r="T293" s="44">
        <f t="shared" si="178"/>
        <v>40.013532518204372</v>
      </c>
      <c r="U293" s="45">
        <f t="shared" si="178"/>
        <v>42.845628606005917</v>
      </c>
    </row>
    <row r="294" spans="1:21">
      <c r="A294" s="16" t="s">
        <v>397</v>
      </c>
      <c r="B294" s="28">
        <f t="shared" ref="B294:U294" si="179">+B262/B198*100</f>
        <v>36.755488187031382</v>
      </c>
      <c r="C294" s="32">
        <f t="shared" si="179"/>
        <v>44.035988329224587</v>
      </c>
      <c r="D294" s="30">
        <f t="shared" si="179"/>
        <v>37.025882377446678</v>
      </c>
      <c r="E294" s="20">
        <f t="shared" si="179"/>
        <v>37.257481914901796</v>
      </c>
      <c r="F294" s="28">
        <f t="shared" si="179"/>
        <v>36.877451330512436</v>
      </c>
      <c r="G294" s="32">
        <f t="shared" si="179"/>
        <v>42.720763476483675</v>
      </c>
      <c r="H294" s="30">
        <f t="shared" si="179"/>
        <v>37.097092132875403</v>
      </c>
      <c r="I294" s="20">
        <f t="shared" si="179"/>
        <v>43.365094195515717</v>
      </c>
      <c r="J294" s="28">
        <f t="shared" si="179"/>
        <v>33.589951772574615</v>
      </c>
      <c r="K294" s="32">
        <f t="shared" si="179"/>
        <v>38.694247432729043</v>
      </c>
      <c r="L294" s="30">
        <f t="shared" si="179"/>
        <v>33.753164617455255</v>
      </c>
      <c r="M294" s="20">
        <f t="shared" si="179"/>
        <v>46.971522565615111</v>
      </c>
      <c r="N294" s="28" t="e">
        <f t="shared" si="179"/>
        <v>#DIV/0!</v>
      </c>
      <c r="O294" s="32" t="e">
        <f t="shared" si="179"/>
        <v>#DIV/0!</v>
      </c>
      <c r="P294" s="30" t="e">
        <f t="shared" si="179"/>
        <v>#DIV/0!</v>
      </c>
      <c r="Q294" s="20" t="e">
        <f t="shared" si="179"/>
        <v>#DIV/0!</v>
      </c>
      <c r="R294" s="43">
        <f t="shared" si="179"/>
        <v>36.461054587189274</v>
      </c>
      <c r="S294" s="44">
        <f t="shared" si="179"/>
        <v>43.046706707021428</v>
      </c>
      <c r="T294" s="44">
        <f t="shared" si="179"/>
        <v>36.703102016163918</v>
      </c>
      <c r="U294" s="45">
        <f t="shared" si="179"/>
        <v>40.73688529847395</v>
      </c>
    </row>
    <row r="295" spans="1:21">
      <c r="A295" s="16" t="s">
        <v>399</v>
      </c>
      <c r="B295" s="28">
        <f t="shared" ref="B295:U295" si="180">+B263/B199*100</f>
        <v>38.124732644584348</v>
      </c>
      <c r="C295" s="32">
        <f t="shared" si="180"/>
        <v>44.235359492648982</v>
      </c>
      <c r="D295" s="30">
        <f t="shared" si="180"/>
        <v>38.323509717617007</v>
      </c>
      <c r="E295" s="20">
        <f t="shared" si="180"/>
        <v>33.698773586024686</v>
      </c>
      <c r="F295" s="28">
        <f t="shared" si="180"/>
        <v>36.19735737142765</v>
      </c>
      <c r="G295" s="32">
        <f t="shared" si="180"/>
        <v>43.535730748485697</v>
      </c>
      <c r="H295" s="30">
        <f t="shared" si="180"/>
        <v>36.349398392557532</v>
      </c>
      <c r="I295" s="20">
        <f t="shared" si="180"/>
        <v>59.995381863852494</v>
      </c>
      <c r="J295" s="28">
        <f t="shared" si="180"/>
        <v>35.012642015817526</v>
      </c>
      <c r="K295" s="32">
        <f t="shared" si="180"/>
        <v>44.696385885580362</v>
      </c>
      <c r="L295" s="30">
        <f t="shared" si="180"/>
        <v>35.128859786115498</v>
      </c>
      <c r="M295" s="20">
        <f t="shared" si="180"/>
        <v>38.336462841483645</v>
      </c>
      <c r="N295" s="28" t="e">
        <f t="shared" si="180"/>
        <v>#DIV/0!</v>
      </c>
      <c r="O295" s="32" t="e">
        <f t="shared" si="180"/>
        <v>#DIV/0!</v>
      </c>
      <c r="P295" s="30" t="e">
        <f t="shared" si="180"/>
        <v>#DIV/0!</v>
      </c>
      <c r="Q295" s="20" t="e">
        <f t="shared" si="180"/>
        <v>#DIV/0!</v>
      </c>
      <c r="R295" s="43">
        <f t="shared" si="180"/>
        <v>37.144578740811049</v>
      </c>
      <c r="S295" s="44">
        <f t="shared" si="180"/>
        <v>44.068089890558085</v>
      </c>
      <c r="T295" s="44">
        <f t="shared" si="180"/>
        <v>37.327566209880999</v>
      </c>
      <c r="U295" s="45">
        <f t="shared" si="180"/>
        <v>44.560313865088148</v>
      </c>
    </row>
    <row r="296" spans="1:21">
      <c r="A296" s="16" t="s">
        <v>883</v>
      </c>
      <c r="B296" s="28">
        <f t="shared" ref="B296:U296" si="181">+B264/B200*100</f>
        <v>38.519165883482351</v>
      </c>
      <c r="C296" s="32">
        <f t="shared" si="181"/>
        <v>44.547004382702482</v>
      </c>
      <c r="D296" s="30">
        <f t="shared" si="181"/>
        <v>38.794916804899223</v>
      </c>
      <c r="E296" s="20">
        <f t="shared" si="181"/>
        <v>47.784378577329875</v>
      </c>
      <c r="F296" s="28">
        <f t="shared" si="181"/>
        <v>63.754970160113544</v>
      </c>
      <c r="G296" s="32">
        <f t="shared" si="181"/>
        <v>66.780652815098378</v>
      </c>
      <c r="H296" s="30">
        <f t="shared" si="181"/>
        <v>63.867956329591024</v>
      </c>
      <c r="I296" s="20">
        <f t="shared" si="181"/>
        <v>66.396545113529712</v>
      </c>
      <c r="J296" s="28">
        <f t="shared" si="181"/>
        <v>33.181222516890273</v>
      </c>
      <c r="K296" s="32">
        <f t="shared" si="181"/>
        <v>43.222115667206147</v>
      </c>
      <c r="L296" s="30">
        <f t="shared" si="181"/>
        <v>33.438666993107894</v>
      </c>
      <c r="M296" s="20">
        <f t="shared" si="181"/>
        <v>90.760441122807364</v>
      </c>
      <c r="N296" s="28" t="e">
        <f t="shared" si="181"/>
        <v>#DIV/0!</v>
      </c>
      <c r="O296" s="32" t="e">
        <f t="shared" si="181"/>
        <v>#DIV/0!</v>
      </c>
      <c r="P296" s="30" t="e">
        <f t="shared" si="181"/>
        <v>#DIV/0!</v>
      </c>
      <c r="Q296" s="20" t="e">
        <f t="shared" si="181"/>
        <v>#DIV/0!</v>
      </c>
      <c r="R296" s="43">
        <f t="shared" si="181"/>
        <v>46.38765555621876</v>
      </c>
      <c r="S296" s="44">
        <f t="shared" si="181"/>
        <v>51.08385028410266</v>
      </c>
      <c r="T296" s="44">
        <f t="shared" si="181"/>
        <v>46.581570618192131</v>
      </c>
      <c r="U296" s="45">
        <f t="shared" si="181"/>
        <v>57.062052903459858</v>
      </c>
    </row>
    <row r="297" spans="1:21">
      <c r="A297" s="16" t="s">
        <v>884</v>
      </c>
      <c r="B297" s="28">
        <f t="shared" ref="B297:U297" si="182">+B265/B201*100</f>
        <v>41.191008719633473</v>
      </c>
      <c r="C297" s="32">
        <f t="shared" si="182"/>
        <v>52.299238853163899</v>
      </c>
      <c r="D297" s="30">
        <f t="shared" si="182"/>
        <v>41.672169934015749</v>
      </c>
      <c r="E297" s="20">
        <f t="shared" si="182"/>
        <v>44.478771274257582</v>
      </c>
      <c r="F297" s="28">
        <f t="shared" si="182"/>
        <v>31.746893807880067</v>
      </c>
      <c r="G297" s="32">
        <f t="shared" si="182"/>
        <v>40.972747307202908</v>
      </c>
      <c r="H297" s="30">
        <f t="shared" si="182"/>
        <v>32.163583621112664</v>
      </c>
      <c r="I297" s="20">
        <f t="shared" si="182"/>
        <v>48.353556543389146</v>
      </c>
      <c r="J297" s="28">
        <f t="shared" si="182"/>
        <v>33.436025869299876</v>
      </c>
      <c r="K297" s="32">
        <f t="shared" si="182"/>
        <v>42.871804364737351</v>
      </c>
      <c r="L297" s="30">
        <f t="shared" si="182"/>
        <v>33.65544701249231</v>
      </c>
      <c r="M297" s="20">
        <f t="shared" si="182"/>
        <v>40.412002613464196</v>
      </c>
      <c r="N297" s="28" t="e">
        <f t="shared" si="182"/>
        <v>#DIV/0!</v>
      </c>
      <c r="O297" s="32" t="e">
        <f t="shared" si="182"/>
        <v>#DIV/0!</v>
      </c>
      <c r="P297" s="30" t="e">
        <f t="shared" si="182"/>
        <v>#DIV/0!</v>
      </c>
      <c r="Q297" s="20" t="e">
        <f t="shared" si="182"/>
        <v>#DIV/0!</v>
      </c>
      <c r="R297" s="43">
        <f t="shared" si="182"/>
        <v>37.037861094154422</v>
      </c>
      <c r="S297" s="44">
        <f t="shared" si="182"/>
        <v>47.441924033245883</v>
      </c>
      <c r="T297" s="44">
        <f t="shared" si="182"/>
        <v>37.47271710931134</v>
      </c>
      <c r="U297" s="45">
        <f t="shared" si="182"/>
        <v>44.535283230893199</v>
      </c>
    </row>
    <row r="298" spans="1:21" ht="13.8" thickBot="1">
      <c r="A298" s="16" t="s">
        <v>885</v>
      </c>
      <c r="B298" s="28">
        <f t="shared" ref="B298:U298" si="183">+B266/B202*100</f>
        <v>39.583932217579026</v>
      </c>
      <c r="C298" s="32">
        <f t="shared" si="183"/>
        <v>44.789079882491599</v>
      </c>
      <c r="D298" s="30">
        <f t="shared" si="183"/>
        <v>40.035558407272369</v>
      </c>
      <c r="E298" s="20">
        <f t="shared" si="183"/>
        <v>47.14878431189026</v>
      </c>
      <c r="F298" s="28">
        <f t="shared" si="183"/>
        <v>37.716784990731675</v>
      </c>
      <c r="G298" s="32">
        <f t="shared" si="183"/>
        <v>43.981418580492395</v>
      </c>
      <c r="H298" s="30">
        <f t="shared" si="183"/>
        <v>38.142903171954785</v>
      </c>
      <c r="I298" s="20">
        <f t="shared" si="183"/>
        <v>61.346304172489383</v>
      </c>
      <c r="J298" s="28">
        <f t="shared" si="183"/>
        <v>32.963925832770073</v>
      </c>
      <c r="K298" s="32">
        <f t="shared" si="183"/>
        <v>43.157268003525111</v>
      </c>
      <c r="L298" s="30">
        <f t="shared" si="183"/>
        <v>33.538030933557586</v>
      </c>
      <c r="M298" s="20">
        <f t="shared" si="183"/>
        <v>99.568406495854774</v>
      </c>
      <c r="N298" s="28" t="e">
        <f t="shared" si="183"/>
        <v>#DIV/0!</v>
      </c>
      <c r="O298" s="32" t="e">
        <f t="shared" si="183"/>
        <v>#DIV/0!</v>
      </c>
      <c r="P298" s="30" t="e">
        <f t="shared" si="183"/>
        <v>#DIV/0!</v>
      </c>
      <c r="Q298" s="20" t="e">
        <f t="shared" si="183"/>
        <v>#DIV/0!</v>
      </c>
      <c r="R298" s="43">
        <f t="shared" si="183"/>
        <v>38.334846861751075</v>
      </c>
      <c r="S298" s="44">
        <f t="shared" si="183"/>
        <v>44.432964523723918</v>
      </c>
      <c r="T298" s="44">
        <f t="shared" si="183"/>
        <v>38.807040892129805</v>
      </c>
      <c r="U298" s="45">
        <f t="shared" si="183"/>
        <v>51.891064162088284</v>
      </c>
    </row>
    <row r="299" spans="1:21" ht="13.8" thickBot="1">
      <c r="A299" s="11" t="s">
        <v>16</v>
      </c>
      <c r="B299" s="29">
        <f t="shared" ref="B299:U299" si="184">+B267/B203*100</f>
        <v>39.517508424328952</v>
      </c>
      <c r="C299" s="31">
        <f t="shared" si="184"/>
        <v>45.124576012291946</v>
      </c>
      <c r="D299" s="31">
        <f t="shared" si="184"/>
        <v>39.78827190527867</v>
      </c>
      <c r="E299" s="19">
        <f t="shared" si="184"/>
        <v>40.683755591598448</v>
      </c>
      <c r="F299" s="29">
        <f t="shared" si="184"/>
        <v>38.722678024460869</v>
      </c>
      <c r="G299" s="31">
        <f t="shared" si="184"/>
        <v>44.987788148395978</v>
      </c>
      <c r="H299" s="31">
        <f t="shared" si="184"/>
        <v>38.966377192002426</v>
      </c>
      <c r="I299" s="19">
        <f t="shared" si="184"/>
        <v>51.970908148647197</v>
      </c>
      <c r="J299" s="29">
        <f t="shared" si="184"/>
        <v>32.543911297461499</v>
      </c>
      <c r="K299" s="31">
        <f t="shared" si="184"/>
        <v>29.995659786441404</v>
      </c>
      <c r="L299" s="31">
        <f t="shared" si="184"/>
        <v>32.470576095147052</v>
      </c>
      <c r="M299" s="19">
        <f t="shared" si="184"/>
        <v>43.446185853390709</v>
      </c>
      <c r="N299" s="29" t="e">
        <f t="shared" si="184"/>
        <v>#DIV/0!</v>
      </c>
      <c r="O299" s="31" t="e">
        <f t="shared" si="184"/>
        <v>#DIV/0!</v>
      </c>
      <c r="P299" s="31" t="e">
        <f t="shared" si="184"/>
        <v>#DIV/0!</v>
      </c>
      <c r="Q299" s="19" t="e">
        <f t="shared" si="184"/>
        <v>#DIV/0!</v>
      </c>
      <c r="R299" s="46">
        <f t="shared" si="184"/>
        <v>38.593849356023192</v>
      </c>
      <c r="S299" s="46">
        <f t="shared" si="184"/>
        <v>44.159873066906066</v>
      </c>
      <c r="T299" s="46">
        <f t="shared" si="184"/>
        <v>38.834690399743216</v>
      </c>
      <c r="U299" s="46">
        <f t="shared" si="184"/>
        <v>44.749530010675933</v>
      </c>
    </row>
    <row r="301" spans="1:21" ht="18" thickBot="1">
      <c r="A301" s="2">
        <f>trim_elec!A301</f>
        <v>2022</v>
      </c>
    </row>
    <row r="302" spans="1:21">
      <c r="A302" s="3429" t="s">
        <v>0</v>
      </c>
      <c r="B302" s="3423" t="s">
        <v>269</v>
      </c>
      <c r="C302" s="3424"/>
      <c r="D302" s="3424"/>
      <c r="E302" s="3425"/>
      <c r="F302" s="3426" t="s">
        <v>270</v>
      </c>
      <c r="G302" s="3427"/>
      <c r="H302" s="3427"/>
      <c r="I302" s="3428"/>
      <c r="J302" s="3420" t="s">
        <v>271</v>
      </c>
      <c r="K302" s="3421"/>
      <c r="L302" s="3421"/>
      <c r="M302" s="3422"/>
      <c r="N302" s="3415" t="s">
        <v>272</v>
      </c>
      <c r="O302" s="3416"/>
      <c r="P302" s="3416"/>
      <c r="Q302" s="3417"/>
      <c r="R302" s="3418" t="s">
        <v>83</v>
      </c>
      <c r="S302" s="3418"/>
      <c r="T302" s="3418"/>
      <c r="U302" s="3419"/>
    </row>
    <row r="303" spans="1:21" ht="13.8" thickBot="1">
      <c r="A303" s="3430"/>
      <c r="B303" s="3" t="s">
        <v>17</v>
      </c>
      <c r="C303" s="4" t="s">
        <v>18</v>
      </c>
      <c r="D303" s="4" t="s">
        <v>56</v>
      </c>
      <c r="E303" s="5" t="s">
        <v>21</v>
      </c>
      <c r="F303" s="3" t="s">
        <v>17</v>
      </c>
      <c r="G303" s="4" t="s">
        <v>18</v>
      </c>
      <c r="H303" s="4" t="s">
        <v>56</v>
      </c>
      <c r="I303" s="5" t="s">
        <v>21</v>
      </c>
      <c r="J303" s="3" t="s">
        <v>17</v>
      </c>
      <c r="K303" s="4" t="s">
        <v>18</v>
      </c>
      <c r="L303" s="4" t="s">
        <v>56</v>
      </c>
      <c r="M303" s="5" t="s">
        <v>21</v>
      </c>
      <c r="N303" s="3" t="s">
        <v>17</v>
      </c>
      <c r="O303" s="4" t="s">
        <v>18</v>
      </c>
      <c r="P303" s="4" t="s">
        <v>56</v>
      </c>
      <c r="Q303" s="5" t="s">
        <v>21</v>
      </c>
      <c r="R303" s="4" t="s">
        <v>17</v>
      </c>
      <c r="S303" s="4" t="s">
        <v>18</v>
      </c>
      <c r="T303" s="4" t="s">
        <v>56</v>
      </c>
      <c r="U303" s="6" t="s">
        <v>21</v>
      </c>
    </row>
    <row r="304" spans="1:21">
      <c r="A304" s="16" t="s">
        <v>68</v>
      </c>
      <c r="B304" s="28">
        <f t="shared" ref="B304:U304" si="185">+B272/B208*100</f>
        <v>38.515641834547942</v>
      </c>
      <c r="C304" s="32">
        <f t="shared" si="185"/>
        <v>44.116592126097046</v>
      </c>
      <c r="D304" s="30">
        <f t="shared" si="185"/>
        <v>38.69119242442666</v>
      </c>
      <c r="E304" s="20">
        <f t="shared" si="185"/>
        <v>39.280633521605154</v>
      </c>
      <c r="F304" s="28">
        <f t="shared" si="185"/>
        <v>36.296763536240526</v>
      </c>
      <c r="G304" s="32">
        <f t="shared" si="185"/>
        <v>42.922543434734884</v>
      </c>
      <c r="H304" s="30">
        <f t="shared" si="185"/>
        <v>36.455285705322702</v>
      </c>
      <c r="I304" s="20">
        <f t="shared" si="185"/>
        <v>39.554379156897177</v>
      </c>
      <c r="J304" s="28">
        <f t="shared" si="185"/>
        <v>32.106146467063226</v>
      </c>
      <c r="K304" s="32">
        <f t="shared" si="185"/>
        <v>38.938932719410715</v>
      </c>
      <c r="L304" s="30">
        <f t="shared" si="185"/>
        <v>32.180982170105004</v>
      </c>
      <c r="M304" s="20">
        <f t="shared" si="185"/>
        <v>36.35441306998036</v>
      </c>
      <c r="N304" s="28" t="e">
        <f t="shared" si="185"/>
        <v>#DIV/0!</v>
      </c>
      <c r="O304" s="32" t="e">
        <f t="shared" si="185"/>
        <v>#DIV/0!</v>
      </c>
      <c r="P304" s="30" t="e">
        <f t="shared" si="185"/>
        <v>#DIV/0!</v>
      </c>
      <c r="Q304" s="20" t="e">
        <f t="shared" si="185"/>
        <v>#DIV/0!</v>
      </c>
      <c r="R304" s="40">
        <f t="shared" si="185"/>
        <v>37.158035141370483</v>
      </c>
      <c r="S304" s="41">
        <f t="shared" si="185"/>
        <v>43.564227175604479</v>
      </c>
      <c r="T304" s="41">
        <f t="shared" si="185"/>
        <v>37.330639082001717</v>
      </c>
      <c r="U304" s="42">
        <f t="shared" si="185"/>
        <v>38.442391617431163</v>
      </c>
    </row>
    <row r="305" spans="1:21">
      <c r="A305" s="16" t="s">
        <v>7</v>
      </c>
      <c r="B305" s="28">
        <f t="shared" ref="B305:U305" si="186">+B273/B209*100</f>
        <v>39.583318660462282</v>
      </c>
      <c r="C305" s="32">
        <f t="shared" si="186"/>
        <v>44.549731090592935</v>
      </c>
      <c r="D305" s="30">
        <f t="shared" si="186"/>
        <v>39.853259908606034</v>
      </c>
      <c r="E305" s="20">
        <f t="shared" si="186"/>
        <v>48.056466730454709</v>
      </c>
      <c r="F305" s="28">
        <f t="shared" si="186"/>
        <v>37.173331288974282</v>
      </c>
      <c r="G305" s="32">
        <f t="shared" si="186"/>
        <v>43.542224698866747</v>
      </c>
      <c r="H305" s="30">
        <f t="shared" si="186"/>
        <v>37.427467522429112</v>
      </c>
      <c r="I305" s="20">
        <f t="shared" si="186"/>
        <v>59.597401044208098</v>
      </c>
      <c r="J305" s="28">
        <f t="shared" si="186"/>
        <v>37.114220898470172</v>
      </c>
      <c r="K305" s="32">
        <f t="shared" si="186"/>
        <v>38.918471606600427</v>
      </c>
      <c r="L305" s="30">
        <f t="shared" si="186"/>
        <v>37.148306596815736</v>
      </c>
      <c r="M305" s="20">
        <f t="shared" si="186"/>
        <v>64.684604728821839</v>
      </c>
      <c r="N305" s="28" t="e">
        <f t="shared" si="186"/>
        <v>#DIV/0!</v>
      </c>
      <c r="O305" s="32" t="e">
        <f t="shared" si="186"/>
        <v>#DIV/0!</v>
      </c>
      <c r="P305" s="30" t="e">
        <f t="shared" si="186"/>
        <v>#DIV/0!</v>
      </c>
      <c r="Q305" s="20" t="e">
        <f t="shared" si="186"/>
        <v>#DIV/0!</v>
      </c>
      <c r="R305" s="43">
        <f t="shared" si="186"/>
        <v>38.591854721062155</v>
      </c>
      <c r="S305" s="44">
        <f t="shared" si="186"/>
        <v>44.11332397636108</v>
      </c>
      <c r="T305" s="44">
        <f t="shared" si="186"/>
        <v>38.852128952856447</v>
      </c>
      <c r="U305" s="45">
        <f t="shared" si="186"/>
        <v>53.276047536590291</v>
      </c>
    </row>
    <row r="306" spans="1:21">
      <c r="A306" s="16" t="s">
        <v>8</v>
      </c>
      <c r="B306" s="28">
        <f t="shared" ref="B306:U306" si="187">+B274/B210*100</f>
        <v>39.672496363306841</v>
      </c>
      <c r="C306" s="32">
        <f t="shared" si="187"/>
        <v>44.835187469992469</v>
      </c>
      <c r="D306" s="30">
        <f t="shared" si="187"/>
        <v>39.975879262138847</v>
      </c>
      <c r="E306" s="20">
        <f t="shared" si="187"/>
        <v>43.337709223277585</v>
      </c>
      <c r="F306" s="28">
        <f t="shared" si="187"/>
        <v>37.394022861943093</v>
      </c>
      <c r="G306" s="32">
        <f t="shared" si="187"/>
        <v>44.170189304919809</v>
      </c>
      <c r="H306" s="30">
        <f t="shared" si="187"/>
        <v>37.731148482009239</v>
      </c>
      <c r="I306" s="20">
        <f t="shared" si="187"/>
        <v>70.407723018939933</v>
      </c>
      <c r="J306" s="28">
        <f t="shared" si="187"/>
        <v>32.771724244494671</v>
      </c>
      <c r="K306" s="32">
        <f t="shared" si="187"/>
        <v>42.924827848812974</v>
      </c>
      <c r="L306" s="30">
        <f t="shared" si="187"/>
        <v>33.038473601742034</v>
      </c>
      <c r="M306" s="20">
        <f t="shared" si="187"/>
        <v>132.17014037854889</v>
      </c>
      <c r="N306" s="28" t="e">
        <f t="shared" si="187"/>
        <v>#DIV/0!</v>
      </c>
      <c r="O306" s="32" t="e">
        <f t="shared" si="187"/>
        <v>#DIV/0!</v>
      </c>
      <c r="P306" s="30" t="e">
        <f t="shared" si="187"/>
        <v>#DIV/0!</v>
      </c>
      <c r="Q306" s="20" t="e">
        <f t="shared" si="187"/>
        <v>#DIV/0!</v>
      </c>
      <c r="R306" s="43">
        <f t="shared" si="187"/>
        <v>38.389681325562528</v>
      </c>
      <c r="S306" s="44">
        <f t="shared" si="187"/>
        <v>44.55491350993578</v>
      </c>
      <c r="T306" s="44">
        <f t="shared" si="187"/>
        <v>38.718908060021846</v>
      </c>
      <c r="U306" s="45">
        <f t="shared" si="187"/>
        <v>53.633562182008689</v>
      </c>
    </row>
    <row r="307" spans="1:21">
      <c r="A307" s="16" t="s">
        <v>4</v>
      </c>
      <c r="B307" s="28">
        <f t="shared" ref="B307:U307" si="188">+B275/B211*100</f>
        <v>39.167843494739252</v>
      </c>
      <c r="C307" s="32">
        <f t="shared" si="188"/>
        <v>44.482680816245626</v>
      </c>
      <c r="D307" s="30">
        <f t="shared" si="188"/>
        <v>39.370506598097798</v>
      </c>
      <c r="E307" s="20">
        <f t="shared" si="188"/>
        <v>43.481276804287958</v>
      </c>
      <c r="F307" s="28">
        <f t="shared" si="188"/>
        <v>37.036599693662581</v>
      </c>
      <c r="G307" s="32">
        <f t="shared" si="188"/>
        <v>43.821284560696043</v>
      </c>
      <c r="H307" s="30">
        <f t="shared" si="188"/>
        <v>37.286442376219014</v>
      </c>
      <c r="I307" s="20">
        <f t="shared" si="188"/>
        <v>54.826693080594247</v>
      </c>
      <c r="J307" s="28">
        <f t="shared" si="188"/>
        <v>34.833715828794872</v>
      </c>
      <c r="K307" s="32">
        <f t="shared" si="188"/>
        <v>43.904491691401645</v>
      </c>
      <c r="L307" s="30">
        <f t="shared" si="188"/>
        <v>35.165393873744819</v>
      </c>
      <c r="M307" s="20">
        <f t="shared" si="188"/>
        <v>58.056487277638311</v>
      </c>
      <c r="N307" s="28" t="e">
        <f t="shared" si="188"/>
        <v>#DIV/0!</v>
      </c>
      <c r="O307" s="32" t="e">
        <f t="shared" si="188"/>
        <v>#DIV/0!</v>
      </c>
      <c r="P307" s="30" t="e">
        <f t="shared" si="188"/>
        <v>#DIV/0!</v>
      </c>
      <c r="Q307" s="20" t="e">
        <f t="shared" si="188"/>
        <v>#DIV/0!</v>
      </c>
      <c r="R307" s="43">
        <f t="shared" si="188"/>
        <v>38.137540732585194</v>
      </c>
      <c r="S307" s="44">
        <f t="shared" si="188"/>
        <v>44.219376448572397</v>
      </c>
      <c r="T307" s="44">
        <f t="shared" si="188"/>
        <v>38.366048817185394</v>
      </c>
      <c r="U307" s="45">
        <f t="shared" si="188"/>
        <v>49.083834854902179</v>
      </c>
    </row>
    <row r="308" spans="1:21">
      <c r="A308" s="16" t="s">
        <v>3</v>
      </c>
      <c r="B308" s="28">
        <f t="shared" ref="B308:U308" si="189">+B276/B212*100</f>
        <v>40.834790491058065</v>
      </c>
      <c r="C308" s="32">
        <f t="shared" si="189"/>
        <v>45.049066806371385</v>
      </c>
      <c r="D308" s="30">
        <f t="shared" si="189"/>
        <v>41.083427983404</v>
      </c>
      <c r="E308" s="20">
        <f t="shared" si="189"/>
        <v>40.330469355279469</v>
      </c>
      <c r="F308" s="28">
        <f t="shared" si="189"/>
        <v>38.824532667545967</v>
      </c>
      <c r="G308" s="32">
        <f t="shared" si="189"/>
        <v>44.379867880489456</v>
      </c>
      <c r="H308" s="30">
        <f t="shared" si="189"/>
        <v>39.06597887829156</v>
      </c>
      <c r="I308" s="20">
        <f t="shared" si="189"/>
        <v>47.317478888764093</v>
      </c>
      <c r="J308" s="28">
        <f t="shared" si="189"/>
        <v>33.987333989724071</v>
      </c>
      <c r="K308" s="32">
        <f t="shared" si="189"/>
        <v>43.424434342633006</v>
      </c>
      <c r="L308" s="30">
        <f t="shared" si="189"/>
        <v>34.085931532552507</v>
      </c>
      <c r="M308" s="20">
        <f t="shared" si="189"/>
        <v>50.220934854744058</v>
      </c>
      <c r="N308" s="28" t="e">
        <f t="shared" si="189"/>
        <v>#DIV/0!</v>
      </c>
      <c r="O308" s="32" t="e">
        <f t="shared" si="189"/>
        <v>#DIV/0!</v>
      </c>
      <c r="P308" s="30" t="e">
        <f t="shared" si="189"/>
        <v>#DIV/0!</v>
      </c>
      <c r="Q308" s="20" t="e">
        <f t="shared" si="189"/>
        <v>#DIV/0!</v>
      </c>
      <c r="R308" s="43">
        <f t="shared" si="189"/>
        <v>39.638745125393555</v>
      </c>
      <c r="S308" s="44">
        <f t="shared" si="189"/>
        <v>44.824189858215945</v>
      </c>
      <c r="T308" s="44">
        <f t="shared" si="189"/>
        <v>39.899297232048035</v>
      </c>
      <c r="U308" s="45">
        <f t="shared" si="189"/>
        <v>43.132847950437217</v>
      </c>
    </row>
    <row r="309" spans="1:21">
      <c r="A309" s="16" t="s">
        <v>397</v>
      </c>
      <c r="B309" s="28">
        <f t="shared" ref="B309:U309" si="190">+B277/B213*100</f>
        <v>37.661914432159129</v>
      </c>
      <c r="C309" s="32">
        <f t="shared" si="190"/>
        <v>44.291880648706808</v>
      </c>
      <c r="D309" s="30">
        <f t="shared" si="190"/>
        <v>37.919479514383625</v>
      </c>
      <c r="E309" s="20">
        <f t="shared" si="190"/>
        <v>50.807770860524556</v>
      </c>
      <c r="F309" s="28">
        <f t="shared" si="190"/>
        <v>36.165692842372657</v>
      </c>
      <c r="G309" s="32">
        <f t="shared" si="190"/>
        <v>43.809536387010773</v>
      </c>
      <c r="H309" s="30">
        <f t="shared" si="190"/>
        <v>36.458083181450021</v>
      </c>
      <c r="I309" s="20">
        <f t="shared" si="190"/>
        <v>48.976595949806608</v>
      </c>
      <c r="J309" s="28">
        <f t="shared" si="190"/>
        <v>35.57268866552937</v>
      </c>
      <c r="K309" s="32">
        <f t="shared" si="190"/>
        <v>39.935571480850392</v>
      </c>
      <c r="L309" s="30">
        <f t="shared" si="190"/>
        <v>35.745447698834852</v>
      </c>
      <c r="M309" s="20">
        <f t="shared" si="190"/>
        <v>56.902874546475658</v>
      </c>
      <c r="N309" s="28" t="e">
        <f t="shared" si="190"/>
        <v>#DIV/0!</v>
      </c>
      <c r="O309" s="32" t="e">
        <f t="shared" si="190"/>
        <v>#DIV/0!</v>
      </c>
      <c r="P309" s="30" t="e">
        <f t="shared" si="190"/>
        <v>#DIV/0!</v>
      </c>
      <c r="Q309" s="20" t="e">
        <f t="shared" si="190"/>
        <v>#DIV/0!</v>
      </c>
      <c r="R309" s="43">
        <f t="shared" si="190"/>
        <v>36.89967430556915</v>
      </c>
      <c r="S309" s="44">
        <f t="shared" si="190"/>
        <v>43.627303091806105</v>
      </c>
      <c r="T309" s="44">
        <f t="shared" si="190"/>
        <v>37.160172791741999</v>
      </c>
      <c r="U309" s="45">
        <f t="shared" si="190"/>
        <v>51.191959955070047</v>
      </c>
    </row>
    <row r="310" spans="1:21">
      <c r="A310" s="16" t="s">
        <v>399</v>
      </c>
      <c r="B310" s="28">
        <f t="shared" ref="B310:U310" si="191">+B278/B214*100</f>
        <v>38.140656036464151</v>
      </c>
      <c r="C310" s="32">
        <f t="shared" si="191"/>
        <v>44.227062956943882</v>
      </c>
      <c r="D310" s="30">
        <f t="shared" si="191"/>
        <v>38.330117142662075</v>
      </c>
      <c r="E310" s="20">
        <f t="shared" si="191"/>
        <v>33.056583209488323</v>
      </c>
      <c r="F310" s="28">
        <f t="shared" si="191"/>
        <v>36.21440880850114</v>
      </c>
      <c r="G310" s="32">
        <f t="shared" si="191"/>
        <v>43.379358921462781</v>
      </c>
      <c r="H310" s="30">
        <f t="shared" si="191"/>
        <v>36.339338053104704</v>
      </c>
      <c r="I310" s="20">
        <f t="shared" si="191"/>
        <v>33.598838374808736</v>
      </c>
      <c r="J310" s="28">
        <f t="shared" si="191"/>
        <v>35.756029031304344</v>
      </c>
      <c r="K310" s="32">
        <f t="shared" si="191"/>
        <v>43.605562601216029</v>
      </c>
      <c r="L310" s="30">
        <f t="shared" si="191"/>
        <v>35.774188637626992</v>
      </c>
      <c r="M310" s="20">
        <f t="shared" si="191"/>
        <v>36.74913420512361</v>
      </c>
      <c r="N310" s="28" t="e">
        <f t="shared" si="191"/>
        <v>#DIV/0!</v>
      </c>
      <c r="O310" s="32" t="e">
        <f t="shared" si="191"/>
        <v>#DIV/0!</v>
      </c>
      <c r="P310" s="30" t="e">
        <f t="shared" si="191"/>
        <v>#DIV/0!</v>
      </c>
      <c r="Q310" s="20" t="e">
        <f t="shared" si="191"/>
        <v>#DIV/0!</v>
      </c>
      <c r="R310" s="43">
        <f t="shared" si="191"/>
        <v>37.229610144605317</v>
      </c>
      <c r="S310" s="44">
        <f t="shared" si="191"/>
        <v>44.005979660725245</v>
      </c>
      <c r="T310" s="44">
        <f t="shared" si="191"/>
        <v>37.388907075545895</v>
      </c>
      <c r="U310" s="45">
        <f t="shared" si="191"/>
        <v>34.118880850875883</v>
      </c>
    </row>
    <row r="311" spans="1:21">
      <c r="A311" s="16" t="s">
        <v>883</v>
      </c>
      <c r="B311" s="28">
        <f t="shared" ref="B311:U311" si="192">+B279/B215*100</f>
        <v>38.775752784803657</v>
      </c>
      <c r="C311" s="32">
        <f t="shared" si="192"/>
        <v>44.671910304380511</v>
      </c>
      <c r="D311" s="30">
        <f t="shared" si="192"/>
        <v>39.055987205645799</v>
      </c>
      <c r="E311" s="20">
        <f t="shared" si="192"/>
        <v>48.95759471737712</v>
      </c>
      <c r="F311" s="28">
        <f t="shared" si="192"/>
        <v>36.038887505018501</v>
      </c>
      <c r="G311" s="32">
        <f t="shared" si="192"/>
        <v>43.878976266303695</v>
      </c>
      <c r="H311" s="30">
        <f t="shared" si="192"/>
        <v>36.3520374739132</v>
      </c>
      <c r="I311" s="20">
        <f t="shared" si="192"/>
        <v>62.955954065621192</v>
      </c>
      <c r="J311" s="28">
        <f t="shared" si="192"/>
        <v>34.825963224410778</v>
      </c>
      <c r="K311" s="32">
        <f t="shared" si="192"/>
        <v>43.980685978814662</v>
      </c>
      <c r="L311" s="30">
        <f t="shared" si="192"/>
        <v>34.981350658104525</v>
      </c>
      <c r="M311" s="20">
        <f t="shared" si="192"/>
        <v>81.123270590647763</v>
      </c>
      <c r="N311" s="28" t="e">
        <f t="shared" si="192"/>
        <v>#DIV/0!</v>
      </c>
      <c r="O311" s="32" t="e">
        <f t="shared" si="192"/>
        <v>#DIV/0!</v>
      </c>
      <c r="P311" s="30" t="e">
        <f t="shared" si="192"/>
        <v>#DIV/0!</v>
      </c>
      <c r="Q311" s="20" t="e">
        <f t="shared" si="192"/>
        <v>#DIV/0!</v>
      </c>
      <c r="R311" s="43">
        <f t="shared" si="192"/>
        <v>37.573502477227173</v>
      </c>
      <c r="S311" s="44">
        <f t="shared" si="192"/>
        <v>44.415116857162559</v>
      </c>
      <c r="T311" s="44">
        <f t="shared" si="192"/>
        <v>37.864843920355895</v>
      </c>
      <c r="U311" s="45">
        <f t="shared" si="192"/>
        <v>55.161624746876512</v>
      </c>
    </row>
    <row r="312" spans="1:21">
      <c r="A312" s="16" t="s">
        <v>884</v>
      </c>
      <c r="B312" s="28">
        <f t="shared" ref="B312:U312" si="193">+B280/B216*100</f>
        <v>37.859311733352094</v>
      </c>
      <c r="C312" s="32">
        <f t="shared" si="193"/>
        <v>44.474989615297829</v>
      </c>
      <c r="D312" s="30">
        <f t="shared" si="193"/>
        <v>38.170908721489063</v>
      </c>
      <c r="E312" s="20">
        <f t="shared" si="193"/>
        <v>46.857450185719642</v>
      </c>
      <c r="F312" s="28">
        <f t="shared" si="193"/>
        <v>35.649059580499056</v>
      </c>
      <c r="G312" s="32">
        <f t="shared" si="193"/>
        <v>43.963747930109172</v>
      </c>
      <c r="H312" s="30">
        <f t="shared" si="193"/>
        <v>36.036236615650928</v>
      </c>
      <c r="I312" s="20">
        <f t="shared" si="193"/>
        <v>52.259083839548303</v>
      </c>
      <c r="J312" s="28">
        <f t="shared" si="193"/>
        <v>33.566912678952896</v>
      </c>
      <c r="K312" s="32">
        <f t="shared" si="193"/>
        <v>43.791491706825383</v>
      </c>
      <c r="L312" s="30">
        <f t="shared" si="193"/>
        <v>33.953555666874841</v>
      </c>
      <c r="M312" s="20">
        <f t="shared" si="193"/>
        <v>39.196517001759098</v>
      </c>
      <c r="N312" s="28" t="e">
        <f t="shared" si="193"/>
        <v>#DIV/0!</v>
      </c>
      <c r="O312" s="32" t="e">
        <f t="shared" si="193"/>
        <v>#DIV/0!</v>
      </c>
      <c r="P312" s="30" t="e">
        <f t="shared" si="193"/>
        <v>#DIV/0!</v>
      </c>
      <c r="Q312" s="20" t="e">
        <f t="shared" si="193"/>
        <v>#DIV/0!</v>
      </c>
      <c r="R312" s="43">
        <f t="shared" si="193"/>
        <v>36.65794211489807</v>
      </c>
      <c r="S312" s="44">
        <f t="shared" si="193"/>
        <v>44.240718976313758</v>
      </c>
      <c r="T312" s="44">
        <f t="shared" si="193"/>
        <v>37.006327922394497</v>
      </c>
      <c r="U312" s="45">
        <f t="shared" si="193"/>
        <v>45.9518771699599</v>
      </c>
    </row>
    <row r="313" spans="1:21" ht="13.8" thickBot="1">
      <c r="A313" s="16" t="s">
        <v>885</v>
      </c>
      <c r="B313" s="28">
        <f t="shared" ref="B313:U313" si="194">+B281/B217*100</f>
        <v>39.53363575677519</v>
      </c>
      <c r="C313" s="32">
        <f t="shared" si="194"/>
        <v>44.813633310786834</v>
      </c>
      <c r="D313" s="30">
        <f t="shared" si="194"/>
        <v>39.978433392840728</v>
      </c>
      <c r="E313" s="20">
        <f t="shared" si="194"/>
        <v>47.631773941756286</v>
      </c>
      <c r="F313" s="28">
        <f t="shared" si="194"/>
        <v>37.803480634021653</v>
      </c>
      <c r="G313" s="32">
        <f t="shared" si="194"/>
        <v>44.161762781355499</v>
      </c>
      <c r="H313" s="30">
        <f t="shared" si="194"/>
        <v>38.25576519691252</v>
      </c>
      <c r="I313" s="20">
        <f t="shared" si="194"/>
        <v>62.024670023560766</v>
      </c>
      <c r="J313" s="28">
        <f t="shared" si="194"/>
        <v>33.425017667396183</v>
      </c>
      <c r="K313" s="32">
        <f t="shared" si="194"/>
        <v>43.248970359544337</v>
      </c>
      <c r="L313" s="30">
        <f t="shared" si="194"/>
        <v>33.832541576967593</v>
      </c>
      <c r="M313" s="20">
        <f t="shared" si="194"/>
        <v>98.374163972612024</v>
      </c>
      <c r="N313" s="28" t="e">
        <f t="shared" si="194"/>
        <v>#DIV/0!</v>
      </c>
      <c r="O313" s="32" t="e">
        <f t="shared" si="194"/>
        <v>#DIV/0!</v>
      </c>
      <c r="P313" s="30" t="e">
        <f t="shared" si="194"/>
        <v>#DIV/0!</v>
      </c>
      <c r="Q313" s="20" t="e">
        <f t="shared" si="194"/>
        <v>#DIV/0!</v>
      </c>
      <c r="R313" s="43">
        <f t="shared" si="194"/>
        <v>38.428742611394718</v>
      </c>
      <c r="S313" s="44">
        <f t="shared" si="194"/>
        <v>44.526609850424094</v>
      </c>
      <c r="T313" s="44">
        <f t="shared" si="194"/>
        <v>38.893888435961173</v>
      </c>
      <c r="U313" s="45">
        <f t="shared" si="194"/>
        <v>52.885544067243288</v>
      </c>
    </row>
    <row r="314" spans="1:21" ht="13.8" thickBot="1">
      <c r="A314" s="11" t="s">
        <v>16</v>
      </c>
      <c r="B314" s="29">
        <f t="shared" ref="B314:U314" si="195">+B282/B218*100</f>
        <v>39.243925097888486</v>
      </c>
      <c r="C314" s="31">
        <f t="shared" si="195"/>
        <v>44.657686859837483</v>
      </c>
      <c r="D314" s="31">
        <f t="shared" si="195"/>
        <v>39.505433825924776</v>
      </c>
      <c r="E314" s="19">
        <f t="shared" si="195"/>
        <v>40.780785715480988</v>
      </c>
      <c r="F314" s="29">
        <f t="shared" si="195"/>
        <v>37.098799584774206</v>
      </c>
      <c r="G314" s="31">
        <f t="shared" si="195"/>
        <v>43.922197886126995</v>
      </c>
      <c r="H314" s="31">
        <f t="shared" si="195"/>
        <v>37.369840654204751</v>
      </c>
      <c r="I314" s="19">
        <f t="shared" si="195"/>
        <v>43.095250561988394</v>
      </c>
      <c r="J314" s="29">
        <f t="shared" si="195"/>
        <v>34.308117433607563</v>
      </c>
      <c r="K314" s="31">
        <f t="shared" si="195"/>
        <v>42.489493210475338</v>
      </c>
      <c r="L314" s="31">
        <f t="shared" si="195"/>
        <v>34.49033087611965</v>
      </c>
      <c r="M314" s="19">
        <f t="shared" si="195"/>
        <v>41.910744441000709</v>
      </c>
      <c r="N314" s="29" t="e">
        <f t="shared" si="195"/>
        <v>#DIV/0!</v>
      </c>
      <c r="O314" s="31" t="e">
        <f t="shared" si="195"/>
        <v>#DIV/0!</v>
      </c>
      <c r="P314" s="31" t="e">
        <f t="shared" si="195"/>
        <v>#DIV/0!</v>
      </c>
      <c r="Q314" s="19" t="e">
        <f t="shared" si="195"/>
        <v>#DIV/0!</v>
      </c>
      <c r="R314" s="46">
        <f t="shared" si="195"/>
        <v>38.105009555978889</v>
      </c>
      <c r="S314" s="46">
        <f t="shared" si="195"/>
        <v>44.337571861108479</v>
      </c>
      <c r="T314" s="46">
        <f t="shared" si="195"/>
        <v>38.374855610943307</v>
      </c>
      <c r="U314" s="46">
        <f t="shared" si="195"/>
        <v>41.750642471103738</v>
      </c>
    </row>
  </sheetData>
  <mergeCells count="118">
    <mergeCell ref="B160:E160"/>
    <mergeCell ref="F160:I160"/>
    <mergeCell ref="J160:M160"/>
    <mergeCell ref="N160:Q160"/>
    <mergeCell ref="N206:Q206"/>
    <mergeCell ref="A191:A192"/>
    <mergeCell ref="B191:E191"/>
    <mergeCell ref="J206:M206"/>
    <mergeCell ref="R35:U35"/>
    <mergeCell ref="R50:U50"/>
    <mergeCell ref="R191:U191"/>
    <mergeCell ref="R206:U206"/>
    <mergeCell ref="N35:Q35"/>
    <mergeCell ref="N50:Q50"/>
    <mergeCell ref="R129:U129"/>
    <mergeCell ref="N144:Q144"/>
    <mergeCell ref="R144:U144"/>
    <mergeCell ref="N129:Q129"/>
    <mergeCell ref="R160:U160"/>
    <mergeCell ref="N175:Q175"/>
    <mergeCell ref="R175:U175"/>
    <mergeCell ref="A206:A207"/>
    <mergeCell ref="B206:E206"/>
    <mergeCell ref="N3:Q3"/>
    <mergeCell ref="R67:U67"/>
    <mergeCell ref="N82:Q82"/>
    <mergeCell ref="R82:U82"/>
    <mergeCell ref="N67:Q67"/>
    <mergeCell ref="R98:U98"/>
    <mergeCell ref="N113:Q113"/>
    <mergeCell ref="R113:U113"/>
    <mergeCell ref="N98:Q98"/>
    <mergeCell ref="N18:Q18"/>
    <mergeCell ref="B18:E18"/>
    <mergeCell ref="J35:M35"/>
    <mergeCell ref="A3:A4"/>
    <mergeCell ref="F35:I35"/>
    <mergeCell ref="F18:I18"/>
    <mergeCell ref="N191:Q191"/>
    <mergeCell ref="A82:A83"/>
    <mergeCell ref="B82:E82"/>
    <mergeCell ref="F82:I82"/>
    <mergeCell ref="J82:M82"/>
    <mergeCell ref="A67:A68"/>
    <mergeCell ref="B67:E67"/>
    <mergeCell ref="F67:I67"/>
    <mergeCell ref="J67:M67"/>
    <mergeCell ref="A113:A114"/>
    <mergeCell ref="B113:E113"/>
    <mergeCell ref="F113:I113"/>
    <mergeCell ref="J113:M113"/>
    <mergeCell ref="A98:A99"/>
    <mergeCell ref="B98:E98"/>
    <mergeCell ref="F98:I98"/>
    <mergeCell ref="J50:M50"/>
    <mergeCell ref="J175:M175"/>
    <mergeCell ref="A160:A161"/>
    <mergeCell ref="J3:M3"/>
    <mergeCell ref="A50:A51"/>
    <mergeCell ref="B50:E50"/>
    <mergeCell ref="F50:I50"/>
    <mergeCell ref="A18:A19"/>
    <mergeCell ref="B3:E3"/>
    <mergeCell ref="F3:I3"/>
    <mergeCell ref="J191:M191"/>
    <mergeCell ref="J18:M18"/>
    <mergeCell ref="J98:M98"/>
    <mergeCell ref="A144:A145"/>
    <mergeCell ref="B144:E144"/>
    <mergeCell ref="F144:I144"/>
    <mergeCell ref="J144:M144"/>
    <mergeCell ref="A129:A130"/>
    <mergeCell ref="B129:E129"/>
    <mergeCell ref="F129:I129"/>
    <mergeCell ref="J129:M129"/>
    <mergeCell ref="A175:A176"/>
    <mergeCell ref="B175:E175"/>
    <mergeCell ref="F175:I175"/>
    <mergeCell ref="F191:I191"/>
    <mergeCell ref="A35:A36"/>
    <mergeCell ref="B35:E35"/>
    <mergeCell ref="F223:I223"/>
    <mergeCell ref="A223:A224"/>
    <mergeCell ref="B223:E223"/>
    <mergeCell ref="F206:I206"/>
    <mergeCell ref="A302:A303"/>
    <mergeCell ref="A270:A271"/>
    <mergeCell ref="F238:I238"/>
    <mergeCell ref="B302:E302"/>
    <mergeCell ref="F287:I287"/>
    <mergeCell ref="F302:I302"/>
    <mergeCell ref="B255:E255"/>
    <mergeCell ref="F255:I255"/>
    <mergeCell ref="A287:A288"/>
    <mergeCell ref="A255:A256"/>
    <mergeCell ref="A238:A239"/>
    <mergeCell ref="B238:E238"/>
    <mergeCell ref="B270:E270"/>
    <mergeCell ref="F270:I270"/>
    <mergeCell ref="R302:U302"/>
    <mergeCell ref="J302:M302"/>
    <mergeCell ref="J287:M287"/>
    <mergeCell ref="R287:U287"/>
    <mergeCell ref="N287:Q287"/>
    <mergeCell ref="N302:Q302"/>
    <mergeCell ref="N255:Q255"/>
    <mergeCell ref="R255:U255"/>
    <mergeCell ref="B287:E287"/>
    <mergeCell ref="N223:Q223"/>
    <mergeCell ref="N238:Q238"/>
    <mergeCell ref="R238:U238"/>
    <mergeCell ref="R223:U223"/>
    <mergeCell ref="N270:Q270"/>
    <mergeCell ref="R270:U270"/>
    <mergeCell ref="J238:M238"/>
    <mergeCell ref="J255:M255"/>
    <mergeCell ref="J270:M270"/>
    <mergeCell ref="J223:M223"/>
  </mergeCells>
  <phoneticPr fontId="28" type="noConversion"/>
  <pageMargins left="0.17" right="0.17" top="0.984251969" bottom="0.984251969" header="0.4921259845" footer="0.4921259845"/>
  <pageSetup paperSize="9" scale="60" orientation="landscape" r:id="rId1"/>
  <headerFooter alignWithMargins="0"/>
</worksheet>
</file>

<file path=xl/worksheets/sheet4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700-000000000000}">
  <sheetPr codeName="Feuil24"/>
  <dimension ref="A2:P34"/>
  <sheetViews>
    <sheetView showGridLines="0" topLeftCell="A4" workbookViewId="0">
      <selection activeCell="R13" sqref="R13"/>
    </sheetView>
  </sheetViews>
  <sheetFormatPr baseColWidth="10" defaultColWidth="11.44140625" defaultRowHeight="13.8"/>
  <cols>
    <col min="1" max="7" width="11.44140625" style="77"/>
    <col min="8" max="16" width="11.44140625" style="77" customWidth="1"/>
    <col min="17" max="16384" width="11.44140625" style="77"/>
  </cols>
  <sheetData>
    <row r="2" spans="1:16" ht="25.8">
      <c r="A2" s="1445" t="s">
        <v>698</v>
      </c>
    </row>
    <row r="3" spans="1:16" ht="25.8">
      <c r="A3" s="1445"/>
    </row>
    <row r="4" spans="1:16" ht="25.8">
      <c r="C4" s="1448" t="s">
        <v>893</v>
      </c>
      <c r="D4" s="1448"/>
      <c r="E4" s="1448"/>
      <c r="F4" s="1448"/>
      <c r="G4" s="1448"/>
      <c r="H4" s="1448"/>
      <c r="I4" s="1448"/>
    </row>
    <row r="6" spans="1:16" ht="18">
      <c r="A6" s="1447" t="s">
        <v>696</v>
      </c>
      <c r="B6" s="117"/>
      <c r="C6" s="117"/>
      <c r="D6" s="117"/>
      <c r="E6" s="117"/>
      <c r="F6" s="117"/>
      <c r="G6" s="117"/>
      <c r="H6" s="117"/>
      <c r="I6" s="117"/>
      <c r="J6" s="117"/>
      <c r="K6" s="117"/>
      <c r="L6" s="117"/>
      <c r="M6" s="117"/>
      <c r="N6" s="117"/>
      <c r="O6" s="117"/>
      <c r="P6" s="117"/>
    </row>
    <row r="7" spans="1:16">
      <c r="A7" s="3431" t="s">
        <v>695</v>
      </c>
      <c r="B7" s="3432" t="s">
        <v>165</v>
      </c>
      <c r="C7" s="3432"/>
      <c r="D7" s="3432"/>
      <c r="E7" s="3431" t="s">
        <v>166</v>
      </c>
      <c r="F7" s="3431"/>
      <c r="G7" s="3431"/>
      <c r="H7" s="3433" t="s">
        <v>167</v>
      </c>
      <c r="I7" s="3433"/>
      <c r="J7" s="3433"/>
      <c r="K7" s="3434" t="s">
        <v>168</v>
      </c>
      <c r="L7" s="3434"/>
      <c r="M7" s="3434"/>
      <c r="N7" s="3431" t="s">
        <v>169</v>
      </c>
      <c r="O7" s="3431"/>
      <c r="P7" s="3431"/>
    </row>
    <row r="8" spans="1:16">
      <c r="A8" s="3431"/>
      <c r="B8" s="1438" t="s">
        <v>17</v>
      </c>
      <c r="C8" s="1438" t="s">
        <v>18</v>
      </c>
      <c r="D8" s="1438" t="s">
        <v>52</v>
      </c>
      <c r="E8" s="1438" t="s">
        <v>17</v>
      </c>
      <c r="F8" s="1438" t="s">
        <v>18</v>
      </c>
      <c r="G8" s="1438" t="s">
        <v>52</v>
      </c>
      <c r="H8" s="1438" t="s">
        <v>17</v>
      </c>
      <c r="I8" s="1438" t="s">
        <v>18</v>
      </c>
      <c r="J8" s="1438" t="s">
        <v>52</v>
      </c>
      <c r="K8" s="1438" t="s">
        <v>17</v>
      </c>
      <c r="L8" s="1438" t="s">
        <v>18</v>
      </c>
      <c r="M8" s="1438" t="s">
        <v>52</v>
      </c>
      <c r="N8" s="1438" t="s">
        <v>17</v>
      </c>
      <c r="O8" s="1438" t="s">
        <v>18</v>
      </c>
      <c r="P8" s="1438" t="s">
        <v>52</v>
      </c>
    </row>
    <row r="9" spans="1:16">
      <c r="A9" s="1439" t="s">
        <v>68</v>
      </c>
      <c r="B9" s="1440">
        <f>+(élec!B209+élec!F209+élec!J209)*1000000/élec!B20</f>
        <v>706.74642797650722</v>
      </c>
      <c r="C9" s="1441">
        <f>+(élec!C209+élec!G209+élec!K209)*1000000/élec!C20</f>
        <v>4008.1664109645085</v>
      </c>
      <c r="D9" s="1440">
        <f>+(élec!D209+élec!H209+élec!L209)*1000000/élec!D20</f>
        <v>791.24929641992276</v>
      </c>
      <c r="E9" s="1440">
        <f>+(élec!N209+élec!R209+élec!V209)*1000000/élec!V5</f>
        <v>739.44303407869893</v>
      </c>
      <c r="F9" s="1441">
        <f>+(élec!O209+élec!S209+élec!W209)*1000000/élec!W5</f>
        <v>4931.3170967741935</v>
      </c>
      <c r="G9" s="1440">
        <f>+(élec!P209+élec!T209+élec!X209)*1000000/élec!X5</f>
        <v>843.90487763704039</v>
      </c>
      <c r="H9" s="1440" t="e">
        <f>+(élec!Z209+élec!AD209+élec!AH209)*1000000/élec!AH20</f>
        <v>#DIV/0!</v>
      </c>
      <c r="I9" s="1441" t="e">
        <f>+(élec!AA209+élec!AE209+élec!AI209)*1000000/élec!AI20</f>
        <v>#DIV/0!</v>
      </c>
      <c r="J9" s="1440" t="e">
        <f>+(élec!AB209+élec!AF209+élec!AJ209)*1000000/élec!AJ20</f>
        <v>#DIV/0!</v>
      </c>
      <c r="K9" s="1440" t="e">
        <f>+(élec!AL209+élec!AP209+élec!AT209)*1000000/élec!AT20</f>
        <v>#DIV/0!</v>
      </c>
      <c r="L9" s="1441" t="e">
        <f>+(élec!AM209+élec!AQ209+élec!AU209)*1000000/élec!AU20</f>
        <v>#DIV/0!</v>
      </c>
      <c r="M9" s="1440" t="e">
        <f>+(élec!AN209+élec!AR209+élec!AV209)*1000000/élec!AV20</f>
        <v>#DIV/0!</v>
      </c>
      <c r="N9" s="1446" t="e">
        <f>+(élec!AX209*1000000)/élec!BI20</f>
        <v>#DIV/0!</v>
      </c>
      <c r="O9" s="1446" t="e">
        <f>+(élec!AY209*1000000)/élec!BJ20</f>
        <v>#DIV/0!</v>
      </c>
      <c r="P9" s="1446">
        <f>+(élec!AZ209*1000000)/élec!AY20</f>
        <v>2497.0189570080324</v>
      </c>
    </row>
    <row r="10" spans="1:16">
      <c r="A10" s="1439" t="s">
        <v>7</v>
      </c>
      <c r="B10" s="1440">
        <f>+(élec!B210+élec!F210+élec!J210)*1000000/élec!B21</f>
        <v>468.82325991116045</v>
      </c>
      <c r="C10" s="1441">
        <f>+(élec!C210+élec!G210+élec!K210)*1000000/élec!C21</f>
        <v>3618.2961663417805</v>
      </c>
      <c r="D10" s="1440">
        <f>+(élec!D210+élec!H210+élec!L210)*1000000/élec!D21</f>
        <v>570.94831212150052</v>
      </c>
      <c r="E10" s="1440">
        <f>+(élec!N210+élec!R210+élec!V210)*1000000/élec!V6</f>
        <v>513.10333649906147</v>
      </c>
      <c r="F10" s="1441">
        <f>+(élec!O210+élec!S210+élec!W210)*1000000/élec!W6</f>
        <v>3118.7416142557654</v>
      </c>
      <c r="G10" s="1440">
        <f>+(élec!P210+élec!T210+élec!X210)*1000000/élec!X6</f>
        <v>598.85348563445154</v>
      </c>
      <c r="H10" s="1440" t="e">
        <f>+(élec!Z210+élec!AD210+élec!AH210)*1000000/élec!AH21</f>
        <v>#DIV/0!</v>
      </c>
      <c r="I10" s="1441" t="e">
        <f>+(élec!AA210+élec!AE210+élec!AI210)*1000000/élec!AI21</f>
        <v>#DIV/0!</v>
      </c>
      <c r="J10" s="1440" t="e">
        <f>+(élec!AB210+élec!AF210+élec!AJ210)*1000000/élec!AJ21</f>
        <v>#DIV/0!</v>
      </c>
      <c r="K10" s="1440" t="e">
        <f>+(élec!AL210+élec!AP210+élec!AT210)*1000000/élec!AT21</f>
        <v>#DIV/0!</v>
      </c>
      <c r="L10" s="1441" t="e">
        <f>+(élec!AM210+élec!AQ210+élec!AU210)*1000000/élec!AU21</f>
        <v>#DIV/0!</v>
      </c>
      <c r="M10" s="1440" t="e">
        <f>+(élec!AN210+élec!AR210+élec!AV210)*1000000/élec!AV21</f>
        <v>#DIV/0!</v>
      </c>
      <c r="N10" s="1446" t="e">
        <f>+(élec!AX210*1000000)/élec!BI21</f>
        <v>#DIV/0!</v>
      </c>
      <c r="O10" s="1446" t="e">
        <f>+(élec!AY210*1000000)/élec!BJ21</f>
        <v>#DIV/0!</v>
      </c>
      <c r="P10" s="1446">
        <f>+(élec!AZ210*1000000)/élec!AY21</f>
        <v>1791.6308901752727</v>
      </c>
    </row>
    <row r="11" spans="1:16">
      <c r="A11" s="1439" t="s">
        <v>8</v>
      </c>
      <c r="B11" s="1440">
        <f>+(élec!B211+élec!F211+élec!J211)*1000000/élec!B22</f>
        <v>490.87666447618727</v>
      </c>
      <c r="C11" s="1441">
        <f>+(élec!C211+élec!G211+élec!K211)*1000000/élec!C22</f>
        <v>2776.0417000801926</v>
      </c>
      <c r="D11" s="1440">
        <f>+(élec!D211+élec!H211+élec!L211)*1000000/élec!D22</f>
        <v>596.62327081108492</v>
      </c>
      <c r="E11" s="1440">
        <f>+(élec!N211+élec!R211+élec!V211)*1000000/élec!V7</f>
        <v>556.43400925888773</v>
      </c>
      <c r="F11" s="1441">
        <f>+(élec!O211+élec!S211+élec!W211)*1000000/élec!W7</f>
        <v>2815.9525330899132</v>
      </c>
      <c r="G11" s="1440">
        <f>+(élec!P211+élec!T211+élec!X211)*1000000/élec!X7</f>
        <v>661.59240912875737</v>
      </c>
      <c r="H11" s="1440" t="e">
        <f>+(élec!Z211+élec!AD211+élec!AH211)*1000000/élec!AH22</f>
        <v>#DIV/0!</v>
      </c>
      <c r="I11" s="1441" t="e">
        <f>+(élec!AA211+élec!AE211+élec!AI211)*1000000/élec!AI22</f>
        <v>#DIV/0!</v>
      </c>
      <c r="J11" s="1440" t="e">
        <f>+(élec!AB211+élec!AF211+élec!AJ211)*1000000/élec!AJ22</f>
        <v>#DIV/0!</v>
      </c>
      <c r="K11" s="1440" t="e">
        <f>+(élec!AL211+élec!AP211+élec!AT211)*1000000/élec!AT22</f>
        <v>#DIV/0!</v>
      </c>
      <c r="L11" s="1441" t="e">
        <f>+(élec!AM211+élec!AQ211+élec!AU211)*1000000/élec!AU22</f>
        <v>#DIV/0!</v>
      </c>
      <c r="M11" s="1440" t="e">
        <f>+(élec!AN211+élec!AR211+élec!AV211)*1000000/élec!AV22</f>
        <v>#DIV/0!</v>
      </c>
      <c r="N11" s="1446" t="e">
        <f>+(élec!AX211*1000000)/élec!BI22</f>
        <v>#DIV/0!</v>
      </c>
      <c r="O11" s="1446" t="e">
        <f>+(élec!AY211*1000000)/élec!BJ22</f>
        <v>#DIV/0!</v>
      </c>
      <c r="P11" s="1446">
        <f>+(élec!AZ211*1000000)/élec!AY22</f>
        <v>1832.5904518171515</v>
      </c>
    </row>
    <row r="12" spans="1:16">
      <c r="A12" s="1439" t="s">
        <v>4</v>
      </c>
      <c r="B12" s="1440">
        <f>+(élec!B212+élec!F212+élec!J212)*1000000/élec!B23</f>
        <v>470.43562476097765</v>
      </c>
      <c r="C12" s="1441">
        <f>+(élec!C212+élec!G212+élec!K212)*1000000/élec!C23</f>
        <v>2652.5247557819152</v>
      </c>
      <c r="D12" s="1440">
        <f>+(élec!D212+élec!H212+élec!L212)*1000000/élec!D23</f>
        <v>525.78444253841178</v>
      </c>
      <c r="E12" s="1440">
        <f>+(élec!N212+élec!R212+élec!V212)*1000000/élec!V8</f>
        <v>468.36361178277531</v>
      </c>
      <c r="F12" s="1441">
        <f>+(élec!O212+élec!S212+élec!W212)*1000000/élec!W8</f>
        <v>2426.3102375809935</v>
      </c>
      <c r="G12" s="1440">
        <f>+(élec!P212+élec!T212+élec!X212)*1000000/élec!X8</f>
        <v>517.33597031825343</v>
      </c>
      <c r="H12" s="1440" t="e">
        <f>+(élec!Z212+élec!AD212+élec!AH212)*1000000/élec!AH23</f>
        <v>#DIV/0!</v>
      </c>
      <c r="I12" s="1441" t="e">
        <f>+(élec!AA212+élec!AE212+élec!AI212)*1000000/élec!AI23</f>
        <v>#DIV/0!</v>
      </c>
      <c r="J12" s="1440" t="e">
        <f>+(élec!AB212+élec!AF212+élec!AJ212)*1000000/élec!AJ23</f>
        <v>#DIV/0!</v>
      </c>
      <c r="K12" s="1440" t="e">
        <f>+(élec!AL212+élec!AP212+élec!AT212)*1000000/élec!AT23</f>
        <v>#DIV/0!</v>
      </c>
      <c r="L12" s="1441" t="e">
        <f>+(élec!AM212+élec!AQ212+élec!AU212)*1000000/élec!AU23</f>
        <v>#DIV/0!</v>
      </c>
      <c r="M12" s="1440" t="e">
        <f>+(élec!AN212+élec!AR212+élec!AV212)*1000000/élec!AV23</f>
        <v>#DIV/0!</v>
      </c>
      <c r="N12" s="1446" t="e">
        <f>+(élec!AX212*1000000)/élec!BI23</f>
        <v>#DIV/0!</v>
      </c>
      <c r="O12" s="1446" t="e">
        <f>+(élec!AY212*1000000)/élec!BJ23</f>
        <v>#DIV/0!</v>
      </c>
      <c r="P12" s="1446">
        <f>+(élec!AZ212*1000000)/élec!AY23</f>
        <v>1551.521532397958</v>
      </c>
    </row>
    <row r="13" spans="1:16">
      <c r="A13" s="1439" t="s">
        <v>3</v>
      </c>
      <c r="B13" s="1440">
        <f>+(élec!B213+élec!F213+élec!J213)*1000000/élec!B24</f>
        <v>718.35479416217424</v>
      </c>
      <c r="C13" s="1441">
        <f>+(élec!C213+élec!G213+élec!K213)*1000000/élec!C24</f>
        <v>5491.3707798028081</v>
      </c>
      <c r="D13" s="1440">
        <f>+(élec!D213+élec!H213+élec!L213)*1000000/élec!D24</f>
        <v>851.55820197362652</v>
      </c>
      <c r="E13" s="1440">
        <f>+(élec!N213+élec!R213+élec!V213)*1000000/élec!V9</f>
        <v>922.93767373365051</v>
      </c>
      <c r="F13" s="1441">
        <f>+(élec!O213+élec!S213+élec!W213)*1000000/élec!W9</f>
        <v>6042.7498120583386</v>
      </c>
      <c r="G13" s="1440">
        <f>+(élec!P213+élec!T213+élec!X213)*1000000/élec!X9</f>
        <v>1067.1220100859978</v>
      </c>
      <c r="H13" s="1440" t="e">
        <f>+(élec!Z213+élec!AD213+élec!AH213)*1000000/élec!AH24</f>
        <v>#DIV/0!</v>
      </c>
      <c r="I13" s="1441" t="e">
        <f>+(élec!AA213+élec!AE213+élec!AI213)*1000000/élec!AI24</f>
        <v>#DIV/0!</v>
      </c>
      <c r="J13" s="1440" t="e">
        <f>+(élec!AB213+élec!AF213+élec!AJ213)*1000000/élec!AJ24</f>
        <v>#DIV/0!</v>
      </c>
      <c r="K13" s="1440" t="e">
        <f>+(élec!AL213+élec!AP213+élec!AT213)*1000000/élec!AT24</f>
        <v>#DIV/0!</v>
      </c>
      <c r="L13" s="1441" t="e">
        <f>+(élec!AM213+élec!AQ213+élec!AU213)*1000000/élec!AU24</f>
        <v>#DIV/0!</v>
      </c>
      <c r="M13" s="1440" t="e">
        <f>+(élec!AN213+élec!AR213+élec!AV213)*1000000/élec!AV24</f>
        <v>#DIV/0!</v>
      </c>
      <c r="N13" s="1446" t="e">
        <f>+(élec!AX213*1000000)/élec!BI24</f>
        <v>#DIV/0!</v>
      </c>
      <c r="O13" s="1446" t="e">
        <f>+(élec!AY213*1000000)/élec!BJ24</f>
        <v>#DIV/0!</v>
      </c>
      <c r="P13" s="1446">
        <f>+(élec!AZ213*1000000)/élec!AY24</f>
        <v>2667.2109962406012</v>
      </c>
    </row>
    <row r="14" spans="1:16">
      <c r="A14" s="1439" t="s">
        <v>397</v>
      </c>
      <c r="B14" s="1440" t="e">
        <f>+(élec!#REF!+élec!#REF!+élec!#REF!)*1000000/élec!#REF!</f>
        <v>#REF!</v>
      </c>
      <c r="C14" s="1441" t="e">
        <f>+(élec!#REF!+élec!#REF!+élec!#REF!)*1000000/élec!#REF!</f>
        <v>#REF!</v>
      </c>
      <c r="D14" s="1440" t="e">
        <f>+(élec!#REF!+élec!#REF!+élec!#REF!)*1000000/élec!#REF!</f>
        <v>#REF!</v>
      </c>
      <c r="E14" s="1440" t="e">
        <f>+(élec!#REF!+élec!#REF!+élec!#REF!)*1000000/élec!#REF!</f>
        <v>#REF!</v>
      </c>
      <c r="F14" s="1441" t="e">
        <f>+(élec!#REF!+élec!#REF!+élec!#REF!)*1000000/élec!#REF!</f>
        <v>#REF!</v>
      </c>
      <c r="G14" s="1440" t="e">
        <f>+(élec!#REF!+élec!#REF!+élec!#REF!)*1000000/élec!#REF!</f>
        <v>#REF!</v>
      </c>
      <c r="H14" s="1440" t="e">
        <f>+(élec!#REF!+élec!#REF!+élec!#REF!)*1000000/élec!#REF!</f>
        <v>#REF!</v>
      </c>
      <c r="I14" s="1441" t="e">
        <f>+(élec!#REF!+élec!#REF!+élec!#REF!)*1000000/élec!#REF!</f>
        <v>#REF!</v>
      </c>
      <c r="J14" s="1440" t="e">
        <f>+(élec!#REF!+élec!#REF!+élec!#REF!)*1000000/élec!#REF!</f>
        <v>#REF!</v>
      </c>
      <c r="K14" s="1440" t="e">
        <f>+(élec!AL214+élec!AP214+élec!AT214)*1000000/élec!AT25</f>
        <v>#DIV/0!</v>
      </c>
      <c r="L14" s="1441" t="e">
        <f>+(élec!AM214+élec!AQ214+élec!AU214)*1000000/élec!AU25</f>
        <v>#DIV/0!</v>
      </c>
      <c r="M14" s="1440" t="e">
        <f>+(élec!AN214+élec!AR214+élec!AV214)*1000000/élec!AV25</f>
        <v>#DIV/0!</v>
      </c>
      <c r="N14" s="1446" t="e">
        <f>+(élec!#REF!*1000000)/élec!#REF!</f>
        <v>#REF!</v>
      </c>
      <c r="O14" s="1446" t="e">
        <f>+(élec!#REF!*1000000)/élec!#REF!</f>
        <v>#REF!</v>
      </c>
      <c r="P14" s="1446" t="e">
        <f>+(élec!#REF!*1000000)/élec!#REF!</f>
        <v>#REF!</v>
      </c>
    </row>
    <row r="15" spans="1:16">
      <c r="A15" s="1439" t="s">
        <v>399</v>
      </c>
      <c r="B15" s="1440">
        <f>+(élec!B214+élec!F214+élec!J214)*1000000/élec!B25</f>
        <v>579.24654444737541</v>
      </c>
      <c r="C15" s="1441">
        <f>+(élec!C214+élec!G214+élec!K214)*1000000/élec!C25</f>
        <v>3723.7769942706036</v>
      </c>
      <c r="D15" s="1440">
        <f>+(élec!D214+élec!H214+élec!L214)*1000000/élec!D25</f>
        <v>670.61587419482896</v>
      </c>
      <c r="E15" s="1440">
        <f>+(élec!N214+élec!R214+élec!V214)*1000000/élec!V10</f>
        <v>596.17210985005693</v>
      </c>
      <c r="F15" s="1441">
        <f>+(élec!O214+élec!S214+élec!W214)*1000000/élec!W10</f>
        <v>4381.5064231543101</v>
      </c>
      <c r="G15" s="1440">
        <f>+(élec!P214+élec!T214+élec!X214)*1000000/élec!X10</f>
        <v>703.37167590786567</v>
      </c>
      <c r="H15" s="1440" t="e">
        <f>+(élec!Z214+élec!AD214+élec!AH214)*1000000/élec!AH25</f>
        <v>#DIV/0!</v>
      </c>
      <c r="I15" s="1441" t="e">
        <f>+(élec!AA214+élec!AE214+élec!AI214)*1000000/élec!AI25</f>
        <v>#DIV/0!</v>
      </c>
      <c r="J15" s="1440" t="e">
        <f>+(élec!AB214+élec!AF214+élec!AJ214)*1000000/élec!AJ25</f>
        <v>#DIV/0!</v>
      </c>
      <c r="K15" s="1440" t="e">
        <f>+(élec!AL215+élec!AP215+élec!AT215)*1000000/élec!AT26</f>
        <v>#DIV/0!</v>
      </c>
      <c r="L15" s="1441" t="e">
        <f>+(élec!AM215+élec!AQ215+élec!AU215)*1000000/élec!AU26</f>
        <v>#DIV/0!</v>
      </c>
      <c r="M15" s="1440" t="e">
        <f>+(élec!AN215+élec!AR215+élec!AV215)*1000000/élec!AV26</f>
        <v>#DIV/0!</v>
      </c>
      <c r="N15" s="1446" t="e">
        <f>+(élec!AX214*1000000)/élec!BI25</f>
        <v>#DIV/0!</v>
      </c>
      <c r="O15" s="1446" t="e">
        <f>+(élec!AY214*1000000)/élec!BJ25</f>
        <v>#DIV/0!</v>
      </c>
      <c r="P15" s="1446">
        <f>+(élec!AZ214*1000000)/élec!AY25</f>
        <v>2025.4454394762797</v>
      </c>
    </row>
    <row r="16" spans="1:16">
      <c r="A16" s="1439" t="s">
        <v>883</v>
      </c>
      <c r="B16" s="1440">
        <f>+(élec!B215+élec!F215+élec!J215)*1000000/élec!B26</f>
        <v>646.70656402148268</v>
      </c>
      <c r="C16" s="1441">
        <f>+(élec!C215+élec!G215+élec!K215)*1000000/élec!C26</f>
        <v>3500.1441080810609</v>
      </c>
      <c r="D16" s="1440">
        <f>+(élec!D215+élec!H215+élec!L215)*1000000/élec!D26</f>
        <v>716.51388472343774</v>
      </c>
      <c r="E16" s="1440">
        <f>+(élec!N215+élec!R215+élec!V215)*1000000/élec!V11</f>
        <v>623.71221858205706</v>
      </c>
      <c r="F16" s="1441">
        <f>+(élec!O215+élec!S215+élec!W215)*1000000/élec!W11</f>
        <v>4791.5367609254499</v>
      </c>
      <c r="G16" s="1440">
        <f>+(élec!P215+élec!T215+élec!X215)*1000000/élec!X11</f>
        <v>725.80977975094072</v>
      </c>
      <c r="H16" s="1440" t="e">
        <f>+(élec!Z215+élec!AD215+élec!AH215)*1000000/élec!AH26</f>
        <v>#DIV/0!</v>
      </c>
      <c r="I16" s="1441" t="e">
        <f>+(élec!AA215+élec!AE215+élec!AI215)*1000000/élec!AI26</f>
        <v>#DIV/0!</v>
      </c>
      <c r="J16" s="1440" t="e">
        <f>+(élec!AB215+élec!AF215+élec!AJ215)*1000000/élec!AJ26</f>
        <v>#DIV/0!</v>
      </c>
      <c r="K16" s="1440" t="e">
        <f>+(élec!AL216+élec!AP216+élec!AT216)*1000000/élec!AT27</f>
        <v>#DIV/0!</v>
      </c>
      <c r="L16" s="1441" t="e">
        <f>+(élec!AM216+élec!AQ216+élec!AU216)*1000000/élec!AU27</f>
        <v>#DIV/0!</v>
      </c>
      <c r="M16" s="1440" t="e">
        <f>+(élec!AN216+élec!AR216+élec!AV216)*1000000/élec!AV27</f>
        <v>#DIV/0!</v>
      </c>
      <c r="N16" s="1446" t="e">
        <f>+(élec!AX215*1000000)/élec!BI26</f>
        <v>#DIV/0!</v>
      </c>
      <c r="O16" s="1446" t="e">
        <f>+(élec!AY215*1000000)/élec!BJ26</f>
        <v>#DIV/0!</v>
      </c>
      <c r="P16" s="1446">
        <f>+(élec!AZ215*1000000)/élec!AY26</f>
        <v>2081.9915407156764</v>
      </c>
    </row>
    <row r="17" spans="1:16">
      <c r="A17" s="1439" t="s">
        <v>884</v>
      </c>
      <c r="B17" s="1440">
        <f>+(élec!B216+élec!F216+élec!J216)*1000000/élec!B27</f>
        <v>500.89398988409408</v>
      </c>
      <c r="C17" s="1441">
        <f>+(élec!C216+élec!G216+élec!K216)*1000000/élec!C27</f>
        <v>3605.3563074352555</v>
      </c>
      <c r="D17" s="1440">
        <f>+(élec!D216+élec!H216+élec!L216)*1000000/élec!D27</f>
        <v>596.03520390528661</v>
      </c>
      <c r="E17" s="1440">
        <f>+(élec!N216+élec!R216+élec!V216)*1000000/élec!V12</f>
        <v>561.74654822999457</v>
      </c>
      <c r="F17" s="1441">
        <f>+(élec!O216+élec!S216+élec!W216)*1000000/élec!W12</f>
        <v>3596.5991729644938</v>
      </c>
      <c r="G17" s="1440">
        <f>+(élec!P216+élec!T216+élec!X216)*1000000/élec!X12</f>
        <v>654.86372863855513</v>
      </c>
      <c r="H17" s="1440" t="e">
        <f>+(élec!Z216+élec!AD216+élec!AH216)*1000000/élec!AH27</f>
        <v>#DIV/0!</v>
      </c>
      <c r="I17" s="1441" t="e">
        <f>+(élec!AA216+élec!AE216+élec!AI216)*1000000/élec!AI27</f>
        <v>#DIV/0!</v>
      </c>
      <c r="J17" s="1440" t="e">
        <f>+(élec!AB216+élec!AF216+élec!AJ216)*1000000/élec!AJ27</f>
        <v>#DIV/0!</v>
      </c>
      <c r="K17" s="1440" t="e">
        <f>+(élec!AL217+élec!AP217+élec!AT217)*1000000/élec!AT28</f>
        <v>#DIV/0!</v>
      </c>
      <c r="L17" s="1441" t="e">
        <f>+(élec!AM217+élec!AQ217+élec!AU217)*1000000/élec!AU28</f>
        <v>#DIV/0!</v>
      </c>
      <c r="M17" s="1440" t="e">
        <f>+(élec!AN217+élec!AR217+élec!AV217)*1000000/élec!AV28</f>
        <v>#DIV/0!</v>
      </c>
      <c r="N17" s="1446" t="e">
        <f>+(élec!AX216*1000000)/élec!BI27</f>
        <v>#DIV/0!</v>
      </c>
      <c r="O17" s="1446" t="e">
        <f>+(élec!AY216*1000000)/élec!BJ27</f>
        <v>#DIV/0!</v>
      </c>
      <c r="P17" s="1446">
        <f>+(élec!AZ216*1000000)/élec!AY27</f>
        <v>2078.5674266365691</v>
      </c>
    </row>
    <row r="18" spans="1:16">
      <c r="A18" s="1439" t="s">
        <v>885</v>
      </c>
      <c r="B18" s="1440">
        <f>+(élec!B217+élec!F217+élec!J217)*1000000/élec!B28</f>
        <v>545.47534218834551</v>
      </c>
      <c r="C18" s="1441">
        <f>+(élec!C217+élec!G217+élec!K217)*1000000/élec!C28</f>
        <v>3950.1010016694486</v>
      </c>
      <c r="D18" s="1440">
        <f>+(élec!D217+élec!H217+élec!L217)*1000000/élec!D28</f>
        <v>637.69226992755375</v>
      </c>
      <c r="E18" s="1440">
        <f>+(élec!N217+élec!R217+élec!V217)*1000000/élec!V13</f>
        <v>577.29255617313561</v>
      </c>
      <c r="F18" s="1441">
        <f>+(élec!O217+élec!S217+élec!W217)*1000000/élec!W13</f>
        <v>4340.813492063492</v>
      </c>
      <c r="G18" s="1440">
        <f>+(élec!P217+élec!T217+élec!X217)*1000000/élec!X13</f>
        <v>680.09114020508844</v>
      </c>
      <c r="H18" s="1440" t="e">
        <f>+(élec!Z217+élec!AD217+élec!AH217)*1000000/élec!AH28</f>
        <v>#DIV/0!</v>
      </c>
      <c r="I18" s="1441" t="e">
        <f>+(élec!AA217+élec!AE217+élec!AI217)*1000000/élec!AI28</f>
        <v>#DIV/0!</v>
      </c>
      <c r="J18" s="1440" t="e">
        <f>+(élec!AB217+élec!AF217+élec!AJ217)*1000000/élec!AJ28</f>
        <v>#DIV/0!</v>
      </c>
      <c r="K18" s="1440" t="e">
        <f>+(élec!AL218+élec!AP218+élec!AT218)*1000000/élec!AT29</f>
        <v>#DIV/0!</v>
      </c>
      <c r="L18" s="1441" t="e">
        <f>+(élec!AM218+élec!AQ218+élec!AU218)*1000000/élec!AU29</f>
        <v>#DIV/0!</v>
      </c>
      <c r="M18" s="1440" t="e">
        <f>+(élec!AN218+élec!AR218+élec!AV218)*1000000/élec!AV29</f>
        <v>#DIV/0!</v>
      </c>
      <c r="N18" s="1446" t="e">
        <f>+(élec!AX217*1000000)/élec!BI28</f>
        <v>#DIV/0!</v>
      </c>
      <c r="O18" s="1446" t="e">
        <f>+(élec!AY217*1000000)/élec!BJ28</f>
        <v>#DIV/0!</v>
      </c>
      <c r="P18" s="1446">
        <f>+(élec!AZ217*1000000)/élec!AY28</f>
        <v>2157.0978052108867</v>
      </c>
    </row>
    <row r="19" spans="1:16">
      <c r="A19" s="1442" t="s">
        <v>614</v>
      </c>
      <c r="B19" s="1443">
        <f>+(élec!B219+élec!F219+élec!J219)*1000000/élec!B30</f>
        <v>564.32685515832088</v>
      </c>
      <c r="C19" s="1444">
        <f>+(élec!C219+élec!G219+élec!K219)*1000000/élec!C30</f>
        <v>3590.6445340932924</v>
      </c>
      <c r="D19" s="1443">
        <f>+(élec!D219+élec!H219+élec!L219)*1000000/élec!D30</f>
        <v>652.92768050842244</v>
      </c>
      <c r="E19" s="1443">
        <f>+(élec!N219+élec!R219+élec!V219)*1000000/élec!V15</f>
        <v>604.23552730823656</v>
      </c>
      <c r="F19" s="1444">
        <f>+(élec!O219+élec!S219+élec!W219)*1000000/élec!W15</f>
        <v>3872.0347053462942</v>
      </c>
      <c r="G19" s="1443">
        <f>+(élec!P219+élec!T219+élec!X219)*1000000/élec!X15</f>
        <v>699.62013152304417</v>
      </c>
      <c r="H19" s="1443" t="e">
        <f>+(élec!Z219+élec!AD219+élec!AH219)*1000000/élec!AH30</f>
        <v>#DIV/0!</v>
      </c>
      <c r="I19" s="1444" t="e">
        <f>+(élec!AA219+élec!AE219+élec!AI219)*1000000/élec!AI30</f>
        <v>#DIV/0!</v>
      </c>
      <c r="J19" s="1443" t="e">
        <f>+(élec!AB219+élec!AF219+élec!AJ219)*1000000/élec!AJ30</f>
        <v>#DIV/0!</v>
      </c>
      <c r="K19" s="1443" t="e">
        <f>+(élec!AL219+élec!AP219+élec!AT219)*1000000/élec!AT30</f>
        <v>#DIV/0!</v>
      </c>
      <c r="L19" s="1444" t="e">
        <f>+(élec!AM219+élec!AQ219+élec!AU219)*1000000/élec!AU30</f>
        <v>#DIV/0!</v>
      </c>
      <c r="M19" s="1443" t="e">
        <f>+(élec!AN219+élec!AR219+élec!AV219)*1000000/élec!AV30</f>
        <v>#DIV/0!</v>
      </c>
      <c r="N19" s="1443" t="e">
        <f>+(élec!AX219*1000000)/élec!BI30</f>
        <v>#DIV/0!</v>
      </c>
      <c r="O19" s="1444" t="e">
        <f>+(élec!AY219*1000000)/élec!BJ30</f>
        <v>#DIV/0!</v>
      </c>
      <c r="P19" s="1443">
        <f>+(élec!AZ219*1000000)/élec!AY30</f>
        <v>2035.387288075734</v>
      </c>
    </row>
    <row r="20" spans="1:16">
      <c r="A20" s="117"/>
      <c r="B20" s="117"/>
      <c r="C20" s="117"/>
      <c r="D20" s="117"/>
      <c r="E20" s="117"/>
      <c r="F20" s="117"/>
      <c r="G20" s="117"/>
      <c r="H20" s="117"/>
      <c r="I20" s="117"/>
      <c r="J20" s="117"/>
      <c r="K20" s="117"/>
      <c r="L20" s="117"/>
      <c r="M20" s="117"/>
      <c r="N20" s="445"/>
      <c r="O20" s="117"/>
      <c r="P20" s="117"/>
    </row>
    <row r="21" spans="1:16" ht="18">
      <c r="A21" s="1447" t="s">
        <v>697</v>
      </c>
      <c r="B21" s="117"/>
      <c r="C21" s="117"/>
      <c r="D21" s="117"/>
      <c r="E21" s="117"/>
      <c r="F21" s="117"/>
      <c r="G21" s="117"/>
      <c r="H21" s="117"/>
      <c r="I21" s="117"/>
      <c r="J21" s="117"/>
      <c r="K21" s="117"/>
      <c r="L21" s="117"/>
      <c r="M21" s="117"/>
      <c r="N21" s="117"/>
      <c r="O21" s="117"/>
      <c r="P21" s="117"/>
    </row>
    <row r="22" spans="1:16">
      <c r="A22" s="3431" t="s">
        <v>695</v>
      </c>
      <c r="B22" s="3432" t="s">
        <v>165</v>
      </c>
      <c r="C22" s="3432"/>
      <c r="D22" s="3432"/>
      <c r="E22" s="3431" t="s">
        <v>166</v>
      </c>
      <c r="F22" s="3431"/>
      <c r="G22" s="3431"/>
      <c r="H22" s="3433" t="s">
        <v>167</v>
      </c>
      <c r="I22" s="3433"/>
      <c r="J22" s="3433"/>
      <c r="K22" s="3434" t="s">
        <v>168</v>
      </c>
      <c r="L22" s="3434"/>
      <c r="M22" s="3434"/>
      <c r="N22" s="3431" t="s">
        <v>169</v>
      </c>
      <c r="O22" s="3431"/>
      <c r="P22" s="3431"/>
    </row>
    <row r="23" spans="1:16">
      <c r="A23" s="3431"/>
      <c r="B23" s="1438" t="s">
        <v>17</v>
      </c>
      <c r="C23" s="1438" t="s">
        <v>18</v>
      </c>
      <c r="D23" s="1438" t="s">
        <v>52</v>
      </c>
      <c r="E23" s="1438" t="s">
        <v>17</v>
      </c>
      <c r="F23" s="1438" t="s">
        <v>18</v>
      </c>
      <c r="G23" s="1438" t="s">
        <v>52</v>
      </c>
      <c r="H23" s="1438" t="s">
        <v>17</v>
      </c>
      <c r="I23" s="1438" t="s">
        <v>18</v>
      </c>
      <c r="J23" s="1438" t="s">
        <v>52</v>
      </c>
      <c r="K23" s="1438" t="s">
        <v>17</v>
      </c>
      <c r="L23" s="1438" t="s">
        <v>18</v>
      </c>
      <c r="M23" s="1438" t="s">
        <v>52</v>
      </c>
      <c r="N23" s="1438" t="s">
        <v>17</v>
      </c>
      <c r="O23" s="1438" t="s">
        <v>18</v>
      </c>
      <c r="P23" s="1438" t="s">
        <v>52</v>
      </c>
    </row>
    <row r="24" spans="1:16">
      <c r="A24" s="1439" t="s">
        <v>68</v>
      </c>
      <c r="B24" s="1441">
        <f>+(gaz!B211+gaz!F211+gaz!J211)*1000000/gaz!B20</f>
        <v>5717.3270351085266</v>
      </c>
      <c r="C24" s="1441">
        <f>+(gaz!C211+gaz!G211+gaz!K211)*1000000/gaz!C20</f>
        <v>20388.439779107226</v>
      </c>
      <c r="D24" s="1441">
        <f>+(gaz!D211+gaz!H211+gaz!L211)*1000000/gaz!D20</f>
        <v>5849.2498188356349</v>
      </c>
      <c r="E24" s="1441">
        <f>+(gaz!N211+gaz!R211+gaz!V211)*1000000/gaz!V20</f>
        <v>3257.027334175873</v>
      </c>
      <c r="F24" s="1441">
        <f>+(gaz!O211+gaz!S211+gaz!W211)*1000000/gaz!W20</f>
        <v>8974.9595491803284</v>
      </c>
      <c r="G24" s="1441">
        <f>+(gaz!P211+gaz!T211+gaz!X211)*1000000/gaz!X20</f>
        <v>3307.4413927064393</v>
      </c>
      <c r="H24" s="1441" t="e">
        <f>+(gaz!Z211+gaz!AD211+gaz!AH211)*1000000/gaz!AH20</f>
        <v>#DIV/0!</v>
      </c>
      <c r="I24" s="1441" t="e">
        <f>+(gaz!AA211+gaz!AE211+gaz!AI211)*1000000/gaz!AI20</f>
        <v>#DIV/0!</v>
      </c>
      <c r="J24" s="1441" t="e">
        <f>+(gaz!AB211+gaz!AF211+gaz!AJ211)*1000000/gaz!AJ20</f>
        <v>#DIV/0!</v>
      </c>
      <c r="K24" s="1441" t="e">
        <f>+(gaz!AL211+gaz!AP211+gaz!AT211)*1000000/gaz!AT20</f>
        <v>#DIV/0!</v>
      </c>
      <c r="L24" s="1441" t="e">
        <f>+(gaz!AM211+gaz!AQ211+gaz!AU211)*1000000/gaz!AU20</f>
        <v>#DIV/0!</v>
      </c>
      <c r="M24" s="1441" t="e">
        <f>+(gaz!AN211+gaz!AR211+gaz!AV211)*1000000/gaz!AV20</f>
        <v>#DIV/0!</v>
      </c>
      <c r="N24" s="1446" t="e">
        <f>+(gaz!AX211*1000000)/gaz!BH20</f>
        <v>#DIV/0!</v>
      </c>
      <c r="O24" s="1446" t="e">
        <f>+(gaz!AY211*1000000)/gaz!BI20</f>
        <v>#DIV/0!</v>
      </c>
      <c r="P24" s="1446">
        <f>+(gaz!AZ211*1000000)/gaz!AY20</f>
        <v>9836.1127437796131</v>
      </c>
    </row>
    <row r="25" spans="1:16">
      <c r="A25" s="1439" t="s">
        <v>7</v>
      </c>
      <c r="B25" s="1441">
        <f>+(gaz!B212+gaz!F212+gaz!J212)*1000000/gaz!B21</f>
        <v>8574.4121435561628</v>
      </c>
      <c r="C25" s="1441">
        <f>+(gaz!C212+gaz!G212+gaz!K212)*1000000/gaz!C21</f>
        <v>32081.398230436494</v>
      </c>
      <c r="D25" s="1441">
        <f>+(gaz!D212+gaz!H212+gaz!L212)*1000000/gaz!D21</f>
        <v>8930.0636783455611</v>
      </c>
      <c r="E25" s="1441">
        <f>+(gaz!N212+gaz!R212+gaz!V212)*1000000/gaz!V21</f>
        <v>4892.6036384007975</v>
      </c>
      <c r="F25" s="1441">
        <f>+(gaz!O212+gaz!S212+gaz!W212)*1000000/gaz!W21</f>
        <v>13202.681655119322</v>
      </c>
      <c r="G25" s="1441">
        <f>+(gaz!P212+gaz!T212+gaz!X212)*1000000/gaz!X21</f>
        <v>5018.6506409313288</v>
      </c>
      <c r="H25" s="1441" t="e">
        <f>+(gaz!Z212+gaz!AD212+gaz!AH212)*1000000/gaz!AH21</f>
        <v>#DIV/0!</v>
      </c>
      <c r="I25" s="1441" t="e">
        <f>+(gaz!AA212+gaz!AE212+gaz!AI212)*1000000/gaz!AI21</f>
        <v>#DIV/0!</v>
      </c>
      <c r="J25" s="1441" t="e">
        <f>+(gaz!AB212+gaz!AF212+gaz!AJ212)*1000000/gaz!AJ21</f>
        <v>#DIV/0!</v>
      </c>
      <c r="K25" s="1441" t="e">
        <f>+(gaz!AL212+gaz!AP212+gaz!AT212)*1000000/gaz!AT21</f>
        <v>#DIV/0!</v>
      </c>
      <c r="L25" s="1441" t="e">
        <f>+(gaz!AM212+gaz!AQ212+gaz!AU212)*1000000/gaz!AU21</f>
        <v>#DIV/0!</v>
      </c>
      <c r="M25" s="1441" t="e">
        <f>+(gaz!AN212+gaz!AR212+gaz!AV212)*1000000/gaz!AV21</f>
        <v>#DIV/0!</v>
      </c>
      <c r="N25" s="1446" t="e">
        <f>+(gaz!AX212*1000000)/gaz!BH21</f>
        <v>#DIV/0!</v>
      </c>
      <c r="O25" s="1446" t="e">
        <f>+(gaz!AY212*1000000)/gaz!BI21</f>
        <v>#DIV/0!</v>
      </c>
      <c r="P25" s="1446">
        <f>+(gaz!AZ212*1000000)/gaz!AY21</f>
        <v>14675.477018741529</v>
      </c>
    </row>
    <row r="26" spans="1:16">
      <c r="A26" s="1439" t="s">
        <v>8</v>
      </c>
      <c r="B26" s="1441">
        <f>+(gaz!B213+gaz!F213+gaz!J213)*1000000/gaz!B22</f>
        <v>8858.3813821770364</v>
      </c>
      <c r="C26" s="1441">
        <f>+(gaz!C213+gaz!G213+gaz!K213)*1000000/gaz!C22</f>
        <v>42337.775877976193</v>
      </c>
      <c r="D26" s="1441">
        <f>+(gaz!D213+gaz!H213+gaz!L213)*1000000/gaz!D22</f>
        <v>9290.0834468643043</v>
      </c>
      <c r="E26" s="1441">
        <f>+(gaz!N213+gaz!R213+gaz!V213)*1000000/gaz!V22</f>
        <v>5183.2165186403827</v>
      </c>
      <c r="F26" s="1441">
        <f>+(gaz!O213+gaz!S213+gaz!W213)*1000000/gaz!W22</f>
        <v>20807.293938372648</v>
      </c>
      <c r="G26" s="1441">
        <f>+(gaz!P213+gaz!T213+gaz!X213)*1000000/gaz!X22</f>
        <v>5384.3670244470868</v>
      </c>
      <c r="H26" s="1441" t="e">
        <f>+(gaz!Z213+gaz!AD213+gaz!AH213)*1000000/gaz!AH22</f>
        <v>#DIV/0!</v>
      </c>
      <c r="I26" s="1441" t="e">
        <f>+(gaz!AA213+gaz!AE213+gaz!AI213)*1000000/gaz!AI22</f>
        <v>#DIV/0!</v>
      </c>
      <c r="J26" s="1441" t="e">
        <f>+(gaz!AB213+gaz!AF213+gaz!AJ213)*1000000/gaz!AJ22</f>
        <v>#DIV/0!</v>
      </c>
      <c r="K26" s="1441" t="e">
        <f>+(gaz!AL213+gaz!AP213+gaz!AT213)*1000000/gaz!AT22</f>
        <v>#DIV/0!</v>
      </c>
      <c r="L26" s="1441" t="e">
        <f>+(gaz!AM213+gaz!AQ213+gaz!AU213)*1000000/gaz!AU22</f>
        <v>#DIV/0!</v>
      </c>
      <c r="M26" s="1441" t="e">
        <f>+(gaz!AN213+gaz!AR213+gaz!AV213)*1000000/gaz!AV22</f>
        <v>#DIV/0!</v>
      </c>
      <c r="N26" s="1446" t="e">
        <f>+(gaz!AX213*1000000)/gaz!BH22</f>
        <v>#DIV/0!</v>
      </c>
      <c r="O26" s="1446" t="e">
        <f>+(gaz!AY213*1000000)/gaz!BI22</f>
        <v>#DIV/0!</v>
      </c>
      <c r="P26" s="1446">
        <f>+(gaz!AZ213*1000000)/gaz!AY22</f>
        <v>15308.4201348686</v>
      </c>
    </row>
    <row r="27" spans="1:16">
      <c r="A27" s="1439" t="s">
        <v>4</v>
      </c>
      <c r="B27" s="1441">
        <f>+(gaz!B214+gaz!F214+gaz!J214)*1000000/gaz!B23</f>
        <v>6921.138292277572</v>
      </c>
      <c r="C27" s="1441">
        <f>+(gaz!C214+gaz!G214+gaz!K214)*1000000/gaz!C23</f>
        <v>27811.420267188005</v>
      </c>
      <c r="D27" s="1441">
        <f>+(gaz!D214+gaz!H214+gaz!L214)*1000000/gaz!D23</f>
        <v>7125.220021964029</v>
      </c>
      <c r="E27" s="1441">
        <f>+(gaz!N214+gaz!R214+gaz!V214)*1000000/gaz!V23</f>
        <v>4053.2048360862432</v>
      </c>
      <c r="F27" s="1441">
        <f>+(gaz!O214+gaz!S214+gaz!W214)*1000000/gaz!W23</f>
        <v>15792.064278830709</v>
      </c>
      <c r="G27" s="1441">
        <f>+(gaz!P214+gaz!T214+gaz!X214)*1000000/gaz!X23</f>
        <v>4167.2760932471365</v>
      </c>
      <c r="H27" s="1441" t="e">
        <f>+(gaz!Z214+gaz!AD214+gaz!AH214)*1000000/gaz!AH23</f>
        <v>#DIV/0!</v>
      </c>
      <c r="I27" s="1441" t="e">
        <f>+(gaz!AA214+gaz!AE214+gaz!AI214)*1000000/gaz!AI23</f>
        <v>#DIV/0!</v>
      </c>
      <c r="J27" s="1441" t="e">
        <f>+(gaz!AB214+gaz!AF214+gaz!AJ214)*1000000/gaz!AJ23</f>
        <v>#DIV/0!</v>
      </c>
      <c r="K27" s="1441" t="e">
        <f>+(gaz!AL214+gaz!AP214+gaz!AT214)*1000000/gaz!AT23</f>
        <v>#DIV/0!</v>
      </c>
      <c r="L27" s="1441" t="e">
        <f>+(gaz!AM214+gaz!AQ214+gaz!AU214)*1000000/gaz!AU23</f>
        <v>#DIV/0!</v>
      </c>
      <c r="M27" s="1441" t="e">
        <f>+(gaz!AN214+gaz!AR214+gaz!AV214)*1000000/gaz!AV23</f>
        <v>#DIV/0!</v>
      </c>
      <c r="N27" s="1446" t="e">
        <f>+(gaz!AX214*1000000)/gaz!BH23</f>
        <v>#DIV/0!</v>
      </c>
      <c r="O27" s="1446" t="e">
        <f>+(gaz!AY214*1000000)/gaz!BI23</f>
        <v>#DIV/0!</v>
      </c>
      <c r="P27" s="1446">
        <f>+(gaz!AZ214*1000000)/gaz!AY23</f>
        <v>11865.156702303522</v>
      </c>
    </row>
    <row r="28" spans="1:16">
      <c r="A28" s="1439" t="s">
        <v>3</v>
      </c>
      <c r="B28" s="1441">
        <f>+(gaz!B215+gaz!F215+gaz!J215)*1000000/gaz!B24</f>
        <v>11072.658999379844</v>
      </c>
      <c r="C28" s="1441">
        <f>+(gaz!C215+gaz!G215+gaz!K215)*1000000/gaz!C24</f>
        <v>46115.388262959146</v>
      </c>
      <c r="D28" s="1441">
        <f>+(gaz!D215+gaz!H215+gaz!L215)*1000000/gaz!D24</f>
        <v>11592.377502456555</v>
      </c>
      <c r="E28" s="1441">
        <f>+(gaz!N215+gaz!R215+gaz!V215)*1000000/gaz!V24</f>
        <v>6658.8928513694636</v>
      </c>
      <c r="F28" s="1441">
        <f>+(gaz!O215+gaz!S215+gaz!W215)*1000000/gaz!W24</f>
        <v>20007.987131258458</v>
      </c>
      <c r="G28" s="1441">
        <f>+(gaz!P215+gaz!T215+gaz!X215)*1000000/gaz!X24</f>
        <v>6857.7495124827401</v>
      </c>
      <c r="H28" s="1441" t="e">
        <f>+(gaz!Z215+gaz!AD215+gaz!AH215)*1000000/gaz!AH24</f>
        <v>#DIV/0!</v>
      </c>
      <c r="I28" s="1441" t="e">
        <f>+(gaz!AA215+gaz!AE215+gaz!AI215)*1000000/gaz!AI24</f>
        <v>#DIV/0!</v>
      </c>
      <c r="J28" s="1441" t="e">
        <f>+(gaz!AB215+gaz!AF215+gaz!AJ215)*1000000/gaz!AJ24</f>
        <v>#DIV/0!</v>
      </c>
      <c r="K28" s="1441" t="e">
        <f>+(gaz!AL215+gaz!AP215+gaz!AT215)*1000000/gaz!AT24</f>
        <v>#DIV/0!</v>
      </c>
      <c r="L28" s="1441" t="e">
        <f>+(gaz!AM215+gaz!AQ215+gaz!AU215)*1000000/gaz!AU24</f>
        <v>#DIV/0!</v>
      </c>
      <c r="M28" s="1441" t="e">
        <f>+(gaz!AN215+gaz!AR215+gaz!AV215)*1000000/gaz!AV24</f>
        <v>#DIV/0!</v>
      </c>
      <c r="N28" s="1446" t="e">
        <f>+(gaz!AX215*1000000)/gaz!BH24</f>
        <v>#DIV/0!</v>
      </c>
      <c r="O28" s="1446" t="e">
        <f>+(gaz!AY215*1000000)/gaz!BI24</f>
        <v>#DIV/0!</v>
      </c>
      <c r="P28" s="1446">
        <f>+(gaz!AZ215*1000000)/gaz!AY24</f>
        <v>19601.988567543289</v>
      </c>
    </row>
    <row r="29" spans="1:16">
      <c r="A29" s="1439" t="s">
        <v>397</v>
      </c>
      <c r="B29" s="1441" t="e">
        <f>+(gaz!#REF!+gaz!#REF!+gaz!#REF!)*1000000/gaz!#REF!</f>
        <v>#REF!</v>
      </c>
      <c r="C29" s="1441" t="e">
        <f>+(gaz!#REF!+gaz!#REF!+gaz!#REF!)*1000000/gaz!#REF!</f>
        <v>#REF!</v>
      </c>
      <c r="D29" s="1441" t="e">
        <f>+(gaz!#REF!+gaz!#REF!+gaz!#REF!)*1000000/gaz!#REF!</f>
        <v>#REF!</v>
      </c>
      <c r="E29" s="1441" t="e">
        <f>+(gaz!#REF!+gaz!#REF!+gaz!#REF!)*1000000/gaz!#REF!</f>
        <v>#REF!</v>
      </c>
      <c r="F29" s="1441" t="e">
        <f>+(gaz!#REF!+gaz!#REF!+gaz!#REF!)*1000000/gaz!#REF!</f>
        <v>#REF!</v>
      </c>
      <c r="G29" s="1441" t="e">
        <f>+(gaz!#REF!+gaz!#REF!+gaz!#REF!)*1000000/gaz!#REF!</f>
        <v>#REF!</v>
      </c>
      <c r="H29" s="1441" t="e">
        <f>+(gaz!#REF!+gaz!#REF!+gaz!#REF!)*1000000/gaz!#REF!</f>
        <v>#REF!</v>
      </c>
      <c r="I29" s="1441" t="e">
        <f>+(gaz!#REF!+gaz!#REF!+gaz!#REF!)*1000000/gaz!#REF!</f>
        <v>#REF!</v>
      </c>
      <c r="J29" s="1441" t="e">
        <f>+(gaz!#REF!+gaz!#REF!+gaz!#REF!)*1000000/gaz!#REF!</f>
        <v>#REF!</v>
      </c>
      <c r="K29" s="1441" t="e">
        <f>+(gaz!#REF!+gaz!#REF!+gaz!#REF!)*1000000/gaz!#REF!</f>
        <v>#REF!</v>
      </c>
      <c r="L29" s="1441" t="e">
        <f>+(gaz!#REF!+gaz!#REF!+gaz!#REF!)*1000000/gaz!#REF!</f>
        <v>#REF!</v>
      </c>
      <c r="M29" s="1441" t="e">
        <f>+(gaz!#REF!+gaz!#REF!+gaz!#REF!)*1000000/gaz!#REF!</f>
        <v>#REF!</v>
      </c>
      <c r="N29" s="1446" t="e">
        <f>+(gaz!#REF!*1000000)/gaz!#REF!</f>
        <v>#REF!</v>
      </c>
      <c r="O29" s="1446" t="e">
        <f>+(gaz!#REF!*1000000)/gaz!#REF!</f>
        <v>#REF!</v>
      </c>
      <c r="P29" s="1446" t="e">
        <f>+(gaz!#REF!*1000000)/gaz!#REF!</f>
        <v>#REF!</v>
      </c>
    </row>
    <row r="30" spans="1:16">
      <c r="A30" s="1439" t="s">
        <v>399</v>
      </c>
      <c r="B30" s="1441">
        <f>+(gaz!B216+gaz!F216+gaz!J216)*1000000/gaz!B25</f>
        <v>4418.1289879173446</v>
      </c>
      <c r="C30" s="1441">
        <f>+(gaz!C216+gaz!G216+gaz!K216)*1000000/gaz!C25</f>
        <v>20562.797594819607</v>
      </c>
      <c r="D30" s="1441">
        <f>+(gaz!D216+gaz!H216+gaz!L216)*1000000/gaz!D25</f>
        <v>4557.1286993158437</v>
      </c>
      <c r="E30" s="1441">
        <f>+(gaz!N216+gaz!R216+gaz!V216)*1000000/gaz!V25</f>
        <v>2841.1418867277284</v>
      </c>
      <c r="F30" s="1441">
        <f>+(gaz!O216+gaz!S216+gaz!W216)*1000000/gaz!W25</f>
        <v>13208.048769371009</v>
      </c>
      <c r="G30" s="1441">
        <f>+(gaz!P216+gaz!T216+gaz!X216)*1000000/gaz!X25</f>
        <v>2929.0833094905061</v>
      </c>
      <c r="H30" s="1441" t="e">
        <f>+(gaz!Z216+gaz!AD216+gaz!AH216)*1000000/gaz!AH25</f>
        <v>#DIV/0!</v>
      </c>
      <c r="I30" s="1441" t="e">
        <f>+(gaz!AA216+gaz!AE216+gaz!AI216)*1000000/gaz!AI25</f>
        <v>#DIV/0!</v>
      </c>
      <c r="J30" s="1441" t="e">
        <f>+(gaz!AB216+gaz!AF216+gaz!AJ216)*1000000/gaz!AJ25</f>
        <v>#DIV/0!</v>
      </c>
      <c r="K30" s="1441" t="e">
        <f>+(gaz!AL216+gaz!AP216+gaz!AT216)*1000000/gaz!AT25</f>
        <v>#DIV/0!</v>
      </c>
      <c r="L30" s="1441" t="e">
        <f>+(gaz!AM216+gaz!AQ216+gaz!AU216)*1000000/gaz!AU25</f>
        <v>#DIV/0!</v>
      </c>
      <c r="M30" s="1441" t="e">
        <f>+(gaz!AN216+gaz!AR216+gaz!AV216)*1000000/gaz!AV25</f>
        <v>#DIV/0!</v>
      </c>
      <c r="N30" s="1446" t="e">
        <f>+(gaz!AX216*1000000)/gaz!BH25</f>
        <v>#DIV/0!</v>
      </c>
      <c r="O30" s="1446" t="e">
        <f>+(gaz!AY216*1000000)/gaz!BI25</f>
        <v>#DIV/0!</v>
      </c>
      <c r="P30" s="1446">
        <f>+(gaz!AZ216*1000000)/gaz!AY25</f>
        <v>8201.5633487388386</v>
      </c>
    </row>
    <row r="31" spans="1:16">
      <c r="A31" s="1439" t="s">
        <v>883</v>
      </c>
      <c r="B31" s="1441">
        <f>+(gaz!B217+gaz!F217+gaz!J217)*1000000/gaz!B26</f>
        <v>5094.7384090323294</v>
      </c>
      <c r="C31" s="1441">
        <f>+(gaz!C217+gaz!G217+gaz!K217)*1000000/gaz!C26</f>
        <v>19181.392921864743</v>
      </c>
      <c r="D31" s="1441">
        <f>+(gaz!D217+gaz!H217+gaz!L217)*1000000/gaz!D26</f>
        <v>5213.9317933475177</v>
      </c>
      <c r="E31" s="1441">
        <f>+(gaz!N217+gaz!R217+gaz!V217)*1000000/gaz!V26</f>
        <v>3062.6087728830794</v>
      </c>
      <c r="F31" s="1441">
        <f>+(gaz!O217+gaz!S217+gaz!W217)*1000000/gaz!W26</f>
        <v>6476.978949742268</v>
      </c>
      <c r="G31" s="1441">
        <f>+(gaz!P217+gaz!T217+gaz!X217)*1000000/gaz!X26</f>
        <v>3091.0200584406534</v>
      </c>
      <c r="H31" s="1441" t="e">
        <f>+(gaz!Z217+gaz!AD217+gaz!AH217)*1000000/gaz!AH26</f>
        <v>#DIV/0!</v>
      </c>
      <c r="I31" s="1441" t="e">
        <f>+(gaz!AA217+gaz!AE217+gaz!AI217)*1000000/gaz!AI26</f>
        <v>#DIV/0!</v>
      </c>
      <c r="J31" s="1441" t="e">
        <f>+(gaz!AB217+gaz!AF217+gaz!AJ217)*1000000/gaz!AJ26</f>
        <v>#DIV/0!</v>
      </c>
      <c r="K31" s="1441" t="e">
        <f>+(gaz!AL217+gaz!AP217+gaz!AT217)*1000000/gaz!AT26</f>
        <v>#DIV/0!</v>
      </c>
      <c r="L31" s="1441" t="e">
        <f>+(gaz!AM217+gaz!AQ217+gaz!AU217)*1000000/gaz!AU26</f>
        <v>#DIV/0!</v>
      </c>
      <c r="M31" s="1441" t="e">
        <f>+(gaz!AN217+gaz!AR217+gaz!AV217)*1000000/gaz!AV26</f>
        <v>#DIV/0!</v>
      </c>
      <c r="N31" s="1446" t="e">
        <f>+(gaz!AX217*1000000)/gaz!BH26</f>
        <v>#DIV/0!</v>
      </c>
      <c r="O31" s="1446" t="e">
        <f>+(gaz!AY217*1000000)/gaz!BI26</f>
        <v>#DIV/0!</v>
      </c>
      <c r="P31" s="1446">
        <f>+(gaz!AZ217*1000000)/gaz!AY26</f>
        <v>8942.2715203035732</v>
      </c>
    </row>
    <row r="32" spans="1:16">
      <c r="A32" s="1439" t="s">
        <v>884</v>
      </c>
      <c r="B32" s="1441">
        <f>+(gaz!B218+gaz!F218+gaz!J218)*1000000/gaz!B27</f>
        <v>7059.7581667593249</v>
      </c>
      <c r="C32" s="1441">
        <f>+(gaz!C218+gaz!G218+gaz!K218)*1000000/gaz!C27</f>
        <v>31165.259486813979</v>
      </c>
      <c r="D32" s="1441">
        <f>+(gaz!D218+gaz!H218+gaz!L218)*1000000/gaz!D27</f>
        <v>7329.1931530727752</v>
      </c>
      <c r="E32" s="1441">
        <f>+(gaz!N218+gaz!R218+gaz!V218)*1000000/gaz!V27</f>
        <v>3622.2864646956655</v>
      </c>
      <c r="F32" s="1441">
        <f>+(gaz!O218+gaz!S218+gaz!W218)*1000000/gaz!W27</f>
        <v>13536.415786873675</v>
      </c>
      <c r="G32" s="1441">
        <f>+(gaz!P218+gaz!T218+gaz!X218)*1000000/gaz!X27</f>
        <v>3731.4454226238536</v>
      </c>
      <c r="H32" s="1441" t="e">
        <f>+(gaz!Z218+gaz!AD218+gaz!AH218)*1000000/gaz!AH27</f>
        <v>#DIV/0!</v>
      </c>
      <c r="I32" s="1441" t="e">
        <f>+(gaz!AA218+gaz!AE218+gaz!AI218)*1000000/gaz!AI27</f>
        <v>#DIV/0!</v>
      </c>
      <c r="J32" s="1441" t="e">
        <f>+(gaz!AB218+gaz!AF218+gaz!AJ218)*1000000/gaz!AJ27</f>
        <v>#DIV/0!</v>
      </c>
      <c r="K32" s="1441" t="e">
        <f>+(gaz!AL218+gaz!AP218+gaz!AT218)*1000000/gaz!AT27</f>
        <v>#DIV/0!</v>
      </c>
      <c r="L32" s="1441" t="e">
        <f>+(gaz!AM218+gaz!AQ218+gaz!AU218)*1000000/gaz!AU27</f>
        <v>#DIV/0!</v>
      </c>
      <c r="M32" s="1441" t="e">
        <f>+(gaz!AN218+gaz!AR218+gaz!AV218)*1000000/gaz!AV27</f>
        <v>#DIV/0!</v>
      </c>
      <c r="N32" s="1446" t="e">
        <f>+(gaz!AX218*1000000)/gaz!BH27</f>
        <v>#DIV/0!</v>
      </c>
      <c r="O32" s="1446" t="e">
        <f>+(gaz!AY218*1000000)/gaz!BI27</f>
        <v>#DIV/0!</v>
      </c>
      <c r="P32" s="1446">
        <f>+(gaz!AZ218*1000000)/gaz!AY27</f>
        <v>11800.786110032661</v>
      </c>
    </row>
    <row r="33" spans="1:16">
      <c r="A33" s="1439" t="s">
        <v>885</v>
      </c>
      <c r="B33" s="1441">
        <f>+(gaz!B219+gaz!F219+gaz!J219)*1000000/gaz!B28</f>
        <v>5465.9868644795324</v>
      </c>
      <c r="C33" s="1441">
        <f>+(gaz!C219+gaz!G219+gaz!K219)*1000000/gaz!C28</f>
        <v>28323.553400000001</v>
      </c>
      <c r="D33" s="1441">
        <f>+(gaz!D219+gaz!H219+gaz!L219)*1000000/gaz!D28</f>
        <v>5681.9597897362573</v>
      </c>
      <c r="E33" s="1441">
        <f>+(gaz!N219+gaz!R219+gaz!V219)*1000000/gaz!V28</f>
        <v>3217.2039180897464</v>
      </c>
      <c r="F33" s="1441">
        <f>+(gaz!O219+gaz!S219+gaz!W219)*1000000/gaz!W28</f>
        <v>16297.451693290735</v>
      </c>
      <c r="G33" s="1441">
        <f>+(gaz!P219+gaz!T219+gaz!X219)*1000000/gaz!X28</f>
        <v>3342.1091147056845</v>
      </c>
      <c r="H33" s="1441" t="e">
        <f>+(gaz!Z219+gaz!AD219+gaz!AH219)*1000000/gaz!AH28</f>
        <v>#DIV/0!</v>
      </c>
      <c r="I33" s="1441" t="e">
        <f>+(gaz!AA219+gaz!AE219+gaz!AI219)*1000000/gaz!AI28</f>
        <v>#DIV/0!</v>
      </c>
      <c r="J33" s="1441" t="e">
        <f>+(gaz!AB219+gaz!AF219+gaz!AJ219)*1000000/gaz!AJ28</f>
        <v>#DIV/0!</v>
      </c>
      <c r="K33" s="1441" t="e">
        <f>+(gaz!AL219+gaz!AP219+gaz!AT219)*1000000/gaz!AT28</f>
        <v>#DIV/0!</v>
      </c>
      <c r="L33" s="1441" t="e">
        <f>+(gaz!AM219+gaz!AQ219+gaz!AU219)*1000000/gaz!AU28</f>
        <v>#DIV/0!</v>
      </c>
      <c r="M33" s="1441" t="e">
        <f>+(gaz!AN219+gaz!AR219+gaz!AV219)*1000000/gaz!AV28</f>
        <v>#DIV/0!</v>
      </c>
      <c r="N33" s="1446" t="e">
        <f>+(gaz!AX219*1000000)/gaz!BH28</f>
        <v>#DIV/0!</v>
      </c>
      <c r="O33" s="1446" t="e">
        <f>+(gaz!AY219*1000000)/gaz!BI28</f>
        <v>#DIV/0!</v>
      </c>
      <c r="P33" s="1446">
        <f>+(gaz!AZ219*1000000)/gaz!AY28</f>
        <v>9776.3594102132338</v>
      </c>
    </row>
    <row r="34" spans="1:16">
      <c r="A34" s="1442" t="s">
        <v>614</v>
      </c>
      <c r="B34" s="1443">
        <f>+(gaz!B221+gaz!F221+gaz!J221)*1000000/gaz!B30</f>
        <v>7115.5082892665769</v>
      </c>
      <c r="C34" s="1444">
        <f>+(gaz!C221+gaz!G221+gaz!K221)*1000000/gaz!C30</f>
        <v>31702.810422416882</v>
      </c>
      <c r="D34" s="1444">
        <f>+(gaz!D221+gaz!H221+gaz!L221)*1000000/gaz!D30</f>
        <v>7392.4501241957341</v>
      </c>
      <c r="E34" s="1443">
        <f>+(gaz!N221+gaz!R221+gaz!V221)*1000000/gaz!V30</f>
        <v>4164.5013707737171</v>
      </c>
      <c r="F34" s="1444">
        <f>+(gaz!O221+gaz!S221+gaz!W221)*1000000/gaz!W30</f>
        <v>15237.614211002714</v>
      </c>
      <c r="G34" s="1444">
        <f>+(gaz!P221+gaz!T221+gaz!X221)*1000000/gaz!X30</f>
        <v>4288.2872188986557</v>
      </c>
      <c r="H34" s="1443" t="e">
        <f>+(gaz!Z221+gaz!AD221+gaz!AH221)*1000000/gaz!AH30</f>
        <v>#DIV/0!</v>
      </c>
      <c r="I34" s="1444" t="e">
        <f>+(gaz!AA221+gaz!AE221+gaz!AI221)*1000000/gaz!AI30</f>
        <v>#DIV/0!</v>
      </c>
      <c r="J34" s="1444" t="e">
        <f>+(gaz!AB221+gaz!AF221+gaz!AJ221)*1000000/gaz!AJ30</f>
        <v>#DIV/0!</v>
      </c>
      <c r="K34" s="1443" t="e">
        <f>+(gaz!AL221+gaz!AP221+gaz!AT221)*1000000/gaz!AT30</f>
        <v>#DIV/0!</v>
      </c>
      <c r="L34" s="1444" t="e">
        <f>+(gaz!AM221+gaz!AQ221+gaz!AU221)*1000000/gaz!AU30</f>
        <v>#DIV/0!</v>
      </c>
      <c r="M34" s="1444" t="e">
        <f>+(gaz!AN221+gaz!AR221+gaz!AV221)*1000000/gaz!AV30</f>
        <v>#DIV/0!</v>
      </c>
      <c r="N34" s="1443" t="e">
        <f>+(gaz!AX221*1000000)/gaz!BH30</f>
        <v>#DIV/0!</v>
      </c>
      <c r="O34" s="1444" t="e">
        <f>+(gaz!AY221*1000000)/gaz!BI30</f>
        <v>#DIV/0!</v>
      </c>
      <c r="P34" s="1443">
        <f>+(gaz!AZ221*1000000)/gaz!AY30</f>
        <v>12383.40594967512</v>
      </c>
    </row>
  </sheetData>
  <mergeCells count="12">
    <mergeCell ref="N22:P22"/>
    <mergeCell ref="N7:P7"/>
    <mergeCell ref="A22:A23"/>
    <mergeCell ref="B22:D22"/>
    <mergeCell ref="E22:G22"/>
    <mergeCell ref="H22:J22"/>
    <mergeCell ref="K22:M22"/>
    <mergeCell ref="K7:M7"/>
    <mergeCell ref="A7:A8"/>
    <mergeCell ref="B7:D7"/>
    <mergeCell ref="E7:G7"/>
    <mergeCell ref="H7:J7"/>
  </mergeCells>
  <phoneticPr fontId="28" type="noConversion"/>
  <pageMargins left="0.78740157499999996" right="0.78740157499999996" top="0.984251969" bottom="0.984251969" header="0.4921259845" footer="0.4921259845"/>
  <pageSetup paperSize="9" orientation="portrait" r:id="rId1"/>
  <headerFooter alignWithMargins="0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Feuilles de calcul</vt:lpstr>
      </vt:variant>
      <vt:variant>
        <vt:i4>40</vt:i4>
      </vt:variant>
      <vt:variant>
        <vt:lpstr>Plages nommées</vt:lpstr>
      </vt:variant>
      <vt:variant>
        <vt:i4>18</vt:i4>
      </vt:variant>
    </vt:vector>
  </HeadingPairs>
  <TitlesOfParts>
    <vt:vector size="58" baseType="lpstr">
      <vt:lpstr>tableau de bord</vt:lpstr>
      <vt:lpstr>Feuille-synthèse</vt:lpstr>
      <vt:lpstr>synthése HT_HP</vt:lpstr>
      <vt:lpstr>HT-HP 2</vt:lpstr>
      <vt:lpstr>Clientele</vt:lpstr>
      <vt:lpstr>Motif Résiliation</vt:lpstr>
      <vt:lpstr>Client-Elec RDC</vt:lpstr>
      <vt:lpstr>Client-GAZ RDC</vt:lpstr>
      <vt:lpstr>RCN NC</vt:lpstr>
      <vt:lpstr>délais </vt:lpstr>
      <vt:lpstr>RCN_Elec  </vt:lpstr>
      <vt:lpstr>RCN_Gaz  </vt:lpstr>
      <vt:lpstr>Instances</vt:lpstr>
      <vt:lpstr>ventes_achats_élec</vt:lpstr>
      <vt:lpstr>TP_élec</vt:lpstr>
      <vt:lpstr>ventes_achats_gaz</vt:lpstr>
      <vt:lpstr>TP_gaz</vt:lpstr>
      <vt:lpstr>CA_élec_gaz</vt:lpstr>
      <vt:lpstr>enc-ag</vt:lpstr>
      <vt:lpstr>Achats et ventes BT agences</vt:lpstr>
      <vt:lpstr>Données agence 2019</vt:lpstr>
      <vt:lpstr>élec</vt:lpstr>
      <vt:lpstr>gaz</vt:lpstr>
      <vt:lpstr>Créanc-agence-compare</vt:lpstr>
      <vt:lpstr>Gros Débit</vt:lpstr>
      <vt:lpstr>Créanc</vt:lpstr>
      <vt:lpstr>Crédit client</vt:lpstr>
      <vt:lpstr>DCC_MT-MP sans eaux</vt:lpstr>
      <vt:lpstr>Solde créances_DCM</vt:lpstr>
      <vt:lpstr>Solde créances Privé-ADM</vt:lpstr>
      <vt:lpstr>Sans ADE APC DSA</vt:lpstr>
      <vt:lpstr>calcul-DCC-TX-Encais</vt:lpstr>
      <vt:lpstr>Détail Solde</vt:lpstr>
      <vt:lpstr>quitancemult</vt:lpstr>
      <vt:lpstr>Feuil-saisie</vt:lpstr>
      <vt:lpstr>Année-mobile elec</vt:lpstr>
      <vt:lpstr>Année-mobile Gaz</vt:lpstr>
      <vt:lpstr>trim_elec</vt:lpstr>
      <vt:lpstr>trim_gaz</vt:lpstr>
      <vt:lpstr>CS</vt:lpstr>
      <vt:lpstr>CA_élec_gaz!Zone_d_impression</vt:lpstr>
      <vt:lpstr>Clientele!Zone_d_impression</vt:lpstr>
      <vt:lpstr>Créanc!Zone_d_impression</vt:lpstr>
      <vt:lpstr>'Créanc-agence-compare'!Zone_d_impression</vt:lpstr>
      <vt:lpstr>'Crédit client'!Zone_d_impression</vt:lpstr>
      <vt:lpstr>'délais '!Zone_d_impression</vt:lpstr>
      <vt:lpstr>'enc-ag'!Zone_d_impression</vt:lpstr>
      <vt:lpstr>'Feuille-synthèse'!Zone_d_impression</vt:lpstr>
      <vt:lpstr>gaz!Zone_d_impression</vt:lpstr>
      <vt:lpstr>'Gros Débit'!Zone_d_impression</vt:lpstr>
      <vt:lpstr>quitancemult!Zone_d_impression</vt:lpstr>
      <vt:lpstr>'RCN NC'!Zone_d_impression</vt:lpstr>
      <vt:lpstr>'RCN_Elec  '!Zone_d_impression</vt:lpstr>
      <vt:lpstr>'RCN_Gaz  '!Zone_d_impression</vt:lpstr>
      <vt:lpstr>'tableau de bord'!Zone_d_impression</vt:lpstr>
      <vt:lpstr>TP_élec!Zone_d_impression</vt:lpstr>
      <vt:lpstr>TP_gaz!Zone_d_impression</vt:lpstr>
      <vt:lpstr>ventes_achats_élec!Zone_d_impression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Mounir</dc:creator>
  <cp:lastModifiedBy>FERDJANI Anes</cp:lastModifiedBy>
  <cp:lastPrinted>2024-03-19T08:03:24Z</cp:lastPrinted>
  <dcterms:created xsi:type="dcterms:W3CDTF">2007-02-15T07:19:07Z</dcterms:created>
  <dcterms:modified xsi:type="dcterms:W3CDTF">2024-12-04T19:41:39Z</dcterms:modified>
</cp:coreProperties>
</file>